
<file path=[Content_Types].xml><?xml version="1.0" encoding="utf-8"?>
<Types xmlns="http://schemas.openxmlformats.org/package/2006/content-types">
  <Override PartName="/xl/charts/chart6.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drawings/drawing8.xml" ContentType="application/vnd.openxmlformats-officedocument.drawingml.chartshapes+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ml.chartshapes+xml"/>
  <Override PartName="/xl/drawings/drawing17.xml" ContentType="application/vnd.openxmlformats-officedocument.drawingml.chartshapes+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drawings/drawing16.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ml.chartshapes+xml"/>
  <Override PartName="/xl/drawings/drawing14.xml" ContentType="application/vnd.openxmlformats-officedocument.drawingml.chartshapes+xml"/>
  <Override PartName="/xl/worksheets/sheet1.xml" ContentType="application/vnd.openxmlformats-officedocument.spreadsheetml.worksheet+xml"/>
  <Override PartName="/xl/drawings/drawing11.xml" ContentType="application/vnd.openxmlformats-officedocument.drawingml.chartshapes+xml"/>
  <Override PartName="/xl/drawings/drawing12.xml" ContentType="application/vnd.openxmlformats-officedocument.drawing+xml"/>
  <Override PartName="/xl/drawings/drawing20.xml" ContentType="application/vnd.openxmlformats-officedocument.drawingml.chartshapes+xml"/>
  <Override PartName="/xl/charts/chart16.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Default Extension="bin" ContentType="application/vnd.openxmlformats-officedocument.spreadsheetml.printerSettings"/>
  <Override PartName="/xl/charts/chart7.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showHorizontalScroll="0" xWindow="120" yWindow="72" windowWidth="5148" windowHeight="3708" tabRatio="992"/>
  </bookViews>
  <sheets>
    <sheet name="programma" sheetId="27" r:id="rId1"/>
    <sheet name="Inleiding" sheetId="80" r:id="rId2"/>
    <sheet name="Toets" sheetId="92" r:id="rId3"/>
    <sheet name="TO, TK en TW" sheetId="87" r:id="rId4"/>
    <sheet name="Gemiddeld en marginaal" sheetId="86" r:id="rId5"/>
    <sheet name="TVK, TCK, GVK en GCK" sheetId="71" r:id="rId6"/>
    <sheet name="Berekening maximale winst" sheetId="90" r:id="rId7"/>
    <sheet name="Welvaartseffect" sheetId="91" r:id="rId8"/>
    <sheet name="Mon. Conc. lange termijn" sheetId="88" r:id="rId9"/>
    <sheet name="Blad1" sheetId="2" state="hidden" r:id="rId10"/>
  </sheets>
  <definedNames>
    <definedName name="_xlnm._FilterDatabase" localSheetId="6" hidden="1">'Berekening maximale winst'!#REF!</definedName>
    <definedName name="_xlnm._FilterDatabase" localSheetId="4" hidden="1">'Gemiddeld en marginaal'!#REF!</definedName>
    <definedName name="_xlnm._FilterDatabase" localSheetId="1" hidden="1">Inleiding!#REF!</definedName>
    <definedName name="_xlnm._FilterDatabase" localSheetId="8" hidden="1">'Mon. Conc. lange termijn'!#REF!</definedName>
    <definedName name="_xlnm._FilterDatabase" localSheetId="3" hidden="1">'TO, TK en TW'!#REF!</definedName>
    <definedName name="_xlnm._FilterDatabase" localSheetId="2" hidden="1">Toets!#REF!</definedName>
    <definedName name="_xlnm._FilterDatabase" localSheetId="5" hidden="1">'TVK, TCK, GVK en GCK'!#REF!</definedName>
    <definedName name="_xlnm._FilterDatabase" localSheetId="7" hidden="1">Welvaartseffect!#REF!</definedName>
  </definedNames>
  <calcPr calcId="125725"/>
</workbook>
</file>

<file path=xl/calcChain.xml><?xml version="1.0" encoding="utf-8"?>
<calcChain xmlns="http://schemas.openxmlformats.org/spreadsheetml/2006/main">
  <c r="Z24" i="2"/>
  <c r="FM468" i="92"/>
  <c r="FL478"/>
  <c r="FM1" i="91" l="1"/>
  <c r="S5" i="27" l="1"/>
  <c r="AX3" i="2"/>
  <c r="AX4"/>
  <c r="AY2" s="1"/>
  <c r="AY4" s="1"/>
  <c r="AZ2" s="1"/>
  <c r="AZ4" s="1"/>
  <c r="BA2" s="1"/>
  <c r="BA4" s="1"/>
  <c r="BB2" s="1"/>
  <c r="BB4" s="1"/>
  <c r="BC2" s="1"/>
  <c r="BC4" s="1"/>
  <c r="BD2" s="1"/>
  <c r="BD4" s="1"/>
  <c r="BE2" s="1"/>
  <c r="BE4" s="1"/>
  <c r="BF2" s="1"/>
  <c r="BF4" s="1"/>
  <c r="BG2" s="1"/>
  <c r="BG4" s="1"/>
  <c r="BH2" s="1"/>
  <c r="BH4" s="1"/>
  <c r="BI2" s="1"/>
  <c r="BI4" s="1"/>
  <c r="BJ2" s="1"/>
  <c r="AX1"/>
  <c r="BJ4" l="1"/>
  <c r="E32" i="27" l="1"/>
  <c r="E31"/>
  <c r="FM121" i="91"/>
  <c r="FM1" i="90" l="1"/>
  <c r="FM1" i="86"/>
  <c r="FM1" i="87"/>
  <c r="DA130" l="1"/>
  <c r="BX130"/>
  <c r="FY190" i="91" l="1"/>
  <c r="FM1" i="71" l="1"/>
  <c r="Y24" i="2"/>
  <c r="EB413" i="92"/>
  <c r="EA413"/>
  <c r="DZ413"/>
  <c r="DY413"/>
  <c r="DX413"/>
  <c r="DQ413"/>
  <c r="DP413"/>
  <c r="DO413"/>
  <c r="DN413"/>
  <c r="DM413"/>
  <c r="DL413"/>
  <c r="DH413"/>
  <c r="DG413"/>
  <c r="DF413"/>
  <c r="DE413"/>
  <c r="EB411"/>
  <c r="EA411"/>
  <c r="DZ411"/>
  <c r="DY411"/>
  <c r="DX411"/>
  <c r="DQ411"/>
  <c r="DP411"/>
  <c r="DO411"/>
  <c r="DN411"/>
  <c r="DM411"/>
  <c r="DL411"/>
  <c r="DH411"/>
  <c r="DG411"/>
  <c r="DF411"/>
  <c r="DE411"/>
  <c r="EB409"/>
  <c r="EA409"/>
  <c r="DZ409"/>
  <c r="DY409"/>
  <c r="DX409"/>
  <c r="DQ409"/>
  <c r="DP409"/>
  <c r="DO409"/>
  <c r="DN409"/>
  <c r="DM409"/>
  <c r="DL409"/>
  <c r="DH409"/>
  <c r="DG409"/>
  <c r="DF409"/>
  <c r="DE409"/>
  <c r="EB407"/>
  <c r="EA407"/>
  <c r="DZ407"/>
  <c r="DY407"/>
  <c r="DX407"/>
  <c r="DQ407"/>
  <c r="DP407"/>
  <c r="DO407"/>
  <c r="DN407"/>
  <c r="DM407"/>
  <c r="DL407"/>
  <c r="DH407"/>
  <c r="DG407"/>
  <c r="DF407"/>
  <c r="DE407"/>
  <c r="EB405"/>
  <c r="EA405"/>
  <c r="DZ405"/>
  <c r="DY405"/>
  <c r="DX405"/>
  <c r="DQ405"/>
  <c r="DP405"/>
  <c r="DO405"/>
  <c r="DN405"/>
  <c r="DM405"/>
  <c r="DL405"/>
  <c r="DH405"/>
  <c r="DG405"/>
  <c r="DF405"/>
  <c r="DE405"/>
  <c r="EB403"/>
  <c r="EA403"/>
  <c r="DZ403"/>
  <c r="DY403"/>
  <c r="DX403"/>
  <c r="DQ403"/>
  <c r="DP403"/>
  <c r="DO403"/>
  <c r="DN403"/>
  <c r="DM403"/>
  <c r="DL403"/>
  <c r="DH403"/>
  <c r="DG403"/>
  <c r="DF403"/>
  <c r="DE403"/>
  <c r="EB401"/>
  <c r="EA401"/>
  <c r="DZ401"/>
  <c r="DY401"/>
  <c r="DX401"/>
  <c r="DQ401"/>
  <c r="DP401"/>
  <c r="DO401"/>
  <c r="DN401"/>
  <c r="DM401"/>
  <c r="DL401"/>
  <c r="DH401"/>
  <c r="DG401"/>
  <c r="DF401"/>
  <c r="DE401"/>
  <c r="EB399"/>
  <c r="EA399"/>
  <c r="DZ399"/>
  <c r="DY399"/>
  <c r="DX399"/>
  <c r="DQ399"/>
  <c r="DP399"/>
  <c r="DO399"/>
  <c r="DN399"/>
  <c r="DM399"/>
  <c r="DL399"/>
  <c r="DH399"/>
  <c r="DG399"/>
  <c r="DF399"/>
  <c r="DE399"/>
  <c r="EB388"/>
  <c r="EA388"/>
  <c r="DZ388"/>
  <c r="DY388"/>
  <c r="DX388"/>
  <c r="DQ388"/>
  <c r="DP388"/>
  <c r="DO388"/>
  <c r="DN388"/>
  <c r="DM388"/>
  <c r="DL388"/>
  <c r="DH388"/>
  <c r="DG388"/>
  <c r="DF388"/>
  <c r="DE388"/>
  <c r="EB386"/>
  <c r="EA386"/>
  <c r="DZ386"/>
  <c r="DY386"/>
  <c r="DX386"/>
  <c r="DQ386"/>
  <c r="DP386"/>
  <c r="DO386"/>
  <c r="DN386"/>
  <c r="DM386"/>
  <c r="DL386"/>
  <c r="DH386"/>
  <c r="DG386"/>
  <c r="DF386"/>
  <c r="DE386"/>
  <c r="EB384"/>
  <c r="EA384"/>
  <c r="DZ384"/>
  <c r="DY384"/>
  <c r="DX384"/>
  <c r="DQ384"/>
  <c r="DP384"/>
  <c r="DO384"/>
  <c r="DN384"/>
  <c r="DM384"/>
  <c r="DL384"/>
  <c r="DH384"/>
  <c r="DG384"/>
  <c r="DF384"/>
  <c r="DE384"/>
  <c r="EB382"/>
  <c r="EA382"/>
  <c r="DZ382"/>
  <c r="DY382"/>
  <c r="DX382"/>
  <c r="DQ382"/>
  <c r="DP382"/>
  <c r="DO382"/>
  <c r="DN382"/>
  <c r="DM382"/>
  <c r="DL382"/>
  <c r="DH382"/>
  <c r="DG382"/>
  <c r="DF382"/>
  <c r="DE382"/>
  <c r="EB380"/>
  <c r="EA380"/>
  <c r="DZ380"/>
  <c r="DY380"/>
  <c r="DX380"/>
  <c r="DQ380"/>
  <c r="DP380"/>
  <c r="DO380"/>
  <c r="DN380"/>
  <c r="DM380"/>
  <c r="DL380"/>
  <c r="DH380"/>
  <c r="DG380"/>
  <c r="DF380"/>
  <c r="DE380"/>
  <c r="EB378"/>
  <c r="EA378"/>
  <c r="DZ378"/>
  <c r="DY378"/>
  <c r="DX378"/>
  <c r="DQ378"/>
  <c r="DP378"/>
  <c r="DO378"/>
  <c r="DN378"/>
  <c r="DM378"/>
  <c r="DL378"/>
  <c r="DH378"/>
  <c r="DG378"/>
  <c r="DF378"/>
  <c r="DE378"/>
  <c r="DG456" i="91"/>
  <c r="DF456"/>
  <c r="DE456"/>
  <c r="DD456"/>
  <c r="DC456"/>
  <c r="CV456"/>
  <c r="CU456"/>
  <c r="CT456"/>
  <c r="CS456"/>
  <c r="CR456"/>
  <c r="CQ456"/>
  <c r="CM456"/>
  <c r="CL456"/>
  <c r="CK456"/>
  <c r="CJ456"/>
  <c r="DG454"/>
  <c r="DF454"/>
  <c r="DE454"/>
  <c r="DD454"/>
  <c r="DC454"/>
  <c r="CV454"/>
  <c r="CU454"/>
  <c r="CT454"/>
  <c r="CS454"/>
  <c r="CR454"/>
  <c r="CQ454"/>
  <c r="CM454"/>
  <c r="CL454"/>
  <c r="CK454"/>
  <c r="CJ454"/>
  <c r="DG450"/>
  <c r="DF450"/>
  <c r="DE450"/>
  <c r="DD450"/>
  <c r="DC450"/>
  <c r="CV450"/>
  <c r="CU450"/>
  <c r="CT450"/>
  <c r="CS450"/>
  <c r="CR450"/>
  <c r="CQ450"/>
  <c r="CM450"/>
  <c r="CL450"/>
  <c r="CK450"/>
  <c r="CJ450"/>
  <c r="DG448"/>
  <c r="DF448"/>
  <c r="DE448"/>
  <c r="DD448"/>
  <c r="DC448"/>
  <c r="CV448"/>
  <c r="CU448"/>
  <c r="CT448"/>
  <c r="CS448"/>
  <c r="CR448"/>
  <c r="CQ448"/>
  <c r="CM448"/>
  <c r="CL448"/>
  <c r="CK448"/>
  <c r="CJ448"/>
  <c r="DG444"/>
  <c r="DF444"/>
  <c r="DE444"/>
  <c r="DD444"/>
  <c r="DC444"/>
  <c r="CV444"/>
  <c r="CU444"/>
  <c r="CT444"/>
  <c r="CS444"/>
  <c r="CR444"/>
  <c r="CQ444"/>
  <c r="CM444"/>
  <c r="CL444"/>
  <c r="CK444"/>
  <c r="CJ444"/>
  <c r="DG442"/>
  <c r="DF442"/>
  <c r="DE442"/>
  <c r="DD442"/>
  <c r="DC442"/>
  <c r="CV442"/>
  <c r="CU442"/>
  <c r="CT442"/>
  <c r="CS442"/>
  <c r="CR442"/>
  <c r="CQ442"/>
  <c r="CM442"/>
  <c r="CL442"/>
  <c r="CK442"/>
  <c r="CJ442"/>
  <c r="CN438"/>
  <c r="CM438"/>
  <c r="CL438"/>
  <c r="CK438"/>
  <c r="CJ438"/>
  <c r="CC438"/>
  <c r="CB438"/>
  <c r="CA438"/>
  <c r="BZ438"/>
  <c r="BY438"/>
  <c r="BX438"/>
  <c r="BT438"/>
  <c r="BS438"/>
  <c r="BR438"/>
  <c r="BQ438"/>
  <c r="CN436"/>
  <c r="CM436"/>
  <c r="CL436"/>
  <c r="CK436"/>
  <c r="CJ436"/>
  <c r="CC436"/>
  <c r="CB436"/>
  <c r="CA436"/>
  <c r="BZ436"/>
  <c r="BY436"/>
  <c r="BX436"/>
  <c r="BT436"/>
  <c r="BS436"/>
  <c r="BR436"/>
  <c r="BQ436"/>
  <c r="DA431"/>
  <c r="CZ431"/>
  <c r="CY431"/>
  <c r="CX431"/>
  <c r="CW431"/>
  <c r="CP431"/>
  <c r="CO431"/>
  <c r="CN431"/>
  <c r="CM431"/>
  <c r="CL431"/>
  <c r="CK431"/>
  <c r="CG431"/>
  <c r="CF431"/>
  <c r="CE431"/>
  <c r="CD431"/>
  <c r="DA429"/>
  <c r="CZ429"/>
  <c r="CY429"/>
  <c r="CX429"/>
  <c r="CW429"/>
  <c r="CP429"/>
  <c r="CO429"/>
  <c r="CN429"/>
  <c r="CM429"/>
  <c r="CL429"/>
  <c r="CK429"/>
  <c r="CG429"/>
  <c r="CF429"/>
  <c r="CE429"/>
  <c r="CD429"/>
  <c r="BO418"/>
  <c r="BN418"/>
  <c r="BM418"/>
  <c r="BL418"/>
  <c r="BK418"/>
  <c r="BD418"/>
  <c r="BC418"/>
  <c r="BB418"/>
  <c r="BA418"/>
  <c r="AZ418"/>
  <c r="AY418"/>
  <c r="AU418"/>
  <c r="AT418"/>
  <c r="AS418"/>
  <c r="AR418"/>
  <c r="BO416"/>
  <c r="BN416"/>
  <c r="BM416"/>
  <c r="BL416"/>
  <c r="BK416"/>
  <c r="BD416"/>
  <c r="BC416"/>
  <c r="BB416"/>
  <c r="BA416"/>
  <c r="AZ416"/>
  <c r="AY416"/>
  <c r="AU416"/>
  <c r="AT416"/>
  <c r="AS416"/>
  <c r="AR416"/>
  <c r="BO412"/>
  <c r="BN412"/>
  <c r="BM412"/>
  <c r="BL412"/>
  <c r="BK412"/>
  <c r="BD412"/>
  <c r="BC412"/>
  <c r="BB412"/>
  <c r="BA412"/>
  <c r="AZ412"/>
  <c r="AY412"/>
  <c r="AU412"/>
  <c r="AT412"/>
  <c r="AS412"/>
  <c r="AR412"/>
  <c r="BO410"/>
  <c r="BN410"/>
  <c r="BM410"/>
  <c r="BL410"/>
  <c r="BK410"/>
  <c r="BD410"/>
  <c r="BC410"/>
  <c r="BB410"/>
  <c r="BA410"/>
  <c r="AZ410"/>
  <c r="AY410"/>
  <c r="AU410"/>
  <c r="AT410"/>
  <c r="AS410"/>
  <c r="AR410"/>
  <c r="DR406"/>
  <c r="DQ406"/>
  <c r="DP406"/>
  <c r="DO406"/>
  <c r="DN406"/>
  <c r="DG406"/>
  <c r="DF406"/>
  <c r="DE406"/>
  <c r="DD406"/>
  <c r="DC406"/>
  <c r="DB406"/>
  <c r="CX406"/>
  <c r="CW406"/>
  <c r="CV406"/>
  <c r="CU406"/>
  <c r="DR404"/>
  <c r="DQ404"/>
  <c r="DP404"/>
  <c r="DO404"/>
  <c r="DN404"/>
  <c r="DG404"/>
  <c r="DF404"/>
  <c r="DE404"/>
  <c r="DD404"/>
  <c r="DC404"/>
  <c r="DB404"/>
  <c r="CX404"/>
  <c r="CW404"/>
  <c r="CV404"/>
  <c r="CU404"/>
  <c r="EB222" i="92"/>
  <c r="EA222"/>
  <c r="DZ222"/>
  <c r="DY222"/>
  <c r="DX222"/>
  <c r="DQ222"/>
  <c r="DP222"/>
  <c r="DO222"/>
  <c r="DN222"/>
  <c r="DM222"/>
  <c r="DL222"/>
  <c r="DH222"/>
  <c r="DG222"/>
  <c r="DF222"/>
  <c r="DE222"/>
  <c r="EB220"/>
  <c r="EA220"/>
  <c r="DZ220"/>
  <c r="DY220"/>
  <c r="DX220"/>
  <c r="DQ220"/>
  <c r="DP220"/>
  <c r="DO220"/>
  <c r="DN220"/>
  <c r="DM220"/>
  <c r="DL220"/>
  <c r="DH220"/>
  <c r="DG220"/>
  <c r="DF220"/>
  <c r="DE220"/>
  <c r="EB218"/>
  <c r="EA218"/>
  <c r="DZ218"/>
  <c r="DY218"/>
  <c r="DX218"/>
  <c r="DQ218"/>
  <c r="DP218"/>
  <c r="DO218"/>
  <c r="DN218"/>
  <c r="DM218"/>
  <c r="DL218"/>
  <c r="DH218"/>
  <c r="DG218"/>
  <c r="DF218"/>
  <c r="DE218"/>
  <c r="EB216"/>
  <c r="EA216"/>
  <c r="DZ216"/>
  <c r="DY216"/>
  <c r="DX216"/>
  <c r="DQ216"/>
  <c r="DP216"/>
  <c r="DO216"/>
  <c r="DN216"/>
  <c r="DM216"/>
  <c r="DL216"/>
  <c r="DH216"/>
  <c r="DG216"/>
  <c r="DF216"/>
  <c r="DE216"/>
  <c r="EB214"/>
  <c r="EA214"/>
  <c r="DZ214"/>
  <c r="DY214"/>
  <c r="DX214"/>
  <c r="DQ214"/>
  <c r="DP214"/>
  <c r="DO214"/>
  <c r="DN214"/>
  <c r="DM214"/>
  <c r="DL214"/>
  <c r="DH214"/>
  <c r="DG214"/>
  <c r="DF214"/>
  <c r="DE214"/>
  <c r="EB212"/>
  <c r="EA212"/>
  <c r="DZ212"/>
  <c r="DY212"/>
  <c r="DX212"/>
  <c r="DQ212"/>
  <c r="DP212"/>
  <c r="DO212"/>
  <c r="DN212"/>
  <c r="DM212"/>
  <c r="DL212"/>
  <c r="DH212"/>
  <c r="DG212"/>
  <c r="DF212"/>
  <c r="DE212"/>
  <c r="Y25" i="2"/>
  <c r="Y26" s="1"/>
  <c r="GC324" i="87"/>
  <c r="GC323"/>
  <c r="GC322"/>
  <c r="GC321"/>
  <c r="GQ170"/>
  <c r="FK199"/>
  <c r="EO5" i="80"/>
  <c r="EO5" i="92"/>
  <c r="EO5" i="87"/>
  <c r="EO5" i="86"/>
  <c r="EO5" i="71"/>
  <c r="EO5" i="90"/>
  <c r="EO5" i="91"/>
  <c r="EO5" i="88"/>
  <c r="EB458" i="92"/>
  <c r="EA458"/>
  <c r="DZ458"/>
  <c r="DY458"/>
  <c r="DX458"/>
  <c r="DQ458"/>
  <c r="DP458"/>
  <c r="DO458"/>
  <c r="DN458"/>
  <c r="DM458"/>
  <c r="DL458"/>
  <c r="DH458"/>
  <c r="DG458"/>
  <c r="DF458"/>
  <c r="DE458"/>
  <c r="EB456"/>
  <c r="EA456"/>
  <c r="DZ456"/>
  <c r="DY456"/>
  <c r="DX456"/>
  <c r="DQ456"/>
  <c r="DP456"/>
  <c r="DO456"/>
  <c r="DN456"/>
  <c r="DM456"/>
  <c r="DL456"/>
  <c r="DH456"/>
  <c r="DG456"/>
  <c r="DF456"/>
  <c r="DE456"/>
  <c r="EB454"/>
  <c r="EA454"/>
  <c r="DZ454"/>
  <c r="DY454"/>
  <c r="DX454"/>
  <c r="DQ454"/>
  <c r="DP454"/>
  <c r="DO454"/>
  <c r="DN454"/>
  <c r="DM454"/>
  <c r="DL454"/>
  <c r="DH454"/>
  <c r="DG454"/>
  <c r="DF454"/>
  <c r="DE454"/>
  <c r="EB452"/>
  <c r="EA452"/>
  <c r="DZ452"/>
  <c r="DY452"/>
  <c r="DX452"/>
  <c r="DQ452"/>
  <c r="DP452"/>
  <c r="DO452"/>
  <c r="DN452"/>
  <c r="DM452"/>
  <c r="DL452"/>
  <c r="DH452"/>
  <c r="DG452"/>
  <c r="DF452"/>
  <c r="DE452"/>
  <c r="EB450"/>
  <c r="EA450"/>
  <c r="DZ450"/>
  <c r="DY450"/>
  <c r="DX450"/>
  <c r="DQ450"/>
  <c r="DP450"/>
  <c r="DO450"/>
  <c r="DN450"/>
  <c r="DM450"/>
  <c r="DL450"/>
  <c r="DH450"/>
  <c r="DG450"/>
  <c r="DF450"/>
  <c r="DE450"/>
  <c r="EB448"/>
  <c r="EA448"/>
  <c r="DZ448"/>
  <c r="DY448"/>
  <c r="DX448"/>
  <c r="DQ448"/>
  <c r="DP448"/>
  <c r="DO448"/>
  <c r="DN448"/>
  <c r="DM448"/>
  <c r="DL448"/>
  <c r="DH448"/>
  <c r="DG448"/>
  <c r="DF448"/>
  <c r="DE448"/>
  <c r="FU155"/>
  <c r="FM48"/>
  <c r="FM32"/>
  <c r="L102" i="91"/>
  <c r="L103"/>
  <c r="FR142"/>
  <c r="FP147"/>
  <c r="DE195" i="92"/>
  <c r="DF195"/>
  <c r="DG195"/>
  <c r="DH195"/>
  <c r="DL195"/>
  <c r="DM195"/>
  <c r="DN195"/>
  <c r="DO195"/>
  <c r="DP195"/>
  <c r="DQ195"/>
  <c r="DX195"/>
  <c r="DY195"/>
  <c r="DZ195"/>
  <c r="EA195"/>
  <c r="EB195"/>
  <c r="DE197"/>
  <c r="DF197"/>
  <c r="DG197"/>
  <c r="DH197"/>
  <c r="DL197"/>
  <c r="DM197"/>
  <c r="DN197"/>
  <c r="DO197"/>
  <c r="DP197"/>
  <c r="DQ197"/>
  <c r="DX197"/>
  <c r="DY197"/>
  <c r="DZ197"/>
  <c r="EA197"/>
  <c r="EB197"/>
  <c r="DE199"/>
  <c r="DF199"/>
  <c r="DG199"/>
  <c r="DH199"/>
  <c r="DL199"/>
  <c r="DM199"/>
  <c r="DN199"/>
  <c r="DO199"/>
  <c r="DP199"/>
  <c r="DQ199"/>
  <c r="DX199"/>
  <c r="DY199"/>
  <c r="DZ199"/>
  <c r="EA199"/>
  <c r="EB199"/>
  <c r="DE201"/>
  <c r="DF201"/>
  <c r="DG201"/>
  <c r="DH201"/>
  <c r="DL201"/>
  <c r="DM201"/>
  <c r="DN201"/>
  <c r="DO201"/>
  <c r="DP201"/>
  <c r="DQ201"/>
  <c r="DX201"/>
  <c r="DY201"/>
  <c r="DZ201"/>
  <c r="EA201"/>
  <c r="EB201"/>
  <c r="DE203"/>
  <c r="DF203"/>
  <c r="DG203"/>
  <c r="DH203"/>
  <c r="DL203"/>
  <c r="DM203"/>
  <c r="DN203"/>
  <c r="DO203"/>
  <c r="DP203"/>
  <c r="DQ203"/>
  <c r="DX203"/>
  <c r="DY203"/>
  <c r="DZ203"/>
  <c r="EA203"/>
  <c r="EB203"/>
  <c r="DE205"/>
  <c r="DF205"/>
  <c r="DG205"/>
  <c r="DH205"/>
  <c r="DL205"/>
  <c r="DM205"/>
  <c r="DN205"/>
  <c r="DO205"/>
  <c r="DP205"/>
  <c r="DQ205"/>
  <c r="DX205"/>
  <c r="DY205"/>
  <c r="DZ205"/>
  <c r="EA205"/>
  <c r="EB205"/>
  <c r="FO134"/>
  <c r="FN134"/>
  <c r="FP134" s="1"/>
  <c r="D6"/>
  <c r="D5"/>
  <c r="FL9"/>
  <c r="FP309" i="90"/>
  <c r="FW306"/>
  <c r="FV306"/>
  <c r="FT313"/>
  <c r="FU306"/>
  <c r="FS313"/>
  <c r="FT306"/>
  <c r="FS306"/>
  <c r="FQ313" s="1"/>
  <c r="FR306"/>
  <c r="FR303"/>
  <c r="FQ303"/>
  <c r="FP303" s="1"/>
  <c r="CH303" s="1"/>
  <c r="FR297"/>
  <c r="FS297" s="1"/>
  <c r="FQ293"/>
  <c r="FR290"/>
  <c r="FP290"/>
  <c r="FQ287"/>
  <c r="CD281"/>
  <c r="GC405" i="86"/>
  <c r="GC404"/>
  <c r="GC403"/>
  <c r="GC402"/>
  <c r="GC401"/>
  <c r="GC397"/>
  <c r="GC396"/>
  <c r="GC395"/>
  <c r="GC394"/>
  <c r="GC393"/>
  <c r="D6" i="91"/>
  <c r="D5"/>
  <c r="FP9"/>
  <c r="FN317" i="86"/>
  <c r="FP9"/>
  <c r="FN174"/>
  <c r="FO174"/>
  <c r="AZ198"/>
  <c r="BO198"/>
  <c r="BL206"/>
  <c r="FN248"/>
  <c r="FR248"/>
  <c r="FS248"/>
  <c r="FT248"/>
  <c r="FU248"/>
  <c r="FV248"/>
  <c r="FW248"/>
  <c r="GA248"/>
  <c r="FN249"/>
  <c r="FR249"/>
  <c r="FS249"/>
  <c r="FT249"/>
  <c r="FU249"/>
  <c r="FV249"/>
  <c r="FW249"/>
  <c r="GA249"/>
  <c r="FN250"/>
  <c r="FR250"/>
  <c r="FS250"/>
  <c r="FT250"/>
  <c r="FU250"/>
  <c r="FV250"/>
  <c r="FW250"/>
  <c r="GA250"/>
  <c r="FP305"/>
  <c r="FQ305"/>
  <c r="FR305"/>
  <c r="FQ311"/>
  <c r="FW316"/>
  <c r="BZ564"/>
  <c r="CA564"/>
  <c r="CB564"/>
  <c r="BZ565"/>
  <c r="CA565"/>
  <c r="CB565"/>
  <c r="BZ566"/>
  <c r="CA566"/>
  <c r="CB566"/>
  <c r="BZ567"/>
  <c r="CA567"/>
  <c r="CB567"/>
  <c r="BZ568"/>
  <c r="CA568"/>
  <c r="CB568"/>
  <c r="BZ569"/>
  <c r="CA569"/>
  <c r="CB569"/>
  <c r="BZ570"/>
  <c r="CA570"/>
  <c r="CB570"/>
  <c r="BZ571"/>
  <c r="CA571"/>
  <c r="CB571"/>
  <c r="BZ572"/>
  <c r="CA572"/>
  <c r="CB572"/>
  <c r="BZ573"/>
  <c r="CA573"/>
  <c r="CB573"/>
  <c r="BZ574"/>
  <c r="CA574"/>
  <c r="CB574"/>
  <c r="BZ575"/>
  <c r="CA575"/>
  <c r="CB575"/>
  <c r="BZ576"/>
  <c r="CA576"/>
  <c r="CB576"/>
  <c r="BZ577"/>
  <c r="CA577"/>
  <c r="CB577"/>
  <c r="BZ578"/>
  <c r="CA578"/>
  <c r="CB578"/>
  <c r="BZ579"/>
  <c r="CA579"/>
  <c r="CB579"/>
  <c r="BZ580"/>
  <c r="CA580"/>
  <c r="CB580"/>
  <c r="BZ581"/>
  <c r="CA581"/>
  <c r="CB581"/>
  <c r="BZ582"/>
  <c r="CA582"/>
  <c r="CB582"/>
  <c r="BZ583"/>
  <c r="CA583"/>
  <c r="CB583"/>
  <c r="BZ584"/>
  <c r="CA584"/>
  <c r="CB584"/>
  <c r="BZ585"/>
  <c r="CA585"/>
  <c r="CB585"/>
  <c r="BZ586"/>
  <c r="CA586"/>
  <c r="CB586"/>
  <c r="BZ587"/>
  <c r="CA587"/>
  <c r="CB587"/>
  <c r="BZ588"/>
  <c r="CA588"/>
  <c r="CB588"/>
  <c r="BZ589"/>
  <c r="CA589"/>
  <c r="CB589"/>
  <c r="BZ590"/>
  <c r="CA590"/>
  <c r="CB590"/>
  <c r="BZ591"/>
  <c r="CA591"/>
  <c r="CB591"/>
  <c r="BZ592"/>
  <c r="CA592"/>
  <c r="CB592"/>
  <c r="BZ593"/>
  <c r="CA593"/>
  <c r="CB593"/>
  <c r="BZ594"/>
  <c r="CA594"/>
  <c r="CB594"/>
  <c r="BZ595"/>
  <c r="CA595"/>
  <c r="CB595"/>
  <c r="BZ596"/>
  <c r="CA596"/>
  <c r="CB596"/>
  <c r="BZ597"/>
  <c r="CA597"/>
  <c r="CB597"/>
  <c r="BZ598"/>
  <c r="CA598"/>
  <c r="CB598"/>
  <c r="BZ599"/>
  <c r="CA599"/>
  <c r="CB599"/>
  <c r="BZ600"/>
  <c r="CA600"/>
  <c r="CB600"/>
  <c r="BZ601"/>
  <c r="CA601"/>
  <c r="CB601"/>
  <c r="BZ602"/>
  <c r="CA602"/>
  <c r="CB602"/>
  <c r="BZ603"/>
  <c r="CA603"/>
  <c r="CB603"/>
  <c r="BZ604"/>
  <c r="CA604"/>
  <c r="CB604"/>
  <c r="BZ605"/>
  <c r="CA605"/>
  <c r="CB605"/>
  <c r="BZ606"/>
  <c r="CA606"/>
  <c r="CB606"/>
  <c r="BZ607"/>
  <c r="CA607"/>
  <c r="CB607"/>
  <c r="BZ608"/>
  <c r="CA608"/>
  <c r="CB608"/>
  <c r="BZ609"/>
  <c r="CA609"/>
  <c r="CB609"/>
  <c r="BZ610"/>
  <c r="CA610"/>
  <c r="CB610"/>
  <c r="BZ611"/>
  <c r="CA611"/>
  <c r="CB611"/>
  <c r="BZ612"/>
  <c r="CA612"/>
  <c r="CB612"/>
  <c r="BZ613"/>
  <c r="CA613"/>
  <c r="CB613"/>
  <c r="FN337" i="87"/>
  <c r="P6" i="2"/>
  <c r="P17"/>
  <c r="FO22" i="90"/>
  <c r="GA47"/>
  <c r="GD47"/>
  <c r="FP9"/>
  <c r="D6"/>
  <c r="D5"/>
  <c r="FO61" i="88"/>
  <c r="FN37"/>
  <c r="FO9"/>
  <c r="D6"/>
  <c r="D5"/>
  <c r="FO337" i="87"/>
  <c r="FK208"/>
  <c r="FW57"/>
  <c r="FV57"/>
  <c r="FW55"/>
  <c r="FV55"/>
  <c r="FP9"/>
  <c r="D6"/>
  <c r="D5"/>
  <c r="GF250" i="86"/>
  <c r="GE250"/>
  <c r="GD250"/>
  <c r="GC250"/>
  <c r="GB250"/>
  <c r="GF249"/>
  <c r="GE249"/>
  <c r="GD249"/>
  <c r="GC249"/>
  <c r="GB249"/>
  <c r="GF248"/>
  <c r="GE248"/>
  <c r="GD248"/>
  <c r="GC248"/>
  <c r="GB248"/>
  <c r="D6"/>
  <c r="D5"/>
  <c r="FN29" i="71"/>
  <c r="D6" i="80"/>
  <c r="EM5"/>
  <c r="D5"/>
  <c r="FJ9"/>
  <c r="FO9" i="71"/>
  <c r="D6"/>
  <c r="D5"/>
  <c r="FP308" i="90"/>
  <c r="FP306"/>
  <c r="FR287"/>
  <c r="FP287" s="1"/>
  <c r="CH287" s="1"/>
  <c r="FR313"/>
  <c r="FR134" i="92"/>
  <c r="FS134" s="1"/>
  <c r="FM1" i="88"/>
  <c r="EO3"/>
  <c r="EO3" i="87"/>
  <c r="EO3" i="86" l="1"/>
  <c r="A60" i="2"/>
  <c r="FN1" i="87"/>
  <c r="EO3" i="91"/>
  <c r="FO24" i="90"/>
  <c r="Z34" i="2" s="1"/>
  <c r="AA35" s="1"/>
  <c r="GH31" i="90" s="1"/>
  <c r="FN24"/>
  <c r="EO3" i="80"/>
  <c r="FN1" i="91"/>
  <c r="FN1" i="86"/>
  <c r="FJ1" i="92"/>
  <c r="FQ1" i="91"/>
  <c r="BG1" i="2"/>
  <c r="BG3" s="1"/>
  <c r="BC1"/>
  <c r="BC3" s="1"/>
  <c r="AY1"/>
  <c r="AY3" s="1"/>
  <c r="BH1"/>
  <c r="BH3" s="1"/>
  <c r="BD1"/>
  <c r="BD3" s="1"/>
  <c r="AZ1"/>
  <c r="AZ3" s="1"/>
  <c r="BI1"/>
  <c r="BI3" s="1"/>
  <c r="BE1"/>
  <c r="BE3" s="1"/>
  <c r="BA1"/>
  <c r="BA3" s="1"/>
  <c r="BF1"/>
  <c r="BF3" s="1"/>
  <c r="BB1"/>
  <c r="BB3" s="1"/>
  <c r="BJ1"/>
  <c r="BJ3" s="1"/>
  <c r="FP297" i="90"/>
  <c r="FQ297"/>
  <c r="CD297" s="1"/>
  <c r="EO3" i="92"/>
  <c r="FN1" i="90"/>
  <c r="FK1" i="80"/>
  <c r="FM3" s="1"/>
  <c r="FM1" i="92"/>
  <c r="A65" i="2"/>
  <c r="A64" s="1"/>
  <c r="A63" s="1"/>
  <c r="A62" s="1"/>
  <c r="A61" s="1"/>
  <c r="EO3" i="90"/>
  <c r="EO3" i="71"/>
  <c r="FK2" i="80"/>
  <c r="FH1"/>
  <c r="FL3"/>
  <c r="FM2"/>
  <c r="FQ134" i="92"/>
  <c r="Y27" i="2"/>
  <c r="Y28" s="1"/>
  <c r="Y29" s="1"/>
  <c r="AA36" l="1"/>
  <c r="GU33" i="90"/>
  <c r="AA34" i="2"/>
  <c r="GI40" i="90" s="1"/>
  <c r="GT40" s="1"/>
  <c r="FL4" i="80"/>
  <c r="EE326" i="92"/>
  <c r="ET368"/>
  <c r="ET364"/>
  <c r="EE334"/>
  <c r="E5" i="27"/>
  <c r="A1" i="2" s="1"/>
  <c r="FL1" i="80"/>
  <c r="FM1"/>
  <c r="GH32" i="90"/>
  <c r="GI34" s="1"/>
  <c r="GH40"/>
  <c r="GS41" s="1"/>
  <c r="GK35"/>
  <c r="GK36"/>
  <c r="FM4" i="80"/>
  <c r="FL2"/>
  <c r="GR32" i="90"/>
  <c r="GT39"/>
  <c r="GS39"/>
  <c r="FP1" i="87" l="1"/>
  <c r="S22" s="1"/>
  <c r="FO1" i="71"/>
  <c r="FP1" i="86"/>
  <c r="D21" s="1"/>
  <c r="FO1" i="88"/>
  <c r="D18" s="1"/>
  <c r="FP1" i="90"/>
  <c r="GV50" s="1"/>
  <c r="F62" i="27"/>
  <c r="GJ37" i="90"/>
  <c r="E27" i="27"/>
  <c r="E3"/>
  <c r="D3" i="87" s="1"/>
  <c r="D9" i="86"/>
  <c r="Y3" i="2"/>
  <c r="Y4" s="1"/>
  <c r="D1" i="88"/>
  <c r="E1" i="27"/>
  <c r="D1" i="86"/>
  <c r="E15" i="27"/>
  <c r="D1" i="87"/>
  <c r="D9" i="71"/>
  <c r="E23" i="27"/>
  <c r="FO1" i="90"/>
  <c r="FR261" s="1"/>
  <c r="FP257" s="1"/>
  <c r="GJ35"/>
  <c r="GJ36"/>
  <c r="GS33"/>
  <c r="GS34"/>
  <c r="GU35"/>
  <c r="FO1" i="87"/>
  <c r="FN365" s="1"/>
  <c r="E16" i="27"/>
  <c r="FJ1" i="80"/>
  <c r="FO1" i="91"/>
  <c r="FP3"/>
  <c r="D9" i="90"/>
  <c r="D9" i="87"/>
  <c r="D9" i="88"/>
  <c r="E2" i="27"/>
  <c r="FL1" i="92"/>
  <c r="D9"/>
  <c r="E22" i="27"/>
  <c r="E26"/>
  <c r="P5"/>
  <c r="FN1" i="71"/>
  <c r="FP89" s="1"/>
  <c r="E25" i="27"/>
  <c r="EE367" i="91"/>
  <c r="FP1"/>
  <c r="DD78" s="1"/>
  <c r="E10" i="27"/>
  <c r="T3"/>
  <c r="Y1" i="2" s="1"/>
  <c r="D1" i="91"/>
  <c r="D1" i="71"/>
  <c r="P3" i="27"/>
  <c r="E12"/>
  <c r="FK1" i="92"/>
  <c r="FN453" s="1"/>
  <c r="FO1" i="86"/>
  <c r="FR399" s="1"/>
  <c r="D9" i="80"/>
  <c r="D9" i="91"/>
  <c r="E24" i="27"/>
  <c r="E29"/>
  <c r="E20"/>
  <c r="E7"/>
  <c r="E18"/>
  <c r="D1" i="92"/>
  <c r="D1" i="80"/>
  <c r="FN1" i="88"/>
  <c r="FM24" s="1"/>
  <c r="D1" i="90"/>
  <c r="CQ478" i="92" l="1"/>
  <c r="CW473"/>
  <c r="CN469"/>
  <c r="CI468"/>
  <c r="CI471"/>
  <c r="CN468"/>
  <c r="CI467"/>
  <c r="CI466"/>
  <c r="CQ479"/>
  <c r="CQ477"/>
  <c r="CN466"/>
  <c r="CY478"/>
  <c r="CW474"/>
  <c r="FK478"/>
  <c r="CW475"/>
  <c r="CN471"/>
  <c r="CI470"/>
  <c r="CN467"/>
  <c r="CN470"/>
  <c r="CI469"/>
  <c r="B436"/>
  <c r="CH471"/>
  <c r="CH469"/>
  <c r="CH468"/>
  <c r="CH470"/>
  <c r="CH467"/>
  <c r="CH466"/>
  <c r="GK37" i="90"/>
  <c r="GL32" s="1"/>
  <c r="GL33" s="1"/>
  <c r="GL34" s="1"/>
  <c r="D25" i="71"/>
  <c r="D26"/>
  <c r="D24"/>
  <c r="D23"/>
  <c r="GB35"/>
  <c r="GB79" s="1"/>
  <c r="GC79" s="1"/>
  <c r="D16" i="92"/>
  <c r="D17"/>
  <c r="D21" i="88"/>
  <c r="D19"/>
  <c r="D20"/>
  <c r="D17"/>
  <c r="D80" i="80"/>
  <c r="D75"/>
  <c r="D71"/>
  <c r="D67"/>
  <c r="D63"/>
  <c r="D57"/>
  <c r="D53"/>
  <c r="D47"/>
  <c r="D58"/>
  <c r="D54"/>
  <c r="D84"/>
  <c r="D74"/>
  <c r="D66"/>
  <c r="D56"/>
  <c r="D81"/>
  <c r="D76"/>
  <c r="D72"/>
  <c r="D68"/>
  <c r="D64"/>
  <c r="D48"/>
  <c r="D61"/>
  <c r="D46"/>
  <c r="D82"/>
  <c r="D78"/>
  <c r="D73"/>
  <c r="D69"/>
  <c r="D65"/>
  <c r="D60"/>
  <c r="D55"/>
  <c r="D50"/>
  <c r="D79"/>
  <c r="D70"/>
  <c r="D51"/>
  <c r="AA1" i="2"/>
  <c r="FR176" i="92" s="1"/>
  <c r="FZ179" s="1"/>
  <c r="B134"/>
  <c r="D13"/>
  <c r="B174"/>
  <c r="B156"/>
  <c r="B207"/>
  <c r="B188"/>
  <c r="B259"/>
  <c r="B224"/>
  <c r="B310"/>
  <c r="B277"/>
  <c r="B371"/>
  <c r="B337"/>
  <c r="B417"/>
  <c r="B390"/>
  <c r="D80"/>
  <c r="DE333"/>
  <c r="D15" i="87"/>
  <c r="FM453" i="92"/>
  <c r="FP282" i="91"/>
  <c r="FT261" i="90"/>
  <c r="FP265" s="1"/>
  <c r="FU261"/>
  <c r="FP269" s="1"/>
  <c r="FS261"/>
  <c r="FP261" s="1"/>
  <c r="FP313"/>
  <c r="FM313" s="1"/>
  <c r="S20" i="87"/>
  <c r="D18"/>
  <c r="DT21"/>
  <c r="D13"/>
  <c r="FX190" i="91"/>
  <c r="FP134"/>
  <c r="FP121"/>
  <c r="FN367"/>
  <c r="D16" i="87"/>
  <c r="FP320" i="91"/>
  <c r="FO320" s="1"/>
  <c r="FQ190"/>
  <c r="FO55" i="71"/>
  <c r="FR190" i="91"/>
  <c r="FQ462"/>
  <c r="FN145" i="87"/>
  <c r="FQ109" i="71"/>
  <c r="DD387" i="92"/>
  <c r="FO67" i="71"/>
  <c r="FR109"/>
  <c r="P351" i="92"/>
  <c r="EB213"/>
  <c r="AG150"/>
  <c r="P363"/>
  <c r="FT190" i="91"/>
  <c r="FP316"/>
  <c r="FO316" s="1"/>
  <c r="FR89" i="71"/>
  <c r="FN166" i="87"/>
  <c r="P353" i="92"/>
  <c r="EB457"/>
  <c r="FS89" i="71"/>
  <c r="DE301" i="92"/>
  <c r="DE306"/>
  <c r="D30" i="80"/>
  <c r="EC298" i="92"/>
  <c r="EB453"/>
  <c r="DD221"/>
  <c r="EQ364"/>
  <c r="BY298"/>
  <c r="DB379"/>
  <c r="CU302"/>
  <c r="DK334"/>
  <c r="D225"/>
  <c r="EC303"/>
  <c r="DD170"/>
  <c r="CE297"/>
  <c r="DE298"/>
  <c r="D24"/>
  <c r="D439"/>
  <c r="EB151"/>
  <c r="D135"/>
  <c r="EK302"/>
  <c r="D396"/>
  <c r="DD103"/>
  <c r="EI307"/>
  <c r="DB85"/>
  <c r="I177"/>
  <c r="DB272"/>
  <c r="EB68"/>
  <c r="DE256"/>
  <c r="D262"/>
  <c r="CW303"/>
  <c r="DV177"/>
  <c r="AG148"/>
  <c r="DJ52"/>
  <c r="D28" i="80"/>
  <c r="DM296" i="92"/>
  <c r="D35" i="80"/>
  <c r="D39"/>
  <c r="CG307" i="92"/>
  <c r="DE431"/>
  <c r="D391"/>
  <c r="DD75"/>
  <c r="DU308"/>
  <c r="D161"/>
  <c r="DE244"/>
  <c r="CE307"/>
  <c r="D314"/>
  <c r="P364"/>
  <c r="DS302"/>
  <c r="D89"/>
  <c r="EB383"/>
  <c r="DB457"/>
  <c r="CU129"/>
  <c r="DE271"/>
  <c r="DD378"/>
  <c r="P365"/>
  <c r="D440"/>
  <c r="DD201"/>
  <c r="DD458"/>
  <c r="DC44"/>
  <c r="DK326"/>
  <c r="EK296"/>
  <c r="D261"/>
  <c r="D464"/>
  <c r="CN461"/>
  <c r="EK297"/>
  <c r="D317"/>
  <c r="B28"/>
  <c r="DB103"/>
  <c r="EC307"/>
  <c r="D19"/>
  <c r="D175"/>
  <c r="DE52"/>
  <c r="D16" i="80"/>
  <c r="D19"/>
  <c r="D13"/>
  <c r="DD203" i="92"/>
  <c r="EC297"/>
  <c r="CU128"/>
  <c r="DD404"/>
  <c r="DB169"/>
  <c r="D417"/>
  <c r="DD452"/>
  <c r="BY308"/>
  <c r="DD85"/>
  <c r="DE246"/>
  <c r="CO308"/>
  <c r="CB315"/>
  <c r="DD76"/>
  <c r="CO297"/>
  <c r="D174"/>
  <c r="EB217"/>
  <c r="D338"/>
  <c r="D29"/>
  <c r="D323"/>
  <c r="EQ368"/>
  <c r="DE44"/>
  <c r="DE302"/>
  <c r="EC301"/>
  <c r="D157"/>
  <c r="DD412"/>
  <c r="EA307"/>
  <c r="D320"/>
  <c r="DS297"/>
  <c r="N360"/>
  <c r="CB314"/>
  <c r="CG296"/>
  <c r="EB204"/>
  <c r="DD405"/>
  <c r="CW301"/>
  <c r="DE326"/>
  <c r="DD195"/>
  <c r="DE251"/>
  <c r="EB85"/>
  <c r="D322"/>
  <c r="BX147"/>
  <c r="D312"/>
  <c r="EK306"/>
  <c r="DD457"/>
  <c r="D38" i="80"/>
  <c r="D15"/>
  <c r="CG303" i="92"/>
  <c r="D395"/>
  <c r="BX151"/>
  <c r="D23"/>
  <c r="DE254"/>
  <c r="CU307"/>
  <c r="D263"/>
  <c r="D15"/>
  <c r="D313"/>
  <c r="D437"/>
  <c r="DD400"/>
  <c r="DD456"/>
  <c r="D192"/>
  <c r="DD218"/>
  <c r="DD214"/>
  <c r="D20"/>
  <c r="DD104"/>
  <c r="EA297"/>
  <c r="P359"/>
  <c r="CG308"/>
  <c r="D438"/>
  <c r="DB196"/>
  <c r="EK308"/>
  <c r="DK432"/>
  <c r="EB76"/>
  <c r="DB213"/>
  <c r="DE272"/>
  <c r="EI297"/>
  <c r="EC296"/>
  <c r="DD169"/>
  <c r="D390"/>
  <c r="CG301"/>
  <c r="DE325"/>
  <c r="DE33"/>
  <c r="DD450"/>
  <c r="EB412"/>
  <c r="DD399"/>
  <c r="DB217"/>
  <c r="P357"/>
  <c r="CG297"/>
  <c r="D310"/>
  <c r="EK298"/>
  <c r="D375"/>
  <c r="DB255"/>
  <c r="DE49"/>
  <c r="CG298"/>
  <c r="BF67"/>
  <c r="D112"/>
  <c r="D59"/>
  <c r="DD454"/>
  <c r="CJ147"/>
  <c r="DD386"/>
  <c r="DD388"/>
  <c r="DE41"/>
  <c r="D224"/>
  <c r="DE51"/>
  <c r="D372"/>
  <c r="EQ307"/>
  <c r="D91"/>
  <c r="DB400"/>
  <c r="D41" i="80"/>
  <c r="DE308" i="92"/>
  <c r="DD409"/>
  <c r="DK302"/>
  <c r="AG151"/>
  <c r="P367"/>
  <c r="P360"/>
  <c r="EB387"/>
  <c r="EB400"/>
  <c r="DE248"/>
  <c r="D172"/>
  <c r="BF68"/>
  <c r="DD197"/>
  <c r="BY306"/>
  <c r="D113"/>
  <c r="CE302"/>
  <c r="EQ302"/>
  <c r="EI302"/>
  <c r="DE335"/>
  <c r="DB449"/>
  <c r="D108"/>
  <c r="D210"/>
  <c r="DU307"/>
  <c r="DK247"/>
  <c r="D22"/>
  <c r="D209"/>
  <c r="CU297"/>
  <c r="DJ40"/>
  <c r="DE255"/>
  <c r="DE334"/>
  <c r="EB129"/>
  <c r="CK148"/>
  <c r="EB200"/>
  <c r="N352"/>
  <c r="D415"/>
  <c r="D134"/>
  <c r="D277"/>
  <c r="DS307"/>
  <c r="B89"/>
  <c r="CW296"/>
  <c r="DD382"/>
  <c r="DB247"/>
  <c r="DE331"/>
  <c r="DE247"/>
  <c r="BY307"/>
  <c r="DK255"/>
  <c r="D461"/>
  <c r="BY296"/>
  <c r="DC297"/>
  <c r="DM307"/>
  <c r="D74"/>
  <c r="CO298"/>
  <c r="EB449"/>
  <c r="D374"/>
  <c r="P361"/>
  <c r="EQ360"/>
  <c r="CV177"/>
  <c r="CI177"/>
  <c r="DJ48"/>
  <c r="AG146"/>
  <c r="DM303"/>
  <c r="DM297"/>
  <c r="DK272"/>
  <c r="CM302"/>
  <c r="D349"/>
  <c r="D318"/>
  <c r="CN460"/>
  <c r="D159"/>
  <c r="DD204"/>
  <c r="DB383"/>
  <c r="DD380"/>
  <c r="DD168"/>
  <c r="D160"/>
  <c r="B71"/>
  <c r="AF147"/>
  <c r="CG306"/>
  <c r="D278"/>
  <c r="DB387"/>
  <c r="D337"/>
  <c r="BI177"/>
  <c r="EB379"/>
  <c r="CW306"/>
  <c r="DJ36"/>
  <c r="DU303"/>
  <c r="DE242"/>
  <c r="DD77"/>
  <c r="D106"/>
  <c r="CW308"/>
  <c r="DK297"/>
  <c r="CK151"/>
  <c r="EK301"/>
  <c r="D311"/>
  <c r="D126"/>
  <c r="DD448"/>
  <c r="DD222"/>
  <c r="P356"/>
  <c r="BF121"/>
  <c r="DE250"/>
  <c r="CW298"/>
  <c r="DB408"/>
  <c r="D158"/>
  <c r="D101"/>
  <c r="DU306"/>
  <c r="DJ44"/>
  <c r="P355"/>
  <c r="DM308"/>
  <c r="P352"/>
  <c r="DB404"/>
  <c r="DC307"/>
  <c r="DK251"/>
  <c r="DB200"/>
  <c r="DB204"/>
  <c r="CO307"/>
  <c r="D281"/>
  <c r="DK330"/>
  <c r="DU296"/>
  <c r="D83"/>
  <c r="BD122"/>
  <c r="DE296"/>
  <c r="DE39"/>
  <c r="D21" i="80"/>
  <c r="D23"/>
  <c r="D24"/>
  <c r="D42"/>
  <c r="D34"/>
  <c r="EB196" i="92"/>
  <c r="D29" i="80"/>
  <c r="FP128" i="91"/>
  <c r="FV190"/>
  <c r="FW190"/>
  <c r="FP234"/>
  <c r="FP312"/>
  <c r="FO312" s="1"/>
  <c r="FO59" i="71"/>
  <c r="FQ89"/>
  <c r="FS109"/>
  <c r="FP21" i="87"/>
  <c r="FO21" s="1"/>
  <c r="FN323"/>
  <c r="S21"/>
  <c r="D17"/>
  <c r="D167" i="92"/>
  <c r="D441"/>
  <c r="D436"/>
  <c r="DD213"/>
  <c r="DE329"/>
  <c r="DC48"/>
  <c r="DB326"/>
  <c r="P369"/>
  <c r="DC52"/>
  <c r="DD199"/>
  <c r="EQ297"/>
  <c r="DC302"/>
  <c r="AV177"/>
  <c r="D111"/>
  <c r="D316"/>
  <c r="D208"/>
  <c r="D418"/>
  <c r="DE243"/>
  <c r="D90"/>
  <c r="DD102"/>
  <c r="DE47"/>
  <c r="D397"/>
  <c r="DE330"/>
  <c r="CW302"/>
  <c r="BW307"/>
  <c r="CN462"/>
  <c r="D56"/>
  <c r="DE31"/>
  <c r="CJ151"/>
  <c r="DE40"/>
  <c r="DM301"/>
  <c r="DE53"/>
  <c r="DE273"/>
  <c r="DD403"/>
  <c r="DE32"/>
  <c r="DB243"/>
  <c r="EC308"/>
  <c r="EC302"/>
  <c r="V177"/>
  <c r="DU297"/>
  <c r="DB76"/>
  <c r="DE327"/>
  <c r="DB461"/>
  <c r="D279"/>
  <c r="EB147"/>
  <c r="CK146"/>
  <c r="BF122"/>
  <c r="DD86"/>
  <c r="D132"/>
  <c r="EK303"/>
  <c r="D193"/>
  <c r="DD196"/>
  <c r="CW317"/>
  <c r="DB334"/>
  <c r="AG147"/>
  <c r="DE252"/>
  <c r="DE303"/>
  <c r="B56"/>
  <c r="EQ352"/>
  <c r="D31" i="80"/>
  <c r="D43"/>
  <c r="D14"/>
  <c r="D27"/>
  <c r="D33"/>
  <c r="D36"/>
  <c r="EB404" i="92"/>
  <c r="BY302"/>
  <c r="DU302"/>
  <c r="CW307"/>
  <c r="D275"/>
  <c r="D319"/>
  <c r="EK307"/>
  <c r="CM297"/>
  <c r="DD401"/>
  <c r="DB330"/>
  <c r="DC36"/>
  <c r="DB221"/>
  <c r="DD200"/>
  <c r="CO302"/>
  <c r="DE432"/>
  <c r="DD408"/>
  <c r="DD84"/>
  <c r="EB122"/>
  <c r="CK152"/>
  <c r="DE297"/>
  <c r="CO301"/>
  <c r="DE36"/>
  <c r="DD384"/>
  <c r="BF69"/>
  <c r="DB251"/>
  <c r="EB169"/>
  <c r="DM306"/>
  <c r="EB408"/>
  <c r="D321"/>
  <c r="DE48"/>
  <c r="DB412"/>
  <c r="N356"/>
  <c r="BD68"/>
  <c r="CU130"/>
  <c r="DJ32"/>
  <c r="AF151"/>
  <c r="H300"/>
  <c r="DE43"/>
  <c r="DE433"/>
  <c r="CM307"/>
  <c r="BY301"/>
  <c r="EQ356"/>
  <c r="CO296"/>
  <c r="DE35"/>
  <c r="P368"/>
  <c r="D226"/>
  <c r="AI178"/>
  <c r="EC306"/>
  <c r="D110"/>
  <c r="D260"/>
  <c r="B125"/>
  <c r="DD413"/>
  <c r="DD205"/>
  <c r="EB103"/>
  <c r="DM302"/>
  <c r="DM298"/>
  <c r="DK243"/>
  <c r="D109"/>
  <c r="B80"/>
  <c r="EA302"/>
  <c r="BF123"/>
  <c r="D162"/>
  <c r="D442"/>
  <c r="BW297"/>
  <c r="DI178"/>
  <c r="DD220"/>
  <c r="D58"/>
  <c r="DE307"/>
  <c r="DE37"/>
  <c r="DB432"/>
  <c r="DD383"/>
  <c r="D443"/>
  <c r="DD411"/>
  <c r="D376"/>
  <c r="D26"/>
  <c r="DD449"/>
  <c r="D392"/>
  <c r="D57"/>
  <c r="DD212"/>
  <c r="DD217"/>
  <c r="DU301"/>
  <c r="DC40"/>
  <c r="CB313"/>
  <c r="DK307"/>
  <c r="CO303"/>
  <c r="B108"/>
  <c r="D28"/>
  <c r="DD216"/>
  <c r="D21"/>
  <c r="DU298"/>
  <c r="DD407"/>
  <c r="D92"/>
  <c r="AG152"/>
  <c r="CK150"/>
  <c r="DC32"/>
  <c r="BY303"/>
  <c r="DE45"/>
  <c r="N368"/>
  <c r="CO306"/>
  <c r="DD379"/>
  <c r="D315"/>
  <c r="CW297"/>
  <c r="BY297"/>
  <c r="CK147"/>
  <c r="CS129"/>
  <c r="DB453"/>
  <c r="CG302"/>
  <c r="D156"/>
  <c r="N364"/>
  <c r="D259"/>
  <c r="EB221"/>
  <c r="BV178"/>
  <c r="DD453"/>
  <c r="D37" i="80"/>
  <c r="D17"/>
  <c r="D26"/>
  <c r="D44"/>
  <c r="D20"/>
  <c r="D22"/>
  <c r="D32"/>
  <c r="FP169" i="91"/>
  <c r="FS190"/>
  <c r="FU190"/>
  <c r="FO63" i="71"/>
  <c r="FP109"/>
  <c r="FN251" i="87"/>
  <c r="DW29" i="71"/>
  <c r="FM61" i="88"/>
  <c r="Q29" i="71"/>
  <c r="GP52"/>
  <c r="DY28"/>
  <c r="GP39"/>
  <c r="GO50"/>
  <c r="GO81"/>
  <c r="GO37"/>
  <c r="GP80"/>
  <c r="GO68"/>
  <c r="GP82"/>
  <c r="GP66"/>
  <c r="GO35"/>
  <c r="GP65"/>
  <c r="GL60"/>
  <c r="GL56" s="1"/>
  <c r="DY29"/>
  <c r="FU403" i="86"/>
  <c r="GO39" i="71"/>
  <c r="GP67"/>
  <c r="GD81"/>
  <c r="GO66"/>
  <c r="FM48"/>
  <c r="BB62" s="1"/>
  <c r="GP50"/>
  <c r="GP51"/>
  <c r="GT60"/>
  <c r="GT50" s="1"/>
  <c r="GO52"/>
  <c r="GO51"/>
  <c r="GP79"/>
  <c r="GO79"/>
  <c r="GK45"/>
  <c r="GK37" s="1"/>
  <c r="GD68"/>
  <c r="FT403" i="86"/>
  <c r="CG58" i="91"/>
  <c r="GU86" i="88"/>
  <c r="GW74"/>
  <c r="GW59" s="1"/>
  <c r="GU53"/>
  <c r="GU59"/>
  <c r="GU87"/>
  <c r="GU82"/>
  <c r="GU73"/>
  <c r="GU95"/>
  <c r="GU101"/>
  <c r="FN24"/>
  <c r="EW24" s="1"/>
  <c r="GU44"/>
  <c r="GU50"/>
  <c r="GU93"/>
  <c r="GU81"/>
  <c r="GU72"/>
  <c r="GV74"/>
  <c r="GV71" s="1"/>
  <c r="D16"/>
  <c r="GU70"/>
  <c r="GU45"/>
  <c r="GV102"/>
  <c r="GV100" s="1"/>
  <c r="GV88"/>
  <c r="GV87" s="1"/>
  <c r="GU74"/>
  <c r="FM67"/>
  <c r="GU47"/>
  <c r="GU97"/>
  <c r="GU79"/>
  <c r="GU85"/>
  <c r="GU61"/>
  <c r="GU63"/>
  <c r="GU71"/>
  <c r="GU84"/>
  <c r="GB43"/>
  <c r="GB92" s="1"/>
  <c r="GC92" s="1"/>
  <c r="GU60"/>
  <c r="GU49"/>
  <c r="GU52"/>
  <c r="GU83"/>
  <c r="GW102"/>
  <c r="GW99" s="1"/>
  <c r="GU43"/>
  <c r="GU51"/>
  <c r="GU102"/>
  <c r="GU78"/>
  <c r="GU96"/>
  <c r="D13"/>
  <c r="AF72" i="91"/>
  <c r="FR403" i="86"/>
  <c r="AF49" i="91"/>
  <c r="GO54" i="71"/>
  <c r="D17"/>
  <c r="GO36"/>
  <c r="GL45"/>
  <c r="GL40" s="1"/>
  <c r="Q30"/>
  <c r="GD65"/>
  <c r="D21"/>
  <c r="GL75"/>
  <c r="GL74" s="1"/>
  <c r="GJ75"/>
  <c r="GJ71" s="1"/>
  <c r="GK60"/>
  <c r="GK52" s="1"/>
  <c r="GP38"/>
  <c r="GD82"/>
  <c r="GT89"/>
  <c r="GT80" s="1"/>
  <c r="GD83"/>
  <c r="GK89"/>
  <c r="GK79" s="1"/>
  <c r="FS399" i="86"/>
  <c r="CZ76" i="91"/>
  <c r="GO65" i="71"/>
  <c r="GP37"/>
  <c r="GO64"/>
  <c r="GD54"/>
  <c r="GU80" i="88"/>
  <c r="GU100"/>
  <c r="GD50" i="71"/>
  <c r="GO38"/>
  <c r="D22"/>
  <c r="D18"/>
  <c r="GP35"/>
  <c r="H25" i="88"/>
  <c r="GU62"/>
  <c r="GU94"/>
  <c r="GW88"/>
  <c r="GW84" s="1"/>
  <c r="GU48"/>
  <c r="H24"/>
  <c r="Q28" i="71"/>
  <c r="GD64"/>
  <c r="GT75"/>
  <c r="GT71" s="1"/>
  <c r="GD52"/>
  <c r="GO53"/>
  <c r="GD79"/>
  <c r="GO82"/>
  <c r="GO80"/>
  <c r="DY30"/>
  <c r="GD51"/>
  <c r="O29"/>
  <c r="EU24" i="88"/>
  <c r="D15"/>
  <c r="GU98"/>
  <c r="H23"/>
  <c r="GU92"/>
  <c r="GU46"/>
  <c r="GU88"/>
  <c r="GU58"/>
  <c r="GU99"/>
  <c r="FT399" i="86"/>
  <c r="FS403"/>
  <c r="GO67" i="71"/>
  <c r="D13"/>
  <c r="FN31"/>
  <c r="GP22" s="1"/>
  <c r="CF57" i="91"/>
  <c r="BY54"/>
  <c r="AF45"/>
  <c r="CD56"/>
  <c r="AY41"/>
  <c r="DE76"/>
  <c r="DT76"/>
  <c r="D3" i="88"/>
  <c r="D21" i="91"/>
  <c r="AP76"/>
  <c r="GP81" i="71"/>
  <c r="GT45"/>
  <c r="GT41" s="1"/>
  <c r="GP64"/>
  <c r="GJ45"/>
  <c r="GJ36" s="1"/>
  <c r="BE76" i="91"/>
  <c r="GP83" i="71"/>
  <c r="D16"/>
  <c r="D19"/>
  <c r="FM31"/>
  <c r="D15"/>
  <c r="GL89"/>
  <c r="GL80" s="1"/>
  <c r="GP53"/>
  <c r="GD53"/>
  <c r="GJ89"/>
  <c r="GJ87" s="1"/>
  <c r="GP36"/>
  <c r="GD66"/>
  <c r="GD67"/>
  <c r="BB42" i="91"/>
  <c r="EF29" i="71"/>
  <c r="GO83"/>
  <c r="GP68"/>
  <c r="GJ60"/>
  <c r="GJ56" s="1"/>
  <c r="GD80"/>
  <c r="AF74" i="91"/>
  <c r="GK75" i="71"/>
  <c r="GK65" s="1"/>
  <c r="FU399" i="86"/>
  <c r="BO76" i="91"/>
  <c r="AO36"/>
  <c r="BV76"/>
  <c r="CS64"/>
  <c r="AH32"/>
  <c r="CL76"/>
  <c r="CY67"/>
  <c r="CM61"/>
  <c r="GC53" i="90"/>
  <c r="HH4" s="1"/>
  <c r="D3" i="80"/>
  <c r="AF73" i="91"/>
  <c r="BZ76"/>
  <c r="AF76"/>
  <c r="BO49"/>
  <c r="CX76"/>
  <c r="D18"/>
  <c r="D16" i="90"/>
  <c r="GC32"/>
  <c r="GE32" s="1"/>
  <c r="FO302" i="92"/>
  <c r="FL432" s="1"/>
  <c r="FQ302"/>
  <c r="AI76" i="91"/>
  <c r="AZ76"/>
  <c r="CH58"/>
  <c r="AX40"/>
  <c r="DM74"/>
  <c r="D16"/>
  <c r="CL60"/>
  <c r="DK73"/>
  <c r="DP75"/>
  <c r="CE76"/>
  <c r="BC76"/>
  <c r="DN76"/>
  <c r="BZ54"/>
  <c r="AF57"/>
  <c r="DJ72"/>
  <c r="CA76"/>
  <c r="BJ46"/>
  <c r="Q23" i="90"/>
  <c r="GC57"/>
  <c r="GB57" s="1"/>
  <c r="BN76" i="91"/>
  <c r="CI59"/>
  <c r="FO147" i="92"/>
  <c r="FM143" s="1"/>
  <c r="DO76" i="91"/>
  <c r="BG76"/>
  <c r="CC76"/>
  <c r="AF47"/>
  <c r="AF65"/>
  <c r="AF63"/>
  <c r="BL76"/>
  <c r="DQ76"/>
  <c r="AF75"/>
  <c r="CJ59"/>
  <c r="BJ76"/>
  <c r="GC35" i="90"/>
  <c r="GN50" s="1"/>
  <c r="AF54" i="91"/>
  <c r="Q22" i="90"/>
  <c r="GC34"/>
  <c r="GD34" s="1"/>
  <c r="D18"/>
  <c r="GC51"/>
  <c r="DR76" i="91"/>
  <c r="D3" i="86"/>
  <c r="FS356" i="92"/>
  <c r="FM368" s="1"/>
  <c r="FP247"/>
  <c r="FN243" s="1"/>
  <c r="FP356"/>
  <c r="FM356" s="1"/>
  <c r="D13" i="86"/>
  <c r="AB31"/>
  <c r="AK76" i="91"/>
  <c r="CX66"/>
  <c r="CG76"/>
  <c r="CZ67"/>
  <c r="BS76"/>
  <c r="AF55"/>
  <c r="CH76"/>
  <c r="AP36"/>
  <c r="CM76"/>
  <c r="BK47"/>
  <c r="AF37"/>
  <c r="DE70"/>
  <c r="BY76"/>
  <c r="DK76"/>
  <c r="AW40"/>
  <c r="BK76"/>
  <c r="BD43"/>
  <c r="AN35"/>
  <c r="BB28"/>
  <c r="BI76"/>
  <c r="CO76"/>
  <c r="CN61"/>
  <c r="AQ37"/>
  <c r="DD76"/>
  <c r="CE57"/>
  <c r="AF58"/>
  <c r="AF53"/>
  <c r="CU65"/>
  <c r="DI76"/>
  <c r="GV55" i="90"/>
  <c r="GZ57"/>
  <c r="GV56"/>
  <c r="GC37"/>
  <c r="HE4" s="1"/>
  <c r="GV52"/>
  <c r="FN28" i="91"/>
  <c r="AQ56" s="1"/>
  <c r="D3" i="71"/>
  <c r="D28" i="86"/>
  <c r="FP147" i="92"/>
  <c r="FM147" s="1"/>
  <c r="FR247"/>
  <c r="FN251" s="1"/>
  <c r="FS302"/>
  <c r="D15" i="86"/>
  <c r="D24"/>
  <c r="AH76" i="91"/>
  <c r="AT38"/>
  <c r="CS76"/>
  <c r="AQ76"/>
  <c r="BG45"/>
  <c r="DG71"/>
  <c r="AF35"/>
  <c r="DL73"/>
  <c r="CW76"/>
  <c r="AF43"/>
  <c r="BW53"/>
  <c r="CV65"/>
  <c r="AF59"/>
  <c r="AF36"/>
  <c r="AZ41"/>
  <c r="AY76"/>
  <c r="AV39"/>
  <c r="AR76"/>
  <c r="CR63"/>
  <c r="AF38"/>
  <c r="CI76"/>
  <c r="D24"/>
  <c r="BD39"/>
  <c r="DH71"/>
  <c r="BV52"/>
  <c r="BF76"/>
  <c r="AF60"/>
  <c r="BB76"/>
  <c r="CQ63"/>
  <c r="GV51" i="90"/>
  <c r="GX57"/>
  <c r="GX54" s="1"/>
  <c r="GC52"/>
  <c r="GC42"/>
  <c r="FQ95" s="1"/>
  <c r="FR95" s="1"/>
  <c r="FT95" s="1"/>
  <c r="CC22"/>
  <c r="GV57"/>
  <c r="BH28" i="91"/>
  <c r="CP76"/>
  <c r="BB31" i="86"/>
  <c r="D29"/>
  <c r="FL29" i="92"/>
  <c r="FM52" s="1"/>
  <c r="FS247"/>
  <c r="FN255" s="1"/>
  <c r="FU302"/>
  <c r="FO356"/>
  <c r="FM352" s="1"/>
  <c r="GP54" i="71"/>
  <c r="CC29"/>
  <c r="D17" i="86"/>
  <c r="AO32"/>
  <c r="D23"/>
  <c r="D20"/>
  <c r="DM76" i="91"/>
  <c r="CY76"/>
  <c r="AU76"/>
  <c r="D17"/>
  <c r="CD76"/>
  <c r="BD76"/>
  <c r="AG76"/>
  <c r="BT76"/>
  <c r="AF68"/>
  <c r="DA68"/>
  <c r="CU76"/>
  <c r="AF44"/>
  <c r="AF64"/>
  <c r="D25"/>
  <c r="AG32"/>
  <c r="AF48"/>
  <c r="BQ50"/>
  <c r="AF51"/>
  <c r="DF76"/>
  <c r="AO76"/>
  <c r="CP62"/>
  <c r="D13"/>
  <c r="BP49"/>
  <c r="DF70"/>
  <c r="DU76"/>
  <c r="DD69"/>
  <c r="DP76"/>
  <c r="AX76"/>
  <c r="AL34"/>
  <c r="AF41"/>
  <c r="AF70"/>
  <c r="BS51"/>
  <c r="BB29"/>
  <c r="DC76"/>
  <c r="AW76"/>
  <c r="DO75"/>
  <c r="CW66"/>
  <c r="CC56"/>
  <c r="D23"/>
  <c r="DS76"/>
  <c r="AF52"/>
  <c r="CO62"/>
  <c r="BB27"/>
  <c r="BM76"/>
  <c r="BQ76"/>
  <c r="BX53"/>
  <c r="AM76"/>
  <c r="AF34"/>
  <c r="CQ76"/>
  <c r="CJ76"/>
  <c r="DC69"/>
  <c r="AF56"/>
  <c r="AR37"/>
  <c r="CK76"/>
  <c r="AL76"/>
  <c r="AF61"/>
  <c r="AF67"/>
  <c r="AJ76"/>
  <c r="CA55"/>
  <c r="FO29" i="90"/>
  <c r="AF31" i="91"/>
  <c r="FP24" i="90"/>
  <c r="GC47" s="1"/>
  <c r="GV54"/>
  <c r="D17"/>
  <c r="D13"/>
  <c r="GC56"/>
  <c r="BH76" i="91"/>
  <c r="GC48" i="90"/>
  <c r="GC40"/>
  <c r="GN55" s="1"/>
  <c r="GC36"/>
  <c r="GN51" s="1"/>
  <c r="GC55"/>
  <c r="D15"/>
  <c r="Q21"/>
  <c r="GC54"/>
  <c r="GV47"/>
  <c r="CB76" i="91"/>
  <c r="D3" i="90"/>
  <c r="O31" i="86"/>
  <c r="O33"/>
  <c r="D16"/>
  <c r="D18"/>
  <c r="FM122" i="92"/>
  <c r="FL122" s="1"/>
  <c r="FQ147"/>
  <c r="FM151" s="1"/>
  <c r="FM272"/>
  <c r="FL272" s="1"/>
  <c r="FV302"/>
  <c r="FT302"/>
  <c r="FQ356"/>
  <c r="FM360" s="1"/>
  <c r="BR76" i="91"/>
  <c r="BU76"/>
  <c r="BT51"/>
  <c r="BH45"/>
  <c r="D22"/>
  <c r="CN76"/>
  <c r="AF33"/>
  <c r="BW76"/>
  <c r="CB55"/>
  <c r="X31"/>
  <c r="BP76"/>
  <c r="AF71"/>
  <c r="AS38"/>
  <c r="CK60"/>
  <c r="BN48"/>
  <c r="CT64"/>
  <c r="DB68"/>
  <c r="BU52"/>
  <c r="AM35"/>
  <c r="AN76"/>
  <c r="BA42"/>
  <c r="BL47"/>
  <c r="DL76"/>
  <c r="BA76"/>
  <c r="AF40"/>
  <c r="AF62"/>
  <c r="BX76"/>
  <c r="BR50"/>
  <c r="AI33"/>
  <c r="D19"/>
  <c r="AV76"/>
  <c r="DJ76"/>
  <c r="AJ33"/>
  <c r="AU39"/>
  <c r="AF69"/>
  <c r="CF76"/>
  <c r="CR76"/>
  <c r="AF50"/>
  <c r="DH76"/>
  <c r="DB76"/>
  <c r="D20"/>
  <c r="AF46"/>
  <c r="DI72"/>
  <c r="AK34"/>
  <c r="FO28"/>
  <c r="DA76"/>
  <c r="D15"/>
  <c r="AS76"/>
  <c r="CV76"/>
  <c r="AF42"/>
  <c r="AF30"/>
  <c r="BI46"/>
  <c r="DN74"/>
  <c r="BC43"/>
  <c r="AF32"/>
  <c r="AF66"/>
  <c r="CT76"/>
  <c r="AF39"/>
  <c r="GV49" i="90"/>
  <c r="GW57"/>
  <c r="GW50" s="1"/>
  <c r="GC41"/>
  <c r="AT76" i="91"/>
  <c r="GC50" i="90"/>
  <c r="GC38"/>
  <c r="FQ83" s="1"/>
  <c r="FR83" s="1"/>
  <c r="FT83" s="1"/>
  <c r="D19"/>
  <c r="O22"/>
  <c r="GZ47"/>
  <c r="GV53"/>
  <c r="DG76" i="91"/>
  <c r="GC49" i="90"/>
  <c r="GC39"/>
  <c r="FQ86" s="1"/>
  <c r="FR86" s="1"/>
  <c r="FT86" s="1"/>
  <c r="GC33"/>
  <c r="FQ68" s="1"/>
  <c r="FR68" s="1"/>
  <c r="FT68" s="1"/>
  <c r="GV48"/>
  <c r="FQ66"/>
  <c r="FR66" s="1"/>
  <c r="D3" i="92"/>
  <c r="D22" i="86"/>
  <c r="D19"/>
  <c r="BB33"/>
  <c r="D26"/>
  <c r="D3" i="91"/>
  <c r="FM68" i="92"/>
  <c r="FL68" s="1"/>
  <c r="FN147"/>
  <c r="FM142" s="1"/>
  <c r="FQ247"/>
  <c r="FN247" s="1"/>
  <c r="FR302"/>
  <c r="FM330" s="1"/>
  <c r="FP302"/>
  <c r="FM334" s="1"/>
  <c r="FR356"/>
  <c r="FM364" s="1"/>
  <c r="GL35" i="90" l="1"/>
  <c r="GL37" s="1"/>
  <c r="GJ33" s="1"/>
  <c r="GK33" s="1"/>
  <c r="GB50" i="71"/>
  <c r="HA35" s="1"/>
  <c r="HJ35" s="1"/>
  <c r="GB64"/>
  <c r="EE272" i="92"/>
  <c r="EE122"/>
  <c r="EE432"/>
  <c r="EE68"/>
  <c r="AA10" i="2"/>
  <c r="FZ181" i="92"/>
  <c r="AA2" i="2"/>
  <c r="FR371" i="92" s="1"/>
  <c r="FV371" s="1"/>
  <c r="FU371" s="1"/>
  <c r="FR188"/>
  <c r="D189" s="1"/>
  <c r="AA18" i="2"/>
  <c r="AA7"/>
  <c r="AA4"/>
  <c r="FQ93" i="91"/>
  <c r="FM108" s="1"/>
  <c r="AA12" i="2"/>
  <c r="FR93" i="91" s="1"/>
  <c r="AA16" i="2"/>
  <c r="FU176" i="92"/>
  <c r="AA17" i="2"/>
  <c r="FQ27" i="87" s="1"/>
  <c r="FT27" s="1"/>
  <c r="GD168" s="1"/>
  <c r="GG172" s="1"/>
  <c r="AA8" i="2"/>
  <c r="FX188" i="92" s="1"/>
  <c r="D191" s="1"/>
  <c r="AA15" i="2"/>
  <c r="AA5"/>
  <c r="FQ446" i="92" s="1"/>
  <c r="CM445" s="1"/>
  <c r="AA6" i="2"/>
  <c r="FZ184" i="92"/>
  <c r="AA13" i="2"/>
  <c r="AA11"/>
  <c r="AA14"/>
  <c r="FR95" i="91" s="1"/>
  <c r="AA19" i="2"/>
  <c r="AA9"/>
  <c r="FR27" i="87" s="1"/>
  <c r="AA20" i="2"/>
  <c r="FP95" i="91" s="1"/>
  <c r="AA3" i="2"/>
  <c r="FQ95" i="91" s="1"/>
  <c r="BB109"/>
  <c r="FP330" i="90"/>
  <c r="FP319"/>
  <c r="D61"/>
  <c r="D62"/>
  <c r="D60"/>
  <c r="D56"/>
  <c r="D25" i="87"/>
  <c r="D24"/>
  <c r="BS33"/>
  <c r="BC34"/>
  <c r="BC32"/>
  <c r="BA33"/>
  <c r="DU21"/>
  <c r="GV83" i="88"/>
  <c r="GV60"/>
  <c r="GJ66" i="71"/>
  <c r="BC33" i="87"/>
  <c r="D30"/>
  <c r="GJ43" i="71"/>
  <c r="GT83"/>
  <c r="GK71"/>
  <c r="GV80" i="88"/>
  <c r="GK64" i="71"/>
  <c r="GJ65"/>
  <c r="GJ68"/>
  <c r="GV72" i="88"/>
  <c r="GL55" i="71"/>
  <c r="GL50"/>
  <c r="GL51"/>
  <c r="GL54"/>
  <c r="GL57"/>
  <c r="GL52"/>
  <c r="GV99" i="88"/>
  <c r="GL59" i="71"/>
  <c r="GL58"/>
  <c r="GL53"/>
  <c r="GJ74"/>
  <c r="GT81"/>
  <c r="GW95" i="88"/>
  <c r="GV84"/>
  <c r="D50" i="71"/>
  <c r="BB58"/>
  <c r="FN63"/>
  <c r="CG63" s="1"/>
  <c r="FN59"/>
  <c r="CG59" s="1"/>
  <c r="CE59"/>
  <c r="BB67"/>
  <c r="D52"/>
  <c r="FN67"/>
  <c r="CG67" s="1"/>
  <c r="GK36"/>
  <c r="BB55"/>
  <c r="BB56"/>
  <c r="BB54"/>
  <c r="GK44"/>
  <c r="GT51"/>
  <c r="J63"/>
  <c r="CE55"/>
  <c r="GK38"/>
  <c r="GK40"/>
  <c r="GK42"/>
  <c r="CE63"/>
  <c r="FN55"/>
  <c r="CG55" s="1"/>
  <c r="BB68"/>
  <c r="D51"/>
  <c r="J55"/>
  <c r="J67"/>
  <c r="BB66"/>
  <c r="D49"/>
  <c r="GT55"/>
  <c r="Q36" i="88"/>
  <c r="BB60" i="71"/>
  <c r="BB64"/>
  <c r="BB63"/>
  <c r="J59"/>
  <c r="CE67"/>
  <c r="BB59"/>
  <c r="GK35"/>
  <c r="GK39"/>
  <c r="GT56"/>
  <c r="GT54"/>
  <c r="GK43"/>
  <c r="GK41"/>
  <c r="GT53"/>
  <c r="GT59"/>
  <c r="GL68"/>
  <c r="GK81"/>
  <c r="GW98" i="88"/>
  <c r="GK82" i="71"/>
  <c r="GV98" i="88"/>
  <c r="GV94"/>
  <c r="GT82" i="71"/>
  <c r="GT86"/>
  <c r="GW58" i="88"/>
  <c r="GK74" i="71"/>
  <c r="GB78" i="88"/>
  <c r="GK84" i="71"/>
  <c r="GT79"/>
  <c r="GJ70"/>
  <c r="HH57" i="90"/>
  <c r="HH47" s="1"/>
  <c r="GW62" i="88"/>
  <c r="GV62"/>
  <c r="GK73" i="71"/>
  <c r="GT57"/>
  <c r="GT58"/>
  <c r="GT52"/>
  <c r="GK68"/>
  <c r="GV78" i="88"/>
  <c r="GV82"/>
  <c r="GV79"/>
  <c r="DW37"/>
  <c r="EF37"/>
  <c r="GL81" i="71"/>
  <c r="D33" i="88"/>
  <c r="GT64" i="71"/>
  <c r="O37" i="88"/>
  <c r="GL66" i="71"/>
  <c r="GW94" i="88"/>
  <c r="FM56"/>
  <c r="D57" s="1"/>
  <c r="GL71" i="71"/>
  <c r="GJ41"/>
  <c r="GL36"/>
  <c r="GJ40"/>
  <c r="GW70" i="88"/>
  <c r="GW61"/>
  <c r="GK85" i="71"/>
  <c r="GW100" i="88"/>
  <c r="GV101"/>
  <c r="GJ39" i="71"/>
  <c r="GL37"/>
  <c r="GL65"/>
  <c r="GL38"/>
  <c r="Z28" i="2"/>
  <c r="AA28" s="1"/>
  <c r="GD32" i="71" s="1"/>
  <c r="GT84"/>
  <c r="GK87"/>
  <c r="GK88"/>
  <c r="GN47" i="90"/>
  <c r="GJ73" i="71"/>
  <c r="GK67"/>
  <c r="GJ38"/>
  <c r="GJ69"/>
  <c r="GW60" i="88"/>
  <c r="GW63"/>
  <c r="GV73"/>
  <c r="GV61"/>
  <c r="GK70" i="71"/>
  <c r="GK66"/>
  <c r="GK69"/>
  <c r="GL64"/>
  <c r="GB35" i="90"/>
  <c r="GV93" i="88"/>
  <c r="GV85"/>
  <c r="GL67" i="71"/>
  <c r="GV81" i="88"/>
  <c r="GV86"/>
  <c r="GL43" i="71"/>
  <c r="GL42"/>
  <c r="GL69"/>
  <c r="GL35"/>
  <c r="GL41"/>
  <c r="GT87"/>
  <c r="GK83"/>
  <c r="GT85"/>
  <c r="GJ44"/>
  <c r="GJ67"/>
  <c r="GJ64"/>
  <c r="GV63" i="88"/>
  <c r="GW71"/>
  <c r="GV59"/>
  <c r="GV58"/>
  <c r="GV70"/>
  <c r="GT88" i="71"/>
  <c r="GW93" i="88"/>
  <c r="GV97"/>
  <c r="GV95"/>
  <c r="GB58"/>
  <c r="GC58" s="1"/>
  <c r="GV92"/>
  <c r="GW97"/>
  <c r="GV96"/>
  <c r="GT66" i="71"/>
  <c r="GT44"/>
  <c r="Q38" i="88"/>
  <c r="CC37"/>
  <c r="GT74" i="71"/>
  <c r="GT73"/>
  <c r="D30" i="88"/>
  <c r="DY36"/>
  <c r="D29"/>
  <c r="DY38"/>
  <c r="GW78"/>
  <c r="GK59" i="71"/>
  <c r="DY37" i="88"/>
  <c r="D32"/>
  <c r="GK58" i="71"/>
  <c r="GT69"/>
  <c r="Q37" i="88"/>
  <c r="GL44" i="71"/>
  <c r="D34" i="88"/>
  <c r="FN39"/>
  <c r="Z31" i="2" s="1"/>
  <c r="AA31" s="1"/>
  <c r="GD40" i="88" s="1"/>
  <c r="GT68" i="71"/>
  <c r="GL73"/>
  <c r="GJ35"/>
  <c r="D27" i="88"/>
  <c r="GL39" i="71"/>
  <c r="GJ42"/>
  <c r="GK86"/>
  <c r="GK80"/>
  <c r="GJ37"/>
  <c r="GW92" i="88"/>
  <c r="GW72"/>
  <c r="GW73"/>
  <c r="D28"/>
  <c r="D31"/>
  <c r="GW96"/>
  <c r="GL70" i="71"/>
  <c r="GW101" i="88"/>
  <c r="GW82"/>
  <c r="GW85"/>
  <c r="GW79"/>
  <c r="GW80"/>
  <c r="GW83"/>
  <c r="GK55" i="71"/>
  <c r="GW86" i="88"/>
  <c r="GK50" i="71"/>
  <c r="GK56"/>
  <c r="GK53"/>
  <c r="GK54"/>
  <c r="GT65"/>
  <c r="GT70"/>
  <c r="GK51"/>
  <c r="GT67"/>
  <c r="GK57"/>
  <c r="GW81" i="88"/>
  <c r="GW87"/>
  <c r="AW60" i="91"/>
  <c r="AL58"/>
  <c r="GJ88" i="71"/>
  <c r="GJ80"/>
  <c r="GJ82"/>
  <c r="GT40"/>
  <c r="GL86"/>
  <c r="GL85"/>
  <c r="GJ86"/>
  <c r="GL82"/>
  <c r="GL83"/>
  <c r="GJ52"/>
  <c r="GJ53"/>
  <c r="GL88"/>
  <c r="GJ55"/>
  <c r="GJ83"/>
  <c r="GJ81"/>
  <c r="GJ58"/>
  <c r="GT37"/>
  <c r="GJ84"/>
  <c r="GL84"/>
  <c r="GJ59"/>
  <c r="GT39"/>
  <c r="GJ50"/>
  <c r="AL60" i="91"/>
  <c r="GT43" i="71"/>
  <c r="GJ85"/>
  <c r="GT35"/>
  <c r="GT42"/>
  <c r="GJ51"/>
  <c r="GT38"/>
  <c r="GJ79"/>
  <c r="GL79"/>
  <c r="GT36"/>
  <c r="GL87"/>
  <c r="GJ57"/>
  <c r="GJ54"/>
  <c r="BN59" i="91"/>
  <c r="GD32" i="90"/>
  <c r="GB40"/>
  <c r="FQ71"/>
  <c r="I71" s="1"/>
  <c r="GE34"/>
  <c r="BH47" i="91"/>
  <c r="AL37"/>
  <c r="BR60"/>
  <c r="CN62"/>
  <c r="AS44"/>
  <c r="FQ74" i="90"/>
  <c r="FR74" s="1"/>
  <c r="FT74" s="1"/>
  <c r="AV74" s="1"/>
  <c r="GD35"/>
  <c r="AG44" i="91"/>
  <c r="AL38"/>
  <c r="AP39"/>
  <c r="GW55" i="90"/>
  <c r="FM40" i="92"/>
  <c r="BV58" i="91"/>
  <c r="CK63"/>
  <c r="BH51"/>
  <c r="AH63"/>
  <c r="BV53"/>
  <c r="BA43"/>
  <c r="BD45"/>
  <c r="BF47"/>
  <c r="AQ59"/>
  <c r="AI36"/>
  <c r="AJ52"/>
  <c r="CJ61"/>
  <c r="CU80"/>
  <c r="AO38"/>
  <c r="BN61"/>
  <c r="BY57"/>
  <c r="AQ53"/>
  <c r="GD40" i="90"/>
  <c r="GE35"/>
  <c r="GB34"/>
  <c r="HB57" s="1"/>
  <c r="HK57" s="1"/>
  <c r="HK46" s="1"/>
  <c r="BG46" i="91"/>
  <c r="BN63"/>
  <c r="AJ42"/>
  <c r="AI38"/>
  <c r="BV68"/>
  <c r="DC64"/>
  <c r="BD62"/>
  <c r="AH49"/>
  <c r="AR53"/>
  <c r="FQ89" i="90"/>
  <c r="I89" s="1"/>
  <c r="GN49"/>
  <c r="GX50"/>
  <c r="GE36"/>
  <c r="GX48"/>
  <c r="GX53"/>
  <c r="FJ255" i="92"/>
  <c r="GE37" i="90"/>
  <c r="AV95"/>
  <c r="BC44" i="91"/>
  <c r="AV44"/>
  <c r="BK52"/>
  <c r="BT54"/>
  <c r="DJ64"/>
  <c r="BA57"/>
  <c r="AV63"/>
  <c r="BZ56"/>
  <c r="BK58"/>
  <c r="AM64"/>
  <c r="AW42"/>
  <c r="AM41"/>
  <c r="AI55"/>
  <c r="AP49"/>
  <c r="CT78"/>
  <c r="AW51"/>
  <c r="AK35"/>
  <c r="BP59"/>
  <c r="BD63"/>
  <c r="AB46"/>
  <c r="CH59"/>
  <c r="AM60"/>
  <c r="BD49"/>
  <c r="BL62"/>
  <c r="BO61"/>
  <c r="BT56"/>
  <c r="BA60"/>
  <c r="BA46"/>
  <c r="AO52"/>
  <c r="AB62"/>
  <c r="BW61"/>
  <c r="AN58"/>
  <c r="BQ57"/>
  <c r="AL39"/>
  <c r="CF58"/>
  <c r="AM43"/>
  <c r="AT44"/>
  <c r="AP38"/>
  <c r="CA62"/>
  <c r="CW64"/>
  <c r="AT48"/>
  <c r="P100"/>
  <c r="GD42" i="90"/>
  <c r="AN40" i="91"/>
  <c r="BS53"/>
  <c r="DP64"/>
  <c r="AO37"/>
  <c r="AM57"/>
  <c r="AH58"/>
  <c r="AX44"/>
  <c r="AZ42"/>
  <c r="BV63"/>
  <c r="BI59"/>
  <c r="AS56"/>
  <c r="BR64"/>
  <c r="AW48"/>
  <c r="AN50"/>
  <c r="CH63"/>
  <c r="AY59"/>
  <c r="BS70"/>
  <c r="BZ61"/>
  <c r="AI53"/>
  <c r="AU51"/>
  <c r="AU58"/>
  <c r="AJ59"/>
  <c r="AK57"/>
  <c r="CO63"/>
  <c r="BF57"/>
  <c r="AN43"/>
  <c r="AX50"/>
  <c r="AW43"/>
  <c r="CT82"/>
  <c r="AN59"/>
  <c r="BJ53"/>
  <c r="AO54"/>
  <c r="BQ59"/>
  <c r="AP40"/>
  <c r="BK48"/>
  <c r="BB107"/>
  <c r="I64" i="90"/>
  <c r="GN57"/>
  <c r="BS54" i="91"/>
  <c r="AH45"/>
  <c r="BW60"/>
  <c r="CE64"/>
  <c r="AR57"/>
  <c r="AG40"/>
  <c r="BD60"/>
  <c r="BP60"/>
  <c r="CB58"/>
  <c r="BC64"/>
  <c r="BZ62"/>
  <c r="AG59"/>
  <c r="AK47"/>
  <c r="AH48"/>
  <c r="BM59"/>
  <c r="AV59"/>
  <c r="AS41"/>
  <c r="AT53"/>
  <c r="BE54"/>
  <c r="AS51"/>
  <c r="AP41"/>
  <c r="BF62"/>
  <c r="BN57"/>
  <c r="AY58"/>
  <c r="AR45"/>
  <c r="BP58"/>
  <c r="AI64"/>
  <c r="AR52"/>
  <c r="AI52"/>
  <c r="AT56"/>
  <c r="AS39"/>
  <c r="AX53"/>
  <c r="AQ40"/>
  <c r="BB60"/>
  <c r="AO62"/>
  <c r="DI64"/>
  <c r="AM56"/>
  <c r="FQ92" i="90"/>
  <c r="FR92" s="1"/>
  <c r="FT92" s="1"/>
  <c r="AV92" s="1"/>
  <c r="GN56"/>
  <c r="AT57" i="91"/>
  <c r="CT74"/>
  <c r="BK50"/>
  <c r="BE50"/>
  <c r="AQ47"/>
  <c r="AR50"/>
  <c r="AO51"/>
  <c r="BQ68"/>
  <c r="AB65"/>
  <c r="AI63"/>
  <c r="AD48"/>
  <c r="BM60"/>
  <c r="AZ62"/>
  <c r="AT59"/>
  <c r="CG63"/>
  <c r="AH57"/>
  <c r="BC58"/>
  <c r="DO64"/>
  <c r="AU61"/>
  <c r="BE48"/>
  <c r="AJ61"/>
  <c r="CH61"/>
  <c r="AN55"/>
  <c r="CC57"/>
  <c r="BG51"/>
  <c r="AH64"/>
  <c r="BM72"/>
  <c r="AI59"/>
  <c r="AZ60"/>
  <c r="AK49"/>
  <c r="BL55"/>
  <c r="CH62"/>
  <c r="BD57"/>
  <c r="AW46"/>
  <c r="AT49"/>
  <c r="CG61"/>
  <c r="CE62"/>
  <c r="AT52"/>
  <c r="BO60"/>
  <c r="BJ62"/>
  <c r="AZ63"/>
  <c r="BK55"/>
  <c r="BN51"/>
  <c r="BA58"/>
  <c r="AP42"/>
  <c r="BA51"/>
  <c r="BD46"/>
  <c r="AJ38"/>
  <c r="CD64"/>
  <c r="BE51"/>
  <c r="AT61"/>
  <c r="BJ60"/>
  <c r="CI62"/>
  <c r="AY53"/>
  <c r="AK55"/>
  <c r="AK53"/>
  <c r="CC59"/>
  <c r="BU57"/>
  <c r="AL41"/>
  <c r="AJ53"/>
  <c r="BI55"/>
  <c r="BV60"/>
  <c r="BR59"/>
  <c r="BO59"/>
  <c r="BO66"/>
  <c r="CA61"/>
  <c r="AY49"/>
  <c r="BO55"/>
  <c r="BV62"/>
  <c r="AH37"/>
  <c r="Z64"/>
  <c r="BH58"/>
  <c r="AL40"/>
  <c r="BZ55"/>
  <c r="BL80"/>
  <c r="BE49"/>
  <c r="AH55"/>
  <c r="BP50"/>
  <c r="BF52"/>
  <c r="AN36"/>
  <c r="AB66"/>
  <c r="BI62"/>
  <c r="BV59"/>
  <c r="AM47"/>
  <c r="AM50"/>
  <c r="AZ58"/>
  <c r="BB64"/>
  <c r="BQ54"/>
  <c r="BN50"/>
  <c r="AQ62"/>
  <c r="AP64"/>
  <c r="BW74"/>
  <c r="AJ62"/>
  <c r="AK51"/>
  <c r="BB56"/>
  <c r="AS52"/>
  <c r="BZ57"/>
  <c r="BS56"/>
  <c r="AH51"/>
  <c r="BE61"/>
  <c r="CS79"/>
  <c r="BU53"/>
  <c r="AY52"/>
  <c r="BM57"/>
  <c r="AH33"/>
  <c r="BL59"/>
  <c r="BU62"/>
  <c r="BK56"/>
  <c r="BR57"/>
  <c r="BA45"/>
  <c r="CG60"/>
  <c r="AZ64"/>
  <c r="CI63"/>
  <c r="DL64"/>
  <c r="AZ48"/>
  <c r="AY63"/>
  <c r="BP61"/>
  <c r="AX55"/>
  <c r="AS61"/>
  <c r="BV55"/>
  <c r="BR69"/>
  <c r="BT64"/>
  <c r="AZ61"/>
  <c r="BJ58"/>
  <c r="AV51"/>
  <c r="BW55"/>
  <c r="BB52"/>
  <c r="BJ63"/>
  <c r="AH38"/>
  <c r="BB53"/>
  <c r="BC57"/>
  <c r="BK51"/>
  <c r="BK53"/>
  <c r="BM68"/>
  <c r="AV41"/>
  <c r="AG41"/>
  <c r="BU63"/>
  <c r="CK64"/>
  <c r="AP44"/>
  <c r="BC53"/>
  <c r="AK60"/>
  <c r="AT42"/>
  <c r="AH54"/>
  <c r="AL52"/>
  <c r="BB58"/>
  <c r="BO53"/>
  <c r="BB47"/>
  <c r="AP56"/>
  <c r="AG49"/>
  <c r="BG47"/>
  <c r="BF44"/>
  <c r="AT51"/>
  <c r="BM50"/>
  <c r="AH44"/>
  <c r="AX45"/>
  <c r="AY57"/>
  <c r="BO57"/>
  <c r="AO58"/>
  <c r="AJ40"/>
  <c r="BI56"/>
  <c r="CP63"/>
  <c r="BM49"/>
  <c r="AQ42"/>
  <c r="BD61"/>
  <c r="AO60"/>
  <c r="DG64"/>
  <c r="AL44"/>
  <c r="AY54"/>
  <c r="AW45"/>
  <c r="BH62"/>
  <c r="BD64"/>
  <c r="AL43"/>
  <c r="AI49"/>
  <c r="AH34"/>
  <c r="BK49"/>
  <c r="FN22"/>
  <c r="AT40"/>
  <c r="BN52"/>
  <c r="BO58"/>
  <c r="BA53"/>
  <c r="AK58"/>
  <c r="AQ49"/>
  <c r="CA59"/>
  <c r="AR55"/>
  <c r="AB49"/>
  <c r="AX54"/>
  <c r="AW52"/>
  <c r="AI35"/>
  <c r="DF64"/>
  <c r="AI46"/>
  <c r="AP53"/>
  <c r="BG48"/>
  <c r="BC51"/>
  <c r="AP50"/>
  <c r="AN54"/>
  <c r="BD51"/>
  <c r="BT52"/>
  <c r="AO48"/>
  <c r="CE58"/>
  <c r="AP55"/>
  <c r="BX64"/>
  <c r="AV42"/>
  <c r="CF62"/>
  <c r="AV45"/>
  <c r="BS61"/>
  <c r="CT85"/>
  <c r="AY50"/>
  <c r="AR54"/>
  <c r="AS53"/>
  <c r="BQ56"/>
  <c r="CT70"/>
  <c r="AO56"/>
  <c r="AG35"/>
  <c r="CE60"/>
  <c r="AM59"/>
  <c r="BP52"/>
  <c r="AN47"/>
  <c r="AP57"/>
  <c r="AU45"/>
  <c r="AW41"/>
  <c r="AS40"/>
  <c r="BE64"/>
  <c r="BE47"/>
  <c r="AL53"/>
  <c r="CJ62"/>
  <c r="AJ35"/>
  <c r="BG49"/>
  <c r="BA52"/>
  <c r="BO52"/>
  <c r="AH40"/>
  <c r="BZ63"/>
  <c r="AM48"/>
  <c r="AY46"/>
  <c r="BX58"/>
  <c r="BV54"/>
  <c r="BF59"/>
  <c r="CT84"/>
  <c r="BY60"/>
  <c r="BS60"/>
  <c r="BA62"/>
  <c r="AY45"/>
  <c r="BP51"/>
  <c r="BF58"/>
  <c r="AH60"/>
  <c r="CH64"/>
  <c r="CL64"/>
  <c r="AM52"/>
  <c r="BD44"/>
  <c r="BM70"/>
  <c r="AH52"/>
  <c r="BL58"/>
  <c r="AU52"/>
  <c r="AC47"/>
  <c r="BQ51"/>
  <c r="DA64"/>
  <c r="AW55"/>
  <c r="AM38"/>
  <c r="CA64"/>
  <c r="AR56"/>
  <c r="AS48"/>
  <c r="AU48"/>
  <c r="AK37"/>
  <c r="CS80"/>
  <c r="BX62"/>
  <c r="BH48"/>
  <c r="AS64"/>
  <c r="BV56"/>
  <c r="AW63"/>
  <c r="AR60"/>
  <c r="BB50"/>
  <c r="X48"/>
  <c r="BH61"/>
  <c r="BS55"/>
  <c r="BG50"/>
  <c r="AH42"/>
  <c r="BA48"/>
  <c r="BA54"/>
  <c r="BQ60"/>
  <c r="BQ62"/>
  <c r="AB47"/>
  <c r="BB49"/>
  <c r="AG55"/>
  <c r="AI34"/>
  <c r="AX63"/>
  <c r="BT55"/>
  <c r="AU44"/>
  <c r="BN64"/>
  <c r="AR64"/>
  <c r="BB46"/>
  <c r="AT64"/>
  <c r="BN80"/>
  <c r="BJ47"/>
  <c r="AM36"/>
  <c r="AX52"/>
  <c r="BD55"/>
  <c r="AW56"/>
  <c r="BN56"/>
  <c r="AT45"/>
  <c r="CC64"/>
  <c r="BA49"/>
  <c r="AO45"/>
  <c r="AQ38"/>
  <c r="BM51"/>
  <c r="BE45"/>
  <c r="AC49"/>
  <c r="AG47"/>
  <c r="BN53"/>
  <c r="AX41"/>
  <c r="DD64"/>
  <c r="BI49"/>
  <c r="BE44"/>
  <c r="AZ54"/>
  <c r="BW63"/>
  <c r="AR51"/>
  <c r="AV54"/>
  <c r="BE62"/>
  <c r="AV61"/>
  <c r="BX59"/>
  <c r="AI48"/>
  <c r="AV43"/>
  <c r="AT58"/>
  <c r="BL51"/>
  <c r="AU50"/>
  <c r="BQ53"/>
  <c r="BJ64"/>
  <c r="BU61"/>
  <c r="BV73"/>
  <c r="BX75"/>
  <c r="AR58"/>
  <c r="CT68"/>
  <c r="AR39"/>
  <c r="BG62"/>
  <c r="AK44"/>
  <c r="BL63"/>
  <c r="AY47"/>
  <c r="BR58"/>
  <c r="AO47"/>
  <c r="AZ52"/>
  <c r="AO49"/>
  <c r="BM64"/>
  <c r="BM78"/>
  <c r="AR42"/>
  <c r="AJ50"/>
  <c r="AJ39"/>
  <c r="CJ60"/>
  <c r="BT57"/>
  <c r="CB60"/>
  <c r="AH47"/>
  <c r="CG59"/>
  <c r="AI61"/>
  <c r="AP61"/>
  <c r="BG53"/>
  <c r="AG56"/>
  <c r="AX57"/>
  <c r="BI51"/>
  <c r="BE46"/>
  <c r="BG64"/>
  <c r="BE59"/>
  <c r="BM74"/>
  <c r="AW64"/>
  <c r="AQ50"/>
  <c r="BT60"/>
  <c r="BU55"/>
  <c r="AN48"/>
  <c r="BE56"/>
  <c r="BO56"/>
  <c r="CF60"/>
  <c r="AR61"/>
  <c r="AV50"/>
  <c r="BY63"/>
  <c r="BR52"/>
  <c r="AS58"/>
  <c r="BQ63"/>
  <c r="BX61"/>
  <c r="CB56"/>
  <c r="AV52"/>
  <c r="AQ51"/>
  <c r="DM64"/>
  <c r="CB64"/>
  <c r="AG60"/>
  <c r="AY56"/>
  <c r="AK56"/>
  <c r="BA63"/>
  <c r="AJ45"/>
  <c r="AK59"/>
  <c r="AY55"/>
  <c r="AZ50"/>
  <c r="BE57"/>
  <c r="AL63"/>
  <c r="BW64"/>
  <c r="AP63"/>
  <c r="BN58"/>
  <c r="BA61"/>
  <c r="BF51"/>
  <c r="AV64"/>
  <c r="BH50"/>
  <c r="AO42"/>
  <c r="AP46"/>
  <c r="BK62"/>
  <c r="AK64"/>
  <c r="BY55"/>
  <c r="CI60"/>
  <c r="AH62"/>
  <c r="BC45"/>
  <c r="AR63"/>
  <c r="CL63"/>
  <c r="AK63"/>
  <c r="AQ63"/>
  <c r="CD57"/>
  <c r="BX56"/>
  <c r="BC56"/>
  <c r="AN49"/>
  <c r="BC49"/>
  <c r="CD61"/>
  <c r="CN64"/>
  <c r="BX57"/>
  <c r="AN60"/>
  <c r="AK42"/>
  <c r="AO59"/>
  <c r="CF59"/>
  <c r="CM64"/>
  <c r="AJ34"/>
  <c r="AT60"/>
  <c r="AT50"/>
  <c r="X64"/>
  <c r="CM62"/>
  <c r="AX43"/>
  <c r="AI40"/>
  <c r="BL57"/>
  <c r="AZ57"/>
  <c r="AQ43"/>
  <c r="BY59"/>
  <c r="CV80"/>
  <c r="CT66"/>
  <c r="AT55"/>
  <c r="AJ44"/>
  <c r="AG53"/>
  <c r="AJ56"/>
  <c r="AL51"/>
  <c r="AQ54"/>
  <c r="AS54"/>
  <c r="AZ49"/>
  <c r="CB59"/>
  <c r="BK54"/>
  <c r="AN61"/>
  <c r="CC63"/>
  <c r="AX56"/>
  <c r="AJ55"/>
  <c r="AS60"/>
  <c r="BF56"/>
  <c r="BO54"/>
  <c r="BS58"/>
  <c r="AK52"/>
  <c r="AS47"/>
  <c r="BZ59"/>
  <c r="AW61"/>
  <c r="BM52"/>
  <c r="BC46"/>
  <c r="AG48"/>
  <c r="AQ61"/>
  <c r="BI60"/>
  <c r="BM58"/>
  <c r="AN41"/>
  <c r="AG64"/>
  <c r="AX47"/>
  <c r="AG63"/>
  <c r="AX42"/>
  <c r="AI37"/>
  <c r="BK60"/>
  <c r="BQ55"/>
  <c r="BB57"/>
  <c r="BO62"/>
  <c r="AG54"/>
  <c r="BF48"/>
  <c r="BF53"/>
  <c r="BG57"/>
  <c r="CL62"/>
  <c r="BM82"/>
  <c r="AJ58"/>
  <c r="BA44"/>
  <c r="BB48"/>
  <c r="BM85"/>
  <c r="AZ44"/>
  <c r="AO50"/>
  <c r="BF60"/>
  <c r="CG64"/>
  <c r="BB45"/>
  <c r="AK36"/>
  <c r="BE55"/>
  <c r="AL59"/>
  <c r="BT58"/>
  <c r="BN54"/>
  <c r="AN38"/>
  <c r="BD56"/>
  <c r="AJ36"/>
  <c r="AZ46"/>
  <c r="BX60"/>
  <c r="AU56"/>
  <c r="AW57"/>
  <c r="AI45"/>
  <c r="AK50"/>
  <c r="AS43"/>
  <c r="BS57"/>
  <c r="CB63"/>
  <c r="BC63"/>
  <c r="CT80"/>
  <c r="DM27"/>
  <c r="BG55"/>
  <c r="BG61"/>
  <c r="CY64"/>
  <c r="AL49"/>
  <c r="AG42"/>
  <c r="BY62"/>
  <c r="AT46"/>
  <c r="AS57"/>
  <c r="BL56"/>
  <c r="DH64"/>
  <c r="AG33"/>
  <c r="CQ64"/>
  <c r="AO55"/>
  <c r="AK48"/>
  <c r="AK54"/>
  <c r="AH53"/>
  <c r="BD54"/>
  <c r="AW59"/>
  <c r="AW53"/>
  <c r="AL57"/>
  <c r="BS59"/>
  <c r="AI41"/>
  <c r="AU49"/>
  <c r="AL47"/>
  <c r="CA60"/>
  <c r="DK64"/>
  <c r="AU60"/>
  <c r="AG38"/>
  <c r="AI62"/>
  <c r="BP57"/>
  <c r="BO63"/>
  <c r="AI60"/>
  <c r="AH46"/>
  <c r="CB62"/>
  <c r="AS63"/>
  <c r="AO63"/>
  <c r="AN63"/>
  <c r="AR40"/>
  <c r="AM45"/>
  <c r="BJ56"/>
  <c r="AL64"/>
  <c r="AU46"/>
  <c r="CC60"/>
  <c r="BN55"/>
  <c r="CH60"/>
  <c r="AQ64"/>
  <c r="BM62"/>
  <c r="BI48"/>
  <c r="BM81"/>
  <c r="AP52"/>
  <c r="AW62"/>
  <c r="AO61"/>
  <c r="AN57"/>
  <c r="BW62"/>
  <c r="BF46"/>
  <c r="D59" i="90"/>
  <c r="I95"/>
  <c r="GB42"/>
  <c r="HE57" s="1"/>
  <c r="HE25" s="1"/>
  <c r="AV83"/>
  <c r="AU47" i="91"/>
  <c r="BI50"/>
  <c r="AI57"/>
  <c r="BH46"/>
  <c r="AV46"/>
  <c r="AX51"/>
  <c r="AN62"/>
  <c r="AR44"/>
  <c r="BM83"/>
  <c r="AN45"/>
  <c r="BG60"/>
  <c r="BL48"/>
  <c r="CP64"/>
  <c r="BI47"/>
  <c r="BZ64"/>
  <c r="BI58"/>
  <c r="AI54"/>
  <c r="AY42"/>
  <c r="CZ64"/>
  <c r="BL50"/>
  <c r="AJ41"/>
  <c r="AO40"/>
  <c r="BZ58"/>
  <c r="BM80"/>
  <c r="BH53"/>
  <c r="BK64"/>
  <c r="CD63"/>
  <c r="BW56"/>
  <c r="AJ54"/>
  <c r="AS55"/>
  <c r="AG39"/>
  <c r="BR53"/>
  <c r="BE63"/>
  <c r="AI44"/>
  <c r="BJ51"/>
  <c r="BH52"/>
  <c r="AY44"/>
  <c r="BJ59"/>
  <c r="BJ57"/>
  <c r="BP54"/>
  <c r="BW58"/>
  <c r="CT83"/>
  <c r="AN39"/>
  <c r="BZ60"/>
  <c r="CJ63"/>
  <c r="AK38"/>
  <c r="BO64"/>
  <c r="AY51"/>
  <c r="AW44"/>
  <c r="Z48"/>
  <c r="BJ49"/>
  <c r="AI51"/>
  <c r="AK46"/>
  <c r="V86" i="90"/>
  <c r="AV57" i="91"/>
  <c r="BM66"/>
  <c r="AU40"/>
  <c r="AH56"/>
  <c r="AX59"/>
  <c r="BR62"/>
  <c r="AL42"/>
  <c r="AK41"/>
  <c r="AQ58"/>
  <c r="AJ47"/>
  <c r="AN44"/>
  <c r="AK43"/>
  <c r="BK61"/>
  <c r="BC55"/>
  <c r="BF45"/>
  <c r="AR38"/>
  <c r="AV62"/>
  <c r="BO51"/>
  <c r="BE58"/>
  <c r="AX60"/>
  <c r="CT81"/>
  <c r="BI63"/>
  <c r="BN62"/>
  <c r="BI53"/>
  <c r="CU79"/>
  <c r="BA55"/>
  <c r="BA47"/>
  <c r="CD59"/>
  <c r="BU72"/>
  <c r="BF49"/>
  <c r="BO50"/>
  <c r="BP55"/>
  <c r="AN64"/>
  <c r="BF54"/>
  <c r="AO43"/>
  <c r="AS49"/>
  <c r="BR61"/>
  <c r="AZ45"/>
  <c r="BI52"/>
  <c r="AO57"/>
  <c r="AG45"/>
  <c r="CJ64"/>
  <c r="BU58"/>
  <c r="AL56"/>
  <c r="CU64"/>
  <c r="AZ47"/>
  <c r="AQ48"/>
  <c r="AJ51"/>
  <c r="AI47"/>
  <c r="BL60"/>
  <c r="AR41"/>
  <c r="CF63"/>
  <c r="AG36"/>
  <c r="AP60"/>
  <c r="DE64"/>
  <c r="BL53"/>
  <c r="AT39"/>
  <c r="AN46"/>
  <c r="AH41"/>
  <c r="AX64"/>
  <c r="CF64"/>
  <c r="AT62"/>
  <c r="BI64"/>
  <c r="AS59"/>
  <c r="BI57"/>
  <c r="AN52"/>
  <c r="AM44"/>
  <c r="AL50"/>
  <c r="AV56"/>
  <c r="BL54"/>
  <c r="AT43"/>
  <c r="AU59"/>
  <c r="BP53"/>
  <c r="AP58"/>
  <c r="BB62"/>
  <c r="BM84"/>
  <c r="AO41"/>
  <c r="AB64"/>
  <c r="AH36"/>
  <c r="AU64"/>
  <c r="BD50"/>
  <c r="CA56"/>
  <c r="BP64"/>
  <c r="AH39"/>
  <c r="AB48"/>
  <c r="BY61"/>
  <c r="CF61"/>
  <c r="AO39"/>
  <c r="BR56"/>
  <c r="CE59"/>
  <c r="BK80"/>
  <c r="BB63"/>
  <c r="AI65" i="90"/>
  <c r="DN64" i="91"/>
  <c r="AM58"/>
  <c r="BU60"/>
  <c r="AM37"/>
  <c r="BQ58"/>
  <c r="D105"/>
  <c r="D91"/>
  <c r="DH59"/>
  <c r="D57" i="90"/>
  <c r="CV64"/>
  <c r="P102" i="91"/>
  <c r="BJ61"/>
  <c r="CB61"/>
  <c r="AM42"/>
  <c r="AH59"/>
  <c r="AY43"/>
  <c r="Y64"/>
  <c r="AJ43"/>
  <c r="BE53"/>
  <c r="BY58"/>
  <c r="AC48"/>
  <c r="AZ43"/>
  <c r="BK57"/>
  <c r="BG56"/>
  <c r="BA64"/>
  <c r="AU63"/>
  <c r="BC52"/>
  <c r="AM39"/>
  <c r="AG37"/>
  <c r="BS64"/>
  <c r="AV49"/>
  <c r="AU42"/>
  <c r="AZ51"/>
  <c r="AY64"/>
  <c r="BF55"/>
  <c r="AM55"/>
  <c r="AT63"/>
  <c r="BB59"/>
  <c r="BH64"/>
  <c r="AM51"/>
  <c r="CA57"/>
  <c r="AJ63"/>
  <c r="BC50"/>
  <c r="AC64"/>
  <c r="BM56"/>
  <c r="AQ46"/>
  <c r="AP48"/>
  <c r="AI56"/>
  <c r="CO64"/>
  <c r="AH43"/>
  <c r="BP56"/>
  <c r="AZ55"/>
  <c r="BB51"/>
  <c r="AQ39"/>
  <c r="AS45"/>
  <c r="BV57"/>
  <c r="BL52"/>
  <c r="AU62"/>
  <c r="BR51"/>
  <c r="AL46"/>
  <c r="CT72"/>
  <c r="BJ52"/>
  <c r="BJ48"/>
  <c r="AV48"/>
  <c r="BK59"/>
  <c r="AS42"/>
  <c r="CD60"/>
  <c r="AM46"/>
  <c r="CL61"/>
  <c r="AP54"/>
  <c r="AG43"/>
  <c r="AM40"/>
  <c r="AO53"/>
  <c r="AR59"/>
  <c r="AY48"/>
  <c r="BF64"/>
  <c r="BX63"/>
  <c r="CR64"/>
  <c r="BQ61"/>
  <c r="BH63"/>
  <c r="CI61"/>
  <c r="BP63"/>
  <c r="BL79"/>
  <c r="AP51"/>
  <c r="AM61"/>
  <c r="AI42"/>
  <c r="AQ55"/>
  <c r="AG46"/>
  <c r="BT62"/>
  <c r="CA58"/>
  <c r="BD47"/>
  <c r="AG61"/>
  <c r="BT59"/>
  <c r="AB50"/>
  <c r="AT47"/>
  <c r="AJ60"/>
  <c r="BM79"/>
  <c r="AX48"/>
  <c r="AI43"/>
  <c r="AN53"/>
  <c r="AX62"/>
  <c r="BT61"/>
  <c r="BQ52"/>
  <c r="AJ48"/>
  <c r="CE63"/>
  <c r="AU41"/>
  <c r="BJ54"/>
  <c r="AR62"/>
  <c r="BD48"/>
  <c r="AU53"/>
  <c r="AU54"/>
  <c r="BB55"/>
  <c r="BL49"/>
  <c r="BE52"/>
  <c r="AL62"/>
  <c r="AT41"/>
  <c r="BF61"/>
  <c r="AM54"/>
  <c r="Y48"/>
  <c r="BC59"/>
  <c r="AR47"/>
  <c r="BG59"/>
  <c r="AQ60"/>
  <c r="DB64"/>
  <c r="AD64"/>
  <c r="AH61"/>
  <c r="BG58"/>
  <c r="AV40"/>
  <c r="AI50"/>
  <c r="AJ37"/>
  <c r="BC62"/>
  <c r="AA64"/>
  <c r="CG62"/>
  <c r="BY64"/>
  <c r="BU64"/>
  <c r="AW47"/>
  <c r="AO46"/>
  <c r="AX46"/>
  <c r="AM62"/>
  <c r="CD58"/>
  <c r="AN37"/>
  <c r="BI61"/>
  <c r="BM61"/>
  <c r="AR46"/>
  <c r="AN56"/>
  <c r="AW49"/>
  <c r="AJ46"/>
  <c r="BD58"/>
  <c r="AL36"/>
  <c r="AG62"/>
  <c r="AY61"/>
  <c r="BL64"/>
  <c r="AH50"/>
  <c r="AN51"/>
  <c r="AQ52"/>
  <c r="AJ57"/>
  <c r="CC58"/>
  <c r="CM63"/>
  <c r="P99"/>
  <c r="V64" i="90"/>
  <c r="CE108" i="91"/>
  <c r="AV47"/>
  <c r="AV53"/>
  <c r="BF63"/>
  <c r="BC47"/>
  <c r="AZ56"/>
  <c r="BX55"/>
  <c r="AR49"/>
  <c r="N62"/>
  <c r="BN79"/>
  <c r="AL61"/>
  <c r="AR43"/>
  <c r="AM63"/>
  <c r="BR63"/>
  <c r="AW58"/>
  <c r="BA56"/>
  <c r="BH55"/>
  <c r="AJ64"/>
  <c r="BA59"/>
  <c r="BI54"/>
  <c r="CR80"/>
  <c r="BP67"/>
  <c r="AU43"/>
  <c r="BD52"/>
  <c r="AX61"/>
  <c r="AA48"/>
  <c r="AU55"/>
  <c r="BM63"/>
  <c r="AP62"/>
  <c r="AL55"/>
  <c r="AO64"/>
  <c r="AZ53"/>
  <c r="AP43"/>
  <c r="BG63"/>
  <c r="CX64"/>
  <c r="AQ44"/>
  <c r="BH49"/>
  <c r="AL54"/>
  <c r="BN60"/>
  <c r="AV55"/>
  <c r="AB63"/>
  <c r="CI64"/>
  <c r="AL45"/>
  <c r="BT63"/>
  <c r="BM48"/>
  <c r="BS62"/>
  <c r="AK62"/>
  <c r="AK39"/>
  <c r="AK45"/>
  <c r="BM53"/>
  <c r="CV64"/>
  <c r="AH35"/>
  <c r="AV58"/>
  <c r="AZ59"/>
  <c r="BM55"/>
  <c r="AG57"/>
  <c r="AC65"/>
  <c r="BD59"/>
  <c r="BU54"/>
  <c r="BH54"/>
  <c r="BD53"/>
  <c r="BN65"/>
  <c r="CT79"/>
  <c r="AI39"/>
  <c r="AW54"/>
  <c r="BH59"/>
  <c r="BC60"/>
  <c r="AJ49"/>
  <c r="AW50"/>
  <c r="BQ64"/>
  <c r="AQ41"/>
  <c r="CN63"/>
  <c r="BT71"/>
  <c r="BH60"/>
  <c r="AY62"/>
  <c r="BH57"/>
  <c r="BY56"/>
  <c r="BB61"/>
  <c r="BC54"/>
  <c r="BS52"/>
  <c r="AG51"/>
  <c r="BX54"/>
  <c r="AC63"/>
  <c r="BT53"/>
  <c r="AM49"/>
  <c r="AG34"/>
  <c r="CC61"/>
  <c r="AO44"/>
  <c r="AQ45"/>
  <c r="AG50"/>
  <c r="AK61"/>
  <c r="BB44"/>
  <c r="AS46"/>
  <c r="AP59"/>
  <c r="BW54"/>
  <c r="AR48"/>
  <c r="BJ55"/>
  <c r="BW59"/>
  <c r="BK63"/>
  <c r="CB57"/>
  <c r="AP37"/>
  <c r="BR54"/>
  <c r="CK62"/>
  <c r="BL61"/>
  <c r="AG52"/>
  <c r="BU59"/>
  <c r="BA50"/>
  <c r="AS62"/>
  <c r="BE60"/>
  <c r="CA63"/>
  <c r="AX49"/>
  <c r="AQ57"/>
  <c r="BJ50"/>
  <c r="CE61"/>
  <c r="CC62"/>
  <c r="CK61"/>
  <c r="BC61"/>
  <c r="CD62"/>
  <c r="BS63"/>
  <c r="BB43"/>
  <c r="AL35"/>
  <c r="BN49"/>
  <c r="BV64"/>
  <c r="AM53"/>
  <c r="BG54"/>
  <c r="BP62"/>
  <c r="AP47"/>
  <c r="BO80"/>
  <c r="AN42"/>
  <c r="AI58"/>
  <c r="BG52"/>
  <c r="BV61"/>
  <c r="N46"/>
  <c r="BF50"/>
  <c r="BM54"/>
  <c r="AX58"/>
  <c r="BH56"/>
  <c r="BR55"/>
  <c r="AP45"/>
  <c r="AY60"/>
  <c r="BB54"/>
  <c r="AL48"/>
  <c r="AV60"/>
  <c r="BC48"/>
  <c r="AU57"/>
  <c r="BU56"/>
  <c r="BW57"/>
  <c r="AK40"/>
  <c r="AG58"/>
  <c r="AS50"/>
  <c r="AT54"/>
  <c r="FL255" i="92"/>
  <c r="EE247" s="1"/>
  <c r="AV86" i="90"/>
  <c r="GZ48"/>
  <c r="GZ49" s="1"/>
  <c r="GZ50" s="1"/>
  <c r="GZ51" s="1"/>
  <c r="GZ52" s="1"/>
  <c r="GZ53" s="1"/>
  <c r="GZ54" s="1"/>
  <c r="GZ55" s="1"/>
  <c r="GZ56" s="1"/>
  <c r="FJ151" i="92"/>
  <c r="GD39" i="90"/>
  <c r="GB37"/>
  <c r="GN54"/>
  <c r="GX51"/>
  <c r="FQ80"/>
  <c r="FR80" s="1"/>
  <c r="GB38"/>
  <c r="GB39"/>
  <c r="GL40"/>
  <c r="GI31" s="1"/>
  <c r="FQ77"/>
  <c r="FR77" s="1"/>
  <c r="FT77" s="1"/>
  <c r="AV77" s="1"/>
  <c r="GN52"/>
  <c r="GM43" s="1"/>
  <c r="FM44" i="92"/>
  <c r="GX49" i="90"/>
  <c r="GX47"/>
  <c r="GB36"/>
  <c r="GD37"/>
  <c r="I83"/>
  <c r="GM40"/>
  <c r="GJ31" s="1"/>
  <c r="GW48"/>
  <c r="GX52"/>
  <c r="GX56"/>
  <c r="GD36"/>
  <c r="GW52"/>
  <c r="GX55"/>
  <c r="FL151" i="92"/>
  <c r="I68" i="90"/>
  <c r="V68"/>
  <c r="GD38"/>
  <c r="GW54"/>
  <c r="GW56"/>
  <c r="GE33"/>
  <c r="D89" i="91"/>
  <c r="GN53" i="90"/>
  <c r="CI64"/>
  <c r="V66"/>
  <c r="AV64"/>
  <c r="P103" i="91"/>
  <c r="GN48" i="90"/>
  <c r="GB41"/>
  <c r="D95" i="91"/>
  <c r="GD41" i="90"/>
  <c r="GW51"/>
  <c r="GW53"/>
  <c r="FS85"/>
  <c r="AI85" s="1"/>
  <c r="FJ368" i="92"/>
  <c r="N99" i="91"/>
  <c r="AZ108"/>
  <c r="DV66" i="90"/>
  <c r="V83"/>
  <c r="DI65"/>
  <c r="V95"/>
  <c r="D97" i="91"/>
  <c r="P101"/>
  <c r="BV65" i="90"/>
  <c r="CI66"/>
  <c r="I66"/>
  <c r="I86"/>
  <c r="BI64"/>
  <c r="GW47"/>
  <c r="GD33"/>
  <c r="BB108" i="91"/>
  <c r="AV68" i="90"/>
  <c r="D93" i="91"/>
  <c r="GW49" i="90"/>
  <c r="FS67"/>
  <c r="AI67" s="1"/>
  <c r="D58"/>
  <c r="DV64"/>
  <c r="AV66"/>
  <c r="D88" i="91"/>
  <c r="FM302" i="92"/>
  <c r="FL368"/>
  <c r="ET360" s="1"/>
  <c r="GI37" i="90"/>
  <c r="GL36"/>
  <c r="GJ34" s="1"/>
  <c r="GK34" s="1"/>
  <c r="GH37"/>
  <c r="GC50" i="71" l="1"/>
  <c r="FM36" i="92"/>
  <c r="FM326"/>
  <c r="FJ334" s="1"/>
  <c r="EE148"/>
  <c r="FQ29" i="86"/>
  <c r="FT29" s="1"/>
  <c r="FN93" s="1"/>
  <c r="FW188" i="92"/>
  <c r="FV188" s="1"/>
  <c r="FZ188" s="1"/>
  <c r="FN82"/>
  <c r="FS176"/>
  <c r="FU27" i="87"/>
  <c r="FP40" s="1"/>
  <c r="BH27"/>
  <c r="FX371" i="92"/>
  <c r="FN55"/>
  <c r="FP55" s="1"/>
  <c r="FW371"/>
  <c r="FY371" s="1"/>
  <c r="FN379" s="1"/>
  <c r="FM379" s="1"/>
  <c r="FY398" i="91"/>
  <c r="FS398"/>
  <c r="FV398" s="1"/>
  <c r="FU398" s="1"/>
  <c r="FW398"/>
  <c r="FX398" s="1"/>
  <c r="FY188" i="92"/>
  <c r="FN72"/>
  <c r="FO72" s="1"/>
  <c r="FP72" s="1"/>
  <c r="D73" s="1"/>
  <c r="GD177" i="87"/>
  <c r="GO176" s="1"/>
  <c r="FO29" i="86"/>
  <c r="GE177" i="87"/>
  <c r="FT176" i="92"/>
  <c r="FR179" s="1"/>
  <c r="I179" s="1"/>
  <c r="FP103"/>
  <c r="D93" s="1"/>
  <c r="FP91" i="91"/>
  <c r="FP142" s="1"/>
  <c r="FQ29" i="87"/>
  <c r="D29" s="1"/>
  <c r="FN446" i="92"/>
  <c r="FP446" s="1"/>
  <c r="FN457" s="1"/>
  <c r="BP95" i="91"/>
  <c r="FP125" i="92"/>
  <c r="FO125" s="1"/>
  <c r="FU129" s="1"/>
  <c r="FS142" i="91"/>
  <c r="FQ169" i="92"/>
  <c r="FN169" s="1"/>
  <c r="FO169" s="1"/>
  <c r="CB162" s="1"/>
  <c r="FP108" i="91"/>
  <c r="CG108" s="1"/>
  <c r="FM330" i="90"/>
  <c r="FM319"/>
  <c r="FP326"/>
  <c r="GO40"/>
  <c r="GU39" s="1"/>
  <c r="HH41"/>
  <c r="GG173" i="87"/>
  <c r="AA29" i="2"/>
  <c r="GC20" i="71" s="1"/>
  <c r="FM70"/>
  <c r="FL83" s="1"/>
  <c r="HH18" i="90"/>
  <c r="HH51"/>
  <c r="HH21"/>
  <c r="HH45"/>
  <c r="HH35"/>
  <c r="HH12"/>
  <c r="HH46"/>
  <c r="HH43"/>
  <c r="HH22"/>
  <c r="HH9"/>
  <c r="HH29"/>
  <c r="HH20"/>
  <c r="HH48"/>
  <c r="HH52"/>
  <c r="HH40"/>
  <c r="HH7"/>
  <c r="HH23"/>
  <c r="HH54"/>
  <c r="HH30"/>
  <c r="HH28"/>
  <c r="HH5"/>
  <c r="HH27"/>
  <c r="HH13"/>
  <c r="HH38"/>
  <c r="HH8"/>
  <c r="HH32"/>
  <c r="HH15"/>
  <c r="FL334" i="92"/>
  <c r="EE330" s="1"/>
  <c r="HH26" i="90"/>
  <c r="HH42"/>
  <c r="HH49"/>
  <c r="HH25"/>
  <c r="HH33"/>
  <c r="HH17"/>
  <c r="HH19"/>
  <c r="HH37"/>
  <c r="HH53"/>
  <c r="HH34"/>
  <c r="HH6"/>
  <c r="HH14"/>
  <c r="HH39"/>
  <c r="HH55"/>
  <c r="HH10"/>
  <c r="HH44"/>
  <c r="HH36"/>
  <c r="HH50"/>
  <c r="HH24"/>
  <c r="HH56"/>
  <c r="HH31"/>
  <c r="AA32" i="2"/>
  <c r="GC26" i="88" s="1"/>
  <c r="CB62"/>
  <c r="BZ61"/>
  <c r="CB60"/>
  <c r="FN61"/>
  <c r="AD66" s="1"/>
  <c r="GP29"/>
  <c r="CB61"/>
  <c r="DE61"/>
  <c r="D58"/>
  <c r="FM307" i="92"/>
  <c r="HC43" i="88"/>
  <c r="HL43" s="1"/>
  <c r="HK28" i="90"/>
  <c r="GZ34"/>
  <c r="HK18"/>
  <c r="HE33"/>
  <c r="HK21"/>
  <c r="HK10"/>
  <c r="I74"/>
  <c r="FR71"/>
  <c r="FT71" s="1"/>
  <c r="V77"/>
  <c r="HK50"/>
  <c r="HK36"/>
  <c r="HK9"/>
  <c r="HK48"/>
  <c r="HK44"/>
  <c r="V74"/>
  <c r="GN42"/>
  <c r="FR89"/>
  <c r="V89" s="1"/>
  <c r="FS94"/>
  <c r="AI94" s="1"/>
  <c r="HE36"/>
  <c r="HK53"/>
  <c r="HK41"/>
  <c r="HK43"/>
  <c r="HK23"/>
  <c r="I92"/>
  <c r="V92"/>
  <c r="GZ33"/>
  <c r="HE42"/>
  <c r="HK32"/>
  <c r="HK17"/>
  <c r="HK26"/>
  <c r="HK52"/>
  <c r="HK56"/>
  <c r="HK33"/>
  <c r="HK25"/>
  <c r="HK54"/>
  <c r="HK51"/>
  <c r="HK47"/>
  <c r="HK11"/>
  <c r="HK20"/>
  <c r="HE6"/>
  <c r="HE45"/>
  <c r="HK31"/>
  <c r="HK42"/>
  <c r="HK38"/>
  <c r="HK13"/>
  <c r="HK37"/>
  <c r="HK19"/>
  <c r="HE13"/>
  <c r="HE18"/>
  <c r="HE23"/>
  <c r="HK40"/>
  <c r="HK30"/>
  <c r="HK45"/>
  <c r="HK7"/>
  <c r="HK8"/>
  <c r="HK27"/>
  <c r="HK5"/>
  <c r="HE19"/>
  <c r="HE10"/>
  <c r="HE55"/>
  <c r="HK49"/>
  <c r="HK22"/>
  <c r="HK14"/>
  <c r="HK15"/>
  <c r="HK39"/>
  <c r="HK6"/>
  <c r="HK29"/>
  <c r="HK35"/>
  <c r="HK24"/>
  <c r="HK34"/>
  <c r="HK12"/>
  <c r="HK55"/>
  <c r="HE52"/>
  <c r="HE32"/>
  <c r="HE54"/>
  <c r="HE51"/>
  <c r="HE44"/>
  <c r="HE30"/>
  <c r="HE43"/>
  <c r="HE12"/>
  <c r="HE9"/>
  <c r="HE8"/>
  <c r="HE31"/>
  <c r="HE15"/>
  <c r="HE41"/>
  <c r="HE46"/>
  <c r="HE7"/>
  <c r="HE14"/>
  <c r="HE50"/>
  <c r="HE17"/>
  <c r="HE21"/>
  <c r="HE29"/>
  <c r="HE47"/>
  <c r="HE39"/>
  <c r="HE56"/>
  <c r="HE37"/>
  <c r="HE35"/>
  <c r="HE24"/>
  <c r="HE28"/>
  <c r="HE26"/>
  <c r="HE49"/>
  <c r="HE38"/>
  <c r="HE48"/>
  <c r="HE22"/>
  <c r="HE20"/>
  <c r="HE5"/>
  <c r="HE34"/>
  <c r="HE27"/>
  <c r="HE53"/>
  <c r="HE40"/>
  <c r="FL52" i="92"/>
  <c r="GN41" i="90"/>
  <c r="FS79"/>
  <c r="AI79" s="1"/>
  <c r="FS76"/>
  <c r="GM41"/>
  <c r="GN43"/>
  <c r="GR40"/>
  <c r="GT41" s="1"/>
  <c r="GE58"/>
  <c r="I80"/>
  <c r="FM297" i="92"/>
  <c r="I77" i="90"/>
  <c r="GD58"/>
  <c r="GM42"/>
  <c r="GL41"/>
  <c r="FS82"/>
  <c r="AI82" s="1"/>
  <c r="FT80"/>
  <c r="AV80" s="1"/>
  <c r="GJ32"/>
  <c r="GK32"/>
  <c r="EE40" i="92" l="1"/>
  <c r="FQ36" i="87"/>
  <c r="FR40" s="1"/>
  <c r="GD169"/>
  <c r="GF174" s="1"/>
  <c r="FP29" i="86"/>
  <c r="FR29" s="1"/>
  <c r="AB33" s="1"/>
  <c r="CB441" i="92"/>
  <c r="CW165"/>
  <c r="FO379"/>
  <c r="FN390" s="1"/>
  <c r="FN400" s="1"/>
  <c r="D373"/>
  <c r="CB161"/>
  <c r="FN103"/>
  <c r="FO103" s="1"/>
  <c r="FM103" s="1"/>
  <c r="FO55"/>
  <c r="FO108" i="91"/>
  <c r="CE114" s="1"/>
  <c r="CB99" i="92"/>
  <c r="FP169"/>
  <c r="CB163" s="1"/>
  <c r="FV179"/>
  <c r="FX179" s="1"/>
  <c r="CI179" s="1"/>
  <c r="FO446"/>
  <c r="FM446" s="1"/>
  <c r="FR184"/>
  <c r="I184" s="1"/>
  <c r="FR181"/>
  <c r="I181" s="1"/>
  <c r="FV176"/>
  <c r="FS179" s="1"/>
  <c r="FY179"/>
  <c r="FQ91" i="91"/>
  <c r="BP91" s="1"/>
  <c r="FQ108"/>
  <c r="FP33" i="87"/>
  <c r="FQ33" s="1"/>
  <c r="FR33" s="1"/>
  <c r="FS33" s="1"/>
  <c r="FM33" s="1"/>
  <c r="D72" i="92"/>
  <c r="D71"/>
  <c r="FP334" i="90"/>
  <c r="FM326"/>
  <c r="GU41"/>
  <c r="GW41" s="1"/>
  <c r="GB32"/>
  <c r="GB33" s="1"/>
  <c r="GB43" s="1"/>
  <c r="GZ36"/>
  <c r="GU40"/>
  <c r="Q5" i="2"/>
  <c r="P20" s="1"/>
  <c r="FO67" i="90"/>
  <c r="AD67" i="88"/>
  <c r="AM83" i="71"/>
  <c r="GC32"/>
  <c r="GB41" s="1"/>
  <c r="GA41" s="1"/>
  <c r="CP83"/>
  <c r="DU83"/>
  <c r="BP83"/>
  <c r="EA89"/>
  <c r="U83"/>
  <c r="AV83"/>
  <c r="CS83"/>
  <c r="DC83"/>
  <c r="E83"/>
  <c r="BR83"/>
  <c r="DK83"/>
  <c r="FN93"/>
  <c r="CF83"/>
  <c r="AS83"/>
  <c r="EJ83"/>
  <c r="X85"/>
  <c r="FK83"/>
  <c r="DP83"/>
  <c r="DA83"/>
  <c r="CU83"/>
  <c r="EW83"/>
  <c r="AW83"/>
  <c r="X83"/>
  <c r="CD83"/>
  <c r="I83"/>
  <c r="CV83"/>
  <c r="CG83"/>
  <c r="AQ83"/>
  <c r="FJ83"/>
  <c r="BZ83"/>
  <c r="BQ83"/>
  <c r="EM83"/>
  <c r="EK83"/>
  <c r="EQ83"/>
  <c r="X89"/>
  <c r="EU83"/>
  <c r="CI83"/>
  <c r="AR83"/>
  <c r="DM83"/>
  <c r="EV83"/>
  <c r="L83"/>
  <c r="AB83"/>
  <c r="BW83"/>
  <c r="D71"/>
  <c r="R83"/>
  <c r="EF83"/>
  <c r="FB83"/>
  <c r="BU83"/>
  <c r="AA83"/>
  <c r="DX83"/>
  <c r="BT83"/>
  <c r="X84"/>
  <c r="S83"/>
  <c r="CB83"/>
  <c r="F83"/>
  <c r="BL83"/>
  <c r="G83"/>
  <c r="DE83"/>
  <c r="AK83"/>
  <c r="BK83"/>
  <c r="EC83"/>
  <c r="ET83"/>
  <c r="BM83"/>
  <c r="CH83"/>
  <c r="FG83"/>
  <c r="BD83"/>
  <c r="DW83"/>
  <c r="AC83"/>
  <c r="ES83"/>
  <c r="BI83"/>
  <c r="FA83"/>
  <c r="CQ83"/>
  <c r="CN83"/>
  <c r="CM83"/>
  <c r="X90"/>
  <c r="AH83"/>
  <c r="AD83"/>
  <c r="AP83"/>
  <c r="D72"/>
  <c r="CY83"/>
  <c r="FN89"/>
  <c r="EI83"/>
  <c r="EG83"/>
  <c r="EP83"/>
  <c r="X94"/>
  <c r="AI83"/>
  <c r="X88"/>
  <c r="DF83"/>
  <c r="DT83"/>
  <c r="AT83"/>
  <c r="CZ83"/>
  <c r="BE83"/>
  <c r="X96"/>
  <c r="EN83"/>
  <c r="BC83"/>
  <c r="X93"/>
  <c r="W89"/>
  <c r="FH83"/>
  <c r="W85"/>
  <c r="AN83"/>
  <c r="EX83"/>
  <c r="AF83"/>
  <c r="FD83"/>
  <c r="M83"/>
  <c r="Z83"/>
  <c r="Q83"/>
  <c r="X97"/>
  <c r="X92"/>
  <c r="DR83"/>
  <c r="D73"/>
  <c r="DQ83"/>
  <c r="DL83"/>
  <c r="DS83"/>
  <c r="BX83"/>
  <c r="CW83"/>
  <c r="AY83"/>
  <c r="DD83"/>
  <c r="FC83"/>
  <c r="EH83"/>
  <c r="CC83"/>
  <c r="CK83"/>
  <c r="BG83"/>
  <c r="P83"/>
  <c r="BB83"/>
  <c r="BF83"/>
  <c r="EB83"/>
  <c r="EA93"/>
  <c r="J83"/>
  <c r="DB83"/>
  <c r="DV83"/>
  <c r="D70"/>
  <c r="EL83"/>
  <c r="W97"/>
  <c r="EA85"/>
  <c r="EY83"/>
  <c r="D74"/>
  <c r="FF83"/>
  <c r="CT83"/>
  <c r="EA83"/>
  <c r="EE83"/>
  <c r="AO83"/>
  <c r="BV83"/>
  <c r="X86"/>
  <c r="CJ83"/>
  <c r="DZ83"/>
  <c r="BS83"/>
  <c r="O83"/>
  <c r="K83"/>
  <c r="AJ83"/>
  <c r="DH83"/>
  <c r="Y83"/>
  <c r="AE83"/>
  <c r="CX83"/>
  <c r="CE83"/>
  <c r="BH83"/>
  <c r="N83"/>
  <c r="FE83"/>
  <c r="X98"/>
  <c r="ER83"/>
  <c r="CA83"/>
  <c r="BJ83"/>
  <c r="DJ83"/>
  <c r="DY83"/>
  <c r="BA83"/>
  <c r="BO83"/>
  <c r="CR83"/>
  <c r="T83"/>
  <c r="BY83"/>
  <c r="ED83"/>
  <c r="EO83"/>
  <c r="BN83"/>
  <c r="EZ83"/>
  <c r="DI83"/>
  <c r="AG83"/>
  <c r="DN83"/>
  <c r="AX83"/>
  <c r="CO83"/>
  <c r="EA97"/>
  <c r="FN97"/>
  <c r="W93"/>
  <c r="AL83"/>
  <c r="W83"/>
  <c r="AZ83"/>
  <c r="V83"/>
  <c r="FN85"/>
  <c r="AU83"/>
  <c r="FI83"/>
  <c r="CL83"/>
  <c r="DG83"/>
  <c r="DO83"/>
  <c r="H83"/>
  <c r="D83"/>
  <c r="GC40" i="88"/>
  <c r="FN67"/>
  <c r="AD68"/>
  <c r="CZ67"/>
  <c r="DG61"/>
  <c r="D64"/>
  <c r="FT89" i="90"/>
  <c r="AV89" s="1"/>
  <c r="FJ307" i="92"/>
  <c r="HO43" i="88"/>
  <c r="HP43" s="1"/>
  <c r="FS88" i="90"/>
  <c r="AI88" s="1"/>
  <c r="FS73"/>
  <c r="AI73" s="1"/>
  <c r="V71"/>
  <c r="FS70"/>
  <c r="AI70" s="1"/>
  <c r="FS91"/>
  <c r="AI91" s="1"/>
  <c r="GV32"/>
  <c r="GV33" s="1"/>
  <c r="GX33" s="1"/>
  <c r="FL307" i="92"/>
  <c r="Q4" i="2"/>
  <c r="P19" s="1"/>
  <c r="CB443" i="92"/>
  <c r="FN449"/>
  <c r="FM449" s="1"/>
  <c r="FN383"/>
  <c r="FM383" s="1"/>
  <c r="FS371"/>
  <c r="FN387" s="1"/>
  <c r="FP196"/>
  <c r="FP200" s="1"/>
  <c r="FP213"/>
  <c r="D190"/>
  <c r="FM169"/>
  <c r="FN76"/>
  <c r="FQ82"/>
  <c r="D82" s="1"/>
  <c r="FZ398" i="91"/>
  <c r="FR129" i="92"/>
  <c r="FS129"/>
  <c r="FT129"/>
  <c r="Q3" i="2"/>
  <c r="P18" s="1"/>
  <c r="FQ129" i="92"/>
  <c r="FV129"/>
  <c r="FO129"/>
  <c r="FP129"/>
  <c r="D125"/>
  <c r="GF27" i="71"/>
  <c r="GF28"/>
  <c r="GC21"/>
  <c r="GW39" i="90"/>
  <c r="GV39"/>
  <c r="GF36" i="88"/>
  <c r="GC27"/>
  <c r="GF35"/>
  <c r="O4" i="2"/>
  <c r="P4" s="1"/>
  <c r="GN44" i="90"/>
  <c r="DB67" i="88" l="1"/>
  <c r="FM471" i="92"/>
  <c r="EU302"/>
  <c r="FL76"/>
  <c r="FL169"/>
  <c r="FM457"/>
  <c r="FJ457" s="1"/>
  <c r="FK471" s="1"/>
  <c r="FL471" s="1"/>
  <c r="FU29" i="86"/>
  <c r="FN94" s="1"/>
  <c r="GF173" i="87"/>
  <c r="GF172"/>
  <c r="GG174" s="1"/>
  <c r="GH172" s="1"/>
  <c r="GH174" s="1"/>
  <c r="D27" i="86"/>
  <c r="FR36" i="87"/>
  <c r="FS36" s="1"/>
  <c r="FT36" s="1"/>
  <c r="FM40" s="1"/>
  <c r="GB44" i="88"/>
  <c r="GB79" s="1"/>
  <c r="HT43"/>
  <c r="GD43"/>
  <c r="HS43"/>
  <c r="FO390" i="92"/>
  <c r="FO404" s="1"/>
  <c r="FN404" s="1"/>
  <c r="FM404" s="1"/>
  <c r="FY184"/>
  <c r="FV184"/>
  <c r="FX184" s="1"/>
  <c r="FO186" s="1"/>
  <c r="BB113" i="91"/>
  <c r="BB115"/>
  <c r="BT92" i="92"/>
  <c r="BI179"/>
  <c r="FS184"/>
  <c r="FU184" s="1"/>
  <c r="AV184" s="1"/>
  <c r="FN186" s="1"/>
  <c r="AZ114" i="91"/>
  <c r="D111"/>
  <c r="BB114"/>
  <c r="FY181" i="92"/>
  <c r="GA179"/>
  <c r="GC179" s="1"/>
  <c r="DV179" s="1"/>
  <c r="FV181"/>
  <c r="BI181" s="1"/>
  <c r="FS181"/>
  <c r="V181" s="1"/>
  <c r="FO33" i="87"/>
  <c r="BC41" s="1"/>
  <c r="FQ142" i="91"/>
  <c r="FP146" s="1"/>
  <c r="FM146" s="1"/>
  <c r="FR108"/>
  <c r="FP115" s="1"/>
  <c r="FQ114"/>
  <c r="BP93"/>
  <c r="FP114"/>
  <c r="FQ405"/>
  <c r="FM334" i="90"/>
  <c r="GM41" i="71"/>
  <c r="GB40"/>
  <c r="GC40" s="1"/>
  <c r="GV41" i="90"/>
  <c r="FO73"/>
  <c r="GM50" i="71"/>
  <c r="GB45"/>
  <c r="GM60" s="1"/>
  <c r="HD35"/>
  <c r="GB38"/>
  <c r="GD38" s="1"/>
  <c r="GC41"/>
  <c r="GM35"/>
  <c r="GC35"/>
  <c r="GM64"/>
  <c r="GM85"/>
  <c r="GB39"/>
  <c r="GB54" s="1"/>
  <c r="GA54" s="1"/>
  <c r="GB37"/>
  <c r="GD37" s="1"/>
  <c r="GB70"/>
  <c r="GA70" s="1"/>
  <c r="GN31"/>
  <c r="GM79"/>
  <c r="GB43"/>
  <c r="GM73" s="1"/>
  <c r="GB56"/>
  <c r="GA56" s="1"/>
  <c r="GB42"/>
  <c r="GC42" s="1"/>
  <c r="GB44"/>
  <c r="GC44" s="1"/>
  <c r="GM56"/>
  <c r="GD35"/>
  <c r="GB36"/>
  <c r="GM51" s="1"/>
  <c r="GM70"/>
  <c r="D71" i="88"/>
  <c r="FM97" i="71"/>
  <c r="X109" s="1"/>
  <c r="GM92" i="88"/>
  <c r="GB52"/>
  <c r="GB87" s="1"/>
  <c r="GA87" s="1"/>
  <c r="GB47"/>
  <c r="GB82" s="1"/>
  <c r="GA82" s="1"/>
  <c r="GM43"/>
  <c r="GB50"/>
  <c r="GB85" s="1"/>
  <c r="GA85" s="1"/>
  <c r="GB49"/>
  <c r="GM84" s="1"/>
  <c r="GM78"/>
  <c r="GC43"/>
  <c r="GB46"/>
  <c r="GB61" s="1"/>
  <c r="GA61" s="1"/>
  <c r="GB53"/>
  <c r="GB88" s="1"/>
  <c r="GA88" s="1"/>
  <c r="GB51"/>
  <c r="GM51" s="1"/>
  <c r="D70"/>
  <c r="GW53"/>
  <c r="GW52" s="1"/>
  <c r="GV53"/>
  <c r="GV46" s="1"/>
  <c r="GM58"/>
  <c r="GN39"/>
  <c r="GB48"/>
  <c r="GA48" s="1"/>
  <c r="GB45"/>
  <c r="GC45" s="1"/>
  <c r="D73"/>
  <c r="D27" i="27"/>
  <c r="S5" i="2" s="1"/>
  <c r="GW35" i="90"/>
  <c r="GW34"/>
  <c r="GW33"/>
  <c r="D371" i="92"/>
  <c r="FO213"/>
  <c r="FP217"/>
  <c r="FO196"/>
  <c r="FS188"/>
  <c r="FP204" s="1"/>
  <c r="V179"/>
  <c r="FU179"/>
  <c r="AV179" s="1"/>
  <c r="FR82"/>
  <c r="FM129"/>
  <c r="FS82"/>
  <c r="FR405" i="91"/>
  <c r="FQ420" s="1"/>
  <c r="BT95" i="92"/>
  <c r="GA89" i="71"/>
  <c r="GE28"/>
  <c r="GE27"/>
  <c r="GE29"/>
  <c r="GL31" i="90"/>
  <c r="GN40"/>
  <c r="FU80" s="1"/>
  <c r="GE37" i="88"/>
  <c r="GE36"/>
  <c r="GE35"/>
  <c r="FO200" i="92"/>
  <c r="FM400"/>
  <c r="FK468" l="1"/>
  <c r="FL468" s="1"/>
  <c r="FN468"/>
  <c r="FO468" s="1"/>
  <c r="EE76"/>
  <c r="HS53" i="88"/>
  <c r="HT53"/>
  <c r="HS46"/>
  <c r="GD45"/>
  <c r="HS50"/>
  <c r="FL457" i="92"/>
  <c r="FO94" i="86"/>
  <c r="O47"/>
  <c r="O44" s="1"/>
  <c r="AB44" s="1"/>
  <c r="FS44" s="1"/>
  <c r="FO204" i="92"/>
  <c r="FL204" s="1"/>
  <c r="EE200" s="1"/>
  <c r="EE169"/>
  <c r="FL129"/>
  <c r="FM387"/>
  <c r="FJ387" s="1"/>
  <c r="FL103"/>
  <c r="EE103" s="1"/>
  <c r="FV35" i="86"/>
  <c r="FW35" s="1"/>
  <c r="FN96"/>
  <c r="FO93"/>
  <c r="GH169" i="87"/>
  <c r="GH170" s="1"/>
  <c r="GH171" s="1"/>
  <c r="GD174" s="1"/>
  <c r="FO180" i="92"/>
  <c r="GM79" i="88"/>
  <c r="GC44"/>
  <c r="HT51"/>
  <c r="HT52"/>
  <c r="HS51"/>
  <c r="HS47"/>
  <c r="HT50"/>
  <c r="HT45"/>
  <c r="HS48"/>
  <c r="GM44"/>
  <c r="HS45"/>
  <c r="HT44"/>
  <c r="HT46"/>
  <c r="HT48"/>
  <c r="HT47"/>
  <c r="HS49"/>
  <c r="HT49"/>
  <c r="GM93"/>
  <c r="GB59"/>
  <c r="GM59"/>
  <c r="GD44"/>
  <c r="HS52"/>
  <c r="GD47"/>
  <c r="GD48"/>
  <c r="GD46"/>
  <c r="HS44"/>
  <c r="D393" i="92"/>
  <c r="FO40" i="87"/>
  <c r="BU40" s="1"/>
  <c r="FW183" i="92"/>
  <c r="BV183" s="1"/>
  <c r="FO183" s="1"/>
  <c r="FT180"/>
  <c r="AI180" s="1"/>
  <c r="GA184"/>
  <c r="GC184" s="1"/>
  <c r="FP186" s="1"/>
  <c r="BU33" i="87"/>
  <c r="FU181" i="92"/>
  <c r="AV181" s="1"/>
  <c r="FT183"/>
  <c r="FN183" s="1"/>
  <c r="CV179"/>
  <c r="FW180"/>
  <c r="BV180" s="1"/>
  <c r="BS40" i="87"/>
  <c r="BC40"/>
  <c r="GA181" i="92"/>
  <c r="CV181" s="1"/>
  <c r="FX181"/>
  <c r="CI181" s="1"/>
  <c r="BA40" i="87"/>
  <c r="D37"/>
  <c r="BC39"/>
  <c r="O3" i="2"/>
  <c r="P3" s="1"/>
  <c r="D36" i="87"/>
  <c r="FM114" i="91"/>
  <c r="CG114" s="1"/>
  <c r="FQ152"/>
  <c r="FR159"/>
  <c r="FP152"/>
  <c r="FM152" s="1"/>
  <c r="FQ430"/>
  <c r="FQ411"/>
  <c r="FM405"/>
  <c r="GD40" i="71"/>
  <c r="FO114" i="91"/>
  <c r="CG121" s="1"/>
  <c r="GM55" i="71"/>
  <c r="GD61" s="1"/>
  <c r="GB69"/>
  <c r="GA69" s="1"/>
  <c r="GA40"/>
  <c r="GM40"/>
  <c r="GG32" s="1"/>
  <c r="GM69"/>
  <c r="GM84"/>
  <c r="GA92" s="1"/>
  <c r="GB55"/>
  <c r="GA55" s="1"/>
  <c r="FZ80" i="90"/>
  <c r="GM53" i="71"/>
  <c r="GA37"/>
  <c r="HA87" s="1"/>
  <c r="HA61" s="1"/>
  <c r="HJ61" s="1"/>
  <c r="GM58"/>
  <c r="GA43"/>
  <c r="GA38"/>
  <c r="GM38"/>
  <c r="GM66"/>
  <c r="GV51" i="88"/>
  <c r="GM86"/>
  <c r="GC37" i="71"/>
  <c r="GB52"/>
  <c r="GA52" s="1"/>
  <c r="GB73"/>
  <c r="GA73" s="1"/>
  <c r="GM52"/>
  <c r="GB66"/>
  <c r="GA66" s="1"/>
  <c r="GA65" s="1"/>
  <c r="GB58"/>
  <c r="GA58" s="1"/>
  <c r="GM87"/>
  <c r="GM43"/>
  <c r="GM37"/>
  <c r="GM81"/>
  <c r="GC43"/>
  <c r="X118"/>
  <c r="HG35"/>
  <c r="GB67"/>
  <c r="GA67" s="1"/>
  <c r="GB53"/>
  <c r="GA53" s="1"/>
  <c r="GM82"/>
  <c r="GM67"/>
  <c r="GC38"/>
  <c r="GB74"/>
  <c r="GA74" s="1"/>
  <c r="GB59"/>
  <c r="GA59" s="1"/>
  <c r="GM45"/>
  <c r="GA45"/>
  <c r="HD87" s="1"/>
  <c r="HD61" s="1"/>
  <c r="GM89"/>
  <c r="GM75"/>
  <c r="GM54"/>
  <c r="GM88"/>
  <c r="GB75"/>
  <c r="GA75" s="1"/>
  <c r="GB89"/>
  <c r="GB87" s="1"/>
  <c r="GM68"/>
  <c r="GM59"/>
  <c r="GC45"/>
  <c r="GB60"/>
  <c r="HG87" s="1"/>
  <c r="GM83"/>
  <c r="GA39"/>
  <c r="GC36"/>
  <c r="GM86"/>
  <c r="GB57"/>
  <c r="GA57" s="1"/>
  <c r="GM36"/>
  <c r="GM65"/>
  <c r="GM74"/>
  <c r="GM44"/>
  <c r="GB71"/>
  <c r="GA71" s="1"/>
  <c r="GM71"/>
  <c r="GB51"/>
  <c r="GD39"/>
  <c r="GD36"/>
  <c r="GM57"/>
  <c r="GB65"/>
  <c r="GM80"/>
  <c r="GA44"/>
  <c r="GM42"/>
  <c r="GA42"/>
  <c r="GB68"/>
  <c r="GA68" s="1"/>
  <c r="GM39"/>
  <c r="GC39"/>
  <c r="GA52" i="88"/>
  <c r="GB86"/>
  <c r="GA86" s="1"/>
  <c r="GV43"/>
  <c r="GC52"/>
  <c r="GM87"/>
  <c r="GM88"/>
  <c r="GB73"/>
  <c r="GA73" s="1"/>
  <c r="GB72"/>
  <c r="GA72" s="1"/>
  <c r="GM82"/>
  <c r="EA117" i="71"/>
  <c r="GB84" i="88"/>
  <c r="GA84" s="1"/>
  <c r="EA113" i="71"/>
  <c r="GA47" i="88"/>
  <c r="GA50"/>
  <c r="EA109" i="71"/>
  <c r="D101"/>
  <c r="GM62" i="88"/>
  <c r="FN113" i="71"/>
  <c r="X105"/>
  <c r="GM50" i="88"/>
  <c r="GB62"/>
  <c r="GA62" s="1"/>
  <c r="W113" i="71"/>
  <c r="X108"/>
  <c r="EA105"/>
  <c r="W109"/>
  <c r="W105"/>
  <c r="GC47" i="88"/>
  <c r="GB80"/>
  <c r="GA80" s="1"/>
  <c r="GM80"/>
  <c r="GM96"/>
  <c r="X106" i="71"/>
  <c r="X113"/>
  <c r="X110"/>
  <c r="X112"/>
  <c r="FN109"/>
  <c r="FN117"/>
  <c r="D122" s="1"/>
  <c r="X104"/>
  <c r="GM60" i="88"/>
  <c r="D99" i="71"/>
  <c r="D102"/>
  <c r="GB71" i="88"/>
  <c r="GA71" s="1"/>
  <c r="GM94"/>
  <c r="GM47"/>
  <c r="X116" i="71"/>
  <c r="X117"/>
  <c r="W117"/>
  <c r="X114"/>
  <c r="FN105"/>
  <c r="GM81" i="88"/>
  <c r="GB81"/>
  <c r="GA81" s="1"/>
  <c r="GW50"/>
  <c r="GM70"/>
  <c r="GM98"/>
  <c r="GA46"/>
  <c r="GA49"/>
  <c r="GM61"/>
  <c r="GM49"/>
  <c r="GW46"/>
  <c r="GM95"/>
  <c r="GC49"/>
  <c r="GW47"/>
  <c r="GM46"/>
  <c r="HF43"/>
  <c r="GC46"/>
  <c r="GB70"/>
  <c r="HI43" s="1"/>
  <c r="GW51"/>
  <c r="GW48"/>
  <c r="GW49"/>
  <c r="GA53"/>
  <c r="HF100" s="1"/>
  <c r="GC53"/>
  <c r="GM72"/>
  <c r="GB102"/>
  <c r="GB97" s="1"/>
  <c r="GW43"/>
  <c r="GW45"/>
  <c r="GM53"/>
  <c r="GV48"/>
  <c r="GW44"/>
  <c r="GB74"/>
  <c r="GA74" s="1"/>
  <c r="GM102"/>
  <c r="GM52"/>
  <c r="GM101"/>
  <c r="GM74"/>
  <c r="GM73"/>
  <c r="GX34" i="90"/>
  <c r="GV47" i="88"/>
  <c r="GV45"/>
  <c r="GV49"/>
  <c r="GM48"/>
  <c r="GK40" s="1"/>
  <c r="FZ80" s="1"/>
  <c r="GV52"/>
  <c r="D207" i="92"/>
  <c r="GM85" i="88"/>
  <c r="GM63"/>
  <c r="GC75" s="1"/>
  <c r="GM83"/>
  <c r="GB60"/>
  <c r="GA60" s="1"/>
  <c r="GC50"/>
  <c r="GC51"/>
  <c r="GM100"/>
  <c r="GC48"/>
  <c r="GB63"/>
  <c r="GA63" s="1"/>
  <c r="GV44"/>
  <c r="GV50"/>
  <c r="GM71"/>
  <c r="GM99"/>
  <c r="GM97"/>
  <c r="GA105" s="1"/>
  <c r="GB83"/>
  <c r="GA83" s="1"/>
  <c r="GM45"/>
  <c r="GA51"/>
  <c r="GA45"/>
  <c r="HC100" s="1"/>
  <c r="HC46" s="1"/>
  <c r="HL46" s="1"/>
  <c r="GX35" i="90"/>
  <c r="FN408" i="92"/>
  <c r="FN412" s="1"/>
  <c r="FM412" s="1"/>
  <c r="D188"/>
  <c r="FP221"/>
  <c r="FO217"/>
  <c r="FO82"/>
  <c r="D81" s="1"/>
  <c r="FR420" i="91"/>
  <c r="FP420"/>
  <c r="FT398"/>
  <c r="FQ417" s="1"/>
  <c r="FR430"/>
  <c r="GA81" i="71"/>
  <c r="GA80" s="1"/>
  <c r="GA82"/>
  <c r="GA84"/>
  <c r="GA86"/>
  <c r="GA87"/>
  <c r="GA88"/>
  <c r="GA83"/>
  <c r="GA85"/>
  <c r="GF29"/>
  <c r="GI57" i="90"/>
  <c r="GM34"/>
  <c r="GF37" i="88"/>
  <c r="GZ35" i="90"/>
  <c r="FX86"/>
  <c r="FY86" s="1"/>
  <c r="HL47"/>
  <c r="HL26"/>
  <c r="HL12"/>
  <c r="FU89"/>
  <c r="HL15"/>
  <c r="HI47"/>
  <c r="HI18"/>
  <c r="HL5"/>
  <c r="HM5" s="1"/>
  <c r="HL42"/>
  <c r="HL20"/>
  <c r="HL14"/>
  <c r="HI31"/>
  <c r="FU92"/>
  <c r="HL45"/>
  <c r="GH56"/>
  <c r="GG47"/>
  <c r="GO47"/>
  <c r="GH50"/>
  <c r="GG48"/>
  <c r="GG54"/>
  <c r="GH47"/>
  <c r="HL28"/>
  <c r="FX95"/>
  <c r="FY95" s="1"/>
  <c r="HL10"/>
  <c r="HI55"/>
  <c r="FU77"/>
  <c r="FU83"/>
  <c r="HI36"/>
  <c r="HI15"/>
  <c r="HL29"/>
  <c r="HL25"/>
  <c r="GH49"/>
  <c r="HL31"/>
  <c r="HI32"/>
  <c r="HL9"/>
  <c r="FU95"/>
  <c r="HI13"/>
  <c r="HL48"/>
  <c r="HL22"/>
  <c r="HI49"/>
  <c r="HI40"/>
  <c r="GK31"/>
  <c r="HL23"/>
  <c r="FU71"/>
  <c r="FW71" s="1"/>
  <c r="FU66"/>
  <c r="FU86"/>
  <c r="HI33"/>
  <c r="FX80"/>
  <c r="FY80" s="1"/>
  <c r="FX92"/>
  <c r="FY92" s="1"/>
  <c r="HI30"/>
  <c r="HL46"/>
  <c r="FU74"/>
  <c r="HI29"/>
  <c r="HI4"/>
  <c r="HI9"/>
  <c r="HI26"/>
  <c r="FX74"/>
  <c r="FY74" s="1"/>
  <c r="HI51"/>
  <c r="GG50"/>
  <c r="GG52"/>
  <c r="GF57"/>
  <c r="GG49"/>
  <c r="GG56"/>
  <c r="GH48"/>
  <c r="GT47"/>
  <c r="GG53"/>
  <c r="HL37"/>
  <c r="FX68"/>
  <c r="FY68" s="1"/>
  <c r="HL44"/>
  <c r="HL30"/>
  <c r="HL35"/>
  <c r="HL13"/>
  <c r="HI21"/>
  <c r="HL55"/>
  <c r="HI54"/>
  <c r="FU68"/>
  <c r="HI10"/>
  <c r="GH52"/>
  <c r="GH57"/>
  <c r="GH54"/>
  <c r="GH51"/>
  <c r="HI25"/>
  <c r="FX77"/>
  <c r="FY77" s="1"/>
  <c r="FX89"/>
  <c r="FY89" s="1"/>
  <c r="HI43"/>
  <c r="HL49"/>
  <c r="HI34"/>
  <c r="HL19"/>
  <c r="HL18"/>
  <c r="FX66"/>
  <c r="GH53"/>
  <c r="GG55"/>
  <c r="HL8"/>
  <c r="FX71"/>
  <c r="FY71" s="1"/>
  <c r="FX83"/>
  <c r="FY83" s="1"/>
  <c r="HI52"/>
  <c r="HI7"/>
  <c r="GG57"/>
  <c r="GG51"/>
  <c r="GH55"/>
  <c r="HL27"/>
  <c r="HI39"/>
  <c r="HL7"/>
  <c r="HL53"/>
  <c r="HL52"/>
  <c r="HI6"/>
  <c r="HL21"/>
  <c r="HI45"/>
  <c r="HI38"/>
  <c r="HI23"/>
  <c r="HL33"/>
  <c r="HL38"/>
  <c r="HI50"/>
  <c r="HI24"/>
  <c r="HI42"/>
  <c r="HI20"/>
  <c r="HL39"/>
  <c r="HL40"/>
  <c r="HI8"/>
  <c r="HL34"/>
  <c r="HI5"/>
  <c r="HI41"/>
  <c r="HL17"/>
  <c r="HI17"/>
  <c r="HI53"/>
  <c r="HL51"/>
  <c r="HL54"/>
  <c r="HL56"/>
  <c r="HI46"/>
  <c r="HI28"/>
  <c r="HL36"/>
  <c r="HI37"/>
  <c r="HL50"/>
  <c r="HL32"/>
  <c r="HI12"/>
  <c r="HL24"/>
  <c r="HI19"/>
  <c r="HI14"/>
  <c r="HL6"/>
  <c r="HI48"/>
  <c r="HI44"/>
  <c r="HI27"/>
  <c r="HI56"/>
  <c r="HL41"/>
  <c r="HI22"/>
  <c r="HI35"/>
  <c r="HL43"/>
  <c r="FN471" i="92" l="1"/>
  <c r="FO471" s="1"/>
  <c r="FK467"/>
  <c r="FL467" s="1"/>
  <c r="FN467"/>
  <c r="EE453"/>
  <c r="D118" i="87"/>
  <c r="D68"/>
  <c r="FL387" i="92"/>
  <c r="O35" i="86"/>
  <c r="AB35" s="1"/>
  <c r="FR34" s="1"/>
  <c r="O7" i="2" s="1"/>
  <c r="P7" s="1"/>
  <c r="EE129" i="92"/>
  <c r="FR94" i="86"/>
  <c r="O38"/>
  <c r="AB38" s="1"/>
  <c r="FS38" s="1"/>
  <c r="FQ39" s="1"/>
  <c r="AB47"/>
  <c r="FR46" s="1"/>
  <c r="O10" i="2" s="1"/>
  <c r="P10" s="1"/>
  <c r="O41" i="86"/>
  <c r="AB41" s="1"/>
  <c r="FS41" s="1"/>
  <c r="O13" i="2" s="1"/>
  <c r="P13" s="1"/>
  <c r="FN180" i="92"/>
  <c r="FO221"/>
  <c r="FL221" s="1"/>
  <c r="EE217" s="1"/>
  <c r="FJ204"/>
  <c r="GH173" i="87"/>
  <c r="GF171" s="1"/>
  <c r="GG171" s="1"/>
  <c r="GE174"/>
  <c r="GG177" s="1"/>
  <c r="FS204" s="1"/>
  <c r="GF170"/>
  <c r="GG170" s="1"/>
  <c r="GE33"/>
  <c r="GF33" s="1"/>
  <c r="GE29"/>
  <c r="GF29" s="1"/>
  <c r="D83"/>
  <c r="D45"/>
  <c r="R134"/>
  <c r="D104"/>
  <c r="D69"/>
  <c r="GE28"/>
  <c r="GF28" s="1"/>
  <c r="FP123"/>
  <c r="AF121" s="1"/>
  <c r="D44"/>
  <c r="D91"/>
  <c r="GE32"/>
  <c r="GF32" s="1"/>
  <c r="GF61"/>
  <c r="GH61" s="1"/>
  <c r="GE36"/>
  <c r="GF36" s="1"/>
  <c r="GE40"/>
  <c r="GF40" s="1"/>
  <c r="D101"/>
  <c r="D119"/>
  <c r="D93"/>
  <c r="D100"/>
  <c r="W123"/>
  <c r="AA136"/>
  <c r="D103"/>
  <c r="D120"/>
  <c r="GE35"/>
  <c r="GF35" s="1"/>
  <c r="D51"/>
  <c r="D95"/>
  <c r="GF64"/>
  <c r="GH64" s="1"/>
  <c r="GF58"/>
  <c r="GH58" s="1"/>
  <c r="D49"/>
  <c r="D46"/>
  <c r="D85"/>
  <c r="GF57"/>
  <c r="GH57" s="1"/>
  <c r="D82"/>
  <c r="D67"/>
  <c r="D92"/>
  <c r="D70"/>
  <c r="D99"/>
  <c r="W124"/>
  <c r="FN123"/>
  <c r="D142" s="1"/>
  <c r="D102"/>
  <c r="D117"/>
  <c r="GE39"/>
  <c r="GF39" s="1"/>
  <c r="GE38"/>
  <c r="GF38" s="1"/>
  <c r="GF63"/>
  <c r="GG63" s="1"/>
  <c r="GF59"/>
  <c r="GG59" s="1"/>
  <c r="D94"/>
  <c r="GF60"/>
  <c r="GH60" s="1"/>
  <c r="GF62"/>
  <c r="GG62" s="1"/>
  <c r="BL87"/>
  <c r="GE34"/>
  <c r="GF34" s="1"/>
  <c r="GF55"/>
  <c r="GG55" s="1"/>
  <c r="BL88"/>
  <c r="D98"/>
  <c r="D71"/>
  <c r="D47"/>
  <c r="GF65"/>
  <c r="GG65" s="1"/>
  <c r="D84"/>
  <c r="D43"/>
  <c r="D97"/>
  <c r="GE31"/>
  <c r="GF31" s="1"/>
  <c r="AX87"/>
  <c r="GF56"/>
  <c r="GH56" s="1"/>
  <c r="D52"/>
  <c r="D90"/>
  <c r="D96"/>
  <c r="D50"/>
  <c r="GB183" i="92"/>
  <c r="FP183" s="1"/>
  <c r="D81" i="87"/>
  <c r="AC123"/>
  <c r="AA133"/>
  <c r="W122"/>
  <c r="D105"/>
  <c r="FP180" i="92"/>
  <c r="FP159" i="91"/>
  <c r="FM159" s="1"/>
  <c r="GC181" i="92"/>
  <c r="DV181" s="1"/>
  <c r="GB180"/>
  <c r="DI180" s="1"/>
  <c r="FM430" i="91"/>
  <c r="FR437"/>
  <c r="FM417"/>
  <c r="FM411"/>
  <c r="BB120"/>
  <c r="BB122"/>
  <c r="BB121"/>
  <c r="D118"/>
  <c r="AZ121"/>
  <c r="D117"/>
  <c r="CE121"/>
  <c r="FO121"/>
  <c r="GC61" i="71"/>
  <c r="GI32"/>
  <c r="GM32"/>
  <c r="GH32"/>
  <c r="GY50" s="1"/>
  <c r="GL32"/>
  <c r="GK32"/>
  <c r="GJ32"/>
  <c r="GN32" s="1"/>
  <c r="HJ34" i="90"/>
  <c r="HA47" i="71"/>
  <c r="HJ47" s="1"/>
  <c r="HA69"/>
  <c r="HJ69" s="1"/>
  <c r="HA50"/>
  <c r="HJ50" s="1"/>
  <c r="HA42"/>
  <c r="HJ42" s="1"/>
  <c r="HA53"/>
  <c r="HJ53" s="1"/>
  <c r="HA68"/>
  <c r="HJ68" s="1"/>
  <c r="HA83"/>
  <c r="HJ83" s="1"/>
  <c r="HA45"/>
  <c r="HJ45" s="1"/>
  <c r="HA63"/>
  <c r="HJ63" s="1"/>
  <c r="HA74"/>
  <c r="HJ74" s="1"/>
  <c r="HA36"/>
  <c r="HJ36" s="1"/>
  <c r="HA84"/>
  <c r="HJ84" s="1"/>
  <c r="HA59"/>
  <c r="HJ59" s="1"/>
  <c r="HA62"/>
  <c r="HJ62" s="1"/>
  <c r="HA52"/>
  <c r="HJ52" s="1"/>
  <c r="HA82"/>
  <c r="HJ82" s="1"/>
  <c r="HA65"/>
  <c r="HJ65" s="1"/>
  <c r="HA58"/>
  <c r="HJ58" s="1"/>
  <c r="HA81"/>
  <c r="HJ81" s="1"/>
  <c r="HA57"/>
  <c r="HJ57" s="1"/>
  <c r="HA40"/>
  <c r="HJ40" s="1"/>
  <c r="HA77"/>
  <c r="HJ77" s="1"/>
  <c r="HA41"/>
  <c r="HJ41" s="1"/>
  <c r="HA73"/>
  <c r="HJ73" s="1"/>
  <c r="HA78"/>
  <c r="HJ78" s="1"/>
  <c r="HA46"/>
  <c r="HJ46" s="1"/>
  <c r="HA37"/>
  <c r="HJ37" s="1"/>
  <c r="HA70"/>
  <c r="HJ70" s="1"/>
  <c r="HA80"/>
  <c r="HJ80" s="1"/>
  <c r="HA67"/>
  <c r="HJ67" s="1"/>
  <c r="HA44"/>
  <c r="HJ44" s="1"/>
  <c r="HA79"/>
  <c r="HJ79" s="1"/>
  <c r="HA49"/>
  <c r="HJ49" s="1"/>
  <c r="HA38"/>
  <c r="HJ38" s="1"/>
  <c r="HA75"/>
  <c r="HJ75" s="1"/>
  <c r="HA66"/>
  <c r="HJ66" s="1"/>
  <c r="HA86"/>
  <c r="HJ86" s="1"/>
  <c r="HA48"/>
  <c r="HJ48" s="1"/>
  <c r="HA71"/>
  <c r="HJ71" s="1"/>
  <c r="HA76"/>
  <c r="HJ76" s="1"/>
  <c r="HA54"/>
  <c r="HJ54" s="1"/>
  <c r="HA39"/>
  <c r="HJ39" s="1"/>
  <c r="HA43"/>
  <c r="HJ43" s="1"/>
  <c r="HA55"/>
  <c r="HJ55" s="1"/>
  <c r="HJ87"/>
  <c r="HA51"/>
  <c r="HJ51" s="1"/>
  <c r="HA64"/>
  <c r="HJ64" s="1"/>
  <c r="HA85"/>
  <c r="HJ85" s="1"/>
  <c r="HA56"/>
  <c r="HJ56" s="1"/>
  <c r="HA60"/>
  <c r="HJ60" s="1"/>
  <c r="GB81"/>
  <c r="HD77"/>
  <c r="HD75"/>
  <c r="HD41"/>
  <c r="HD71"/>
  <c r="HD49"/>
  <c r="HD59"/>
  <c r="HD79"/>
  <c r="HC78" i="88"/>
  <c r="HL78" s="1"/>
  <c r="HD63" i="71"/>
  <c r="HD58"/>
  <c r="HD37"/>
  <c r="HD80"/>
  <c r="HD82"/>
  <c r="HD84"/>
  <c r="HD64"/>
  <c r="HD53"/>
  <c r="HD69"/>
  <c r="HD85"/>
  <c r="HD78"/>
  <c r="HD70"/>
  <c r="HD67"/>
  <c r="HD56"/>
  <c r="HD52"/>
  <c r="HD66"/>
  <c r="HD50"/>
  <c r="HD47"/>
  <c r="HD60"/>
  <c r="HD68"/>
  <c r="HD73"/>
  <c r="HD46"/>
  <c r="HD76"/>
  <c r="HD65"/>
  <c r="HD48"/>
  <c r="HD83"/>
  <c r="HD51"/>
  <c r="HD39"/>
  <c r="HD44"/>
  <c r="HD40"/>
  <c r="HD43"/>
  <c r="HD81"/>
  <c r="HD36"/>
  <c r="HD57"/>
  <c r="HD38"/>
  <c r="HD55"/>
  <c r="HD74"/>
  <c r="HD42"/>
  <c r="HD54"/>
  <c r="HD86"/>
  <c r="HD62"/>
  <c r="HD45"/>
  <c r="GA60"/>
  <c r="GB83"/>
  <c r="GB88"/>
  <c r="GB82"/>
  <c r="GB85"/>
  <c r="GB84"/>
  <c r="GB80"/>
  <c r="GB86"/>
  <c r="HF44" i="88"/>
  <c r="HC61"/>
  <c r="HL61" s="1"/>
  <c r="FM117" i="71"/>
  <c r="D119" s="1"/>
  <c r="D24" i="27"/>
  <c r="S3" i="2" s="1"/>
  <c r="D121" i="71"/>
  <c r="HF57" i="88"/>
  <c r="HF86"/>
  <c r="HF82"/>
  <c r="HF98"/>
  <c r="GJ40"/>
  <c r="GF81" s="1"/>
  <c r="HF48"/>
  <c r="GB98"/>
  <c r="HF76"/>
  <c r="GB95"/>
  <c r="GB93"/>
  <c r="GB96"/>
  <c r="GO40"/>
  <c r="HF99"/>
  <c r="HF84"/>
  <c r="HF49"/>
  <c r="HF62"/>
  <c r="GB101"/>
  <c r="GB94"/>
  <c r="HC71"/>
  <c r="HL71" s="1"/>
  <c r="HC88"/>
  <c r="HL88" s="1"/>
  <c r="HC93"/>
  <c r="HL93" s="1"/>
  <c r="GB99"/>
  <c r="GG40"/>
  <c r="HB101" s="1"/>
  <c r="HF70"/>
  <c r="HF85"/>
  <c r="HF83"/>
  <c r="GB100"/>
  <c r="HC50"/>
  <c r="HL50" s="1"/>
  <c r="HF50"/>
  <c r="HF61"/>
  <c r="HF78"/>
  <c r="HF88"/>
  <c r="HF59"/>
  <c r="HF95"/>
  <c r="HF77"/>
  <c r="HF54"/>
  <c r="HF46"/>
  <c r="HF63"/>
  <c r="HF93"/>
  <c r="HF74"/>
  <c r="HF89"/>
  <c r="HF94"/>
  <c r="HF71"/>
  <c r="HF97"/>
  <c r="HF56"/>
  <c r="HF73"/>
  <c r="HC53"/>
  <c r="HL53" s="1"/>
  <c r="HC87"/>
  <c r="HL87" s="1"/>
  <c r="HC86"/>
  <c r="HL86" s="1"/>
  <c r="HC89"/>
  <c r="HL89" s="1"/>
  <c r="HF72"/>
  <c r="HF80"/>
  <c r="HF87"/>
  <c r="HF45"/>
  <c r="HF55"/>
  <c r="HF51"/>
  <c r="HF96"/>
  <c r="HF47"/>
  <c r="HF81"/>
  <c r="HF91"/>
  <c r="HF79"/>
  <c r="HF52"/>
  <c r="HF53"/>
  <c r="HF92"/>
  <c r="HF75"/>
  <c r="HF58"/>
  <c r="HF90"/>
  <c r="HF60"/>
  <c r="HC76"/>
  <c r="HL76" s="1"/>
  <c r="HC47"/>
  <c r="HL47" s="1"/>
  <c r="HC94"/>
  <c r="HL94" s="1"/>
  <c r="GA70"/>
  <c r="HC58"/>
  <c r="HL58" s="1"/>
  <c r="HC59"/>
  <c r="HL59" s="1"/>
  <c r="HC80"/>
  <c r="HL80" s="1"/>
  <c r="HC83"/>
  <c r="HL83" s="1"/>
  <c r="HC44"/>
  <c r="HL44" s="1"/>
  <c r="HC85"/>
  <c r="HL85" s="1"/>
  <c r="HC45"/>
  <c r="HL45" s="1"/>
  <c r="HC96"/>
  <c r="HL96" s="1"/>
  <c r="HC79"/>
  <c r="HL79" s="1"/>
  <c r="HC73"/>
  <c r="HL73" s="1"/>
  <c r="HC99"/>
  <c r="HL99" s="1"/>
  <c r="HC55"/>
  <c r="HL55" s="1"/>
  <c r="HC51"/>
  <c r="HL51" s="1"/>
  <c r="HC56"/>
  <c r="HL56" s="1"/>
  <c r="HC75"/>
  <c r="HL75" s="1"/>
  <c r="HC60"/>
  <c r="HL60" s="1"/>
  <c r="HC49"/>
  <c r="HL49" s="1"/>
  <c r="HC57"/>
  <c r="HL57" s="1"/>
  <c r="HC74"/>
  <c r="HL74" s="1"/>
  <c r="HC81"/>
  <c r="HL81" s="1"/>
  <c r="HC97"/>
  <c r="HL97" s="1"/>
  <c r="HC52"/>
  <c r="HL52" s="1"/>
  <c r="HC70"/>
  <c r="HL70" s="1"/>
  <c r="HC90"/>
  <c r="HL90" s="1"/>
  <c r="HC95"/>
  <c r="HL95" s="1"/>
  <c r="HI100"/>
  <c r="HI47" s="1"/>
  <c r="HC62"/>
  <c r="HL62" s="1"/>
  <c r="HC63"/>
  <c r="HL63" s="1"/>
  <c r="HL100"/>
  <c r="HO100"/>
  <c r="HO60" s="1"/>
  <c r="HC98"/>
  <c r="HL98" s="1"/>
  <c r="HC91"/>
  <c r="HL91" s="1"/>
  <c r="HC72"/>
  <c r="HL72" s="1"/>
  <c r="HC84"/>
  <c r="HL84" s="1"/>
  <c r="HC77"/>
  <c r="HL77" s="1"/>
  <c r="HC48"/>
  <c r="HL48" s="1"/>
  <c r="HC82"/>
  <c r="HL82" s="1"/>
  <c r="HC54"/>
  <c r="HL54" s="1"/>
  <c r="HC92"/>
  <c r="HL92" s="1"/>
  <c r="GM27"/>
  <c r="GH40"/>
  <c r="HB102" s="1"/>
  <c r="GD75"/>
  <c r="GM40"/>
  <c r="GC105" s="1"/>
  <c r="GI40"/>
  <c r="HB103" s="1"/>
  <c r="GL40"/>
  <c r="FN85" i="92"/>
  <c r="FV76" i="90"/>
  <c r="FS437" i="91"/>
  <c r="HM50" i="90"/>
  <c r="HJ5"/>
  <c r="HM39"/>
  <c r="HM32"/>
  <c r="HJ14"/>
  <c r="HJ41"/>
  <c r="HJ56"/>
  <c r="HM21"/>
  <c r="HM34"/>
  <c r="HG50" i="71"/>
  <c r="HG66"/>
  <c r="HG56"/>
  <c r="HG60"/>
  <c r="HG84"/>
  <c r="HG78"/>
  <c r="HG43"/>
  <c r="HG59"/>
  <c r="HG51"/>
  <c r="HG42"/>
  <c r="HG79"/>
  <c r="HG55"/>
  <c r="HG57"/>
  <c r="HG63"/>
  <c r="HG70"/>
  <c r="HG40"/>
  <c r="HG64"/>
  <c r="HG48"/>
  <c r="HG58"/>
  <c r="HG80"/>
  <c r="HG75"/>
  <c r="HG39"/>
  <c r="HG62"/>
  <c r="HG54"/>
  <c r="HG68"/>
  <c r="HG85"/>
  <c r="HG61"/>
  <c r="HG71"/>
  <c r="HG36"/>
  <c r="HG86"/>
  <c r="HG82"/>
  <c r="HG38"/>
  <c r="HG81"/>
  <c r="HG49"/>
  <c r="HG69"/>
  <c r="HG77"/>
  <c r="HG74"/>
  <c r="HG46"/>
  <c r="HG76"/>
  <c r="HG45"/>
  <c r="HG53"/>
  <c r="HG41"/>
  <c r="HG65"/>
  <c r="HG44"/>
  <c r="HG47"/>
  <c r="HG83"/>
  <c r="HG67"/>
  <c r="HG73"/>
  <c r="HG37"/>
  <c r="HG52"/>
  <c r="GY49"/>
  <c r="GD20"/>
  <c r="GG27"/>
  <c r="GG29" s="1"/>
  <c r="GG21"/>
  <c r="GG22" s="1"/>
  <c r="GG23" s="1"/>
  <c r="HJ48" i="90"/>
  <c r="HJ17"/>
  <c r="HM27"/>
  <c r="HM49"/>
  <c r="HJ27"/>
  <c r="HM46"/>
  <c r="HJ33"/>
  <c r="HM36"/>
  <c r="HM17"/>
  <c r="HM41"/>
  <c r="HM24"/>
  <c r="HJ37"/>
  <c r="HJ24"/>
  <c r="HJ10"/>
  <c r="HM29"/>
  <c r="HM43"/>
  <c r="HJ42"/>
  <c r="HM38"/>
  <c r="HM52"/>
  <c r="HJ7"/>
  <c r="HM8"/>
  <c r="HM55"/>
  <c r="HJ51"/>
  <c r="O14" i="2"/>
  <c r="P14" s="1"/>
  <c r="FQ45" i="86"/>
  <c r="HM56" i="90"/>
  <c r="HM33"/>
  <c r="HJ45"/>
  <c r="HM53"/>
  <c r="HJ52"/>
  <c r="HM18"/>
  <c r="HJ43"/>
  <c r="HJ21"/>
  <c r="HJ29"/>
  <c r="HM22"/>
  <c r="HM9"/>
  <c r="HM14"/>
  <c r="HM12"/>
  <c r="BI66"/>
  <c r="FZ66"/>
  <c r="CV66" s="1"/>
  <c r="BI77"/>
  <c r="FZ77"/>
  <c r="FW77"/>
  <c r="CI77" s="1"/>
  <c r="BI86"/>
  <c r="FZ86"/>
  <c r="FV85"/>
  <c r="BV85" s="1"/>
  <c r="FW86"/>
  <c r="CI86" s="1"/>
  <c r="FZ95"/>
  <c r="BI95"/>
  <c r="FV94"/>
  <c r="BV94" s="1"/>
  <c r="FW95"/>
  <c r="CI95" s="1"/>
  <c r="FZ83"/>
  <c r="FV82"/>
  <c r="BV82" s="1"/>
  <c r="FW83"/>
  <c r="CI83" s="1"/>
  <c r="BI83"/>
  <c r="FV79"/>
  <c r="BV79" s="1"/>
  <c r="FW80"/>
  <c r="CI80" s="1"/>
  <c r="FV88"/>
  <c r="BV88" s="1"/>
  <c r="BI89"/>
  <c r="FW89"/>
  <c r="CI89" s="1"/>
  <c r="FZ89"/>
  <c r="HJ22"/>
  <c r="HJ44"/>
  <c r="HJ19"/>
  <c r="HJ46"/>
  <c r="HJ53"/>
  <c r="HJ38"/>
  <c r="HJ25"/>
  <c r="HM30"/>
  <c r="HJ30"/>
  <c r="HJ49"/>
  <c r="HM25"/>
  <c r="HJ31"/>
  <c r="HF17"/>
  <c r="HF23"/>
  <c r="HF12"/>
  <c r="HF27"/>
  <c r="HF45"/>
  <c r="HF32"/>
  <c r="HF43"/>
  <c r="HF44"/>
  <c r="HF26"/>
  <c r="HF19"/>
  <c r="HF18"/>
  <c r="HF52"/>
  <c r="GF32"/>
  <c r="HF21"/>
  <c r="HF7"/>
  <c r="HF29"/>
  <c r="HF56"/>
  <c r="HF25"/>
  <c r="HF8"/>
  <c r="HF15"/>
  <c r="HF37"/>
  <c r="HF20"/>
  <c r="HF22"/>
  <c r="HF30"/>
  <c r="HF39"/>
  <c r="HF24"/>
  <c r="HF4"/>
  <c r="HF10"/>
  <c r="HF53"/>
  <c r="HF28"/>
  <c r="HF13"/>
  <c r="HF46"/>
  <c r="HF6"/>
  <c r="HF42"/>
  <c r="HF31"/>
  <c r="HF9"/>
  <c r="HF47"/>
  <c r="HF36"/>
  <c r="HF41"/>
  <c r="HF48"/>
  <c r="HF40"/>
  <c r="HG40" s="1"/>
  <c r="HF54"/>
  <c r="HF38"/>
  <c r="HF35"/>
  <c r="HF34"/>
  <c r="HF51"/>
  <c r="HF33"/>
  <c r="HF49"/>
  <c r="HF55"/>
  <c r="HF50"/>
  <c r="HF5"/>
  <c r="HG5" s="1"/>
  <c r="HF14"/>
  <c r="FV91"/>
  <c r="BV91" s="1"/>
  <c r="FW92"/>
  <c r="CI92" s="1"/>
  <c r="FZ92"/>
  <c r="BI92"/>
  <c r="GG27" i="88"/>
  <c r="GG29" s="1"/>
  <c r="GG31" s="1"/>
  <c r="GG35"/>
  <c r="GG37" s="1"/>
  <c r="GM57" i="90"/>
  <c r="GI52"/>
  <c r="GI47"/>
  <c r="GI56"/>
  <c r="GI53"/>
  <c r="GI51"/>
  <c r="GI54"/>
  <c r="GE49"/>
  <c r="GK57"/>
  <c r="GI49"/>
  <c r="GI48"/>
  <c r="GJ57"/>
  <c r="GI55"/>
  <c r="GI50"/>
  <c r="HM44"/>
  <c r="HJ18"/>
  <c r="HJ28"/>
  <c r="HM51"/>
  <c r="HM40"/>
  <c r="HJ50"/>
  <c r="HJ23"/>
  <c r="HJ6"/>
  <c r="HJ39"/>
  <c r="HJ54"/>
  <c r="HM35"/>
  <c r="HM37"/>
  <c r="HJ9"/>
  <c r="HM23"/>
  <c r="HJ40"/>
  <c r="HJ13"/>
  <c r="HM31"/>
  <c r="HJ36"/>
  <c r="HM10"/>
  <c r="HM42"/>
  <c r="HM15"/>
  <c r="HM47"/>
  <c r="FW68"/>
  <c r="CI68" s="1"/>
  <c r="FV67"/>
  <c r="BV67" s="1"/>
  <c r="FZ68"/>
  <c r="BI68"/>
  <c r="FV73"/>
  <c r="BV73" s="1"/>
  <c r="FZ74"/>
  <c r="FW74"/>
  <c r="CI74" s="1"/>
  <c r="BI74"/>
  <c r="FV70"/>
  <c r="BV70" s="1"/>
  <c r="BI71"/>
  <c r="FZ71"/>
  <c r="GB71" s="1"/>
  <c r="GM37"/>
  <c r="GR54"/>
  <c r="GR51"/>
  <c r="GR57"/>
  <c r="GO35"/>
  <c r="GM35"/>
  <c r="GR49"/>
  <c r="GR50"/>
  <c r="GR47"/>
  <c r="GR55"/>
  <c r="GR52"/>
  <c r="GO34"/>
  <c r="GR56"/>
  <c r="GR53"/>
  <c r="GR48"/>
  <c r="HJ35"/>
  <c r="HM6"/>
  <c r="HJ12"/>
  <c r="HM54"/>
  <c r="HJ8"/>
  <c r="HJ20"/>
  <c r="HM7"/>
  <c r="HM19"/>
  <c r="HM13"/>
  <c r="HJ26"/>
  <c r="HM48"/>
  <c r="HJ32"/>
  <c r="HJ15"/>
  <c r="HJ55"/>
  <c r="HM28"/>
  <c r="HM45"/>
  <c r="HM20"/>
  <c r="HJ47"/>
  <c r="HM26"/>
  <c r="EE383" i="92" l="1"/>
  <c r="FS35" i="86"/>
  <c r="FQ36" s="1"/>
  <c r="FS47"/>
  <c r="FQ48" s="1"/>
  <c r="FR43"/>
  <c r="O9" i="2" s="1"/>
  <c r="P9" s="1"/>
  <c r="FR37" i="86"/>
  <c r="FP37" s="1"/>
  <c r="FJ221" i="92"/>
  <c r="FR40" i="86"/>
  <c r="FP40" s="1"/>
  <c r="FM408" i="92"/>
  <c r="FL412" s="1"/>
  <c r="FN470" s="1"/>
  <c r="FL85"/>
  <c r="GF169" i="87"/>
  <c r="GG169"/>
  <c r="DC145"/>
  <c r="GG58"/>
  <c r="GG57"/>
  <c r="DK145"/>
  <c r="GH65"/>
  <c r="FO145"/>
  <c r="F167" s="1"/>
  <c r="GH62"/>
  <c r="GE152"/>
  <c r="GG152" s="1"/>
  <c r="GE150"/>
  <c r="GF150" s="1"/>
  <c r="D139"/>
  <c r="GG56"/>
  <c r="GG64"/>
  <c r="GE154"/>
  <c r="GF154" s="1"/>
  <c r="GE157"/>
  <c r="GG157" s="1"/>
  <c r="DM145"/>
  <c r="DE146"/>
  <c r="D141"/>
  <c r="GH63"/>
  <c r="GH55"/>
  <c r="GG60"/>
  <c r="GE159"/>
  <c r="GF159" s="1"/>
  <c r="GE153"/>
  <c r="GG153" s="1"/>
  <c r="DE144"/>
  <c r="DE145"/>
  <c r="D140"/>
  <c r="FL186" i="92"/>
  <c r="GE151" i="87"/>
  <c r="GF151" s="1"/>
  <c r="GE149"/>
  <c r="GF149" s="1"/>
  <c r="GE155"/>
  <c r="GF155" s="1"/>
  <c r="GE158"/>
  <c r="GG158" s="1"/>
  <c r="GE156"/>
  <c r="GG156" s="1"/>
  <c r="D138"/>
  <c r="FJ186" i="92"/>
  <c r="DJ126" i="87"/>
  <c r="GG61"/>
  <c r="DA131"/>
  <c r="BX132"/>
  <c r="BX129"/>
  <c r="CF136"/>
  <c r="GH59"/>
  <c r="BX133"/>
  <c r="BX127"/>
  <c r="DA133"/>
  <c r="BC127"/>
  <c r="EL136"/>
  <c r="DA134"/>
  <c r="AU129"/>
  <c r="DA127"/>
  <c r="CG126"/>
  <c r="BC136"/>
  <c r="DA132"/>
  <c r="BX134"/>
  <c r="BX131"/>
  <c r="DA129"/>
  <c r="ED129"/>
  <c r="EM127"/>
  <c r="DI136"/>
  <c r="FQ437" i="91"/>
  <c r="FQ449"/>
  <c r="FR449" s="1"/>
  <c r="GS79" i="71"/>
  <c r="D124" i="91"/>
  <c r="FO128"/>
  <c r="CZ128"/>
  <c r="AD129"/>
  <c r="AD128"/>
  <c r="AD127"/>
  <c r="D125"/>
  <c r="HG20" i="90"/>
  <c r="GG64" i="71"/>
  <c r="GF52"/>
  <c r="GG89"/>
  <c r="GC92"/>
  <c r="GF79"/>
  <c r="GF87"/>
  <c r="GG82"/>
  <c r="GF89"/>
  <c r="GO33"/>
  <c r="GL27"/>
  <c r="GG80"/>
  <c r="GG85"/>
  <c r="GF85"/>
  <c r="GF81"/>
  <c r="GQ21"/>
  <c r="GG79"/>
  <c r="GF84"/>
  <c r="GF83"/>
  <c r="GO32"/>
  <c r="GY51"/>
  <c r="GF51"/>
  <c r="GS69"/>
  <c r="GS73"/>
  <c r="GS75"/>
  <c r="GS68"/>
  <c r="GS50"/>
  <c r="GF66"/>
  <c r="GG69"/>
  <c r="GS70"/>
  <c r="GS74"/>
  <c r="GG70"/>
  <c r="GM21"/>
  <c r="GG57"/>
  <c r="GS55"/>
  <c r="GS54"/>
  <c r="GG66"/>
  <c r="GF75"/>
  <c r="GG71"/>
  <c r="GG65"/>
  <c r="GS65"/>
  <c r="GS66"/>
  <c r="GS71"/>
  <c r="GS52"/>
  <c r="GF59"/>
  <c r="GS60"/>
  <c r="GS67"/>
  <c r="GF65"/>
  <c r="GG67"/>
  <c r="GF67"/>
  <c r="GG68"/>
  <c r="GF74"/>
  <c r="GF68"/>
  <c r="GG74"/>
  <c r="GF71"/>
  <c r="GF56"/>
  <c r="GF20"/>
  <c r="GF70"/>
  <c r="GG75"/>
  <c r="GF73"/>
  <c r="GF64"/>
  <c r="GS64"/>
  <c r="GG73"/>
  <c r="GF69"/>
  <c r="GG87"/>
  <c r="GE20"/>
  <c r="GF53"/>
  <c r="GG50"/>
  <c r="GF54"/>
  <c r="GG60"/>
  <c r="GF58"/>
  <c r="GS57"/>
  <c r="GF60"/>
  <c r="GG58"/>
  <c r="GF55"/>
  <c r="GS58"/>
  <c r="GG52"/>
  <c r="GF50"/>
  <c r="GP27"/>
  <c r="GC91"/>
  <c r="GG83"/>
  <c r="GN33"/>
  <c r="GF80"/>
  <c r="GF88"/>
  <c r="GS56"/>
  <c r="GS59"/>
  <c r="GG53"/>
  <c r="GG56"/>
  <c r="GS53"/>
  <c r="GG54"/>
  <c r="GG59"/>
  <c r="GG51"/>
  <c r="GG55"/>
  <c r="GS51"/>
  <c r="GF57"/>
  <c r="GG88"/>
  <c r="GG84"/>
  <c r="GG81"/>
  <c r="GG86"/>
  <c r="GF86"/>
  <c r="GF82"/>
  <c r="HG49" i="90"/>
  <c r="GG81" i="88"/>
  <c r="GN40"/>
  <c r="GS78"/>
  <c r="GF84"/>
  <c r="GF88"/>
  <c r="GG88"/>
  <c r="GF83"/>
  <c r="GG79"/>
  <c r="HI58"/>
  <c r="HO86"/>
  <c r="HR86" s="1"/>
  <c r="HO49"/>
  <c r="HR49" s="1"/>
  <c r="HI88"/>
  <c r="GD26"/>
  <c r="GQ27"/>
  <c r="GO41"/>
  <c r="GF80"/>
  <c r="GS79"/>
  <c r="GS88"/>
  <c r="GG82"/>
  <c r="GL35"/>
  <c r="GM29" s="1"/>
  <c r="GO29" s="1"/>
  <c r="GS81"/>
  <c r="GG86"/>
  <c r="GG78"/>
  <c r="GS83"/>
  <c r="GS84"/>
  <c r="GG83"/>
  <c r="GS80"/>
  <c r="GF82"/>
  <c r="GG84"/>
  <c r="GF86"/>
  <c r="GF79"/>
  <c r="HO62"/>
  <c r="HR62" s="1"/>
  <c r="GF87"/>
  <c r="GF85"/>
  <c r="GG85"/>
  <c r="GS86"/>
  <c r="GG80"/>
  <c r="GS82"/>
  <c r="GF78"/>
  <c r="GS87"/>
  <c r="FZ79"/>
  <c r="GS85"/>
  <c r="GG87"/>
  <c r="HI92"/>
  <c r="HO83"/>
  <c r="HR83" s="1"/>
  <c r="HO72"/>
  <c r="HR72" s="1"/>
  <c r="HO76"/>
  <c r="HR76" s="1"/>
  <c r="HO81"/>
  <c r="HR81" s="1"/>
  <c r="HI87"/>
  <c r="FZ94"/>
  <c r="HI72"/>
  <c r="HO80"/>
  <c r="HR80" s="1"/>
  <c r="HO84"/>
  <c r="HR84" s="1"/>
  <c r="HO95"/>
  <c r="HR95" s="1"/>
  <c r="HI91"/>
  <c r="HI61"/>
  <c r="HI94"/>
  <c r="HI85"/>
  <c r="HI44"/>
  <c r="HI59"/>
  <c r="HO71"/>
  <c r="HR71" s="1"/>
  <c r="HO51"/>
  <c r="HR51" s="1"/>
  <c r="HO44"/>
  <c r="HR44" s="1"/>
  <c r="HI57"/>
  <c r="GG92"/>
  <c r="GF101"/>
  <c r="GG93"/>
  <c r="GE26"/>
  <c r="GS73"/>
  <c r="GG101"/>
  <c r="GF99"/>
  <c r="HI81"/>
  <c r="HI77"/>
  <c r="HI49"/>
  <c r="HI63"/>
  <c r="HI50"/>
  <c r="HI52"/>
  <c r="HO45"/>
  <c r="HR45" s="1"/>
  <c r="HO90"/>
  <c r="HR90" s="1"/>
  <c r="HO57"/>
  <c r="HR57" s="1"/>
  <c r="HO63"/>
  <c r="HR63" s="1"/>
  <c r="HO54"/>
  <c r="HR54" s="1"/>
  <c r="HO53"/>
  <c r="HR53" s="1"/>
  <c r="HO96"/>
  <c r="HR96" s="1"/>
  <c r="GF93"/>
  <c r="GS59"/>
  <c r="HI79"/>
  <c r="HI80"/>
  <c r="HI56"/>
  <c r="HI96"/>
  <c r="HI70"/>
  <c r="HO78"/>
  <c r="HR78" s="1"/>
  <c r="HO58"/>
  <c r="HR58" s="1"/>
  <c r="HO52"/>
  <c r="HR52" s="1"/>
  <c r="HO87"/>
  <c r="HR87" s="1"/>
  <c r="HO56"/>
  <c r="HR56" s="1"/>
  <c r="HO59"/>
  <c r="HR59" s="1"/>
  <c r="HO97"/>
  <c r="HR97" s="1"/>
  <c r="GF59"/>
  <c r="FZ93"/>
  <c r="GG99"/>
  <c r="GF94"/>
  <c r="GG96"/>
  <c r="GG59"/>
  <c r="GS58"/>
  <c r="GF100"/>
  <c r="GF102"/>
  <c r="GC104"/>
  <c r="GA103" s="1"/>
  <c r="GF72"/>
  <c r="GG102"/>
  <c r="HI51"/>
  <c r="HI82"/>
  <c r="HI48"/>
  <c r="HI54"/>
  <c r="HI95"/>
  <c r="HI86"/>
  <c r="HI60"/>
  <c r="HI75"/>
  <c r="HI93"/>
  <c r="HI83"/>
  <c r="HI99"/>
  <c r="HO91"/>
  <c r="HR91" s="1"/>
  <c r="HO79"/>
  <c r="HR79" s="1"/>
  <c r="HI89"/>
  <c r="HO73"/>
  <c r="HR73" s="1"/>
  <c r="HO47"/>
  <c r="HR47" s="1"/>
  <c r="HO82"/>
  <c r="HR82" s="1"/>
  <c r="HO99"/>
  <c r="HR99" s="1"/>
  <c r="HO85"/>
  <c r="HR85" s="1"/>
  <c r="HO74"/>
  <c r="HR74" s="1"/>
  <c r="HO55"/>
  <c r="HR55" s="1"/>
  <c r="HO93"/>
  <c r="HR93" s="1"/>
  <c r="HO50"/>
  <c r="HR50" s="1"/>
  <c r="GG72"/>
  <c r="GF96"/>
  <c r="GS60"/>
  <c r="GG97"/>
  <c r="GG94"/>
  <c r="HI76"/>
  <c r="HI84"/>
  <c r="HI71"/>
  <c r="HI53"/>
  <c r="HI62"/>
  <c r="HI98"/>
  <c r="HI55"/>
  <c r="HI45"/>
  <c r="HI46"/>
  <c r="HI90"/>
  <c r="HI97"/>
  <c r="HI73"/>
  <c r="HO88"/>
  <c r="HR88" s="1"/>
  <c r="HO98"/>
  <c r="HR98" s="1"/>
  <c r="HO61"/>
  <c r="HR61" s="1"/>
  <c r="HO77"/>
  <c r="HR77" s="1"/>
  <c r="HO70"/>
  <c r="HR70" s="1"/>
  <c r="HO48"/>
  <c r="HR48" s="1"/>
  <c r="HO92"/>
  <c r="HR92" s="1"/>
  <c r="HI74"/>
  <c r="HO46"/>
  <c r="HR46" s="1"/>
  <c r="HO89"/>
  <c r="HR89" s="1"/>
  <c r="HI78"/>
  <c r="HO94"/>
  <c r="HR94" s="1"/>
  <c r="HO75"/>
  <c r="HR75" s="1"/>
  <c r="GS62"/>
  <c r="GS71"/>
  <c r="GF73"/>
  <c r="GS70"/>
  <c r="GG71"/>
  <c r="GS61"/>
  <c r="GS63"/>
  <c r="GG62"/>
  <c r="GF74"/>
  <c r="GF70"/>
  <c r="GG60"/>
  <c r="GG58"/>
  <c r="GP35"/>
  <c r="GF95"/>
  <c r="GG100"/>
  <c r="GF98"/>
  <c r="GS92"/>
  <c r="GG74"/>
  <c r="GF26"/>
  <c r="GF71"/>
  <c r="GG70"/>
  <c r="GS72"/>
  <c r="GF62"/>
  <c r="GG63"/>
  <c r="GG61"/>
  <c r="GF60"/>
  <c r="HR60"/>
  <c r="GF58"/>
  <c r="GS74"/>
  <c r="GF61"/>
  <c r="GF97"/>
  <c r="GG73"/>
  <c r="GF63"/>
  <c r="GG95"/>
  <c r="GF92"/>
  <c r="GN41"/>
  <c r="GG98"/>
  <c r="FP46" i="86"/>
  <c r="FP34"/>
  <c r="GA76" i="90"/>
  <c r="HG28"/>
  <c r="HG18"/>
  <c r="FQ42" i="86"/>
  <c r="O12" i="2"/>
  <c r="P12" s="1"/>
  <c r="GE22" i="71"/>
  <c r="GF22" s="1"/>
  <c r="GG28"/>
  <c r="GE23" s="1"/>
  <c r="GF23" s="1"/>
  <c r="GC29"/>
  <c r="GD29"/>
  <c r="HG14" i="90"/>
  <c r="HG9"/>
  <c r="HG46"/>
  <c r="HG55"/>
  <c r="HG34"/>
  <c r="HG47"/>
  <c r="HG6"/>
  <c r="HG53"/>
  <c r="HG39"/>
  <c r="HG37"/>
  <c r="HG26"/>
  <c r="HG23"/>
  <c r="HG42"/>
  <c r="HM57"/>
  <c r="HG30"/>
  <c r="HG21"/>
  <c r="HG32"/>
  <c r="GA70"/>
  <c r="DI70" s="1"/>
  <c r="CV71"/>
  <c r="GQ176" i="87"/>
  <c r="GQ177"/>
  <c r="AY204"/>
  <c r="GQ178"/>
  <c r="FO79" i="90"/>
  <c r="Q6" i="2"/>
  <c r="P21" s="1"/>
  <c r="CV83" i="90"/>
  <c r="GB83"/>
  <c r="DV83" s="1"/>
  <c r="CV95"/>
  <c r="GB95"/>
  <c r="DV95" s="1"/>
  <c r="FO82"/>
  <c r="Q7" i="2"/>
  <c r="P22" s="1"/>
  <c r="FO85" i="90"/>
  <c r="Q8" i="2"/>
  <c r="P23" s="1"/>
  <c r="GJ48" i="90"/>
  <c r="GJ50"/>
  <c r="GJ47"/>
  <c r="GJ56"/>
  <c r="GJ54"/>
  <c r="GJ52"/>
  <c r="GY47"/>
  <c r="GJ51"/>
  <c r="GJ53"/>
  <c r="GJ55"/>
  <c r="GL57"/>
  <c r="GJ49"/>
  <c r="GE47"/>
  <c r="GE50"/>
  <c r="GE48"/>
  <c r="GE51"/>
  <c r="GB86"/>
  <c r="DV86" s="1"/>
  <c r="GA85"/>
  <c r="DI85" s="1"/>
  <c r="CV86"/>
  <c r="HJ57"/>
  <c r="GD57" s="1"/>
  <c r="GO57" s="1"/>
  <c r="GE29" i="88"/>
  <c r="GF29" s="1"/>
  <c r="HG50" i="90"/>
  <c r="HG51"/>
  <c r="HG54"/>
  <c r="HG36"/>
  <c r="HG24"/>
  <c r="HG25"/>
  <c r="HG29"/>
  <c r="HG52"/>
  <c r="HG19"/>
  <c r="HG43"/>
  <c r="HG27"/>
  <c r="GG36" i="88"/>
  <c r="GE31" s="1"/>
  <c r="GF31" s="1"/>
  <c r="GD37"/>
  <c r="GC37"/>
  <c r="GU57" i="90"/>
  <c r="GS57"/>
  <c r="GA73"/>
  <c r="DI73" s="1"/>
  <c r="GB74"/>
  <c r="DV74" s="1"/>
  <c r="CV74"/>
  <c r="GK53"/>
  <c r="GK51"/>
  <c r="GK52"/>
  <c r="GK54"/>
  <c r="GK50"/>
  <c r="GK55"/>
  <c r="GK48"/>
  <c r="GK47"/>
  <c r="GK49"/>
  <c r="GK56"/>
  <c r="GM51"/>
  <c r="GM56"/>
  <c r="GM52"/>
  <c r="GM49"/>
  <c r="GM50"/>
  <c r="GM48"/>
  <c r="GM47"/>
  <c r="GM55"/>
  <c r="GM53"/>
  <c r="GM54"/>
  <c r="GA94"/>
  <c r="DI94" s="1"/>
  <c r="CV92"/>
  <c r="GB92"/>
  <c r="DV92" s="1"/>
  <c r="GA91"/>
  <c r="DI91" s="1"/>
  <c r="HG7"/>
  <c r="GP34"/>
  <c r="HG33"/>
  <c r="HG38"/>
  <c r="HG41"/>
  <c r="HG31"/>
  <c r="HG13"/>
  <c r="HG22"/>
  <c r="HG8"/>
  <c r="HG56"/>
  <c r="HG44"/>
  <c r="HG45"/>
  <c r="GB68"/>
  <c r="DV68" s="1"/>
  <c r="GA67"/>
  <c r="DI67" s="1"/>
  <c r="CV68"/>
  <c r="GB89"/>
  <c r="DV89" s="1"/>
  <c r="GA88"/>
  <c r="DI88" s="1"/>
  <c r="CV89"/>
  <c r="GA82"/>
  <c r="DI82" s="1"/>
  <c r="GB80"/>
  <c r="DV80" s="1"/>
  <c r="GA79"/>
  <c r="DI79" s="1"/>
  <c r="CV77"/>
  <c r="GB77"/>
  <c r="DV77" s="1"/>
  <c r="GP35"/>
  <c r="GQ49" s="1"/>
  <c r="HG35"/>
  <c r="HG48"/>
  <c r="HG10"/>
  <c r="HG15"/>
  <c r="HG12"/>
  <c r="HG17"/>
  <c r="FK469" i="92" l="1"/>
  <c r="FL469" s="1"/>
  <c r="FN469"/>
  <c r="FN466"/>
  <c r="FK466"/>
  <c r="FL466" s="1"/>
  <c r="O11" i="2"/>
  <c r="P11" s="1"/>
  <c r="FM34" i="86"/>
  <c r="O15" i="2"/>
  <c r="P15" s="1"/>
  <c r="FM46" i="86"/>
  <c r="FP43"/>
  <c r="FO49" s="1"/>
  <c r="FO50" s="1"/>
  <c r="AB125" s="1"/>
  <c r="FM43"/>
  <c r="FJ412" i="92"/>
  <c r="FK470" s="1"/>
  <c r="FL470" s="1"/>
  <c r="EE85"/>
  <c r="O8" i="2"/>
  <c r="P8" s="1"/>
  <c r="FM37" i="86"/>
  <c r="FM40"/>
  <c r="FP50"/>
  <c r="EE405" i="92"/>
  <c r="EN180"/>
  <c r="GF177" i="87"/>
  <c r="GX180" s="1"/>
  <c r="FO166"/>
  <c r="D201" s="1"/>
  <c r="D162"/>
  <c r="F165"/>
  <c r="DS166"/>
  <c r="GF152"/>
  <c r="F166"/>
  <c r="D163"/>
  <c r="GG155"/>
  <c r="GG154"/>
  <c r="GG159"/>
  <c r="GG150"/>
  <c r="GF156"/>
  <c r="GG151"/>
  <c r="GG149"/>
  <c r="GF153"/>
  <c r="FL461" i="92"/>
  <c r="FM461" s="1"/>
  <c r="D20" i="27" s="1"/>
  <c r="GF158" i="87"/>
  <c r="GF157"/>
  <c r="FM449" i="91"/>
  <c r="FQ443"/>
  <c r="FM437"/>
  <c r="AD134"/>
  <c r="AD135"/>
  <c r="FO134"/>
  <c r="CG146" s="1"/>
  <c r="AD133"/>
  <c r="CZ134"/>
  <c r="DB128"/>
  <c r="D131"/>
  <c r="GA90" i="71"/>
  <c r="GQ22"/>
  <c r="GR23" s="1"/>
  <c r="GM22"/>
  <c r="GN23" s="1"/>
  <c r="GG20"/>
  <c r="GH23" s="1"/>
  <c r="GJ23" s="1"/>
  <c r="FO70" i="90"/>
  <c r="GN31" i="88"/>
  <c r="GQ29"/>
  <c r="GS29" s="1"/>
  <c r="GN29"/>
  <c r="GG26"/>
  <c r="GT74" s="1"/>
  <c r="GT58" s="1"/>
  <c r="GD54" i="90"/>
  <c r="GD51"/>
  <c r="GD53"/>
  <c r="GD50"/>
  <c r="GD48"/>
  <c r="GD52"/>
  <c r="GD56"/>
  <c r="GA57"/>
  <c r="GT57" s="1"/>
  <c r="GD55"/>
  <c r="GD49"/>
  <c r="GF42"/>
  <c r="GF32" i="71"/>
  <c r="GE64" s="1"/>
  <c r="GF21"/>
  <c r="GE21"/>
  <c r="GP48" i="90"/>
  <c r="HG57"/>
  <c r="HB4"/>
  <c r="HB53" s="1"/>
  <c r="HC53" s="1"/>
  <c r="GB47"/>
  <c r="GF47" s="1"/>
  <c r="GY57" s="1"/>
  <c r="GY48" s="1"/>
  <c r="GY49" s="1"/>
  <c r="GY50" s="1"/>
  <c r="GY51" s="1"/>
  <c r="GY52" s="1"/>
  <c r="GY53" s="1"/>
  <c r="GY54" s="1"/>
  <c r="GY55" s="1"/>
  <c r="GY56" s="1"/>
  <c r="GQ47"/>
  <c r="FO91"/>
  <c r="Q9" i="2"/>
  <c r="P24" s="1"/>
  <c r="Q11"/>
  <c r="P26" s="1"/>
  <c r="FO97" i="90"/>
  <c r="GS52"/>
  <c r="GS50"/>
  <c r="GS51"/>
  <c r="GS48"/>
  <c r="GS49"/>
  <c r="GS54"/>
  <c r="GS47"/>
  <c r="GS55"/>
  <c r="GS53"/>
  <c r="GS56"/>
  <c r="FH198" i="87"/>
  <c r="GF40" i="88"/>
  <c r="GP50" i="90"/>
  <c r="GQ50"/>
  <c r="GL53"/>
  <c r="GL54"/>
  <c r="GL51"/>
  <c r="GL47"/>
  <c r="GL50"/>
  <c r="GL52"/>
  <c r="GL48"/>
  <c r="GL55"/>
  <c r="GL49"/>
  <c r="GL56"/>
  <c r="GP47"/>
  <c r="GP51"/>
  <c r="GP49"/>
  <c r="GQ48"/>
  <c r="GU54"/>
  <c r="GU52"/>
  <c r="GU51"/>
  <c r="GU56"/>
  <c r="GU47"/>
  <c r="GU48"/>
  <c r="GU49"/>
  <c r="GU55"/>
  <c r="GU53"/>
  <c r="GU50"/>
  <c r="GF27" i="88"/>
  <c r="GE27"/>
  <c r="GQ51" i="90"/>
  <c r="EK70" l="1"/>
  <c r="BQ43" i="86"/>
  <c r="BQ37"/>
  <c r="BQ40"/>
  <c r="BQ34"/>
  <c r="BQ46"/>
  <c r="GD171" i="87"/>
  <c r="GE171" s="1"/>
  <c r="GP176"/>
  <c r="GR176" s="1"/>
  <c r="FN213"/>
  <c r="FH207" s="1"/>
  <c r="GG183"/>
  <c r="D197"/>
  <c r="GC190"/>
  <c r="GB190" s="1"/>
  <c r="GF190" s="1"/>
  <c r="GG188"/>
  <c r="GU190"/>
  <c r="GU188" s="1"/>
  <c r="D169"/>
  <c r="DT166"/>
  <c r="AU204"/>
  <c r="GC183"/>
  <c r="GN183" s="1"/>
  <c r="GC180"/>
  <c r="GN180" s="1"/>
  <c r="D176"/>
  <c r="D170"/>
  <c r="BO204"/>
  <c r="GC181"/>
  <c r="GN181" s="1"/>
  <c r="D173"/>
  <c r="GC188"/>
  <c r="GB188" s="1"/>
  <c r="GF188" s="1"/>
  <c r="GG189"/>
  <c r="GG184"/>
  <c r="GG185"/>
  <c r="D171"/>
  <c r="GC186"/>
  <c r="GB186" s="1"/>
  <c r="GF186" s="1"/>
  <c r="AX205"/>
  <c r="GC185"/>
  <c r="GR186" s="1"/>
  <c r="D175"/>
  <c r="AX203"/>
  <c r="D200"/>
  <c r="GG187"/>
  <c r="GG181"/>
  <c r="GG186"/>
  <c r="FO204"/>
  <c r="BP204" s="1"/>
  <c r="GG182"/>
  <c r="GG180"/>
  <c r="GG190"/>
  <c r="GC187"/>
  <c r="GN187" s="1"/>
  <c r="GC182"/>
  <c r="GD182" s="1"/>
  <c r="D174"/>
  <c r="GC184"/>
  <c r="GN184" s="1"/>
  <c r="AX204"/>
  <c r="GC189"/>
  <c r="GD189" s="1"/>
  <c r="D199"/>
  <c r="FQ455" i="91"/>
  <c r="FM443"/>
  <c r="BB146"/>
  <c r="AZ146"/>
  <c r="FO146"/>
  <c r="CG152" s="1"/>
  <c r="D143"/>
  <c r="BB147"/>
  <c r="P140"/>
  <c r="DB134"/>
  <c r="D142"/>
  <c r="D137"/>
  <c r="CE146"/>
  <c r="BB145"/>
  <c r="N139"/>
  <c r="P139"/>
  <c r="GR22" i="71"/>
  <c r="GS23" s="1"/>
  <c r="GS22"/>
  <c r="GN22"/>
  <c r="GO23" s="1"/>
  <c r="GO22"/>
  <c r="GH29"/>
  <c r="GH27"/>
  <c r="GK23" s="1"/>
  <c r="FO94" i="90"/>
  <c r="FN97" s="1"/>
  <c r="FO98" s="1"/>
  <c r="Q10" i="2"/>
  <c r="P25" s="1"/>
  <c r="EK81" i="90"/>
  <c r="BQ31" i="86"/>
  <c r="GO31" i="88"/>
  <c r="GR29"/>
  <c r="GR31"/>
  <c r="GT70"/>
  <c r="GT59"/>
  <c r="GT61"/>
  <c r="GH31"/>
  <c r="GH37" s="1"/>
  <c r="GT60"/>
  <c r="GT62"/>
  <c r="GT73"/>
  <c r="GT63"/>
  <c r="GT71"/>
  <c r="GT72"/>
  <c r="D68" i="86"/>
  <c r="D89"/>
  <c r="BN150"/>
  <c r="AJ59"/>
  <c r="AT150"/>
  <c r="BX150"/>
  <c r="BD155" s="1"/>
  <c r="D88"/>
  <c r="AB105"/>
  <c r="F138" s="1"/>
  <c r="GD73"/>
  <c r="GE73" s="1"/>
  <c r="D52"/>
  <c r="GD83"/>
  <c r="GD77" s="1"/>
  <c r="GF77" s="1"/>
  <c r="D55"/>
  <c r="D87"/>
  <c r="D53"/>
  <c r="D56"/>
  <c r="D91"/>
  <c r="AJ63"/>
  <c r="AB135"/>
  <c r="D69"/>
  <c r="D92"/>
  <c r="AJ61"/>
  <c r="D93"/>
  <c r="BD150"/>
  <c r="D70"/>
  <c r="AI149"/>
  <c r="AB115"/>
  <c r="D54"/>
  <c r="D67"/>
  <c r="AJ65"/>
  <c r="D57"/>
  <c r="FU96"/>
  <c r="BY147" s="1"/>
  <c r="GJ27" i="71"/>
  <c r="GF35" i="90"/>
  <c r="GO50"/>
  <c r="GF40"/>
  <c r="GO55"/>
  <c r="GF33"/>
  <c r="GO48"/>
  <c r="GF39"/>
  <c r="GO54"/>
  <c r="GF34"/>
  <c r="GO49"/>
  <c r="GF37"/>
  <c r="GO52"/>
  <c r="GF36"/>
  <c r="GO51"/>
  <c r="GF41"/>
  <c r="GO56"/>
  <c r="GF38"/>
  <c r="GO53"/>
  <c r="GA51"/>
  <c r="GT51" s="1"/>
  <c r="GA56"/>
  <c r="GT56" s="1"/>
  <c r="GA55"/>
  <c r="GT55" s="1"/>
  <c r="GA54"/>
  <c r="GT54" s="1"/>
  <c r="GA53"/>
  <c r="GT53" s="1"/>
  <c r="GA49"/>
  <c r="GT49" s="1"/>
  <c r="GA52"/>
  <c r="GT52" s="1"/>
  <c r="GA48"/>
  <c r="GT48" s="1"/>
  <c r="GA50"/>
  <c r="GT50" s="1"/>
  <c r="HH64" i="71"/>
  <c r="HK59"/>
  <c r="HK85"/>
  <c r="GE69"/>
  <c r="HH45"/>
  <c r="HH52"/>
  <c r="HK86"/>
  <c r="GE70"/>
  <c r="HH50"/>
  <c r="GE87"/>
  <c r="HH37"/>
  <c r="HK75"/>
  <c r="GE74"/>
  <c r="HK61"/>
  <c r="GN68"/>
  <c r="HK65"/>
  <c r="HH40"/>
  <c r="HH49"/>
  <c r="HK62"/>
  <c r="HK81"/>
  <c r="HK58"/>
  <c r="GN74"/>
  <c r="HH47"/>
  <c r="HK39"/>
  <c r="HK47"/>
  <c r="HH43"/>
  <c r="GP33"/>
  <c r="HK83"/>
  <c r="GN65"/>
  <c r="GR27"/>
  <c r="HH77"/>
  <c r="GE73"/>
  <c r="HH46"/>
  <c r="GN71"/>
  <c r="HH80"/>
  <c r="HK80"/>
  <c r="HH58"/>
  <c r="GE79"/>
  <c r="GE53"/>
  <c r="HH79"/>
  <c r="HK37"/>
  <c r="GE86"/>
  <c r="GE56"/>
  <c r="GN64"/>
  <c r="HK78"/>
  <c r="HK45"/>
  <c r="HH83"/>
  <c r="GE57"/>
  <c r="HK38"/>
  <c r="HH65"/>
  <c r="HH69"/>
  <c r="HH41"/>
  <c r="GE68"/>
  <c r="HK53"/>
  <c r="HH56"/>
  <c r="HK57"/>
  <c r="GE89"/>
  <c r="HH35"/>
  <c r="HK73"/>
  <c r="GE67"/>
  <c r="GN27"/>
  <c r="HH53"/>
  <c r="HK36"/>
  <c r="HL36" s="1"/>
  <c r="GE82"/>
  <c r="HK64"/>
  <c r="HH76"/>
  <c r="GN67"/>
  <c r="HH74"/>
  <c r="HH51"/>
  <c r="GN50"/>
  <c r="GE59"/>
  <c r="HH84"/>
  <c r="HK46"/>
  <c r="HH67"/>
  <c r="GP31"/>
  <c r="GE85"/>
  <c r="HK42"/>
  <c r="GE55"/>
  <c r="HH62"/>
  <c r="GN69"/>
  <c r="GN79"/>
  <c r="HK71"/>
  <c r="HH61"/>
  <c r="HK67"/>
  <c r="HH38"/>
  <c r="HK77"/>
  <c r="HK82"/>
  <c r="GN66"/>
  <c r="HH44"/>
  <c r="HK66"/>
  <c r="GN73"/>
  <c r="GE52"/>
  <c r="HK50"/>
  <c r="HK74"/>
  <c r="HH66"/>
  <c r="GN70"/>
  <c r="GE65"/>
  <c r="HK44"/>
  <c r="GE60"/>
  <c r="HH75"/>
  <c r="HK40"/>
  <c r="GE81"/>
  <c r="GE54"/>
  <c r="HH54"/>
  <c r="HK56"/>
  <c r="HH42"/>
  <c r="HK52"/>
  <c r="HH85"/>
  <c r="GE83"/>
  <c r="GP32"/>
  <c r="HK60"/>
  <c r="HH55"/>
  <c r="HH81"/>
  <c r="GE80"/>
  <c r="GE71"/>
  <c r="HH82"/>
  <c r="GE84"/>
  <c r="HH78"/>
  <c r="HK84"/>
  <c r="HK49"/>
  <c r="HH63"/>
  <c r="HH36"/>
  <c r="HK41"/>
  <c r="HK69"/>
  <c r="HH70"/>
  <c r="HH73"/>
  <c r="HK63"/>
  <c r="HK68"/>
  <c r="HK54"/>
  <c r="HK48"/>
  <c r="HH48"/>
  <c r="HK43"/>
  <c r="GE66"/>
  <c r="HH60"/>
  <c r="HH86"/>
  <c r="HH68"/>
  <c r="GD92"/>
  <c r="GC90" s="1"/>
  <c r="GC89" s="1"/>
  <c r="HH39"/>
  <c r="GE75"/>
  <c r="HH71"/>
  <c r="HK76"/>
  <c r="HH59"/>
  <c r="GE88"/>
  <c r="GN75"/>
  <c r="HK79"/>
  <c r="GY52"/>
  <c r="HK51"/>
  <c r="HK70"/>
  <c r="HH57"/>
  <c r="GE58"/>
  <c r="HK55"/>
  <c r="GE32"/>
  <c r="HB55" i="90"/>
  <c r="HC55" s="1"/>
  <c r="HB49"/>
  <c r="HC49" s="1"/>
  <c r="HB42"/>
  <c r="HC42" s="1"/>
  <c r="HB24"/>
  <c r="HC24" s="1"/>
  <c r="HB31"/>
  <c r="HC31" s="1"/>
  <c r="HB52"/>
  <c r="HC52" s="1"/>
  <c r="HD53" s="1"/>
  <c r="HB33"/>
  <c r="HC33" s="1"/>
  <c r="HB28"/>
  <c r="HC28" s="1"/>
  <c r="HB21"/>
  <c r="HC21" s="1"/>
  <c r="HB17"/>
  <c r="HC17" s="1"/>
  <c r="HB51"/>
  <c r="HC51" s="1"/>
  <c r="HB18"/>
  <c r="HC18" s="1"/>
  <c r="HB38"/>
  <c r="HC38" s="1"/>
  <c r="HB46"/>
  <c r="HC46" s="1"/>
  <c r="HB34"/>
  <c r="HC34" s="1"/>
  <c r="HB23"/>
  <c r="HC23" s="1"/>
  <c r="HB37"/>
  <c r="HC37" s="1"/>
  <c r="HB15"/>
  <c r="HC15" s="1"/>
  <c r="HC4"/>
  <c r="HB39"/>
  <c r="HC39" s="1"/>
  <c r="HB12"/>
  <c r="HC12" s="1"/>
  <c r="HB22"/>
  <c r="HC22" s="1"/>
  <c r="HB48"/>
  <c r="HC48" s="1"/>
  <c r="HB5"/>
  <c r="HC5" s="1"/>
  <c r="HB43"/>
  <c r="HC43" s="1"/>
  <c r="HB45"/>
  <c r="HC45" s="1"/>
  <c r="HB50"/>
  <c r="HC50" s="1"/>
  <c r="HB44"/>
  <c r="HC44" s="1"/>
  <c r="HB30"/>
  <c r="HC30" s="1"/>
  <c r="HB7"/>
  <c r="HC7" s="1"/>
  <c r="HB6"/>
  <c r="HC6" s="1"/>
  <c r="HB27"/>
  <c r="HC27" s="1"/>
  <c r="HB20"/>
  <c r="HC20" s="1"/>
  <c r="HB29"/>
  <c r="HC29" s="1"/>
  <c r="HB40"/>
  <c r="HC40" s="1"/>
  <c r="HB14"/>
  <c r="HC14" s="1"/>
  <c r="HB56"/>
  <c r="HC56" s="1"/>
  <c r="HB9"/>
  <c r="HC9" s="1"/>
  <c r="HB25"/>
  <c r="HC25" s="1"/>
  <c r="HB32"/>
  <c r="HC32" s="1"/>
  <c r="HB35"/>
  <c r="HC35" s="1"/>
  <c r="HB10"/>
  <c r="HC10" s="1"/>
  <c r="HB47"/>
  <c r="HC47" s="1"/>
  <c r="HB8"/>
  <c r="HC8" s="1"/>
  <c r="HB41"/>
  <c r="HC41" s="1"/>
  <c r="HB13"/>
  <c r="HC13" s="1"/>
  <c r="HB36"/>
  <c r="HC36" s="1"/>
  <c r="HB19"/>
  <c r="HC19" s="1"/>
  <c r="HB54"/>
  <c r="HC54" s="1"/>
  <c r="HB26"/>
  <c r="HC26" s="1"/>
  <c r="GE40" i="88"/>
  <c r="GS39"/>
  <c r="GP41"/>
  <c r="GD105"/>
  <c r="GC103" s="1"/>
  <c r="GC102" s="1"/>
  <c r="HM89"/>
  <c r="HM48"/>
  <c r="HM95"/>
  <c r="GN80"/>
  <c r="HM53"/>
  <c r="HM58"/>
  <c r="GE84"/>
  <c r="GN85"/>
  <c r="GE61"/>
  <c r="HM59"/>
  <c r="GE85"/>
  <c r="GE73"/>
  <c r="HM86"/>
  <c r="GN86"/>
  <c r="HM55"/>
  <c r="HM84"/>
  <c r="GE74"/>
  <c r="HM87"/>
  <c r="GE70"/>
  <c r="GE83"/>
  <c r="HM57"/>
  <c r="HB104"/>
  <c r="FZ95"/>
  <c r="GP39"/>
  <c r="GE80"/>
  <c r="GE86"/>
  <c r="GN84"/>
  <c r="GN79"/>
  <c r="GN87"/>
  <c r="GN82"/>
  <c r="GS41"/>
  <c r="HM51"/>
  <c r="GN88"/>
  <c r="HM96"/>
  <c r="GE87"/>
  <c r="HM85"/>
  <c r="HN85" s="1"/>
  <c r="HM50"/>
  <c r="GN58"/>
  <c r="GS40"/>
  <c r="GP40"/>
  <c r="HM82"/>
  <c r="HM80"/>
  <c r="HM46"/>
  <c r="GN81"/>
  <c r="GN83"/>
  <c r="HM52"/>
  <c r="HM92"/>
  <c r="HM62"/>
  <c r="GN78"/>
  <c r="HM49"/>
  <c r="HN49" s="1"/>
  <c r="HM56"/>
  <c r="HN56" s="1"/>
  <c r="HM79"/>
  <c r="GE81"/>
  <c r="HM73"/>
  <c r="HM45"/>
  <c r="HJ43"/>
  <c r="FZ81"/>
  <c r="FZ78" s="1"/>
  <c r="GA78" s="1"/>
  <c r="HM91"/>
  <c r="GE88"/>
  <c r="HM97"/>
  <c r="HM54"/>
  <c r="HN54" s="1"/>
  <c r="HM61"/>
  <c r="HM74"/>
  <c r="GE82"/>
  <c r="HM72"/>
  <c r="HM60"/>
  <c r="HM94"/>
  <c r="HM98"/>
  <c r="GE62"/>
  <c r="GN92"/>
  <c r="HM83"/>
  <c r="HM70"/>
  <c r="HM71"/>
  <c r="HM90"/>
  <c r="GE72"/>
  <c r="GE60"/>
  <c r="HM75"/>
  <c r="HM44"/>
  <c r="HN44" s="1"/>
  <c r="HJ75"/>
  <c r="HJ87"/>
  <c r="HM63"/>
  <c r="HM78"/>
  <c r="HM88"/>
  <c r="HM93"/>
  <c r="GE71"/>
  <c r="GE63"/>
  <c r="HM47"/>
  <c r="HM99"/>
  <c r="HM77"/>
  <c r="HM76"/>
  <c r="HM81"/>
  <c r="HJ77"/>
  <c r="HJ71"/>
  <c r="HJ83"/>
  <c r="HJ54"/>
  <c r="HJ58"/>
  <c r="HJ79"/>
  <c r="HJ47"/>
  <c r="HJ46"/>
  <c r="HJ88"/>
  <c r="HK88" s="1"/>
  <c r="HJ62"/>
  <c r="HJ72"/>
  <c r="HJ93"/>
  <c r="HJ90"/>
  <c r="HJ53"/>
  <c r="HJ86"/>
  <c r="HJ48"/>
  <c r="HJ59"/>
  <c r="HJ44"/>
  <c r="HJ81"/>
  <c r="HJ91"/>
  <c r="HJ50"/>
  <c r="HJ74"/>
  <c r="HJ78"/>
  <c r="HJ49"/>
  <c r="HJ63"/>
  <c r="HJ55"/>
  <c r="HJ80"/>
  <c r="GN35"/>
  <c r="GO35" s="1"/>
  <c r="HJ61"/>
  <c r="HJ82"/>
  <c r="HJ70"/>
  <c r="HJ94"/>
  <c r="HJ45"/>
  <c r="HJ92"/>
  <c r="HJ95"/>
  <c r="HJ84"/>
  <c r="HJ76"/>
  <c r="HJ57"/>
  <c r="HJ96"/>
  <c r="HJ60"/>
  <c r="HJ98"/>
  <c r="HJ73"/>
  <c r="HJ85"/>
  <c r="HJ52"/>
  <c r="HJ99"/>
  <c r="HJ89"/>
  <c r="HJ51"/>
  <c r="HJ97"/>
  <c r="HJ56"/>
  <c r="GR35"/>
  <c r="GX186" i="87"/>
  <c r="GX188"/>
  <c r="HA182"/>
  <c r="GX187"/>
  <c r="GX189"/>
  <c r="GX182"/>
  <c r="GX183"/>
  <c r="GX181"/>
  <c r="GX184"/>
  <c r="GX190"/>
  <c r="GY190" s="1"/>
  <c r="GX185"/>
  <c r="GT188" l="1"/>
  <c r="GR181"/>
  <c r="GS176"/>
  <c r="HD10" i="90"/>
  <c r="GI189" i="87"/>
  <c r="GT190"/>
  <c r="GA43" i="88"/>
  <c r="GE43" s="1"/>
  <c r="GR180" i="87"/>
  <c r="GD190"/>
  <c r="GO190"/>
  <c r="GR182"/>
  <c r="GN190"/>
  <c r="GI183"/>
  <c r="GE181"/>
  <c r="GR185"/>
  <c r="GR189"/>
  <c r="GT182"/>
  <c r="GK190"/>
  <c r="GK186" s="1"/>
  <c r="GI181"/>
  <c r="HA184"/>
  <c r="HA183"/>
  <c r="GO182"/>
  <c r="AX214"/>
  <c r="GD181"/>
  <c r="GO180"/>
  <c r="GW180" s="1"/>
  <c r="GU186"/>
  <c r="HA181"/>
  <c r="GT187"/>
  <c r="GB181"/>
  <c r="GB191" s="1"/>
  <c r="AX213"/>
  <c r="GO187"/>
  <c r="GW187" s="1"/>
  <c r="GT180"/>
  <c r="D209"/>
  <c r="BO213"/>
  <c r="AU213"/>
  <c r="AX212"/>
  <c r="GK27" i="71"/>
  <c r="GB180" i="87"/>
  <c r="GF180" s="1"/>
  <c r="GB187"/>
  <c r="GF187" s="1"/>
  <c r="GE180"/>
  <c r="GO181"/>
  <c r="GW181" s="1"/>
  <c r="GD187"/>
  <c r="D210"/>
  <c r="HA180"/>
  <c r="FO213"/>
  <c r="D242" s="1"/>
  <c r="GE183"/>
  <c r="GB183"/>
  <c r="GF183" s="1"/>
  <c r="GD180"/>
  <c r="GT186"/>
  <c r="GT181"/>
  <c r="GU181"/>
  <c r="GU180"/>
  <c r="GT184"/>
  <c r="GE184"/>
  <c r="GU187"/>
  <c r="GD184"/>
  <c r="GO186"/>
  <c r="GU184"/>
  <c r="GD183"/>
  <c r="GU183"/>
  <c r="GU189"/>
  <c r="GT183"/>
  <c r="GB184"/>
  <c r="GF184" s="1"/>
  <c r="GD188"/>
  <c r="GU185"/>
  <c r="GU182"/>
  <c r="GO183"/>
  <c r="GW183" s="1"/>
  <c r="GO184"/>
  <c r="GW184" s="1"/>
  <c r="GD186"/>
  <c r="GN186"/>
  <c r="GO188"/>
  <c r="GN188"/>
  <c r="GT189"/>
  <c r="GN182"/>
  <c r="GI188"/>
  <c r="GR183"/>
  <c r="GD185"/>
  <c r="GR187"/>
  <c r="GT185"/>
  <c r="GR190"/>
  <c r="GS190" s="1"/>
  <c r="GS184" s="1"/>
  <c r="GI180"/>
  <c r="GQ181" s="1"/>
  <c r="GN185"/>
  <c r="GP184" s="1"/>
  <c r="D195"/>
  <c r="FM213"/>
  <c r="BP213" s="1"/>
  <c r="GE182"/>
  <c r="GN189"/>
  <c r="GI185"/>
  <c r="GI190"/>
  <c r="GJ190" s="1"/>
  <c r="GJ189" s="1"/>
  <c r="GR184"/>
  <c r="GO185"/>
  <c r="GI187"/>
  <c r="D194"/>
  <c r="GB182"/>
  <c r="GF182" s="1"/>
  <c r="GB189"/>
  <c r="GF189" s="1"/>
  <c r="GO189"/>
  <c r="GI186"/>
  <c r="GI182"/>
  <c r="GR188"/>
  <c r="GE185"/>
  <c r="GB185"/>
  <c r="GF185" s="1"/>
  <c r="GI184"/>
  <c r="FT204"/>
  <c r="D196"/>
  <c r="D207"/>
  <c r="D208"/>
  <c r="FM455" i="91"/>
  <c r="HN60" i="88"/>
  <c r="HL70" i="71"/>
  <c r="HN99" i="88"/>
  <c r="BB152" i="91"/>
  <c r="CE152"/>
  <c r="AZ152"/>
  <c r="FO152"/>
  <c r="EH159" s="1"/>
  <c r="BB153"/>
  <c r="BB151"/>
  <c r="D149"/>
  <c r="GS27" i="71"/>
  <c r="GO27"/>
  <c r="HI75"/>
  <c r="HI55"/>
  <c r="HL38"/>
  <c r="FN88" i="90"/>
  <c r="FM98"/>
  <c r="I98" s="1"/>
  <c r="HN47" i="88"/>
  <c r="HI65" i="71"/>
  <c r="HK59" i="88"/>
  <c r="BT138" i="86"/>
  <c r="F142"/>
  <c r="BD142" s="1"/>
  <c r="AR110"/>
  <c r="CF147"/>
  <c r="AZ96"/>
  <c r="F128"/>
  <c r="BD128" s="1"/>
  <c r="BK147"/>
  <c r="AN146"/>
  <c r="HK63" i="88"/>
  <c r="GC100" i="86"/>
  <c r="CA147"/>
  <c r="AU147"/>
  <c r="F139"/>
  <c r="BD139" s="1"/>
  <c r="AN144"/>
  <c r="AN129"/>
  <c r="GH35" i="88"/>
  <c r="GS31"/>
  <c r="GS35"/>
  <c r="F116" i="86"/>
  <c r="F107"/>
  <c r="AN120"/>
  <c r="CG147"/>
  <c r="AN115"/>
  <c r="AN104"/>
  <c r="AN128"/>
  <c r="GF101"/>
  <c r="F133"/>
  <c r="BD133" s="1"/>
  <c r="GA100"/>
  <c r="BO147"/>
  <c r="CB147"/>
  <c r="AN101"/>
  <c r="CB146"/>
  <c r="GD75"/>
  <c r="GE75" s="1"/>
  <c r="F122"/>
  <c r="FW101"/>
  <c r="FT101"/>
  <c r="FS101"/>
  <c r="AN127"/>
  <c r="CJ147"/>
  <c r="FT96"/>
  <c r="BN147"/>
  <c r="AW147"/>
  <c r="AN145"/>
  <c r="BP147"/>
  <c r="AP147"/>
  <c r="BS137"/>
  <c r="AN110"/>
  <c r="AP108"/>
  <c r="GJ35" i="88"/>
  <c r="F114" i="86"/>
  <c r="F130"/>
  <c r="BD130" s="1"/>
  <c r="GD101"/>
  <c r="F124"/>
  <c r="BD124" s="1"/>
  <c r="F123"/>
  <c r="BD123" s="1"/>
  <c r="F125"/>
  <c r="BD125" s="1"/>
  <c r="F144"/>
  <c r="BD144" s="1"/>
  <c r="FW100"/>
  <c r="FN156"/>
  <c r="D170" s="1"/>
  <c r="BY143"/>
  <c r="AN132"/>
  <c r="AN97"/>
  <c r="AN98"/>
  <c r="CA145"/>
  <c r="AN130"/>
  <c r="AN103"/>
  <c r="BA119"/>
  <c r="CH147"/>
  <c r="BJ147"/>
  <c r="AZ147"/>
  <c r="AN107"/>
  <c r="BZ144"/>
  <c r="AX147"/>
  <c r="AN118"/>
  <c r="CD147"/>
  <c r="BG125"/>
  <c r="AX116"/>
  <c r="GJ31" i="88"/>
  <c r="F118" i="86"/>
  <c r="FU100"/>
  <c r="F131"/>
  <c r="BD131" s="1"/>
  <c r="FS100"/>
  <c r="AO107"/>
  <c r="AF99"/>
  <c r="AN111"/>
  <c r="AN124"/>
  <c r="AT112"/>
  <c r="BZ147"/>
  <c r="BW141"/>
  <c r="AY147"/>
  <c r="F126"/>
  <c r="BD126" s="1"/>
  <c r="F109"/>
  <c r="F111"/>
  <c r="FP94" s="1"/>
  <c r="F141"/>
  <c r="BD141" s="1"/>
  <c r="F135"/>
  <c r="BD135" s="1"/>
  <c r="F129"/>
  <c r="BD129" s="1"/>
  <c r="GB101"/>
  <c r="GB100"/>
  <c r="F137"/>
  <c r="BD137" s="1"/>
  <c r="BN132"/>
  <c r="BH147"/>
  <c r="BB147"/>
  <c r="BC147"/>
  <c r="AN133"/>
  <c r="AS111"/>
  <c r="BR147"/>
  <c r="AN119"/>
  <c r="BL147"/>
  <c r="BF124"/>
  <c r="AN117"/>
  <c r="BA147"/>
  <c r="AU113"/>
  <c r="AY117"/>
  <c r="AN142"/>
  <c r="BJ128"/>
  <c r="AN147"/>
  <c r="BO96"/>
  <c r="GD78"/>
  <c r="GF78" s="1"/>
  <c r="HL68" i="71"/>
  <c r="CA155" i="86"/>
  <c r="BO155"/>
  <c r="GD102"/>
  <c r="FN102"/>
  <c r="GF83"/>
  <c r="GG77"/>
  <c r="HI85" i="71"/>
  <c r="BE155" i="86"/>
  <c r="BE128" s="1"/>
  <c r="AP155"/>
  <c r="AP138" s="1"/>
  <c r="AV155"/>
  <c r="AV144" s="1"/>
  <c r="BA155"/>
  <c r="BL155"/>
  <c r="BL142" s="1"/>
  <c r="BK155"/>
  <c r="AO155"/>
  <c r="FQ94" s="1"/>
  <c r="AW155"/>
  <c r="AW141" s="1"/>
  <c r="GF102"/>
  <c r="BI155"/>
  <c r="BF155"/>
  <c r="BF131" s="1"/>
  <c r="BZ155"/>
  <c r="AU155"/>
  <c r="AU142" s="1"/>
  <c r="BJ155"/>
  <c r="BJ138" s="1"/>
  <c r="BY155"/>
  <c r="BY144" s="1"/>
  <c r="BT155"/>
  <c r="BT139" s="1"/>
  <c r="BP155"/>
  <c r="BS155"/>
  <c r="BQ155"/>
  <c r="GC102"/>
  <c r="AQ155"/>
  <c r="BR155"/>
  <c r="AS155"/>
  <c r="AS131" s="1"/>
  <c r="AZ155"/>
  <c r="AZ138" s="1"/>
  <c r="BM155"/>
  <c r="AY155"/>
  <c r="BG155"/>
  <c r="BG144" s="1"/>
  <c r="BX155"/>
  <c r="AR155"/>
  <c r="BU155"/>
  <c r="GF73"/>
  <c r="FW102"/>
  <c r="BV155"/>
  <c r="AX155"/>
  <c r="BW155"/>
  <c r="BW144" s="1"/>
  <c r="BH155"/>
  <c r="BC155"/>
  <c r="CB155"/>
  <c r="BN155"/>
  <c r="BB155"/>
  <c r="BB124" s="1"/>
  <c r="AT155"/>
  <c r="AT142" s="1"/>
  <c r="GD82"/>
  <c r="GG82" s="1"/>
  <c r="GD79"/>
  <c r="GE79" s="1"/>
  <c r="FO96"/>
  <c r="FQ96" s="1"/>
  <c r="FR96" s="1"/>
  <c r="GE83"/>
  <c r="GG83"/>
  <c r="GE100"/>
  <c r="F113"/>
  <c r="FT100"/>
  <c r="F140"/>
  <c r="F127"/>
  <c r="GE101"/>
  <c r="F115"/>
  <c r="AT115" s="1"/>
  <c r="F110"/>
  <c r="FU101"/>
  <c r="GB102"/>
  <c r="GE102"/>
  <c r="FV100"/>
  <c r="F108"/>
  <c r="AO108" s="1"/>
  <c r="FR102"/>
  <c r="F112"/>
  <c r="AR112" s="1"/>
  <c r="F117"/>
  <c r="F119"/>
  <c r="FS102"/>
  <c r="GA102"/>
  <c r="GF100"/>
  <c r="AN121"/>
  <c r="AO147"/>
  <c r="AN122"/>
  <c r="AN100"/>
  <c r="BB96"/>
  <c r="BP134"/>
  <c r="CE147"/>
  <c r="BW147"/>
  <c r="BB97"/>
  <c r="AQ147"/>
  <c r="BG147"/>
  <c r="BC121"/>
  <c r="BB120"/>
  <c r="AN116"/>
  <c r="BT147"/>
  <c r="AN141"/>
  <c r="AN135"/>
  <c r="CI147"/>
  <c r="BF147"/>
  <c r="BE123"/>
  <c r="AV114"/>
  <c r="AN109"/>
  <c r="AN108"/>
  <c r="AQ109"/>
  <c r="BD147"/>
  <c r="BV140"/>
  <c r="BI147"/>
  <c r="BX142"/>
  <c r="AN137"/>
  <c r="BM131"/>
  <c r="BH126"/>
  <c r="BI127"/>
  <c r="AN136"/>
  <c r="AN99"/>
  <c r="AN140"/>
  <c r="AT147"/>
  <c r="BO133"/>
  <c r="GE77"/>
  <c r="GD76"/>
  <c r="GG76" s="1"/>
  <c r="GD81"/>
  <c r="GG81" s="1"/>
  <c r="GD74"/>
  <c r="GE74" s="1"/>
  <c r="GD80"/>
  <c r="GE80" s="1"/>
  <c r="FU102"/>
  <c r="FR100"/>
  <c r="F120"/>
  <c r="AO120" s="1"/>
  <c r="F136"/>
  <c r="AZ136" s="1"/>
  <c r="FN100"/>
  <c r="FR101"/>
  <c r="FN101"/>
  <c r="GD100"/>
  <c r="GA101"/>
  <c r="F143"/>
  <c r="BU143" s="1"/>
  <c r="FV102"/>
  <c r="F146"/>
  <c r="F145"/>
  <c r="BV145" s="1"/>
  <c r="GC101"/>
  <c r="F121"/>
  <c r="AS121" s="1"/>
  <c r="F132"/>
  <c r="BD132" s="1"/>
  <c r="F134"/>
  <c r="BC134" s="1"/>
  <c r="FV101"/>
  <c r="FT102"/>
  <c r="CC147"/>
  <c r="AN113"/>
  <c r="CK147"/>
  <c r="BB95"/>
  <c r="BQ135"/>
  <c r="AS147"/>
  <c r="BD122"/>
  <c r="AN123"/>
  <c r="CK148"/>
  <c r="AN105"/>
  <c r="AZ118"/>
  <c r="AN114"/>
  <c r="AN112"/>
  <c r="AN138"/>
  <c r="BU147"/>
  <c r="BV147"/>
  <c r="AN139"/>
  <c r="BU139"/>
  <c r="AN131"/>
  <c r="AN102"/>
  <c r="AW115"/>
  <c r="AR147"/>
  <c r="BQ147"/>
  <c r="BK129"/>
  <c r="BE147"/>
  <c r="AN134"/>
  <c r="BS147"/>
  <c r="BL130"/>
  <c r="AN125"/>
  <c r="BM147"/>
  <c r="AV147"/>
  <c r="BX147"/>
  <c r="AN106"/>
  <c r="AN143"/>
  <c r="BR136"/>
  <c r="AN126"/>
  <c r="GG73"/>
  <c r="HN98" i="88"/>
  <c r="HL46" i="71"/>
  <c r="GG42" i="90"/>
  <c r="HK96" i="88"/>
  <c r="HN59"/>
  <c r="HL66" i="71"/>
  <c r="HL59"/>
  <c r="HI50"/>
  <c r="HI41"/>
  <c r="HL86"/>
  <c r="HL39"/>
  <c r="HI38"/>
  <c r="HI80"/>
  <c r="HL76"/>
  <c r="HL65"/>
  <c r="HI57"/>
  <c r="HL80"/>
  <c r="HL40"/>
  <c r="HI52"/>
  <c r="HL53"/>
  <c r="HI46"/>
  <c r="HI59"/>
  <c r="HL48"/>
  <c r="HI42"/>
  <c r="HI53"/>
  <c r="HI47"/>
  <c r="HL62"/>
  <c r="HI51"/>
  <c r="HI84"/>
  <c r="HI66"/>
  <c r="HI86"/>
  <c r="HI77"/>
  <c r="HL81"/>
  <c r="HL54"/>
  <c r="HI70"/>
  <c r="HI81"/>
  <c r="HL56"/>
  <c r="HL50"/>
  <c r="HL42"/>
  <c r="HI67"/>
  <c r="HL82"/>
  <c r="HI43"/>
  <c r="HL37"/>
  <c r="HL47"/>
  <c r="HL58"/>
  <c r="GR33"/>
  <c r="GU89" s="1"/>
  <c r="GQ33"/>
  <c r="GH89" s="1"/>
  <c r="HI78"/>
  <c r="HI69"/>
  <c r="HL49"/>
  <c r="HI54"/>
  <c r="GC80"/>
  <c r="GC81"/>
  <c r="GC82"/>
  <c r="GC84"/>
  <c r="GS89"/>
  <c r="GC88"/>
  <c r="GN89"/>
  <c r="GC83"/>
  <c r="GC85"/>
  <c r="GC86"/>
  <c r="GC87"/>
  <c r="HI63"/>
  <c r="HI64"/>
  <c r="HI44"/>
  <c r="HI45"/>
  <c r="HE35"/>
  <c r="HE51"/>
  <c r="HE41"/>
  <c r="HB74"/>
  <c r="HE82"/>
  <c r="HB40"/>
  <c r="HE38"/>
  <c r="HE53"/>
  <c r="HB85"/>
  <c r="HB50"/>
  <c r="HB81"/>
  <c r="HE57"/>
  <c r="HB41"/>
  <c r="HB63"/>
  <c r="HB65"/>
  <c r="HB62"/>
  <c r="HB69"/>
  <c r="HE44"/>
  <c r="HE85"/>
  <c r="HE75"/>
  <c r="HE71"/>
  <c r="HE67"/>
  <c r="HB55"/>
  <c r="HB82"/>
  <c r="HE73"/>
  <c r="HB44"/>
  <c r="HB35"/>
  <c r="HB67"/>
  <c r="HE58"/>
  <c r="HE60"/>
  <c r="HE86"/>
  <c r="HB52"/>
  <c r="HE84"/>
  <c r="HE66"/>
  <c r="HE63"/>
  <c r="HE65"/>
  <c r="HE56"/>
  <c r="HB66"/>
  <c r="HB45"/>
  <c r="HB56"/>
  <c r="HE76"/>
  <c r="HB78"/>
  <c r="HB71"/>
  <c r="HE78"/>
  <c r="HE59"/>
  <c r="HE61"/>
  <c r="HF61" s="1"/>
  <c r="HB84"/>
  <c r="HE40"/>
  <c r="HE80"/>
  <c r="HE45"/>
  <c r="HE55"/>
  <c r="HB46"/>
  <c r="HE54"/>
  <c r="HE83"/>
  <c r="HB64"/>
  <c r="HB43"/>
  <c r="HB48"/>
  <c r="HE70"/>
  <c r="HB76"/>
  <c r="HB54"/>
  <c r="HE81"/>
  <c r="HE39"/>
  <c r="HE36"/>
  <c r="HB42"/>
  <c r="HE49"/>
  <c r="HB51"/>
  <c r="HC51" s="1"/>
  <c r="HB58"/>
  <c r="HB49"/>
  <c r="HE74"/>
  <c r="HF74" s="1"/>
  <c r="HE46"/>
  <c r="HF46" s="1"/>
  <c r="HB75"/>
  <c r="HB39"/>
  <c r="HB59"/>
  <c r="HB47"/>
  <c r="HB57"/>
  <c r="HB61"/>
  <c r="HB37"/>
  <c r="HE64"/>
  <c r="HB38"/>
  <c r="HE48"/>
  <c r="HE50"/>
  <c r="HB80"/>
  <c r="HB77"/>
  <c r="HC77" s="1"/>
  <c r="HE69"/>
  <c r="HE68"/>
  <c r="HB36"/>
  <c r="HE62"/>
  <c r="HB60"/>
  <c r="HE43"/>
  <c r="HB53"/>
  <c r="HB79"/>
  <c r="HE37"/>
  <c r="HE77"/>
  <c r="HB86"/>
  <c r="HB73"/>
  <c r="HC73" s="1"/>
  <c r="HB70"/>
  <c r="HE52"/>
  <c r="HE42"/>
  <c r="HB83"/>
  <c r="HE79"/>
  <c r="HF79" s="1"/>
  <c r="HE47"/>
  <c r="HB68"/>
  <c r="HI39"/>
  <c r="HI40"/>
  <c r="HI74"/>
  <c r="HI73"/>
  <c r="HI36"/>
  <c r="HI37"/>
  <c r="GR32"/>
  <c r="GU75" s="1"/>
  <c r="GQ32"/>
  <c r="GH75" s="1"/>
  <c r="HL75"/>
  <c r="HL74"/>
  <c r="HL78"/>
  <c r="HL77"/>
  <c r="HI58"/>
  <c r="HI60"/>
  <c r="HL44"/>
  <c r="HL71"/>
  <c r="HI68"/>
  <c r="HL73"/>
  <c r="HI79"/>
  <c r="HI56"/>
  <c r="HI48"/>
  <c r="HI49"/>
  <c r="HL63"/>
  <c r="HL64"/>
  <c r="HL84"/>
  <c r="HL85"/>
  <c r="HL60"/>
  <c r="HL61"/>
  <c r="HL55"/>
  <c r="HL51"/>
  <c r="HL41"/>
  <c r="HL52"/>
  <c r="HI61"/>
  <c r="HI62"/>
  <c r="HI76"/>
  <c r="HL79"/>
  <c r="HL57"/>
  <c r="HI82"/>
  <c r="HI83"/>
  <c r="HI71"/>
  <c r="HL43"/>
  <c r="HL69"/>
  <c r="HL67"/>
  <c r="HL45"/>
  <c r="HL83"/>
  <c r="GF39"/>
  <c r="GN37"/>
  <c r="GE41"/>
  <c r="GS42"/>
  <c r="GE43"/>
  <c r="GE42"/>
  <c r="GS35"/>
  <c r="GF40"/>
  <c r="GF41"/>
  <c r="GE39"/>
  <c r="GE44"/>
  <c r="GN39"/>
  <c r="GF44"/>
  <c r="GN36"/>
  <c r="GA35"/>
  <c r="GA36" s="1"/>
  <c r="GA46" s="1"/>
  <c r="GS44"/>
  <c r="GN35"/>
  <c r="GS41"/>
  <c r="GS43"/>
  <c r="GF35"/>
  <c r="GN41"/>
  <c r="GS45"/>
  <c r="GN45"/>
  <c r="GS38"/>
  <c r="GC23"/>
  <c r="GD23" s="1"/>
  <c r="GN43"/>
  <c r="GF45"/>
  <c r="GE45"/>
  <c r="GF36"/>
  <c r="GN42"/>
  <c r="GF38"/>
  <c r="GF43"/>
  <c r="GN44"/>
  <c r="GF42"/>
  <c r="GS39"/>
  <c r="GE37"/>
  <c r="GN40"/>
  <c r="GS37"/>
  <c r="GS40"/>
  <c r="GN38"/>
  <c r="GF37"/>
  <c r="GS36"/>
  <c r="GE38"/>
  <c r="GE40"/>
  <c r="GO31"/>
  <c r="HD55" i="90"/>
  <c r="HD56"/>
  <c r="HN93" i="88"/>
  <c r="HK55"/>
  <c r="HN96"/>
  <c r="HD22" i="90"/>
  <c r="HD49"/>
  <c r="HD52"/>
  <c r="HD50"/>
  <c r="HD42"/>
  <c r="HD43"/>
  <c r="HD47"/>
  <c r="HD45"/>
  <c r="HK76" i="88"/>
  <c r="HK92"/>
  <c r="HD38" i="90"/>
  <c r="HD13"/>
  <c r="HD36"/>
  <c r="HD25"/>
  <c r="HD35"/>
  <c r="HK51" i="88"/>
  <c r="HD54" i="90"/>
  <c r="HK49" i="88"/>
  <c r="HD18" i="90"/>
  <c r="HK56" i="88"/>
  <c r="HD30" i="90"/>
  <c r="HD19"/>
  <c r="HD17"/>
  <c r="HD26"/>
  <c r="HD7"/>
  <c r="HD51"/>
  <c r="HD21"/>
  <c r="HK98" i="88"/>
  <c r="HK45"/>
  <c r="HK61"/>
  <c r="HK72"/>
  <c r="HK47"/>
  <c r="HK83"/>
  <c r="HN76"/>
  <c r="HN78"/>
  <c r="HN90"/>
  <c r="HN73"/>
  <c r="HN87"/>
  <c r="HN58"/>
  <c r="HD8" i="90"/>
  <c r="HD32"/>
  <c r="HD14"/>
  <c r="HD27"/>
  <c r="HD44"/>
  <c r="HD5"/>
  <c r="HD39"/>
  <c r="HD23"/>
  <c r="HD29"/>
  <c r="HD34"/>
  <c r="HD31"/>
  <c r="BD138" i="86"/>
  <c r="HD33" i="90"/>
  <c r="HK97" i="88"/>
  <c r="HK52"/>
  <c r="HK60"/>
  <c r="HK94"/>
  <c r="HK74"/>
  <c r="HK44"/>
  <c r="HK71"/>
  <c r="HN63"/>
  <c r="HN75"/>
  <c r="HN71"/>
  <c r="HN82"/>
  <c r="HN57"/>
  <c r="HN86"/>
  <c r="HD20" i="90"/>
  <c r="HD41"/>
  <c r="HD12"/>
  <c r="HD37"/>
  <c r="HD28"/>
  <c r="HD24"/>
  <c r="HK78" i="88"/>
  <c r="HK81"/>
  <c r="HK86"/>
  <c r="HN52"/>
  <c r="HN80"/>
  <c r="HN48"/>
  <c r="HD15" i="90"/>
  <c r="HD46"/>
  <c r="HK89" i="88"/>
  <c r="HD6" i="90"/>
  <c r="HD40"/>
  <c r="HD9"/>
  <c r="HD48"/>
  <c r="HD74" i="88"/>
  <c r="HD51"/>
  <c r="HD80"/>
  <c r="HD91"/>
  <c r="HP78"/>
  <c r="HD90"/>
  <c r="HP51"/>
  <c r="HD47"/>
  <c r="HD50"/>
  <c r="HD85"/>
  <c r="HD94"/>
  <c r="HD44"/>
  <c r="HD46"/>
  <c r="HP98"/>
  <c r="HG86"/>
  <c r="HP84"/>
  <c r="HD75"/>
  <c r="HG71"/>
  <c r="HG47"/>
  <c r="HD86"/>
  <c r="HG93"/>
  <c r="HG95"/>
  <c r="HG92"/>
  <c r="HG57"/>
  <c r="HG46"/>
  <c r="HG91"/>
  <c r="HG98"/>
  <c r="HG99"/>
  <c r="HG54"/>
  <c r="HG94"/>
  <c r="HG72"/>
  <c r="HG87"/>
  <c r="HP96"/>
  <c r="HD79"/>
  <c r="HP71"/>
  <c r="HP92"/>
  <c r="HD70"/>
  <c r="HP48"/>
  <c r="HD57"/>
  <c r="HP70"/>
  <c r="HD83"/>
  <c r="HP99"/>
  <c r="HG53"/>
  <c r="HG44"/>
  <c r="HG52"/>
  <c r="HG56"/>
  <c r="HD76"/>
  <c r="HP87"/>
  <c r="HP58"/>
  <c r="HP94"/>
  <c r="HP82"/>
  <c r="HG82"/>
  <c r="HD58"/>
  <c r="HD54"/>
  <c r="HD97"/>
  <c r="HD92"/>
  <c r="HE92" s="1"/>
  <c r="HG48"/>
  <c r="HD98"/>
  <c r="HD55"/>
  <c r="HD95"/>
  <c r="HD82"/>
  <c r="HP59"/>
  <c r="HD84"/>
  <c r="HP53"/>
  <c r="HD45"/>
  <c r="HG96"/>
  <c r="HH96" s="1"/>
  <c r="HG97"/>
  <c r="HD53"/>
  <c r="HG43"/>
  <c r="HD61"/>
  <c r="HD89"/>
  <c r="HP97"/>
  <c r="HG84"/>
  <c r="HG78"/>
  <c r="HG83"/>
  <c r="HG75"/>
  <c r="HG63"/>
  <c r="HG80"/>
  <c r="HG49"/>
  <c r="HP55"/>
  <c r="HD63"/>
  <c r="HP83"/>
  <c r="HD93"/>
  <c r="HD73"/>
  <c r="HP88"/>
  <c r="HG51"/>
  <c r="HG60"/>
  <c r="HG73"/>
  <c r="HG79"/>
  <c r="HG85"/>
  <c r="HD43"/>
  <c r="HP79"/>
  <c r="HD52"/>
  <c r="HD59"/>
  <c r="HP80"/>
  <c r="HG61"/>
  <c r="HG62"/>
  <c r="HP60"/>
  <c r="HD60"/>
  <c r="HP45"/>
  <c r="HD96"/>
  <c r="HP86"/>
  <c r="HP50"/>
  <c r="HD88"/>
  <c r="HD72"/>
  <c r="HG89"/>
  <c r="HG90"/>
  <c r="HG58"/>
  <c r="HG81"/>
  <c r="HP44"/>
  <c r="HQ44" s="1"/>
  <c r="HG88"/>
  <c r="HG45"/>
  <c r="HG74"/>
  <c r="HP93"/>
  <c r="HP91"/>
  <c r="HG76"/>
  <c r="HH76" s="1"/>
  <c r="HD62"/>
  <c r="HP56"/>
  <c r="HG59"/>
  <c r="HD87"/>
  <c r="HE87" s="1"/>
  <c r="HD56"/>
  <c r="HD99"/>
  <c r="HE99" s="1"/>
  <c r="HD77"/>
  <c r="HP77"/>
  <c r="HG77"/>
  <c r="HG70"/>
  <c r="HD49"/>
  <c r="HD78"/>
  <c r="HD48"/>
  <c r="HD81"/>
  <c r="HG55"/>
  <c r="HD71"/>
  <c r="HP81"/>
  <c r="HP52"/>
  <c r="HG50"/>
  <c r="HH50" s="1"/>
  <c r="HP75"/>
  <c r="HP47"/>
  <c r="HP90"/>
  <c r="HP61"/>
  <c r="HP49"/>
  <c r="HP57"/>
  <c r="HP46"/>
  <c r="HP76"/>
  <c r="HP72"/>
  <c r="HP63"/>
  <c r="HP62"/>
  <c r="HP89"/>
  <c r="HP54"/>
  <c r="HQ54" s="1"/>
  <c r="HP95"/>
  <c r="HP73"/>
  <c r="HP74"/>
  <c r="HP85"/>
  <c r="HQ85" s="1"/>
  <c r="GH53"/>
  <c r="GL53" s="1"/>
  <c r="D100" i="90"/>
  <c r="D108"/>
  <c r="D131"/>
  <c r="FQ104"/>
  <c r="D102"/>
  <c r="D99"/>
  <c r="FU145"/>
  <c r="DF145"/>
  <c r="D101"/>
  <c r="AT144"/>
  <c r="D138"/>
  <c r="D126"/>
  <c r="FU104"/>
  <c r="FQ145" s="1"/>
  <c r="D134"/>
  <c r="FS104"/>
  <c r="FS145"/>
  <c r="BY140"/>
  <c r="AT145"/>
  <c r="D142"/>
  <c r="FP104"/>
  <c r="FT104"/>
  <c r="AT146"/>
  <c r="FP181"/>
  <c r="D130"/>
  <c r="D120"/>
  <c r="D133"/>
  <c r="D115"/>
  <c r="D119"/>
  <c r="D104"/>
  <c r="D109"/>
  <c r="HK99" i="88"/>
  <c r="HN61"/>
  <c r="HN91"/>
  <c r="GT40"/>
  <c r="GH88"/>
  <c r="GH102"/>
  <c r="GT41"/>
  <c r="FZ103"/>
  <c r="GA102" s="1"/>
  <c r="FZ92"/>
  <c r="GA92" s="1"/>
  <c r="GQ41"/>
  <c r="GR41"/>
  <c r="GS51"/>
  <c r="GS46"/>
  <c r="GE47"/>
  <c r="GF45"/>
  <c r="GN47"/>
  <c r="GS44"/>
  <c r="GN44"/>
  <c r="GE48"/>
  <c r="GN52"/>
  <c r="GS52"/>
  <c r="GF48"/>
  <c r="GO39"/>
  <c r="GN45"/>
  <c r="GN49"/>
  <c r="GF44"/>
  <c r="GT39"/>
  <c r="GN48"/>
  <c r="GE53"/>
  <c r="GF46"/>
  <c r="GE45"/>
  <c r="GS48"/>
  <c r="GE52"/>
  <c r="GS45"/>
  <c r="GF43"/>
  <c r="GS43"/>
  <c r="GS47"/>
  <c r="GF50"/>
  <c r="GF53"/>
  <c r="GS53"/>
  <c r="GN50"/>
  <c r="GE50"/>
  <c r="GN43"/>
  <c r="GS50"/>
  <c r="GN53"/>
  <c r="GF49"/>
  <c r="GN46"/>
  <c r="GF51"/>
  <c r="HV53"/>
  <c r="GN51"/>
  <c r="GT53"/>
  <c r="GF47"/>
  <c r="GS49"/>
  <c r="GE51"/>
  <c r="GE49"/>
  <c r="GF52"/>
  <c r="GC31"/>
  <c r="GD31" s="1"/>
  <c r="GE46"/>
  <c r="HK73"/>
  <c r="HK57"/>
  <c r="HK82"/>
  <c r="HK91"/>
  <c r="HK48"/>
  <c r="HK93"/>
  <c r="HK46"/>
  <c r="HK54"/>
  <c r="HN81"/>
  <c r="HN88"/>
  <c r="HK75"/>
  <c r="HN83"/>
  <c r="HN94"/>
  <c r="HN74"/>
  <c r="HN45"/>
  <c r="HN92"/>
  <c r="HN46"/>
  <c r="HN55"/>
  <c r="HN95"/>
  <c r="GQ40"/>
  <c r="GR40"/>
  <c r="GC101"/>
  <c r="GC98"/>
  <c r="GN102"/>
  <c r="GC93"/>
  <c r="GC99"/>
  <c r="GC100"/>
  <c r="GC95"/>
  <c r="GC97"/>
  <c r="GS102"/>
  <c r="GC94"/>
  <c r="GC96"/>
  <c r="HK85"/>
  <c r="HK95"/>
  <c r="HK70"/>
  <c r="HK50"/>
  <c r="HK90"/>
  <c r="HK58"/>
  <c r="HK77"/>
  <c r="HK87"/>
  <c r="HN70"/>
  <c r="HN97"/>
  <c r="HN79"/>
  <c r="HN62"/>
  <c r="HN51"/>
  <c r="HN84"/>
  <c r="GZ180" i="87"/>
  <c r="GY188"/>
  <c r="GY185"/>
  <c r="GY186"/>
  <c r="GY189"/>
  <c r="GY187"/>
  <c r="HK80" i="88"/>
  <c r="HK79"/>
  <c r="GE78"/>
  <c r="GA79"/>
  <c r="GE79" s="1"/>
  <c r="HK84"/>
  <c r="HK53"/>
  <c r="HK62"/>
  <c r="HN77"/>
  <c r="HN72"/>
  <c r="HN50"/>
  <c r="HN53"/>
  <c r="HN89"/>
  <c r="D171" i="86" l="1"/>
  <c r="D169"/>
  <c r="GE58" i="88"/>
  <c r="GW190" i="87"/>
  <c r="GA44" i="88"/>
  <c r="GE59" s="1"/>
  <c r="GK182" i="87"/>
  <c r="GW182"/>
  <c r="GK181"/>
  <c r="GK185"/>
  <c r="GK189"/>
  <c r="GK183"/>
  <c r="D225"/>
  <c r="D223"/>
  <c r="GK187"/>
  <c r="GK184"/>
  <c r="DX251"/>
  <c r="GK188"/>
  <c r="GK180"/>
  <c r="HF59" i="71"/>
  <c r="D248" i="87"/>
  <c r="D226"/>
  <c r="D227"/>
  <c r="D224"/>
  <c r="D230"/>
  <c r="D241"/>
  <c r="D219"/>
  <c r="D244"/>
  <c r="D243"/>
  <c r="FO251"/>
  <c r="D254" s="1"/>
  <c r="D247"/>
  <c r="GF181"/>
  <c r="GS180"/>
  <c r="GS185"/>
  <c r="GJ185"/>
  <c r="GJ183"/>
  <c r="GS183"/>
  <c r="GM190"/>
  <c r="GM187" s="1"/>
  <c r="GJ177"/>
  <c r="GG168" s="1"/>
  <c r="GW189"/>
  <c r="GP182"/>
  <c r="GL177"/>
  <c r="GP177" s="1"/>
  <c r="GW186"/>
  <c r="D221"/>
  <c r="DE251"/>
  <c r="D229"/>
  <c r="D216"/>
  <c r="DG251"/>
  <c r="D245"/>
  <c r="GW185"/>
  <c r="GI177"/>
  <c r="GF168" s="1"/>
  <c r="D220"/>
  <c r="D246"/>
  <c r="DG250"/>
  <c r="D228"/>
  <c r="D217"/>
  <c r="DG252"/>
  <c r="GM177"/>
  <c r="GO178" s="1"/>
  <c r="GH177"/>
  <c r="GE168" s="1"/>
  <c r="GP180"/>
  <c r="GK177"/>
  <c r="GO177" s="1"/>
  <c r="GP183"/>
  <c r="GN177"/>
  <c r="GR169" s="1"/>
  <c r="GP181"/>
  <c r="HH58" i="88"/>
  <c r="GW188" i="87"/>
  <c r="GJ187"/>
  <c r="GJ184"/>
  <c r="GS186"/>
  <c r="GS187"/>
  <c r="GS182"/>
  <c r="GJ188"/>
  <c r="GL190"/>
  <c r="GL189" s="1"/>
  <c r="GS181"/>
  <c r="GS188"/>
  <c r="GJ186"/>
  <c r="GJ181"/>
  <c r="GJ182"/>
  <c r="GJ180"/>
  <c r="GQ180"/>
  <c r="GS189"/>
  <c r="GQ183"/>
  <c r="GQ184"/>
  <c r="GQ182"/>
  <c r="HF86" i="71"/>
  <c r="HF50"/>
  <c r="HQ60" i="88"/>
  <c r="D155" i="91"/>
  <c r="D156"/>
  <c r="DC160"/>
  <c r="DC159"/>
  <c r="EF159"/>
  <c r="FO159"/>
  <c r="DC158"/>
  <c r="DA159"/>
  <c r="BY136" i="90"/>
  <c r="BY113"/>
  <c r="BY128"/>
  <c r="FP162"/>
  <c r="FM162" s="1"/>
  <c r="HE77" i="88"/>
  <c r="HH45"/>
  <c r="W261" i="87"/>
  <c r="HF77" i="71"/>
  <c r="HQ99" i="88"/>
  <c r="BU144" i="86"/>
  <c r="BH142"/>
  <c r="D167"/>
  <c r="BS139"/>
  <c r="GK31" i="88"/>
  <c r="GK35"/>
  <c r="AT230" i="86"/>
  <c r="BD228"/>
  <c r="BD235"/>
  <c r="BF222"/>
  <c r="GQ213"/>
  <c r="Q175"/>
  <c r="BB230"/>
  <c r="BB245"/>
  <c r="AR245"/>
  <c r="AU239"/>
  <c r="AR236"/>
  <c r="AS231"/>
  <c r="AO236"/>
  <c r="AU238"/>
  <c r="AR226"/>
  <c r="AR237"/>
  <c r="AV231"/>
  <c r="AP248"/>
  <c r="BB242"/>
  <c r="BD231"/>
  <c r="BH235"/>
  <c r="GV206"/>
  <c r="GV197" s="1"/>
  <c r="BF221"/>
  <c r="D164"/>
  <c r="AZ228"/>
  <c r="AS246"/>
  <c r="AR238"/>
  <c r="AX246"/>
  <c r="BD233"/>
  <c r="AX238"/>
  <c r="AZ242"/>
  <c r="BC233"/>
  <c r="AU241"/>
  <c r="AU243"/>
  <c r="AO246"/>
  <c r="AV241"/>
  <c r="BD229"/>
  <c r="GF75"/>
  <c r="D161"/>
  <c r="BF253"/>
  <c r="AV237"/>
  <c r="AW224"/>
  <c r="AU246"/>
  <c r="AP224"/>
  <c r="AV232"/>
  <c r="AS237"/>
  <c r="AW225"/>
  <c r="BH220"/>
  <c r="BE252"/>
  <c r="BD230"/>
  <c r="AO248"/>
  <c r="BF237"/>
  <c r="FO176"/>
  <c r="GQ168" s="1"/>
  <c r="BA245"/>
  <c r="AX231"/>
  <c r="AY225"/>
  <c r="AS232"/>
  <c r="AQ241"/>
  <c r="AU230"/>
  <c r="AP231"/>
  <c r="AW244"/>
  <c r="AP239"/>
  <c r="AU229"/>
  <c r="AS234"/>
  <c r="BC225"/>
  <c r="AP247"/>
  <c r="AX245"/>
  <c r="AY242"/>
  <c r="AP232"/>
  <c r="AW245"/>
  <c r="AU228"/>
  <c r="AV246"/>
  <c r="BB243"/>
  <c r="FN237"/>
  <c r="BC232" s="1"/>
  <c r="BD253"/>
  <c r="AT232"/>
  <c r="BB226"/>
  <c r="AT244"/>
  <c r="AO230"/>
  <c r="AT248"/>
  <c r="BD244"/>
  <c r="AY124"/>
  <c r="BR141"/>
  <c r="AY234"/>
  <c r="D156"/>
  <c r="AR235"/>
  <c r="BD254"/>
  <c r="AP241"/>
  <c r="AW243"/>
  <c r="GQ225"/>
  <c r="AT226"/>
  <c r="AZ224"/>
  <c r="BA243"/>
  <c r="AO227"/>
  <c r="AO233"/>
  <c r="BC247"/>
  <c r="AX235"/>
  <c r="AO232"/>
  <c r="AR230"/>
  <c r="BB253"/>
  <c r="AZ236"/>
  <c r="AR241"/>
  <c r="AU245"/>
  <c r="AT228"/>
  <c r="AT229"/>
  <c r="AW239"/>
  <c r="AP246"/>
  <c r="BE253"/>
  <c r="BA244"/>
  <c r="BN141"/>
  <c r="BQ141"/>
  <c r="BG127"/>
  <c r="BX144"/>
  <c r="BA131"/>
  <c r="GG75"/>
  <c r="BC124"/>
  <c r="BV141"/>
  <c r="AR111"/>
  <c r="BM144"/>
  <c r="AQ111"/>
  <c r="BP144"/>
  <c r="D158"/>
  <c r="AS235"/>
  <c r="AV235"/>
  <c r="AY245"/>
  <c r="BC231"/>
  <c r="BI219"/>
  <c r="AV236"/>
  <c r="AZ226"/>
  <c r="BA232"/>
  <c r="AQ233"/>
  <c r="GQ224"/>
  <c r="GQ228"/>
  <c r="GQ196"/>
  <c r="AW238"/>
  <c r="AV228"/>
  <c r="AU227"/>
  <c r="BC224"/>
  <c r="AP244"/>
  <c r="AO228"/>
  <c r="AS248"/>
  <c r="AQ243"/>
  <c r="AV233"/>
  <c r="BB235"/>
  <c r="AP225"/>
  <c r="AT242"/>
  <c r="GQ199"/>
  <c r="BC234"/>
  <c r="AY229"/>
  <c r="BF236"/>
  <c r="D159"/>
  <c r="AT243"/>
  <c r="AW247"/>
  <c r="AU247"/>
  <c r="AY237"/>
  <c r="AP243"/>
  <c r="BI238"/>
  <c r="DY173"/>
  <c r="AP235"/>
  <c r="AO247"/>
  <c r="AV242"/>
  <c r="BD225"/>
  <c r="AY224"/>
  <c r="AT227"/>
  <c r="AV243"/>
  <c r="AY233"/>
  <c r="BG235"/>
  <c r="BA236"/>
  <c r="BA248"/>
  <c r="AQ245"/>
  <c r="AR247"/>
  <c r="BD227"/>
  <c r="AT239"/>
  <c r="BD251"/>
  <c r="AQ239"/>
  <c r="BA247"/>
  <c r="AV229"/>
  <c r="AW230"/>
  <c r="D165"/>
  <c r="BG236"/>
  <c r="AP230"/>
  <c r="AX237"/>
  <c r="AO238"/>
  <c r="AO239"/>
  <c r="AX126"/>
  <c r="BI135"/>
  <c r="BK137"/>
  <c r="BA246"/>
  <c r="BC235"/>
  <c r="AO224"/>
  <c r="GV199"/>
  <c r="AU232"/>
  <c r="GQ227"/>
  <c r="BG222"/>
  <c r="AT238"/>
  <c r="BB248"/>
  <c r="AY239"/>
  <c r="AT233"/>
  <c r="BB246"/>
  <c r="AU237"/>
  <c r="BB239"/>
  <c r="AV244"/>
  <c r="BC226"/>
  <c r="GQ212"/>
  <c r="AV230"/>
  <c r="BC229"/>
  <c r="BD247"/>
  <c r="AV238"/>
  <c r="AZ241"/>
  <c r="BC241"/>
  <c r="BB224"/>
  <c r="AQ242"/>
  <c r="AY248"/>
  <c r="AW235"/>
  <c r="AW233"/>
  <c r="AT246"/>
  <c r="BD237"/>
  <c r="AO229"/>
  <c r="AQ247"/>
  <c r="BB238"/>
  <c r="AW234"/>
  <c r="AP234"/>
  <c r="AR229"/>
  <c r="AP233"/>
  <c r="GQ214"/>
  <c r="AX239"/>
  <c r="AP238"/>
  <c r="AS245"/>
  <c r="AX234"/>
  <c r="AW228"/>
  <c r="AT225"/>
  <c r="AU242"/>
  <c r="BF235"/>
  <c r="AV245"/>
  <c r="AQ227"/>
  <c r="Q174"/>
  <c r="AW246"/>
  <c r="AY247"/>
  <c r="AU236"/>
  <c r="BD252"/>
  <c r="AX248"/>
  <c r="AU231"/>
  <c r="AU248"/>
  <c r="BH222"/>
  <c r="AQ226"/>
  <c r="AY241"/>
  <c r="AO241"/>
  <c r="BD248"/>
  <c r="BA238"/>
  <c r="CC174"/>
  <c r="BA237"/>
  <c r="AQ244"/>
  <c r="D163"/>
  <c r="GC180"/>
  <c r="GC210" s="1"/>
  <c r="AO244"/>
  <c r="AT237"/>
  <c r="AZ231"/>
  <c r="AQ232"/>
  <c r="BC228"/>
  <c r="BD243"/>
  <c r="AP236"/>
  <c r="AO237"/>
  <c r="BA225"/>
  <c r="D160"/>
  <c r="AS238"/>
  <c r="AX244"/>
  <c r="AY244"/>
  <c r="AP245"/>
  <c r="AR227"/>
  <c r="AR248"/>
  <c r="AX230"/>
  <c r="GQ197"/>
  <c r="AS229"/>
  <c r="BC253"/>
  <c r="AR228"/>
  <c r="BC230"/>
  <c r="BC243"/>
  <c r="AT236"/>
  <c r="AY246"/>
  <c r="AS228"/>
  <c r="BD256"/>
  <c r="AP242"/>
  <c r="AV226"/>
  <c r="AZ245"/>
  <c r="AT235"/>
  <c r="AQ248"/>
  <c r="AO243"/>
  <c r="AW229"/>
  <c r="D166"/>
  <c r="BC242"/>
  <c r="BO137"/>
  <c r="GQ210"/>
  <c r="AS243"/>
  <c r="AS227"/>
  <c r="BC227"/>
  <c r="AX247"/>
  <c r="BD239"/>
  <c r="AU225"/>
  <c r="AW241"/>
  <c r="AS224"/>
  <c r="BB227"/>
  <c r="AY226"/>
  <c r="AQ224"/>
  <c r="BA228"/>
  <c r="AV247"/>
  <c r="AZ234"/>
  <c r="D168"/>
  <c r="BH237"/>
  <c r="AV227"/>
  <c r="BB244"/>
  <c r="AZ237"/>
  <c r="AO245"/>
  <c r="AO225"/>
  <c r="BB229"/>
  <c r="AR233"/>
  <c r="BC244"/>
  <c r="AS244"/>
  <c r="AU235"/>
  <c r="BB241"/>
  <c r="BD236"/>
  <c r="BD238"/>
  <c r="AU244"/>
  <c r="BA239"/>
  <c r="AR242"/>
  <c r="AT234"/>
  <c r="AR232"/>
  <c r="AS247"/>
  <c r="AZ238"/>
  <c r="DY174"/>
  <c r="BF220"/>
  <c r="AX243"/>
  <c r="AQ230"/>
  <c r="GQ226"/>
  <c r="BA241"/>
  <c r="GQ211"/>
  <c r="AS233"/>
  <c r="AY232"/>
  <c r="AX227"/>
  <c r="AZ235"/>
  <c r="AQ228"/>
  <c r="AO231"/>
  <c r="AZ225"/>
  <c r="AP227"/>
  <c r="BB228"/>
  <c r="AX236"/>
  <c r="AQ225"/>
  <c r="BB225"/>
  <c r="AP228"/>
  <c r="BD255"/>
  <c r="AQ238"/>
  <c r="AV239"/>
  <c r="AU224"/>
  <c r="BA224"/>
  <c r="AT245"/>
  <c r="AY243"/>
  <c r="D157"/>
  <c r="DY175"/>
  <c r="AS242"/>
  <c r="GQ198"/>
  <c r="BD242"/>
  <c r="AZ243"/>
  <c r="BA226"/>
  <c r="AR231"/>
  <c r="AQ237"/>
  <c r="EF174"/>
  <c r="AV248"/>
  <c r="BC252"/>
  <c r="AR224"/>
  <c r="AX232"/>
  <c r="AT231"/>
  <c r="AW242"/>
  <c r="AW248"/>
  <c r="AZ247"/>
  <c r="AR243"/>
  <c r="AO234"/>
  <c r="BC236"/>
  <c r="BB247"/>
  <c r="AR246"/>
  <c r="BA231"/>
  <c r="AY238"/>
  <c r="AX242"/>
  <c r="BC248"/>
  <c r="AO226"/>
  <c r="AS225"/>
  <c r="D162"/>
  <c r="AW237"/>
  <c r="AQ234"/>
  <c r="AQ236"/>
  <c r="AW231"/>
  <c r="BC237"/>
  <c r="AO242"/>
  <c r="AR234"/>
  <c r="AX241"/>
  <c r="AW236"/>
  <c r="AP237"/>
  <c r="BA229"/>
  <c r="AX233"/>
  <c r="AQ229"/>
  <c r="AY236"/>
  <c r="AT247"/>
  <c r="AZ244"/>
  <c r="AZ248"/>
  <c r="BG221"/>
  <c r="AS241"/>
  <c r="BB234"/>
  <c r="AP226"/>
  <c r="AS226"/>
  <c r="AT241"/>
  <c r="AO235"/>
  <c r="AU234"/>
  <c r="AZ239"/>
  <c r="BC246"/>
  <c r="BC245"/>
  <c r="AW232"/>
  <c r="BA233"/>
  <c r="AU226"/>
  <c r="AU233"/>
  <c r="BB232"/>
  <c r="AR225"/>
  <c r="BD245"/>
  <c r="O174"/>
  <c r="AP229"/>
  <c r="BD234"/>
  <c r="AQ246"/>
  <c r="AV234"/>
  <c r="DW174"/>
  <c r="AR244"/>
  <c r="BA227"/>
  <c r="AS236"/>
  <c r="AT224"/>
  <c r="AZ227"/>
  <c r="BA242"/>
  <c r="AS239"/>
  <c r="BD246"/>
  <c r="BB233"/>
  <c r="AQ231"/>
  <c r="AR239"/>
  <c r="BD226"/>
  <c r="AY235"/>
  <c r="AS230"/>
  <c r="Q173"/>
  <c r="AZ230"/>
  <c r="AQ235"/>
  <c r="GQ200"/>
  <c r="AZ246"/>
  <c r="GG78"/>
  <c r="GE78"/>
  <c r="AO133"/>
  <c r="BO142"/>
  <c r="AO122"/>
  <c r="AV116"/>
  <c r="BO139"/>
  <c r="AV141"/>
  <c r="AV129"/>
  <c r="AV131"/>
  <c r="AO142"/>
  <c r="BO138"/>
  <c r="BO144"/>
  <c r="BG142"/>
  <c r="AV130"/>
  <c r="BO135"/>
  <c r="BO141"/>
  <c r="AV126"/>
  <c r="BF139"/>
  <c r="BF133"/>
  <c r="AS116"/>
  <c r="BQ138"/>
  <c r="BF146"/>
  <c r="AS113"/>
  <c r="BF127"/>
  <c r="BN133"/>
  <c r="AO139"/>
  <c r="BQ142"/>
  <c r="AO111"/>
  <c r="BF130"/>
  <c r="AO131"/>
  <c r="BG139"/>
  <c r="AO144"/>
  <c r="BG131"/>
  <c r="AV120"/>
  <c r="AO109"/>
  <c r="AO117"/>
  <c r="BS142"/>
  <c r="AZ132"/>
  <c r="BB131"/>
  <c r="AZ131"/>
  <c r="AZ133"/>
  <c r="BT144"/>
  <c r="BB123"/>
  <c r="AZ125"/>
  <c r="AZ146"/>
  <c r="BB139"/>
  <c r="BH137"/>
  <c r="BB129"/>
  <c r="BH129"/>
  <c r="BH130"/>
  <c r="AZ122"/>
  <c r="AW144"/>
  <c r="AZ137"/>
  <c r="BH131"/>
  <c r="BA125"/>
  <c r="AO123"/>
  <c r="AO135"/>
  <c r="BQ139"/>
  <c r="BW142"/>
  <c r="AS135"/>
  <c r="AV138"/>
  <c r="AO126"/>
  <c r="BF137"/>
  <c r="AV135"/>
  <c r="AV139"/>
  <c r="BG137"/>
  <c r="AS114"/>
  <c r="AS122"/>
  <c r="AR130"/>
  <c r="BE126"/>
  <c r="BM133"/>
  <c r="AU122"/>
  <c r="BE130"/>
  <c r="BL138"/>
  <c r="AT130"/>
  <c r="BL135"/>
  <c r="AP141"/>
  <c r="BL139"/>
  <c r="AP126"/>
  <c r="AR141"/>
  <c r="AP118"/>
  <c r="AU129"/>
  <c r="BJ130"/>
  <c r="AP131"/>
  <c r="BE142"/>
  <c r="BJ131"/>
  <c r="BC131"/>
  <c r="BK130"/>
  <c r="AU137"/>
  <c r="BD134"/>
  <c r="BE125"/>
  <c r="BE144"/>
  <c r="BE135"/>
  <c r="AU144"/>
  <c r="AT120"/>
  <c r="BE129"/>
  <c r="AT129"/>
  <c r="AU118"/>
  <c r="AT113"/>
  <c r="BK144"/>
  <c r="BE141"/>
  <c r="BP142"/>
  <c r="AU126"/>
  <c r="BT145"/>
  <c r="AT122"/>
  <c r="AO134"/>
  <c r="AP124"/>
  <c r="BE133"/>
  <c r="AP112"/>
  <c r="BE137"/>
  <c r="AU145"/>
  <c r="AP116"/>
  <c r="AQ119"/>
  <c r="BP141"/>
  <c r="AR134"/>
  <c r="BE139"/>
  <c r="BP139"/>
  <c r="BO134"/>
  <c r="AU114"/>
  <c r="AQ135"/>
  <c r="BM135"/>
  <c r="AU138"/>
  <c r="BC144"/>
  <c r="AU135"/>
  <c r="AU123"/>
  <c r="BP135"/>
  <c r="AU130"/>
  <c r="BE124"/>
  <c r="AR135"/>
  <c r="AP109"/>
  <c r="BE138"/>
  <c r="BO145"/>
  <c r="BL132"/>
  <c r="AU124"/>
  <c r="AR128"/>
  <c r="BE131"/>
  <c r="BL137"/>
  <c r="BM141"/>
  <c r="AP123"/>
  <c r="BL141"/>
  <c r="AP146"/>
  <c r="BK139"/>
  <c r="AP125"/>
  <c r="AP137"/>
  <c r="AS118"/>
  <c r="AV133"/>
  <c r="BN139"/>
  <c r="BQ144"/>
  <c r="AS133"/>
  <c r="BK142"/>
  <c r="AP122"/>
  <c r="AP144"/>
  <c r="AP128"/>
  <c r="AS142"/>
  <c r="BG133"/>
  <c r="AV123"/>
  <c r="BK131"/>
  <c r="AO128"/>
  <c r="AS125"/>
  <c r="AS120"/>
  <c r="AO146"/>
  <c r="FP96" s="1"/>
  <c r="AV136"/>
  <c r="AO113"/>
  <c r="AP133"/>
  <c r="AP139"/>
  <c r="BI138"/>
  <c r="BK133"/>
  <c r="BK138"/>
  <c r="BG126"/>
  <c r="AP142"/>
  <c r="AS129"/>
  <c r="AP145"/>
  <c r="AV142"/>
  <c r="AV125"/>
  <c r="BI133"/>
  <c r="BN144"/>
  <c r="AO141"/>
  <c r="AV145"/>
  <c r="AX121"/>
  <c r="AP130"/>
  <c r="AP119"/>
  <c r="AO129"/>
  <c r="AP114"/>
  <c r="AP129"/>
  <c r="AS141"/>
  <c r="AO116"/>
  <c r="AS124"/>
  <c r="AP121"/>
  <c r="BN137"/>
  <c r="BF138"/>
  <c r="AV122"/>
  <c r="BK134"/>
  <c r="AO137"/>
  <c r="AY141"/>
  <c r="BK135"/>
  <c r="AV137"/>
  <c r="AO130"/>
  <c r="AO124"/>
  <c r="AV124"/>
  <c r="AO125"/>
  <c r="AP135"/>
  <c r="GG74"/>
  <c r="BK141"/>
  <c r="AP111"/>
  <c r="BD127"/>
  <c r="BJ142"/>
  <c r="AO127"/>
  <c r="BJ133"/>
  <c r="AV118"/>
  <c r="AV128"/>
  <c r="AO118"/>
  <c r="BA130"/>
  <c r="BS144"/>
  <c r="AW132"/>
  <c r="BB138"/>
  <c r="AZ141"/>
  <c r="AP136"/>
  <c r="AZ144"/>
  <c r="AO138"/>
  <c r="BO136"/>
  <c r="BT141"/>
  <c r="AS127"/>
  <c r="BP146"/>
  <c r="AO114"/>
  <c r="BF136"/>
  <c r="AP115"/>
  <c r="AW116"/>
  <c r="BL104"/>
  <c r="BB128"/>
  <c r="BH135"/>
  <c r="GG80"/>
  <c r="BK132"/>
  <c r="BH138"/>
  <c r="BL136"/>
  <c r="BK136"/>
  <c r="BA132"/>
  <c r="AW130"/>
  <c r="BB146"/>
  <c r="AU136"/>
  <c r="BB136"/>
  <c r="AV132"/>
  <c r="CA146"/>
  <c r="AZ130"/>
  <c r="BN146"/>
  <c r="BJ136"/>
  <c r="BB125"/>
  <c r="AT132"/>
  <c r="AS132"/>
  <c r="BH144"/>
  <c r="AW122"/>
  <c r="BG132"/>
  <c r="BP136"/>
  <c r="BB137"/>
  <c r="AU139"/>
  <c r="AW128"/>
  <c r="AP132"/>
  <c r="BB127"/>
  <c r="BB132"/>
  <c r="AU141"/>
  <c r="BH141"/>
  <c r="AW137"/>
  <c r="BH136"/>
  <c r="BB122"/>
  <c r="BA146"/>
  <c r="BL131"/>
  <c r="BL146"/>
  <c r="BL144"/>
  <c r="BC139"/>
  <c r="BA133"/>
  <c r="BA135"/>
  <c r="BB135"/>
  <c r="GF80"/>
  <c r="BL133"/>
  <c r="BY146"/>
  <c r="BB126"/>
  <c r="AQ115"/>
  <c r="BT146"/>
  <c r="AU128"/>
  <c r="AR114"/>
  <c r="BD136"/>
  <c r="BC126"/>
  <c r="BB141"/>
  <c r="BA123"/>
  <c r="BZ146"/>
  <c r="BM139"/>
  <c r="BP137"/>
  <c r="BM134"/>
  <c r="AR131"/>
  <c r="AR121"/>
  <c r="BX146"/>
  <c r="AU146"/>
  <c r="AQ122"/>
  <c r="BA122"/>
  <c r="AU116"/>
  <c r="BH128"/>
  <c r="AZ134"/>
  <c r="AU125"/>
  <c r="AW126"/>
  <c r="AW124"/>
  <c r="AO132"/>
  <c r="AU133"/>
  <c r="AW123"/>
  <c r="BE145"/>
  <c r="AW118"/>
  <c r="GE76"/>
  <c r="BH132"/>
  <c r="AP113"/>
  <c r="AW131"/>
  <c r="BC137"/>
  <c r="AW136"/>
  <c r="AO136"/>
  <c r="BX145"/>
  <c r="BO146"/>
  <c r="BA145"/>
  <c r="BT140"/>
  <c r="AZ126"/>
  <c r="BE132"/>
  <c r="BH133"/>
  <c r="BB130"/>
  <c r="BB144"/>
  <c r="BA142"/>
  <c r="AW138"/>
  <c r="BE136"/>
  <c r="AW125"/>
  <c r="BA136"/>
  <c r="BE146"/>
  <c r="BA126"/>
  <c r="AV146"/>
  <c r="AZ128"/>
  <c r="BA141"/>
  <c r="BB142"/>
  <c r="AW139"/>
  <c r="BQ136"/>
  <c r="BA129"/>
  <c r="BD146"/>
  <c r="BA128"/>
  <c r="BH139"/>
  <c r="AW135"/>
  <c r="BB133"/>
  <c r="BV142"/>
  <c r="BM132"/>
  <c r="AW142"/>
  <c r="AZ142"/>
  <c r="BT142"/>
  <c r="BP138"/>
  <c r="AW133"/>
  <c r="BA124"/>
  <c r="AU131"/>
  <c r="AY146"/>
  <c r="AZ124"/>
  <c r="BH146"/>
  <c r="BK146"/>
  <c r="BL134"/>
  <c r="AZ139"/>
  <c r="AZ123"/>
  <c r="AW146"/>
  <c r="AU132"/>
  <c r="BA137"/>
  <c r="BA144"/>
  <c r="BA139"/>
  <c r="AZ129"/>
  <c r="AW129"/>
  <c r="BA127"/>
  <c r="BW146"/>
  <c r="AQ134"/>
  <c r="AZ135"/>
  <c r="BC138"/>
  <c r="BA138"/>
  <c r="AQ131"/>
  <c r="AZ120"/>
  <c r="AZ119"/>
  <c r="AS134"/>
  <c r="BQ146"/>
  <c r="BF132"/>
  <c r="BI141"/>
  <c r="AX142"/>
  <c r="AX124"/>
  <c r="BU146"/>
  <c r="BR146"/>
  <c r="BJ135"/>
  <c r="AY130"/>
  <c r="BX143"/>
  <c r="AX131"/>
  <c r="AX125"/>
  <c r="BF126"/>
  <c r="BO143"/>
  <c r="BR139"/>
  <c r="AS138"/>
  <c r="BF142"/>
  <c r="BN135"/>
  <c r="BI137"/>
  <c r="BI130"/>
  <c r="AW121"/>
  <c r="BI144"/>
  <c r="BS141"/>
  <c r="GF74"/>
  <c r="BI146"/>
  <c r="BQ137"/>
  <c r="BG130"/>
  <c r="BG138"/>
  <c r="BS138"/>
  <c r="AZ140"/>
  <c r="AX127"/>
  <c r="AS140"/>
  <c r="BI132"/>
  <c r="AX117"/>
  <c r="BF128"/>
  <c r="AX141"/>
  <c r="BJ134"/>
  <c r="AS139"/>
  <c r="AS144"/>
  <c r="BF144"/>
  <c r="BG128"/>
  <c r="AS126"/>
  <c r="BI129"/>
  <c r="AX132"/>
  <c r="AU120"/>
  <c r="BN136"/>
  <c r="AS146"/>
  <c r="BI131"/>
  <c r="BF125"/>
  <c r="AS137"/>
  <c r="BH127"/>
  <c r="BK140"/>
  <c r="AS136"/>
  <c r="AP143"/>
  <c r="BS146"/>
  <c r="AU119"/>
  <c r="BI136"/>
  <c r="AY128"/>
  <c r="BI139"/>
  <c r="BI142"/>
  <c r="BI128"/>
  <c r="BJ144"/>
  <c r="AX138"/>
  <c r="AX133"/>
  <c r="BF141"/>
  <c r="AX135"/>
  <c r="BN142"/>
  <c r="BG141"/>
  <c r="AX123"/>
  <c r="BJ137"/>
  <c r="BA121"/>
  <c r="BN138"/>
  <c r="BG135"/>
  <c r="AS123"/>
  <c r="AY136"/>
  <c r="AS128"/>
  <c r="BG136"/>
  <c r="AP120"/>
  <c r="BJ132"/>
  <c r="AX129"/>
  <c r="BJ139"/>
  <c r="AX128"/>
  <c r="AS130"/>
  <c r="BF135"/>
  <c r="BJ146"/>
  <c r="BF129"/>
  <c r="AY135"/>
  <c r="AV121"/>
  <c r="BG146"/>
  <c r="AY129"/>
  <c r="BR137"/>
  <c r="BJ143"/>
  <c r="BJ141"/>
  <c r="AU140"/>
  <c r="AY122"/>
  <c r="AY132"/>
  <c r="AO121"/>
  <c r="BG129"/>
  <c r="AY144"/>
  <c r="GG79"/>
  <c r="BJ129"/>
  <c r="AP127"/>
  <c r="AZ127"/>
  <c r="AT146"/>
  <c r="AR119"/>
  <c r="BM143"/>
  <c r="AU115"/>
  <c r="AT118"/>
  <c r="AR139"/>
  <c r="AW134"/>
  <c r="AQ113"/>
  <c r="BC132"/>
  <c r="AR124"/>
  <c r="AT124"/>
  <c r="AR138"/>
  <c r="BK145"/>
  <c r="AR123"/>
  <c r="BC141"/>
  <c r="BJ145"/>
  <c r="AR122"/>
  <c r="BC142"/>
  <c r="BC128"/>
  <c r="AT141"/>
  <c r="BC130"/>
  <c r="BY145"/>
  <c r="BC129"/>
  <c r="AR116"/>
  <c r="BC123"/>
  <c r="AT123"/>
  <c r="BL145"/>
  <c r="AQ126"/>
  <c r="AQ117"/>
  <c r="AQ110"/>
  <c r="BU142"/>
  <c r="BF134"/>
  <c r="BV144"/>
  <c r="AX136"/>
  <c r="BN145"/>
  <c r="AT128"/>
  <c r="BQ145"/>
  <c r="AQ141"/>
  <c r="BR138"/>
  <c r="AY133"/>
  <c r="BZ145"/>
  <c r="AT133"/>
  <c r="BU141"/>
  <c r="AU134"/>
  <c r="AW145"/>
  <c r="AY125"/>
  <c r="BM137"/>
  <c r="AR126"/>
  <c r="AY131"/>
  <c r="AT136"/>
  <c r="AX118"/>
  <c r="BC136"/>
  <c r="AR129"/>
  <c r="AQ144"/>
  <c r="AX144"/>
  <c r="AR132"/>
  <c r="AY126"/>
  <c r="AQ127"/>
  <c r="AY123"/>
  <c r="AY120"/>
  <c r="AR115"/>
  <c r="BB145"/>
  <c r="BP145"/>
  <c r="AS115"/>
  <c r="AY118"/>
  <c r="AR142"/>
  <c r="AX119"/>
  <c r="AO145"/>
  <c r="AV134"/>
  <c r="BG134"/>
  <c r="AT144"/>
  <c r="BM145"/>
  <c r="BB134"/>
  <c r="AQ123"/>
  <c r="BN143"/>
  <c r="AX137"/>
  <c r="BV146"/>
  <c r="AO115"/>
  <c r="BR142"/>
  <c r="AQ139"/>
  <c r="AR146"/>
  <c r="AR118"/>
  <c r="GF76"/>
  <c r="AY139"/>
  <c r="AT134"/>
  <c r="AQ145"/>
  <c r="AT135"/>
  <c r="AX145"/>
  <c r="AQ125"/>
  <c r="AT114"/>
  <c r="AO112"/>
  <c r="AT127"/>
  <c r="AY145"/>
  <c r="AZ145"/>
  <c r="AQ121"/>
  <c r="BN134"/>
  <c r="AQ112"/>
  <c r="AR145"/>
  <c r="AQ116"/>
  <c r="AT145"/>
  <c r="AR127"/>
  <c r="AR133"/>
  <c r="BC133"/>
  <c r="AT137"/>
  <c r="AQ114"/>
  <c r="BM138"/>
  <c r="AQ133"/>
  <c r="AV115"/>
  <c r="AS145"/>
  <c r="BE134"/>
  <c r="BC125"/>
  <c r="AR143"/>
  <c r="BM136"/>
  <c r="AT131"/>
  <c r="AT125"/>
  <c r="BW145"/>
  <c r="BF145"/>
  <c r="AT139"/>
  <c r="BC135"/>
  <c r="AT138"/>
  <c r="AR113"/>
  <c r="BM142"/>
  <c r="AP134"/>
  <c r="AR136"/>
  <c r="BR145"/>
  <c r="BS145"/>
  <c r="BH134"/>
  <c r="BR144"/>
  <c r="BI145"/>
  <c r="AR137"/>
  <c r="AQ142"/>
  <c r="AT119"/>
  <c r="AY134"/>
  <c r="AT126"/>
  <c r="AX139"/>
  <c r="BA134"/>
  <c r="AY127"/>
  <c r="AY142"/>
  <c r="AY137"/>
  <c r="BI134"/>
  <c r="AQ129"/>
  <c r="BC122"/>
  <c r="AQ130"/>
  <c r="AX130"/>
  <c r="AX122"/>
  <c r="AY143"/>
  <c r="AQ124"/>
  <c r="AQ137"/>
  <c r="BP143"/>
  <c r="AQ118"/>
  <c r="AX146"/>
  <c r="BM146"/>
  <c r="AR125"/>
  <c r="AS112"/>
  <c r="AQ146"/>
  <c r="BC145"/>
  <c r="AR144"/>
  <c r="AQ128"/>
  <c r="BH145"/>
  <c r="AX134"/>
  <c r="AQ138"/>
  <c r="AQ136"/>
  <c r="BC146"/>
  <c r="BG145"/>
  <c r="AY138"/>
  <c r="AV143"/>
  <c r="BU145"/>
  <c r="GF82"/>
  <c r="BD145"/>
  <c r="AT140"/>
  <c r="AQ132"/>
  <c r="AT116"/>
  <c r="BK143"/>
  <c r="BH143"/>
  <c r="AV140"/>
  <c r="BM140"/>
  <c r="AO143"/>
  <c r="AS143"/>
  <c r="AT117"/>
  <c r="BG143"/>
  <c r="BC143"/>
  <c r="BI140"/>
  <c r="BJ140"/>
  <c r="AS117"/>
  <c r="BS143"/>
  <c r="AW127"/>
  <c r="AQ140"/>
  <c r="AU143"/>
  <c r="AX120"/>
  <c r="BR140"/>
  <c r="AT121"/>
  <c r="AW120"/>
  <c r="AX143"/>
  <c r="AV119"/>
  <c r="AV117"/>
  <c r="BA143"/>
  <c r="BT143"/>
  <c r="AZ121"/>
  <c r="AW143"/>
  <c r="BF140"/>
  <c r="BV143"/>
  <c r="BF143"/>
  <c r="BD140"/>
  <c r="AO119"/>
  <c r="BE140"/>
  <c r="AY140"/>
  <c r="GF79"/>
  <c r="AX140"/>
  <c r="AR120"/>
  <c r="GF81"/>
  <c r="BS140"/>
  <c r="AP110"/>
  <c r="BQ140"/>
  <c r="BR143"/>
  <c r="AW119"/>
  <c r="BQ143"/>
  <c r="BL143"/>
  <c r="BC127"/>
  <c r="HF45" i="71"/>
  <c r="AR140" i="86"/>
  <c r="AQ143"/>
  <c r="BB140"/>
  <c r="BD143"/>
  <c r="BB143"/>
  <c r="AT143"/>
  <c r="BG140"/>
  <c r="AW117"/>
  <c r="AO140"/>
  <c r="BP140"/>
  <c r="GE82"/>
  <c r="AU127"/>
  <c r="BW143"/>
  <c r="BU140"/>
  <c r="BE127"/>
  <c r="AW140"/>
  <c r="BL140"/>
  <c r="AS119"/>
  <c r="BA120"/>
  <c r="BN140"/>
  <c r="AY121"/>
  <c r="BC140"/>
  <c r="AQ120"/>
  <c r="BO140"/>
  <c r="BB121"/>
  <c r="BE143"/>
  <c r="BH140"/>
  <c r="BI143"/>
  <c r="AY119"/>
  <c r="AO110"/>
  <c r="AV127"/>
  <c r="AR117"/>
  <c r="BA140"/>
  <c r="AZ143"/>
  <c r="AU121"/>
  <c r="AU117"/>
  <c r="AP140"/>
  <c r="AP117"/>
  <c r="GE81"/>
  <c r="HF81" i="71"/>
  <c r="BY117" i="90"/>
  <c r="HF73" i="71"/>
  <c r="GG35" i="90"/>
  <c r="GG32"/>
  <c r="GG41"/>
  <c r="GG39"/>
  <c r="GG38"/>
  <c r="GG36"/>
  <c r="GG37"/>
  <c r="GG40"/>
  <c r="GG33"/>
  <c r="GG34"/>
  <c r="HC83" i="71"/>
  <c r="HC57"/>
  <c r="HC75"/>
  <c r="HC86"/>
  <c r="HF83"/>
  <c r="HC38"/>
  <c r="HF36"/>
  <c r="HF55"/>
  <c r="HF85"/>
  <c r="HC70"/>
  <c r="HC60"/>
  <c r="HF69"/>
  <c r="HC49"/>
  <c r="HC42"/>
  <c r="HF48"/>
  <c r="HF57"/>
  <c r="GU83"/>
  <c r="GU88"/>
  <c r="GU84"/>
  <c r="GU85"/>
  <c r="GU87"/>
  <c r="GU80"/>
  <c r="GW89"/>
  <c r="GU79"/>
  <c r="GU82"/>
  <c r="GV89"/>
  <c r="GU86"/>
  <c r="GU81"/>
  <c r="HC39"/>
  <c r="HC56"/>
  <c r="GE35"/>
  <c r="HL87"/>
  <c r="GA50" s="1"/>
  <c r="GA51" s="1"/>
  <c r="GE51" s="1"/>
  <c r="HF54"/>
  <c r="GH79"/>
  <c r="GQ89"/>
  <c r="GI89"/>
  <c r="GH85"/>
  <c r="GH83"/>
  <c r="GH80"/>
  <c r="GH87"/>
  <c r="GH88"/>
  <c r="GH84"/>
  <c r="GH82"/>
  <c r="GH86"/>
  <c r="GH81"/>
  <c r="HF37"/>
  <c r="HC46"/>
  <c r="HC82"/>
  <c r="HC68"/>
  <c r="HF42"/>
  <c r="HC53"/>
  <c r="HC36"/>
  <c r="HC80"/>
  <c r="HF64"/>
  <c r="HC47"/>
  <c r="HF39"/>
  <c r="HF70"/>
  <c r="HC78"/>
  <c r="HC66"/>
  <c r="HF66"/>
  <c r="HF60"/>
  <c r="HC44"/>
  <c r="HF44"/>
  <c r="HC63"/>
  <c r="HC50"/>
  <c r="HC40"/>
  <c r="HF51"/>
  <c r="GN85"/>
  <c r="GS85"/>
  <c r="GS86"/>
  <c r="GN86"/>
  <c r="GS88"/>
  <c r="GN88"/>
  <c r="GN81"/>
  <c r="GS81"/>
  <c r="HI87"/>
  <c r="GC60" s="1"/>
  <c r="HC79"/>
  <c r="HF62"/>
  <c r="HC58"/>
  <c r="HC76"/>
  <c r="HC64"/>
  <c r="HC84"/>
  <c r="HC71"/>
  <c r="HC45"/>
  <c r="HF63"/>
  <c r="HC55"/>
  <c r="HC65"/>
  <c r="HC81"/>
  <c r="HF38"/>
  <c r="HF41"/>
  <c r="GH74"/>
  <c r="GH73"/>
  <c r="GH70"/>
  <c r="GH69"/>
  <c r="GH66"/>
  <c r="GH64"/>
  <c r="GH68"/>
  <c r="GH71"/>
  <c r="GH65"/>
  <c r="GQ75"/>
  <c r="GH67"/>
  <c r="GI75"/>
  <c r="GS87"/>
  <c r="GN87"/>
  <c r="GS82"/>
  <c r="GN82"/>
  <c r="HF67"/>
  <c r="HC61"/>
  <c r="HC54"/>
  <c r="HC43"/>
  <c r="HF40"/>
  <c r="HF78"/>
  <c r="HF65"/>
  <c r="HC52"/>
  <c r="HC67"/>
  <c r="HF75"/>
  <c r="HC62"/>
  <c r="HF53"/>
  <c r="HC74"/>
  <c r="GN80"/>
  <c r="GS80"/>
  <c r="GU73"/>
  <c r="GU70"/>
  <c r="GW75"/>
  <c r="GV75"/>
  <c r="GU67"/>
  <c r="GU68"/>
  <c r="GU64"/>
  <c r="GU66"/>
  <c r="GU71"/>
  <c r="GU65"/>
  <c r="GU69"/>
  <c r="GU74"/>
  <c r="GS83"/>
  <c r="GN83"/>
  <c r="GN84"/>
  <c r="GS84"/>
  <c r="GE36"/>
  <c r="HF47"/>
  <c r="HF52"/>
  <c r="HF43"/>
  <c r="HF68"/>
  <c r="HC37"/>
  <c r="HC59"/>
  <c r="HF49"/>
  <c r="HC48"/>
  <c r="HF80"/>
  <c r="HF76"/>
  <c r="HF56"/>
  <c r="HF84"/>
  <c r="HF58"/>
  <c r="HF71"/>
  <c r="HC69"/>
  <c r="HC41"/>
  <c r="HC85"/>
  <c r="HF82"/>
  <c r="GR31"/>
  <c r="GU45" s="1"/>
  <c r="GQ31"/>
  <c r="HQ52" i="88"/>
  <c r="HE81"/>
  <c r="HE95"/>
  <c r="HQ72"/>
  <c r="HH73"/>
  <c r="HE78"/>
  <c r="HQ49"/>
  <c r="HQ75"/>
  <c r="HQ77"/>
  <c r="HQ45"/>
  <c r="HH61"/>
  <c r="HH87"/>
  <c r="HH99"/>
  <c r="HE86"/>
  <c r="HE91"/>
  <c r="BY106" i="90"/>
  <c r="HQ95" i="88"/>
  <c r="HQ63"/>
  <c r="HQ57"/>
  <c r="HQ47"/>
  <c r="HQ81"/>
  <c r="HE56"/>
  <c r="HE62"/>
  <c r="HH81"/>
  <c r="HE52"/>
  <c r="HH79"/>
  <c r="HH84"/>
  <c r="HH48"/>
  <c r="HE58"/>
  <c r="HH54"/>
  <c r="HH93"/>
  <c r="HE50"/>
  <c r="BY124" i="90"/>
  <c r="HQ62" i="88"/>
  <c r="HQ90"/>
  <c r="HH89"/>
  <c r="HQ83"/>
  <c r="HE98"/>
  <c r="HD57" i="90"/>
  <c r="GW9" s="1"/>
  <c r="GW10" s="1"/>
  <c r="BY122"/>
  <c r="HE48" i="88"/>
  <c r="HH77"/>
  <c r="HH74"/>
  <c r="HE72"/>
  <c r="HE96"/>
  <c r="HH62"/>
  <c r="HQ88"/>
  <c r="HE63"/>
  <c r="HE45"/>
  <c r="HE82"/>
  <c r="HH52"/>
  <c r="HH46"/>
  <c r="HQ78"/>
  <c r="HE74"/>
  <c r="BY111" i="90"/>
  <c r="HQ46" i="88"/>
  <c r="HQ56"/>
  <c r="HQ93"/>
  <c r="HN100"/>
  <c r="GA58" s="1"/>
  <c r="GA59" s="1"/>
  <c r="HQ61"/>
  <c r="HH88"/>
  <c r="HH72"/>
  <c r="GY182" i="87"/>
  <c r="GY180"/>
  <c r="GY181"/>
  <c r="GY183"/>
  <c r="GY184"/>
  <c r="GA99" i="88"/>
  <c r="GE99" s="1"/>
  <c r="GA94"/>
  <c r="GE94" s="1"/>
  <c r="GA100"/>
  <c r="GE100" s="1"/>
  <c r="GA98"/>
  <c r="GE98" s="1"/>
  <c r="GA97"/>
  <c r="GE97" s="1"/>
  <c r="GE102"/>
  <c r="GA95"/>
  <c r="GE95" s="1"/>
  <c r="GA101"/>
  <c r="GE101" s="1"/>
  <c r="GA96"/>
  <c r="GE96" s="1"/>
  <c r="GS97"/>
  <c r="GN97"/>
  <c r="GS93"/>
  <c r="GN93"/>
  <c r="GT52"/>
  <c r="GT50"/>
  <c r="GT44"/>
  <c r="GT43"/>
  <c r="GT48"/>
  <c r="GT47"/>
  <c r="GT46"/>
  <c r="GT45"/>
  <c r="GT51"/>
  <c r="GT49"/>
  <c r="GE92"/>
  <c r="GJ88"/>
  <c r="GD80"/>
  <c r="GD81" s="1"/>
  <c r="GH81"/>
  <c r="GH86"/>
  <c r="GL88"/>
  <c r="GD79"/>
  <c r="GH78"/>
  <c r="GH79"/>
  <c r="GH83"/>
  <c r="GH85"/>
  <c r="GH80"/>
  <c r="GD78"/>
  <c r="GH84"/>
  <c r="GH82"/>
  <c r="GH87"/>
  <c r="GQ88"/>
  <c r="FQ181" i="90"/>
  <c r="FR223"/>
  <c r="HH63" i="88"/>
  <c r="HE70"/>
  <c r="HE75"/>
  <c r="HE46"/>
  <c r="HK100"/>
  <c r="GC74" s="1"/>
  <c r="HQ73"/>
  <c r="HH70"/>
  <c r="HQ86"/>
  <c r="HE59"/>
  <c r="HH85"/>
  <c r="HH51"/>
  <c r="HH80"/>
  <c r="HH78"/>
  <c r="HE61"/>
  <c r="HQ59"/>
  <c r="HE54"/>
  <c r="HQ94"/>
  <c r="HH56"/>
  <c r="HQ48"/>
  <c r="HE79"/>
  <c r="HH94"/>
  <c r="HH91"/>
  <c r="HH95"/>
  <c r="HH71"/>
  <c r="HQ98"/>
  <c r="HE85"/>
  <c r="HE90"/>
  <c r="HE51"/>
  <c r="GN96"/>
  <c r="GS96"/>
  <c r="GN95"/>
  <c r="GS95"/>
  <c r="GH48"/>
  <c r="GH45"/>
  <c r="GH49"/>
  <c r="GH51"/>
  <c r="GH44"/>
  <c r="GJ53"/>
  <c r="GQ53" s="1"/>
  <c r="GR53" s="1"/>
  <c r="GR44" s="1"/>
  <c r="GH52"/>
  <c r="GH47"/>
  <c r="GH46"/>
  <c r="GH43"/>
  <c r="GH50"/>
  <c r="GS99"/>
  <c r="GN99"/>
  <c r="GN101"/>
  <c r="GS101"/>
  <c r="GH100"/>
  <c r="GH92"/>
  <c r="GQ102"/>
  <c r="GH97"/>
  <c r="GJ102"/>
  <c r="GH94"/>
  <c r="GD94"/>
  <c r="GH93"/>
  <c r="GH99"/>
  <c r="GH95"/>
  <c r="GH98"/>
  <c r="GD93"/>
  <c r="GH101"/>
  <c r="GH96"/>
  <c r="GD92"/>
  <c r="FV145" i="90"/>
  <c r="FR145"/>
  <c r="HQ58" i="88"/>
  <c r="HE83"/>
  <c r="HQ96"/>
  <c r="FT145" i="90"/>
  <c r="HQ74" i="88"/>
  <c r="HQ89"/>
  <c r="HQ76"/>
  <c r="HH55"/>
  <c r="HE49"/>
  <c r="HH59"/>
  <c r="HQ91"/>
  <c r="HH90"/>
  <c r="HQ50"/>
  <c r="HE60"/>
  <c r="HQ80"/>
  <c r="HH60"/>
  <c r="HE93"/>
  <c r="HH49"/>
  <c r="HH83"/>
  <c r="HE89"/>
  <c r="HH97"/>
  <c r="HE84"/>
  <c r="HE55"/>
  <c r="HE97"/>
  <c r="HQ82"/>
  <c r="HE76"/>
  <c r="HH53"/>
  <c r="HE57"/>
  <c r="HQ71"/>
  <c r="HH98"/>
  <c r="HH92"/>
  <c r="HH47"/>
  <c r="HH86"/>
  <c r="HE94"/>
  <c r="HQ51"/>
  <c r="HE80"/>
  <c r="GZ184" i="87"/>
  <c r="GZ182"/>
  <c r="GZ183"/>
  <c r="GZ181"/>
  <c r="GL50" i="88"/>
  <c r="GL43"/>
  <c r="GL45"/>
  <c r="GL48"/>
  <c r="GL49"/>
  <c r="GL52"/>
  <c r="GL47"/>
  <c r="GL44"/>
  <c r="GL51"/>
  <c r="GL46"/>
  <c r="GU39"/>
  <c r="GX53" s="1"/>
  <c r="GI53"/>
  <c r="GK53" s="1"/>
  <c r="GQ39"/>
  <c r="GR39"/>
  <c r="GU40"/>
  <c r="GX88" s="1"/>
  <c r="GI88"/>
  <c r="GN94"/>
  <c r="GS94"/>
  <c r="GN100"/>
  <c r="GS100"/>
  <c r="GS98"/>
  <c r="GN98"/>
  <c r="HV45"/>
  <c r="HV48"/>
  <c r="HV52"/>
  <c r="HV47"/>
  <c r="HV51"/>
  <c r="HV44"/>
  <c r="HV43"/>
  <c r="HU53"/>
  <c r="HV50"/>
  <c r="HV46"/>
  <c r="HV49"/>
  <c r="GI102"/>
  <c r="GU41"/>
  <c r="GX102" s="1"/>
  <c r="FS162" i="90"/>
  <c r="FR162"/>
  <c r="HE71" i="88"/>
  <c r="HE88"/>
  <c r="HQ79"/>
  <c r="HE73"/>
  <c r="HQ55"/>
  <c r="HH75"/>
  <c r="HQ97"/>
  <c r="HE53"/>
  <c r="HQ53"/>
  <c r="HH82"/>
  <c r="HQ87"/>
  <c r="HH44"/>
  <c r="HQ70"/>
  <c r="HQ92"/>
  <c r="HH57"/>
  <c r="HQ84"/>
  <c r="HE44"/>
  <c r="HE47"/>
  <c r="GV200" i="86" l="1"/>
  <c r="GV204"/>
  <c r="GV198"/>
  <c r="GV202"/>
  <c r="GV201"/>
  <c r="GV203"/>
  <c r="GV196"/>
  <c r="GV205"/>
  <c r="GD82" i="88"/>
  <c r="GO82" s="1"/>
  <c r="GA54"/>
  <c r="GM182" i="87"/>
  <c r="GE44" i="88"/>
  <c r="W263" i="87"/>
  <c r="GP94" i="88"/>
  <c r="GO94"/>
  <c r="GP81"/>
  <c r="GO81"/>
  <c r="GP78"/>
  <c r="GO78"/>
  <c r="GP92"/>
  <c r="GO92"/>
  <c r="GP79"/>
  <c r="GO79"/>
  <c r="GP80"/>
  <c r="GO80"/>
  <c r="GQ50"/>
  <c r="GR45"/>
  <c r="GD96"/>
  <c r="GQ45"/>
  <c r="GQ49"/>
  <c r="GR50"/>
  <c r="GR51"/>
  <c r="GQ48"/>
  <c r="GQ43"/>
  <c r="GQ47"/>
  <c r="GR48"/>
  <c r="GR43"/>
  <c r="GR46"/>
  <c r="GK43"/>
  <c r="GK52"/>
  <c r="GK45"/>
  <c r="GK51"/>
  <c r="GK47"/>
  <c r="GK44"/>
  <c r="GK46"/>
  <c r="GK50"/>
  <c r="GK48"/>
  <c r="GK49"/>
  <c r="GP45"/>
  <c r="GO45" s="1"/>
  <c r="GP44"/>
  <c r="GO44" s="1"/>
  <c r="GP43"/>
  <c r="GO43" s="1"/>
  <c r="GP46"/>
  <c r="GO46" s="1"/>
  <c r="GP47"/>
  <c r="GO47" s="1"/>
  <c r="GP93"/>
  <c r="GO93"/>
  <c r="GD95"/>
  <c r="GQ52"/>
  <c r="GR49"/>
  <c r="GQ44"/>
  <c r="GQ46"/>
  <c r="GQ51"/>
  <c r="GR47"/>
  <c r="GR52"/>
  <c r="F277" i="87"/>
  <c r="GM186"/>
  <c r="FN262"/>
  <c r="D291" s="1"/>
  <c r="D259"/>
  <c r="W262"/>
  <c r="D258"/>
  <c r="GM184"/>
  <c r="GM181"/>
  <c r="D257"/>
  <c r="P276"/>
  <c r="D255"/>
  <c r="AC262"/>
  <c r="GM180"/>
  <c r="GM183"/>
  <c r="P280"/>
  <c r="D256"/>
  <c r="GE380"/>
  <c r="DZ251"/>
  <c r="FP262"/>
  <c r="AF260" s="1"/>
  <c r="GM188"/>
  <c r="GM185"/>
  <c r="GM189"/>
  <c r="GN169"/>
  <c r="GR177"/>
  <c r="GL181"/>
  <c r="GS177"/>
  <c r="GL186"/>
  <c r="GL184"/>
  <c r="GL183"/>
  <c r="GH168"/>
  <c r="GI171" s="1"/>
  <c r="GK171" s="1"/>
  <c r="GL185"/>
  <c r="GL188"/>
  <c r="GL180"/>
  <c r="GM172"/>
  <c r="GL182"/>
  <c r="GL187"/>
  <c r="GP178"/>
  <c r="GR178" s="1"/>
  <c r="GQ172"/>
  <c r="GR170" s="1"/>
  <c r="GS170" s="1"/>
  <c r="G168" i="91"/>
  <c r="D165"/>
  <c r="D162"/>
  <c r="G170"/>
  <c r="FO169"/>
  <c r="G169"/>
  <c r="DC169"/>
  <c r="D166"/>
  <c r="D163"/>
  <c r="D164"/>
  <c r="FP173" i="90"/>
  <c r="FS173"/>
  <c r="BD241" i="86"/>
  <c r="BD224"/>
  <c r="BD240"/>
  <c r="BD232"/>
  <c r="H265" i="87"/>
  <c r="BN216" i="86"/>
  <c r="BL217"/>
  <c r="AQ240"/>
  <c r="BN217"/>
  <c r="DC238"/>
  <c r="AN247"/>
  <c r="CB248"/>
  <c r="AV249"/>
  <c r="BJ230"/>
  <c r="AX225"/>
  <c r="AV218"/>
  <c r="BF226"/>
  <c r="BO244"/>
  <c r="AS218"/>
  <c r="BV249"/>
  <c r="AN241"/>
  <c r="BB236"/>
  <c r="AZ240"/>
  <c r="AN223"/>
  <c r="CX239"/>
  <c r="BA240"/>
  <c r="BI229"/>
  <c r="BS236"/>
  <c r="BH240"/>
  <c r="CD237"/>
  <c r="BR236"/>
  <c r="BH204"/>
  <c r="BF240"/>
  <c r="BK244"/>
  <c r="AO211"/>
  <c r="CF240"/>
  <c r="AN211"/>
  <c r="CI238"/>
  <c r="BJ217"/>
  <c r="BF244"/>
  <c r="AN226"/>
  <c r="AN242"/>
  <c r="AN225"/>
  <c r="CC249"/>
  <c r="CB240"/>
  <c r="CM238"/>
  <c r="BG246"/>
  <c r="BW249"/>
  <c r="CA237"/>
  <c r="BJ240"/>
  <c r="BB213"/>
  <c r="BS239"/>
  <c r="BC249"/>
  <c r="BR244"/>
  <c r="AN237"/>
  <c r="BR249"/>
  <c r="CO239"/>
  <c r="BC239"/>
  <c r="BE240"/>
  <c r="AT200"/>
  <c r="AN201"/>
  <c r="D192"/>
  <c r="AQ215"/>
  <c r="CA249"/>
  <c r="AN248"/>
  <c r="BM233"/>
  <c r="CP240"/>
  <c r="CX240"/>
  <c r="DD240"/>
  <c r="D194"/>
  <c r="AW206"/>
  <c r="BG240"/>
  <c r="AS213"/>
  <c r="DA241"/>
  <c r="BA213"/>
  <c r="AP240"/>
  <c r="BY249"/>
  <c r="BP246"/>
  <c r="BV236"/>
  <c r="CU240"/>
  <c r="AS240"/>
  <c r="AX226"/>
  <c r="DC239"/>
  <c r="BF203"/>
  <c r="AW222"/>
  <c r="AN227"/>
  <c r="BI244"/>
  <c r="BV240"/>
  <c r="BF245"/>
  <c r="BA230"/>
  <c r="AN217"/>
  <c r="BC203"/>
  <c r="CQ241"/>
  <c r="AW226"/>
  <c r="BR245"/>
  <c r="AU222"/>
  <c r="BF204"/>
  <c r="AN239"/>
  <c r="BI246"/>
  <c r="AN214"/>
  <c r="CD240"/>
  <c r="AT205"/>
  <c r="BP236"/>
  <c r="CI239"/>
  <c r="AY203"/>
  <c r="BJ234"/>
  <c r="AN199"/>
  <c r="AV224"/>
  <c r="BF207"/>
  <c r="AT207"/>
  <c r="BF249"/>
  <c r="BQ214"/>
  <c r="AN224"/>
  <c r="AY228"/>
  <c r="BB240"/>
  <c r="AT199"/>
  <c r="CI240"/>
  <c r="AV240"/>
  <c r="BO216"/>
  <c r="CZ242"/>
  <c r="AW217"/>
  <c r="BO235"/>
  <c r="CC240"/>
  <c r="CO240"/>
  <c r="BE243"/>
  <c r="CJ239"/>
  <c r="AN219"/>
  <c r="BB231"/>
  <c r="AN233"/>
  <c r="AV214"/>
  <c r="CI241"/>
  <c r="CR242"/>
  <c r="AO210"/>
  <c r="AX240"/>
  <c r="AU212"/>
  <c r="BH248"/>
  <c r="BN214"/>
  <c r="AX218"/>
  <c r="BH228"/>
  <c r="CF237"/>
  <c r="CB237"/>
  <c r="BB249"/>
  <c r="AN222"/>
  <c r="CX241"/>
  <c r="BT236"/>
  <c r="CJ250"/>
  <c r="BG217"/>
  <c r="AY240"/>
  <c r="BP242"/>
  <c r="AZ207"/>
  <c r="AN230"/>
  <c r="BK249"/>
  <c r="AX224"/>
  <c r="BG233"/>
  <c r="CO238"/>
  <c r="BE242"/>
  <c r="BE233"/>
  <c r="AW240"/>
  <c r="AN234"/>
  <c r="AY227"/>
  <c r="BU249"/>
  <c r="AU208"/>
  <c r="AN210"/>
  <c r="BN213"/>
  <c r="AN205"/>
  <c r="BX240"/>
  <c r="AP249"/>
  <c r="BP240"/>
  <c r="BM243"/>
  <c r="CQ239"/>
  <c r="BK234"/>
  <c r="AN200"/>
  <c r="AX249"/>
  <c r="BI245"/>
  <c r="AN218"/>
  <c r="BD249"/>
  <c r="BC223"/>
  <c r="BX249"/>
  <c r="AN213"/>
  <c r="BX237"/>
  <c r="DF241"/>
  <c r="CH249"/>
  <c r="BZ246"/>
  <c r="BC215"/>
  <c r="AX207"/>
  <c r="BN235"/>
  <c r="BE214"/>
  <c r="BM249"/>
  <c r="AZ232"/>
  <c r="AV217"/>
  <c r="AZ214"/>
  <c r="AZ249"/>
  <c r="CA247"/>
  <c r="BF206"/>
  <c r="DI241"/>
  <c r="CV242"/>
  <c r="BQ246"/>
  <c r="AP210"/>
  <c r="AU210"/>
  <c r="AU209"/>
  <c r="BM246"/>
  <c r="AY219"/>
  <c r="AQ211"/>
  <c r="BH216"/>
  <c r="BG213"/>
  <c r="DF240"/>
  <c r="BK240"/>
  <c r="CI249"/>
  <c r="AR240"/>
  <c r="BA217"/>
  <c r="FN242"/>
  <c r="FN305" s="1"/>
  <c r="AU211"/>
  <c r="BQ240"/>
  <c r="BV242"/>
  <c r="BU240"/>
  <c r="CO241"/>
  <c r="AN208"/>
  <c r="AU223"/>
  <c r="CZ240"/>
  <c r="AU215"/>
  <c r="BH249"/>
  <c r="BK215"/>
  <c r="BB203"/>
  <c r="AT206"/>
  <c r="AN204"/>
  <c r="AN238"/>
  <c r="BQ242"/>
  <c r="AN207"/>
  <c r="BN215"/>
  <c r="CC237"/>
  <c r="AW221"/>
  <c r="BO213"/>
  <c r="AO209"/>
  <c r="BM240"/>
  <c r="AZ220"/>
  <c r="DI242"/>
  <c r="BI242"/>
  <c r="BF233"/>
  <c r="BI203"/>
  <c r="BN234"/>
  <c r="BB197"/>
  <c r="AW249"/>
  <c r="BB222"/>
  <c r="AZ216"/>
  <c r="BB215"/>
  <c r="BJ249"/>
  <c r="BS249"/>
  <c r="DL242"/>
  <c r="DD241"/>
  <c r="DJ240"/>
  <c r="AU213"/>
  <c r="BA234"/>
  <c r="CO242"/>
  <c r="BF217"/>
  <c r="BB217"/>
  <c r="BH234"/>
  <c r="BN240"/>
  <c r="BN249"/>
  <c r="BQ215"/>
  <c r="CD249"/>
  <c r="AN236"/>
  <c r="AY207"/>
  <c r="AT203"/>
  <c r="AX229"/>
  <c r="AN235"/>
  <c r="BH206"/>
  <c r="AV219"/>
  <c r="BQ249"/>
  <c r="BL240"/>
  <c r="AT204"/>
  <c r="AN231"/>
  <c r="AZ206"/>
  <c r="BZ240"/>
  <c r="CU242"/>
  <c r="CT242"/>
  <c r="BF213"/>
  <c r="CM240"/>
  <c r="AR217"/>
  <c r="BP216"/>
  <c r="BC240"/>
  <c r="AT249"/>
  <c r="BM242"/>
  <c r="BF205"/>
  <c r="CK240"/>
  <c r="AT220"/>
  <c r="BW240"/>
  <c r="AW204"/>
  <c r="BY240"/>
  <c r="AY205"/>
  <c r="BS240"/>
  <c r="CJ249"/>
  <c r="CM241"/>
  <c r="D195"/>
  <c r="AN228"/>
  <c r="AW205"/>
  <c r="AX203"/>
  <c r="BD203"/>
  <c r="BM235"/>
  <c r="DA240"/>
  <c r="BA221"/>
  <c r="AZ229"/>
  <c r="BU236"/>
  <c r="AS219"/>
  <c r="AX228"/>
  <c r="BL215"/>
  <c r="AQ249"/>
  <c r="BO249"/>
  <c r="BP213"/>
  <c r="BE225"/>
  <c r="DK239"/>
  <c r="AY231"/>
  <c r="BX244"/>
  <c r="AN232"/>
  <c r="CM239"/>
  <c r="BI234"/>
  <c r="BW243"/>
  <c r="BC206"/>
  <c r="AR249"/>
  <c r="BM244"/>
  <c r="CB249"/>
  <c r="BT240"/>
  <c r="CL239"/>
  <c r="AP213"/>
  <c r="AO240"/>
  <c r="AT240"/>
  <c r="BL235"/>
  <c r="AH199"/>
  <c r="BI249"/>
  <c r="AV216"/>
  <c r="AN221"/>
  <c r="BI207"/>
  <c r="CM242"/>
  <c r="AN209"/>
  <c r="CI242"/>
  <c r="DG239"/>
  <c r="AT214"/>
  <c r="AN249"/>
  <c r="BP235"/>
  <c r="CR238"/>
  <c r="AU240"/>
  <c r="BR240"/>
  <c r="AZ233"/>
  <c r="AZ215"/>
  <c r="CF249"/>
  <c r="CA240"/>
  <c r="AP212"/>
  <c r="DL238"/>
  <c r="AV215"/>
  <c r="BZ237"/>
  <c r="BE215"/>
  <c r="CH201"/>
  <c r="BI243"/>
  <c r="DG238"/>
  <c r="BO245"/>
  <c r="DI239"/>
  <c r="AO249"/>
  <c r="BR238"/>
  <c r="BG205"/>
  <c r="BG247"/>
  <c r="BT249"/>
  <c r="BA249"/>
  <c r="CE237"/>
  <c r="DK241"/>
  <c r="AN243"/>
  <c r="BW236"/>
  <c r="BJ215"/>
  <c r="BY237"/>
  <c r="CT240"/>
  <c r="AW227"/>
  <c r="BB199"/>
  <c r="BK217"/>
  <c r="BI240"/>
  <c r="AT221"/>
  <c r="AN202"/>
  <c r="AS249"/>
  <c r="BB198"/>
  <c r="AN229"/>
  <c r="AT202"/>
  <c r="D193"/>
  <c r="AN212"/>
  <c r="BA235"/>
  <c r="AU249"/>
  <c r="BH215"/>
  <c r="CG249"/>
  <c r="CV240"/>
  <c r="CE240"/>
  <c r="DA242"/>
  <c r="BG227"/>
  <c r="BY245"/>
  <c r="BG249"/>
  <c r="BU241"/>
  <c r="BE249"/>
  <c r="BQ237"/>
  <c r="BO243"/>
  <c r="AV225"/>
  <c r="AN220"/>
  <c r="BO240"/>
  <c r="AN216"/>
  <c r="CK249"/>
  <c r="BC207"/>
  <c r="AN215"/>
  <c r="CY242"/>
  <c r="BL232"/>
  <c r="BE216"/>
  <c r="AR212"/>
  <c r="BP249"/>
  <c r="BR243"/>
  <c r="AJ250"/>
  <c r="BQ235"/>
  <c r="AN246"/>
  <c r="AN240"/>
  <c r="AN245"/>
  <c r="AY230"/>
  <c r="AY249"/>
  <c r="AN206"/>
  <c r="BC204"/>
  <c r="BL249"/>
  <c r="BK231"/>
  <c r="CZ238"/>
  <c r="CE249"/>
  <c r="BH198"/>
  <c r="BC205"/>
  <c r="BZ249"/>
  <c r="BH214"/>
  <c r="AR216"/>
  <c r="BJ243"/>
  <c r="BC216"/>
  <c r="BC238"/>
  <c r="AW220"/>
  <c r="AW223"/>
  <c r="BL243"/>
  <c r="AN203"/>
  <c r="BC217"/>
  <c r="CY238"/>
  <c r="DI240"/>
  <c r="AT201"/>
  <c r="DE242"/>
  <c r="AQ214"/>
  <c r="BM245"/>
  <c r="BB237"/>
  <c r="DI238"/>
  <c r="AZ205"/>
  <c r="AN244"/>
  <c r="Z25" i="2"/>
  <c r="AA26" s="1"/>
  <c r="GC224" i="86"/>
  <c r="GD224" s="1"/>
  <c r="GC196"/>
  <c r="HB180" s="1"/>
  <c r="HF180" s="1"/>
  <c r="FP145" i="90"/>
  <c r="GE50" i="71"/>
  <c r="GV85"/>
  <c r="GV80"/>
  <c r="GV88"/>
  <c r="GV79"/>
  <c r="GV87"/>
  <c r="GV82"/>
  <c r="GV81"/>
  <c r="GV84"/>
  <c r="GV83"/>
  <c r="GV86"/>
  <c r="GQ80"/>
  <c r="GQ79"/>
  <c r="GR89"/>
  <c r="GQ81"/>
  <c r="GQ88"/>
  <c r="GQ85"/>
  <c r="GQ82"/>
  <c r="GQ87"/>
  <c r="GQ84"/>
  <c r="GQ83"/>
  <c r="GQ86"/>
  <c r="GW83"/>
  <c r="GW79"/>
  <c r="GW85"/>
  <c r="GW80"/>
  <c r="GW84"/>
  <c r="GW86"/>
  <c r="GW82"/>
  <c r="GW88"/>
  <c r="GW81"/>
  <c r="GW87"/>
  <c r="HC87"/>
  <c r="GQ56" s="1"/>
  <c r="GI88"/>
  <c r="GI83"/>
  <c r="GI82"/>
  <c r="GI84"/>
  <c r="GI86"/>
  <c r="GI80"/>
  <c r="GI85"/>
  <c r="GI81"/>
  <c r="GI79"/>
  <c r="GI87"/>
  <c r="GI71"/>
  <c r="GI65"/>
  <c r="GI74"/>
  <c r="GI67"/>
  <c r="GI68"/>
  <c r="GI69"/>
  <c r="GI64"/>
  <c r="GI73"/>
  <c r="GI70"/>
  <c r="GI66"/>
  <c r="GV65"/>
  <c r="GV71"/>
  <c r="GV73"/>
  <c r="GV67"/>
  <c r="GV69"/>
  <c r="GV70"/>
  <c r="GV64"/>
  <c r="GV74"/>
  <c r="GV66"/>
  <c r="GV68"/>
  <c r="HF87"/>
  <c r="GU60" s="1"/>
  <c r="GW74"/>
  <c r="GW67"/>
  <c r="GW68"/>
  <c r="GW73"/>
  <c r="GW71"/>
  <c r="GW70"/>
  <c r="GW66"/>
  <c r="GW64"/>
  <c r="GW69"/>
  <c r="GW65"/>
  <c r="GQ70"/>
  <c r="GQ74"/>
  <c r="GQ68"/>
  <c r="GQ64"/>
  <c r="GQ65"/>
  <c r="GQ73"/>
  <c r="GQ71"/>
  <c r="GR75"/>
  <c r="GQ66"/>
  <c r="GQ67"/>
  <c r="GQ69"/>
  <c r="GC57"/>
  <c r="GN57" s="1"/>
  <c r="GC59"/>
  <c r="GN59" s="1"/>
  <c r="GC58"/>
  <c r="GN58" s="1"/>
  <c r="GC54"/>
  <c r="GN54" s="1"/>
  <c r="GC52"/>
  <c r="GN52" s="1"/>
  <c r="GC56"/>
  <c r="GN56" s="1"/>
  <c r="GC51"/>
  <c r="GN51" s="1"/>
  <c r="GC55"/>
  <c r="GN55" s="1"/>
  <c r="GN60"/>
  <c r="GC53"/>
  <c r="GN53" s="1"/>
  <c r="GU38"/>
  <c r="GU39"/>
  <c r="GU44"/>
  <c r="GU37"/>
  <c r="GU43"/>
  <c r="GU40"/>
  <c r="GU41"/>
  <c r="GU36"/>
  <c r="GW45"/>
  <c r="GU42"/>
  <c r="GU35"/>
  <c r="GV45"/>
  <c r="GQ41"/>
  <c r="GQ35"/>
  <c r="GQ37"/>
  <c r="GQ43"/>
  <c r="GQ45"/>
  <c r="GQ42"/>
  <c r="GQ39"/>
  <c r="GQ44"/>
  <c r="GQ40"/>
  <c r="GQ38"/>
  <c r="GQ36"/>
  <c r="GX9" i="90"/>
  <c r="GW8"/>
  <c r="GW7" s="1"/>
  <c r="FW173"/>
  <c r="HH100" i="88"/>
  <c r="HQ100"/>
  <c r="GW40" s="1"/>
  <c r="GH74" s="1"/>
  <c r="GA93"/>
  <c r="GE93" s="1"/>
  <c r="HU46"/>
  <c r="HU49"/>
  <c r="HU50"/>
  <c r="HU51"/>
  <c r="HU45"/>
  <c r="HU48"/>
  <c r="HU52"/>
  <c r="HU43"/>
  <c r="HU44"/>
  <c r="HU47"/>
  <c r="GQ96"/>
  <c r="GQ101"/>
  <c r="GR102"/>
  <c r="GT102"/>
  <c r="GQ97"/>
  <c r="GQ93"/>
  <c r="GQ99"/>
  <c r="GQ92"/>
  <c r="GQ98"/>
  <c r="GQ95"/>
  <c r="GQ100"/>
  <c r="GQ94"/>
  <c r="GJ52"/>
  <c r="GJ45"/>
  <c r="GJ44"/>
  <c r="GJ50"/>
  <c r="GJ43"/>
  <c r="GJ46"/>
  <c r="GJ49"/>
  <c r="GJ51"/>
  <c r="GJ48"/>
  <c r="GJ47"/>
  <c r="GC72"/>
  <c r="GN72" s="1"/>
  <c r="GC62"/>
  <c r="GN62" s="1"/>
  <c r="GC59"/>
  <c r="GN59" s="1"/>
  <c r="GC63"/>
  <c r="GN63" s="1"/>
  <c r="GC61"/>
  <c r="GN61" s="1"/>
  <c r="GC73"/>
  <c r="GN73" s="1"/>
  <c r="GC71"/>
  <c r="GN71" s="1"/>
  <c r="GN74"/>
  <c r="GC60"/>
  <c r="GN60" s="1"/>
  <c r="GC70"/>
  <c r="GN70" s="1"/>
  <c r="GX96"/>
  <c r="GX94"/>
  <c r="GX93"/>
  <c r="GX95"/>
  <c r="GX99"/>
  <c r="GX97"/>
  <c r="GX98"/>
  <c r="GX92"/>
  <c r="GX100"/>
  <c r="GZ102"/>
  <c r="GX101"/>
  <c r="GY102"/>
  <c r="FP223" i="90"/>
  <c r="FR181"/>
  <c r="GX10"/>
  <c r="GW12"/>
  <c r="GX85" i="88"/>
  <c r="GX79"/>
  <c r="GZ88"/>
  <c r="GX82"/>
  <c r="GX87"/>
  <c r="GY88"/>
  <c r="GX84"/>
  <c r="GX81"/>
  <c r="GX86"/>
  <c r="GX78"/>
  <c r="GX83"/>
  <c r="GX80"/>
  <c r="GX51"/>
  <c r="GX52"/>
  <c r="GY53"/>
  <c r="GX47"/>
  <c r="GX43"/>
  <c r="GX48"/>
  <c r="GX46"/>
  <c r="GX45"/>
  <c r="GX44"/>
  <c r="GX49"/>
  <c r="GX50"/>
  <c r="GZ53"/>
  <c r="GJ92"/>
  <c r="GJ98"/>
  <c r="GJ96"/>
  <c r="GJ93"/>
  <c r="GJ95"/>
  <c r="GL102"/>
  <c r="GJ97"/>
  <c r="GJ94"/>
  <c r="GJ99"/>
  <c r="GJ100"/>
  <c r="GJ101"/>
  <c r="GQ85"/>
  <c r="GQ86"/>
  <c r="GT88"/>
  <c r="GQ87"/>
  <c r="GQ78"/>
  <c r="GQ84"/>
  <c r="GR88"/>
  <c r="GQ80"/>
  <c r="GQ79"/>
  <c r="GQ82"/>
  <c r="GQ81"/>
  <c r="GQ83"/>
  <c r="GL83"/>
  <c r="GL79"/>
  <c r="GL85"/>
  <c r="GL87"/>
  <c r="GL80"/>
  <c r="GL78"/>
  <c r="GL81"/>
  <c r="GL82"/>
  <c r="GL84"/>
  <c r="GL86"/>
  <c r="GJ78"/>
  <c r="GJ79"/>
  <c r="GJ87"/>
  <c r="GJ83"/>
  <c r="GJ82"/>
  <c r="GJ85"/>
  <c r="GJ81"/>
  <c r="GJ86"/>
  <c r="GJ80"/>
  <c r="GJ84"/>
  <c r="HE100"/>
  <c r="GI101"/>
  <c r="GI100"/>
  <c r="GI93"/>
  <c r="GK102"/>
  <c r="GI97"/>
  <c r="GI96"/>
  <c r="GI95"/>
  <c r="GI99"/>
  <c r="GI94"/>
  <c r="GI98"/>
  <c r="GI92"/>
  <c r="GK88"/>
  <c r="GI86"/>
  <c r="GI82"/>
  <c r="GI87"/>
  <c r="GI83"/>
  <c r="GI78"/>
  <c r="GI85"/>
  <c r="GI84"/>
  <c r="GI80"/>
  <c r="GI79"/>
  <c r="GI81"/>
  <c r="GI51"/>
  <c r="GI44"/>
  <c r="GI50"/>
  <c r="GI52"/>
  <c r="GI48"/>
  <c r="GI43"/>
  <c r="GI49"/>
  <c r="GI47"/>
  <c r="GI45"/>
  <c r="GI46"/>
  <c r="FR173" i="90"/>
  <c r="FO145" l="1"/>
  <c r="DH145" s="1"/>
  <c r="GP82" i="88"/>
  <c r="GP95"/>
  <c r="GO95"/>
  <c r="GP96"/>
  <c r="GO96"/>
  <c r="AH273" i="87"/>
  <c r="AS276"/>
  <c r="GN170"/>
  <c r="GO172" s="1"/>
  <c r="FA266"/>
  <c r="EP277"/>
  <c r="CL268"/>
  <c r="D300"/>
  <c r="CW275"/>
  <c r="D296"/>
  <c r="CW280"/>
  <c r="BU269"/>
  <c r="DY273"/>
  <c r="BM323"/>
  <c r="D284"/>
  <c r="DZ280"/>
  <c r="BU276"/>
  <c r="DN267"/>
  <c r="D318"/>
  <c r="D289"/>
  <c r="FO323"/>
  <c r="I322"/>
  <c r="D295"/>
  <c r="D299"/>
  <c r="D286"/>
  <c r="D283"/>
  <c r="AR280"/>
  <c r="BU275"/>
  <c r="CL277"/>
  <c r="DN268"/>
  <c r="DY266"/>
  <c r="FB280"/>
  <c r="I324"/>
  <c r="D294"/>
  <c r="D298"/>
  <c r="D319"/>
  <c r="D282"/>
  <c r="D287"/>
  <c r="BU280"/>
  <c r="BJ277"/>
  <c r="BJ270"/>
  <c r="CL270"/>
  <c r="DN277"/>
  <c r="EP267"/>
  <c r="I323"/>
  <c r="D293"/>
  <c r="D297"/>
  <c r="D320"/>
  <c r="D290"/>
  <c r="D288"/>
  <c r="AH277"/>
  <c r="AR272"/>
  <c r="BJ273"/>
  <c r="CW274"/>
  <c r="CW267"/>
  <c r="DY274"/>
  <c r="FA272"/>
  <c r="FA273"/>
  <c r="GS178"/>
  <c r="GK172"/>
  <c r="GI174"/>
  <c r="GI172"/>
  <c r="GL171" s="1"/>
  <c r="GT170"/>
  <c r="GS172"/>
  <c r="GT172" s="1"/>
  <c r="GS171"/>
  <c r="GT171" s="1"/>
  <c r="FM173" i="90"/>
  <c r="DE167" i="91"/>
  <c r="D189"/>
  <c r="EA195"/>
  <c r="DC195"/>
  <c r="DK196"/>
  <c r="BG196"/>
  <c r="DK195"/>
  <c r="D174"/>
  <c r="D190"/>
  <c r="DQ195"/>
  <c r="EA196"/>
  <c r="D173"/>
  <c r="DI195"/>
  <c r="CS195"/>
  <c r="DK194"/>
  <c r="CM196"/>
  <c r="CU194"/>
  <c r="BM195"/>
  <c r="CK195"/>
  <c r="CM195"/>
  <c r="BW196"/>
  <c r="CU196"/>
  <c r="DS194"/>
  <c r="BO196"/>
  <c r="BO194"/>
  <c r="DC196"/>
  <c r="BW194"/>
  <c r="EJ195"/>
  <c r="BU195"/>
  <c r="CE196"/>
  <c r="D192"/>
  <c r="EA194"/>
  <c r="CE194"/>
  <c r="BW195"/>
  <c r="CM194"/>
  <c r="CE195"/>
  <c r="DY195"/>
  <c r="CU195"/>
  <c r="DA195"/>
  <c r="BG194"/>
  <c r="BO195"/>
  <c r="DC194"/>
  <c r="BE195"/>
  <c r="DS196"/>
  <c r="CC195"/>
  <c r="D172"/>
  <c r="BG195"/>
  <c r="D191"/>
  <c r="DS195"/>
  <c r="FO195"/>
  <c r="EL195" s="1"/>
  <c r="Q12" i="2"/>
  <c r="P27" s="1"/>
  <c r="FN311" i="86"/>
  <c r="AV386" s="1"/>
  <c r="D305"/>
  <c r="D304"/>
  <c r="D306"/>
  <c r="D303"/>
  <c r="AA25" i="2"/>
  <c r="GE177" i="86" s="1"/>
  <c r="FQ162" i="90"/>
  <c r="GD196" i="86"/>
  <c r="GQ58" i="71"/>
  <c r="GQ59"/>
  <c r="GQ51"/>
  <c r="GQ52"/>
  <c r="GQ60"/>
  <c r="GR60" s="1"/>
  <c r="GR51" s="1"/>
  <c r="GQ54"/>
  <c r="GQ55"/>
  <c r="GQ57"/>
  <c r="GH60"/>
  <c r="GH50" s="1"/>
  <c r="GQ53"/>
  <c r="GQ50"/>
  <c r="GR86"/>
  <c r="GR83"/>
  <c r="GR85"/>
  <c r="GR87"/>
  <c r="GR84"/>
  <c r="GR81"/>
  <c r="GR88"/>
  <c r="GR82"/>
  <c r="GR80"/>
  <c r="GR79"/>
  <c r="GU54"/>
  <c r="GU59"/>
  <c r="GU51"/>
  <c r="GU53"/>
  <c r="GU52"/>
  <c r="GU55"/>
  <c r="GW60"/>
  <c r="GU56"/>
  <c r="GU58"/>
  <c r="GU57"/>
  <c r="GV60"/>
  <c r="GU50"/>
  <c r="GR64"/>
  <c r="GR71"/>
  <c r="GR69"/>
  <c r="GR68"/>
  <c r="GR73"/>
  <c r="GR67"/>
  <c r="GR65"/>
  <c r="GR66"/>
  <c r="GR70"/>
  <c r="GR74"/>
  <c r="GH44"/>
  <c r="GH37"/>
  <c r="GH45"/>
  <c r="GI45" s="1"/>
  <c r="GH39"/>
  <c r="GH43"/>
  <c r="GH42"/>
  <c r="GH41"/>
  <c r="GH40"/>
  <c r="GR45"/>
  <c r="GH35"/>
  <c r="GH38"/>
  <c r="GH36"/>
  <c r="GW38"/>
  <c r="GW44"/>
  <c r="GW41"/>
  <c r="GW37"/>
  <c r="GW42"/>
  <c r="GW35"/>
  <c r="GW39"/>
  <c r="GW36"/>
  <c r="GW40"/>
  <c r="GW43"/>
  <c r="GV36"/>
  <c r="GV43"/>
  <c r="GV38"/>
  <c r="GV39"/>
  <c r="GV41"/>
  <c r="GV40"/>
  <c r="GV35"/>
  <c r="GV42"/>
  <c r="GV44"/>
  <c r="GV37"/>
  <c r="GY10" i="90"/>
  <c r="GX8"/>
  <c r="GY9" s="1"/>
  <c r="GQ74" i="88"/>
  <c r="GQ73" s="1"/>
  <c r="GX40"/>
  <c r="GY40" s="1"/>
  <c r="GX74" s="1"/>
  <c r="AA372" i="86"/>
  <c r="AA362"/>
  <c r="BZ376"/>
  <c r="AA326"/>
  <c r="AA349"/>
  <c r="AA344"/>
  <c r="AA343"/>
  <c r="AA346"/>
  <c r="AH376"/>
  <c r="BF376"/>
  <c r="AA347"/>
  <c r="FN310"/>
  <c r="BO376"/>
  <c r="AA325"/>
  <c r="AA345"/>
  <c r="AZ376"/>
  <c r="AA330"/>
  <c r="AA335"/>
  <c r="AM376"/>
  <c r="AC376"/>
  <c r="AA337"/>
  <c r="AA333"/>
  <c r="AA327"/>
  <c r="AA361"/>
  <c r="FN307"/>
  <c r="AA328"/>
  <c r="BJ376"/>
  <c r="D313"/>
  <c r="BP376"/>
  <c r="AW376"/>
  <c r="AP376"/>
  <c r="Q343"/>
  <c r="AO376"/>
  <c r="AI376"/>
  <c r="FN308"/>
  <c r="AA332"/>
  <c r="BS376"/>
  <c r="AN376"/>
  <c r="Q324"/>
  <c r="AA324"/>
  <c r="AR376"/>
  <c r="AA376"/>
  <c r="D312"/>
  <c r="AA334"/>
  <c r="AA357"/>
  <c r="AA356"/>
  <c r="AG376"/>
  <c r="AQ376"/>
  <c r="AA353"/>
  <c r="AA368"/>
  <c r="AL376"/>
  <c r="AA348"/>
  <c r="BU376"/>
  <c r="AA363"/>
  <c r="BL376"/>
  <c r="AA342"/>
  <c r="Y318"/>
  <c r="BC376"/>
  <c r="AA340"/>
  <c r="AA370"/>
  <c r="AA331"/>
  <c r="BE376"/>
  <c r="AA329"/>
  <c r="D310"/>
  <c r="AA354"/>
  <c r="Q333"/>
  <c r="AY376"/>
  <c r="Y317"/>
  <c r="BX376"/>
  <c r="AA364"/>
  <c r="AA369"/>
  <c r="BA376"/>
  <c r="BR376"/>
  <c r="BM376"/>
  <c r="AR378"/>
  <c r="AA339"/>
  <c r="AA358"/>
  <c r="AA350"/>
  <c r="AU376"/>
  <c r="BQ376"/>
  <c r="D309"/>
  <c r="AA366"/>
  <c r="BI376"/>
  <c r="AA367"/>
  <c r="AB376"/>
  <c r="AA341"/>
  <c r="AA360"/>
  <c r="AA375"/>
  <c r="CE378"/>
  <c r="D308"/>
  <c r="AX376"/>
  <c r="BW376"/>
  <c r="FN309"/>
  <c r="AA365"/>
  <c r="AD376"/>
  <c r="BB378"/>
  <c r="AE376"/>
  <c r="AA355"/>
  <c r="BV378"/>
  <c r="Q363"/>
  <c r="AA352"/>
  <c r="AA338"/>
  <c r="AF376"/>
  <c r="AA373"/>
  <c r="AK376"/>
  <c r="AV376"/>
  <c r="Q353"/>
  <c r="AA336"/>
  <c r="FN312"/>
  <c r="BG376"/>
  <c r="D311"/>
  <c r="BV376"/>
  <c r="AJ376"/>
  <c r="AS376"/>
  <c r="BD376"/>
  <c r="BB376"/>
  <c r="BT376"/>
  <c r="AA359"/>
  <c r="AT376"/>
  <c r="CA376"/>
  <c r="BH376"/>
  <c r="BL378"/>
  <c r="Y316"/>
  <c r="D314"/>
  <c r="AA371"/>
  <c r="AA351"/>
  <c r="AA374"/>
  <c r="AH378"/>
  <c r="BK376"/>
  <c r="BN376"/>
  <c r="W378"/>
  <c r="BH317"/>
  <c r="BY376"/>
  <c r="GD166"/>
  <c r="GD177"/>
  <c r="GR95" i="88"/>
  <c r="GR97"/>
  <c r="GR92"/>
  <c r="GR94"/>
  <c r="GR100"/>
  <c r="GR93"/>
  <c r="GR98"/>
  <c r="GR96"/>
  <c r="GR101"/>
  <c r="GR99"/>
  <c r="GK84"/>
  <c r="GK80"/>
  <c r="GK87"/>
  <c r="GK79"/>
  <c r="GK86"/>
  <c r="GK83"/>
  <c r="GK78"/>
  <c r="GK81"/>
  <c r="GK85"/>
  <c r="GK82"/>
  <c r="GR86"/>
  <c r="GR78"/>
  <c r="GR79"/>
  <c r="GR82"/>
  <c r="GR84"/>
  <c r="GR81"/>
  <c r="GR83"/>
  <c r="GR85"/>
  <c r="GR80"/>
  <c r="GR87"/>
  <c r="GT85"/>
  <c r="GT83"/>
  <c r="GT82"/>
  <c r="GT86"/>
  <c r="GT80"/>
  <c r="GT81"/>
  <c r="GT84"/>
  <c r="GT78"/>
  <c r="GT87"/>
  <c r="GT79"/>
  <c r="GL97"/>
  <c r="GL92"/>
  <c r="GL99"/>
  <c r="GL93"/>
  <c r="GL94"/>
  <c r="GL101"/>
  <c r="GL95"/>
  <c r="GL100"/>
  <c r="GL96"/>
  <c r="GL98"/>
  <c r="GZ49"/>
  <c r="GY49"/>
  <c r="GY48"/>
  <c r="GZ48"/>
  <c r="HA48"/>
  <c r="GY52"/>
  <c r="GZ52"/>
  <c r="GY78"/>
  <c r="GZ78"/>
  <c r="HA78"/>
  <c r="GZ79"/>
  <c r="HA79"/>
  <c r="GY79"/>
  <c r="GW13" i="90"/>
  <c r="GX12"/>
  <c r="GY12" s="1"/>
  <c r="GW6"/>
  <c r="GX7"/>
  <c r="HA97" i="88"/>
  <c r="GZ97"/>
  <c r="GY97"/>
  <c r="GY94"/>
  <c r="GZ94"/>
  <c r="HA94"/>
  <c r="GT95"/>
  <c r="GT96"/>
  <c r="GT99"/>
  <c r="GT98"/>
  <c r="GT94"/>
  <c r="GT101"/>
  <c r="GT93"/>
  <c r="GT92"/>
  <c r="GT100"/>
  <c r="GT97"/>
  <c r="HA44"/>
  <c r="GY44"/>
  <c r="GZ44"/>
  <c r="GZ43"/>
  <c r="GY43"/>
  <c r="HA43"/>
  <c r="GY51"/>
  <c r="GZ51"/>
  <c r="GZ86"/>
  <c r="GY86"/>
  <c r="GY87"/>
  <c r="GZ87"/>
  <c r="GZ85"/>
  <c r="GY85"/>
  <c r="GY100"/>
  <c r="GZ100"/>
  <c r="GZ99"/>
  <c r="GY99"/>
  <c r="GY96"/>
  <c r="GZ96"/>
  <c r="HA96"/>
  <c r="FU173" i="90"/>
  <c r="FV173" s="1"/>
  <c r="FX173"/>
  <c r="FT173"/>
  <c r="GY50" i="88"/>
  <c r="GZ50"/>
  <c r="HA46"/>
  <c r="GY46"/>
  <c r="GZ46"/>
  <c r="HA83"/>
  <c r="GY83"/>
  <c r="GZ83"/>
  <c r="GZ84"/>
  <c r="GY84"/>
  <c r="GZ101"/>
  <c r="GY101"/>
  <c r="GY98"/>
  <c r="GZ98"/>
  <c r="HA93"/>
  <c r="GY93"/>
  <c r="GZ93"/>
  <c r="GH60"/>
  <c r="GH62"/>
  <c r="GH70"/>
  <c r="GL74"/>
  <c r="GJ74"/>
  <c r="GH71"/>
  <c r="GD60"/>
  <c r="GH72"/>
  <c r="GH73"/>
  <c r="GH61"/>
  <c r="GH59"/>
  <c r="GH63"/>
  <c r="GH58"/>
  <c r="GK95"/>
  <c r="GK92"/>
  <c r="GK97"/>
  <c r="GK94"/>
  <c r="GK93"/>
  <c r="GK96"/>
  <c r="GK101"/>
  <c r="GK100"/>
  <c r="GK98"/>
  <c r="GK99"/>
  <c r="GY45"/>
  <c r="HA45"/>
  <c r="GZ45"/>
  <c r="HA47"/>
  <c r="GZ47"/>
  <c r="GY47"/>
  <c r="GY80"/>
  <c r="GZ80"/>
  <c r="HA80"/>
  <c r="GZ81"/>
  <c r="GY81"/>
  <c r="HA81"/>
  <c r="HA82"/>
  <c r="GZ82"/>
  <c r="GY82"/>
  <c r="Q13" i="2"/>
  <c r="P28" s="1"/>
  <c r="FQ173" i="90"/>
  <c r="GY92" i="88"/>
  <c r="GZ92"/>
  <c r="HA92"/>
  <c r="GY95"/>
  <c r="HA95"/>
  <c r="GZ95"/>
  <c r="D154" i="90" l="1"/>
  <c r="D148"/>
  <c r="BY150"/>
  <c r="K162"/>
  <c r="D157"/>
  <c r="D153"/>
  <c r="FO162"/>
  <c r="D170" s="1"/>
  <c r="D155"/>
  <c r="D152"/>
  <c r="K163"/>
  <c r="D159"/>
  <c r="K161"/>
  <c r="D158"/>
  <c r="AN162"/>
  <c r="AP162"/>
  <c r="BO323" i="87"/>
  <c r="D333"/>
  <c r="GO170"/>
  <c r="GP172" s="1"/>
  <c r="GP170"/>
  <c r="GP60" i="88"/>
  <c r="GO60"/>
  <c r="GD61"/>
  <c r="GD62"/>
  <c r="GD59"/>
  <c r="GD58"/>
  <c r="GO171" i="87"/>
  <c r="FO339"/>
  <c r="GQ336" s="1"/>
  <c r="O337"/>
  <c r="DY336"/>
  <c r="D331"/>
  <c r="D330"/>
  <c r="DW337"/>
  <c r="DY338"/>
  <c r="D328"/>
  <c r="D327"/>
  <c r="D326"/>
  <c r="Q338"/>
  <c r="D332"/>
  <c r="Q337"/>
  <c r="D329"/>
  <c r="Q336"/>
  <c r="D334"/>
  <c r="GC346"/>
  <c r="GC378" s="1"/>
  <c r="GD378" s="1"/>
  <c r="DY337"/>
  <c r="CC337"/>
  <c r="FN356"/>
  <c r="CH365" s="1"/>
  <c r="EF337"/>
  <c r="GL172"/>
  <c r="BW200" i="91"/>
  <c r="D271"/>
  <c r="DQ199"/>
  <c r="BW198"/>
  <c r="CS199"/>
  <c r="BG200"/>
  <c r="BU199"/>
  <c r="EA199"/>
  <c r="BG199"/>
  <c r="D273"/>
  <c r="BW199"/>
  <c r="BO200"/>
  <c r="CM198"/>
  <c r="CM200"/>
  <c r="CU198"/>
  <c r="D265"/>
  <c r="CU199"/>
  <c r="CC199"/>
  <c r="DI199"/>
  <c r="DY199"/>
  <c r="CM199"/>
  <c r="D260"/>
  <c r="DK199"/>
  <c r="D267"/>
  <c r="D263"/>
  <c r="D270"/>
  <c r="DS200"/>
  <c r="BO198"/>
  <c r="EA198"/>
  <c r="BE199"/>
  <c r="DK200"/>
  <c r="D277"/>
  <c r="CE199"/>
  <c r="CK199"/>
  <c r="CE198"/>
  <c r="DS198"/>
  <c r="D262"/>
  <c r="D272"/>
  <c r="D276"/>
  <c r="D266"/>
  <c r="D275"/>
  <c r="D274"/>
  <c r="BM199"/>
  <c r="DK198"/>
  <c r="BG198"/>
  <c r="CE200"/>
  <c r="CU200"/>
  <c r="DC198"/>
  <c r="BO199"/>
  <c r="D268"/>
  <c r="FO199"/>
  <c r="D264"/>
  <c r="EJ199"/>
  <c r="DS199"/>
  <c r="EA200"/>
  <c r="DA199"/>
  <c r="DC200"/>
  <c r="DC199"/>
  <c r="D261"/>
  <c r="D269"/>
  <c r="AP386" i="86"/>
  <c r="AW387"/>
  <c r="BT386"/>
  <c r="AF386"/>
  <c r="AV387"/>
  <c r="AG387"/>
  <c r="AE387"/>
  <c r="AS387"/>
  <c r="AO386"/>
  <c r="BS386"/>
  <c r="BW386"/>
  <c r="BB386"/>
  <c r="AH387"/>
  <c r="BX386"/>
  <c r="BM386"/>
  <c r="AR387"/>
  <c r="BU386"/>
  <c r="AO387"/>
  <c r="AZ387"/>
  <c r="BA386"/>
  <c r="AY386"/>
  <c r="AT386"/>
  <c r="AK386"/>
  <c r="BR386"/>
  <c r="AT387"/>
  <c r="BF386"/>
  <c r="AD387"/>
  <c r="BK386"/>
  <c r="AB387"/>
  <c r="BJ386"/>
  <c r="AJ386"/>
  <c r="AL386"/>
  <c r="AQ387"/>
  <c r="AU386"/>
  <c r="AN387"/>
  <c r="BO386"/>
  <c r="BE386"/>
  <c r="AX386"/>
  <c r="AP387"/>
  <c r="BG386"/>
  <c r="AC387"/>
  <c r="AQ386"/>
  <c r="AN386"/>
  <c r="BH386"/>
  <c r="AI386"/>
  <c r="BN386"/>
  <c r="AF387"/>
  <c r="AX387"/>
  <c r="AJ387"/>
  <c r="AW386"/>
  <c r="AB386"/>
  <c r="BD386"/>
  <c r="BY386"/>
  <c r="AY387"/>
  <c r="AC386"/>
  <c r="AE386"/>
  <c r="AR386"/>
  <c r="BP386"/>
  <c r="AK387"/>
  <c r="AS386"/>
  <c r="AU387"/>
  <c r="AL387"/>
  <c r="BQ386"/>
  <c r="AH386"/>
  <c r="BI386"/>
  <c r="AM387"/>
  <c r="AM386"/>
  <c r="AZ386"/>
  <c r="AD386"/>
  <c r="AG386"/>
  <c r="BC386"/>
  <c r="BL386"/>
  <c r="BV386"/>
  <c r="AI387"/>
  <c r="GR55" i="71"/>
  <c r="GR53"/>
  <c r="GR50"/>
  <c r="GR52"/>
  <c r="GR54"/>
  <c r="GR58"/>
  <c r="GR56"/>
  <c r="GR57"/>
  <c r="GH51"/>
  <c r="GI60"/>
  <c r="GH59"/>
  <c r="GH56"/>
  <c r="GH53"/>
  <c r="GH52"/>
  <c r="GH58"/>
  <c r="GH54"/>
  <c r="GH57"/>
  <c r="GH55"/>
  <c r="GR59"/>
  <c r="GV50"/>
  <c r="GV52"/>
  <c r="GV59"/>
  <c r="GV56"/>
  <c r="GV54"/>
  <c r="GV55"/>
  <c r="GV53"/>
  <c r="GV58"/>
  <c r="GV57"/>
  <c r="GV51"/>
  <c r="GW55"/>
  <c r="GW57"/>
  <c r="GW53"/>
  <c r="GW51"/>
  <c r="GW54"/>
  <c r="GW59"/>
  <c r="GW58"/>
  <c r="GW52"/>
  <c r="GW56"/>
  <c r="GW50"/>
  <c r="GR39"/>
  <c r="GR37"/>
  <c r="GR35"/>
  <c r="GR38"/>
  <c r="GR40"/>
  <c r="GR44"/>
  <c r="GR43"/>
  <c r="GR36"/>
  <c r="GR41"/>
  <c r="GR42"/>
  <c r="GI39"/>
  <c r="GI36"/>
  <c r="GI42"/>
  <c r="GI41"/>
  <c r="GI38"/>
  <c r="GI40"/>
  <c r="GI44"/>
  <c r="GI37"/>
  <c r="GI43"/>
  <c r="GI35"/>
  <c r="GI74" i="88"/>
  <c r="GI60" s="1"/>
  <c r="GY8" i="90"/>
  <c r="GQ70" i="88"/>
  <c r="GQ60"/>
  <c r="GQ72"/>
  <c r="GQ59"/>
  <c r="GQ62"/>
  <c r="GQ61"/>
  <c r="GQ58"/>
  <c r="GQ71"/>
  <c r="GQ63"/>
  <c r="GN180" i="86"/>
  <c r="GN210"/>
  <c r="GN196"/>
  <c r="GD180"/>
  <c r="GE180"/>
  <c r="GN224"/>
  <c r="GO176"/>
  <c r="GC187"/>
  <c r="GC186"/>
  <c r="GN216" s="1"/>
  <c r="GC188"/>
  <c r="GN232" s="1"/>
  <c r="GC184"/>
  <c r="GN200" s="1"/>
  <c r="GC182"/>
  <c r="GD182" s="1"/>
  <c r="GC181"/>
  <c r="GN181" s="1"/>
  <c r="GC185"/>
  <c r="GN215" s="1"/>
  <c r="GC183"/>
  <c r="CN316"/>
  <c r="CL317"/>
  <c r="E320"/>
  <c r="CX317"/>
  <c r="CN318"/>
  <c r="CN317"/>
  <c r="FO317"/>
  <c r="FN388" s="1"/>
  <c r="CZ317"/>
  <c r="FO388"/>
  <c r="GC189"/>
  <c r="GN219" s="1"/>
  <c r="GC190"/>
  <c r="GN206" s="1"/>
  <c r="GD167"/>
  <c r="GG172"/>
  <c r="GG173"/>
  <c r="GX70" i="88"/>
  <c r="GX59"/>
  <c r="GX61"/>
  <c r="GY74"/>
  <c r="GX73"/>
  <c r="GX62"/>
  <c r="GX72"/>
  <c r="GX60"/>
  <c r="GX63"/>
  <c r="GX58"/>
  <c r="GZ74"/>
  <c r="GX71"/>
  <c r="GL59"/>
  <c r="GL72"/>
  <c r="GL70"/>
  <c r="GL73"/>
  <c r="GL63"/>
  <c r="GL60"/>
  <c r="GL71"/>
  <c r="GL61"/>
  <c r="GL58"/>
  <c r="GL62"/>
  <c r="GR74"/>
  <c r="GJ61"/>
  <c r="GJ71"/>
  <c r="GJ72"/>
  <c r="GJ70"/>
  <c r="GJ59"/>
  <c r="GJ62"/>
  <c r="GJ58"/>
  <c r="GJ60"/>
  <c r="GJ63"/>
  <c r="GJ73"/>
  <c r="GW5" i="90"/>
  <c r="GX6"/>
  <c r="GW14"/>
  <c r="GX13"/>
  <c r="GY13" s="1"/>
  <c r="K174" l="1"/>
  <c r="D169"/>
  <c r="D166"/>
  <c r="D167"/>
  <c r="AN173"/>
  <c r="FO173"/>
  <c r="AP173" s="1"/>
  <c r="D165"/>
  <c r="K173"/>
  <c r="K172"/>
  <c r="GP171" i="87"/>
  <c r="GP59" i="88"/>
  <c r="GO59"/>
  <c r="GP61"/>
  <c r="GO61"/>
  <c r="GP58"/>
  <c r="GO58"/>
  <c r="GP62"/>
  <c r="GO62"/>
  <c r="Z22" i="2"/>
  <c r="AA22" s="1"/>
  <c r="GE343" i="87" s="1"/>
  <c r="D358"/>
  <c r="GC361"/>
  <c r="GD361" s="1"/>
  <c r="D360"/>
  <c r="BQ366"/>
  <c r="BQ365"/>
  <c r="D359"/>
  <c r="D357"/>
  <c r="D356"/>
  <c r="BQ364"/>
  <c r="D362"/>
  <c r="FO365"/>
  <c r="BO365"/>
  <c r="D361"/>
  <c r="EL199" i="91"/>
  <c r="BO204"/>
  <c r="BM203"/>
  <c r="DS202"/>
  <c r="BW202"/>
  <c r="DC204"/>
  <c r="DQ203"/>
  <c r="CE204"/>
  <c r="EA203"/>
  <c r="DK202"/>
  <c r="CU204"/>
  <c r="DC203"/>
  <c r="BG202"/>
  <c r="BW204"/>
  <c r="CM203"/>
  <c r="BE203"/>
  <c r="DY203"/>
  <c r="EA204"/>
  <c r="BW203"/>
  <c r="BU203"/>
  <c r="FO203"/>
  <c r="CC203"/>
  <c r="CS203"/>
  <c r="CU203"/>
  <c r="CE203"/>
  <c r="DA203"/>
  <c r="BG203"/>
  <c r="BO202"/>
  <c r="CU202"/>
  <c r="CK203"/>
  <c r="CE202"/>
  <c r="DK203"/>
  <c r="EA202"/>
  <c r="DS204"/>
  <c r="DC202"/>
  <c r="BG204"/>
  <c r="DK204"/>
  <c r="CM204"/>
  <c r="DI203"/>
  <c r="EJ203"/>
  <c r="DS203"/>
  <c r="CM202"/>
  <c r="BO203"/>
  <c r="GI58" i="71"/>
  <c r="GI50"/>
  <c r="GI54"/>
  <c r="GI55"/>
  <c r="GI56"/>
  <c r="GI53"/>
  <c r="GI57"/>
  <c r="GI52"/>
  <c r="GI51"/>
  <c r="GI59"/>
  <c r="GI62" i="88"/>
  <c r="GI73"/>
  <c r="GI72"/>
  <c r="GI63"/>
  <c r="GI70"/>
  <c r="GI58"/>
  <c r="GI61"/>
  <c r="GI59"/>
  <c r="GK74"/>
  <c r="GK62" s="1"/>
  <c r="GI71"/>
  <c r="GN229" i="86"/>
  <c r="GB237" s="1"/>
  <c r="GE185"/>
  <c r="GN190"/>
  <c r="GE184"/>
  <c r="GN234"/>
  <c r="GD184"/>
  <c r="GD186"/>
  <c r="GN202"/>
  <c r="GN225"/>
  <c r="GN230"/>
  <c r="GN228"/>
  <c r="GN214"/>
  <c r="GN189"/>
  <c r="AG382"/>
  <c r="BE382"/>
  <c r="AW385"/>
  <c r="BA384"/>
  <c r="AB385"/>
  <c r="BI384"/>
  <c r="AL385"/>
  <c r="AK385"/>
  <c r="BU382"/>
  <c r="AP385"/>
  <c r="BA385"/>
  <c r="BY385"/>
  <c r="AQ382"/>
  <c r="AC382"/>
  <c r="BP382"/>
  <c r="AS382"/>
  <c r="BI385"/>
  <c r="BP384"/>
  <c r="AI384"/>
  <c r="BL385"/>
  <c r="BJ384"/>
  <c r="AP384"/>
  <c r="AM384"/>
  <c r="BR384"/>
  <c r="BR382"/>
  <c r="AD385"/>
  <c r="BB382"/>
  <c r="AY385"/>
  <c r="BK382"/>
  <c r="BN384"/>
  <c r="AM385"/>
  <c r="BF384"/>
  <c r="BX384"/>
  <c r="BX382"/>
  <c r="AT384"/>
  <c r="AK384"/>
  <c r="BP385"/>
  <c r="AX384"/>
  <c r="AY384"/>
  <c r="BS384"/>
  <c r="BL382"/>
  <c r="BY382"/>
  <c r="BW385"/>
  <c r="BS385"/>
  <c r="AL384"/>
  <c r="AR382"/>
  <c r="BD384"/>
  <c r="BF382"/>
  <c r="BT385"/>
  <c r="BV384"/>
  <c r="AU384"/>
  <c r="AI385"/>
  <c r="BI382"/>
  <c r="AU382"/>
  <c r="BZ382"/>
  <c r="AE385"/>
  <c r="AY382"/>
  <c r="BS382"/>
  <c r="BD385"/>
  <c r="AR384"/>
  <c r="AV382"/>
  <c r="AS384"/>
  <c r="BT382"/>
  <c r="BO384"/>
  <c r="AB382"/>
  <c r="AX382"/>
  <c r="BV385"/>
  <c r="AH384"/>
  <c r="BE384"/>
  <c r="AO382"/>
  <c r="AX385"/>
  <c r="AT385"/>
  <c r="AO384"/>
  <c r="BB385"/>
  <c r="AR385"/>
  <c r="BG384"/>
  <c r="BB384"/>
  <c r="BF385"/>
  <c r="BN385"/>
  <c r="AZ385"/>
  <c r="AE382"/>
  <c r="BO385"/>
  <c r="AE384"/>
  <c r="AN384"/>
  <c r="AC384"/>
  <c r="AI382"/>
  <c r="AH382"/>
  <c r="AW384"/>
  <c r="BG382"/>
  <c r="AS385"/>
  <c r="BK385"/>
  <c r="AP382"/>
  <c r="BZ385"/>
  <c r="BM384"/>
  <c r="AC385"/>
  <c r="BE385"/>
  <c r="BQ385"/>
  <c r="BT384"/>
  <c r="BX385"/>
  <c r="AG385"/>
  <c r="AB384"/>
  <c r="BH382"/>
  <c r="AH385"/>
  <c r="AQ385"/>
  <c r="AN385"/>
  <c r="BV382"/>
  <c r="FS315"/>
  <c r="FT315" s="1"/>
  <c r="FU315" s="1"/>
  <c r="FV315" s="1"/>
  <c r="FW315" s="1"/>
  <c r="AG384"/>
  <c r="AF384"/>
  <c r="AZ382"/>
  <c r="AV385"/>
  <c r="BC385"/>
  <c r="AV384"/>
  <c r="AT382"/>
  <c r="BM385"/>
  <c r="AJ382"/>
  <c r="AQ384"/>
  <c r="AM382"/>
  <c r="AK382"/>
  <c r="AD384"/>
  <c r="BU385"/>
  <c r="BO382"/>
  <c r="BW384"/>
  <c r="AF382"/>
  <c r="BJ385"/>
  <c r="BU384"/>
  <c r="BQ382"/>
  <c r="AN382"/>
  <c r="AJ385"/>
  <c r="AZ384"/>
  <c r="BC384"/>
  <c r="BC382"/>
  <c r="BR385"/>
  <c r="AF385"/>
  <c r="BY384"/>
  <c r="BH385"/>
  <c r="AL382"/>
  <c r="BN382"/>
  <c r="BJ382"/>
  <c r="BM382"/>
  <c r="BQ384"/>
  <c r="BA382"/>
  <c r="BG385"/>
  <c r="AU385"/>
  <c r="BL384"/>
  <c r="AO385"/>
  <c r="BK384"/>
  <c r="BD382"/>
  <c r="BZ384"/>
  <c r="AJ384"/>
  <c r="AW382"/>
  <c r="AD382"/>
  <c r="BW382"/>
  <c r="BH384"/>
  <c r="GC199"/>
  <c r="GB199" s="1"/>
  <c r="GC213"/>
  <c r="GB213" s="1"/>
  <c r="GB183"/>
  <c r="GB187"/>
  <c r="GC217"/>
  <c r="GB217" s="1"/>
  <c r="GC203"/>
  <c r="GB203" s="1"/>
  <c r="FS311"/>
  <c r="FT311" s="1"/>
  <c r="FS312"/>
  <c r="GC216"/>
  <c r="GB216" s="1"/>
  <c r="GB186"/>
  <c r="GC202"/>
  <c r="GE183"/>
  <c r="GN186"/>
  <c r="GN233"/>
  <c r="GN220"/>
  <c r="GD187"/>
  <c r="GN218"/>
  <c r="GN231"/>
  <c r="GN183"/>
  <c r="GN227"/>
  <c r="GN212"/>
  <c r="GC212"/>
  <c r="GB212" s="1"/>
  <c r="GB182"/>
  <c r="HB232" s="1"/>
  <c r="GC198"/>
  <c r="GB198" s="1"/>
  <c r="GF172"/>
  <c r="GF173"/>
  <c r="GF174"/>
  <c r="GC234"/>
  <c r="GC205"/>
  <c r="GB205" s="1"/>
  <c r="GC219"/>
  <c r="GB219" s="1"/>
  <c r="GB189"/>
  <c r="GC197"/>
  <c r="GC211"/>
  <c r="GC204"/>
  <c r="GB204" s="1"/>
  <c r="GB188"/>
  <c r="GC218"/>
  <c r="GB218" s="1"/>
  <c r="GN213"/>
  <c r="GE181"/>
  <c r="GN182"/>
  <c r="GE182"/>
  <c r="GN205"/>
  <c r="GN203"/>
  <c r="GD181"/>
  <c r="GD183"/>
  <c r="BY395"/>
  <c r="DB395"/>
  <c r="BY407"/>
  <c r="FP407"/>
  <c r="AV399"/>
  <c r="AV394"/>
  <c r="DD404"/>
  <c r="FP395"/>
  <c r="AV403"/>
  <c r="D390"/>
  <c r="BY403"/>
  <c r="FO407"/>
  <c r="DY399"/>
  <c r="FO403"/>
  <c r="DD406"/>
  <c r="DD398"/>
  <c r="DD400"/>
  <c r="DD408"/>
  <c r="AV395"/>
  <c r="AV408"/>
  <c r="D388"/>
  <c r="FP403"/>
  <c r="D392"/>
  <c r="DD402"/>
  <c r="AV396"/>
  <c r="FO395"/>
  <c r="AV407"/>
  <c r="DD403"/>
  <c r="DY407"/>
  <c r="AV404"/>
  <c r="AT407"/>
  <c r="DD396"/>
  <c r="AV398"/>
  <c r="AT403"/>
  <c r="DD407"/>
  <c r="DD394"/>
  <c r="AV402"/>
  <c r="AV400"/>
  <c r="DY403"/>
  <c r="DD399"/>
  <c r="BY399"/>
  <c r="AV406"/>
  <c r="AT399"/>
  <c r="D391"/>
  <c r="FP399"/>
  <c r="DB399"/>
  <c r="DB407"/>
  <c r="DY395"/>
  <c r="DB403"/>
  <c r="AT395"/>
  <c r="FO399"/>
  <c r="DD395"/>
  <c r="GC220"/>
  <c r="GB220" s="1"/>
  <c r="GC206"/>
  <c r="GB190"/>
  <c r="GR206"/>
  <c r="GS206" s="1"/>
  <c r="GC201"/>
  <c r="GB201" s="1"/>
  <c r="GR197"/>
  <c r="GB185"/>
  <c r="GC215"/>
  <c r="GB215" s="1"/>
  <c r="GR196"/>
  <c r="GR199"/>
  <c r="GR200"/>
  <c r="GR203"/>
  <c r="GR205"/>
  <c r="GR201"/>
  <c r="GR204"/>
  <c r="GI206"/>
  <c r="GR202"/>
  <c r="GR198"/>
  <c r="GK190"/>
  <c r="GC214"/>
  <c r="GB214" s="1"/>
  <c r="GC200"/>
  <c r="GB200" s="1"/>
  <c r="GB184"/>
  <c r="GN217"/>
  <c r="GN199"/>
  <c r="GN187"/>
  <c r="FS308"/>
  <c r="GN226"/>
  <c r="GN198"/>
  <c r="GN197"/>
  <c r="GN201"/>
  <c r="GN211"/>
  <c r="GN184"/>
  <c r="GD189"/>
  <c r="GD185"/>
  <c r="GD190"/>
  <c r="GN188"/>
  <c r="GN185"/>
  <c r="GD188"/>
  <c r="GN204"/>
  <c r="GR61" i="88"/>
  <c r="GR63"/>
  <c r="GR73"/>
  <c r="GR58"/>
  <c r="GR72"/>
  <c r="GR59"/>
  <c r="GR60"/>
  <c r="GR70"/>
  <c r="GR71"/>
  <c r="GR62"/>
  <c r="GY71"/>
  <c r="GZ71"/>
  <c r="GZ60"/>
  <c r="GY60"/>
  <c r="HA60"/>
  <c r="GY72"/>
  <c r="GZ72"/>
  <c r="GZ61"/>
  <c r="HA61"/>
  <c r="GY61"/>
  <c r="GW15" i="90"/>
  <c r="GX14"/>
  <c r="GY14" s="1"/>
  <c r="HA63" i="88"/>
  <c r="GZ63"/>
  <c r="GY63"/>
  <c r="GY73"/>
  <c r="GZ73"/>
  <c r="GZ70"/>
  <c r="GY70"/>
  <c r="GY7" i="90"/>
  <c r="GX5"/>
  <c r="GY6" s="1"/>
  <c r="GW4"/>
  <c r="GZ58" i="88"/>
  <c r="GY58"/>
  <c r="HA58"/>
  <c r="GZ62"/>
  <c r="GY62"/>
  <c r="HA62"/>
  <c r="HA59"/>
  <c r="GZ59"/>
  <c r="GY59"/>
  <c r="CJ365" i="87" l="1"/>
  <c r="FM466" i="92"/>
  <c r="FO466" s="1"/>
  <c r="D176" i="90"/>
  <c r="D185"/>
  <c r="BY183"/>
  <c r="D181"/>
  <c r="FU181"/>
  <c r="FT192"/>
  <c r="FP192" s="1"/>
  <c r="FO192" s="1"/>
  <c r="FQ198" s="1"/>
  <c r="FT181"/>
  <c r="FR226" s="1"/>
  <c r="AT192"/>
  <c r="FQ201"/>
  <c r="AT193"/>
  <c r="DF192"/>
  <c r="D189"/>
  <c r="D179"/>
  <c r="FS192"/>
  <c r="FQ192"/>
  <c r="AT191"/>
  <c r="FR192"/>
  <c r="D178"/>
  <c r="BY187"/>
  <c r="D369" i="87"/>
  <c r="D373"/>
  <c r="D368"/>
  <c r="D22" i="27"/>
  <c r="S2" i="2" s="1"/>
  <c r="AA23"/>
  <c r="GD334" i="87" s="1"/>
  <c r="GG339" s="1"/>
  <c r="D370"/>
  <c r="D372"/>
  <c r="FU216" i="90"/>
  <c r="FP216" s="1"/>
  <c r="EL203" i="91"/>
  <c r="CE206"/>
  <c r="DK208"/>
  <c r="BU207"/>
  <c r="CS207"/>
  <c r="EA208"/>
  <c r="DC206"/>
  <c r="EA207"/>
  <c r="BO208"/>
  <c r="BO206"/>
  <c r="DY207"/>
  <c r="BG206"/>
  <c r="DS208"/>
  <c r="DQ207"/>
  <c r="CU207"/>
  <c r="CM206"/>
  <c r="CK207"/>
  <c r="CM207"/>
  <c r="BE207"/>
  <c r="CE208"/>
  <c r="CU208"/>
  <c r="BG207"/>
  <c r="BO207"/>
  <c r="CM208"/>
  <c r="DC208"/>
  <c r="EA206"/>
  <c r="DA207"/>
  <c r="CC207"/>
  <c r="BW207"/>
  <c r="CU206"/>
  <c r="FO207"/>
  <c r="CE207"/>
  <c r="DK206"/>
  <c r="BW208"/>
  <c r="BM207"/>
  <c r="BW206"/>
  <c r="DK207"/>
  <c r="DI207"/>
  <c r="DS207"/>
  <c r="DC207"/>
  <c r="DS206"/>
  <c r="EJ207"/>
  <c r="BG208"/>
  <c r="GK60" i="88"/>
  <c r="FV216" i="90"/>
  <c r="GK59" i="88"/>
  <c r="GK63"/>
  <c r="GK61"/>
  <c r="GK58"/>
  <c r="GK73"/>
  <c r="GK72"/>
  <c r="GK70"/>
  <c r="GK71"/>
  <c r="FN403" i="86"/>
  <c r="GK189"/>
  <c r="GK181"/>
  <c r="GK184"/>
  <c r="GK182"/>
  <c r="GK188"/>
  <c r="GK180"/>
  <c r="GK183"/>
  <c r="GK187"/>
  <c r="GK186"/>
  <c r="GK185"/>
  <c r="GL190"/>
  <c r="HB214"/>
  <c r="HF214" s="1"/>
  <c r="HB188"/>
  <c r="HF188" s="1"/>
  <c r="HB182"/>
  <c r="HF182" s="1"/>
  <c r="HB230"/>
  <c r="HF230" s="1"/>
  <c r="HB215"/>
  <c r="HF215" s="1"/>
  <c r="HB184"/>
  <c r="HF184" s="1"/>
  <c r="HB189"/>
  <c r="HF189" s="1"/>
  <c r="HB197"/>
  <c r="HF197" s="1"/>
  <c r="HB210"/>
  <c r="HF210" s="1"/>
  <c r="HB203"/>
  <c r="HF203" s="1"/>
  <c r="HB201"/>
  <c r="HF201" s="1"/>
  <c r="HB194"/>
  <c r="HF194" s="1"/>
  <c r="HB196"/>
  <c r="HF196" s="1"/>
  <c r="HF232"/>
  <c r="HB222"/>
  <c r="HF222" s="1"/>
  <c r="HB199"/>
  <c r="HF199" s="1"/>
  <c r="HB191"/>
  <c r="HF191" s="1"/>
  <c r="HB193"/>
  <c r="HF193" s="1"/>
  <c r="HB204"/>
  <c r="HF204" s="1"/>
  <c r="HB181"/>
  <c r="HF181" s="1"/>
  <c r="HB228"/>
  <c r="HF228" s="1"/>
  <c r="HB209"/>
  <c r="HF209" s="1"/>
  <c r="HB219"/>
  <c r="HF219" s="1"/>
  <c r="HB205"/>
  <c r="HF205" s="1"/>
  <c r="HB198"/>
  <c r="HF198" s="1"/>
  <c r="HB224"/>
  <c r="HF224" s="1"/>
  <c r="HB186"/>
  <c r="HF186" s="1"/>
  <c r="HB183"/>
  <c r="HF183" s="1"/>
  <c r="HB211"/>
  <c r="HF211" s="1"/>
  <c r="HB213"/>
  <c r="HF213" s="1"/>
  <c r="HB218"/>
  <c r="HF218" s="1"/>
  <c r="HB229"/>
  <c r="HF229" s="1"/>
  <c r="HB227"/>
  <c r="HF227" s="1"/>
  <c r="HB226"/>
  <c r="HF226" s="1"/>
  <c r="HB190"/>
  <c r="HF190" s="1"/>
  <c r="HB220"/>
  <c r="HF220" s="1"/>
  <c r="HB221"/>
  <c r="HF221" s="1"/>
  <c r="HB202"/>
  <c r="HF202" s="1"/>
  <c r="HB225"/>
  <c r="HF225" s="1"/>
  <c r="HB187"/>
  <c r="HF187" s="1"/>
  <c r="HB212"/>
  <c r="HF212" s="1"/>
  <c r="HB231"/>
  <c r="HF231" s="1"/>
  <c r="HB206"/>
  <c r="HF206" s="1"/>
  <c r="HB200"/>
  <c r="HF200" s="1"/>
  <c r="HB217"/>
  <c r="HF217" s="1"/>
  <c r="HB223"/>
  <c r="HF223" s="1"/>
  <c r="HB192"/>
  <c r="HF192" s="1"/>
  <c r="HB208"/>
  <c r="HF208" s="1"/>
  <c r="HB207"/>
  <c r="HF207" s="1"/>
  <c r="HB185"/>
  <c r="HF185" s="1"/>
  <c r="HB216"/>
  <c r="HF216" s="1"/>
  <c r="CX592"/>
  <c r="AW592" s="1"/>
  <c r="CX564"/>
  <c r="AW564" s="1"/>
  <c r="CX585"/>
  <c r="AW585" s="1"/>
  <c r="CX602"/>
  <c r="AW602" s="1"/>
  <c r="CX613"/>
  <c r="AW613" s="1"/>
  <c r="CX601"/>
  <c r="AW601" s="1"/>
  <c r="CX576"/>
  <c r="AW576" s="1"/>
  <c r="CX574"/>
  <c r="AW574" s="1"/>
  <c r="CX571"/>
  <c r="AW571" s="1"/>
  <c r="CX582"/>
  <c r="AW582" s="1"/>
  <c r="CX600"/>
  <c r="AW600" s="1"/>
  <c r="CX595"/>
  <c r="AW595" s="1"/>
  <c r="CX609"/>
  <c r="AW609" s="1"/>
  <c r="CX573"/>
  <c r="AW573" s="1"/>
  <c r="CX589"/>
  <c r="AW589" s="1"/>
  <c r="CX588"/>
  <c r="AW588" s="1"/>
  <c r="CX599"/>
  <c r="AW599" s="1"/>
  <c r="CX593"/>
  <c r="AW593" s="1"/>
  <c r="CX594"/>
  <c r="AW594" s="1"/>
  <c r="CX590"/>
  <c r="AW590" s="1"/>
  <c r="CX566"/>
  <c r="AW566" s="1"/>
  <c r="CX568"/>
  <c r="AW568" s="1"/>
  <c r="CX598"/>
  <c r="AW598" s="1"/>
  <c r="CX567"/>
  <c r="AW567" s="1"/>
  <c r="CX606"/>
  <c r="AW606" s="1"/>
  <c r="CX587"/>
  <c r="AW587" s="1"/>
  <c r="CX612"/>
  <c r="AW612" s="1"/>
  <c r="CX603"/>
  <c r="AW603" s="1"/>
  <c r="CX597"/>
  <c r="AW597" s="1"/>
  <c r="CX611"/>
  <c r="AW611" s="1"/>
  <c r="CX578"/>
  <c r="AW578" s="1"/>
  <c r="CX607"/>
  <c r="AW607" s="1"/>
  <c r="CX610"/>
  <c r="AW610" s="1"/>
  <c r="CX583"/>
  <c r="AW583" s="1"/>
  <c r="CX584"/>
  <c r="AW584" s="1"/>
  <c r="CX569"/>
  <c r="AW569" s="1"/>
  <c r="CX605"/>
  <c r="AW605" s="1"/>
  <c r="CX579"/>
  <c r="AW579" s="1"/>
  <c r="CX577"/>
  <c r="AW577" s="1"/>
  <c r="CX591"/>
  <c r="AW591" s="1"/>
  <c r="CX580"/>
  <c r="AW580" s="1"/>
  <c r="CX586"/>
  <c r="AW586" s="1"/>
  <c r="CX575"/>
  <c r="AW575" s="1"/>
  <c r="CX565"/>
  <c r="AW565" s="1"/>
  <c r="CX608"/>
  <c r="AW608" s="1"/>
  <c r="CX572"/>
  <c r="AW572" s="1"/>
  <c r="CX581"/>
  <c r="AW581" s="1"/>
  <c r="CX570"/>
  <c r="AW570" s="1"/>
  <c r="CX596"/>
  <c r="AW596" s="1"/>
  <c r="CX604"/>
  <c r="AW604" s="1"/>
  <c r="DP572"/>
  <c r="BO572" s="1"/>
  <c r="DP591"/>
  <c r="BO591" s="1"/>
  <c r="DP567"/>
  <c r="BO567" s="1"/>
  <c r="DP566"/>
  <c r="BO566" s="1"/>
  <c r="DP594"/>
  <c r="BO594" s="1"/>
  <c r="DP586"/>
  <c r="BO586" s="1"/>
  <c r="DP599"/>
  <c r="BO599" s="1"/>
  <c r="DP611"/>
  <c r="BO611" s="1"/>
  <c r="DP597"/>
  <c r="BO597" s="1"/>
  <c r="DP604"/>
  <c r="BO604" s="1"/>
  <c r="DP606"/>
  <c r="BO606" s="1"/>
  <c r="DP600"/>
  <c r="BO600" s="1"/>
  <c r="DP603"/>
  <c r="BO603" s="1"/>
  <c r="DP602"/>
  <c r="BO602" s="1"/>
  <c r="DP573"/>
  <c r="BO573" s="1"/>
  <c r="DP588"/>
  <c r="BO588" s="1"/>
  <c r="DP581"/>
  <c r="BO581" s="1"/>
  <c r="DP601"/>
  <c r="BO601" s="1"/>
  <c r="DP576"/>
  <c r="BO576" s="1"/>
  <c r="DP612"/>
  <c r="BO612" s="1"/>
  <c r="DP585"/>
  <c r="BO585" s="1"/>
  <c r="DP590"/>
  <c r="BO590" s="1"/>
  <c r="DP607"/>
  <c r="BO607" s="1"/>
  <c r="DP569"/>
  <c r="BO569" s="1"/>
  <c r="DP578"/>
  <c r="BO578" s="1"/>
  <c r="DP587"/>
  <c r="BO587" s="1"/>
  <c r="DP583"/>
  <c r="BO583" s="1"/>
  <c r="DP593"/>
  <c r="BO593" s="1"/>
  <c r="DP568"/>
  <c r="BO568" s="1"/>
  <c r="DP582"/>
  <c r="BO582" s="1"/>
  <c r="DP613"/>
  <c r="BO613" s="1"/>
  <c r="DP584"/>
  <c r="BO584" s="1"/>
  <c r="DP577"/>
  <c r="BO577" s="1"/>
  <c r="DP598"/>
  <c r="BO598" s="1"/>
  <c r="DP580"/>
  <c r="BO580" s="1"/>
  <c r="DP610"/>
  <c r="BO610" s="1"/>
  <c r="DP571"/>
  <c r="BO571" s="1"/>
  <c r="DP565"/>
  <c r="BO565" s="1"/>
  <c r="DP579"/>
  <c r="BO579" s="1"/>
  <c r="DP570"/>
  <c r="BO570" s="1"/>
  <c r="DP608"/>
  <c r="BO608" s="1"/>
  <c r="DP605"/>
  <c r="BO605" s="1"/>
  <c r="DP595"/>
  <c r="BO595" s="1"/>
  <c r="DP596"/>
  <c r="BO596" s="1"/>
  <c r="DP575"/>
  <c r="BO575" s="1"/>
  <c r="DP609"/>
  <c r="BO609" s="1"/>
  <c r="DP589"/>
  <c r="BO589" s="1"/>
  <c r="DP574"/>
  <c r="BO574" s="1"/>
  <c r="DP592"/>
  <c r="BO592" s="1"/>
  <c r="DP564"/>
  <c r="BO564" s="1"/>
  <c r="DT603"/>
  <c r="BS603" s="1"/>
  <c r="DT602"/>
  <c r="BS602" s="1"/>
  <c r="DT590"/>
  <c r="BS590" s="1"/>
  <c r="DT610"/>
  <c r="BS610" s="1"/>
  <c r="DT612"/>
  <c r="BS612" s="1"/>
  <c r="DT606"/>
  <c r="BS606" s="1"/>
  <c r="DT609"/>
  <c r="BS609" s="1"/>
  <c r="DT580"/>
  <c r="BS580" s="1"/>
  <c r="DT578"/>
  <c r="BS578" s="1"/>
  <c r="DT589"/>
  <c r="BS589" s="1"/>
  <c r="DT577"/>
  <c r="BS577" s="1"/>
  <c r="DT574"/>
  <c r="BS574" s="1"/>
  <c r="DT565"/>
  <c r="BS565" s="1"/>
  <c r="DT566"/>
  <c r="BS566" s="1"/>
  <c r="DT571"/>
  <c r="BS571" s="1"/>
  <c r="DT583"/>
  <c r="BS583" s="1"/>
  <c r="DT613"/>
  <c r="BS613" s="1"/>
  <c r="DT586"/>
  <c r="BS586" s="1"/>
  <c r="DT575"/>
  <c r="BS575" s="1"/>
  <c r="DT564"/>
  <c r="BS564" s="1"/>
  <c r="DT576"/>
  <c r="BS576" s="1"/>
  <c r="DT568"/>
  <c r="BS568" s="1"/>
  <c r="DT573"/>
  <c r="BS573" s="1"/>
  <c r="DT584"/>
  <c r="BS584" s="1"/>
  <c r="DT596"/>
  <c r="BS596" s="1"/>
  <c r="DT572"/>
  <c r="BS572" s="1"/>
  <c r="DT599"/>
  <c r="BS599" s="1"/>
  <c r="DT604"/>
  <c r="BS604" s="1"/>
  <c r="DT597"/>
  <c r="BS597" s="1"/>
  <c r="DT569"/>
  <c r="BS569" s="1"/>
  <c r="DT611"/>
  <c r="BS611" s="1"/>
  <c r="DT600"/>
  <c r="BS600" s="1"/>
  <c r="DT595"/>
  <c r="BS595" s="1"/>
  <c r="DT567"/>
  <c r="BS567" s="1"/>
  <c r="DT591"/>
  <c r="BS591" s="1"/>
  <c r="DT592"/>
  <c r="BS592" s="1"/>
  <c r="DT581"/>
  <c r="BS581" s="1"/>
  <c r="DT582"/>
  <c r="BS582" s="1"/>
  <c r="DT587"/>
  <c r="BS587" s="1"/>
  <c r="DT607"/>
  <c r="BS607" s="1"/>
  <c r="DT579"/>
  <c r="BS579" s="1"/>
  <c r="DT593"/>
  <c r="BS593" s="1"/>
  <c r="DT608"/>
  <c r="BS608" s="1"/>
  <c r="DT598"/>
  <c r="BS598" s="1"/>
  <c r="DT605"/>
  <c r="BS605" s="1"/>
  <c r="DT570"/>
  <c r="BS570" s="1"/>
  <c r="DT588"/>
  <c r="BS588" s="1"/>
  <c r="DT601"/>
  <c r="BS601" s="1"/>
  <c r="DT585"/>
  <c r="BS585" s="1"/>
  <c r="DT594"/>
  <c r="BS594" s="1"/>
  <c r="DG575"/>
  <c r="BF575" s="1"/>
  <c r="DG596"/>
  <c r="BF596" s="1"/>
  <c r="DG600"/>
  <c r="BF600" s="1"/>
  <c r="DG591"/>
  <c r="BF591" s="1"/>
  <c r="DG566"/>
  <c r="BF566" s="1"/>
  <c r="DG602"/>
  <c r="BF602" s="1"/>
  <c r="DG582"/>
  <c r="BF582" s="1"/>
  <c r="DG601"/>
  <c r="BF601" s="1"/>
  <c r="DG571"/>
  <c r="BF571" s="1"/>
  <c r="DG606"/>
  <c r="BF606" s="1"/>
  <c r="DG590"/>
  <c r="BF590" s="1"/>
  <c r="DG584"/>
  <c r="BF584" s="1"/>
  <c r="DG609"/>
  <c r="BF609" s="1"/>
  <c r="DG577"/>
  <c r="BF577" s="1"/>
  <c r="DG586"/>
  <c r="BF586" s="1"/>
  <c r="DG573"/>
  <c r="BF573" s="1"/>
  <c r="DG598"/>
  <c r="BF598" s="1"/>
  <c r="DG572"/>
  <c r="BF572" s="1"/>
  <c r="DG583"/>
  <c r="BF583" s="1"/>
  <c r="DG608"/>
  <c r="BF608" s="1"/>
  <c r="DG592"/>
  <c r="BF592" s="1"/>
  <c r="DG595"/>
  <c r="BF595" s="1"/>
  <c r="DG603"/>
  <c r="BF603" s="1"/>
  <c r="DG578"/>
  <c r="BF578" s="1"/>
  <c r="DG607"/>
  <c r="BF607" s="1"/>
  <c r="DG613"/>
  <c r="BF613" s="1"/>
  <c r="DG565"/>
  <c r="BF565" s="1"/>
  <c r="DG570"/>
  <c r="BF570" s="1"/>
  <c r="DG576"/>
  <c r="BF576" s="1"/>
  <c r="DG568"/>
  <c r="BF568" s="1"/>
  <c r="DG569"/>
  <c r="BF569" s="1"/>
  <c r="DG579"/>
  <c r="BF579" s="1"/>
  <c r="DG604"/>
  <c r="BF604" s="1"/>
  <c r="DG587"/>
  <c r="BF587" s="1"/>
  <c r="DG594"/>
  <c r="BF594" s="1"/>
  <c r="DG580"/>
  <c r="BF580" s="1"/>
  <c r="DG589"/>
  <c r="BF589" s="1"/>
  <c r="DG564"/>
  <c r="BF564" s="1"/>
  <c r="DG593"/>
  <c r="BF593" s="1"/>
  <c r="DG612"/>
  <c r="BF612" s="1"/>
  <c r="DG597"/>
  <c r="BF597" s="1"/>
  <c r="DG605"/>
  <c r="BF605" s="1"/>
  <c r="DG599"/>
  <c r="BF599" s="1"/>
  <c r="DG574"/>
  <c r="BF574" s="1"/>
  <c r="DG581"/>
  <c r="BF581" s="1"/>
  <c r="DG611"/>
  <c r="BF611" s="1"/>
  <c r="DG567"/>
  <c r="BF567" s="1"/>
  <c r="DG588"/>
  <c r="BF588" s="1"/>
  <c r="DG585"/>
  <c r="BF585" s="1"/>
  <c r="DG610"/>
  <c r="BF610" s="1"/>
  <c r="GJ177"/>
  <c r="GG166" s="1"/>
  <c r="GP226"/>
  <c r="GP199"/>
  <c r="GP227"/>
  <c r="GN177"/>
  <c r="GP180"/>
  <c r="GP212"/>
  <c r="GP196"/>
  <c r="GP198"/>
  <c r="GK177"/>
  <c r="GP224"/>
  <c r="GP197"/>
  <c r="GP225"/>
  <c r="GP181"/>
  <c r="GP228"/>
  <c r="GP211"/>
  <c r="GI177"/>
  <c r="GP183"/>
  <c r="GP213"/>
  <c r="GP210"/>
  <c r="GM177"/>
  <c r="GL177"/>
  <c r="GP182"/>
  <c r="GH177"/>
  <c r="GP184"/>
  <c r="GP214"/>
  <c r="GP200"/>
  <c r="GC225"/>
  <c r="GC232"/>
  <c r="GC231"/>
  <c r="GC229"/>
  <c r="GC233"/>
  <c r="GC230"/>
  <c r="GC228"/>
  <c r="GC227"/>
  <c r="GC226"/>
  <c r="GB202"/>
  <c r="HC180"/>
  <c r="CW582"/>
  <c r="AV582" s="1"/>
  <c r="CW604"/>
  <c r="AV604" s="1"/>
  <c r="CW578"/>
  <c r="AV578" s="1"/>
  <c r="CW592"/>
  <c r="AV592" s="1"/>
  <c r="CW568"/>
  <c r="AV568" s="1"/>
  <c r="CW591"/>
  <c r="AV591" s="1"/>
  <c r="CW607"/>
  <c r="AV607" s="1"/>
  <c r="CW596"/>
  <c r="AV596" s="1"/>
  <c r="CW588"/>
  <c r="AV588" s="1"/>
  <c r="CW603"/>
  <c r="AV603" s="1"/>
  <c r="CW611"/>
  <c r="AV611" s="1"/>
  <c r="CW580"/>
  <c r="AV580" s="1"/>
  <c r="CW598"/>
  <c r="AV598" s="1"/>
  <c r="CW609"/>
  <c r="AV609" s="1"/>
  <c r="CW600"/>
  <c r="AV600" s="1"/>
  <c r="CW602"/>
  <c r="AV602" s="1"/>
  <c r="CW595"/>
  <c r="AV595" s="1"/>
  <c r="CW608"/>
  <c r="AV608" s="1"/>
  <c r="CW594"/>
  <c r="AV594" s="1"/>
  <c r="CW605"/>
  <c r="AV605" s="1"/>
  <c r="CW586"/>
  <c r="AV586" s="1"/>
  <c r="CW566"/>
  <c r="AV566" s="1"/>
  <c r="CW589"/>
  <c r="AV589" s="1"/>
  <c r="CW567"/>
  <c r="AV567" s="1"/>
  <c r="CW574"/>
  <c r="AV574" s="1"/>
  <c r="CW585"/>
  <c r="AV585" s="1"/>
  <c r="CW564"/>
  <c r="AV564" s="1"/>
  <c r="CW610"/>
  <c r="AV610" s="1"/>
  <c r="CW572"/>
  <c r="AV572" s="1"/>
  <c r="CW606"/>
  <c r="AV606" s="1"/>
  <c r="CW584"/>
  <c r="AV584" s="1"/>
  <c r="CW601"/>
  <c r="AV601" s="1"/>
  <c r="CW613"/>
  <c r="AV613" s="1"/>
  <c r="CW577"/>
  <c r="AV577" s="1"/>
  <c r="CW571"/>
  <c r="AV571" s="1"/>
  <c r="CW583"/>
  <c r="AV583" s="1"/>
  <c r="CW570"/>
  <c r="AV570" s="1"/>
  <c r="CW569"/>
  <c r="AV569" s="1"/>
  <c r="CW573"/>
  <c r="AV573" s="1"/>
  <c r="CW565"/>
  <c r="AV565" s="1"/>
  <c r="CW597"/>
  <c r="AV597" s="1"/>
  <c r="CW612"/>
  <c r="AV612" s="1"/>
  <c r="CW581"/>
  <c r="AV581" s="1"/>
  <c r="CW599"/>
  <c r="AV599" s="1"/>
  <c r="CW590"/>
  <c r="AV590" s="1"/>
  <c r="CW579"/>
  <c r="AV579" s="1"/>
  <c r="CW587"/>
  <c r="AV587" s="1"/>
  <c r="CW593"/>
  <c r="AV593" s="1"/>
  <c r="CW576"/>
  <c r="AV576" s="1"/>
  <c r="CW575"/>
  <c r="AV575" s="1"/>
  <c r="CD609"/>
  <c r="AC609" s="1"/>
  <c r="CD596"/>
  <c r="AC596" s="1"/>
  <c r="CD600"/>
  <c r="AC600" s="1"/>
  <c r="CD601"/>
  <c r="AC601" s="1"/>
  <c r="CD586"/>
  <c r="AC586" s="1"/>
  <c r="CD583"/>
  <c r="AC583" s="1"/>
  <c r="CD581"/>
  <c r="AC581" s="1"/>
  <c r="CD605"/>
  <c r="AC605" s="1"/>
  <c r="CD572"/>
  <c r="AC572" s="1"/>
  <c r="CD598"/>
  <c r="AC598" s="1"/>
  <c r="CD591"/>
  <c r="AC591" s="1"/>
  <c r="CD578"/>
  <c r="AC578" s="1"/>
  <c r="CD611"/>
  <c r="AC611" s="1"/>
  <c r="CD599"/>
  <c r="AC599" s="1"/>
  <c r="CD612"/>
  <c r="AC612" s="1"/>
  <c r="CD575"/>
  <c r="AC575" s="1"/>
  <c r="CD597"/>
  <c r="AC597" s="1"/>
  <c r="CD595"/>
  <c r="AC595" s="1"/>
  <c r="CD604"/>
  <c r="AC604" s="1"/>
  <c r="CD594"/>
  <c r="AC594" s="1"/>
  <c r="CD571"/>
  <c r="AC571" s="1"/>
  <c r="CD610"/>
  <c r="AC610" s="1"/>
  <c r="CD579"/>
  <c r="AC579" s="1"/>
  <c r="CD566"/>
  <c r="AC566" s="1"/>
  <c r="CD584"/>
  <c r="AC584" s="1"/>
  <c r="CD608"/>
  <c r="AC608" s="1"/>
  <c r="CD576"/>
  <c r="AC576" s="1"/>
  <c r="CD606"/>
  <c r="AC606" s="1"/>
  <c r="CD564"/>
  <c r="AC564" s="1"/>
  <c r="CD590"/>
  <c r="AC590" s="1"/>
  <c r="CD588"/>
  <c r="AC588" s="1"/>
  <c r="CD603"/>
  <c r="AC603" s="1"/>
  <c r="CD574"/>
  <c r="AC574" s="1"/>
  <c r="CD580"/>
  <c r="AC580" s="1"/>
  <c r="CD577"/>
  <c r="AC577" s="1"/>
  <c r="CD565"/>
  <c r="AC565" s="1"/>
  <c r="CD569"/>
  <c r="AC569" s="1"/>
  <c r="CD587"/>
  <c r="AC587" s="1"/>
  <c r="CD568"/>
  <c r="AC568" s="1"/>
  <c r="CD613"/>
  <c r="AC613" s="1"/>
  <c r="CD589"/>
  <c r="AC589" s="1"/>
  <c r="CD582"/>
  <c r="AC582" s="1"/>
  <c r="CD585"/>
  <c r="AC585" s="1"/>
  <c r="CD602"/>
  <c r="AC602" s="1"/>
  <c r="CD593"/>
  <c r="AC593" s="1"/>
  <c r="CD573"/>
  <c r="AC573" s="1"/>
  <c r="CD607"/>
  <c r="AC607" s="1"/>
  <c r="CD567"/>
  <c r="AC567" s="1"/>
  <c r="CD592"/>
  <c r="AC592" s="1"/>
  <c r="CD570"/>
  <c r="AC570" s="1"/>
  <c r="DC577"/>
  <c r="BB577" s="1"/>
  <c r="DC580"/>
  <c r="BB580" s="1"/>
  <c r="DC586"/>
  <c r="BB586" s="1"/>
  <c r="DC573"/>
  <c r="BB573" s="1"/>
  <c r="DC613"/>
  <c r="BB613" s="1"/>
  <c r="DC594"/>
  <c r="BB594" s="1"/>
  <c r="DC579"/>
  <c r="BB579" s="1"/>
  <c r="DC602"/>
  <c r="BB602" s="1"/>
  <c r="DC587"/>
  <c r="BB587" s="1"/>
  <c r="DC576"/>
  <c r="BB576" s="1"/>
  <c r="DC582"/>
  <c r="BB582" s="1"/>
  <c r="DC575"/>
  <c r="BB575" s="1"/>
  <c r="DC585"/>
  <c r="BB585" s="1"/>
  <c r="DC596"/>
  <c r="BB596" s="1"/>
  <c r="DC564"/>
  <c r="BB564" s="1"/>
  <c r="DC574"/>
  <c r="BB574" s="1"/>
  <c r="DC597"/>
  <c r="BB597" s="1"/>
  <c r="DC609"/>
  <c r="BB609" s="1"/>
  <c r="DC608"/>
  <c r="BB608" s="1"/>
  <c r="DC571"/>
  <c r="BB571" s="1"/>
  <c r="DC592"/>
  <c r="BB592" s="1"/>
  <c r="DC611"/>
  <c r="BB611" s="1"/>
  <c r="DC595"/>
  <c r="BB595" s="1"/>
  <c r="DC591"/>
  <c r="BB591" s="1"/>
  <c r="DC606"/>
  <c r="BB606" s="1"/>
  <c r="DC605"/>
  <c r="BB605" s="1"/>
  <c r="DC569"/>
  <c r="BB569" s="1"/>
  <c r="DC598"/>
  <c r="BB598" s="1"/>
  <c r="DC578"/>
  <c r="BB578" s="1"/>
  <c r="DC572"/>
  <c r="BB572" s="1"/>
  <c r="DC593"/>
  <c r="BB593" s="1"/>
  <c r="DC600"/>
  <c r="BB600" s="1"/>
  <c r="DC570"/>
  <c r="BB570" s="1"/>
  <c r="DC566"/>
  <c r="BB566" s="1"/>
  <c r="DC599"/>
  <c r="BB599" s="1"/>
  <c r="DC588"/>
  <c r="BB588" s="1"/>
  <c r="DC583"/>
  <c r="BB583" s="1"/>
  <c r="DC604"/>
  <c r="BB604" s="1"/>
  <c r="DC589"/>
  <c r="BB589" s="1"/>
  <c r="DC607"/>
  <c r="BB607" s="1"/>
  <c r="DC581"/>
  <c r="BB581" s="1"/>
  <c r="DC590"/>
  <c r="BB590" s="1"/>
  <c r="DC603"/>
  <c r="BB603" s="1"/>
  <c r="DC612"/>
  <c r="BB612" s="1"/>
  <c r="DC565"/>
  <c r="BB565" s="1"/>
  <c r="DC610"/>
  <c r="BB610" s="1"/>
  <c r="DC568"/>
  <c r="BB568" s="1"/>
  <c r="DC567"/>
  <c r="BB567" s="1"/>
  <c r="DC584"/>
  <c r="BB584" s="1"/>
  <c r="DC601"/>
  <c r="BB601" s="1"/>
  <c r="DF598"/>
  <c r="BE598" s="1"/>
  <c r="DF597"/>
  <c r="BE597" s="1"/>
  <c r="DF600"/>
  <c r="BE600" s="1"/>
  <c r="DF565"/>
  <c r="BE565" s="1"/>
  <c r="DF583"/>
  <c r="BE583" s="1"/>
  <c r="DF567"/>
  <c r="BE567" s="1"/>
  <c r="DF606"/>
  <c r="BE606" s="1"/>
  <c r="DF569"/>
  <c r="BE569" s="1"/>
  <c r="DF612"/>
  <c r="BE612" s="1"/>
  <c r="DF610"/>
  <c r="BE610" s="1"/>
  <c r="DF604"/>
  <c r="BE604" s="1"/>
  <c r="DF576"/>
  <c r="BE576" s="1"/>
  <c r="DF586"/>
  <c r="BE586" s="1"/>
  <c r="DF581"/>
  <c r="BE581" s="1"/>
  <c r="DF588"/>
  <c r="BE588" s="1"/>
  <c r="DF594"/>
  <c r="BE594" s="1"/>
  <c r="DF613"/>
  <c r="BE613" s="1"/>
  <c r="DF571"/>
  <c r="BE571" s="1"/>
  <c r="DF564"/>
  <c r="BE564" s="1"/>
  <c r="DF574"/>
  <c r="BE574" s="1"/>
  <c r="DF607"/>
  <c r="BE607" s="1"/>
  <c r="DF566"/>
  <c r="BE566" s="1"/>
  <c r="DF596"/>
  <c r="BE596" s="1"/>
  <c r="DF592"/>
  <c r="BE592" s="1"/>
  <c r="DF602"/>
  <c r="BE602" s="1"/>
  <c r="DF603"/>
  <c r="BE603" s="1"/>
  <c r="DF595"/>
  <c r="BE595" s="1"/>
  <c r="DF608"/>
  <c r="BE608" s="1"/>
  <c r="DF573"/>
  <c r="BE573" s="1"/>
  <c r="DF572"/>
  <c r="BE572" s="1"/>
  <c r="DF580"/>
  <c r="BE580" s="1"/>
  <c r="DF587"/>
  <c r="BE587" s="1"/>
  <c r="DF570"/>
  <c r="BE570" s="1"/>
  <c r="DF593"/>
  <c r="BE593" s="1"/>
  <c r="DF591"/>
  <c r="BE591" s="1"/>
  <c r="DF599"/>
  <c r="BE599" s="1"/>
  <c r="DF589"/>
  <c r="BE589" s="1"/>
  <c r="DF611"/>
  <c r="BE611" s="1"/>
  <c r="DF584"/>
  <c r="BE584" s="1"/>
  <c r="DF590"/>
  <c r="BE590" s="1"/>
  <c r="DF609"/>
  <c r="BE609" s="1"/>
  <c r="DF605"/>
  <c r="BE605" s="1"/>
  <c r="DF585"/>
  <c r="BE585" s="1"/>
  <c r="DF568"/>
  <c r="BE568" s="1"/>
  <c r="DF582"/>
  <c r="BE582" s="1"/>
  <c r="DF577"/>
  <c r="BE577" s="1"/>
  <c r="DF578"/>
  <c r="BE578" s="1"/>
  <c r="DF579"/>
  <c r="BE579" s="1"/>
  <c r="DF601"/>
  <c r="BE601" s="1"/>
  <c r="DF575"/>
  <c r="BE575" s="1"/>
  <c r="CM564"/>
  <c r="AL564" s="1"/>
  <c r="CM586"/>
  <c r="AL586" s="1"/>
  <c r="CM608"/>
  <c r="AL608" s="1"/>
  <c r="CM599"/>
  <c r="AL599" s="1"/>
  <c r="CM567"/>
  <c r="AL567" s="1"/>
  <c r="CM581"/>
  <c r="AL581" s="1"/>
  <c r="CM609"/>
  <c r="AL609" s="1"/>
  <c r="CM592"/>
  <c r="AL592" s="1"/>
  <c r="CM606"/>
  <c r="AL606" s="1"/>
  <c r="CM602"/>
  <c r="AL602" s="1"/>
  <c r="CM571"/>
  <c r="AL571" s="1"/>
  <c r="CM573"/>
  <c r="AL573" s="1"/>
  <c r="CM612"/>
  <c r="AL612" s="1"/>
  <c r="CM578"/>
  <c r="AL578" s="1"/>
  <c r="CM584"/>
  <c r="AL584" s="1"/>
  <c r="CM585"/>
  <c r="AL585" s="1"/>
  <c r="CM591"/>
  <c r="AL591" s="1"/>
  <c r="CM596"/>
  <c r="AL596" s="1"/>
  <c r="CM570"/>
  <c r="AL570" s="1"/>
  <c r="CM576"/>
  <c r="AL576" s="1"/>
  <c r="CM611"/>
  <c r="AL611" s="1"/>
  <c r="CM588"/>
  <c r="AL588" s="1"/>
  <c r="CM604"/>
  <c r="AL604" s="1"/>
  <c r="CM582"/>
  <c r="AL582" s="1"/>
  <c r="CM580"/>
  <c r="AL580" s="1"/>
  <c r="CM579"/>
  <c r="AL579" s="1"/>
  <c r="CM575"/>
  <c r="AL575" s="1"/>
  <c r="CM598"/>
  <c r="AL598" s="1"/>
  <c r="CM600"/>
  <c r="AL600" s="1"/>
  <c r="CM607"/>
  <c r="AL607" s="1"/>
  <c r="CM568"/>
  <c r="AL568" s="1"/>
  <c r="CM610"/>
  <c r="AL610" s="1"/>
  <c r="CM577"/>
  <c r="AL577" s="1"/>
  <c r="CM574"/>
  <c r="AL574" s="1"/>
  <c r="CM572"/>
  <c r="AL572" s="1"/>
  <c r="CM587"/>
  <c r="AL587" s="1"/>
  <c r="CM590"/>
  <c r="AL590" s="1"/>
  <c r="CM593"/>
  <c r="AL593" s="1"/>
  <c r="CM594"/>
  <c r="AL594" s="1"/>
  <c r="CM597"/>
  <c r="AL597" s="1"/>
  <c r="CM601"/>
  <c r="AL601" s="1"/>
  <c r="CM569"/>
  <c r="AL569" s="1"/>
  <c r="CM605"/>
  <c r="AL605" s="1"/>
  <c r="CM566"/>
  <c r="AL566" s="1"/>
  <c r="CM613"/>
  <c r="AL613" s="1"/>
  <c r="CM603"/>
  <c r="AL603" s="1"/>
  <c r="CM595"/>
  <c r="AL595" s="1"/>
  <c r="CM583"/>
  <c r="AL583" s="1"/>
  <c r="CM589"/>
  <c r="AL589" s="1"/>
  <c r="CM565"/>
  <c r="AL565" s="1"/>
  <c r="DY601"/>
  <c r="BX601" s="1"/>
  <c r="DY572"/>
  <c r="BX572" s="1"/>
  <c r="DY576"/>
  <c r="BX576" s="1"/>
  <c r="DY590"/>
  <c r="BX590" s="1"/>
  <c r="DY592"/>
  <c r="BX592" s="1"/>
  <c r="DY581"/>
  <c r="BX581" s="1"/>
  <c r="DY606"/>
  <c r="BX606" s="1"/>
  <c r="DY602"/>
  <c r="BX602" s="1"/>
  <c r="DY589"/>
  <c r="BX589" s="1"/>
  <c r="DY613"/>
  <c r="BX613" s="1"/>
  <c r="DY582"/>
  <c r="BX582" s="1"/>
  <c r="DY584"/>
  <c r="BX584" s="1"/>
  <c r="DY579"/>
  <c r="BX579" s="1"/>
  <c r="DY571"/>
  <c r="BX571" s="1"/>
  <c r="DY611"/>
  <c r="BX611" s="1"/>
  <c r="DY608"/>
  <c r="BX608" s="1"/>
  <c r="DY587"/>
  <c r="BX587" s="1"/>
  <c r="DY594"/>
  <c r="BX594" s="1"/>
  <c r="DY603"/>
  <c r="BX603" s="1"/>
  <c r="DY573"/>
  <c r="BX573" s="1"/>
  <c r="DY564"/>
  <c r="BX564" s="1"/>
  <c r="DY565"/>
  <c r="BX565" s="1"/>
  <c r="DY605"/>
  <c r="BX605" s="1"/>
  <c r="DY597"/>
  <c r="BX597" s="1"/>
  <c r="DY612"/>
  <c r="BX612" s="1"/>
  <c r="DY607"/>
  <c r="BX607" s="1"/>
  <c r="DY566"/>
  <c r="BX566" s="1"/>
  <c r="DY583"/>
  <c r="BX583" s="1"/>
  <c r="DY568"/>
  <c r="BX568" s="1"/>
  <c r="DY578"/>
  <c r="BX578" s="1"/>
  <c r="DY575"/>
  <c r="BX575" s="1"/>
  <c r="DY586"/>
  <c r="BX586" s="1"/>
  <c r="DY600"/>
  <c r="BX600" s="1"/>
  <c r="DY595"/>
  <c r="BX595" s="1"/>
  <c r="DY585"/>
  <c r="BX585" s="1"/>
  <c r="DY577"/>
  <c r="BX577" s="1"/>
  <c r="DY570"/>
  <c r="BX570" s="1"/>
  <c r="DY599"/>
  <c r="BX599" s="1"/>
  <c r="DY604"/>
  <c r="BX604" s="1"/>
  <c r="DY588"/>
  <c r="BX588" s="1"/>
  <c r="DY609"/>
  <c r="BX609" s="1"/>
  <c r="DY598"/>
  <c r="BX598" s="1"/>
  <c r="DY574"/>
  <c r="BX574" s="1"/>
  <c r="DY567"/>
  <c r="BX567" s="1"/>
  <c r="DY593"/>
  <c r="BX593" s="1"/>
  <c r="DY580"/>
  <c r="BX580" s="1"/>
  <c r="DY591"/>
  <c r="BX591" s="1"/>
  <c r="DY610"/>
  <c r="BX610" s="1"/>
  <c r="DY569"/>
  <c r="BX569" s="1"/>
  <c r="DY596"/>
  <c r="BX596" s="1"/>
  <c r="DK579"/>
  <c r="BJ579" s="1"/>
  <c r="DK613"/>
  <c r="BJ613" s="1"/>
  <c r="DK565"/>
  <c r="BJ565" s="1"/>
  <c r="DK599"/>
  <c r="BJ599" s="1"/>
  <c r="DK568"/>
  <c r="BJ568" s="1"/>
  <c r="DK575"/>
  <c r="BJ575" s="1"/>
  <c r="DK578"/>
  <c r="BJ578" s="1"/>
  <c r="DK574"/>
  <c r="BJ574" s="1"/>
  <c r="DK582"/>
  <c r="BJ582" s="1"/>
  <c r="DK596"/>
  <c r="BJ596" s="1"/>
  <c r="DK566"/>
  <c r="BJ566" s="1"/>
  <c r="DK598"/>
  <c r="BJ598" s="1"/>
  <c r="DK607"/>
  <c r="BJ607" s="1"/>
  <c r="DK594"/>
  <c r="BJ594" s="1"/>
  <c r="DK593"/>
  <c r="BJ593" s="1"/>
  <c r="DK581"/>
  <c r="BJ581" s="1"/>
  <c r="DK570"/>
  <c r="BJ570" s="1"/>
  <c r="DK600"/>
  <c r="BJ600" s="1"/>
  <c r="DK571"/>
  <c r="BJ571" s="1"/>
  <c r="DK585"/>
  <c r="BJ585" s="1"/>
  <c r="DK589"/>
  <c r="BJ589" s="1"/>
  <c r="DK602"/>
  <c r="BJ602" s="1"/>
  <c r="DK564"/>
  <c r="BJ564" s="1"/>
  <c r="DK584"/>
  <c r="BJ584" s="1"/>
  <c r="DK592"/>
  <c r="BJ592" s="1"/>
  <c r="DK605"/>
  <c r="BJ605" s="1"/>
  <c r="DK588"/>
  <c r="BJ588" s="1"/>
  <c r="DK576"/>
  <c r="BJ576" s="1"/>
  <c r="DK583"/>
  <c r="BJ583" s="1"/>
  <c r="DK611"/>
  <c r="BJ611" s="1"/>
  <c r="DK572"/>
  <c r="BJ572" s="1"/>
  <c r="DK597"/>
  <c r="BJ597" s="1"/>
  <c r="DK604"/>
  <c r="BJ604" s="1"/>
  <c r="DK569"/>
  <c r="BJ569" s="1"/>
  <c r="DK591"/>
  <c r="BJ591" s="1"/>
  <c r="DK612"/>
  <c r="BJ612" s="1"/>
  <c r="DK586"/>
  <c r="BJ586" s="1"/>
  <c r="DK587"/>
  <c r="BJ587" s="1"/>
  <c r="DK580"/>
  <c r="BJ580" s="1"/>
  <c r="DK595"/>
  <c r="BJ595" s="1"/>
  <c r="DK610"/>
  <c r="BJ610" s="1"/>
  <c r="DK590"/>
  <c r="BJ590" s="1"/>
  <c r="DK601"/>
  <c r="BJ601" s="1"/>
  <c r="DK606"/>
  <c r="BJ606" s="1"/>
  <c r="DK567"/>
  <c r="BJ567" s="1"/>
  <c r="DK608"/>
  <c r="BJ608" s="1"/>
  <c r="DK609"/>
  <c r="BJ609" s="1"/>
  <c r="DK603"/>
  <c r="BJ603" s="1"/>
  <c r="DK573"/>
  <c r="BJ573" s="1"/>
  <c r="DK577"/>
  <c r="BJ577" s="1"/>
  <c r="FN399"/>
  <c r="FN395"/>
  <c r="FM467" i="92" s="1"/>
  <c r="FO467" s="1"/>
  <c r="FT312" i="86"/>
  <c r="FS317"/>
  <c r="FT317" s="1"/>
  <c r="FU317" s="1"/>
  <c r="FV317" s="1"/>
  <c r="FW317" s="1"/>
  <c r="CJ325" s="1"/>
  <c r="DI594"/>
  <c r="BH594" s="1"/>
  <c r="DI577"/>
  <c r="BH577" s="1"/>
  <c r="DI583"/>
  <c r="BH583" s="1"/>
  <c r="DI604"/>
  <c r="BH604" s="1"/>
  <c r="DI597"/>
  <c r="BH597" s="1"/>
  <c r="DI613"/>
  <c r="BH613" s="1"/>
  <c r="DI576"/>
  <c r="BH576" s="1"/>
  <c r="DI593"/>
  <c r="BH593" s="1"/>
  <c r="DI571"/>
  <c r="BH571" s="1"/>
  <c r="DI588"/>
  <c r="BH588" s="1"/>
  <c r="DI605"/>
  <c r="BH605" s="1"/>
  <c r="DI575"/>
  <c r="BH575" s="1"/>
  <c r="DI570"/>
  <c r="BH570" s="1"/>
  <c r="DI608"/>
  <c r="BH608" s="1"/>
  <c r="DI580"/>
  <c r="BH580" s="1"/>
  <c r="DI565"/>
  <c r="BH565" s="1"/>
  <c r="DI584"/>
  <c r="BH584" s="1"/>
  <c r="DI579"/>
  <c r="BH579" s="1"/>
  <c r="DI612"/>
  <c r="BH612" s="1"/>
  <c r="DI590"/>
  <c r="BH590" s="1"/>
  <c r="DI573"/>
  <c r="BH573" s="1"/>
  <c r="DI585"/>
  <c r="BH585" s="1"/>
  <c r="DI578"/>
  <c r="BH578" s="1"/>
  <c r="DI568"/>
  <c r="BH568" s="1"/>
  <c r="DI581"/>
  <c r="BH581" s="1"/>
  <c r="DI569"/>
  <c r="BH569" s="1"/>
  <c r="DI564"/>
  <c r="BH564" s="1"/>
  <c r="DI602"/>
  <c r="BH602" s="1"/>
  <c r="DI606"/>
  <c r="BH606" s="1"/>
  <c r="DI566"/>
  <c r="BH566" s="1"/>
  <c r="DI598"/>
  <c r="BH598" s="1"/>
  <c r="DI600"/>
  <c r="BH600" s="1"/>
  <c r="DI591"/>
  <c r="BH591" s="1"/>
  <c r="DI587"/>
  <c r="BH587" s="1"/>
  <c r="DI582"/>
  <c r="BH582" s="1"/>
  <c r="DI603"/>
  <c r="BH603" s="1"/>
  <c r="DI601"/>
  <c r="BH601" s="1"/>
  <c r="DI586"/>
  <c r="BH586" s="1"/>
  <c r="DI607"/>
  <c r="BH607" s="1"/>
  <c r="DI567"/>
  <c r="BH567" s="1"/>
  <c r="DI595"/>
  <c r="BH595" s="1"/>
  <c r="DI589"/>
  <c r="BH589" s="1"/>
  <c r="DI609"/>
  <c r="BH609" s="1"/>
  <c r="DI599"/>
  <c r="BH599" s="1"/>
  <c r="DI596"/>
  <c r="BH596" s="1"/>
  <c r="DI611"/>
  <c r="BH611" s="1"/>
  <c r="DI574"/>
  <c r="BH574" s="1"/>
  <c r="DI610"/>
  <c r="BH610" s="1"/>
  <c r="DI572"/>
  <c r="BH572" s="1"/>
  <c r="DI592"/>
  <c r="BH592" s="1"/>
  <c r="CK596"/>
  <c r="AJ596" s="1"/>
  <c r="CK609"/>
  <c r="AJ609" s="1"/>
  <c r="CK600"/>
  <c r="AJ600" s="1"/>
  <c r="CK606"/>
  <c r="AJ606" s="1"/>
  <c r="CK597"/>
  <c r="AJ597" s="1"/>
  <c r="CK580"/>
  <c r="AJ580" s="1"/>
  <c r="CK577"/>
  <c r="AJ577" s="1"/>
  <c r="CK587"/>
  <c r="AJ587" s="1"/>
  <c r="CK594"/>
  <c r="AJ594" s="1"/>
  <c r="CK585"/>
  <c r="AJ585" s="1"/>
  <c r="CK578"/>
  <c r="AJ578" s="1"/>
  <c r="CK598"/>
  <c r="AJ598" s="1"/>
  <c r="CK588"/>
  <c r="AJ588" s="1"/>
  <c r="CK564"/>
  <c r="AJ564" s="1"/>
  <c r="CK572"/>
  <c r="AJ572" s="1"/>
  <c r="CK607"/>
  <c r="AJ607" s="1"/>
  <c r="CK601"/>
  <c r="AJ601" s="1"/>
  <c r="CK608"/>
  <c r="AJ608" s="1"/>
  <c r="CK573"/>
  <c r="AJ573" s="1"/>
  <c r="CK591"/>
  <c r="AJ591" s="1"/>
  <c r="CK592"/>
  <c r="AJ592" s="1"/>
  <c r="CK605"/>
  <c r="AJ605" s="1"/>
  <c r="AJ367" s="1"/>
  <c r="CK611"/>
  <c r="AJ611" s="1"/>
  <c r="CK568"/>
  <c r="AJ568" s="1"/>
  <c r="CK576"/>
  <c r="AJ576" s="1"/>
  <c r="CK595"/>
  <c r="AJ595" s="1"/>
  <c r="CK582"/>
  <c r="AJ582" s="1"/>
  <c r="CK593"/>
  <c r="AJ593" s="1"/>
  <c r="CK575"/>
  <c r="AJ575" s="1"/>
  <c r="CK565"/>
  <c r="AJ565" s="1"/>
  <c r="CK579"/>
  <c r="AJ579" s="1"/>
  <c r="CK599"/>
  <c r="AJ599" s="1"/>
  <c r="CK603"/>
  <c r="AJ603" s="1"/>
  <c r="CK583"/>
  <c r="AJ583" s="1"/>
  <c r="CK581"/>
  <c r="AJ581" s="1"/>
  <c r="CK574"/>
  <c r="AJ574" s="1"/>
  <c r="CK584"/>
  <c r="AJ584" s="1"/>
  <c r="CK571"/>
  <c r="AJ571" s="1"/>
  <c r="CK566"/>
  <c r="AJ566" s="1"/>
  <c r="CK586"/>
  <c r="AJ586" s="1"/>
  <c r="CK590"/>
  <c r="AJ590" s="1"/>
  <c r="CK570"/>
  <c r="AJ570" s="1"/>
  <c r="CK569"/>
  <c r="AJ569" s="1"/>
  <c r="CK612"/>
  <c r="AJ612" s="1"/>
  <c r="CK613"/>
  <c r="AJ613" s="1"/>
  <c r="CK567"/>
  <c r="AJ567" s="1"/>
  <c r="AJ329" s="1"/>
  <c r="CK589"/>
  <c r="AJ589" s="1"/>
  <c r="CK604"/>
  <c r="AJ604" s="1"/>
  <c r="CK602"/>
  <c r="AJ602" s="1"/>
  <c r="CK610"/>
  <c r="AJ610" s="1"/>
  <c r="DA566"/>
  <c r="AZ566" s="1"/>
  <c r="DA606"/>
  <c r="AZ606" s="1"/>
  <c r="DA607"/>
  <c r="AZ607" s="1"/>
  <c r="DA610"/>
  <c r="AZ610" s="1"/>
  <c r="DA570"/>
  <c r="AZ570" s="1"/>
  <c r="DA580"/>
  <c r="AZ580" s="1"/>
  <c r="DA575"/>
  <c r="AZ575" s="1"/>
  <c r="DA581"/>
  <c r="AZ581" s="1"/>
  <c r="DA602"/>
  <c r="AZ602" s="1"/>
  <c r="DA583"/>
  <c r="AZ583" s="1"/>
  <c r="DA589"/>
  <c r="AZ589" s="1"/>
  <c r="DA565"/>
  <c r="AZ565" s="1"/>
  <c r="DA612"/>
  <c r="AZ612" s="1"/>
  <c r="DA578"/>
  <c r="AZ578" s="1"/>
  <c r="DA605"/>
  <c r="AZ605" s="1"/>
  <c r="DA597"/>
  <c r="AZ597" s="1"/>
  <c r="DA568"/>
  <c r="AZ568" s="1"/>
  <c r="DA587"/>
  <c r="AZ587" s="1"/>
  <c r="DA603"/>
  <c r="AZ603" s="1"/>
  <c r="DA582"/>
  <c r="AZ582" s="1"/>
  <c r="DA584"/>
  <c r="AZ584" s="1"/>
  <c r="DA564"/>
  <c r="AZ564" s="1"/>
  <c r="DA604"/>
  <c r="AZ604" s="1"/>
  <c r="DA609"/>
  <c r="AZ609" s="1"/>
  <c r="DA577"/>
  <c r="AZ577" s="1"/>
  <c r="DA574"/>
  <c r="AZ574" s="1"/>
  <c r="DA573"/>
  <c r="AZ573" s="1"/>
  <c r="DA600"/>
  <c r="AZ600" s="1"/>
  <c r="DA591"/>
  <c r="AZ591" s="1"/>
  <c r="DA588"/>
  <c r="AZ588" s="1"/>
  <c r="DA613"/>
  <c r="AZ613" s="1"/>
  <c r="DA593"/>
  <c r="AZ593" s="1"/>
  <c r="DA596"/>
  <c r="AZ596" s="1"/>
  <c r="DA590"/>
  <c r="AZ590" s="1"/>
  <c r="DA601"/>
  <c r="AZ601" s="1"/>
  <c r="DA576"/>
  <c r="AZ576" s="1"/>
  <c r="DA585"/>
  <c r="AZ585" s="1"/>
  <c r="DA567"/>
  <c r="AZ567" s="1"/>
  <c r="DA572"/>
  <c r="AZ572" s="1"/>
  <c r="DA595"/>
  <c r="AZ595" s="1"/>
  <c r="DA571"/>
  <c r="AZ571" s="1"/>
  <c r="DA579"/>
  <c r="AZ579" s="1"/>
  <c r="DA569"/>
  <c r="AZ569" s="1"/>
  <c r="DA586"/>
  <c r="AZ586" s="1"/>
  <c r="DA598"/>
  <c r="AZ598" s="1"/>
  <c r="DA594"/>
  <c r="AZ594" s="1"/>
  <c r="DA599"/>
  <c r="AZ599" s="1"/>
  <c r="DA608"/>
  <c r="AZ608" s="1"/>
  <c r="DA611"/>
  <c r="AZ611" s="1"/>
  <c r="DA592"/>
  <c r="AZ592" s="1"/>
  <c r="DV577"/>
  <c r="BU577" s="1"/>
  <c r="DV583"/>
  <c r="BU583" s="1"/>
  <c r="DV570"/>
  <c r="BU570" s="1"/>
  <c r="DV575"/>
  <c r="BU575" s="1"/>
  <c r="DV588"/>
  <c r="BU588" s="1"/>
  <c r="DV581"/>
  <c r="BU581" s="1"/>
  <c r="DV590"/>
  <c r="BU590" s="1"/>
  <c r="DV584"/>
  <c r="BU584" s="1"/>
  <c r="DV576"/>
  <c r="BU576" s="1"/>
  <c r="DV605"/>
  <c r="BU605" s="1"/>
  <c r="BU367" s="1"/>
  <c r="DV606"/>
  <c r="BU606" s="1"/>
  <c r="DV593"/>
  <c r="BU593" s="1"/>
  <c r="DV564"/>
  <c r="BU564" s="1"/>
  <c r="DV594"/>
  <c r="BU594" s="1"/>
  <c r="DV573"/>
  <c r="BU573" s="1"/>
  <c r="DV579"/>
  <c r="BU579" s="1"/>
  <c r="DV607"/>
  <c r="BU607" s="1"/>
  <c r="DV571"/>
  <c r="BU571" s="1"/>
  <c r="DV569"/>
  <c r="BU569" s="1"/>
  <c r="DV609"/>
  <c r="BU609" s="1"/>
  <c r="DV602"/>
  <c r="BU602" s="1"/>
  <c r="DV610"/>
  <c r="BU610" s="1"/>
  <c r="DV566"/>
  <c r="BU566" s="1"/>
  <c r="DV567"/>
  <c r="BU567" s="1"/>
  <c r="DV589"/>
  <c r="BU589" s="1"/>
  <c r="DV568"/>
  <c r="BU568" s="1"/>
  <c r="DV598"/>
  <c r="BU598" s="1"/>
  <c r="DV582"/>
  <c r="BU582" s="1"/>
  <c r="DV574"/>
  <c r="BU574" s="1"/>
  <c r="DV596"/>
  <c r="BU596" s="1"/>
  <c r="DV565"/>
  <c r="BU565" s="1"/>
  <c r="DV595"/>
  <c r="BU595" s="1"/>
  <c r="DV585"/>
  <c r="BU585" s="1"/>
  <c r="DV611"/>
  <c r="BU611" s="1"/>
  <c r="DV597"/>
  <c r="BU597" s="1"/>
  <c r="DV592"/>
  <c r="BU592" s="1"/>
  <c r="DV600"/>
  <c r="BU600" s="1"/>
  <c r="DV591"/>
  <c r="BU591" s="1"/>
  <c r="DV601"/>
  <c r="BU601" s="1"/>
  <c r="DV603"/>
  <c r="BU603" s="1"/>
  <c r="DV586"/>
  <c r="BU586" s="1"/>
  <c r="DV604"/>
  <c r="BU604" s="1"/>
  <c r="DV612"/>
  <c r="BU612" s="1"/>
  <c r="DV587"/>
  <c r="BU587" s="1"/>
  <c r="DV580"/>
  <c r="BU580" s="1"/>
  <c r="DV599"/>
  <c r="BU599" s="1"/>
  <c r="BU361" s="1"/>
  <c r="DV578"/>
  <c r="BU578" s="1"/>
  <c r="DV608"/>
  <c r="BU608" s="1"/>
  <c r="DV572"/>
  <c r="BU572" s="1"/>
  <c r="DV613"/>
  <c r="BU613" s="1"/>
  <c r="DU600"/>
  <c r="BT600" s="1"/>
  <c r="DU610"/>
  <c r="BT610" s="1"/>
  <c r="DU574"/>
  <c r="BT574" s="1"/>
  <c r="DU583"/>
  <c r="BT583" s="1"/>
  <c r="DU599"/>
  <c r="BT599" s="1"/>
  <c r="DU593"/>
  <c r="BT593" s="1"/>
  <c r="DU584"/>
  <c r="BT584" s="1"/>
  <c r="DU586"/>
  <c r="BT586" s="1"/>
  <c r="DU565"/>
  <c r="BT565" s="1"/>
  <c r="DU609"/>
  <c r="BT609" s="1"/>
  <c r="DU589"/>
  <c r="BT589" s="1"/>
  <c r="DU572"/>
  <c r="BT572" s="1"/>
  <c r="DU598"/>
  <c r="BT598" s="1"/>
  <c r="DU611"/>
  <c r="BT611" s="1"/>
  <c r="DU597"/>
  <c r="BT597" s="1"/>
  <c r="DU592"/>
  <c r="BT592" s="1"/>
  <c r="DU578"/>
  <c r="BT578" s="1"/>
  <c r="DU588"/>
  <c r="BT588" s="1"/>
  <c r="DU569"/>
  <c r="BT569" s="1"/>
  <c r="DU571"/>
  <c r="BT571" s="1"/>
  <c r="DU585"/>
  <c r="BT585" s="1"/>
  <c r="DU612"/>
  <c r="BT612" s="1"/>
  <c r="DU573"/>
  <c r="BT573" s="1"/>
  <c r="DU570"/>
  <c r="BT570" s="1"/>
  <c r="DU580"/>
  <c r="BT580" s="1"/>
  <c r="DU606"/>
  <c r="BT606" s="1"/>
  <c r="DU602"/>
  <c r="BT602" s="1"/>
  <c r="DU566"/>
  <c r="BT566" s="1"/>
  <c r="DU577"/>
  <c r="BT577" s="1"/>
  <c r="DU582"/>
  <c r="BT582" s="1"/>
  <c r="DU608"/>
  <c r="BT608" s="1"/>
  <c r="DU581"/>
  <c r="BT581" s="1"/>
  <c r="DU596"/>
  <c r="BT596" s="1"/>
  <c r="DU613"/>
  <c r="BT613" s="1"/>
  <c r="DU567"/>
  <c r="BT567" s="1"/>
  <c r="DU587"/>
  <c r="BT587" s="1"/>
  <c r="DU591"/>
  <c r="BT591" s="1"/>
  <c r="DU564"/>
  <c r="BT564" s="1"/>
  <c r="DU576"/>
  <c r="BT576" s="1"/>
  <c r="DU594"/>
  <c r="BT594" s="1"/>
  <c r="DU575"/>
  <c r="BT575" s="1"/>
  <c r="DU607"/>
  <c r="BT607" s="1"/>
  <c r="DU568"/>
  <c r="BT568" s="1"/>
  <c r="DU579"/>
  <c r="BT579" s="1"/>
  <c r="DU601"/>
  <c r="BT601" s="1"/>
  <c r="DU605"/>
  <c r="BT605" s="1"/>
  <c r="DU603"/>
  <c r="BT603" s="1"/>
  <c r="DU604"/>
  <c r="BT604" s="1"/>
  <c r="DU590"/>
  <c r="BT590" s="1"/>
  <c r="DU595"/>
  <c r="BT595" s="1"/>
  <c r="CT568"/>
  <c r="AS568" s="1"/>
  <c r="CT600"/>
  <c r="AS600" s="1"/>
  <c r="CT583"/>
  <c r="AS583" s="1"/>
  <c r="CT571"/>
  <c r="AS571" s="1"/>
  <c r="CT595"/>
  <c r="AS595" s="1"/>
  <c r="CT607"/>
  <c r="AS607" s="1"/>
  <c r="CT611"/>
  <c r="AS611" s="1"/>
  <c r="CT589"/>
  <c r="AS589" s="1"/>
  <c r="CT582"/>
  <c r="AS582" s="1"/>
  <c r="CT575"/>
  <c r="AS575" s="1"/>
  <c r="CT613"/>
  <c r="AS613" s="1"/>
  <c r="CT592"/>
  <c r="AS592" s="1"/>
  <c r="CT570"/>
  <c r="AS570" s="1"/>
  <c r="CT590"/>
  <c r="AS590" s="1"/>
  <c r="CT577"/>
  <c r="AS577" s="1"/>
  <c r="CT585"/>
  <c r="AS585" s="1"/>
  <c r="CT593"/>
  <c r="AS593" s="1"/>
  <c r="CT576"/>
  <c r="AS576" s="1"/>
  <c r="CT572"/>
  <c r="AS572" s="1"/>
  <c r="CT564"/>
  <c r="AS564" s="1"/>
  <c r="CT579"/>
  <c r="AS579" s="1"/>
  <c r="CT612"/>
  <c r="AS612" s="1"/>
  <c r="CT573"/>
  <c r="AS573" s="1"/>
  <c r="CT591"/>
  <c r="AS591" s="1"/>
  <c r="CT594"/>
  <c r="AS594" s="1"/>
  <c r="CT584"/>
  <c r="AS584" s="1"/>
  <c r="CT610"/>
  <c r="AS610" s="1"/>
  <c r="CT574"/>
  <c r="AS574" s="1"/>
  <c r="CT606"/>
  <c r="AS606" s="1"/>
  <c r="CT604"/>
  <c r="AS604" s="1"/>
  <c r="CT581"/>
  <c r="AS581" s="1"/>
  <c r="CT601"/>
  <c r="AS601" s="1"/>
  <c r="CT569"/>
  <c r="AS569" s="1"/>
  <c r="CT602"/>
  <c r="AS602" s="1"/>
  <c r="CT596"/>
  <c r="AS596" s="1"/>
  <c r="CT578"/>
  <c r="AS578" s="1"/>
  <c r="CT597"/>
  <c r="AS597" s="1"/>
  <c r="CT567"/>
  <c r="AS567" s="1"/>
  <c r="CT608"/>
  <c r="AS608" s="1"/>
  <c r="CT609"/>
  <c r="AS609" s="1"/>
  <c r="CT580"/>
  <c r="AS580" s="1"/>
  <c r="CT587"/>
  <c r="AS587" s="1"/>
  <c r="CT566"/>
  <c r="AS566" s="1"/>
  <c r="CT588"/>
  <c r="AS588" s="1"/>
  <c r="CT598"/>
  <c r="AS598" s="1"/>
  <c r="CT599"/>
  <c r="AS599" s="1"/>
  <c r="CT565"/>
  <c r="AS565" s="1"/>
  <c r="CT586"/>
  <c r="AS586" s="1"/>
  <c r="CT605"/>
  <c r="AS605" s="1"/>
  <c r="CT603"/>
  <c r="AS603" s="1"/>
  <c r="DW564"/>
  <c r="BV564" s="1"/>
  <c r="DW602"/>
  <c r="BV602" s="1"/>
  <c r="DW572"/>
  <c r="BV572" s="1"/>
  <c r="DW596"/>
  <c r="BV596" s="1"/>
  <c r="DW600"/>
  <c r="BV600" s="1"/>
  <c r="DW589"/>
  <c r="BV589" s="1"/>
  <c r="DW603"/>
  <c r="BV603" s="1"/>
  <c r="DW565"/>
  <c r="BV565" s="1"/>
  <c r="DW594"/>
  <c r="BV594" s="1"/>
  <c r="DW579"/>
  <c r="BV579" s="1"/>
  <c r="DW578"/>
  <c r="BV578" s="1"/>
  <c r="DW586"/>
  <c r="BV586" s="1"/>
  <c r="DW580"/>
  <c r="BV580" s="1"/>
  <c r="DW611"/>
  <c r="BV611" s="1"/>
  <c r="DW607"/>
  <c r="BV607" s="1"/>
  <c r="DW605"/>
  <c r="BV605" s="1"/>
  <c r="DW604"/>
  <c r="BV604" s="1"/>
  <c r="DW585"/>
  <c r="BV585" s="1"/>
  <c r="DW569"/>
  <c r="BV569" s="1"/>
  <c r="DW613"/>
  <c r="BV613" s="1"/>
  <c r="DW591"/>
  <c r="BV591" s="1"/>
  <c r="DW567"/>
  <c r="BV567" s="1"/>
  <c r="DW574"/>
  <c r="BV574" s="1"/>
  <c r="DW577"/>
  <c r="BV577" s="1"/>
  <c r="DW568"/>
  <c r="BV568" s="1"/>
  <c r="DW584"/>
  <c r="BV584" s="1"/>
  <c r="DW606"/>
  <c r="BV606" s="1"/>
  <c r="DW587"/>
  <c r="BV587" s="1"/>
  <c r="DW582"/>
  <c r="BV582" s="1"/>
  <c r="DW593"/>
  <c r="BV593" s="1"/>
  <c r="DW598"/>
  <c r="BV598" s="1"/>
  <c r="DW610"/>
  <c r="BV610" s="1"/>
  <c r="DW581"/>
  <c r="BV581" s="1"/>
  <c r="DW570"/>
  <c r="BV570" s="1"/>
  <c r="DW583"/>
  <c r="BV583" s="1"/>
  <c r="DW608"/>
  <c r="BV608" s="1"/>
  <c r="DW590"/>
  <c r="BV590" s="1"/>
  <c r="DW575"/>
  <c r="BV575" s="1"/>
  <c r="DW573"/>
  <c r="BV573" s="1"/>
  <c r="DW592"/>
  <c r="BV592" s="1"/>
  <c r="DW599"/>
  <c r="BV599" s="1"/>
  <c r="DW612"/>
  <c r="BV612" s="1"/>
  <c r="DW588"/>
  <c r="BV588" s="1"/>
  <c r="DW601"/>
  <c r="BV601" s="1"/>
  <c r="DW576"/>
  <c r="BV576" s="1"/>
  <c r="DW566"/>
  <c r="BV566" s="1"/>
  <c r="DW595"/>
  <c r="BV595" s="1"/>
  <c r="DW571"/>
  <c r="BV571" s="1"/>
  <c r="DW609"/>
  <c r="BV609" s="1"/>
  <c r="DW597"/>
  <c r="BV597" s="1"/>
  <c r="CY599"/>
  <c r="AX599" s="1"/>
  <c r="CY606"/>
  <c r="AX606" s="1"/>
  <c r="CY587"/>
  <c r="AX587" s="1"/>
  <c r="CY609"/>
  <c r="AX609" s="1"/>
  <c r="CY600"/>
  <c r="AX600" s="1"/>
  <c r="CY577"/>
  <c r="AX577" s="1"/>
  <c r="CY579"/>
  <c r="AX579" s="1"/>
  <c r="CY602"/>
  <c r="AX602" s="1"/>
  <c r="CY597"/>
  <c r="AX597" s="1"/>
  <c r="CY567"/>
  <c r="AX567" s="1"/>
  <c r="CY611"/>
  <c r="AX611" s="1"/>
  <c r="CY591"/>
  <c r="AX591" s="1"/>
  <c r="CY585"/>
  <c r="AX585" s="1"/>
  <c r="CY590"/>
  <c r="AX590" s="1"/>
  <c r="CY612"/>
  <c r="AX612" s="1"/>
  <c r="CY595"/>
  <c r="AX595" s="1"/>
  <c r="CY610"/>
  <c r="AX610" s="1"/>
  <c r="CY608"/>
  <c r="AX608" s="1"/>
  <c r="CY575"/>
  <c r="AX575" s="1"/>
  <c r="CY592"/>
  <c r="AX592" s="1"/>
  <c r="CY598"/>
  <c r="AX598" s="1"/>
  <c r="CY593"/>
  <c r="AX593" s="1"/>
  <c r="CY596"/>
  <c r="AX596" s="1"/>
  <c r="CY576"/>
  <c r="AX576" s="1"/>
  <c r="CY564"/>
  <c r="AX564" s="1"/>
  <c r="CY581"/>
  <c r="AX581" s="1"/>
  <c r="CY613"/>
  <c r="AX613" s="1"/>
  <c r="CY565"/>
  <c r="AX565" s="1"/>
  <c r="CY574"/>
  <c r="AX574" s="1"/>
  <c r="CY571"/>
  <c r="AX571" s="1"/>
  <c r="CY583"/>
  <c r="AX583" s="1"/>
  <c r="CY580"/>
  <c r="AX580" s="1"/>
  <c r="CY569"/>
  <c r="AX569" s="1"/>
  <c r="CY588"/>
  <c r="AX588" s="1"/>
  <c r="CY573"/>
  <c r="AX573" s="1"/>
  <c r="CY594"/>
  <c r="AX594" s="1"/>
  <c r="CY584"/>
  <c r="AX584" s="1"/>
  <c r="CY568"/>
  <c r="AX568" s="1"/>
  <c r="CY605"/>
  <c r="AX605" s="1"/>
  <c r="CY582"/>
  <c r="AX582" s="1"/>
  <c r="CY601"/>
  <c r="AX601" s="1"/>
  <c r="CY572"/>
  <c r="AX572" s="1"/>
  <c r="CY603"/>
  <c r="AX603" s="1"/>
  <c r="CY589"/>
  <c r="AX589" s="1"/>
  <c r="CY604"/>
  <c r="AX604" s="1"/>
  <c r="CY570"/>
  <c r="AX570" s="1"/>
  <c r="CY578"/>
  <c r="AX578" s="1"/>
  <c r="CY607"/>
  <c r="AX607" s="1"/>
  <c r="CY566"/>
  <c r="AX566" s="1"/>
  <c r="CY586"/>
  <c r="AX586" s="1"/>
  <c r="DO596"/>
  <c r="BN596" s="1"/>
  <c r="DO585"/>
  <c r="BN585" s="1"/>
  <c r="DO611"/>
  <c r="BN611" s="1"/>
  <c r="DO578"/>
  <c r="BN578" s="1"/>
  <c r="DO601"/>
  <c r="BN601" s="1"/>
  <c r="DO591"/>
  <c r="BN591" s="1"/>
  <c r="DO608"/>
  <c r="BN608" s="1"/>
  <c r="DO582"/>
  <c r="BN582" s="1"/>
  <c r="DO594"/>
  <c r="BN594" s="1"/>
  <c r="DO577"/>
  <c r="BN577" s="1"/>
  <c r="DO599"/>
  <c r="BN599" s="1"/>
  <c r="DO567"/>
  <c r="BN567" s="1"/>
  <c r="DO606"/>
  <c r="BN606" s="1"/>
  <c r="DO570"/>
  <c r="BN570" s="1"/>
  <c r="DO589"/>
  <c r="BN589" s="1"/>
  <c r="DO593"/>
  <c r="BN593" s="1"/>
  <c r="DO587"/>
  <c r="BN587" s="1"/>
  <c r="DO573"/>
  <c r="BN573" s="1"/>
  <c r="DO590"/>
  <c r="BN590" s="1"/>
  <c r="DO603"/>
  <c r="BN603" s="1"/>
  <c r="DO597"/>
  <c r="BN597" s="1"/>
  <c r="DO571"/>
  <c r="BN571" s="1"/>
  <c r="DO602"/>
  <c r="BN602" s="1"/>
  <c r="DO568"/>
  <c r="BN568" s="1"/>
  <c r="DO586"/>
  <c r="BN586" s="1"/>
  <c r="DO583"/>
  <c r="BN583" s="1"/>
  <c r="DO609"/>
  <c r="BN609" s="1"/>
  <c r="DO572"/>
  <c r="BN572" s="1"/>
  <c r="DO569"/>
  <c r="BN569" s="1"/>
  <c r="DO575"/>
  <c r="BN575" s="1"/>
  <c r="DO588"/>
  <c r="BN588" s="1"/>
  <c r="DO595"/>
  <c r="BN595" s="1"/>
  <c r="DO566"/>
  <c r="BN566" s="1"/>
  <c r="DO612"/>
  <c r="BN612" s="1"/>
  <c r="DO581"/>
  <c r="BN581" s="1"/>
  <c r="DO579"/>
  <c r="BN579" s="1"/>
  <c r="DO580"/>
  <c r="BN580" s="1"/>
  <c r="DO576"/>
  <c r="BN576" s="1"/>
  <c r="DO598"/>
  <c r="BN598" s="1"/>
  <c r="DO600"/>
  <c r="BN600" s="1"/>
  <c r="DO604"/>
  <c r="BN604" s="1"/>
  <c r="DO605"/>
  <c r="BN605" s="1"/>
  <c r="DO574"/>
  <c r="BN574" s="1"/>
  <c r="DO565"/>
  <c r="BN565" s="1"/>
  <c r="DO564"/>
  <c r="BN564" s="1"/>
  <c r="DO607"/>
  <c r="BN607" s="1"/>
  <c r="DO584"/>
  <c r="BN584" s="1"/>
  <c r="DO610"/>
  <c r="BN610" s="1"/>
  <c r="DO592"/>
  <c r="BN592" s="1"/>
  <c r="DO613"/>
  <c r="BN613" s="1"/>
  <c r="CQ578"/>
  <c r="AP578" s="1"/>
  <c r="CQ574"/>
  <c r="AP574" s="1"/>
  <c r="CQ590"/>
  <c r="AP590" s="1"/>
  <c r="CQ601"/>
  <c r="AP601" s="1"/>
  <c r="CQ593"/>
  <c r="AP593" s="1"/>
  <c r="CQ589"/>
  <c r="AP589" s="1"/>
  <c r="CQ571"/>
  <c r="AP571" s="1"/>
  <c r="CQ609"/>
  <c r="AP609" s="1"/>
  <c r="CQ604"/>
  <c r="AP604" s="1"/>
  <c r="CQ567"/>
  <c r="AP567" s="1"/>
  <c r="CQ569"/>
  <c r="AP569" s="1"/>
  <c r="CQ575"/>
  <c r="AP575" s="1"/>
  <c r="CQ580"/>
  <c r="AP580" s="1"/>
  <c r="CQ600"/>
  <c r="AP600" s="1"/>
  <c r="CQ576"/>
  <c r="AP576" s="1"/>
  <c r="CQ599"/>
  <c r="AP599" s="1"/>
  <c r="CQ611"/>
  <c r="AP611" s="1"/>
  <c r="CQ583"/>
  <c r="AP583" s="1"/>
  <c r="CQ581"/>
  <c r="AP581" s="1"/>
  <c r="CQ568"/>
  <c r="AP568" s="1"/>
  <c r="CQ587"/>
  <c r="AP587" s="1"/>
  <c r="CQ607"/>
  <c r="AP607" s="1"/>
  <c r="CQ579"/>
  <c r="AP579" s="1"/>
  <c r="CQ592"/>
  <c r="AP592" s="1"/>
  <c r="CQ595"/>
  <c r="AP595" s="1"/>
  <c r="CQ596"/>
  <c r="AP596" s="1"/>
  <c r="CQ598"/>
  <c r="AP598" s="1"/>
  <c r="CQ577"/>
  <c r="AP577" s="1"/>
  <c r="CQ566"/>
  <c r="AP566" s="1"/>
  <c r="CQ573"/>
  <c r="AP573" s="1"/>
  <c r="CQ612"/>
  <c r="AP612" s="1"/>
  <c r="CQ603"/>
  <c r="AP603" s="1"/>
  <c r="CQ570"/>
  <c r="AP570" s="1"/>
  <c r="CQ608"/>
  <c r="AP608" s="1"/>
  <c r="CQ565"/>
  <c r="AP565" s="1"/>
  <c r="CQ585"/>
  <c r="AP585" s="1"/>
  <c r="CQ606"/>
  <c r="AP606" s="1"/>
  <c r="CQ605"/>
  <c r="AP605" s="1"/>
  <c r="CQ610"/>
  <c r="AP610" s="1"/>
  <c r="CQ586"/>
  <c r="AP586" s="1"/>
  <c r="CQ588"/>
  <c r="CQ591"/>
  <c r="AP591" s="1"/>
  <c r="CQ584"/>
  <c r="AP584" s="1"/>
  <c r="CQ597"/>
  <c r="AP597" s="1"/>
  <c r="CQ564"/>
  <c r="AP564" s="1"/>
  <c r="CQ602"/>
  <c r="AP602" s="1"/>
  <c r="CQ582"/>
  <c r="AP582" s="1"/>
  <c r="CQ572"/>
  <c r="AP572" s="1"/>
  <c r="CQ613"/>
  <c r="AP613" s="1"/>
  <c r="CQ594"/>
  <c r="AP594" s="1"/>
  <c r="DQ612"/>
  <c r="BP612" s="1"/>
  <c r="DQ574"/>
  <c r="BP574" s="1"/>
  <c r="DQ609"/>
  <c r="BP609" s="1"/>
  <c r="DQ582"/>
  <c r="BP582" s="1"/>
  <c r="DQ567"/>
  <c r="BP567" s="1"/>
  <c r="DQ597"/>
  <c r="BP597" s="1"/>
  <c r="DQ605"/>
  <c r="BP605" s="1"/>
  <c r="DQ587"/>
  <c r="BP587" s="1"/>
  <c r="DQ601"/>
  <c r="BP601" s="1"/>
  <c r="DQ576"/>
  <c r="BP576" s="1"/>
  <c r="DQ580"/>
  <c r="BP580" s="1"/>
  <c r="DQ604"/>
  <c r="BP604" s="1"/>
  <c r="DQ610"/>
  <c r="BP610" s="1"/>
  <c r="DQ598"/>
  <c r="BP598" s="1"/>
  <c r="DQ579"/>
  <c r="BP579" s="1"/>
  <c r="DQ585"/>
  <c r="BP585" s="1"/>
  <c r="DQ607"/>
  <c r="BP607" s="1"/>
  <c r="DQ572"/>
  <c r="BP572" s="1"/>
  <c r="DQ586"/>
  <c r="BP586" s="1"/>
  <c r="DQ608"/>
  <c r="BP608" s="1"/>
  <c r="DQ581"/>
  <c r="BP581" s="1"/>
  <c r="DQ595"/>
  <c r="BP595" s="1"/>
  <c r="DQ584"/>
  <c r="BP584" s="1"/>
  <c r="DQ593"/>
  <c r="BP593" s="1"/>
  <c r="DQ575"/>
  <c r="BP575" s="1"/>
  <c r="DQ603"/>
  <c r="BP603" s="1"/>
  <c r="DQ589"/>
  <c r="BP589" s="1"/>
  <c r="DQ570"/>
  <c r="BP570" s="1"/>
  <c r="DQ613"/>
  <c r="BP613" s="1"/>
  <c r="DQ606"/>
  <c r="BP606" s="1"/>
  <c r="DQ602"/>
  <c r="BP602" s="1"/>
  <c r="DQ588"/>
  <c r="BP588" s="1"/>
  <c r="DQ583"/>
  <c r="BP583" s="1"/>
  <c r="DQ566"/>
  <c r="BP566" s="1"/>
  <c r="DQ569"/>
  <c r="BP569" s="1"/>
  <c r="DQ590"/>
  <c r="BP590" s="1"/>
  <c r="DQ600"/>
  <c r="BP600" s="1"/>
  <c r="DQ571"/>
  <c r="BP571" s="1"/>
  <c r="DQ564"/>
  <c r="BP564" s="1"/>
  <c r="DQ578"/>
  <c r="BP578" s="1"/>
  <c r="DQ596"/>
  <c r="BP596" s="1"/>
  <c r="DQ577"/>
  <c r="BP577" s="1"/>
  <c r="DQ591"/>
  <c r="BP591" s="1"/>
  <c r="DQ568"/>
  <c r="BP568" s="1"/>
  <c r="DQ594"/>
  <c r="BP594" s="1"/>
  <c r="DQ592"/>
  <c r="BP592" s="1"/>
  <c r="DQ611"/>
  <c r="BP611" s="1"/>
  <c r="DQ565"/>
  <c r="BP565" s="1"/>
  <c r="DQ573"/>
  <c r="BP573" s="1"/>
  <c r="DQ599"/>
  <c r="BP599" s="1"/>
  <c r="AP588"/>
  <c r="DJ598"/>
  <c r="BI598" s="1"/>
  <c r="DJ577"/>
  <c r="BI577" s="1"/>
  <c r="DJ582"/>
  <c r="BI582" s="1"/>
  <c r="DJ592"/>
  <c r="BI592" s="1"/>
  <c r="DJ593"/>
  <c r="BI593" s="1"/>
  <c r="DJ576"/>
  <c r="BI576" s="1"/>
  <c r="DJ572"/>
  <c r="BI572" s="1"/>
  <c r="DJ579"/>
  <c r="BI579" s="1"/>
  <c r="DJ573"/>
  <c r="BI573" s="1"/>
  <c r="DJ567"/>
  <c r="BI567" s="1"/>
  <c r="DJ613"/>
  <c r="BI613" s="1"/>
  <c r="DJ606"/>
  <c r="BI606" s="1"/>
  <c r="DJ565"/>
  <c r="BI565" s="1"/>
  <c r="DJ611"/>
  <c r="BI611" s="1"/>
  <c r="DJ607"/>
  <c r="BI607" s="1"/>
  <c r="DJ596"/>
  <c r="BI596" s="1"/>
  <c r="DJ578"/>
  <c r="BI578" s="1"/>
  <c r="DJ600"/>
  <c r="BI600" s="1"/>
  <c r="DJ601"/>
  <c r="BI601" s="1"/>
  <c r="DJ571"/>
  <c r="BI571" s="1"/>
  <c r="DJ594"/>
  <c r="BI594" s="1"/>
  <c r="DJ570"/>
  <c r="BI570" s="1"/>
  <c r="DJ588"/>
  <c r="BI588" s="1"/>
  <c r="DJ603"/>
  <c r="BI603" s="1"/>
  <c r="DJ564"/>
  <c r="BI564" s="1"/>
  <c r="DJ574"/>
  <c r="BI574" s="1"/>
  <c r="DJ581"/>
  <c r="BI581" s="1"/>
  <c r="DJ587"/>
  <c r="BI587" s="1"/>
  <c r="DJ568"/>
  <c r="BI568" s="1"/>
  <c r="DJ583"/>
  <c r="BI583" s="1"/>
  <c r="DJ605"/>
  <c r="BI605" s="1"/>
  <c r="DJ609"/>
  <c r="BI609" s="1"/>
  <c r="DJ580"/>
  <c r="BI580" s="1"/>
  <c r="DJ602"/>
  <c r="BI602" s="1"/>
  <c r="DJ599"/>
  <c r="BI599" s="1"/>
  <c r="DJ604"/>
  <c r="BI604" s="1"/>
  <c r="DJ595"/>
  <c r="BI595" s="1"/>
  <c r="DJ597"/>
  <c r="BI597" s="1"/>
  <c r="DJ585"/>
  <c r="BI585" s="1"/>
  <c r="DJ586"/>
  <c r="BI586" s="1"/>
  <c r="DJ575"/>
  <c r="BI575" s="1"/>
  <c r="DJ591"/>
  <c r="BI591" s="1"/>
  <c r="DJ569"/>
  <c r="BI569" s="1"/>
  <c r="DJ566"/>
  <c r="BI566" s="1"/>
  <c r="DJ584"/>
  <c r="BI584" s="1"/>
  <c r="DJ608"/>
  <c r="BI608" s="1"/>
  <c r="DJ589"/>
  <c r="BI589" s="1"/>
  <c r="DJ612"/>
  <c r="BI612" s="1"/>
  <c r="DJ610"/>
  <c r="BI610" s="1"/>
  <c r="DJ590"/>
  <c r="BI590" s="1"/>
  <c r="GG174"/>
  <c r="GK220"/>
  <c r="GE210"/>
  <c r="GE212"/>
  <c r="GE214"/>
  <c r="GE211"/>
  <c r="GE213"/>
  <c r="GJ220"/>
  <c r="GS220"/>
  <c r="CE580"/>
  <c r="AD580" s="1"/>
  <c r="CE586"/>
  <c r="AD586" s="1"/>
  <c r="CE594"/>
  <c r="AD594" s="1"/>
  <c r="CE581"/>
  <c r="AD581" s="1"/>
  <c r="CE588"/>
  <c r="AD588" s="1"/>
  <c r="CE603"/>
  <c r="AD603" s="1"/>
  <c r="CE571"/>
  <c r="AD571" s="1"/>
  <c r="CE610"/>
  <c r="AD610" s="1"/>
  <c r="CE566"/>
  <c r="AD566" s="1"/>
  <c r="CE604"/>
  <c r="AD604" s="1"/>
  <c r="CE587"/>
  <c r="AD587" s="1"/>
  <c r="CE589"/>
  <c r="AD589" s="1"/>
  <c r="CE593"/>
  <c r="AD593" s="1"/>
  <c r="CE564"/>
  <c r="AD564" s="1"/>
  <c r="CE591"/>
  <c r="AD591" s="1"/>
  <c r="CE613"/>
  <c r="AD613" s="1"/>
  <c r="CE592"/>
  <c r="AD592" s="1"/>
  <c r="CE573"/>
  <c r="AD573" s="1"/>
  <c r="CE611"/>
  <c r="AD611" s="1"/>
  <c r="CE602"/>
  <c r="AD602" s="1"/>
  <c r="CE577"/>
  <c r="AD577" s="1"/>
  <c r="CE583"/>
  <c r="AD583" s="1"/>
  <c r="CE590"/>
  <c r="AD590" s="1"/>
  <c r="CE575"/>
  <c r="AD575" s="1"/>
  <c r="CE599"/>
  <c r="AD599" s="1"/>
  <c r="CE565"/>
  <c r="AD565" s="1"/>
  <c r="CE572"/>
  <c r="AD572" s="1"/>
  <c r="CE584"/>
  <c r="AD584" s="1"/>
  <c r="CE585"/>
  <c r="AD585" s="1"/>
  <c r="CE582"/>
  <c r="AD582" s="1"/>
  <c r="CE606"/>
  <c r="AD606" s="1"/>
  <c r="CE600"/>
  <c r="AD600" s="1"/>
  <c r="CE595"/>
  <c r="AD595" s="1"/>
  <c r="CE567"/>
  <c r="AD567" s="1"/>
  <c r="CE579"/>
  <c r="AD579" s="1"/>
  <c r="CE578"/>
  <c r="AD578" s="1"/>
  <c r="CE568"/>
  <c r="AD568" s="1"/>
  <c r="CE608"/>
  <c r="AD608" s="1"/>
  <c r="CE569"/>
  <c r="AD569" s="1"/>
  <c r="CE574"/>
  <c r="AD574" s="1"/>
  <c r="CE597"/>
  <c r="AD597" s="1"/>
  <c r="CE570"/>
  <c r="AD570" s="1"/>
  <c r="CE605"/>
  <c r="AD605" s="1"/>
  <c r="CE576"/>
  <c r="AD576" s="1"/>
  <c r="CE596"/>
  <c r="AD596" s="1"/>
  <c r="CE598"/>
  <c r="AD598" s="1"/>
  <c r="CE601"/>
  <c r="AD601" s="1"/>
  <c r="CE607"/>
  <c r="AD607" s="1"/>
  <c r="CE612"/>
  <c r="AD612" s="1"/>
  <c r="CE609"/>
  <c r="AD609" s="1"/>
  <c r="CH584"/>
  <c r="AG584" s="1"/>
  <c r="CH571"/>
  <c r="AG571" s="1"/>
  <c r="CH578"/>
  <c r="AG578" s="1"/>
  <c r="CH610"/>
  <c r="AG610" s="1"/>
  <c r="CH568"/>
  <c r="AG568" s="1"/>
  <c r="CH593"/>
  <c r="AG593" s="1"/>
  <c r="CH601"/>
  <c r="AG601" s="1"/>
  <c r="CH564"/>
  <c r="CH569"/>
  <c r="AG569" s="1"/>
  <c r="CH589"/>
  <c r="AG589" s="1"/>
  <c r="CH580"/>
  <c r="AG580" s="1"/>
  <c r="CH582"/>
  <c r="AG582" s="1"/>
  <c r="CH567"/>
  <c r="AG567" s="1"/>
  <c r="CH587"/>
  <c r="AG587" s="1"/>
  <c r="CH597"/>
  <c r="AG597" s="1"/>
  <c r="CH592"/>
  <c r="AG592" s="1"/>
  <c r="CH581"/>
  <c r="AG581" s="1"/>
  <c r="CH574"/>
  <c r="AG574" s="1"/>
  <c r="CH608"/>
  <c r="AG608" s="1"/>
  <c r="CH591"/>
  <c r="AG591" s="1"/>
  <c r="CH602"/>
  <c r="AG602" s="1"/>
  <c r="CH565"/>
  <c r="AG565" s="1"/>
  <c r="CH599"/>
  <c r="AG599" s="1"/>
  <c r="CH595"/>
  <c r="AG595" s="1"/>
  <c r="CH613"/>
  <c r="AG613" s="1"/>
  <c r="CH585"/>
  <c r="AG585" s="1"/>
  <c r="CH572"/>
  <c r="AG572" s="1"/>
  <c r="CH604"/>
  <c r="AG604" s="1"/>
  <c r="CH603"/>
  <c r="AG603" s="1"/>
  <c r="CH586"/>
  <c r="AG586" s="1"/>
  <c r="CH612"/>
  <c r="AG612" s="1"/>
  <c r="CH577"/>
  <c r="AG577" s="1"/>
  <c r="CH609"/>
  <c r="AG609" s="1"/>
  <c r="CH605"/>
  <c r="AG605" s="1"/>
  <c r="CH566"/>
  <c r="CH596"/>
  <c r="AG596" s="1"/>
  <c r="CH570"/>
  <c r="AG570" s="1"/>
  <c r="CH594"/>
  <c r="AG594" s="1"/>
  <c r="CH600"/>
  <c r="AG600" s="1"/>
  <c r="CH576"/>
  <c r="AG576" s="1"/>
  <c r="CH575"/>
  <c r="AG575" s="1"/>
  <c r="CH606"/>
  <c r="AG606" s="1"/>
  <c r="CH573"/>
  <c r="AG573" s="1"/>
  <c r="CH611"/>
  <c r="AG611" s="1"/>
  <c r="CH583"/>
  <c r="AG583" s="1"/>
  <c r="CH588"/>
  <c r="AG588" s="1"/>
  <c r="CH579"/>
  <c r="AG579" s="1"/>
  <c r="CH598"/>
  <c r="AG598" s="1"/>
  <c r="CH590"/>
  <c r="AG590" s="1"/>
  <c r="CH607"/>
  <c r="AG607" s="1"/>
  <c r="AG566"/>
  <c r="AG564"/>
  <c r="CO611"/>
  <c r="AN611" s="1"/>
  <c r="CO569"/>
  <c r="AN569" s="1"/>
  <c r="CO573"/>
  <c r="AN573" s="1"/>
  <c r="CO565"/>
  <c r="AN565" s="1"/>
  <c r="CO575"/>
  <c r="AN575" s="1"/>
  <c r="CO605"/>
  <c r="AN605" s="1"/>
  <c r="CO586"/>
  <c r="AN586" s="1"/>
  <c r="CO564"/>
  <c r="AN564" s="1"/>
  <c r="CO612"/>
  <c r="AN612" s="1"/>
  <c r="CO590"/>
  <c r="AN590" s="1"/>
  <c r="CO608"/>
  <c r="AN608" s="1"/>
  <c r="CO585"/>
  <c r="AN585" s="1"/>
  <c r="CO566"/>
  <c r="AN566" s="1"/>
  <c r="CO568"/>
  <c r="AN568" s="1"/>
  <c r="CO597"/>
  <c r="AN597" s="1"/>
  <c r="CO595"/>
  <c r="AN595" s="1"/>
  <c r="CO581"/>
  <c r="AN581" s="1"/>
  <c r="CO582"/>
  <c r="AN582" s="1"/>
  <c r="CO577"/>
  <c r="AN577" s="1"/>
  <c r="CO596"/>
  <c r="AN596" s="1"/>
  <c r="CO598"/>
  <c r="AN598" s="1"/>
  <c r="CO604"/>
  <c r="AN604" s="1"/>
  <c r="CO579"/>
  <c r="AN579" s="1"/>
  <c r="CO591"/>
  <c r="AN591" s="1"/>
  <c r="CO599"/>
  <c r="AN599" s="1"/>
  <c r="CO588"/>
  <c r="AN588" s="1"/>
  <c r="CO584"/>
  <c r="AN584" s="1"/>
  <c r="CO592"/>
  <c r="AN592" s="1"/>
  <c r="CO594"/>
  <c r="AN594" s="1"/>
  <c r="CO603"/>
  <c r="AN603" s="1"/>
  <c r="CO571"/>
  <c r="AN571" s="1"/>
  <c r="CO601"/>
  <c r="AN601" s="1"/>
  <c r="CO580"/>
  <c r="AN580" s="1"/>
  <c r="CO600"/>
  <c r="AN600" s="1"/>
  <c r="CO576"/>
  <c r="AN576" s="1"/>
  <c r="CO567"/>
  <c r="AN567" s="1"/>
  <c r="CO572"/>
  <c r="AN572" s="1"/>
  <c r="CO606"/>
  <c r="AN606" s="1"/>
  <c r="CO602"/>
  <c r="AN602" s="1"/>
  <c r="CO593"/>
  <c r="AN593" s="1"/>
  <c r="CO610"/>
  <c r="AN610" s="1"/>
  <c r="CO583"/>
  <c r="AN583" s="1"/>
  <c r="CO570"/>
  <c r="AN570" s="1"/>
  <c r="CO589"/>
  <c r="AN589" s="1"/>
  <c r="CO574"/>
  <c r="AN574" s="1"/>
  <c r="CO587"/>
  <c r="AN587" s="1"/>
  <c r="CO578"/>
  <c r="AN578" s="1"/>
  <c r="CO607"/>
  <c r="AN607" s="1"/>
  <c r="CO609"/>
  <c r="AN609" s="1"/>
  <c r="CO613"/>
  <c r="AN613" s="1"/>
  <c r="DH579"/>
  <c r="BG579" s="1"/>
  <c r="DH612"/>
  <c r="BG612" s="1"/>
  <c r="DH600"/>
  <c r="BG600" s="1"/>
  <c r="DH610"/>
  <c r="BG610" s="1"/>
  <c r="DH587"/>
  <c r="BG587" s="1"/>
  <c r="DH595"/>
  <c r="BG595" s="1"/>
  <c r="DH589"/>
  <c r="BG589" s="1"/>
  <c r="DH613"/>
  <c r="BG613" s="1"/>
  <c r="DH604"/>
  <c r="BG604" s="1"/>
  <c r="DH575"/>
  <c r="BG575" s="1"/>
  <c r="DH598"/>
  <c r="BG598" s="1"/>
  <c r="DH603"/>
  <c r="BG603" s="1"/>
  <c r="DH593"/>
  <c r="BG593" s="1"/>
  <c r="DH599"/>
  <c r="BG599" s="1"/>
  <c r="DH570"/>
  <c r="BG570" s="1"/>
  <c r="DH591"/>
  <c r="BG591" s="1"/>
  <c r="DH564"/>
  <c r="BG564" s="1"/>
  <c r="DH586"/>
  <c r="BG586" s="1"/>
  <c r="DH574"/>
  <c r="BG574" s="1"/>
  <c r="DH609"/>
  <c r="BG609" s="1"/>
  <c r="DH607"/>
  <c r="BG607" s="1"/>
  <c r="DH571"/>
  <c r="BG571" s="1"/>
  <c r="DH572"/>
  <c r="BG572" s="1"/>
  <c r="DH606"/>
  <c r="BG606" s="1"/>
  <c r="DH577"/>
  <c r="BG577" s="1"/>
  <c r="DH585"/>
  <c r="BG585" s="1"/>
  <c r="DH567"/>
  <c r="BG567" s="1"/>
  <c r="DH588"/>
  <c r="BG588" s="1"/>
  <c r="DH597"/>
  <c r="BG597" s="1"/>
  <c r="DH568"/>
  <c r="BG568" s="1"/>
  <c r="DH582"/>
  <c r="BG582" s="1"/>
  <c r="DH590"/>
  <c r="BG590" s="1"/>
  <c r="DH602"/>
  <c r="BG602" s="1"/>
  <c r="DH611"/>
  <c r="BG611" s="1"/>
  <c r="DH580"/>
  <c r="BG580" s="1"/>
  <c r="DH592"/>
  <c r="BG592" s="1"/>
  <c r="DH581"/>
  <c r="BG581" s="1"/>
  <c r="DH578"/>
  <c r="BG578" s="1"/>
  <c r="DH576"/>
  <c r="BG576" s="1"/>
  <c r="DH573"/>
  <c r="BG573" s="1"/>
  <c r="DH601"/>
  <c r="BG601" s="1"/>
  <c r="DH583"/>
  <c r="BG583" s="1"/>
  <c r="DH608"/>
  <c r="BG608" s="1"/>
  <c r="DH596"/>
  <c r="BG596" s="1"/>
  <c r="DH569"/>
  <c r="BG569" s="1"/>
  <c r="DH565"/>
  <c r="BG565" s="1"/>
  <c r="DH566"/>
  <c r="BG566" s="1"/>
  <c r="DH584"/>
  <c r="BG584" s="1"/>
  <c r="DH605"/>
  <c r="BG605" s="1"/>
  <c r="DH594"/>
  <c r="BG594" s="1"/>
  <c r="CI607"/>
  <c r="AH607" s="1"/>
  <c r="CI567"/>
  <c r="AH567" s="1"/>
  <c r="CI566"/>
  <c r="AH566" s="1"/>
  <c r="CI582"/>
  <c r="AH582" s="1"/>
  <c r="CI606"/>
  <c r="AH606" s="1"/>
  <c r="CI604"/>
  <c r="AH604" s="1"/>
  <c r="CI592"/>
  <c r="AH592" s="1"/>
  <c r="CI601"/>
  <c r="AH601" s="1"/>
  <c r="CI575"/>
  <c r="AH575" s="1"/>
  <c r="CI580"/>
  <c r="AH580" s="1"/>
  <c r="CI612"/>
  <c r="AH612" s="1"/>
  <c r="CI596"/>
  <c r="AH596" s="1"/>
  <c r="CI588"/>
  <c r="AH588" s="1"/>
  <c r="CI579"/>
  <c r="AH579" s="1"/>
  <c r="CI608"/>
  <c r="AH608" s="1"/>
  <c r="CI578"/>
  <c r="AH578" s="1"/>
  <c r="CI583"/>
  <c r="AH583" s="1"/>
  <c r="CI585"/>
  <c r="AH585" s="1"/>
  <c r="CI571"/>
  <c r="AH571" s="1"/>
  <c r="CI609"/>
  <c r="AH609" s="1"/>
  <c r="CI569"/>
  <c r="AH569" s="1"/>
  <c r="CI572"/>
  <c r="AH572" s="1"/>
  <c r="CI587"/>
  <c r="AH587" s="1"/>
  <c r="CI594"/>
  <c r="AH594" s="1"/>
  <c r="CI570"/>
  <c r="AH570" s="1"/>
  <c r="CI581"/>
  <c r="AH581" s="1"/>
  <c r="CI598"/>
  <c r="AH598" s="1"/>
  <c r="CI605"/>
  <c r="AH605" s="1"/>
  <c r="CI610"/>
  <c r="AH610" s="1"/>
  <c r="CI576"/>
  <c r="AH576" s="1"/>
  <c r="CI600"/>
  <c r="AH600" s="1"/>
  <c r="CI574"/>
  <c r="AH574" s="1"/>
  <c r="CI564"/>
  <c r="AH564" s="1"/>
  <c r="CI602"/>
  <c r="AH602" s="1"/>
  <c r="CI573"/>
  <c r="AH573" s="1"/>
  <c r="CI565"/>
  <c r="AH565" s="1"/>
  <c r="CI593"/>
  <c r="AH593" s="1"/>
  <c r="CI577"/>
  <c r="AH577" s="1"/>
  <c r="CI590"/>
  <c r="AH590" s="1"/>
  <c r="CI597"/>
  <c r="AH597" s="1"/>
  <c r="CI611"/>
  <c r="AH611" s="1"/>
  <c r="CI603"/>
  <c r="AH603" s="1"/>
  <c r="CI591"/>
  <c r="AH591" s="1"/>
  <c r="CI584"/>
  <c r="AH584" s="1"/>
  <c r="CI589"/>
  <c r="AH589" s="1"/>
  <c r="CI568"/>
  <c r="AH568" s="1"/>
  <c r="CI613"/>
  <c r="AH613" s="1"/>
  <c r="CI599"/>
  <c r="AH599" s="1"/>
  <c r="CI586"/>
  <c r="AH586" s="1"/>
  <c r="CI595"/>
  <c r="AH595" s="1"/>
  <c r="CS583"/>
  <c r="AR583" s="1"/>
  <c r="CS589"/>
  <c r="AR589" s="1"/>
  <c r="CS575"/>
  <c r="AR575" s="1"/>
  <c r="CS564"/>
  <c r="AR564" s="1"/>
  <c r="CS579"/>
  <c r="AR579" s="1"/>
  <c r="CS598"/>
  <c r="AR598" s="1"/>
  <c r="CS586"/>
  <c r="AR586" s="1"/>
  <c r="CS602"/>
  <c r="AR602" s="1"/>
  <c r="CS599"/>
  <c r="AR599" s="1"/>
  <c r="CS595"/>
  <c r="AR595" s="1"/>
  <c r="CS597"/>
  <c r="AR597" s="1"/>
  <c r="CS592"/>
  <c r="AR592" s="1"/>
  <c r="CS566"/>
  <c r="AR566" s="1"/>
  <c r="CS593"/>
  <c r="AR593" s="1"/>
  <c r="CS594"/>
  <c r="AR594" s="1"/>
  <c r="CS576"/>
  <c r="AR576" s="1"/>
  <c r="CS571"/>
  <c r="AR571" s="1"/>
  <c r="CS609"/>
  <c r="AR609" s="1"/>
  <c r="CS607"/>
  <c r="AR607" s="1"/>
  <c r="CS577"/>
  <c r="AR577" s="1"/>
  <c r="CS605"/>
  <c r="AR605" s="1"/>
  <c r="CS591"/>
  <c r="AR591" s="1"/>
  <c r="CS573"/>
  <c r="AR573" s="1"/>
  <c r="CS603"/>
  <c r="AR603" s="1"/>
  <c r="CS601"/>
  <c r="AR601" s="1"/>
  <c r="CS578"/>
  <c r="AR578" s="1"/>
  <c r="CS606"/>
  <c r="AR606" s="1"/>
  <c r="CS580"/>
  <c r="AR580" s="1"/>
  <c r="CS572"/>
  <c r="AR572" s="1"/>
  <c r="CS588"/>
  <c r="AR588" s="1"/>
  <c r="CS585"/>
  <c r="AR585" s="1"/>
  <c r="CS582"/>
  <c r="AR582" s="1"/>
  <c r="CS600"/>
  <c r="AR600" s="1"/>
  <c r="CS568"/>
  <c r="AR568" s="1"/>
  <c r="CS612"/>
  <c r="AR612" s="1"/>
  <c r="CS610"/>
  <c r="AR610" s="1"/>
  <c r="CS569"/>
  <c r="AR569" s="1"/>
  <c r="CS565"/>
  <c r="AR565" s="1"/>
  <c r="CS584"/>
  <c r="AR584" s="1"/>
  <c r="CS587"/>
  <c r="AR587" s="1"/>
  <c r="CS590"/>
  <c r="AR590" s="1"/>
  <c r="CS613"/>
  <c r="AR613" s="1"/>
  <c r="CS604"/>
  <c r="AR604" s="1"/>
  <c r="CS596"/>
  <c r="AR596" s="1"/>
  <c r="CS608"/>
  <c r="AR608" s="1"/>
  <c r="CS611"/>
  <c r="AR611" s="1"/>
  <c r="CS570"/>
  <c r="AR570" s="1"/>
  <c r="CS581"/>
  <c r="AR581" s="1"/>
  <c r="CS567"/>
  <c r="AR567" s="1"/>
  <c r="CS574"/>
  <c r="AR574" s="1"/>
  <c r="CL565"/>
  <c r="AK565" s="1"/>
  <c r="CL584"/>
  <c r="AK584" s="1"/>
  <c r="CL613"/>
  <c r="AK613" s="1"/>
  <c r="CL608"/>
  <c r="AK608" s="1"/>
  <c r="CL576"/>
  <c r="AK576" s="1"/>
  <c r="CL609"/>
  <c r="AK609" s="1"/>
  <c r="CL596"/>
  <c r="AK596" s="1"/>
  <c r="CL580"/>
  <c r="AK580" s="1"/>
  <c r="CL583"/>
  <c r="AK583" s="1"/>
  <c r="CL569"/>
  <c r="AK569" s="1"/>
  <c r="CL572"/>
  <c r="AK572" s="1"/>
  <c r="CL586"/>
  <c r="AK586" s="1"/>
  <c r="CL607"/>
  <c r="AK607" s="1"/>
  <c r="CL582"/>
  <c r="AK582" s="1"/>
  <c r="CL589"/>
  <c r="AK589" s="1"/>
  <c r="CL606"/>
  <c r="AK606" s="1"/>
  <c r="CL587"/>
  <c r="AK587" s="1"/>
  <c r="CL598"/>
  <c r="AK598" s="1"/>
  <c r="CL592"/>
  <c r="AK592" s="1"/>
  <c r="CL601"/>
  <c r="AK601" s="1"/>
  <c r="CL611"/>
  <c r="AK611" s="1"/>
  <c r="CL571"/>
  <c r="AK571" s="1"/>
  <c r="CL593"/>
  <c r="AK593" s="1"/>
  <c r="CL573"/>
  <c r="AK573" s="1"/>
  <c r="CL602"/>
  <c r="AK602" s="1"/>
  <c r="CL591"/>
  <c r="AK591" s="1"/>
  <c r="CL588"/>
  <c r="AK588" s="1"/>
  <c r="CL603"/>
  <c r="AK603" s="1"/>
  <c r="CL581"/>
  <c r="AK581" s="1"/>
  <c r="CL590"/>
  <c r="AK590" s="1"/>
  <c r="CL585"/>
  <c r="AK585" s="1"/>
  <c r="CL595"/>
  <c r="AK595" s="1"/>
  <c r="CL594"/>
  <c r="AK594" s="1"/>
  <c r="CL568"/>
  <c r="AK568" s="1"/>
  <c r="CL570"/>
  <c r="AK570" s="1"/>
  <c r="CL597"/>
  <c r="AK597" s="1"/>
  <c r="CL575"/>
  <c r="AK575" s="1"/>
  <c r="CL605"/>
  <c r="AK605" s="1"/>
  <c r="CL566"/>
  <c r="AK566" s="1"/>
  <c r="CL574"/>
  <c r="AK574" s="1"/>
  <c r="CL577"/>
  <c r="AK577" s="1"/>
  <c r="CL604"/>
  <c r="AK604" s="1"/>
  <c r="CL567"/>
  <c r="AK567" s="1"/>
  <c r="CL600"/>
  <c r="AK600" s="1"/>
  <c r="CL599"/>
  <c r="AK599" s="1"/>
  <c r="CL610"/>
  <c r="AK610" s="1"/>
  <c r="CL578"/>
  <c r="AK578" s="1"/>
  <c r="CL612"/>
  <c r="AK612" s="1"/>
  <c r="CL579"/>
  <c r="AK579" s="1"/>
  <c r="CL564"/>
  <c r="AK564" s="1"/>
  <c r="DS608"/>
  <c r="BR608" s="1"/>
  <c r="DS565"/>
  <c r="BR565" s="1"/>
  <c r="DS585"/>
  <c r="BR585" s="1"/>
  <c r="DS592"/>
  <c r="BR592" s="1"/>
  <c r="DS584"/>
  <c r="BR584" s="1"/>
  <c r="DS606"/>
  <c r="BR606" s="1"/>
  <c r="DS605"/>
  <c r="BR605" s="1"/>
  <c r="DS580"/>
  <c r="BR580" s="1"/>
  <c r="DS591"/>
  <c r="BR591" s="1"/>
  <c r="DS603"/>
  <c r="BR603" s="1"/>
  <c r="DS578"/>
  <c r="BR578" s="1"/>
  <c r="DS599"/>
  <c r="BR599" s="1"/>
  <c r="DS589"/>
  <c r="BR589" s="1"/>
  <c r="DS576"/>
  <c r="BR576" s="1"/>
  <c r="DS604"/>
  <c r="BR604" s="1"/>
  <c r="DS579"/>
  <c r="BR579" s="1"/>
  <c r="DS582"/>
  <c r="BR582" s="1"/>
  <c r="DS572"/>
  <c r="BR572" s="1"/>
  <c r="DS574"/>
  <c r="BR574" s="1"/>
  <c r="DS595"/>
  <c r="BR595" s="1"/>
  <c r="DS596"/>
  <c r="BR596" s="1"/>
  <c r="DS610"/>
  <c r="BR610" s="1"/>
  <c r="DS575"/>
  <c r="BR575" s="1"/>
  <c r="DS598"/>
  <c r="BR598" s="1"/>
  <c r="DS569"/>
  <c r="BR569" s="1"/>
  <c r="DS587"/>
  <c r="BR587" s="1"/>
  <c r="DS612"/>
  <c r="BR612" s="1"/>
  <c r="DS600"/>
  <c r="BR600" s="1"/>
  <c r="DS581"/>
  <c r="BR581" s="1"/>
  <c r="DS590"/>
  <c r="BR590" s="1"/>
  <c r="DS609"/>
  <c r="BR609" s="1"/>
  <c r="DS571"/>
  <c r="BR571" s="1"/>
  <c r="DS597"/>
  <c r="BR597" s="1"/>
  <c r="DS573"/>
  <c r="BR573" s="1"/>
  <c r="DS583"/>
  <c r="BR583" s="1"/>
  <c r="DS577"/>
  <c r="BR577" s="1"/>
  <c r="DS593"/>
  <c r="BR593" s="1"/>
  <c r="DS594"/>
  <c r="BR594" s="1"/>
  <c r="DS601"/>
  <c r="BR601" s="1"/>
  <c r="DS564"/>
  <c r="BR564" s="1"/>
  <c r="DS586"/>
  <c r="BR586" s="1"/>
  <c r="DS607"/>
  <c r="BR607" s="1"/>
  <c r="DS613"/>
  <c r="BR613" s="1"/>
  <c r="DS588"/>
  <c r="BR588" s="1"/>
  <c r="DS602"/>
  <c r="BR602" s="1"/>
  <c r="DS567"/>
  <c r="BR567" s="1"/>
  <c r="DS611"/>
  <c r="BR611" s="1"/>
  <c r="DS570"/>
  <c r="BR570" s="1"/>
  <c r="DS566"/>
  <c r="BR566" s="1"/>
  <c r="DS568"/>
  <c r="BR568" s="1"/>
  <c r="DB612"/>
  <c r="BA612" s="1"/>
  <c r="DB569"/>
  <c r="BA569" s="1"/>
  <c r="DB599"/>
  <c r="BA599" s="1"/>
  <c r="DB579"/>
  <c r="BA579" s="1"/>
  <c r="DB596"/>
  <c r="BA596" s="1"/>
  <c r="DB575"/>
  <c r="BA575" s="1"/>
  <c r="DB565"/>
  <c r="BA565" s="1"/>
  <c r="DB590"/>
  <c r="BA590" s="1"/>
  <c r="DB606"/>
  <c r="BA606" s="1"/>
  <c r="DB574"/>
  <c r="BA574" s="1"/>
  <c r="DB578"/>
  <c r="BA578" s="1"/>
  <c r="DB584"/>
  <c r="BA584" s="1"/>
  <c r="DB610"/>
  <c r="BA610" s="1"/>
  <c r="DB603"/>
  <c r="BA603" s="1"/>
  <c r="DB595"/>
  <c r="BA595" s="1"/>
  <c r="DB589"/>
  <c r="BA589" s="1"/>
  <c r="DB608"/>
  <c r="BA608" s="1"/>
  <c r="DB566"/>
  <c r="BA566" s="1"/>
  <c r="DB568"/>
  <c r="BA568" s="1"/>
  <c r="DB605"/>
  <c r="BA605" s="1"/>
  <c r="DB583"/>
  <c r="BA583" s="1"/>
  <c r="DB593"/>
  <c r="BA593" s="1"/>
  <c r="DB600"/>
  <c r="BA600" s="1"/>
  <c r="DB573"/>
  <c r="BA573" s="1"/>
  <c r="DB577"/>
  <c r="BA577" s="1"/>
  <c r="DB598"/>
  <c r="BA598" s="1"/>
  <c r="DB604"/>
  <c r="BA604" s="1"/>
  <c r="DB601"/>
  <c r="BA601" s="1"/>
  <c r="DB571"/>
  <c r="BA571" s="1"/>
  <c r="DB567"/>
  <c r="BA567" s="1"/>
  <c r="DB570"/>
  <c r="BA570" s="1"/>
  <c r="DB588"/>
  <c r="BA588" s="1"/>
  <c r="DB602"/>
  <c r="BA602" s="1"/>
  <c r="DB580"/>
  <c r="BA580" s="1"/>
  <c r="DB607"/>
  <c r="BA607" s="1"/>
  <c r="DB613"/>
  <c r="BA613" s="1"/>
  <c r="DB597"/>
  <c r="BA597" s="1"/>
  <c r="DB592"/>
  <c r="BA592" s="1"/>
  <c r="DB591"/>
  <c r="BA591" s="1"/>
  <c r="DB587"/>
  <c r="BA587" s="1"/>
  <c r="DB611"/>
  <c r="BA611" s="1"/>
  <c r="DB585"/>
  <c r="BA585" s="1"/>
  <c r="DB572"/>
  <c r="BA572" s="1"/>
  <c r="DB576"/>
  <c r="BA576" s="1"/>
  <c r="DB582"/>
  <c r="BA582" s="1"/>
  <c r="DB609"/>
  <c r="BA609" s="1"/>
  <c r="DB581"/>
  <c r="BA581" s="1"/>
  <c r="DB564"/>
  <c r="BA564" s="1"/>
  <c r="DB586"/>
  <c r="BA586" s="1"/>
  <c r="DB594"/>
  <c r="BA594" s="1"/>
  <c r="DM564"/>
  <c r="BL564" s="1"/>
  <c r="DM579"/>
  <c r="BL579" s="1"/>
  <c r="DM610"/>
  <c r="BL610" s="1"/>
  <c r="DM596"/>
  <c r="BL596" s="1"/>
  <c r="DM567"/>
  <c r="BL567" s="1"/>
  <c r="DM575"/>
  <c r="BL575" s="1"/>
  <c r="DM571"/>
  <c r="BL571" s="1"/>
  <c r="DM569"/>
  <c r="BL569" s="1"/>
  <c r="DM590"/>
  <c r="BL590" s="1"/>
  <c r="DM574"/>
  <c r="BL574" s="1"/>
  <c r="DM604"/>
  <c r="BL604" s="1"/>
  <c r="DM592"/>
  <c r="BL592" s="1"/>
  <c r="DM573"/>
  <c r="BL573" s="1"/>
  <c r="DM598"/>
  <c r="BL598" s="1"/>
  <c r="DM597"/>
  <c r="BL597" s="1"/>
  <c r="DM591"/>
  <c r="BL591" s="1"/>
  <c r="DM581"/>
  <c r="BL581" s="1"/>
  <c r="DM612"/>
  <c r="BL612" s="1"/>
  <c r="DM583"/>
  <c r="BL583" s="1"/>
  <c r="DM588"/>
  <c r="BL588" s="1"/>
  <c r="DM570"/>
  <c r="BL570" s="1"/>
  <c r="DM605"/>
  <c r="BL605" s="1"/>
  <c r="DM582"/>
  <c r="BL582" s="1"/>
  <c r="DM595"/>
  <c r="BL595" s="1"/>
  <c r="DM607"/>
  <c r="BL607" s="1"/>
  <c r="DM572"/>
  <c r="BL572" s="1"/>
  <c r="DM601"/>
  <c r="BL601" s="1"/>
  <c r="DM580"/>
  <c r="BL580" s="1"/>
  <c r="DM578"/>
  <c r="BL578" s="1"/>
  <c r="DM576"/>
  <c r="BL576" s="1"/>
  <c r="DM593"/>
  <c r="BL593" s="1"/>
  <c r="DM565"/>
  <c r="BL565" s="1"/>
  <c r="DM611"/>
  <c r="BL611" s="1"/>
  <c r="DM608"/>
  <c r="BL608" s="1"/>
  <c r="DM568"/>
  <c r="BL568" s="1"/>
  <c r="DM594"/>
  <c r="BL594" s="1"/>
  <c r="DM600"/>
  <c r="BL600" s="1"/>
  <c r="DM599"/>
  <c r="BL599" s="1"/>
  <c r="DM602"/>
  <c r="BL602" s="1"/>
  <c r="DM577"/>
  <c r="BL577" s="1"/>
  <c r="DM589"/>
  <c r="BL589" s="1"/>
  <c r="DM587"/>
  <c r="BL587" s="1"/>
  <c r="DM613"/>
  <c r="BL613" s="1"/>
  <c r="DM585"/>
  <c r="BL585" s="1"/>
  <c r="DM606"/>
  <c r="BL606" s="1"/>
  <c r="DM586"/>
  <c r="BL586" s="1"/>
  <c r="DM584"/>
  <c r="BL584" s="1"/>
  <c r="DM609"/>
  <c r="BL609" s="1"/>
  <c r="DM566"/>
  <c r="BL566" s="1"/>
  <c r="DM603"/>
  <c r="BL603" s="1"/>
  <c r="DR601"/>
  <c r="BQ601" s="1"/>
  <c r="DR612"/>
  <c r="BQ612" s="1"/>
  <c r="DR568"/>
  <c r="BQ568" s="1"/>
  <c r="DR610"/>
  <c r="BQ610" s="1"/>
  <c r="DR611"/>
  <c r="BQ611" s="1"/>
  <c r="DR593"/>
  <c r="BQ593" s="1"/>
  <c r="DR583"/>
  <c r="BQ583" s="1"/>
  <c r="DR582"/>
  <c r="BQ582" s="1"/>
  <c r="DR574"/>
  <c r="BQ574" s="1"/>
  <c r="DR577"/>
  <c r="BQ577" s="1"/>
  <c r="DR609"/>
  <c r="BQ609" s="1"/>
  <c r="DR569"/>
  <c r="BQ569" s="1"/>
  <c r="DR581"/>
  <c r="BQ581" s="1"/>
  <c r="DR572"/>
  <c r="BQ572" s="1"/>
  <c r="DR598"/>
  <c r="BQ598" s="1"/>
  <c r="DR592"/>
  <c r="BQ592" s="1"/>
  <c r="DR595"/>
  <c r="BQ595" s="1"/>
  <c r="DR596"/>
  <c r="BQ596" s="1"/>
  <c r="DR600"/>
  <c r="BQ600" s="1"/>
  <c r="DR588"/>
  <c r="BQ588" s="1"/>
  <c r="DR594"/>
  <c r="BQ594" s="1"/>
  <c r="DR578"/>
  <c r="BQ578" s="1"/>
  <c r="DR591"/>
  <c r="BQ591" s="1"/>
  <c r="DR566"/>
  <c r="BQ566" s="1"/>
  <c r="DR605"/>
  <c r="BQ605" s="1"/>
  <c r="DR570"/>
  <c r="BQ570" s="1"/>
  <c r="DR590"/>
  <c r="BQ590" s="1"/>
  <c r="DR586"/>
  <c r="BQ586" s="1"/>
  <c r="DR597"/>
  <c r="BQ597" s="1"/>
  <c r="DR603"/>
  <c r="BQ603" s="1"/>
  <c r="DR606"/>
  <c r="BQ606" s="1"/>
  <c r="DR573"/>
  <c r="BQ573" s="1"/>
  <c r="DR584"/>
  <c r="BQ584" s="1"/>
  <c r="DR607"/>
  <c r="BQ607" s="1"/>
  <c r="DR579"/>
  <c r="BQ579" s="1"/>
  <c r="DR571"/>
  <c r="BQ571" s="1"/>
  <c r="DR580"/>
  <c r="BQ580" s="1"/>
  <c r="DR608"/>
  <c r="BQ608" s="1"/>
  <c r="DR565"/>
  <c r="BQ565" s="1"/>
  <c r="DR613"/>
  <c r="BQ613" s="1"/>
  <c r="DR576"/>
  <c r="BQ576" s="1"/>
  <c r="DR599"/>
  <c r="BQ599" s="1"/>
  <c r="DR567"/>
  <c r="BQ567" s="1"/>
  <c r="DR587"/>
  <c r="BQ587" s="1"/>
  <c r="DR589"/>
  <c r="BQ589" s="1"/>
  <c r="DR585"/>
  <c r="BQ585" s="1"/>
  <c r="DR575"/>
  <c r="BQ575" s="1"/>
  <c r="DR564"/>
  <c r="BQ564" s="1"/>
  <c r="DR602"/>
  <c r="BQ602" s="1"/>
  <c r="DR604"/>
  <c r="BQ604" s="1"/>
  <c r="CR602"/>
  <c r="AQ602" s="1"/>
  <c r="CR599"/>
  <c r="AQ599" s="1"/>
  <c r="CR582"/>
  <c r="AQ582" s="1"/>
  <c r="CR594"/>
  <c r="AQ594" s="1"/>
  <c r="CR600"/>
  <c r="AQ600" s="1"/>
  <c r="CR569"/>
  <c r="AQ569" s="1"/>
  <c r="CR589"/>
  <c r="AQ589" s="1"/>
  <c r="CR596"/>
  <c r="AQ596" s="1"/>
  <c r="CR581"/>
  <c r="AQ581" s="1"/>
  <c r="CR601"/>
  <c r="AQ601" s="1"/>
  <c r="CR595"/>
  <c r="AQ595" s="1"/>
  <c r="CR564"/>
  <c r="AQ564" s="1"/>
  <c r="CR591"/>
  <c r="AQ591" s="1"/>
  <c r="CR577"/>
  <c r="AQ577" s="1"/>
  <c r="CR597"/>
  <c r="AQ597" s="1"/>
  <c r="CR603"/>
  <c r="AQ603" s="1"/>
  <c r="CR605"/>
  <c r="AQ605" s="1"/>
  <c r="CR612"/>
  <c r="AQ612" s="1"/>
  <c r="CR574"/>
  <c r="AQ574" s="1"/>
  <c r="CR606"/>
  <c r="AQ606" s="1"/>
  <c r="CR607"/>
  <c r="AQ607" s="1"/>
  <c r="CR592"/>
  <c r="AQ592" s="1"/>
  <c r="CR576"/>
  <c r="AQ576" s="1"/>
  <c r="CR575"/>
  <c r="AQ575" s="1"/>
  <c r="CR604"/>
  <c r="AQ604" s="1"/>
  <c r="CR585"/>
  <c r="AQ585" s="1"/>
  <c r="CR578"/>
  <c r="AQ578" s="1"/>
  <c r="CR565"/>
  <c r="AQ565" s="1"/>
  <c r="CR586"/>
  <c r="AQ586" s="1"/>
  <c r="CR571"/>
  <c r="AQ571" s="1"/>
  <c r="CR580"/>
  <c r="AQ580" s="1"/>
  <c r="CR584"/>
  <c r="AQ584" s="1"/>
  <c r="CR588"/>
  <c r="AQ588" s="1"/>
  <c r="CR593"/>
  <c r="AQ593" s="1"/>
  <c r="CR590"/>
  <c r="AQ590" s="1"/>
  <c r="CR568"/>
  <c r="AQ568" s="1"/>
  <c r="CR610"/>
  <c r="AQ610" s="1"/>
  <c r="CR572"/>
  <c r="AQ572" s="1"/>
  <c r="CR566"/>
  <c r="AQ566" s="1"/>
  <c r="CR609"/>
  <c r="AQ609" s="1"/>
  <c r="CR573"/>
  <c r="AQ573" s="1"/>
  <c r="CR583"/>
  <c r="AQ583" s="1"/>
  <c r="CR608"/>
  <c r="AQ608" s="1"/>
  <c r="CR611"/>
  <c r="AQ611" s="1"/>
  <c r="CR579"/>
  <c r="AQ579" s="1"/>
  <c r="CR587"/>
  <c r="AQ587" s="1"/>
  <c r="CR570"/>
  <c r="AQ570" s="1"/>
  <c r="CR598"/>
  <c r="AQ598" s="1"/>
  <c r="CR613"/>
  <c r="AQ613" s="1"/>
  <c r="CR567"/>
  <c r="AQ567" s="1"/>
  <c r="CG611"/>
  <c r="AF611" s="1"/>
  <c r="CG592"/>
  <c r="AF592" s="1"/>
  <c r="CG571"/>
  <c r="AF571" s="1"/>
  <c r="CG607"/>
  <c r="AF607" s="1"/>
  <c r="CG570"/>
  <c r="AF570" s="1"/>
  <c r="CG587"/>
  <c r="AF587" s="1"/>
  <c r="CG596"/>
  <c r="AF596" s="1"/>
  <c r="CG590"/>
  <c r="AF590" s="1"/>
  <c r="CG605"/>
  <c r="AF605" s="1"/>
  <c r="CG600"/>
  <c r="AF600" s="1"/>
  <c r="CG581"/>
  <c r="AF581" s="1"/>
  <c r="CG580"/>
  <c r="AF580" s="1"/>
  <c r="CG613"/>
  <c r="AF613" s="1"/>
  <c r="CG573"/>
  <c r="AF573" s="1"/>
  <c r="CG569"/>
  <c r="AF569" s="1"/>
  <c r="CG601"/>
  <c r="AF601" s="1"/>
  <c r="CG576"/>
  <c r="AF576" s="1"/>
  <c r="CG585"/>
  <c r="AF585" s="1"/>
  <c r="CG574"/>
  <c r="AF574" s="1"/>
  <c r="CG604"/>
  <c r="AF604" s="1"/>
  <c r="CG579"/>
  <c r="AF579" s="1"/>
  <c r="CG598"/>
  <c r="AF598" s="1"/>
  <c r="CG608"/>
  <c r="AF608" s="1"/>
  <c r="CG584"/>
  <c r="AF584" s="1"/>
  <c r="CG606"/>
  <c r="AF606" s="1"/>
  <c r="CG572"/>
  <c r="AF572" s="1"/>
  <c r="CG578"/>
  <c r="AF578" s="1"/>
  <c r="CG589"/>
  <c r="AF589" s="1"/>
  <c r="CG612"/>
  <c r="AF612" s="1"/>
  <c r="CG602"/>
  <c r="AF602" s="1"/>
  <c r="CG597"/>
  <c r="AF597" s="1"/>
  <c r="CG568"/>
  <c r="AF568" s="1"/>
  <c r="CG610"/>
  <c r="AF610" s="1"/>
  <c r="CG599"/>
  <c r="AF599" s="1"/>
  <c r="CG566"/>
  <c r="AF566" s="1"/>
  <c r="CG588"/>
  <c r="AF588" s="1"/>
  <c r="CG586"/>
  <c r="AF586" s="1"/>
  <c r="CG595"/>
  <c r="AF595" s="1"/>
  <c r="CG567"/>
  <c r="AF567" s="1"/>
  <c r="CG591"/>
  <c r="AF591" s="1"/>
  <c r="CG583"/>
  <c r="AF583" s="1"/>
  <c r="CG575"/>
  <c r="AF575" s="1"/>
  <c r="CG603"/>
  <c r="AF603" s="1"/>
  <c r="CG577"/>
  <c r="AF577" s="1"/>
  <c r="CG565"/>
  <c r="AF565" s="1"/>
  <c r="CG593"/>
  <c r="AF593" s="1"/>
  <c r="CG609"/>
  <c r="AF609" s="1"/>
  <c r="CG594"/>
  <c r="AF594" s="1"/>
  <c r="CG582"/>
  <c r="AF582" s="1"/>
  <c r="CG564"/>
  <c r="AF564" s="1"/>
  <c r="CC595"/>
  <c r="AB595" s="1"/>
  <c r="CC612"/>
  <c r="AB612" s="1"/>
  <c r="CC579"/>
  <c r="AB579" s="1"/>
  <c r="CC589"/>
  <c r="AB589" s="1"/>
  <c r="CC580"/>
  <c r="AB580" s="1"/>
  <c r="CC573"/>
  <c r="AB573" s="1"/>
  <c r="CC613"/>
  <c r="AB613" s="1"/>
  <c r="CC583"/>
  <c r="AB583" s="1"/>
  <c r="CC597"/>
  <c r="AB597" s="1"/>
  <c r="CC607"/>
  <c r="AB607" s="1"/>
  <c r="CC601"/>
  <c r="AB601" s="1"/>
  <c r="CC574"/>
  <c r="AB574" s="1"/>
  <c r="CC565"/>
  <c r="AB565" s="1"/>
  <c r="CC571"/>
  <c r="AB571" s="1"/>
  <c r="CC596"/>
  <c r="AB596" s="1"/>
  <c r="CC590"/>
  <c r="AB590" s="1"/>
  <c r="CC604"/>
  <c r="AB604" s="1"/>
  <c r="CC603"/>
  <c r="AB603" s="1"/>
  <c r="CC599"/>
  <c r="AB599" s="1"/>
  <c r="CC564"/>
  <c r="AB564" s="1"/>
  <c r="CC609"/>
  <c r="AB609" s="1"/>
  <c r="CC587"/>
  <c r="AB587" s="1"/>
  <c r="CC598"/>
  <c r="AB598" s="1"/>
  <c r="CC584"/>
  <c r="AB584" s="1"/>
  <c r="CC600"/>
  <c r="AB600" s="1"/>
  <c r="CC593"/>
  <c r="AB593" s="1"/>
  <c r="CC592"/>
  <c r="AB592" s="1"/>
  <c r="CC610"/>
  <c r="AB610" s="1"/>
  <c r="CC575"/>
  <c r="AB575" s="1"/>
  <c r="CC585"/>
  <c r="AB585" s="1"/>
  <c r="CC582"/>
  <c r="AB582" s="1"/>
  <c r="CC566"/>
  <c r="AB566" s="1"/>
  <c r="CC611"/>
  <c r="AB611" s="1"/>
  <c r="CC578"/>
  <c r="AB578" s="1"/>
  <c r="CC605"/>
  <c r="AB605" s="1"/>
  <c r="CC606"/>
  <c r="AB606" s="1"/>
  <c r="CC569"/>
  <c r="AB569" s="1"/>
  <c r="CC577"/>
  <c r="AB577" s="1"/>
  <c r="CC586"/>
  <c r="AB586" s="1"/>
  <c r="CC602"/>
  <c r="AB602" s="1"/>
  <c r="CC570"/>
  <c r="AB570" s="1"/>
  <c r="CC581"/>
  <c r="AB581" s="1"/>
  <c r="CC568"/>
  <c r="AB568" s="1"/>
  <c r="CC608"/>
  <c r="AB608" s="1"/>
  <c r="CC591"/>
  <c r="AB591" s="1"/>
  <c r="CC588"/>
  <c r="AB588" s="1"/>
  <c r="CC567"/>
  <c r="AB567" s="1"/>
  <c r="CC576"/>
  <c r="AB576" s="1"/>
  <c r="CC572"/>
  <c r="AB572" s="1"/>
  <c r="CC594"/>
  <c r="AB594" s="1"/>
  <c r="CP594"/>
  <c r="AO594" s="1"/>
  <c r="CP593"/>
  <c r="AO593" s="1"/>
  <c r="CP564"/>
  <c r="AO564" s="1"/>
  <c r="CP572"/>
  <c r="AO572" s="1"/>
  <c r="CP571"/>
  <c r="AO571" s="1"/>
  <c r="CP584"/>
  <c r="AO584" s="1"/>
  <c r="CP607"/>
  <c r="AO607" s="1"/>
  <c r="CP598"/>
  <c r="AO598" s="1"/>
  <c r="CP610"/>
  <c r="AO610" s="1"/>
  <c r="CP604"/>
  <c r="AO604" s="1"/>
  <c r="CP602"/>
  <c r="AO602" s="1"/>
  <c r="CP577"/>
  <c r="AO577" s="1"/>
  <c r="CP596"/>
  <c r="AO596" s="1"/>
  <c r="CP611"/>
  <c r="AO611" s="1"/>
  <c r="CP581"/>
  <c r="AO581" s="1"/>
  <c r="CP567"/>
  <c r="AO567" s="1"/>
  <c r="CP568"/>
  <c r="AO568" s="1"/>
  <c r="CP600"/>
  <c r="AO600" s="1"/>
  <c r="CP586"/>
  <c r="AO586" s="1"/>
  <c r="CP578"/>
  <c r="AO578" s="1"/>
  <c r="CP597"/>
  <c r="AO597" s="1"/>
  <c r="CP605"/>
  <c r="AO605" s="1"/>
  <c r="CP579"/>
  <c r="AO579" s="1"/>
  <c r="CP609"/>
  <c r="AO609" s="1"/>
  <c r="CP576"/>
  <c r="AO576" s="1"/>
  <c r="CP590"/>
  <c r="AO590" s="1"/>
  <c r="CP582"/>
  <c r="AO582" s="1"/>
  <c r="CP585"/>
  <c r="AO585" s="1"/>
  <c r="CP612"/>
  <c r="AO612" s="1"/>
  <c r="CP603"/>
  <c r="AO603" s="1"/>
  <c r="CP566"/>
  <c r="AO566" s="1"/>
  <c r="CP589"/>
  <c r="AO589" s="1"/>
  <c r="CP565"/>
  <c r="AO565" s="1"/>
  <c r="CP613"/>
  <c r="AO613" s="1"/>
  <c r="CP608"/>
  <c r="AO608" s="1"/>
  <c r="CP587"/>
  <c r="AO587" s="1"/>
  <c r="CP583"/>
  <c r="AO583" s="1"/>
  <c r="CP601"/>
  <c r="AO601" s="1"/>
  <c r="CP591"/>
  <c r="AO591" s="1"/>
  <c r="CP569"/>
  <c r="AO569" s="1"/>
  <c r="CP606"/>
  <c r="AO606" s="1"/>
  <c r="CP592"/>
  <c r="AO592" s="1"/>
  <c r="CP573"/>
  <c r="AO573" s="1"/>
  <c r="CP588"/>
  <c r="AO588" s="1"/>
  <c r="CP574"/>
  <c r="AO574" s="1"/>
  <c r="CP599"/>
  <c r="AO599" s="1"/>
  <c r="CP595"/>
  <c r="AO595" s="1"/>
  <c r="CP580"/>
  <c r="AO580" s="1"/>
  <c r="CP575"/>
  <c r="AO575" s="1"/>
  <c r="CP570"/>
  <c r="AO570" s="1"/>
  <c r="GE207"/>
  <c r="GD207"/>
  <c r="GI203"/>
  <c r="GI201"/>
  <c r="GE198"/>
  <c r="GE197"/>
  <c r="GI204"/>
  <c r="GI199"/>
  <c r="GI196"/>
  <c r="GI202"/>
  <c r="GI205"/>
  <c r="GI197"/>
  <c r="GI200"/>
  <c r="GI198"/>
  <c r="GE200"/>
  <c r="GE196"/>
  <c r="GK206"/>
  <c r="GE199"/>
  <c r="GJ206"/>
  <c r="GS197"/>
  <c r="GS205"/>
  <c r="GS204"/>
  <c r="GS196"/>
  <c r="GS198"/>
  <c r="GS203"/>
  <c r="GS200"/>
  <c r="GS202"/>
  <c r="GS201"/>
  <c r="GS199"/>
  <c r="GB206"/>
  <c r="HC232"/>
  <c r="DN578"/>
  <c r="BM578" s="1"/>
  <c r="DN580"/>
  <c r="BM580" s="1"/>
  <c r="DN579"/>
  <c r="BM579" s="1"/>
  <c r="DN564"/>
  <c r="BM564" s="1"/>
  <c r="DN612"/>
  <c r="BM612" s="1"/>
  <c r="DN587"/>
  <c r="BM587" s="1"/>
  <c r="DN582"/>
  <c r="BM582" s="1"/>
  <c r="DN589"/>
  <c r="BM589" s="1"/>
  <c r="DN574"/>
  <c r="BM574" s="1"/>
  <c r="DN584"/>
  <c r="BM584" s="1"/>
  <c r="DN600"/>
  <c r="BM600" s="1"/>
  <c r="DN610"/>
  <c r="BM610" s="1"/>
  <c r="DN597"/>
  <c r="BM597" s="1"/>
  <c r="DN603"/>
  <c r="BM603" s="1"/>
  <c r="DN572"/>
  <c r="BM572" s="1"/>
  <c r="DN590"/>
  <c r="BM590" s="1"/>
  <c r="DN602"/>
  <c r="BM602" s="1"/>
  <c r="DN571"/>
  <c r="BM571" s="1"/>
  <c r="DN596"/>
  <c r="BM596" s="1"/>
  <c r="DN573"/>
  <c r="BM573" s="1"/>
  <c r="DN595"/>
  <c r="BM595" s="1"/>
  <c r="DN598"/>
  <c r="BM598" s="1"/>
  <c r="DN575"/>
  <c r="BM575" s="1"/>
  <c r="DN591"/>
  <c r="BM591" s="1"/>
  <c r="DN568"/>
  <c r="BM568" s="1"/>
  <c r="DN566"/>
  <c r="BM566" s="1"/>
  <c r="DN593"/>
  <c r="BM593" s="1"/>
  <c r="DN570"/>
  <c r="BM570" s="1"/>
  <c r="DN592"/>
  <c r="BM592" s="1"/>
  <c r="DN606"/>
  <c r="BM606" s="1"/>
  <c r="DN605"/>
  <c r="BM605" s="1"/>
  <c r="DN583"/>
  <c r="BM583" s="1"/>
  <c r="DN588"/>
  <c r="BM588" s="1"/>
  <c r="DN565"/>
  <c r="BM565" s="1"/>
  <c r="DN601"/>
  <c r="BM601" s="1"/>
  <c r="DN586"/>
  <c r="BM586" s="1"/>
  <c r="DN613"/>
  <c r="BM613" s="1"/>
  <c r="DN569"/>
  <c r="BM569" s="1"/>
  <c r="DN577"/>
  <c r="BM577" s="1"/>
  <c r="DN607"/>
  <c r="BM607" s="1"/>
  <c r="DN581"/>
  <c r="BM581" s="1"/>
  <c r="DN576"/>
  <c r="BM576" s="1"/>
  <c r="DN604"/>
  <c r="BM604" s="1"/>
  <c r="DN585"/>
  <c r="BM585" s="1"/>
  <c r="DN567"/>
  <c r="BM567" s="1"/>
  <c r="DN594"/>
  <c r="BM594" s="1"/>
  <c r="DN608"/>
  <c r="BM608" s="1"/>
  <c r="DN599"/>
  <c r="BM599" s="1"/>
  <c r="DN609"/>
  <c r="BM609" s="1"/>
  <c r="DN611"/>
  <c r="BM611" s="1"/>
  <c r="GK234"/>
  <c r="GE225"/>
  <c r="GE226"/>
  <c r="GE227"/>
  <c r="GE224"/>
  <c r="GE228"/>
  <c r="GJ234"/>
  <c r="GQ183"/>
  <c r="GQ180"/>
  <c r="GQ182"/>
  <c r="GQ181"/>
  <c r="GQ184"/>
  <c r="DL567"/>
  <c r="BK567" s="1"/>
  <c r="DL610"/>
  <c r="BK610" s="1"/>
  <c r="DL608"/>
  <c r="BK608" s="1"/>
  <c r="DL583"/>
  <c r="BK583" s="1"/>
  <c r="DL605"/>
  <c r="BK605" s="1"/>
  <c r="DL601"/>
  <c r="BK601" s="1"/>
  <c r="DL600"/>
  <c r="BK600" s="1"/>
  <c r="DL604"/>
  <c r="BK604" s="1"/>
  <c r="DL603"/>
  <c r="BK603" s="1"/>
  <c r="DL564"/>
  <c r="BK564" s="1"/>
  <c r="DL588"/>
  <c r="BK588" s="1"/>
  <c r="DL574"/>
  <c r="BK574" s="1"/>
  <c r="DL569"/>
  <c r="BK569" s="1"/>
  <c r="DL565"/>
  <c r="BK565" s="1"/>
  <c r="DL613"/>
  <c r="BK613" s="1"/>
  <c r="DL577"/>
  <c r="BK577" s="1"/>
  <c r="DL573"/>
  <c r="BK573" s="1"/>
  <c r="DL578"/>
  <c r="BK578" s="1"/>
  <c r="DL597"/>
  <c r="BK597" s="1"/>
  <c r="DL584"/>
  <c r="BK584" s="1"/>
  <c r="DL581"/>
  <c r="BK581" s="1"/>
  <c r="DL572"/>
  <c r="BK572" s="1"/>
  <c r="DL599"/>
  <c r="BK599" s="1"/>
  <c r="DL571"/>
  <c r="BK571" s="1"/>
  <c r="DL612"/>
  <c r="BK612" s="1"/>
  <c r="DL566"/>
  <c r="BK566" s="1"/>
  <c r="DL611"/>
  <c r="BK611" s="1"/>
  <c r="DL594"/>
  <c r="BK594" s="1"/>
  <c r="DL596"/>
  <c r="BK596" s="1"/>
  <c r="DL587"/>
  <c r="BK587" s="1"/>
  <c r="DL591"/>
  <c r="BK591" s="1"/>
  <c r="DL593"/>
  <c r="BK593" s="1"/>
  <c r="DL582"/>
  <c r="BK582" s="1"/>
  <c r="DL575"/>
  <c r="BK575" s="1"/>
  <c r="DL598"/>
  <c r="BK598" s="1"/>
  <c r="DL580"/>
  <c r="BK580" s="1"/>
  <c r="DL568"/>
  <c r="BK568" s="1"/>
  <c r="DL579"/>
  <c r="BK579" s="1"/>
  <c r="DL592"/>
  <c r="BK592" s="1"/>
  <c r="DL595"/>
  <c r="BK595" s="1"/>
  <c r="DL609"/>
  <c r="BK609" s="1"/>
  <c r="DL586"/>
  <c r="BK586" s="1"/>
  <c r="DL576"/>
  <c r="BK576" s="1"/>
  <c r="DL606"/>
  <c r="BK606" s="1"/>
  <c r="DL602"/>
  <c r="BK602" s="1"/>
  <c r="DL570"/>
  <c r="BK570" s="1"/>
  <c r="DL585"/>
  <c r="BK585" s="1"/>
  <c r="DL589"/>
  <c r="BK589" s="1"/>
  <c r="DL607"/>
  <c r="BK607" s="1"/>
  <c r="DL590"/>
  <c r="BK590" s="1"/>
  <c r="DZ610"/>
  <c r="BY610" s="1"/>
  <c r="DZ597"/>
  <c r="BY597" s="1"/>
  <c r="DZ607"/>
  <c r="BY607" s="1"/>
  <c r="DZ574"/>
  <c r="BY574" s="1"/>
  <c r="DZ565"/>
  <c r="BY565" s="1"/>
  <c r="DZ593"/>
  <c r="BY593" s="1"/>
  <c r="DZ582"/>
  <c r="BY582" s="1"/>
  <c r="DZ600"/>
  <c r="BY600" s="1"/>
  <c r="DZ576"/>
  <c r="BY576" s="1"/>
  <c r="DZ573"/>
  <c r="BY573" s="1"/>
  <c r="DZ613"/>
  <c r="BY613" s="1"/>
  <c r="DZ581"/>
  <c r="BY581" s="1"/>
  <c r="DZ599"/>
  <c r="BY599" s="1"/>
  <c r="DZ580"/>
  <c r="BY580" s="1"/>
  <c r="DZ568"/>
  <c r="BY568" s="1"/>
  <c r="DZ572"/>
  <c r="BY572" s="1"/>
  <c r="DZ577"/>
  <c r="BY577" s="1"/>
  <c r="DZ579"/>
  <c r="BY579" s="1"/>
  <c r="DZ603"/>
  <c r="BY603" s="1"/>
  <c r="DZ601"/>
  <c r="BY601" s="1"/>
  <c r="DZ567"/>
  <c r="BY567" s="1"/>
  <c r="DZ569"/>
  <c r="BY569" s="1"/>
  <c r="DZ590"/>
  <c r="BY590" s="1"/>
  <c r="DZ589"/>
  <c r="BY589" s="1"/>
  <c r="DZ595"/>
  <c r="BY595" s="1"/>
  <c r="DZ602"/>
  <c r="BY602" s="1"/>
  <c r="DZ584"/>
  <c r="BY584" s="1"/>
  <c r="DZ608"/>
  <c r="BY608" s="1"/>
  <c r="DZ566"/>
  <c r="BY566" s="1"/>
  <c r="DZ604"/>
  <c r="BY604" s="1"/>
  <c r="DZ570"/>
  <c r="BY570" s="1"/>
  <c r="DZ611"/>
  <c r="BY611" s="1"/>
  <c r="DZ596"/>
  <c r="BY596" s="1"/>
  <c r="DZ592"/>
  <c r="BY592" s="1"/>
  <c r="DZ594"/>
  <c r="BY594" s="1"/>
  <c r="DZ591"/>
  <c r="BY591" s="1"/>
  <c r="DZ605"/>
  <c r="BY605" s="1"/>
  <c r="DZ598"/>
  <c r="BY598" s="1"/>
  <c r="DZ583"/>
  <c r="BY583" s="1"/>
  <c r="DZ606"/>
  <c r="BY606" s="1"/>
  <c r="DZ575"/>
  <c r="BY575" s="1"/>
  <c r="DZ586"/>
  <c r="BY586" s="1"/>
  <c r="DZ571"/>
  <c r="BY571" s="1"/>
  <c r="DZ609"/>
  <c r="BY609" s="1"/>
  <c r="DZ588"/>
  <c r="BY588" s="1"/>
  <c r="DZ612"/>
  <c r="BY612" s="1"/>
  <c r="DZ578"/>
  <c r="BY578" s="1"/>
  <c r="DZ564"/>
  <c r="BY564" s="1"/>
  <c r="DZ585"/>
  <c r="BY585" s="1"/>
  <c r="DZ587"/>
  <c r="BY587" s="1"/>
  <c r="DD581"/>
  <c r="BC581" s="1"/>
  <c r="DD585"/>
  <c r="BC585" s="1"/>
  <c r="DD590"/>
  <c r="BC590" s="1"/>
  <c r="DD578"/>
  <c r="BC578" s="1"/>
  <c r="DD589"/>
  <c r="BC589" s="1"/>
  <c r="DD602"/>
  <c r="BC602" s="1"/>
  <c r="DD607"/>
  <c r="BC607" s="1"/>
  <c r="DD611"/>
  <c r="BC611" s="1"/>
  <c r="DD592"/>
  <c r="BC592" s="1"/>
  <c r="DD610"/>
  <c r="BC610" s="1"/>
  <c r="DD605"/>
  <c r="BC605" s="1"/>
  <c r="DD612"/>
  <c r="BC612" s="1"/>
  <c r="DD568"/>
  <c r="BC568" s="1"/>
  <c r="DD588"/>
  <c r="BC588" s="1"/>
  <c r="DD595"/>
  <c r="BC595" s="1"/>
  <c r="DD600"/>
  <c r="BC600" s="1"/>
  <c r="DD587"/>
  <c r="BC587" s="1"/>
  <c r="DD597"/>
  <c r="BC597" s="1"/>
  <c r="DD591"/>
  <c r="BC591" s="1"/>
  <c r="DD574"/>
  <c r="BC574" s="1"/>
  <c r="DD603"/>
  <c r="BC603" s="1"/>
  <c r="DD594"/>
  <c r="BC594" s="1"/>
  <c r="DD569"/>
  <c r="BC569" s="1"/>
  <c r="DD575"/>
  <c r="BC575" s="1"/>
  <c r="DD609"/>
  <c r="BC609" s="1"/>
  <c r="DD567"/>
  <c r="BC567" s="1"/>
  <c r="DD579"/>
  <c r="BC579" s="1"/>
  <c r="DD584"/>
  <c r="BC584" s="1"/>
  <c r="DD586"/>
  <c r="BC586" s="1"/>
  <c r="DD604"/>
  <c r="BC604" s="1"/>
  <c r="DD598"/>
  <c r="BC598" s="1"/>
  <c r="DD583"/>
  <c r="BC583" s="1"/>
  <c r="DD571"/>
  <c r="BC571" s="1"/>
  <c r="DD613"/>
  <c r="BC613" s="1"/>
  <c r="DD566"/>
  <c r="BC566" s="1"/>
  <c r="DD572"/>
  <c r="BC572" s="1"/>
  <c r="DD565"/>
  <c r="BC565" s="1"/>
  <c r="DD593"/>
  <c r="BC593" s="1"/>
  <c r="DD564"/>
  <c r="BC564" s="1"/>
  <c r="DD582"/>
  <c r="BC582" s="1"/>
  <c r="DD576"/>
  <c r="BC576" s="1"/>
  <c r="DD608"/>
  <c r="BC608" s="1"/>
  <c r="DD577"/>
  <c r="BC577" s="1"/>
  <c r="DD606"/>
  <c r="BC606" s="1"/>
  <c r="DD580"/>
  <c r="BC580" s="1"/>
  <c r="DD570"/>
  <c r="BC570" s="1"/>
  <c r="DD601"/>
  <c r="BC601" s="1"/>
  <c r="DD599"/>
  <c r="BC599" s="1"/>
  <c r="DD573"/>
  <c r="BC573" s="1"/>
  <c r="DD596"/>
  <c r="BC596" s="1"/>
  <c r="DX576"/>
  <c r="BW576" s="1"/>
  <c r="DX613"/>
  <c r="BW613" s="1"/>
  <c r="DX605"/>
  <c r="BW605" s="1"/>
  <c r="DX606"/>
  <c r="BW606" s="1"/>
  <c r="DX603"/>
  <c r="BW603" s="1"/>
  <c r="DX582"/>
  <c r="BW582" s="1"/>
  <c r="DX599"/>
  <c r="BW599" s="1"/>
  <c r="DX566"/>
  <c r="BW566" s="1"/>
  <c r="DX601"/>
  <c r="BW601" s="1"/>
  <c r="DX573"/>
  <c r="BW573" s="1"/>
  <c r="DX600"/>
  <c r="BW600" s="1"/>
  <c r="DX592"/>
  <c r="BW592" s="1"/>
  <c r="DX574"/>
  <c r="BW574" s="1"/>
  <c r="DX575"/>
  <c r="BW575" s="1"/>
  <c r="DX590"/>
  <c r="BW590" s="1"/>
  <c r="DX567"/>
  <c r="BW567" s="1"/>
  <c r="DX596"/>
  <c r="BW596" s="1"/>
  <c r="DX608"/>
  <c r="BW608" s="1"/>
  <c r="DX595"/>
  <c r="BW595" s="1"/>
  <c r="DX583"/>
  <c r="BW583" s="1"/>
  <c r="DX565"/>
  <c r="BW565" s="1"/>
  <c r="DX598"/>
  <c r="BW598" s="1"/>
  <c r="DX589"/>
  <c r="BW589" s="1"/>
  <c r="DX597"/>
  <c r="BW597" s="1"/>
  <c r="DX585"/>
  <c r="BW585" s="1"/>
  <c r="DX611"/>
  <c r="BW611" s="1"/>
  <c r="DX578"/>
  <c r="BW578" s="1"/>
  <c r="DX569"/>
  <c r="BW569" s="1"/>
  <c r="DX594"/>
  <c r="BW594" s="1"/>
  <c r="DX564"/>
  <c r="BW564" s="1"/>
  <c r="DX586"/>
  <c r="BW586" s="1"/>
  <c r="DX591"/>
  <c r="BW591" s="1"/>
  <c r="DX604"/>
  <c r="BW604" s="1"/>
  <c r="DX587"/>
  <c r="BW587" s="1"/>
  <c r="DX609"/>
  <c r="BW609" s="1"/>
  <c r="DX571"/>
  <c r="BW571" s="1"/>
  <c r="DX572"/>
  <c r="BW572" s="1"/>
  <c r="DX607"/>
  <c r="BW607" s="1"/>
  <c r="DX588"/>
  <c r="BW588" s="1"/>
  <c r="DX579"/>
  <c r="BW579" s="1"/>
  <c r="DX602"/>
  <c r="BW602" s="1"/>
  <c r="DX581"/>
  <c r="BW581" s="1"/>
  <c r="DX568"/>
  <c r="BW568" s="1"/>
  <c r="DX584"/>
  <c r="BW584" s="1"/>
  <c r="DX593"/>
  <c r="BW593" s="1"/>
  <c r="DX612"/>
  <c r="BW612" s="1"/>
  <c r="DX570"/>
  <c r="BW570" s="1"/>
  <c r="DX580"/>
  <c r="BW580" s="1"/>
  <c r="DX610"/>
  <c r="BW610" s="1"/>
  <c r="DX577"/>
  <c r="BW577" s="1"/>
  <c r="CF600"/>
  <c r="AE600" s="1"/>
  <c r="CF596"/>
  <c r="AE596" s="1"/>
  <c r="CF605"/>
  <c r="AE605" s="1"/>
  <c r="CF584"/>
  <c r="AE584" s="1"/>
  <c r="CF609"/>
  <c r="AE609" s="1"/>
  <c r="CF592"/>
  <c r="AE592" s="1"/>
  <c r="CF598"/>
  <c r="AE598" s="1"/>
  <c r="CF589"/>
  <c r="AE589" s="1"/>
  <c r="CF591"/>
  <c r="AE591" s="1"/>
  <c r="CF588"/>
  <c r="AE588" s="1"/>
  <c r="CF575"/>
  <c r="AE575" s="1"/>
  <c r="CF573"/>
  <c r="AE573" s="1"/>
  <c r="CF566"/>
  <c r="AE566" s="1"/>
  <c r="CF570"/>
  <c r="AE570" s="1"/>
  <c r="CF574"/>
  <c r="AE574" s="1"/>
  <c r="CF603"/>
  <c r="AE603" s="1"/>
  <c r="CF585"/>
  <c r="AE585" s="1"/>
  <c r="CF583"/>
  <c r="AE583" s="1"/>
  <c r="CF565"/>
  <c r="AE565" s="1"/>
  <c r="CF590"/>
  <c r="AE590" s="1"/>
  <c r="CF569"/>
  <c r="AE569" s="1"/>
  <c r="CF593"/>
  <c r="AE593" s="1"/>
  <c r="CF577"/>
  <c r="AE577" s="1"/>
  <c r="CF599"/>
  <c r="AE599" s="1"/>
  <c r="CF587"/>
  <c r="AE587" s="1"/>
  <c r="CF581"/>
  <c r="AE581" s="1"/>
  <c r="CF594"/>
  <c r="AE594" s="1"/>
  <c r="CF595"/>
  <c r="AE595" s="1"/>
  <c r="CF607"/>
  <c r="AE607" s="1"/>
  <c r="CF571"/>
  <c r="AE571" s="1"/>
  <c r="CF579"/>
  <c r="AE579" s="1"/>
  <c r="CF602"/>
  <c r="AE602" s="1"/>
  <c r="CF567"/>
  <c r="AE567" s="1"/>
  <c r="CF597"/>
  <c r="AE597" s="1"/>
  <c r="CF582"/>
  <c r="AE582" s="1"/>
  <c r="CF604"/>
  <c r="AE604" s="1"/>
  <c r="CF612"/>
  <c r="AE612" s="1"/>
  <c r="CF608"/>
  <c r="AE608" s="1"/>
  <c r="CF572"/>
  <c r="AE572" s="1"/>
  <c r="CF564"/>
  <c r="AE564" s="1"/>
  <c r="CF613"/>
  <c r="AE613" s="1"/>
  <c r="CF576"/>
  <c r="AE576" s="1"/>
  <c r="CF568"/>
  <c r="AE568" s="1"/>
  <c r="CF586"/>
  <c r="AE586" s="1"/>
  <c r="CF611"/>
  <c r="AE611" s="1"/>
  <c r="CF580"/>
  <c r="AE580" s="1"/>
  <c r="CF610"/>
  <c r="AE610" s="1"/>
  <c r="CF601"/>
  <c r="AE601" s="1"/>
  <c r="CF578"/>
  <c r="AE578" s="1"/>
  <c r="CF606"/>
  <c r="AE606" s="1"/>
  <c r="CV576"/>
  <c r="AU576" s="1"/>
  <c r="CV598"/>
  <c r="AU598" s="1"/>
  <c r="CV592"/>
  <c r="AU592" s="1"/>
  <c r="CV596"/>
  <c r="AU596" s="1"/>
  <c r="CV565"/>
  <c r="AU565" s="1"/>
  <c r="CV585"/>
  <c r="AU585" s="1"/>
  <c r="CV583"/>
  <c r="AU583" s="1"/>
  <c r="CV567"/>
  <c r="AU567" s="1"/>
  <c r="CV574"/>
  <c r="AU574" s="1"/>
  <c r="CV578"/>
  <c r="AU578" s="1"/>
  <c r="CV604"/>
  <c r="AU604" s="1"/>
  <c r="CV582"/>
  <c r="AU582" s="1"/>
  <c r="CV564"/>
  <c r="AU564" s="1"/>
  <c r="CV589"/>
  <c r="AU589" s="1"/>
  <c r="CV571"/>
  <c r="AU571" s="1"/>
  <c r="CV611"/>
  <c r="AU611" s="1"/>
  <c r="CV584"/>
  <c r="AU584" s="1"/>
  <c r="CV601"/>
  <c r="AU601" s="1"/>
  <c r="CV610"/>
  <c r="AU610" s="1"/>
  <c r="CV602"/>
  <c r="AU602" s="1"/>
  <c r="CV587"/>
  <c r="AU587" s="1"/>
  <c r="CV579"/>
  <c r="AU579" s="1"/>
  <c r="CV594"/>
  <c r="AU594" s="1"/>
  <c r="CV588"/>
  <c r="AU588" s="1"/>
  <c r="CV605"/>
  <c r="AU605" s="1"/>
  <c r="CV572"/>
  <c r="AU572" s="1"/>
  <c r="CV575"/>
  <c r="AU575" s="1"/>
  <c r="CV580"/>
  <c r="AU580" s="1"/>
  <c r="CV606"/>
  <c r="AU606" s="1"/>
  <c r="CV590"/>
  <c r="AU590" s="1"/>
  <c r="CV566"/>
  <c r="AU566" s="1"/>
  <c r="CV568"/>
  <c r="AU568" s="1"/>
  <c r="CV593"/>
  <c r="AU593" s="1"/>
  <c r="CV603"/>
  <c r="AU603" s="1"/>
  <c r="CV595"/>
  <c r="AU595" s="1"/>
  <c r="CV570"/>
  <c r="AU570" s="1"/>
  <c r="CV600"/>
  <c r="AU600" s="1"/>
  <c r="CV608"/>
  <c r="AU608" s="1"/>
  <c r="CV591"/>
  <c r="AU591" s="1"/>
  <c r="CV607"/>
  <c r="AU607" s="1"/>
  <c r="CV597"/>
  <c r="AU597" s="1"/>
  <c r="CV586"/>
  <c r="AU586" s="1"/>
  <c r="CV613"/>
  <c r="AU613" s="1"/>
  <c r="CV609"/>
  <c r="AU609" s="1"/>
  <c r="CV577"/>
  <c r="AU577" s="1"/>
  <c r="CV599"/>
  <c r="AU599" s="1"/>
  <c r="CV569"/>
  <c r="AU569" s="1"/>
  <c r="CV581"/>
  <c r="AU581" s="1"/>
  <c r="CV612"/>
  <c r="AU612" s="1"/>
  <c r="CV573"/>
  <c r="AU573" s="1"/>
  <c r="DE564"/>
  <c r="BD564" s="1"/>
  <c r="DE602"/>
  <c r="BD602" s="1"/>
  <c r="DE567"/>
  <c r="BD567" s="1"/>
  <c r="DE593"/>
  <c r="BD593" s="1"/>
  <c r="DE607"/>
  <c r="BD607" s="1"/>
  <c r="DE592"/>
  <c r="BD592" s="1"/>
  <c r="DE612"/>
  <c r="BD612" s="1"/>
  <c r="DE601"/>
  <c r="BD601" s="1"/>
  <c r="DE569"/>
  <c r="BD569" s="1"/>
  <c r="DE596"/>
  <c r="BD596" s="1"/>
  <c r="DE608"/>
  <c r="BD608" s="1"/>
  <c r="DE577"/>
  <c r="BD577" s="1"/>
  <c r="DE605"/>
  <c r="BD605" s="1"/>
  <c r="DE591"/>
  <c r="BD591" s="1"/>
  <c r="DE604"/>
  <c r="BD604" s="1"/>
  <c r="DE572"/>
  <c r="BD572" s="1"/>
  <c r="DE609"/>
  <c r="BD609" s="1"/>
  <c r="DE590"/>
  <c r="BD590" s="1"/>
  <c r="DE582"/>
  <c r="BD582" s="1"/>
  <c r="DE599"/>
  <c r="BD599" s="1"/>
  <c r="DE584"/>
  <c r="BD584" s="1"/>
  <c r="DE576"/>
  <c r="BD576" s="1"/>
  <c r="DE606"/>
  <c r="BD606" s="1"/>
  <c r="DE581"/>
  <c r="BD581" s="1"/>
  <c r="DE600"/>
  <c r="BD600" s="1"/>
  <c r="DE588"/>
  <c r="BD588" s="1"/>
  <c r="DE598"/>
  <c r="BD598" s="1"/>
  <c r="DE580"/>
  <c r="BD580" s="1"/>
  <c r="DE587"/>
  <c r="BD587" s="1"/>
  <c r="DE570"/>
  <c r="BD570" s="1"/>
  <c r="DE597"/>
  <c r="BD597" s="1"/>
  <c r="DE613"/>
  <c r="BD613" s="1"/>
  <c r="DE571"/>
  <c r="BD571" s="1"/>
  <c r="DE575"/>
  <c r="BD575" s="1"/>
  <c r="DE579"/>
  <c r="BD579" s="1"/>
  <c r="DE611"/>
  <c r="BD611" s="1"/>
  <c r="DE583"/>
  <c r="BD583" s="1"/>
  <c r="DE595"/>
  <c r="BD595" s="1"/>
  <c r="DE565"/>
  <c r="BD565" s="1"/>
  <c r="DE594"/>
  <c r="BD594" s="1"/>
  <c r="DE603"/>
  <c r="BD603" s="1"/>
  <c r="DE566"/>
  <c r="BD566" s="1"/>
  <c r="DE589"/>
  <c r="BD589" s="1"/>
  <c r="DE574"/>
  <c r="BD574" s="1"/>
  <c r="DE585"/>
  <c r="BD585" s="1"/>
  <c r="DE578"/>
  <c r="BD578" s="1"/>
  <c r="DE573"/>
  <c r="BD573" s="1"/>
  <c r="DE568"/>
  <c r="BD568" s="1"/>
  <c r="DE586"/>
  <c r="BD586" s="1"/>
  <c r="DE610"/>
  <c r="BD610" s="1"/>
  <c r="CZ575"/>
  <c r="AY575" s="1"/>
  <c r="CZ605"/>
  <c r="AY605" s="1"/>
  <c r="CZ589"/>
  <c r="AY589" s="1"/>
  <c r="CZ576"/>
  <c r="AY576" s="1"/>
  <c r="CZ587"/>
  <c r="AY587" s="1"/>
  <c r="CZ567"/>
  <c r="AY567" s="1"/>
  <c r="CZ577"/>
  <c r="AY577" s="1"/>
  <c r="CZ584"/>
  <c r="AY584" s="1"/>
  <c r="CZ610"/>
  <c r="AY610" s="1"/>
  <c r="CZ578"/>
  <c r="AY578" s="1"/>
  <c r="CZ607"/>
  <c r="AY607" s="1"/>
  <c r="CZ613"/>
  <c r="AY613" s="1"/>
  <c r="CZ597"/>
  <c r="AY597" s="1"/>
  <c r="CZ598"/>
  <c r="AY598" s="1"/>
  <c r="CZ583"/>
  <c r="AY583" s="1"/>
  <c r="CZ573"/>
  <c r="AY573" s="1"/>
  <c r="CZ579"/>
  <c r="AY579" s="1"/>
  <c r="CZ569"/>
  <c r="AY569" s="1"/>
  <c r="CZ571"/>
  <c r="AY571" s="1"/>
  <c r="CZ600"/>
  <c r="AY600" s="1"/>
  <c r="CZ612"/>
  <c r="AY612" s="1"/>
  <c r="CZ591"/>
  <c r="AY591" s="1"/>
  <c r="CZ609"/>
  <c r="AY609" s="1"/>
  <c r="CZ596"/>
  <c r="AY596" s="1"/>
  <c r="CZ606"/>
  <c r="AY606" s="1"/>
  <c r="CZ572"/>
  <c r="AY572" s="1"/>
  <c r="CZ585"/>
  <c r="AY585" s="1"/>
  <c r="CZ581"/>
  <c r="AY581" s="1"/>
  <c r="CZ594"/>
  <c r="AY594" s="1"/>
  <c r="CZ565"/>
  <c r="AY565" s="1"/>
  <c r="CZ586"/>
  <c r="AY586" s="1"/>
  <c r="CZ604"/>
  <c r="AY604" s="1"/>
  <c r="CZ580"/>
  <c r="AY580" s="1"/>
  <c r="CZ611"/>
  <c r="AY611" s="1"/>
  <c r="CZ608"/>
  <c r="AY608" s="1"/>
  <c r="CZ566"/>
  <c r="AY566" s="1"/>
  <c r="CZ588"/>
  <c r="AY588" s="1"/>
  <c r="CZ595"/>
  <c r="AY595" s="1"/>
  <c r="CZ601"/>
  <c r="AY601" s="1"/>
  <c r="CZ568"/>
  <c r="AY568" s="1"/>
  <c r="CZ582"/>
  <c r="AY582" s="1"/>
  <c r="CZ570"/>
  <c r="AY570" s="1"/>
  <c r="CZ564"/>
  <c r="AY564" s="1"/>
  <c r="CZ574"/>
  <c r="AY574" s="1"/>
  <c r="CZ599"/>
  <c r="AY599" s="1"/>
  <c r="CZ592"/>
  <c r="AY592" s="1"/>
  <c r="CZ593"/>
  <c r="AY593" s="1"/>
  <c r="CZ603"/>
  <c r="AY603" s="1"/>
  <c r="CZ602"/>
  <c r="AY602" s="1"/>
  <c r="CZ590"/>
  <c r="AY590" s="1"/>
  <c r="CU582"/>
  <c r="AT582" s="1"/>
  <c r="CU610"/>
  <c r="AT610" s="1"/>
  <c r="CU584"/>
  <c r="AT584" s="1"/>
  <c r="CU573"/>
  <c r="AT573" s="1"/>
  <c r="CU602"/>
  <c r="AT602" s="1"/>
  <c r="CU576"/>
  <c r="AT576" s="1"/>
  <c r="CU596"/>
  <c r="AT596" s="1"/>
  <c r="CU597"/>
  <c r="AT597" s="1"/>
  <c r="CU578"/>
  <c r="AT578" s="1"/>
  <c r="CU572"/>
  <c r="AT572" s="1"/>
  <c r="CU587"/>
  <c r="AT587" s="1"/>
  <c r="CU601"/>
  <c r="AT601" s="1"/>
  <c r="CU574"/>
  <c r="AT574" s="1"/>
  <c r="CU581"/>
  <c r="AT581" s="1"/>
  <c r="CU611"/>
  <c r="AT611" s="1"/>
  <c r="CU566"/>
  <c r="AT566" s="1"/>
  <c r="CU590"/>
  <c r="AT590" s="1"/>
  <c r="CU585"/>
  <c r="AT585" s="1"/>
  <c r="CU593"/>
  <c r="AT593" s="1"/>
  <c r="CU592"/>
  <c r="AT592" s="1"/>
  <c r="CU565"/>
  <c r="AT565" s="1"/>
  <c r="CU600"/>
  <c r="AT600" s="1"/>
  <c r="CU612"/>
  <c r="AT612" s="1"/>
  <c r="CU608"/>
  <c r="AT608" s="1"/>
  <c r="CU567"/>
  <c r="AT567" s="1"/>
  <c r="CU606"/>
  <c r="AT606" s="1"/>
  <c r="CU564"/>
  <c r="AT564" s="1"/>
  <c r="CU569"/>
  <c r="AT569" s="1"/>
  <c r="CU609"/>
  <c r="AT609" s="1"/>
  <c r="CU588"/>
  <c r="AT588" s="1"/>
  <c r="CU580"/>
  <c r="AT580" s="1"/>
  <c r="CU571"/>
  <c r="AT571" s="1"/>
  <c r="CU575"/>
  <c r="AT575" s="1"/>
  <c r="CU598"/>
  <c r="AT598" s="1"/>
  <c r="CU591"/>
  <c r="AT591" s="1"/>
  <c r="CU604"/>
  <c r="AT604" s="1"/>
  <c r="CU570"/>
  <c r="AT570" s="1"/>
  <c r="CU607"/>
  <c r="AT607" s="1"/>
  <c r="CU586"/>
  <c r="AT586" s="1"/>
  <c r="CU594"/>
  <c r="AT594" s="1"/>
  <c r="CU579"/>
  <c r="AT579" s="1"/>
  <c r="CU595"/>
  <c r="AT595" s="1"/>
  <c r="CU583"/>
  <c r="AT583" s="1"/>
  <c r="CU577"/>
  <c r="AT577" s="1"/>
  <c r="CU605"/>
  <c r="AT605" s="1"/>
  <c r="CU589"/>
  <c r="AT589" s="1"/>
  <c r="CU603"/>
  <c r="AT603" s="1"/>
  <c r="CU568"/>
  <c r="AT568" s="1"/>
  <c r="CU599"/>
  <c r="AT599" s="1"/>
  <c r="CU613"/>
  <c r="AT613" s="1"/>
  <c r="CN594"/>
  <c r="AM594" s="1"/>
  <c r="CN598"/>
  <c r="AM598" s="1"/>
  <c r="CN574"/>
  <c r="AM574" s="1"/>
  <c r="CN572"/>
  <c r="AM572" s="1"/>
  <c r="CN591"/>
  <c r="AM591" s="1"/>
  <c r="CN604"/>
  <c r="AM604" s="1"/>
  <c r="CN567"/>
  <c r="AM567" s="1"/>
  <c r="CN590"/>
  <c r="AM590" s="1"/>
  <c r="CN595"/>
  <c r="AM595" s="1"/>
  <c r="CN587"/>
  <c r="AM587" s="1"/>
  <c r="CN573"/>
  <c r="AM573" s="1"/>
  <c r="CN612"/>
  <c r="AM612" s="1"/>
  <c r="CN589"/>
  <c r="AM589" s="1"/>
  <c r="CN596"/>
  <c r="AM596" s="1"/>
  <c r="CN565"/>
  <c r="AM565" s="1"/>
  <c r="CN581"/>
  <c r="AM581" s="1"/>
  <c r="CN577"/>
  <c r="AM577" s="1"/>
  <c r="CN602"/>
  <c r="AM602" s="1"/>
  <c r="CN580"/>
  <c r="AM580" s="1"/>
  <c r="CN603"/>
  <c r="AM603" s="1"/>
  <c r="CN588"/>
  <c r="AM588" s="1"/>
  <c r="CN586"/>
  <c r="AM586" s="1"/>
  <c r="CN568"/>
  <c r="AM568" s="1"/>
  <c r="CN578"/>
  <c r="AM578" s="1"/>
  <c r="CN611"/>
  <c r="AM611" s="1"/>
  <c r="CN579"/>
  <c r="AM579" s="1"/>
  <c r="CN593"/>
  <c r="AM593" s="1"/>
  <c r="CN597"/>
  <c r="AM597" s="1"/>
  <c r="CN601"/>
  <c r="AM601" s="1"/>
  <c r="CN569"/>
  <c r="AM569" s="1"/>
  <c r="CN575"/>
  <c r="AM575" s="1"/>
  <c r="CN585"/>
  <c r="AM585" s="1"/>
  <c r="CN608"/>
  <c r="AM608" s="1"/>
  <c r="CN613"/>
  <c r="AM613" s="1"/>
  <c r="CN606"/>
  <c r="AM606" s="1"/>
  <c r="CN583"/>
  <c r="AM583" s="1"/>
  <c r="CN600"/>
  <c r="AM600" s="1"/>
  <c r="CN610"/>
  <c r="AM610" s="1"/>
  <c r="CN599"/>
  <c r="AM599" s="1"/>
  <c r="CN570"/>
  <c r="AM570" s="1"/>
  <c r="CN564"/>
  <c r="AM564" s="1"/>
  <c r="CN576"/>
  <c r="AM576" s="1"/>
  <c r="CN609"/>
  <c r="AM609" s="1"/>
  <c r="CN566"/>
  <c r="AM566" s="1"/>
  <c r="CN582"/>
  <c r="AM582" s="1"/>
  <c r="CN584"/>
  <c r="AM584" s="1"/>
  <c r="CN571"/>
  <c r="AM571" s="1"/>
  <c r="CN605"/>
  <c r="AM605" s="1"/>
  <c r="CN592"/>
  <c r="AM592" s="1"/>
  <c r="CN607"/>
  <c r="AM607" s="1"/>
  <c r="CJ586"/>
  <c r="AI586" s="1"/>
  <c r="CJ582"/>
  <c r="AI582" s="1"/>
  <c r="CJ598"/>
  <c r="AI598" s="1"/>
  <c r="CJ579"/>
  <c r="AI579" s="1"/>
  <c r="CJ591"/>
  <c r="AI591" s="1"/>
  <c r="CJ568"/>
  <c r="AI568" s="1"/>
  <c r="CJ578"/>
  <c r="AI578" s="1"/>
  <c r="CJ612"/>
  <c r="AI612" s="1"/>
  <c r="CJ589"/>
  <c r="AI589" s="1"/>
  <c r="CJ595"/>
  <c r="AI595" s="1"/>
  <c r="CJ592"/>
  <c r="AI592" s="1"/>
  <c r="CJ593"/>
  <c r="AI593" s="1"/>
  <c r="CJ566"/>
  <c r="AI566" s="1"/>
  <c r="CJ572"/>
  <c r="AI572" s="1"/>
  <c r="CJ603"/>
  <c r="AI603" s="1"/>
  <c r="CJ577"/>
  <c r="AI577" s="1"/>
  <c r="CJ576"/>
  <c r="AI576" s="1"/>
  <c r="CJ604"/>
  <c r="AI604" s="1"/>
  <c r="CJ583"/>
  <c r="AI583" s="1"/>
  <c r="CJ587"/>
  <c r="AI587" s="1"/>
  <c r="CJ565"/>
  <c r="AI565" s="1"/>
  <c r="CJ569"/>
  <c r="AI569" s="1"/>
  <c r="CJ605"/>
  <c r="AI605" s="1"/>
  <c r="CJ596"/>
  <c r="AI596" s="1"/>
  <c r="CJ573"/>
  <c r="AI573" s="1"/>
  <c r="CJ599"/>
  <c r="AI599" s="1"/>
  <c r="CJ581"/>
  <c r="AI581" s="1"/>
  <c r="CJ588"/>
  <c r="AI588" s="1"/>
  <c r="CJ611"/>
  <c r="AI611" s="1"/>
  <c r="CJ613"/>
  <c r="AI613" s="1"/>
  <c r="CJ600"/>
  <c r="AI600" s="1"/>
  <c r="CJ608"/>
  <c r="AI608" s="1"/>
  <c r="CJ574"/>
  <c r="AI574" s="1"/>
  <c r="CJ609"/>
  <c r="AI609" s="1"/>
  <c r="CJ570"/>
  <c r="AI570" s="1"/>
  <c r="CJ597"/>
  <c r="AI597" s="1"/>
  <c r="CJ567"/>
  <c r="AI567" s="1"/>
  <c r="CJ575"/>
  <c r="AI575" s="1"/>
  <c r="CJ584"/>
  <c r="AI584" s="1"/>
  <c r="CJ580"/>
  <c r="AI580" s="1"/>
  <c r="CJ564"/>
  <c r="AI564" s="1"/>
  <c r="CJ585"/>
  <c r="AI585" s="1"/>
  <c r="CJ602"/>
  <c r="AI602" s="1"/>
  <c r="CJ590"/>
  <c r="AI590" s="1"/>
  <c r="CJ610"/>
  <c r="AI610" s="1"/>
  <c r="CJ606"/>
  <c r="AI606" s="1"/>
  <c r="CJ594"/>
  <c r="AI594" s="1"/>
  <c r="CJ571"/>
  <c r="AI571" s="1"/>
  <c r="CJ607"/>
  <c r="AI607" s="1"/>
  <c r="CJ601"/>
  <c r="AI601" s="1"/>
  <c r="FT216" i="90"/>
  <c r="FS216"/>
  <c r="GX15"/>
  <c r="GY15" s="1"/>
  <c r="GW17"/>
  <c r="GX17" s="1"/>
  <c r="GX4"/>
  <c r="GW3"/>
  <c r="GX3" s="1"/>
  <c r="GY3" s="1"/>
  <c r="FQ223" l="1"/>
  <c r="FS223" s="1"/>
  <c r="FP226"/>
  <c r="FM226" s="1"/>
  <c r="GD335" i="87"/>
  <c r="GF339" s="1"/>
  <c r="GG338"/>
  <c r="GD343"/>
  <c r="GC349" s="1"/>
  <c r="GB349" s="1"/>
  <c r="BY374" i="86"/>
  <c r="BY348"/>
  <c r="BY360"/>
  <c r="BY354"/>
  <c r="BY364"/>
  <c r="BY331"/>
  <c r="BY341"/>
  <c r="BY342"/>
  <c r="BY335"/>
  <c r="BY355"/>
  <c r="BY359"/>
  <c r="AJ333"/>
  <c r="AJ327"/>
  <c r="AJ326"/>
  <c r="AJ342"/>
  <c r="BH372"/>
  <c r="BH329"/>
  <c r="BH362"/>
  <c r="BH330"/>
  <c r="BH327"/>
  <c r="BH355"/>
  <c r="AZ370"/>
  <c r="AJ372"/>
  <c r="AJ332"/>
  <c r="AJ345"/>
  <c r="AJ357"/>
  <c r="AJ370"/>
  <c r="AJ347"/>
  <c r="AJ371"/>
  <c r="BH361"/>
  <c r="BH365"/>
  <c r="BH364"/>
  <c r="BH352"/>
  <c r="BH337"/>
  <c r="BH366"/>
  <c r="DC211" i="91"/>
  <c r="DC212"/>
  <c r="CM211"/>
  <c r="EJ211"/>
  <c r="BW212"/>
  <c r="EA212"/>
  <c r="DK211"/>
  <c r="BG210"/>
  <c r="DC210"/>
  <c r="EA211"/>
  <c r="CE212"/>
  <c r="BO210"/>
  <c r="FO211"/>
  <c r="EA210"/>
  <c r="CS211"/>
  <c r="CM212"/>
  <c r="CK211"/>
  <c r="BO211"/>
  <c r="DA211"/>
  <c r="CE210"/>
  <c r="BG211"/>
  <c r="BW211"/>
  <c r="BE211"/>
  <c r="DK210"/>
  <c r="EL207"/>
  <c r="DQ211"/>
  <c r="CU212"/>
  <c r="CC211"/>
  <c r="CM210"/>
  <c r="DS210"/>
  <c r="BG212"/>
  <c r="BW210"/>
  <c r="CU210"/>
  <c r="DS212"/>
  <c r="BM211"/>
  <c r="DY211"/>
  <c r="BU211"/>
  <c r="DK212"/>
  <c r="DI211"/>
  <c r="CU211"/>
  <c r="CE211"/>
  <c r="DS211"/>
  <c r="BO212"/>
  <c r="BV361" i="86"/>
  <c r="AT353"/>
  <c r="AY356"/>
  <c r="AY374"/>
  <c r="AY349"/>
  <c r="AM346"/>
  <c r="AE329"/>
  <c r="AK335"/>
  <c r="BI359"/>
  <c r="AJ344"/>
  <c r="AI336"/>
  <c r="AI338"/>
  <c r="AM337"/>
  <c r="AE333"/>
  <c r="AR359"/>
  <c r="AH332"/>
  <c r="AM349"/>
  <c r="BR368"/>
  <c r="AK342"/>
  <c r="AS343"/>
  <c r="AI337"/>
  <c r="AM367"/>
  <c r="AM347"/>
  <c r="BD358"/>
  <c r="BD354"/>
  <c r="BC357"/>
  <c r="BY347"/>
  <c r="BY350"/>
  <c r="BY358"/>
  <c r="BY328"/>
  <c r="BY339"/>
  <c r="BY361"/>
  <c r="BY338"/>
  <c r="BY327"/>
  <c r="AN352"/>
  <c r="AN367"/>
  <c r="BT370"/>
  <c r="AZ375"/>
  <c r="AZ367"/>
  <c r="FO216" i="90"/>
  <c r="D219" s="1"/>
  <c r="FS198"/>
  <c r="AT198"/>
  <c r="FT198"/>
  <c r="D195"/>
  <c r="AT197"/>
  <c r="DH192"/>
  <c r="AT199"/>
  <c r="FR198"/>
  <c r="DF198"/>
  <c r="BH367" i="86"/>
  <c r="BO360"/>
  <c r="AL367"/>
  <c r="BB357"/>
  <c r="AV346"/>
  <c r="BX361"/>
  <c r="BM360"/>
  <c r="AO349"/>
  <c r="AO339"/>
  <c r="AQ357"/>
  <c r="AQ351"/>
  <c r="AJ341"/>
  <c r="BQ367"/>
  <c r="AK346"/>
  <c r="AR342"/>
  <c r="AH339"/>
  <c r="AH334"/>
  <c r="BG358"/>
  <c r="AN338"/>
  <c r="AN348"/>
  <c r="AG328"/>
  <c r="AD328"/>
  <c r="AP355"/>
  <c r="BH358"/>
  <c r="BS361"/>
  <c r="BO365"/>
  <c r="AW347"/>
  <c r="AV355"/>
  <c r="BY370"/>
  <c r="AI341"/>
  <c r="BY373"/>
  <c r="BY351"/>
  <c r="AB328"/>
  <c r="AF335"/>
  <c r="AQ358"/>
  <c r="AG326"/>
  <c r="AG338"/>
  <c r="AP356"/>
  <c r="AX348"/>
  <c r="BV372"/>
  <c r="AS361"/>
  <c r="BJ360"/>
  <c r="AL344"/>
  <c r="BF367"/>
  <c r="BF358"/>
  <c r="BS369"/>
  <c r="AW369"/>
  <c r="AC329"/>
  <c r="BA357"/>
  <c r="AI367"/>
  <c r="AM350"/>
  <c r="AT363"/>
  <c r="AY373"/>
  <c r="AY367"/>
  <c r="AU365"/>
  <c r="BN360"/>
  <c r="AE334"/>
  <c r="AE367"/>
  <c r="BW361"/>
  <c r="BW367"/>
  <c r="BY340"/>
  <c r="BY333"/>
  <c r="BY345"/>
  <c r="BY356"/>
  <c r="BY332"/>
  <c r="BY346"/>
  <c r="BY352"/>
  <c r="BY365"/>
  <c r="BY330"/>
  <c r="BY344"/>
  <c r="BY369"/>
  <c r="BM363"/>
  <c r="BM367"/>
  <c r="AO354"/>
  <c r="AO367"/>
  <c r="AB327"/>
  <c r="AF336"/>
  <c r="AQ341"/>
  <c r="AQ367"/>
  <c r="BL362"/>
  <c r="AK343"/>
  <c r="AK345"/>
  <c r="AN351"/>
  <c r="AG337"/>
  <c r="AG329"/>
  <c r="AG331"/>
  <c r="AG330"/>
  <c r="AD367"/>
  <c r="AD331"/>
  <c r="AS353"/>
  <c r="BI367"/>
  <c r="BP360"/>
  <c r="BN367"/>
  <c r="AX356"/>
  <c r="AX371"/>
  <c r="AJ343"/>
  <c r="AJ334"/>
  <c r="AC330"/>
  <c r="BF356"/>
  <c r="AW370"/>
  <c r="BJ359"/>
  <c r="AL345"/>
  <c r="AL347"/>
  <c r="BE355"/>
  <c r="AV367"/>
  <c r="BO367"/>
  <c r="BE358"/>
  <c r="AW355"/>
  <c r="AI342"/>
  <c r="AT367"/>
  <c r="AT364"/>
  <c r="AT344"/>
  <c r="BD367"/>
  <c r="AU366"/>
  <c r="AU345"/>
  <c r="AU354"/>
  <c r="BY326"/>
  <c r="BY371"/>
  <c r="BY368"/>
  <c r="BY353"/>
  <c r="BY363"/>
  <c r="BY334"/>
  <c r="BY343"/>
  <c r="BY362"/>
  <c r="BY336"/>
  <c r="BK361"/>
  <c r="BK359"/>
  <c r="AO353"/>
  <c r="AF330"/>
  <c r="AJ340"/>
  <c r="BL367"/>
  <c r="BL360"/>
  <c r="BA367"/>
  <c r="BA351"/>
  <c r="AR360"/>
  <c r="AH367"/>
  <c r="AH340"/>
  <c r="BG357"/>
  <c r="AG367"/>
  <c r="AG327"/>
  <c r="BH359"/>
  <c r="BT361"/>
  <c r="AP350"/>
  <c r="BP367"/>
  <c r="AP340"/>
  <c r="BN364"/>
  <c r="AX372"/>
  <c r="AS367"/>
  <c r="BU371"/>
  <c r="AZ350"/>
  <c r="AL336"/>
  <c r="BB352"/>
  <c r="BX374"/>
  <c r="BY375"/>
  <c r="BE367"/>
  <c r="BY372"/>
  <c r="BY357"/>
  <c r="BY367"/>
  <c r="BY349"/>
  <c r="BY366"/>
  <c r="BY337"/>
  <c r="BY329"/>
  <c r="BS367"/>
  <c r="AW367"/>
  <c r="BW373"/>
  <c r="AD332"/>
  <c r="AS362"/>
  <c r="AI333"/>
  <c r="AL348"/>
  <c r="BP366"/>
  <c r="BC353"/>
  <c r="AB326"/>
  <c r="AC327"/>
  <c r="AV368"/>
  <c r="AU367"/>
  <c r="AR352"/>
  <c r="AH333"/>
  <c r="BC367"/>
  <c r="BQ360"/>
  <c r="AB367"/>
  <c r="AF367"/>
  <c r="AJ339"/>
  <c r="BR367"/>
  <c r="AK367"/>
  <c r="AZ356"/>
  <c r="AP367"/>
  <c r="BN362"/>
  <c r="BV367"/>
  <c r="BX367"/>
  <c r="AH335"/>
  <c r="BK367"/>
  <c r="BR360"/>
  <c r="AR367"/>
  <c r="BG367"/>
  <c r="AX367"/>
  <c r="BT367"/>
  <c r="BJ367"/>
  <c r="BB367"/>
  <c r="AC367"/>
  <c r="AL354"/>
  <c r="BJ374"/>
  <c r="AE363"/>
  <c r="AE348"/>
  <c r="AE326"/>
  <c r="AE366"/>
  <c r="AE364"/>
  <c r="AE357"/>
  <c r="AE361"/>
  <c r="AE352"/>
  <c r="AE365"/>
  <c r="AE335"/>
  <c r="AE351"/>
  <c r="AE346"/>
  <c r="AW375"/>
  <c r="AW373"/>
  <c r="AI356"/>
  <c r="AI364"/>
  <c r="AI346"/>
  <c r="AI332"/>
  <c r="AI362"/>
  <c r="AI343"/>
  <c r="AI345"/>
  <c r="AI365"/>
  <c r="AI354"/>
  <c r="AI340"/>
  <c r="AI360"/>
  <c r="AM354"/>
  <c r="AM344"/>
  <c r="AM326"/>
  <c r="AM362"/>
  <c r="AM370"/>
  <c r="AM363"/>
  <c r="AM373"/>
  <c r="AM339"/>
  <c r="AM351"/>
  <c r="AM357"/>
  <c r="AM353"/>
  <c r="AM356"/>
  <c r="AT361"/>
  <c r="AT341"/>
  <c r="AT332"/>
  <c r="AT337"/>
  <c r="AT371"/>
  <c r="AT329"/>
  <c r="AT327"/>
  <c r="AT352"/>
  <c r="AT336"/>
  <c r="AT340"/>
  <c r="AY355"/>
  <c r="AY326"/>
  <c r="AY363"/>
  <c r="AY370"/>
  <c r="AY348"/>
  <c r="AY347"/>
  <c r="AY371"/>
  <c r="AY333"/>
  <c r="AY345"/>
  <c r="AY369"/>
  <c r="AY339"/>
  <c r="AY351"/>
  <c r="BD372"/>
  <c r="BD340"/>
  <c r="BD328"/>
  <c r="BD357"/>
  <c r="BD337"/>
  <c r="BD332"/>
  <c r="BD350"/>
  <c r="BD338"/>
  <c r="BD352"/>
  <c r="BD353"/>
  <c r="BD364"/>
  <c r="AU343"/>
  <c r="AU371"/>
  <c r="AU369"/>
  <c r="AU332"/>
  <c r="AU330"/>
  <c r="AU342"/>
  <c r="AU350"/>
  <c r="AU364"/>
  <c r="AU373"/>
  <c r="AU344"/>
  <c r="AU329"/>
  <c r="AU358"/>
  <c r="AE340"/>
  <c r="AE373"/>
  <c r="AE375"/>
  <c r="AE374"/>
  <c r="AE369"/>
  <c r="AE349"/>
  <c r="AE331"/>
  <c r="AE347"/>
  <c r="AE328"/>
  <c r="AE353"/>
  <c r="AE371"/>
  <c r="AE362"/>
  <c r="AV339"/>
  <c r="AR332"/>
  <c r="AR366"/>
  <c r="AR346"/>
  <c r="AR374"/>
  <c r="AR347"/>
  <c r="AR368"/>
  <c r="AR335"/>
  <c r="AR369"/>
  <c r="AR356"/>
  <c r="AR348"/>
  <c r="AR337"/>
  <c r="AI352"/>
  <c r="AI359"/>
  <c r="AI370"/>
  <c r="AI350"/>
  <c r="AI358"/>
  <c r="AI349"/>
  <c r="AI339"/>
  <c r="AI355"/>
  <c r="AI374"/>
  <c r="AM369"/>
  <c r="AM338"/>
  <c r="AM372"/>
  <c r="AM375"/>
  <c r="AM331"/>
  <c r="AM341"/>
  <c r="AM348"/>
  <c r="AM364"/>
  <c r="AM358"/>
  <c r="AM366"/>
  <c r="AM360"/>
  <c r="AT375"/>
  <c r="AT351"/>
  <c r="AT357"/>
  <c r="AT369"/>
  <c r="AT360"/>
  <c r="AT350"/>
  <c r="AT368"/>
  <c r="AT362"/>
  <c r="AT347"/>
  <c r="AT343"/>
  <c r="AT334"/>
  <c r="AT338"/>
  <c r="AT372"/>
  <c r="AY365"/>
  <c r="AY336"/>
  <c r="AY330"/>
  <c r="AY328"/>
  <c r="AY366"/>
  <c r="AY343"/>
  <c r="AY358"/>
  <c r="AY362"/>
  <c r="AY335"/>
  <c r="AY375"/>
  <c r="AY346"/>
  <c r="AY338"/>
  <c r="BD335"/>
  <c r="BD351"/>
  <c r="BD327"/>
  <c r="BD341"/>
  <c r="BD359"/>
  <c r="BD360"/>
  <c r="BD368"/>
  <c r="BD344"/>
  <c r="BD366"/>
  <c r="BD370"/>
  <c r="BD374"/>
  <c r="BD329"/>
  <c r="AU374"/>
  <c r="AU339"/>
  <c r="AU359"/>
  <c r="AU362"/>
  <c r="AU355"/>
  <c r="AU368"/>
  <c r="AU349"/>
  <c r="AU346"/>
  <c r="AU326"/>
  <c r="AU336"/>
  <c r="AU327"/>
  <c r="AU338"/>
  <c r="BA354"/>
  <c r="AR343"/>
  <c r="AR358"/>
  <c r="BN331"/>
  <c r="AW349"/>
  <c r="AL330"/>
  <c r="AX329"/>
  <c r="AV337"/>
  <c r="BW372"/>
  <c r="BW355"/>
  <c r="BW364"/>
  <c r="BW334"/>
  <c r="BW366"/>
  <c r="BW356"/>
  <c r="BW347"/>
  <c r="BW327"/>
  <c r="BW358"/>
  <c r="BW336"/>
  <c r="BW363"/>
  <c r="BW365"/>
  <c r="BW338"/>
  <c r="BC363"/>
  <c r="BC339"/>
  <c r="BC326"/>
  <c r="BC328"/>
  <c r="BC360"/>
  <c r="BC341"/>
  <c r="BC331"/>
  <c r="BC369"/>
  <c r="BC352"/>
  <c r="BK351"/>
  <c r="BK368"/>
  <c r="BK357"/>
  <c r="BK342"/>
  <c r="BK355"/>
  <c r="BK356"/>
  <c r="BK333"/>
  <c r="BK346"/>
  <c r="BK339"/>
  <c r="BK336"/>
  <c r="BK366"/>
  <c r="BK345"/>
  <c r="BM371"/>
  <c r="BM329"/>
  <c r="BM343"/>
  <c r="BM375"/>
  <c r="BM350"/>
  <c r="BM354"/>
  <c r="BM330"/>
  <c r="BM357"/>
  <c r="BM364"/>
  <c r="BM359"/>
  <c r="BM336"/>
  <c r="BM374"/>
  <c r="BM340"/>
  <c r="AO342"/>
  <c r="AO350"/>
  <c r="AO331"/>
  <c r="AO351"/>
  <c r="AO347"/>
  <c r="AO371"/>
  <c r="AO340"/>
  <c r="AO329"/>
  <c r="AO360"/>
  <c r="AO334"/>
  <c r="AB329"/>
  <c r="AB330"/>
  <c r="AB348"/>
  <c r="AB344"/>
  <c r="AB354"/>
  <c r="AB360"/>
  <c r="AB361"/>
  <c r="AB358"/>
  <c r="AB363"/>
  <c r="AB375"/>
  <c r="AB341"/>
  <c r="AF344"/>
  <c r="AF327"/>
  <c r="AF345"/>
  <c r="AF348"/>
  <c r="AF372"/>
  <c r="AF374"/>
  <c r="AF368"/>
  <c r="AF341"/>
  <c r="AF338"/>
  <c r="AF375"/>
  <c r="AF332"/>
  <c r="AF373"/>
  <c r="AQ332"/>
  <c r="AQ370"/>
  <c r="AQ328"/>
  <c r="AQ352"/>
  <c r="AQ342"/>
  <c r="AQ340"/>
  <c r="AQ338"/>
  <c r="AQ336"/>
  <c r="AQ359"/>
  <c r="AQ344"/>
  <c r="AX354"/>
  <c r="BV337"/>
  <c r="BJ342"/>
  <c r="BX330"/>
  <c r="AL334"/>
  <c r="AL371"/>
  <c r="AV361"/>
  <c r="AV327"/>
  <c r="AV345"/>
  <c r="AV329"/>
  <c r="AV342"/>
  <c r="BS372"/>
  <c r="AW336"/>
  <c r="BJ365"/>
  <c r="BJ338"/>
  <c r="AL328"/>
  <c r="AL349"/>
  <c r="AL372"/>
  <c r="AL335"/>
  <c r="AV359"/>
  <c r="AW328"/>
  <c r="BJ336"/>
  <c r="BX343"/>
  <c r="AV352"/>
  <c r="AV375"/>
  <c r="BS347"/>
  <c r="AW363"/>
  <c r="AI369"/>
  <c r="AI326"/>
  <c r="AI373"/>
  <c r="AI327"/>
  <c r="AI328"/>
  <c r="AI348"/>
  <c r="AM371"/>
  <c r="AM368"/>
  <c r="AM330"/>
  <c r="AM327"/>
  <c r="AM329"/>
  <c r="AT365"/>
  <c r="AT348"/>
  <c r="AT326"/>
  <c r="AT355"/>
  <c r="AT349"/>
  <c r="AT346"/>
  <c r="AY361"/>
  <c r="AY350"/>
  <c r="AY368"/>
  <c r="AY359"/>
  <c r="AY337"/>
  <c r="BD336"/>
  <c r="BD373"/>
  <c r="BW339"/>
  <c r="BW343"/>
  <c r="BW349"/>
  <c r="BW360"/>
  <c r="BW337"/>
  <c r="BW344"/>
  <c r="BC361"/>
  <c r="BC344"/>
  <c r="BC345"/>
  <c r="BC337"/>
  <c r="BC362"/>
  <c r="BC340"/>
  <c r="BK364"/>
  <c r="BK330"/>
  <c r="BK358"/>
  <c r="BK343"/>
  <c r="BK331"/>
  <c r="BM356"/>
  <c r="BM331"/>
  <c r="BM368"/>
  <c r="BM333"/>
  <c r="BM346"/>
  <c r="BM342"/>
  <c r="AO336"/>
  <c r="AO345"/>
  <c r="AO374"/>
  <c r="AO359"/>
  <c r="AO358"/>
  <c r="AO333"/>
  <c r="AB338"/>
  <c r="AB368"/>
  <c r="AB346"/>
  <c r="AB336"/>
  <c r="AB351"/>
  <c r="AF355"/>
  <c r="AF357"/>
  <c r="AF364"/>
  <c r="AF360"/>
  <c r="AF362"/>
  <c r="AF354"/>
  <c r="AQ373"/>
  <c r="AQ330"/>
  <c r="AQ327"/>
  <c r="AQ368"/>
  <c r="AQ326"/>
  <c r="BQ366"/>
  <c r="BQ361"/>
  <c r="BQ369"/>
  <c r="BQ332"/>
  <c r="BQ358"/>
  <c r="BQ334"/>
  <c r="BQ355"/>
  <c r="BQ374"/>
  <c r="BL371"/>
  <c r="BL347"/>
  <c r="BL339"/>
  <c r="BL356"/>
  <c r="BL327"/>
  <c r="BL342"/>
  <c r="BL357"/>
  <c r="BL350"/>
  <c r="BL353"/>
  <c r="BL354"/>
  <c r="BL331"/>
  <c r="BL358"/>
  <c r="BA356"/>
  <c r="BA371"/>
  <c r="BA347"/>
  <c r="BA342"/>
  <c r="BA329"/>
  <c r="BA360"/>
  <c r="BA355"/>
  <c r="BA328"/>
  <c r="BA365"/>
  <c r="BA336"/>
  <c r="BA337"/>
  <c r="BA331"/>
  <c r="AK366"/>
  <c r="BR373"/>
  <c r="BR375"/>
  <c r="BR363"/>
  <c r="BR345"/>
  <c r="BR371"/>
  <c r="BR374"/>
  <c r="BR337"/>
  <c r="BR336"/>
  <c r="BR366"/>
  <c r="BR340"/>
  <c r="BR347"/>
  <c r="AK326"/>
  <c r="AK372"/>
  <c r="AK330"/>
  <c r="AK352"/>
  <c r="AK353"/>
  <c r="AK333"/>
  <c r="AK360"/>
  <c r="AK344"/>
  <c r="AK331"/>
  <c r="AK371"/>
  <c r="BJ357"/>
  <c r="BJ361"/>
  <c r="AC345"/>
  <c r="BS374"/>
  <c r="CJ349"/>
  <c r="AI372"/>
  <c r="AI329"/>
  <c r="AI335"/>
  <c r="AI351"/>
  <c r="AI353"/>
  <c r="AM333"/>
  <c r="AM361"/>
  <c r="AM355"/>
  <c r="AM342"/>
  <c r="AM335"/>
  <c r="AM336"/>
  <c r="AT345"/>
  <c r="AT342"/>
  <c r="AT374"/>
  <c r="AT373"/>
  <c r="AT358"/>
  <c r="AY364"/>
  <c r="AY344"/>
  <c r="AY342"/>
  <c r="AY341"/>
  <c r="AY372"/>
  <c r="BD330"/>
  <c r="BD356"/>
  <c r="BD375"/>
  <c r="BW374"/>
  <c r="BW369"/>
  <c r="BW326"/>
  <c r="BW370"/>
  <c r="BW335"/>
  <c r="BW375"/>
  <c r="BC368"/>
  <c r="BC334"/>
  <c r="BC346"/>
  <c r="BC336"/>
  <c r="BC374"/>
  <c r="BC373"/>
  <c r="BK369"/>
  <c r="BK371"/>
  <c r="BK344"/>
  <c r="BK374"/>
  <c r="BK335"/>
  <c r="BK365"/>
  <c r="BK329"/>
  <c r="BM373"/>
  <c r="BM338"/>
  <c r="BM327"/>
  <c r="BM328"/>
  <c r="BM365"/>
  <c r="BM349"/>
  <c r="AO337"/>
  <c r="AO368"/>
  <c r="AO327"/>
  <c r="AO338"/>
  <c r="AO330"/>
  <c r="AO372"/>
  <c r="AO356"/>
  <c r="AB370"/>
  <c r="AB364"/>
  <c r="AB372"/>
  <c r="AB352"/>
  <c r="AB345"/>
  <c r="AF326"/>
  <c r="AF337"/>
  <c r="AF361"/>
  <c r="AF334"/>
  <c r="AF347"/>
  <c r="AF349"/>
  <c r="AQ360"/>
  <c r="AQ371"/>
  <c r="AQ346"/>
  <c r="AQ337"/>
  <c r="AQ365"/>
  <c r="AQ356"/>
  <c r="BQ347"/>
  <c r="BQ370"/>
  <c r="BQ365"/>
  <c r="BQ340"/>
  <c r="BQ339"/>
  <c r="AI363"/>
  <c r="AI368"/>
  <c r="AI347"/>
  <c r="AI371"/>
  <c r="AI375"/>
  <c r="AI361"/>
  <c r="AI331"/>
  <c r="AI366"/>
  <c r="AI334"/>
  <c r="AI357"/>
  <c r="AI330"/>
  <c r="AI344"/>
  <c r="AM328"/>
  <c r="AM332"/>
  <c r="AM345"/>
  <c r="AM359"/>
  <c r="AM340"/>
  <c r="AM365"/>
  <c r="AM343"/>
  <c r="AM374"/>
  <c r="AM352"/>
  <c r="AM334"/>
  <c r="AT330"/>
  <c r="AT339"/>
  <c r="AT356"/>
  <c r="AT366"/>
  <c r="AT333"/>
  <c r="AT331"/>
  <c r="AT370"/>
  <c r="AT354"/>
  <c r="AT328"/>
  <c r="AT359"/>
  <c r="AT335"/>
  <c r="AY352"/>
  <c r="AY354"/>
  <c r="AY332"/>
  <c r="AY357"/>
  <c r="AY327"/>
  <c r="AY334"/>
  <c r="AY353"/>
  <c r="AY331"/>
  <c r="AY360"/>
  <c r="AY340"/>
  <c r="AY329"/>
  <c r="BD348"/>
  <c r="BD347"/>
  <c r="BD365"/>
  <c r="BD345"/>
  <c r="BD333"/>
  <c r="BD349"/>
  <c r="BD362"/>
  <c r="BD346"/>
  <c r="BD371"/>
  <c r="BD331"/>
  <c r="BD369"/>
  <c r="BD326"/>
  <c r="AU331"/>
  <c r="AU375"/>
  <c r="AU353"/>
  <c r="AU357"/>
  <c r="AU328"/>
  <c r="AU337"/>
  <c r="AU356"/>
  <c r="AU372"/>
  <c r="AU333"/>
  <c r="AE372"/>
  <c r="AE330"/>
  <c r="AE344"/>
  <c r="AE341"/>
  <c r="AE356"/>
  <c r="AE339"/>
  <c r="AE327"/>
  <c r="AE336"/>
  <c r="AE337"/>
  <c r="AE360"/>
  <c r="BQ337"/>
  <c r="BQ329"/>
  <c r="BQ327"/>
  <c r="BQ341"/>
  <c r="BQ368"/>
  <c r="BQ352"/>
  <c r="BQ353"/>
  <c r="BQ362"/>
  <c r="BQ371"/>
  <c r="BQ345"/>
  <c r="BQ330"/>
  <c r="BL328"/>
  <c r="BL368"/>
  <c r="BL351"/>
  <c r="BL373"/>
  <c r="BL340"/>
  <c r="BL369"/>
  <c r="BL332"/>
  <c r="BL343"/>
  <c r="BL335"/>
  <c r="BL352"/>
  <c r="BL329"/>
  <c r="BL326"/>
  <c r="BA343"/>
  <c r="BA334"/>
  <c r="BA353"/>
  <c r="BA369"/>
  <c r="BA332"/>
  <c r="BA366"/>
  <c r="BA362"/>
  <c r="BA330"/>
  <c r="BA340"/>
  <c r="BA327"/>
  <c r="BA361"/>
  <c r="BR332"/>
  <c r="BR350"/>
  <c r="BR326"/>
  <c r="BR339"/>
  <c r="BR333"/>
  <c r="BR362"/>
  <c r="BR357"/>
  <c r="BR341"/>
  <c r="BR361"/>
  <c r="BR342"/>
  <c r="BR354"/>
  <c r="AK340"/>
  <c r="AK329"/>
  <c r="AK328"/>
  <c r="AK332"/>
  <c r="AK347"/>
  <c r="AK350"/>
  <c r="AK355"/>
  <c r="AK354"/>
  <c r="AK351"/>
  <c r="AK334"/>
  <c r="AK358"/>
  <c r="AK375"/>
  <c r="AV328"/>
  <c r="BW332"/>
  <c r="BW330"/>
  <c r="BW350"/>
  <c r="BW371"/>
  <c r="BW348"/>
  <c r="BW340"/>
  <c r="BW351"/>
  <c r="BW357"/>
  <c r="BW352"/>
  <c r="BW362"/>
  <c r="BC335"/>
  <c r="BC342"/>
  <c r="BC338"/>
  <c r="BC327"/>
  <c r="BC333"/>
  <c r="BC348"/>
  <c r="BC371"/>
  <c r="BC365"/>
  <c r="BC349"/>
  <c r="BC330"/>
  <c r="BC354"/>
  <c r="BC351"/>
  <c r="BC343"/>
  <c r="BK352"/>
  <c r="BK332"/>
  <c r="BK348"/>
  <c r="BK341"/>
  <c r="BK337"/>
  <c r="BK349"/>
  <c r="BK328"/>
  <c r="BK334"/>
  <c r="BK340"/>
  <c r="BK327"/>
  <c r="BK326"/>
  <c r="BK363"/>
  <c r="BK372"/>
  <c r="BM370"/>
  <c r="BM366"/>
  <c r="BM339"/>
  <c r="BM355"/>
  <c r="BM337"/>
  <c r="BM358"/>
  <c r="BM334"/>
  <c r="BM362"/>
  <c r="BM344"/>
  <c r="BM341"/>
  <c r="AO361"/>
  <c r="AO332"/>
  <c r="AO363"/>
  <c r="AO375"/>
  <c r="AO365"/>
  <c r="AO352"/>
  <c r="AO362"/>
  <c r="AO373"/>
  <c r="AO366"/>
  <c r="AO346"/>
  <c r="AO355"/>
  <c r="AB334"/>
  <c r="AB353"/>
  <c r="AB332"/>
  <c r="AB331"/>
  <c r="AB373"/>
  <c r="AB337"/>
  <c r="AB362"/>
  <c r="AB371"/>
  <c r="AB366"/>
  <c r="AB359"/>
  <c r="AB342"/>
  <c r="AB357"/>
  <c r="AF371"/>
  <c r="AF365"/>
  <c r="AF329"/>
  <c r="AF328"/>
  <c r="AF359"/>
  <c r="AF340"/>
  <c r="AF370"/>
  <c r="AF331"/>
  <c r="AF343"/>
  <c r="AF358"/>
  <c r="AF333"/>
  <c r="AQ375"/>
  <c r="AQ335"/>
  <c r="AQ372"/>
  <c r="AQ350"/>
  <c r="AQ348"/>
  <c r="AQ366"/>
  <c r="AQ369"/>
  <c r="AQ353"/>
  <c r="AQ343"/>
  <c r="AQ362"/>
  <c r="AQ364"/>
  <c r="BQ326"/>
  <c r="BQ349"/>
  <c r="BQ375"/>
  <c r="BQ333"/>
  <c r="BQ335"/>
  <c r="BQ348"/>
  <c r="BQ328"/>
  <c r="BQ350"/>
  <c r="BQ354"/>
  <c r="BQ331"/>
  <c r="BQ344"/>
  <c r="BQ372"/>
  <c r="BL365"/>
  <c r="BL348"/>
  <c r="BL349"/>
  <c r="BL361"/>
  <c r="BL370"/>
  <c r="BL338"/>
  <c r="BL334"/>
  <c r="BL374"/>
  <c r="BL336"/>
  <c r="BL337"/>
  <c r="BL341"/>
  <c r="BA326"/>
  <c r="BA338"/>
  <c r="BA349"/>
  <c r="BA375"/>
  <c r="BA350"/>
  <c r="BA363"/>
  <c r="BA335"/>
  <c r="BA346"/>
  <c r="BA352"/>
  <c r="BA341"/>
  <c r="BR328"/>
  <c r="BR364"/>
  <c r="BR348"/>
  <c r="BR355"/>
  <c r="BR359"/>
  <c r="BR343"/>
  <c r="BR331"/>
  <c r="BR358"/>
  <c r="BR344"/>
  <c r="BR351"/>
  <c r="BR353"/>
  <c r="BR346"/>
  <c r="BR370"/>
  <c r="AK374"/>
  <c r="AK362"/>
  <c r="AK336"/>
  <c r="AK359"/>
  <c r="AK357"/>
  <c r="AK365"/>
  <c r="AK363"/>
  <c r="AK368"/>
  <c r="AK348"/>
  <c r="AK370"/>
  <c r="AR329"/>
  <c r="AR370"/>
  <c r="AR331"/>
  <c r="AR362"/>
  <c r="AR334"/>
  <c r="AR363"/>
  <c r="AR333"/>
  <c r="AR328"/>
  <c r="AR361"/>
  <c r="AR341"/>
  <c r="AR345"/>
  <c r="AH375"/>
  <c r="AH353"/>
  <c r="AH352"/>
  <c r="AH362"/>
  <c r="AH360"/>
  <c r="AH349"/>
  <c r="AH370"/>
  <c r="AH374"/>
  <c r="AH354"/>
  <c r="AH328"/>
  <c r="BG331"/>
  <c r="BG363"/>
  <c r="BG343"/>
  <c r="BG364"/>
  <c r="BG359"/>
  <c r="BG339"/>
  <c r="BG369"/>
  <c r="BG326"/>
  <c r="BG355"/>
  <c r="BG366"/>
  <c r="BG349"/>
  <c r="BG341"/>
  <c r="AN340"/>
  <c r="AN332"/>
  <c r="AN364"/>
  <c r="AN333"/>
  <c r="AN346"/>
  <c r="AN341"/>
  <c r="AN339"/>
  <c r="AN359"/>
  <c r="AN370"/>
  <c r="AN335"/>
  <c r="AG341"/>
  <c r="BD342"/>
  <c r="BD343"/>
  <c r="BD361"/>
  <c r="BD334"/>
  <c r="BD339"/>
  <c r="BD363"/>
  <c r="BD355"/>
  <c r="AU335"/>
  <c r="AU361"/>
  <c r="AU348"/>
  <c r="AU370"/>
  <c r="AU352"/>
  <c r="AU334"/>
  <c r="AU341"/>
  <c r="AU363"/>
  <c r="AU351"/>
  <c r="AU340"/>
  <c r="AU347"/>
  <c r="AU360"/>
  <c r="AE368"/>
  <c r="AE342"/>
  <c r="AE338"/>
  <c r="AE370"/>
  <c r="AE359"/>
  <c r="AE343"/>
  <c r="AE355"/>
  <c r="AE345"/>
  <c r="AE332"/>
  <c r="AE350"/>
  <c r="AE354"/>
  <c r="AE358"/>
  <c r="AV341"/>
  <c r="BM332"/>
  <c r="BW342"/>
  <c r="BW346"/>
  <c r="BW341"/>
  <c r="BW333"/>
  <c r="BW353"/>
  <c r="BW331"/>
  <c r="BW359"/>
  <c r="BW345"/>
  <c r="BW329"/>
  <c r="BW354"/>
  <c r="BW328"/>
  <c r="BW368"/>
  <c r="BC358"/>
  <c r="BC332"/>
  <c r="BC370"/>
  <c r="BC355"/>
  <c r="BC375"/>
  <c r="BC366"/>
  <c r="BC329"/>
  <c r="BC356"/>
  <c r="BC359"/>
  <c r="BC350"/>
  <c r="BC372"/>
  <c r="BC364"/>
  <c r="BC347"/>
  <c r="BK347"/>
  <c r="BK338"/>
  <c r="BK354"/>
  <c r="BK360"/>
  <c r="BK353"/>
  <c r="BK373"/>
  <c r="BK375"/>
  <c r="BK350"/>
  <c r="BK362"/>
  <c r="BK370"/>
  <c r="BM361"/>
  <c r="BM347"/>
  <c r="BM369"/>
  <c r="BM348"/>
  <c r="BM345"/>
  <c r="BM353"/>
  <c r="BM335"/>
  <c r="BM352"/>
  <c r="BM372"/>
  <c r="BM351"/>
  <c r="BM326"/>
  <c r="AO357"/>
  <c r="AO335"/>
  <c r="AO370"/>
  <c r="AO328"/>
  <c r="AO344"/>
  <c r="AO341"/>
  <c r="AO348"/>
  <c r="AO343"/>
  <c r="AO364"/>
  <c r="AO369"/>
  <c r="AO326"/>
  <c r="AB356"/>
  <c r="AB350"/>
  <c r="AB343"/>
  <c r="AB339"/>
  <c r="AB340"/>
  <c r="AB347"/>
  <c r="AB355"/>
  <c r="AB349"/>
  <c r="AB365"/>
  <c r="AB333"/>
  <c r="AB369"/>
  <c r="AB335"/>
  <c r="AB374"/>
  <c r="AF356"/>
  <c r="AF339"/>
  <c r="AF353"/>
  <c r="AF350"/>
  <c r="AF351"/>
  <c r="AF346"/>
  <c r="AF366"/>
  <c r="AF363"/>
  <c r="AF342"/>
  <c r="AF352"/>
  <c r="AF369"/>
  <c r="AQ329"/>
  <c r="AQ349"/>
  <c r="AQ345"/>
  <c r="AQ334"/>
  <c r="AQ355"/>
  <c r="AQ333"/>
  <c r="AQ347"/>
  <c r="AQ354"/>
  <c r="AQ374"/>
  <c r="AQ339"/>
  <c r="AQ363"/>
  <c r="AQ331"/>
  <c r="AQ361"/>
  <c r="BQ364"/>
  <c r="BQ351"/>
  <c r="BQ338"/>
  <c r="BQ342"/>
  <c r="BQ346"/>
  <c r="BQ359"/>
  <c r="BQ356"/>
  <c r="BQ357"/>
  <c r="BQ343"/>
  <c r="BQ336"/>
  <c r="BQ373"/>
  <c r="BQ363"/>
  <c r="BL346"/>
  <c r="BL375"/>
  <c r="BL364"/>
  <c r="BL330"/>
  <c r="BL355"/>
  <c r="BL363"/>
  <c r="BL344"/>
  <c r="BL345"/>
  <c r="BL359"/>
  <c r="BL366"/>
  <c r="BL333"/>
  <c r="BL372"/>
  <c r="BA348"/>
  <c r="BA344"/>
  <c r="BA373"/>
  <c r="BA359"/>
  <c r="BA364"/>
  <c r="BA333"/>
  <c r="BA339"/>
  <c r="BA345"/>
  <c r="BA370"/>
  <c r="BA372"/>
  <c r="BA368"/>
  <c r="BA358"/>
  <c r="BA374"/>
  <c r="BR330"/>
  <c r="BR329"/>
  <c r="BR369"/>
  <c r="BR356"/>
  <c r="BR335"/>
  <c r="BR352"/>
  <c r="BR349"/>
  <c r="BR372"/>
  <c r="BR334"/>
  <c r="BR338"/>
  <c r="BR365"/>
  <c r="BR327"/>
  <c r="AK341"/>
  <c r="AK361"/>
  <c r="AK339"/>
  <c r="AK337"/>
  <c r="AK356"/>
  <c r="AK364"/>
  <c r="AK373"/>
  <c r="AK349"/>
  <c r="AK369"/>
  <c r="AK338"/>
  <c r="AK327"/>
  <c r="AR336"/>
  <c r="AR373"/>
  <c r="AR375"/>
  <c r="AR327"/>
  <c r="AR330"/>
  <c r="AR350"/>
  <c r="AR340"/>
  <c r="AR353"/>
  <c r="AR371"/>
  <c r="AR355"/>
  <c r="AR357"/>
  <c r="AR351"/>
  <c r="AH361"/>
  <c r="AH346"/>
  <c r="AH359"/>
  <c r="AH327"/>
  <c r="AH336"/>
  <c r="AH356"/>
  <c r="AH371"/>
  <c r="AH358"/>
  <c r="AH363"/>
  <c r="AH344"/>
  <c r="BG356"/>
  <c r="BG327"/>
  <c r="BG345"/>
  <c r="BG340"/>
  <c r="BG373"/>
  <c r="BG330"/>
  <c r="BG347"/>
  <c r="BG333"/>
  <c r="BG348"/>
  <c r="BG361"/>
  <c r="BG337"/>
  <c r="BG374"/>
  <c r="AN369"/>
  <c r="AN355"/>
  <c r="AN329"/>
  <c r="AN363"/>
  <c r="AN354"/>
  <c r="AN353"/>
  <c r="AN358"/>
  <c r="AN357"/>
  <c r="AN347"/>
  <c r="AN326"/>
  <c r="BI352"/>
  <c r="BI370"/>
  <c r="BI353"/>
  <c r="BI364"/>
  <c r="BI345"/>
  <c r="BI336"/>
  <c r="BI332"/>
  <c r="BI362"/>
  <c r="BI373"/>
  <c r="BI329"/>
  <c r="BI338"/>
  <c r="BI339"/>
  <c r="BN342"/>
  <c r="BJ375"/>
  <c r="AL343"/>
  <c r="BX371"/>
  <c r="AL366"/>
  <c r="AL346"/>
  <c r="AV363"/>
  <c r="AW331"/>
  <c r="AW329"/>
  <c r="AZ365"/>
  <c r="AP361"/>
  <c r="BN375"/>
  <c r="BN369"/>
  <c r="BN338"/>
  <c r="BN374"/>
  <c r="BN337"/>
  <c r="BN345"/>
  <c r="BN333"/>
  <c r="BN335"/>
  <c r="BN332"/>
  <c r="BN339"/>
  <c r="BN353"/>
  <c r="BN347"/>
  <c r="AX369"/>
  <c r="AX351"/>
  <c r="AX344"/>
  <c r="AX342"/>
  <c r="AX327"/>
  <c r="AX338"/>
  <c r="AX357"/>
  <c r="AX353"/>
  <c r="AX364"/>
  <c r="BV359"/>
  <c r="BV328"/>
  <c r="BV374"/>
  <c r="BV332"/>
  <c r="BV355"/>
  <c r="BV346"/>
  <c r="BV329"/>
  <c r="BV347"/>
  <c r="BV373"/>
  <c r="BV341"/>
  <c r="BV351"/>
  <c r="BV364"/>
  <c r="AS348"/>
  <c r="AS350"/>
  <c r="AS371"/>
  <c r="AS340"/>
  <c r="AS363"/>
  <c r="AS336"/>
  <c r="AS326"/>
  <c r="AS347"/>
  <c r="AS354"/>
  <c r="AS351"/>
  <c r="AS333"/>
  <c r="BB361"/>
  <c r="BF365"/>
  <c r="AZ373"/>
  <c r="AZ360"/>
  <c r="AZ353"/>
  <c r="BH346"/>
  <c r="BJ335"/>
  <c r="BJ329"/>
  <c r="BJ366"/>
  <c r="BJ345"/>
  <c r="BJ354"/>
  <c r="BJ344"/>
  <c r="BJ341"/>
  <c r="BX336"/>
  <c r="BX368"/>
  <c r="BX338"/>
  <c r="AL363"/>
  <c r="AL342"/>
  <c r="AL373"/>
  <c r="AL353"/>
  <c r="AL368"/>
  <c r="BB332"/>
  <c r="BB347"/>
  <c r="BB349"/>
  <c r="AC374"/>
  <c r="BF338"/>
  <c r="BF369"/>
  <c r="BF333"/>
  <c r="BF328"/>
  <c r="BS352"/>
  <c r="BO333"/>
  <c r="AW340"/>
  <c r="AW360"/>
  <c r="AW356"/>
  <c r="BV368"/>
  <c r="AN327"/>
  <c r="AG372"/>
  <c r="AG360"/>
  <c r="AG373"/>
  <c r="AG358"/>
  <c r="AG339"/>
  <c r="AG366"/>
  <c r="AG357"/>
  <c r="AG353"/>
  <c r="AG354"/>
  <c r="AG344"/>
  <c r="AD371"/>
  <c r="AD360"/>
  <c r="AD370"/>
  <c r="AD329"/>
  <c r="AD344"/>
  <c r="AD327"/>
  <c r="AD345"/>
  <c r="AD335"/>
  <c r="AD326"/>
  <c r="AD366"/>
  <c r="AD365"/>
  <c r="AD348"/>
  <c r="BH341"/>
  <c r="BN344"/>
  <c r="AX368"/>
  <c r="BV375"/>
  <c r="BV348"/>
  <c r="BF357"/>
  <c r="BO375"/>
  <c r="BT357"/>
  <c r="BT369"/>
  <c r="BT326"/>
  <c r="BT375"/>
  <c r="BT344"/>
  <c r="BT368"/>
  <c r="BT374"/>
  <c r="BT350"/>
  <c r="BT373"/>
  <c r="BT371"/>
  <c r="BT355"/>
  <c r="BT372"/>
  <c r="BU370"/>
  <c r="BU349"/>
  <c r="BU365"/>
  <c r="BU354"/>
  <c r="BU357"/>
  <c r="BU344"/>
  <c r="BU329"/>
  <c r="BU341"/>
  <c r="BU355"/>
  <c r="BU346"/>
  <c r="BU337"/>
  <c r="AZ354"/>
  <c r="AZ341"/>
  <c r="AZ329"/>
  <c r="AZ352"/>
  <c r="AZ336"/>
  <c r="AZ326"/>
  <c r="AZ349"/>
  <c r="AZ340"/>
  <c r="AZ345"/>
  <c r="AZ342"/>
  <c r="AZ368"/>
  <c r="AR349"/>
  <c r="AR372"/>
  <c r="AR344"/>
  <c r="AR365"/>
  <c r="AR339"/>
  <c r="AR338"/>
  <c r="AR354"/>
  <c r="AR364"/>
  <c r="AR326"/>
  <c r="AH357"/>
  <c r="AH330"/>
  <c r="AH365"/>
  <c r="AH364"/>
  <c r="AH338"/>
  <c r="AH343"/>
  <c r="AH347"/>
  <c r="AH341"/>
  <c r="AH342"/>
  <c r="AH366"/>
  <c r="AD334"/>
  <c r="BI372"/>
  <c r="BI346"/>
  <c r="BI337"/>
  <c r="BI357"/>
  <c r="BI342"/>
  <c r="BI330"/>
  <c r="BI326"/>
  <c r="BI356"/>
  <c r="BI340"/>
  <c r="BI327"/>
  <c r="BI335"/>
  <c r="BI355"/>
  <c r="BI360"/>
  <c r="BP335"/>
  <c r="BP356"/>
  <c r="BP358"/>
  <c r="BP362"/>
  <c r="BP345"/>
  <c r="BP375"/>
  <c r="BP337"/>
  <c r="BP343"/>
  <c r="BP369"/>
  <c r="BP372"/>
  <c r="BP363"/>
  <c r="BP329"/>
  <c r="BP374"/>
  <c r="AP344"/>
  <c r="AP346"/>
  <c r="AP372"/>
  <c r="AP327"/>
  <c r="AP374"/>
  <c r="AP360"/>
  <c r="AP341"/>
  <c r="AP343"/>
  <c r="AP338"/>
  <c r="AP331"/>
  <c r="AP333"/>
  <c r="AP352"/>
  <c r="BN354"/>
  <c r="BN326"/>
  <c r="BN366"/>
  <c r="BN328"/>
  <c r="BN348"/>
  <c r="BN359"/>
  <c r="BN349"/>
  <c r="BN368"/>
  <c r="BN356"/>
  <c r="BN363"/>
  <c r="BN358"/>
  <c r="AX340"/>
  <c r="AX365"/>
  <c r="AX335"/>
  <c r="AX345"/>
  <c r="AX375"/>
  <c r="AX358"/>
  <c r="AX337"/>
  <c r="AX374"/>
  <c r="AX373"/>
  <c r="AX341"/>
  <c r="AX349"/>
  <c r="BV371"/>
  <c r="BV338"/>
  <c r="BV352"/>
  <c r="BV343"/>
  <c r="BV344"/>
  <c r="BV330"/>
  <c r="BV353"/>
  <c r="BV366"/>
  <c r="BV342"/>
  <c r="BV356"/>
  <c r="BV362"/>
  <c r="BV326"/>
  <c r="AS327"/>
  <c r="AS328"/>
  <c r="AS370"/>
  <c r="AS358"/>
  <c r="AS372"/>
  <c r="AS335"/>
  <c r="AS334"/>
  <c r="AS339"/>
  <c r="AS375"/>
  <c r="AS373"/>
  <c r="AS345"/>
  <c r="BB326"/>
  <c r="BB341"/>
  <c r="BF364"/>
  <c r="BO331"/>
  <c r="BO372"/>
  <c r="BT365"/>
  <c r="BT330"/>
  <c r="BT338"/>
  <c r="BT329"/>
  <c r="BT364"/>
  <c r="BT335"/>
  <c r="BT331"/>
  <c r="BT359"/>
  <c r="BT351"/>
  <c r="BT346"/>
  <c r="BT336"/>
  <c r="BU334"/>
  <c r="BU342"/>
  <c r="BU348"/>
  <c r="BU362"/>
  <c r="BU347"/>
  <c r="BU336"/>
  <c r="BU351"/>
  <c r="BU364"/>
  <c r="BU369"/>
  <c r="BU326"/>
  <c r="AZ361"/>
  <c r="AJ364"/>
  <c r="AJ375"/>
  <c r="AJ352"/>
  <c r="AJ346"/>
  <c r="AJ365"/>
  <c r="AJ337"/>
  <c r="AJ338"/>
  <c r="AJ354"/>
  <c r="AJ363"/>
  <c r="AJ350"/>
  <c r="AJ356"/>
  <c r="AJ359"/>
  <c r="AJ358"/>
  <c r="BH336"/>
  <c r="BH371"/>
  <c r="BH369"/>
  <c r="BH344"/>
  <c r="BH360"/>
  <c r="BH326"/>
  <c r="BH340"/>
  <c r="BH374"/>
  <c r="BH342"/>
  <c r="BH338"/>
  <c r="BH345"/>
  <c r="BJ371"/>
  <c r="BJ363"/>
  <c r="BJ334"/>
  <c r="BX331"/>
  <c r="BX363"/>
  <c r="AL356"/>
  <c r="AL332"/>
  <c r="AL333"/>
  <c r="BE344"/>
  <c r="BE332"/>
  <c r="BB355"/>
  <c r="AC359"/>
  <c r="BF350"/>
  <c r="BF336"/>
  <c r="BF374"/>
  <c r="BF342"/>
  <c r="BF341"/>
  <c r="BF332"/>
  <c r="BF340"/>
  <c r="BF370"/>
  <c r="BF335"/>
  <c r="BF346"/>
  <c r="BF363"/>
  <c r="BF353"/>
  <c r="BS356"/>
  <c r="BS332"/>
  <c r="BS355"/>
  <c r="BS344"/>
  <c r="BS329"/>
  <c r="BS331"/>
  <c r="BS334"/>
  <c r="BS330"/>
  <c r="BS348"/>
  <c r="BS328"/>
  <c r="BS351"/>
  <c r="BS368"/>
  <c r="BS364"/>
  <c r="BE328"/>
  <c r="BB336"/>
  <c r="AV349"/>
  <c r="AV343"/>
  <c r="AV335"/>
  <c r="AV333"/>
  <c r="AV326"/>
  <c r="AV351"/>
  <c r="AV356"/>
  <c r="AV362"/>
  <c r="AV373"/>
  <c r="AV369"/>
  <c r="AV340"/>
  <c r="BO349"/>
  <c r="AG335"/>
  <c r="AG362"/>
  <c r="AG374"/>
  <c r="AG334"/>
  <c r="AG361"/>
  <c r="AG370"/>
  <c r="AG359"/>
  <c r="AG342"/>
  <c r="AG363"/>
  <c r="AG340"/>
  <c r="AD374"/>
  <c r="AD358"/>
  <c r="AD359"/>
  <c r="AD330"/>
  <c r="AD357"/>
  <c r="AD347"/>
  <c r="AD361"/>
  <c r="AD339"/>
  <c r="AD354"/>
  <c r="AD355"/>
  <c r="AD350"/>
  <c r="AD342"/>
  <c r="BP327"/>
  <c r="BP330"/>
  <c r="BP340"/>
  <c r="BP352"/>
  <c r="BP350"/>
  <c r="BP332"/>
  <c r="BP355"/>
  <c r="BP370"/>
  <c r="BP347"/>
  <c r="BP349"/>
  <c r="BP344"/>
  <c r="AP364"/>
  <c r="AP353"/>
  <c r="AP370"/>
  <c r="AP335"/>
  <c r="AP358"/>
  <c r="AP369"/>
  <c r="AP345"/>
  <c r="AP362"/>
  <c r="AP329"/>
  <c r="AP351"/>
  <c r="AP336"/>
  <c r="BF360"/>
  <c r="BF329"/>
  <c r="BF355"/>
  <c r="BO366"/>
  <c r="AN362"/>
  <c r="BF361"/>
  <c r="BF331"/>
  <c r="BF352"/>
  <c r="BF344"/>
  <c r="BF362"/>
  <c r="AH348"/>
  <c r="AH351"/>
  <c r="AH373"/>
  <c r="AH355"/>
  <c r="AH326"/>
  <c r="AH372"/>
  <c r="AH331"/>
  <c r="AH345"/>
  <c r="AH350"/>
  <c r="AH337"/>
  <c r="AH368"/>
  <c r="AH369"/>
  <c r="BG328"/>
  <c r="BG370"/>
  <c r="BG338"/>
  <c r="BG342"/>
  <c r="BG344"/>
  <c r="BG329"/>
  <c r="BG334"/>
  <c r="BG336"/>
  <c r="BG332"/>
  <c r="BG360"/>
  <c r="BG351"/>
  <c r="BG362"/>
  <c r="AZ339"/>
  <c r="AZ332"/>
  <c r="AZ358"/>
  <c r="AN371"/>
  <c r="AN336"/>
  <c r="AN372"/>
  <c r="AN334"/>
  <c r="AN342"/>
  <c r="AN356"/>
  <c r="AN361"/>
  <c r="AN360"/>
  <c r="AN343"/>
  <c r="AN328"/>
  <c r="AN374"/>
  <c r="AN337"/>
  <c r="AN373"/>
  <c r="AG352"/>
  <c r="AG345"/>
  <c r="AG332"/>
  <c r="AG371"/>
  <c r="AG365"/>
  <c r="AG375"/>
  <c r="AG364"/>
  <c r="AG343"/>
  <c r="AG346"/>
  <c r="AD363"/>
  <c r="AD341"/>
  <c r="AD368"/>
  <c r="AD352"/>
  <c r="AD373"/>
  <c r="AD353"/>
  <c r="AD349"/>
  <c r="AD333"/>
  <c r="AD356"/>
  <c r="BH368"/>
  <c r="BI351"/>
  <c r="BI331"/>
  <c r="BI347"/>
  <c r="BI361"/>
  <c r="BI343"/>
  <c r="BI350"/>
  <c r="BI363"/>
  <c r="BI369"/>
  <c r="BI375"/>
  <c r="BI334"/>
  <c r="BI344"/>
  <c r="BP361"/>
  <c r="BP354"/>
  <c r="BP339"/>
  <c r="BP333"/>
  <c r="BP328"/>
  <c r="BP368"/>
  <c r="BP365"/>
  <c r="BP357"/>
  <c r="BP334"/>
  <c r="BP338"/>
  <c r="BP359"/>
  <c r="BP336"/>
  <c r="AP334"/>
  <c r="AP359"/>
  <c r="AP348"/>
  <c r="AP347"/>
  <c r="AP365"/>
  <c r="AP339"/>
  <c r="AP354"/>
  <c r="AP337"/>
  <c r="AP371"/>
  <c r="AP363"/>
  <c r="BN346"/>
  <c r="BN336"/>
  <c r="BN343"/>
  <c r="BN350"/>
  <c r="BN371"/>
  <c r="BN352"/>
  <c r="BN351"/>
  <c r="BN361"/>
  <c r="BN370"/>
  <c r="BN373"/>
  <c r="AX328"/>
  <c r="AX366"/>
  <c r="AX363"/>
  <c r="AX346"/>
  <c r="AX331"/>
  <c r="AX336"/>
  <c r="AX326"/>
  <c r="AX360"/>
  <c r="AX347"/>
  <c r="AX359"/>
  <c r="AX362"/>
  <c r="AX361"/>
  <c r="BV357"/>
  <c r="BV350"/>
  <c r="BV335"/>
  <c r="BV345"/>
  <c r="BV360"/>
  <c r="BV336"/>
  <c r="BV331"/>
  <c r="BV369"/>
  <c r="BV340"/>
  <c r="BV365"/>
  <c r="BV334"/>
  <c r="AS360"/>
  <c r="AS342"/>
  <c r="AS359"/>
  <c r="AS331"/>
  <c r="AS368"/>
  <c r="AS356"/>
  <c r="AS341"/>
  <c r="AS355"/>
  <c r="AS332"/>
  <c r="AS344"/>
  <c r="AS357"/>
  <c r="AS330"/>
  <c r="BB327"/>
  <c r="BF347"/>
  <c r="BF334"/>
  <c r="BF368"/>
  <c r="BT366"/>
  <c r="BT341"/>
  <c r="BT356"/>
  <c r="BT349"/>
  <c r="BT343"/>
  <c r="BT328"/>
  <c r="BT332"/>
  <c r="BT333"/>
  <c r="BT354"/>
  <c r="BT334"/>
  <c r="BT348"/>
  <c r="BT345"/>
  <c r="BU375"/>
  <c r="BU366"/>
  <c r="BU353"/>
  <c r="BU373"/>
  <c r="BU358"/>
  <c r="BU330"/>
  <c r="BU372"/>
  <c r="BU333"/>
  <c r="BU356"/>
  <c r="BU343"/>
  <c r="BU345"/>
  <c r="AZ348"/>
  <c r="AZ357"/>
  <c r="AZ338"/>
  <c r="AZ355"/>
  <c r="AZ362"/>
  <c r="AZ371"/>
  <c r="AZ344"/>
  <c r="AZ359"/>
  <c r="AZ327"/>
  <c r="AZ343"/>
  <c r="AZ372"/>
  <c r="BE340"/>
  <c r="BO351"/>
  <c r="BO357"/>
  <c r="BO341"/>
  <c r="BO342"/>
  <c r="BO345"/>
  <c r="BO369"/>
  <c r="BO338"/>
  <c r="BO335"/>
  <c r="BO368"/>
  <c r="BO361"/>
  <c r="BO329"/>
  <c r="AW358"/>
  <c r="AW342"/>
  <c r="AW372"/>
  <c r="AW359"/>
  <c r="AW368"/>
  <c r="AW361"/>
  <c r="AW371"/>
  <c r="AW333"/>
  <c r="AW354"/>
  <c r="AH329"/>
  <c r="BG346"/>
  <c r="BG335"/>
  <c r="BG354"/>
  <c r="BG352"/>
  <c r="BG350"/>
  <c r="BG368"/>
  <c r="BG371"/>
  <c r="BG353"/>
  <c r="BG365"/>
  <c r="BG375"/>
  <c r="BG372"/>
  <c r="AZ374"/>
  <c r="AN375"/>
  <c r="AN349"/>
  <c r="AN345"/>
  <c r="AN368"/>
  <c r="AN365"/>
  <c r="AN350"/>
  <c r="AN366"/>
  <c r="AN344"/>
  <c r="AN330"/>
  <c r="AN331"/>
  <c r="AG369"/>
  <c r="AG350"/>
  <c r="AG368"/>
  <c r="AG356"/>
  <c r="AG348"/>
  <c r="AG347"/>
  <c r="AG336"/>
  <c r="AG349"/>
  <c r="AG351"/>
  <c r="AG355"/>
  <c r="AG333"/>
  <c r="AD369"/>
  <c r="AD338"/>
  <c r="AD336"/>
  <c r="AD340"/>
  <c r="AD362"/>
  <c r="AD346"/>
  <c r="AD337"/>
  <c r="AD364"/>
  <c r="AD375"/>
  <c r="AD351"/>
  <c r="AD372"/>
  <c r="AD343"/>
  <c r="BH332"/>
  <c r="BI374"/>
  <c r="BI328"/>
  <c r="BI348"/>
  <c r="BI366"/>
  <c r="BI371"/>
  <c r="BI349"/>
  <c r="BI365"/>
  <c r="BI333"/>
  <c r="BI358"/>
  <c r="BI368"/>
  <c r="BI341"/>
  <c r="BI354"/>
  <c r="AP330"/>
  <c r="BP373"/>
  <c r="BP353"/>
  <c r="BP326"/>
  <c r="BP331"/>
  <c r="BP364"/>
  <c r="BP351"/>
  <c r="BP346"/>
  <c r="BP348"/>
  <c r="BP341"/>
  <c r="BP342"/>
  <c r="BP371"/>
  <c r="AP375"/>
  <c r="AP326"/>
  <c r="AP368"/>
  <c r="AP332"/>
  <c r="AP328"/>
  <c r="AP357"/>
  <c r="AP349"/>
  <c r="AP373"/>
  <c r="AP342"/>
  <c r="AP366"/>
  <c r="BN372"/>
  <c r="BN327"/>
  <c r="BN341"/>
  <c r="BN357"/>
  <c r="BN334"/>
  <c r="BN330"/>
  <c r="BN365"/>
  <c r="BN355"/>
  <c r="BN329"/>
  <c r="BN340"/>
  <c r="AX332"/>
  <c r="AX334"/>
  <c r="AX330"/>
  <c r="AX350"/>
  <c r="AX333"/>
  <c r="AX343"/>
  <c r="AX355"/>
  <c r="AX370"/>
  <c r="AX352"/>
  <c r="AX339"/>
  <c r="BV333"/>
  <c r="BV363"/>
  <c r="BV354"/>
  <c r="BV370"/>
  <c r="BV349"/>
  <c r="BV339"/>
  <c r="BV327"/>
  <c r="BV358"/>
  <c r="AS365"/>
  <c r="AS349"/>
  <c r="AS329"/>
  <c r="AS364"/>
  <c r="AS366"/>
  <c r="AS346"/>
  <c r="AS374"/>
  <c r="AS338"/>
  <c r="AS352"/>
  <c r="AS337"/>
  <c r="AS369"/>
  <c r="BB340"/>
  <c r="BB354"/>
  <c r="BF359"/>
  <c r="BF372"/>
  <c r="BF373"/>
  <c r="BF326"/>
  <c r="BO355"/>
  <c r="BO350"/>
  <c r="BT352"/>
  <c r="BT363"/>
  <c r="BT337"/>
  <c r="BT353"/>
  <c r="BT358"/>
  <c r="BT339"/>
  <c r="BT342"/>
  <c r="BT347"/>
  <c r="BT340"/>
  <c r="BT360"/>
  <c r="BT327"/>
  <c r="BT362"/>
  <c r="BU340"/>
  <c r="BU374"/>
  <c r="BU363"/>
  <c r="BU359"/>
  <c r="BU327"/>
  <c r="BU360"/>
  <c r="BU328"/>
  <c r="BU331"/>
  <c r="BU335"/>
  <c r="BU368"/>
  <c r="BU352"/>
  <c r="BU332"/>
  <c r="AZ333"/>
  <c r="AZ347"/>
  <c r="AZ346"/>
  <c r="AZ330"/>
  <c r="AZ364"/>
  <c r="AZ328"/>
  <c r="AJ366"/>
  <c r="AJ374"/>
  <c r="AJ348"/>
  <c r="AJ336"/>
  <c r="AJ361"/>
  <c r="AJ355"/>
  <c r="AJ330"/>
  <c r="AJ353"/>
  <c r="AJ369"/>
  <c r="AJ360"/>
  <c r="AJ349"/>
  <c r="AJ368"/>
  <c r="BH354"/>
  <c r="BH373"/>
  <c r="BH351"/>
  <c r="BH348"/>
  <c r="BH349"/>
  <c r="BH328"/>
  <c r="BH331"/>
  <c r="BH347"/>
  <c r="BH370"/>
  <c r="BH350"/>
  <c r="BH375"/>
  <c r="BH339"/>
  <c r="BJ339"/>
  <c r="BJ370"/>
  <c r="BJ352"/>
  <c r="BJ349"/>
  <c r="BJ331"/>
  <c r="BJ373"/>
  <c r="BJ364"/>
  <c r="BJ362"/>
  <c r="BJ356"/>
  <c r="BJ358"/>
  <c r="BJ337"/>
  <c r="BX372"/>
  <c r="BX329"/>
  <c r="BX350"/>
  <c r="BX339"/>
  <c r="BX348"/>
  <c r="BX345"/>
  <c r="BX359"/>
  <c r="BX335"/>
  <c r="BX370"/>
  <c r="BX346"/>
  <c r="BX364"/>
  <c r="BX352"/>
  <c r="AL327"/>
  <c r="AL365"/>
  <c r="AL331"/>
  <c r="AL355"/>
  <c r="AL369"/>
  <c r="AL341"/>
  <c r="AL350"/>
  <c r="AL358"/>
  <c r="AL340"/>
  <c r="AL364"/>
  <c r="BE341"/>
  <c r="BE330"/>
  <c r="BE352"/>
  <c r="BE361"/>
  <c r="BE349"/>
  <c r="BE370"/>
  <c r="BE354"/>
  <c r="BE336"/>
  <c r="BE356"/>
  <c r="BE338"/>
  <c r="BE331"/>
  <c r="BE327"/>
  <c r="BB363"/>
  <c r="BB372"/>
  <c r="BB366"/>
  <c r="BB328"/>
  <c r="BB334"/>
  <c r="BB373"/>
  <c r="BB371"/>
  <c r="BB358"/>
  <c r="BB338"/>
  <c r="BB356"/>
  <c r="BB342"/>
  <c r="AC364"/>
  <c r="AC375"/>
  <c r="AC365"/>
  <c r="AC368"/>
  <c r="AC328"/>
  <c r="AC356"/>
  <c r="AC337"/>
  <c r="AC340"/>
  <c r="AC363"/>
  <c r="GL188"/>
  <c r="GL182"/>
  <c r="GL185"/>
  <c r="GL189"/>
  <c r="GL183"/>
  <c r="GL186"/>
  <c r="GL181"/>
  <c r="GL187"/>
  <c r="GL180"/>
  <c r="GL184"/>
  <c r="GY4" i="90"/>
  <c r="GY5"/>
  <c r="GK205" i="86"/>
  <c r="GK197"/>
  <c r="GK204"/>
  <c r="GK198"/>
  <c r="GK203"/>
  <c r="GK201"/>
  <c r="GK200"/>
  <c r="GK199"/>
  <c r="GK202"/>
  <c r="GK196"/>
  <c r="D23" i="27"/>
  <c r="D411" i="86"/>
  <c r="D410"/>
  <c r="EA399"/>
  <c r="GH225"/>
  <c r="GU234"/>
  <c r="GG230"/>
  <c r="GD236"/>
  <c r="GH228"/>
  <c r="GH232"/>
  <c r="GG234"/>
  <c r="GQ172"/>
  <c r="GH227"/>
  <c r="GH231"/>
  <c r="GG232"/>
  <c r="GG231"/>
  <c r="GG228"/>
  <c r="GH226"/>
  <c r="GG224"/>
  <c r="GH233"/>
  <c r="GG227"/>
  <c r="GA225"/>
  <c r="GH229"/>
  <c r="GH224"/>
  <c r="GG226"/>
  <c r="GH230"/>
  <c r="GH234"/>
  <c r="GG225"/>
  <c r="GO178"/>
  <c r="GF166"/>
  <c r="GD237"/>
  <c r="GA226"/>
  <c r="GP178"/>
  <c r="GR167"/>
  <c r="GJ217"/>
  <c r="GJ213"/>
  <c r="GJ211"/>
  <c r="GJ216"/>
  <c r="GJ212"/>
  <c r="GJ210"/>
  <c r="GL220"/>
  <c r="GJ219"/>
  <c r="GJ218"/>
  <c r="GJ215"/>
  <c r="GJ214"/>
  <c r="GK216"/>
  <c r="GK218"/>
  <c r="GK214"/>
  <c r="GK217"/>
  <c r="GK215"/>
  <c r="GK210"/>
  <c r="GK213"/>
  <c r="GK212"/>
  <c r="GK211"/>
  <c r="GK219"/>
  <c r="GT202"/>
  <c r="GG196"/>
  <c r="GT203"/>
  <c r="GH200"/>
  <c r="GT206"/>
  <c r="GT201"/>
  <c r="GG197"/>
  <c r="GG202"/>
  <c r="GG203"/>
  <c r="GH206"/>
  <c r="GT198"/>
  <c r="GG201"/>
  <c r="GH197"/>
  <c r="GH201"/>
  <c r="GE166"/>
  <c r="GH198"/>
  <c r="GG198"/>
  <c r="GG199"/>
  <c r="GT196"/>
  <c r="GT200"/>
  <c r="GT204"/>
  <c r="GT205"/>
  <c r="GH205"/>
  <c r="GT199"/>
  <c r="GG204"/>
  <c r="GG206"/>
  <c r="GG205"/>
  <c r="GH203"/>
  <c r="GG200"/>
  <c r="GT197"/>
  <c r="GH199"/>
  <c r="GH196"/>
  <c r="GH202"/>
  <c r="GH204"/>
  <c r="BU338"/>
  <c r="BU350"/>
  <c r="BU339"/>
  <c r="AZ331"/>
  <c r="AZ334"/>
  <c r="AZ363"/>
  <c r="AZ335"/>
  <c r="AZ366"/>
  <c r="AZ351"/>
  <c r="AZ337"/>
  <c r="AZ369"/>
  <c r="AJ351"/>
  <c r="AJ331"/>
  <c r="AJ328"/>
  <c r="AJ373"/>
  <c r="AJ335"/>
  <c r="AJ362"/>
  <c r="BH334"/>
  <c r="BH357"/>
  <c r="BH363"/>
  <c r="BH353"/>
  <c r="BH343"/>
  <c r="BH335"/>
  <c r="BH333"/>
  <c r="BH356"/>
  <c r="BJ372"/>
  <c r="BJ348"/>
  <c r="BJ351"/>
  <c r="BJ332"/>
  <c r="BJ369"/>
  <c r="BJ330"/>
  <c r="BX353"/>
  <c r="BX366"/>
  <c r="BX347"/>
  <c r="BX337"/>
  <c r="BX328"/>
  <c r="BX365"/>
  <c r="BX373"/>
  <c r="BX344"/>
  <c r="AL351"/>
  <c r="AL375"/>
  <c r="AL352"/>
  <c r="AL339"/>
  <c r="AL362"/>
  <c r="AL374"/>
  <c r="AL329"/>
  <c r="AL326"/>
  <c r="BE347"/>
  <c r="BE346"/>
  <c r="BE353"/>
  <c r="BE342"/>
  <c r="BE357"/>
  <c r="BE326"/>
  <c r="BE350"/>
  <c r="BE366"/>
  <c r="BE368"/>
  <c r="BE362"/>
  <c r="BB346"/>
  <c r="BB343"/>
  <c r="BB345"/>
  <c r="BB368"/>
  <c r="BB359"/>
  <c r="BB375"/>
  <c r="BB339"/>
  <c r="AC369"/>
  <c r="AC347"/>
  <c r="AC339"/>
  <c r="AC350"/>
  <c r="AC338"/>
  <c r="AC341"/>
  <c r="AC366"/>
  <c r="AC353"/>
  <c r="AC343"/>
  <c r="AC362"/>
  <c r="AV374"/>
  <c r="AV331"/>
  <c r="AV347"/>
  <c r="AV370"/>
  <c r="AV371"/>
  <c r="AV365"/>
  <c r="AV353"/>
  <c r="AV366"/>
  <c r="GG233"/>
  <c r="BF327"/>
  <c r="BF345"/>
  <c r="BF348"/>
  <c r="BS341"/>
  <c r="BS343"/>
  <c r="BS357"/>
  <c r="BS359"/>
  <c r="BS358"/>
  <c r="BS338"/>
  <c r="BS375"/>
  <c r="BS327"/>
  <c r="BS340"/>
  <c r="BS365"/>
  <c r="BO326"/>
  <c r="BO371"/>
  <c r="BO327"/>
  <c r="BO344"/>
  <c r="BO352"/>
  <c r="BO363"/>
  <c r="BO364"/>
  <c r="BO348"/>
  <c r="BO353"/>
  <c r="AW332"/>
  <c r="AW327"/>
  <c r="AW353"/>
  <c r="AW365"/>
  <c r="AW352"/>
  <c r="AW350"/>
  <c r="AW357"/>
  <c r="AW364"/>
  <c r="GS234"/>
  <c r="GH172"/>
  <c r="GH174" s="1"/>
  <c r="GH167"/>
  <c r="GH168" s="1"/>
  <c r="GH169" s="1"/>
  <c r="FU312"/>
  <c r="FV312" s="1"/>
  <c r="FW312" s="1"/>
  <c r="HC188"/>
  <c r="HC225"/>
  <c r="HC229"/>
  <c r="HC204"/>
  <c r="HC213"/>
  <c r="HC221"/>
  <c r="HC208"/>
  <c r="HC191"/>
  <c r="HC228"/>
  <c r="HC210"/>
  <c r="HC201"/>
  <c r="HC181"/>
  <c r="HC200"/>
  <c r="HC205"/>
  <c r="HC223"/>
  <c r="HC211"/>
  <c r="HC215"/>
  <c r="HC209"/>
  <c r="HC196"/>
  <c r="HC194"/>
  <c r="HC227"/>
  <c r="HC219"/>
  <c r="HC202"/>
  <c r="HC189"/>
  <c r="HC193"/>
  <c r="HC207"/>
  <c r="HC199"/>
  <c r="HC197"/>
  <c r="HC184"/>
  <c r="HC216"/>
  <c r="HC226"/>
  <c r="HC230"/>
  <c r="HC231"/>
  <c r="HC206"/>
  <c r="HC185"/>
  <c r="HC222"/>
  <c r="HC190"/>
  <c r="HC182"/>
  <c r="HC183"/>
  <c r="HC203"/>
  <c r="HC220"/>
  <c r="HC198"/>
  <c r="HC186"/>
  <c r="HC187"/>
  <c r="HC217"/>
  <c r="HC192"/>
  <c r="HC224"/>
  <c r="HC218"/>
  <c r="HC212"/>
  <c r="HC214"/>
  <c r="GA212"/>
  <c r="GP177"/>
  <c r="GN167"/>
  <c r="GT216"/>
  <c r="GT217"/>
  <c r="GA211"/>
  <c r="GG217"/>
  <c r="GH215"/>
  <c r="GT212"/>
  <c r="GM172"/>
  <c r="GH219"/>
  <c r="GG213"/>
  <c r="GH211"/>
  <c r="GH217"/>
  <c r="GG216"/>
  <c r="GH216"/>
  <c r="GG219"/>
  <c r="GU220"/>
  <c r="GT213"/>
  <c r="GH220"/>
  <c r="GT219"/>
  <c r="GG215"/>
  <c r="GH218"/>
  <c r="GT211"/>
  <c r="GT220"/>
  <c r="GT215"/>
  <c r="GG211"/>
  <c r="GT214"/>
  <c r="GH212"/>
  <c r="GH210"/>
  <c r="GG210"/>
  <c r="GT218"/>
  <c r="GG220"/>
  <c r="GH213"/>
  <c r="GG214"/>
  <c r="GH214"/>
  <c r="GG212"/>
  <c r="GT210"/>
  <c r="GG218"/>
  <c r="GO177"/>
  <c r="BJ353"/>
  <c r="BJ350"/>
  <c r="BJ326"/>
  <c r="BJ333"/>
  <c r="BJ355"/>
  <c r="BJ328"/>
  <c r="BJ340"/>
  <c r="BJ327"/>
  <c r="BX355"/>
  <c r="BX332"/>
  <c r="BX362"/>
  <c r="BX326"/>
  <c r="BX349"/>
  <c r="BX341"/>
  <c r="BX351"/>
  <c r="BX354"/>
  <c r="AL357"/>
  <c r="AL337"/>
  <c r="AL370"/>
  <c r="BE363"/>
  <c r="BE371"/>
  <c r="BE351"/>
  <c r="BE335"/>
  <c r="BE364"/>
  <c r="BE369"/>
  <c r="BE375"/>
  <c r="BE348"/>
  <c r="BE374"/>
  <c r="BE345"/>
  <c r="BE360"/>
  <c r="BB330"/>
  <c r="BB365"/>
  <c r="BB351"/>
  <c r="BB331"/>
  <c r="BB370"/>
  <c r="BB344"/>
  <c r="BB348"/>
  <c r="AC354"/>
  <c r="AC355"/>
  <c r="AC351"/>
  <c r="AC331"/>
  <c r="AC336"/>
  <c r="AC326"/>
  <c r="AC346"/>
  <c r="AC333"/>
  <c r="AC373"/>
  <c r="AC334"/>
  <c r="AC348"/>
  <c r="AC371"/>
  <c r="AV372"/>
  <c r="AV364"/>
  <c r="AV358"/>
  <c r="AV354"/>
  <c r="BF343"/>
  <c r="BF351"/>
  <c r="BF366"/>
  <c r="BF354"/>
  <c r="BF371"/>
  <c r="BF337"/>
  <c r="BS350"/>
  <c r="BS370"/>
  <c r="BS349"/>
  <c r="BS353"/>
  <c r="BS373"/>
  <c r="BS335"/>
  <c r="BS337"/>
  <c r="BS333"/>
  <c r="BS339"/>
  <c r="BS371"/>
  <c r="BO336"/>
  <c r="BO358"/>
  <c r="BO332"/>
  <c r="BO346"/>
  <c r="BO374"/>
  <c r="BO362"/>
  <c r="BO373"/>
  <c r="BO328"/>
  <c r="AW366"/>
  <c r="AW334"/>
  <c r="AW348"/>
  <c r="AW341"/>
  <c r="AW345"/>
  <c r="AW330"/>
  <c r="AW335"/>
  <c r="AW344"/>
  <c r="AW326"/>
  <c r="GJ233"/>
  <c r="GJ224"/>
  <c r="GJ228"/>
  <c r="GJ230"/>
  <c r="GL234"/>
  <c r="GJ229"/>
  <c r="GJ226"/>
  <c r="GJ231"/>
  <c r="GJ232"/>
  <c r="GJ227"/>
  <c r="GJ225"/>
  <c r="GK229"/>
  <c r="GK225"/>
  <c r="GK227"/>
  <c r="GK230"/>
  <c r="GK232"/>
  <c r="GK226"/>
  <c r="GK231"/>
  <c r="GK224"/>
  <c r="GK233"/>
  <c r="GK228"/>
  <c r="GL206"/>
  <c r="GJ197"/>
  <c r="GJ200"/>
  <c r="GJ196"/>
  <c r="GJ205"/>
  <c r="GJ202"/>
  <c r="GJ199"/>
  <c r="GJ204"/>
  <c r="GJ203"/>
  <c r="GJ198"/>
  <c r="GJ201"/>
  <c r="GS212"/>
  <c r="GS219"/>
  <c r="GS214"/>
  <c r="GS216"/>
  <c r="GS210"/>
  <c r="GS218"/>
  <c r="GS215"/>
  <c r="GS211"/>
  <c r="GS217"/>
  <c r="GS213"/>
  <c r="BJ368"/>
  <c r="BJ346"/>
  <c r="BJ347"/>
  <c r="BJ343"/>
  <c r="BX358"/>
  <c r="BX342"/>
  <c r="BX360"/>
  <c r="BX357"/>
  <c r="BX340"/>
  <c r="BX369"/>
  <c r="BX327"/>
  <c r="BX356"/>
  <c r="BX333"/>
  <c r="BX375"/>
  <c r="BX334"/>
  <c r="AL359"/>
  <c r="AL360"/>
  <c r="AL338"/>
  <c r="AL361"/>
  <c r="BE337"/>
  <c r="BE339"/>
  <c r="BE373"/>
  <c r="BE334"/>
  <c r="BE365"/>
  <c r="BE333"/>
  <c r="BE343"/>
  <c r="BE372"/>
  <c r="BE329"/>
  <c r="BE359"/>
  <c r="BB329"/>
  <c r="BB374"/>
  <c r="BB369"/>
  <c r="BB350"/>
  <c r="BB362"/>
  <c r="BB360"/>
  <c r="BB353"/>
  <c r="BB333"/>
  <c r="BB337"/>
  <c r="BB364"/>
  <c r="BB335"/>
  <c r="AC332"/>
  <c r="AC335"/>
  <c r="AC344"/>
  <c r="AC349"/>
  <c r="AC342"/>
  <c r="AC352"/>
  <c r="AC370"/>
  <c r="AC372"/>
  <c r="AC357"/>
  <c r="AC361"/>
  <c r="AC360"/>
  <c r="AC358"/>
  <c r="AV338"/>
  <c r="AV332"/>
  <c r="AV334"/>
  <c r="AV336"/>
  <c r="AV348"/>
  <c r="AV357"/>
  <c r="AV360"/>
  <c r="AV350"/>
  <c r="AV330"/>
  <c r="AV344"/>
  <c r="GG229"/>
  <c r="BF349"/>
  <c r="BF330"/>
  <c r="BF375"/>
  <c r="BF339"/>
  <c r="BS363"/>
  <c r="BS360"/>
  <c r="BS354"/>
  <c r="BS362"/>
  <c r="BS366"/>
  <c r="BS346"/>
  <c r="BS326"/>
  <c r="BS345"/>
  <c r="BS336"/>
  <c r="BS342"/>
  <c r="BO354"/>
  <c r="BO337"/>
  <c r="BO370"/>
  <c r="BO339"/>
  <c r="BO330"/>
  <c r="BO340"/>
  <c r="BO347"/>
  <c r="BO343"/>
  <c r="BO359"/>
  <c r="BO356"/>
  <c r="BO334"/>
  <c r="AW343"/>
  <c r="AW337"/>
  <c r="AW339"/>
  <c r="AW346"/>
  <c r="AW374"/>
  <c r="AW351"/>
  <c r="AW362"/>
  <c r="AW338"/>
  <c r="GY17" i="90"/>
  <c r="FP233" l="1"/>
  <c r="FQ233" s="1"/>
  <c r="FR233"/>
  <c r="FS233"/>
  <c r="FW233"/>
  <c r="AP226"/>
  <c r="GN346" i="87"/>
  <c r="GC356"/>
  <c r="GB356" s="1"/>
  <c r="GC353"/>
  <c r="GB353" s="1"/>
  <c r="GD346"/>
  <c r="GC352"/>
  <c r="GC384" s="1"/>
  <c r="GD349"/>
  <c r="GC350"/>
  <c r="GN350" s="1"/>
  <c r="GO342"/>
  <c r="GC381"/>
  <c r="GC351"/>
  <c r="GB351" s="1"/>
  <c r="GC347"/>
  <c r="GE346"/>
  <c r="GN349"/>
  <c r="GE349"/>
  <c r="GC348"/>
  <c r="GN348" s="1"/>
  <c r="GC354"/>
  <c r="GC372" s="1"/>
  <c r="GC355"/>
  <c r="GD355" s="1"/>
  <c r="GF338"/>
  <c r="GF340"/>
  <c r="FP211" i="91"/>
  <c r="D227"/>
  <c r="D225"/>
  <c r="D229"/>
  <c r="D221"/>
  <c r="EL211"/>
  <c r="D228"/>
  <c r="D222"/>
  <c r="I234"/>
  <c r="I235"/>
  <c r="D215"/>
  <c r="D218"/>
  <c r="D219"/>
  <c r="I233"/>
  <c r="CR234"/>
  <c r="D216"/>
  <c r="D224"/>
  <c r="FO234"/>
  <c r="D223"/>
  <c r="D220"/>
  <c r="D226"/>
  <c r="D231"/>
  <c r="D214"/>
  <c r="D217"/>
  <c r="D230"/>
  <c r="Q14" i="2"/>
  <c r="P29" s="1"/>
  <c r="DH216" i="90"/>
  <c r="AN226"/>
  <c r="D222"/>
  <c r="K227"/>
  <c r="K225"/>
  <c r="D223"/>
  <c r="BY220"/>
  <c r="K226"/>
  <c r="FP198"/>
  <c r="GW27"/>
  <c r="GW28" s="1"/>
  <c r="GX28" s="1"/>
  <c r="FO226"/>
  <c r="AN233" s="1"/>
  <c r="FQ226"/>
  <c r="GH166" i="86"/>
  <c r="GI169" s="1"/>
  <c r="GI174" s="1"/>
  <c r="GS226"/>
  <c r="GS228"/>
  <c r="GS225"/>
  <c r="GS227"/>
  <c r="GS230"/>
  <c r="GS233"/>
  <c r="GS231"/>
  <c r="GS224"/>
  <c r="GS232"/>
  <c r="GS229"/>
  <c r="GL211"/>
  <c r="GL219"/>
  <c r="GL216"/>
  <c r="GL215"/>
  <c r="GL213"/>
  <c r="GL217"/>
  <c r="GL218"/>
  <c r="GL212"/>
  <c r="GL210"/>
  <c r="GL214"/>
  <c r="GN168"/>
  <c r="GF168"/>
  <c r="GG168" s="1"/>
  <c r="GU210"/>
  <c r="GU215"/>
  <c r="GU212"/>
  <c r="GU214"/>
  <c r="GU211"/>
  <c r="GU213"/>
  <c r="GU217"/>
  <c r="GU219"/>
  <c r="GU218"/>
  <c r="GU216"/>
  <c r="GL226"/>
  <c r="GL233"/>
  <c r="GL231"/>
  <c r="GL230"/>
  <c r="GL224"/>
  <c r="GL228"/>
  <c r="GL225"/>
  <c r="GL227"/>
  <c r="GL232"/>
  <c r="GL229"/>
  <c r="GD174"/>
  <c r="GH173"/>
  <c r="GF169" s="1"/>
  <c r="GG169" s="1"/>
  <c r="GE174"/>
  <c r="GU226"/>
  <c r="GU228"/>
  <c r="GU231"/>
  <c r="GU232"/>
  <c r="GU227"/>
  <c r="GU233"/>
  <c r="GU229"/>
  <c r="GU230"/>
  <c r="GU224"/>
  <c r="GU225"/>
  <c r="GR168"/>
  <c r="GL203"/>
  <c r="GL196"/>
  <c r="GL204"/>
  <c r="GL205"/>
  <c r="GL200"/>
  <c r="GL201"/>
  <c r="GL198"/>
  <c r="GL199"/>
  <c r="GL202"/>
  <c r="GL197"/>
  <c r="GB235"/>
  <c r="FU233" i="90" l="1"/>
  <c r="FV233" s="1"/>
  <c r="FT233"/>
  <c r="FM233"/>
  <c r="FX233"/>
  <c r="GN353" i="87"/>
  <c r="GC385"/>
  <c r="GD353"/>
  <c r="GC388"/>
  <c r="GN355"/>
  <c r="GC373"/>
  <c r="GC374"/>
  <c r="GN356"/>
  <c r="GC387"/>
  <c r="GB355"/>
  <c r="GD356"/>
  <c r="GE382"/>
  <c r="GB348"/>
  <c r="GD347"/>
  <c r="GE347"/>
  <c r="GE381"/>
  <c r="GE379"/>
  <c r="GB346"/>
  <c r="GE348"/>
  <c r="GE378"/>
  <c r="GN347"/>
  <c r="GC379"/>
  <c r="GC380"/>
  <c r="GD348"/>
  <c r="GB347"/>
  <c r="GB357" s="1"/>
  <c r="GN352"/>
  <c r="GD354"/>
  <c r="GB352"/>
  <c r="GC386"/>
  <c r="GD352"/>
  <c r="GN354"/>
  <c r="GB354"/>
  <c r="GC382"/>
  <c r="GC383"/>
  <c r="GE350"/>
  <c r="GE351"/>
  <c r="GN351"/>
  <c r="GK343" s="1"/>
  <c r="GM338" s="1"/>
  <c r="GD350"/>
  <c r="GD351"/>
  <c r="GB350"/>
  <c r="GG340"/>
  <c r="GH335" s="1"/>
  <c r="GH336" s="1"/>
  <c r="GH337" s="1"/>
  <c r="GE340" s="1"/>
  <c r="D249" i="91"/>
  <c r="D242"/>
  <c r="D248"/>
  <c r="FO282"/>
  <c r="I281"/>
  <c r="D257"/>
  <c r="D245"/>
  <c r="D259"/>
  <c r="D254"/>
  <c r="D239"/>
  <c r="D237"/>
  <c r="I282"/>
  <c r="D258"/>
  <c r="D243"/>
  <c r="D256"/>
  <c r="D253"/>
  <c r="EH282"/>
  <c r="D251"/>
  <c r="CT234"/>
  <c r="D278"/>
  <c r="I283"/>
  <c r="D244"/>
  <c r="D279"/>
  <c r="E260"/>
  <c r="D250"/>
  <c r="D241"/>
  <c r="D247"/>
  <c r="D252"/>
  <c r="D255"/>
  <c r="D246"/>
  <c r="D238"/>
  <c r="Q15" i="2"/>
  <c r="P30" s="1"/>
  <c r="AP233" i="90"/>
  <c r="FO198"/>
  <c r="GX27"/>
  <c r="GY28" s="1"/>
  <c r="GW26"/>
  <c r="GW25" s="1"/>
  <c r="K233"/>
  <c r="FO233"/>
  <c r="K234"/>
  <c r="K232"/>
  <c r="D229"/>
  <c r="D230"/>
  <c r="GU206" i="86"/>
  <c r="GU205" s="1"/>
  <c r="GK169"/>
  <c r="GI172"/>
  <c r="GS168"/>
  <c r="GS169"/>
  <c r="GT168"/>
  <c r="GO168"/>
  <c r="GO169"/>
  <c r="GP168"/>
  <c r="GF167"/>
  <c r="GG167"/>
  <c r="GG177"/>
  <c r="GS172" l="1"/>
  <c r="GT172" s="1"/>
  <c r="GW206"/>
  <c r="GX206"/>
  <c r="GH338" i="87"/>
  <c r="GH340" s="1"/>
  <c r="GH339" s="1"/>
  <c r="GF337" s="1"/>
  <c r="GG337" s="1"/>
  <c r="GO343"/>
  <c r="GI343"/>
  <c r="GF334" s="1"/>
  <c r="GH343"/>
  <c r="GE334" s="1"/>
  <c r="GL343"/>
  <c r="GN335" s="1"/>
  <c r="GN336" s="1"/>
  <c r="GP336" s="1"/>
  <c r="GJ343"/>
  <c r="GG334" s="1"/>
  <c r="GN343"/>
  <c r="GD391" s="1"/>
  <c r="GM343"/>
  <c r="GO344" s="1"/>
  <c r="GD340"/>
  <c r="GG343" s="1"/>
  <c r="EJ282" i="91"/>
  <c r="DY320"/>
  <c r="EA312"/>
  <c r="EA316"/>
  <c r="EF312"/>
  <c r="D291"/>
  <c r="D296"/>
  <c r="EA319"/>
  <c r="EA317"/>
  <c r="D294"/>
  <c r="D289"/>
  <c r="D309"/>
  <c r="D292"/>
  <c r="EA311"/>
  <c r="EA320"/>
  <c r="D287"/>
  <c r="D286"/>
  <c r="EF316"/>
  <c r="EF320"/>
  <c r="D290"/>
  <c r="D288"/>
  <c r="D298"/>
  <c r="D308"/>
  <c r="EA321"/>
  <c r="EA315"/>
  <c r="D285"/>
  <c r="D297"/>
  <c r="DY312"/>
  <c r="DY316"/>
  <c r="D295"/>
  <c r="EA313"/>
  <c r="FN320"/>
  <c r="DE266" i="90"/>
  <c r="D204"/>
  <c r="BY202"/>
  <c r="AT217"/>
  <c r="D201"/>
  <c r="BY207"/>
  <c r="DF216"/>
  <c r="D209"/>
  <c r="D213"/>
  <c r="D205"/>
  <c r="BY211"/>
  <c r="AT215"/>
  <c r="FR216"/>
  <c r="FQ216"/>
  <c r="AT216"/>
  <c r="DH198"/>
  <c r="DK261"/>
  <c r="DE260"/>
  <c r="DE265"/>
  <c r="DE262"/>
  <c r="DE264"/>
  <c r="D236"/>
  <c r="DE269"/>
  <c r="DB269"/>
  <c r="DB265"/>
  <c r="GX26"/>
  <c r="GY27" s="1"/>
  <c r="DK265"/>
  <c r="D237"/>
  <c r="D238"/>
  <c r="FO261"/>
  <c r="D240"/>
  <c r="DE257"/>
  <c r="DE270"/>
  <c r="FO257"/>
  <c r="D239"/>
  <c r="DE256"/>
  <c r="FO269"/>
  <c r="DB261"/>
  <c r="DK269"/>
  <c r="DE268"/>
  <c r="D241"/>
  <c r="DE258"/>
  <c r="FO265"/>
  <c r="D242"/>
  <c r="DB257"/>
  <c r="DE261"/>
  <c r="DK257"/>
  <c r="GL169" i="86"/>
  <c r="GO172"/>
  <c r="GP172" s="1"/>
  <c r="GU203"/>
  <c r="GU199"/>
  <c r="GF336" i="87"/>
  <c r="GG336" s="1"/>
  <c r="GF335" s="1"/>
  <c r="GU202" i="86"/>
  <c r="GU201"/>
  <c r="GU198"/>
  <c r="GU200"/>
  <c r="GU204"/>
  <c r="GU196"/>
  <c r="GU197"/>
  <c r="GO213"/>
  <c r="GF216"/>
  <c r="GO219"/>
  <c r="GF212"/>
  <c r="GF217"/>
  <c r="GQ176"/>
  <c r="GA213"/>
  <c r="GA210" s="1"/>
  <c r="GB210" s="1"/>
  <c r="GO216"/>
  <c r="GO212"/>
  <c r="GE237"/>
  <c r="GD235" s="1"/>
  <c r="GD234" s="1"/>
  <c r="GA227"/>
  <c r="GQ178"/>
  <c r="GO218"/>
  <c r="GO210"/>
  <c r="GO215"/>
  <c r="GF218"/>
  <c r="GF215"/>
  <c r="GF219"/>
  <c r="GF214"/>
  <c r="HG188"/>
  <c r="GM234"/>
  <c r="GO211"/>
  <c r="HG213"/>
  <c r="HG212"/>
  <c r="HG190"/>
  <c r="HG194"/>
  <c r="HG183"/>
  <c r="HG196"/>
  <c r="HG228"/>
  <c r="GF213"/>
  <c r="GO217"/>
  <c r="HG200"/>
  <c r="HG211"/>
  <c r="GM220"/>
  <c r="GF205"/>
  <c r="HG191"/>
  <c r="HG204"/>
  <c r="HG181"/>
  <c r="HH181" s="1"/>
  <c r="GO214"/>
  <c r="GF202"/>
  <c r="HG189"/>
  <c r="GO220"/>
  <c r="HG184"/>
  <c r="HG192"/>
  <c r="GQ177"/>
  <c r="GF220"/>
  <c r="HG224"/>
  <c r="HG205"/>
  <c r="HG217"/>
  <c r="HG210"/>
  <c r="GO224"/>
  <c r="GF198"/>
  <c r="HG231"/>
  <c r="HD180"/>
  <c r="HG219"/>
  <c r="HG202"/>
  <c r="HG230"/>
  <c r="GO196"/>
  <c r="HG218"/>
  <c r="HG226"/>
  <c r="GF199"/>
  <c r="HG207"/>
  <c r="HG198"/>
  <c r="GF201"/>
  <c r="HG187"/>
  <c r="GF204"/>
  <c r="HG185"/>
  <c r="HG203"/>
  <c r="HG186"/>
  <c r="GF203"/>
  <c r="HG182"/>
  <c r="HG223"/>
  <c r="HG221"/>
  <c r="HG215"/>
  <c r="HG206"/>
  <c r="HG193"/>
  <c r="HG222"/>
  <c r="HG227"/>
  <c r="HG214"/>
  <c r="GF200"/>
  <c r="HG220"/>
  <c r="GF206"/>
  <c r="HG201"/>
  <c r="HG208"/>
  <c r="HG225"/>
  <c r="HG199"/>
  <c r="HG209"/>
  <c r="HG197"/>
  <c r="GM206"/>
  <c r="HG229"/>
  <c r="HG216"/>
  <c r="HD197"/>
  <c r="HD212"/>
  <c r="HD231"/>
  <c r="HD215"/>
  <c r="HD188"/>
  <c r="HD181"/>
  <c r="HD214"/>
  <c r="HD206"/>
  <c r="HD209"/>
  <c r="HD225"/>
  <c r="HD191"/>
  <c r="HD183"/>
  <c r="HD202"/>
  <c r="HD208"/>
  <c r="HD217"/>
  <c r="HD216"/>
  <c r="HD187"/>
  <c r="HD196"/>
  <c r="HD203"/>
  <c r="HD190"/>
  <c r="HD227"/>
  <c r="HD213"/>
  <c r="HE213" s="1"/>
  <c r="HD189"/>
  <c r="HD182"/>
  <c r="HD219"/>
  <c r="HD221"/>
  <c r="HD194"/>
  <c r="HD186"/>
  <c r="HD199"/>
  <c r="HD201"/>
  <c r="HD211"/>
  <c r="HD184"/>
  <c r="HD205"/>
  <c r="HD204"/>
  <c r="HD220"/>
  <c r="HD193"/>
  <c r="HD228"/>
  <c r="HD222"/>
  <c r="HE222" s="1"/>
  <c r="HD198"/>
  <c r="HD207"/>
  <c r="HD210"/>
  <c r="HE210" s="1"/>
  <c r="HD230"/>
  <c r="HD224"/>
  <c r="HD226"/>
  <c r="HD223"/>
  <c r="GK172"/>
  <c r="GL172" s="1"/>
  <c r="HD200"/>
  <c r="HD218"/>
  <c r="HD192"/>
  <c r="HD185"/>
  <c r="HD229"/>
  <c r="GF177"/>
  <c r="GB180" s="1"/>
  <c r="GB181" s="1"/>
  <c r="GP169"/>
  <c r="GT169"/>
  <c r="GX25" i="90"/>
  <c r="GW24"/>
  <c r="GW203" i="86" l="1"/>
  <c r="GW202"/>
  <c r="GW198"/>
  <c r="GW205"/>
  <c r="GW196"/>
  <c r="GW201"/>
  <c r="GW197"/>
  <c r="GW200"/>
  <c r="GW204"/>
  <c r="GW199"/>
  <c r="GX196"/>
  <c r="GX199"/>
  <c r="GX198"/>
  <c r="GX200"/>
  <c r="GX197"/>
  <c r="GX203"/>
  <c r="GX204"/>
  <c r="GX201"/>
  <c r="GX202"/>
  <c r="GX205"/>
  <c r="GH334" i="87"/>
  <c r="GI337" s="1"/>
  <c r="GK337" s="1"/>
  <c r="HH192" i="86"/>
  <c r="GO337" i="87"/>
  <c r="GO336"/>
  <c r="GP343"/>
  <c r="GD390"/>
  <c r="GQ338"/>
  <c r="GR335"/>
  <c r="GP344"/>
  <c r="HH185" i="86"/>
  <c r="D326" i="91"/>
  <c r="CQ349"/>
  <c r="DE367"/>
  <c r="D353"/>
  <c r="D324"/>
  <c r="CQ346"/>
  <c r="D354"/>
  <c r="DB367"/>
  <c r="D334"/>
  <c r="DE368"/>
  <c r="D332"/>
  <c r="CQ344"/>
  <c r="D338"/>
  <c r="CQ342"/>
  <c r="D327"/>
  <c r="D329"/>
  <c r="DK367"/>
  <c r="FO367"/>
  <c r="D400" s="1"/>
  <c r="D337"/>
  <c r="EI320"/>
  <c r="D330"/>
  <c r="D325"/>
  <c r="CQ347"/>
  <c r="D323"/>
  <c r="CQ345"/>
  <c r="D331"/>
  <c r="CQ350"/>
  <c r="D340"/>
  <c r="CQ348"/>
  <c r="D335"/>
  <c r="CQ341"/>
  <c r="CQ343"/>
  <c r="D333"/>
  <c r="D328"/>
  <c r="DE366"/>
  <c r="D336"/>
  <c r="HH184" i="86"/>
  <c r="HE184"/>
  <c r="HH222"/>
  <c r="HH214"/>
  <c r="HE228"/>
  <c r="HE207"/>
  <c r="DO261" i="90"/>
  <c r="HE216" i="86"/>
  <c r="GY26" i="90"/>
  <c r="FO273"/>
  <c r="D273" s="1"/>
  <c r="HE218" i="86"/>
  <c r="HE192"/>
  <c r="HH182"/>
  <c r="HE181"/>
  <c r="HH225"/>
  <c r="GG335" i="87"/>
  <c r="GF343" s="1"/>
  <c r="HH201" i="86"/>
  <c r="HH206"/>
  <c r="HE226"/>
  <c r="HE182"/>
  <c r="HH208"/>
  <c r="HH196"/>
  <c r="GB191"/>
  <c r="GF197"/>
  <c r="HE230"/>
  <c r="HE204"/>
  <c r="HE221"/>
  <c r="HE196"/>
  <c r="HH220"/>
  <c r="HE229"/>
  <c r="HE200"/>
  <c r="HE224"/>
  <c r="HE198"/>
  <c r="HE220"/>
  <c r="HE189"/>
  <c r="HE203"/>
  <c r="HH229"/>
  <c r="HH227"/>
  <c r="HE193"/>
  <c r="HE186"/>
  <c r="HE190"/>
  <c r="HE206"/>
  <c r="HE215"/>
  <c r="HH216"/>
  <c r="HH209"/>
  <c r="HH198"/>
  <c r="HH205"/>
  <c r="HH191"/>
  <c r="HH200"/>
  <c r="HH212"/>
  <c r="HH188"/>
  <c r="GF186"/>
  <c r="GG188"/>
  <c r="GT188"/>
  <c r="GT189"/>
  <c r="GG189"/>
  <c r="GP176"/>
  <c r="GT185"/>
  <c r="GT190"/>
  <c r="GU190"/>
  <c r="GG187"/>
  <c r="GG185"/>
  <c r="GT184"/>
  <c r="GF185"/>
  <c r="GT180"/>
  <c r="GO184"/>
  <c r="GF180"/>
  <c r="GG182"/>
  <c r="GO187"/>
  <c r="GG181"/>
  <c r="GF189"/>
  <c r="GM190"/>
  <c r="GO182"/>
  <c r="GF188"/>
  <c r="GG190"/>
  <c r="GT187"/>
  <c r="GT182"/>
  <c r="GO185"/>
  <c r="GF183"/>
  <c r="GT183"/>
  <c r="GO186"/>
  <c r="GO190"/>
  <c r="GG186"/>
  <c r="GT186"/>
  <c r="GF182"/>
  <c r="GO188"/>
  <c r="GG180"/>
  <c r="GG183"/>
  <c r="GO183"/>
  <c r="GF184"/>
  <c r="GO180"/>
  <c r="GT181"/>
  <c r="GF190"/>
  <c r="GF187"/>
  <c r="GF181"/>
  <c r="GO181"/>
  <c r="GD169"/>
  <c r="GE169" s="1"/>
  <c r="GO189"/>
  <c r="GG184"/>
  <c r="GR177"/>
  <c r="GI220" s="1"/>
  <c r="GS177"/>
  <c r="GV220" s="1"/>
  <c r="GM231"/>
  <c r="GM233"/>
  <c r="GM226"/>
  <c r="GM225"/>
  <c r="GM230"/>
  <c r="GM228"/>
  <c r="GM229"/>
  <c r="GM227"/>
  <c r="GM224"/>
  <c r="GM232"/>
  <c r="GD229"/>
  <c r="GO229" s="1"/>
  <c r="GD231"/>
  <c r="GO231" s="1"/>
  <c r="GD226"/>
  <c r="GO226" s="1"/>
  <c r="GD227"/>
  <c r="GO227" s="1"/>
  <c r="GD233"/>
  <c r="GO233" s="1"/>
  <c r="GD230"/>
  <c r="GO230" s="1"/>
  <c r="GD232"/>
  <c r="GO232" s="1"/>
  <c r="GD225"/>
  <c r="GO225" s="1"/>
  <c r="GD228"/>
  <c r="GO228" s="1"/>
  <c r="GO234"/>
  <c r="HE183"/>
  <c r="HH202"/>
  <c r="HE223"/>
  <c r="HE205"/>
  <c r="HE199"/>
  <c r="HE219"/>
  <c r="HE227"/>
  <c r="HE187"/>
  <c r="HE202"/>
  <c r="HE209"/>
  <c r="HE188"/>
  <c r="HE197"/>
  <c r="HH197"/>
  <c r="HH193"/>
  <c r="HH223"/>
  <c r="HH203"/>
  <c r="HH226"/>
  <c r="HH230"/>
  <c r="HH231"/>
  <c r="HH217"/>
  <c r="HH189"/>
  <c r="HH204"/>
  <c r="HH211"/>
  <c r="HH228"/>
  <c r="HH190"/>
  <c r="GM197"/>
  <c r="GM198"/>
  <c r="GM205"/>
  <c r="GM200"/>
  <c r="GM202"/>
  <c r="GM204"/>
  <c r="GM196"/>
  <c r="GM199"/>
  <c r="GM201"/>
  <c r="GM203"/>
  <c r="GM218"/>
  <c r="GM217"/>
  <c r="GM210"/>
  <c r="GM212"/>
  <c r="GM215"/>
  <c r="GM216"/>
  <c r="GM213"/>
  <c r="GM211"/>
  <c r="GM214"/>
  <c r="GM219"/>
  <c r="GA224"/>
  <c r="GB224" s="1"/>
  <c r="GA235"/>
  <c r="GB234" s="1"/>
  <c r="GF210"/>
  <c r="GB211"/>
  <c r="GF211" s="1"/>
  <c r="HE185"/>
  <c r="HE201"/>
  <c r="HE208"/>
  <c r="HE225"/>
  <c r="HE212"/>
  <c r="HH221"/>
  <c r="HH186"/>
  <c r="HH187"/>
  <c r="HH210"/>
  <c r="HH194"/>
  <c r="GR178"/>
  <c r="GI234" s="1"/>
  <c r="GS178"/>
  <c r="GV234" s="1"/>
  <c r="HE211"/>
  <c r="HE194"/>
  <c r="HE217"/>
  <c r="HE191"/>
  <c r="HE214"/>
  <c r="HE231"/>
  <c r="HH199"/>
  <c r="HH215"/>
  <c r="HH207"/>
  <c r="HH218"/>
  <c r="HH219"/>
  <c r="HH224"/>
  <c r="HH183"/>
  <c r="HH213"/>
  <c r="GX24" i="90"/>
  <c r="GY25" s="1"/>
  <c r="GW23"/>
  <c r="GQ342" i="87"/>
  <c r="GQ343"/>
  <c r="GE391"/>
  <c r="GQ344"/>
  <c r="GK338"/>
  <c r="GO338"/>
  <c r="GR220" i="86" l="1"/>
  <c r="GI210"/>
  <c r="GI216"/>
  <c r="GI213"/>
  <c r="GI217"/>
  <c r="GI215"/>
  <c r="GI214"/>
  <c r="GI218"/>
  <c r="GI219"/>
  <c r="GI212"/>
  <c r="GI211"/>
  <c r="GI224"/>
  <c r="GR234"/>
  <c r="GI233"/>
  <c r="GI227"/>
  <c r="GI230"/>
  <c r="GI228"/>
  <c r="GI231"/>
  <c r="GI225"/>
  <c r="GI229"/>
  <c r="GI232"/>
  <c r="GI226"/>
  <c r="GV216"/>
  <c r="GV217"/>
  <c r="GV210"/>
  <c r="GV214"/>
  <c r="GV219"/>
  <c r="GV218"/>
  <c r="GV213"/>
  <c r="GV212"/>
  <c r="GV215"/>
  <c r="GV211"/>
  <c r="GX220"/>
  <c r="GW220"/>
  <c r="GV225"/>
  <c r="GV226"/>
  <c r="GV228"/>
  <c r="GV224"/>
  <c r="GV227"/>
  <c r="GV232"/>
  <c r="GV229"/>
  <c r="GV230"/>
  <c r="GV233"/>
  <c r="GV231"/>
  <c r="GX234"/>
  <c r="GW234"/>
  <c r="GP338" i="87"/>
  <c r="GI338"/>
  <c r="GL337" s="1"/>
  <c r="GI340"/>
  <c r="GP337"/>
  <c r="GR336"/>
  <c r="GD389"/>
  <c r="GD388" s="1"/>
  <c r="GD386" s="1"/>
  <c r="D398" i="91"/>
  <c r="D401"/>
  <c r="D402"/>
  <c r="D382"/>
  <c r="D380"/>
  <c r="D381"/>
  <c r="D370"/>
  <c r="D371"/>
  <c r="FP405"/>
  <c r="DT405" s="1"/>
  <c r="D395"/>
  <c r="D394"/>
  <c r="D374"/>
  <c r="D375"/>
  <c r="D396"/>
  <c r="D372"/>
  <c r="CT404"/>
  <c r="D378"/>
  <c r="D383"/>
  <c r="D399"/>
  <c r="CT406"/>
  <c r="CT405"/>
  <c r="DR405"/>
  <c r="D377"/>
  <c r="D373"/>
  <c r="D379"/>
  <c r="D393"/>
  <c r="CR405"/>
  <c r="D376"/>
  <c r="BP281" i="90"/>
  <c r="D275"/>
  <c r="D272"/>
  <c r="BN281"/>
  <c r="BP280"/>
  <c r="CB281"/>
  <c r="FO281"/>
  <c r="BP286" s="1"/>
  <c r="BP282"/>
  <c r="D274"/>
  <c r="D276"/>
  <c r="D278"/>
  <c r="D277"/>
  <c r="HE232" i="86"/>
  <c r="GD206" s="1"/>
  <c r="GD198" s="1"/>
  <c r="GO198" s="1"/>
  <c r="HH232"/>
  <c r="GB196" s="1"/>
  <c r="GB197" s="1"/>
  <c r="GF196" s="1"/>
  <c r="GM188"/>
  <c r="GM189"/>
  <c r="GM182"/>
  <c r="GM181"/>
  <c r="GM183"/>
  <c r="GM180"/>
  <c r="GM185"/>
  <c r="GM186"/>
  <c r="GM187"/>
  <c r="GM184"/>
  <c r="GU181"/>
  <c r="GU189"/>
  <c r="GU182"/>
  <c r="GU188"/>
  <c r="GU186"/>
  <c r="GU187"/>
  <c r="GU185"/>
  <c r="GU180"/>
  <c r="GU183"/>
  <c r="GU184"/>
  <c r="GB228"/>
  <c r="GF234"/>
  <c r="GB233"/>
  <c r="GB230"/>
  <c r="GB226"/>
  <c r="GB229"/>
  <c r="GB231"/>
  <c r="GB227"/>
  <c r="GT234"/>
  <c r="GB232"/>
  <c r="GR176"/>
  <c r="GS176"/>
  <c r="GV190" s="1"/>
  <c r="GF224"/>
  <c r="GT224"/>
  <c r="GS343" i="87"/>
  <c r="GR343"/>
  <c r="GO355"/>
  <c r="GO350"/>
  <c r="GG347"/>
  <c r="GT353"/>
  <c r="GO353"/>
  <c r="GF351"/>
  <c r="GG349"/>
  <c r="GF347"/>
  <c r="GF350"/>
  <c r="GU356"/>
  <c r="GT348"/>
  <c r="GO352"/>
  <c r="GT354"/>
  <c r="GT350"/>
  <c r="GT346"/>
  <c r="GG351"/>
  <c r="GT355"/>
  <c r="GT351"/>
  <c r="GF349"/>
  <c r="GG350"/>
  <c r="GO356"/>
  <c r="GK356"/>
  <c r="GG346"/>
  <c r="GG348"/>
  <c r="GT349"/>
  <c r="GG355"/>
  <c r="GF348"/>
  <c r="GO351"/>
  <c r="GF346"/>
  <c r="GP342"/>
  <c r="GG356"/>
  <c r="GT347"/>
  <c r="GO348"/>
  <c r="GF353"/>
  <c r="GG352"/>
  <c r="GG353"/>
  <c r="GT356"/>
  <c r="GF352"/>
  <c r="GF356"/>
  <c r="GG354"/>
  <c r="GO354"/>
  <c r="GF354"/>
  <c r="GO347"/>
  <c r="GD337"/>
  <c r="GE337" s="1"/>
  <c r="GF355"/>
  <c r="GO349"/>
  <c r="GO346"/>
  <c r="GT352"/>
  <c r="GR344"/>
  <c r="GS344"/>
  <c r="GX23" i="90"/>
  <c r="GY24" s="1"/>
  <c r="GW22"/>
  <c r="GR183" i="86" l="1"/>
  <c r="GR190"/>
  <c r="GR182"/>
  <c r="GR184"/>
  <c r="GR180"/>
  <c r="GR185"/>
  <c r="GR188"/>
  <c r="GR187"/>
  <c r="GR189"/>
  <c r="GR181"/>
  <c r="GR186"/>
  <c r="GX224"/>
  <c r="GX233"/>
  <c r="GX230"/>
  <c r="GX231"/>
  <c r="GX229"/>
  <c r="GX227"/>
  <c r="GX226"/>
  <c r="GX225"/>
  <c r="GX228"/>
  <c r="GX232"/>
  <c r="GX210"/>
  <c r="GX214"/>
  <c r="GX216"/>
  <c r="GX219"/>
  <c r="GX213"/>
  <c r="GX217"/>
  <c r="GX212"/>
  <c r="GX211"/>
  <c r="GX215"/>
  <c r="GX218"/>
  <c r="GR226"/>
  <c r="GR228"/>
  <c r="GR230"/>
  <c r="GR229"/>
  <c r="GR233"/>
  <c r="GR232"/>
  <c r="GR231"/>
  <c r="GR224"/>
  <c r="GR227"/>
  <c r="GR225"/>
  <c r="GR212"/>
  <c r="GR214"/>
  <c r="GR213"/>
  <c r="GR216"/>
  <c r="GR219"/>
  <c r="GR210"/>
  <c r="GR217"/>
  <c r="GR215"/>
  <c r="GR218"/>
  <c r="GR211"/>
  <c r="GV180"/>
  <c r="GV188"/>
  <c r="GV184"/>
  <c r="GV181"/>
  <c r="GV182"/>
  <c r="GV187"/>
  <c r="GV183"/>
  <c r="GV186"/>
  <c r="GV185"/>
  <c r="GV189"/>
  <c r="GW190"/>
  <c r="GX190"/>
  <c r="GW231"/>
  <c r="GW226"/>
  <c r="GW233"/>
  <c r="GW229"/>
  <c r="GW227"/>
  <c r="GW225"/>
  <c r="GW230"/>
  <c r="GW232"/>
  <c r="GW224"/>
  <c r="GW228"/>
  <c r="GW215"/>
  <c r="GW210"/>
  <c r="GW218"/>
  <c r="GW213"/>
  <c r="GW214"/>
  <c r="GW212"/>
  <c r="GW219"/>
  <c r="GW216"/>
  <c r="GW217"/>
  <c r="GW211"/>
  <c r="GD379" i="87"/>
  <c r="GD385"/>
  <c r="GD384"/>
  <c r="GD381"/>
  <c r="GD380"/>
  <c r="GD382"/>
  <c r="GD383"/>
  <c r="GD387"/>
  <c r="GL338"/>
  <c r="GT336"/>
  <c r="GS337"/>
  <c r="GS338"/>
  <c r="GS336"/>
  <c r="FP411" i="91"/>
  <c r="BQ411" s="1"/>
  <c r="AQ411"/>
  <c r="AO411"/>
  <c r="AQ412"/>
  <c r="AQ410"/>
  <c r="D408"/>
  <c r="BO411"/>
  <c r="BP288" i="90"/>
  <c r="FO287"/>
  <c r="D290" s="1"/>
  <c r="BN287"/>
  <c r="D284"/>
  <c r="BP287"/>
  <c r="CF287"/>
  <c r="GD199" i="86"/>
  <c r="GO199" s="1"/>
  <c r="GD200"/>
  <c r="GO200" s="1"/>
  <c r="GD203"/>
  <c r="GO203" s="1"/>
  <c r="GO206"/>
  <c r="GD201"/>
  <c r="GO201" s="1"/>
  <c r="GD204"/>
  <c r="GO204" s="1"/>
  <c r="GD202"/>
  <c r="GO202" s="1"/>
  <c r="GD197"/>
  <c r="GO197" s="1"/>
  <c r="GD205"/>
  <c r="GO205" s="1"/>
  <c r="GF231"/>
  <c r="GT231"/>
  <c r="GT233"/>
  <c r="GF233"/>
  <c r="GT227"/>
  <c r="GF227"/>
  <c r="GT230"/>
  <c r="GF230"/>
  <c r="GB225"/>
  <c r="GT226"/>
  <c r="GF226"/>
  <c r="GT228"/>
  <c r="GF228"/>
  <c r="GT232"/>
  <c r="GF232"/>
  <c r="GT229"/>
  <c r="GF229"/>
  <c r="GU351" i="87"/>
  <c r="GU353"/>
  <c r="GU350"/>
  <c r="GU355"/>
  <c r="GU346"/>
  <c r="GU352"/>
  <c r="GU347"/>
  <c r="GU348"/>
  <c r="GU354"/>
  <c r="GU349"/>
  <c r="GS342"/>
  <c r="GR342"/>
  <c r="GR354" s="1"/>
  <c r="GK352"/>
  <c r="GK351"/>
  <c r="GR355"/>
  <c r="GK347"/>
  <c r="GK353"/>
  <c r="GK348"/>
  <c r="GK350"/>
  <c r="GR350"/>
  <c r="GK349"/>
  <c r="GK354"/>
  <c r="GK355"/>
  <c r="GK346"/>
  <c r="GX22" i="90"/>
  <c r="GY23" s="1"/>
  <c r="GW21"/>
  <c r="GR347" i="87" l="1"/>
  <c r="GR351"/>
  <c r="GR349"/>
  <c r="GR346"/>
  <c r="GR356"/>
  <c r="GR353"/>
  <c r="GR348"/>
  <c r="GR352"/>
  <c r="GW183" i="86"/>
  <c r="GW181"/>
  <c r="GW180"/>
  <c r="GW187"/>
  <c r="GW189"/>
  <c r="GW188"/>
  <c r="GW186"/>
  <c r="GW184"/>
  <c r="GW182"/>
  <c r="GW185"/>
  <c r="GS190"/>
  <c r="GI185"/>
  <c r="GI186"/>
  <c r="GI189"/>
  <c r="GI187"/>
  <c r="GI183"/>
  <c r="GI182"/>
  <c r="GI188"/>
  <c r="GI190"/>
  <c r="GJ190" s="1"/>
  <c r="GI184"/>
  <c r="GI181"/>
  <c r="GI180"/>
  <c r="GX181"/>
  <c r="GX188"/>
  <c r="GX185"/>
  <c r="GX187"/>
  <c r="GX183"/>
  <c r="GX182"/>
  <c r="GX189"/>
  <c r="GX180"/>
  <c r="GX186"/>
  <c r="GX184"/>
  <c r="GT337" i="87"/>
  <c r="GT338"/>
  <c r="AQ417" i="91"/>
  <c r="D414"/>
  <c r="AO417"/>
  <c r="AQ416"/>
  <c r="BO417"/>
  <c r="AQ418"/>
  <c r="FP417"/>
  <c r="DC430" s="1"/>
  <c r="D293" i="90"/>
  <c r="D291"/>
  <c r="FO293"/>
  <c r="BP297" s="1"/>
  <c r="GT225" i="86"/>
  <c r="GF225"/>
  <c r="GL356" i="87"/>
  <c r="GX21" i="90"/>
  <c r="GY22" s="1"/>
  <c r="GS10" s="1"/>
  <c r="GW20"/>
  <c r="GQ346" i="87"/>
  <c r="GP346" s="1"/>
  <c r="GQ350"/>
  <c r="GP350" s="1"/>
  <c r="GQ349"/>
  <c r="GP349" s="1"/>
  <c r="GQ347"/>
  <c r="GP347" s="1"/>
  <c r="GQ348"/>
  <c r="GP348" s="1"/>
  <c r="GS356" l="1"/>
  <c r="GI356"/>
  <c r="GI353"/>
  <c r="GI350"/>
  <c r="GI346"/>
  <c r="GI347"/>
  <c r="GI354"/>
  <c r="GI348"/>
  <c r="GI355"/>
  <c r="GI349"/>
  <c r="GI351"/>
  <c r="GI352"/>
  <c r="GJ187" i="86"/>
  <c r="GJ188"/>
  <c r="GJ184"/>
  <c r="GJ181"/>
  <c r="GJ185"/>
  <c r="GJ186"/>
  <c r="GJ183"/>
  <c r="GJ189"/>
  <c r="GJ180"/>
  <c r="GJ182"/>
  <c r="GS184"/>
  <c r="GS185"/>
  <c r="GS182"/>
  <c r="GS189"/>
  <c r="GS188"/>
  <c r="GS180"/>
  <c r="GS186"/>
  <c r="GS187"/>
  <c r="GS183"/>
  <c r="GS181"/>
  <c r="BQ417" i="91"/>
  <c r="FP430"/>
  <c r="CC431"/>
  <c r="D426"/>
  <c r="DA430"/>
  <c r="CA430"/>
  <c r="D425"/>
  <c r="D422"/>
  <c r="D427"/>
  <c r="D421"/>
  <c r="CC429"/>
  <c r="D420"/>
  <c r="CC430"/>
  <c r="D423"/>
  <c r="BN297" i="90"/>
  <c r="BP298"/>
  <c r="FO297"/>
  <c r="CF303" s="1"/>
  <c r="D294"/>
  <c r="CB297"/>
  <c r="BP296"/>
  <c r="GW19"/>
  <c r="GX19" s="1"/>
  <c r="GY19" s="1"/>
  <c r="GX20"/>
  <c r="GY21" s="1"/>
  <c r="GL354" i="87"/>
  <c r="GL355"/>
  <c r="GL353"/>
  <c r="GL348"/>
  <c r="GL347"/>
  <c r="GL351"/>
  <c r="GL352"/>
  <c r="GL346"/>
  <c r="GL349"/>
  <c r="GL350"/>
  <c r="GT10" i="90"/>
  <c r="GS12"/>
  <c r="GT12" s="1"/>
  <c r="GS9"/>
  <c r="GS352" i="87" l="1"/>
  <c r="GS350"/>
  <c r="GS353"/>
  <c r="GS355"/>
  <c r="GS351"/>
  <c r="GS348"/>
  <c r="GS346"/>
  <c r="GS349"/>
  <c r="GS347"/>
  <c r="GS354"/>
  <c r="GM356"/>
  <c r="GJ356"/>
  <c r="CP437" i="91"/>
  <c r="D434"/>
  <c r="D433"/>
  <c r="BP436"/>
  <c r="BN437"/>
  <c r="CN437"/>
  <c r="FP437"/>
  <c r="BP438"/>
  <c r="BP437"/>
  <c r="BP304" i="90"/>
  <c r="BN303"/>
  <c r="BP302"/>
  <c r="BP303"/>
  <c r="FO303"/>
  <c r="D300"/>
  <c r="GU12"/>
  <c r="GY20"/>
  <c r="GT9"/>
  <c r="GU10" s="1"/>
  <c r="GS8"/>
  <c r="GM346" i="87" l="1"/>
  <c r="GM350"/>
  <c r="GM349"/>
  <c r="GM352"/>
  <c r="GM348"/>
  <c r="GM355"/>
  <c r="GM347"/>
  <c r="GM354"/>
  <c r="GM351"/>
  <c r="GM353"/>
  <c r="GJ349"/>
  <c r="GJ347"/>
  <c r="GJ348"/>
  <c r="GJ346"/>
  <c r="GJ351"/>
  <c r="GJ353"/>
  <c r="GJ355"/>
  <c r="GJ350"/>
  <c r="GJ352"/>
  <c r="GJ354"/>
  <c r="DI443" i="91"/>
  <c r="CG313" i="90"/>
  <c r="FO313"/>
  <c r="FP443" i="91"/>
  <c r="CI442"/>
  <c r="D440"/>
  <c r="CI444"/>
  <c r="CG443"/>
  <c r="DG443"/>
  <c r="CI443"/>
  <c r="D307" i="90"/>
  <c r="BB314"/>
  <c r="CE313"/>
  <c r="BB312"/>
  <c r="D309"/>
  <c r="D306"/>
  <c r="AZ313"/>
  <c r="D310"/>
  <c r="BB313"/>
  <c r="GT8"/>
  <c r="GU9" s="1"/>
  <c r="GS7"/>
  <c r="DI449" i="91" l="1"/>
  <c r="FP449"/>
  <c r="DG449"/>
  <c r="CI450"/>
  <c r="D446"/>
  <c r="CG449"/>
  <c r="CI448"/>
  <c r="CI449"/>
  <c r="BB319" i="90"/>
  <c r="CG319"/>
  <c r="FO319"/>
  <c r="CE319"/>
  <c r="AZ319"/>
  <c r="BB320"/>
  <c r="D316"/>
  <c r="BB318"/>
  <c r="GS6"/>
  <c r="GT7"/>
  <c r="GU8" s="1"/>
  <c r="FP455" i="91" l="1"/>
  <c r="DI455" s="1"/>
  <c r="CI456"/>
  <c r="DG455"/>
  <c r="D452"/>
  <c r="CG455"/>
  <c r="CI455"/>
  <c r="CI454"/>
  <c r="CG326" i="90"/>
  <c r="CG330"/>
  <c r="BB326"/>
  <c r="BB334"/>
  <c r="AZ330"/>
  <c r="BB331"/>
  <c r="BB330"/>
  <c r="BB333"/>
  <c r="CE330"/>
  <c r="CE334"/>
  <c r="FO334"/>
  <c r="BB335"/>
  <c r="AZ334"/>
  <c r="BB329"/>
  <c r="FO330"/>
  <c r="CG334" s="1"/>
  <c r="D323"/>
  <c r="D322"/>
  <c r="AZ326"/>
  <c r="BB327"/>
  <c r="CE326"/>
  <c r="BB325"/>
  <c r="FO326"/>
  <c r="GS5"/>
  <c r="GT6"/>
  <c r="GU7" s="1"/>
  <c r="F463" i="91" l="1"/>
  <c r="EN462"/>
  <c r="F461"/>
  <c r="D458"/>
  <c r="F462"/>
  <c r="D459"/>
  <c r="GT5" i="90"/>
  <c r="GU6" s="1"/>
  <c r="GS4"/>
  <c r="FN334" l="1"/>
  <c r="GT4"/>
  <c r="GU4" s="1"/>
  <c r="GS3"/>
  <c r="GT3" s="1"/>
  <c r="GU3" s="1"/>
  <c r="D340" l="1"/>
  <c r="FM469" i="92"/>
  <c r="FO469" s="1"/>
  <c r="D341" i="90"/>
  <c r="D25" i="27"/>
  <c r="S4" i="2" s="1"/>
  <c r="D337" i="90"/>
  <c r="D338"/>
  <c r="GU5"/>
  <c r="GS27" s="1"/>
  <c r="GS26" l="1"/>
  <c r="GT27"/>
  <c r="GT26" l="1"/>
  <c r="GU27" s="1"/>
  <c r="GS25"/>
  <c r="GT25" l="1"/>
  <c r="GU26" s="1"/>
  <c r="GS24"/>
  <c r="GT24" l="1"/>
  <c r="GS23"/>
  <c r="GS22" l="1"/>
  <c r="GT23"/>
  <c r="GU24" s="1"/>
  <c r="GU25"/>
  <c r="GT22" l="1"/>
  <c r="GS21"/>
  <c r="GT21" l="1"/>
  <c r="GS20"/>
  <c r="GU23"/>
  <c r="GT20" l="1"/>
  <c r="GU21" s="1"/>
  <c r="GS19"/>
  <c r="GU22"/>
  <c r="GS18" l="1"/>
  <c r="GT19"/>
  <c r="GT18" l="1"/>
  <c r="GS17"/>
  <c r="GU20"/>
  <c r="GS15" l="1"/>
  <c r="GT17"/>
  <c r="GU18" s="1"/>
  <c r="GU19"/>
  <c r="GS14" l="1"/>
  <c r="GT14" s="1"/>
  <c r="GU14" s="1"/>
  <c r="GT15"/>
  <c r="GU15" l="1"/>
  <c r="GU17"/>
  <c r="GU28" l="1"/>
  <c r="HD58" s="1"/>
  <c r="GB48" s="1"/>
  <c r="GF48" s="1"/>
  <c r="GB55" l="1"/>
  <c r="GF55" s="1"/>
  <c r="GB51"/>
  <c r="GF51" s="1"/>
  <c r="GB54"/>
  <c r="GF54" s="1"/>
  <c r="GB52"/>
  <c r="GF52" s="1"/>
  <c r="GB53"/>
  <c r="GF53" s="1"/>
  <c r="GB50"/>
  <c r="GF50" s="1"/>
  <c r="GB49"/>
  <c r="GF49" s="1"/>
  <c r="GB56"/>
  <c r="GF56" s="1"/>
  <c r="FO462" i="91" l="1"/>
  <c r="EP460" l="1"/>
  <c r="FM470" i="92"/>
  <c r="FO470" s="1"/>
  <c r="D466" i="91"/>
  <c r="D26" i="27"/>
  <c r="D465" i="91"/>
</calcChain>
</file>

<file path=xl/sharedStrings.xml><?xml version="1.0" encoding="utf-8"?>
<sst xmlns="http://schemas.openxmlformats.org/spreadsheetml/2006/main" count="8060" uniqueCount="6274">
  <si>
    <t>q</t>
  </si>
  <si>
    <t>TCK</t>
  </si>
  <si>
    <t>TVK</t>
  </si>
  <si>
    <t>TK</t>
  </si>
  <si>
    <t>GTK</t>
  </si>
  <si>
    <t>TO</t>
  </si>
  <si>
    <t>Toegangscode:</t>
  </si>
  <si>
    <t>Licentienr:</t>
  </si>
  <si>
    <t>School:</t>
  </si>
  <si>
    <t>p</t>
  </si>
  <si>
    <t>de hoeveelheid waarbij de omzet maximaal is</t>
  </si>
  <si>
    <t>de hoeveelheid waarbij het break-even-punt (BEP) wordt bereikt</t>
  </si>
  <si>
    <t>A</t>
  </si>
  <si>
    <t>B</t>
  </si>
  <si>
    <t>C</t>
  </si>
  <si>
    <t>v</t>
  </si>
  <si>
    <t>de hoeveelheid waarbij maximale winst wordt gemaakt</t>
  </si>
  <si>
    <t>de totale opbrengst (omzet) bij maximale winst</t>
  </si>
  <si>
    <t>de totale constante kosten (bij maximale winst)</t>
  </si>
  <si>
    <t>de totale winst bij maximale winst</t>
  </si>
  <si>
    <t>a</t>
  </si>
  <si>
    <t/>
  </si>
  <si>
    <t>GO</t>
  </si>
  <si>
    <t>proportioneel variabele kosten</t>
  </si>
  <si>
    <t>degressief variabele kosten</t>
  </si>
  <si>
    <t>progressief variabele kosten</t>
  </si>
  <si>
    <t>MK</t>
  </si>
  <si>
    <t>af- en toenemende meerkosten</t>
  </si>
  <si>
    <t>alleen bij monopolie</t>
  </si>
  <si>
    <t>alleen bij monopolistische concurrentie</t>
  </si>
  <si>
    <t>alleen bij volkomen concurrentie</t>
  </si>
  <si>
    <t>bij volkomen concurrentie, monopolie en monopolistische concurrentie</t>
  </si>
  <si>
    <t>bij monopolie en monopolistische concurrentie</t>
  </si>
  <si>
    <t>bij volkomen concurrentie en monopolistische concurrentie</t>
  </si>
  <si>
    <t>bij volkomen concurrentie en monopolie</t>
  </si>
  <si>
    <t>hulp bij raaklijn TO</t>
  </si>
  <si>
    <t>hulp bij TK prop</t>
  </si>
  <si>
    <t>MO</t>
  </si>
  <si>
    <t>mo</t>
  </si>
  <si>
    <t>mk</t>
  </si>
  <si>
    <t>TO raakpunt</t>
  </si>
  <si>
    <t>TK raakpunt</t>
  </si>
  <si>
    <t>omgezet</t>
  </si>
  <si>
    <t>Precies op de top stijgt q niet meer en geldt dus Δq = 0 en dus MO = 0.</t>
  </si>
  <si>
    <t>Precies op de top stijgt q niet meer en geldt dus q = 0 en dus MO = 0.</t>
  </si>
  <si>
    <t>Precies op de top stijgt of daalt TO niet en geldt dus TO = 0 en dus MO = 0.</t>
  </si>
  <si>
    <t>Precies op de top stijgt of daalt TO niet en geldt dus ΔTO = 0 en dus MO = 0.</t>
  </si>
  <si>
    <t>MO &lt; MK</t>
  </si>
  <si>
    <t>MO = MK</t>
  </si>
  <si>
    <t>MO &gt; MK</t>
  </si>
  <si>
    <t>GTKprop</t>
  </si>
  <si>
    <t>GTK team</t>
  </si>
  <si>
    <t>GVK team</t>
  </si>
  <si>
    <t>GTK degr</t>
  </si>
  <si>
    <t>GTK progr</t>
  </si>
  <si>
    <t>GVK degr</t>
  </si>
  <si>
    <t>GVK progr</t>
  </si>
  <si>
    <t>MK en GVK</t>
  </si>
  <si>
    <t>raakTO</t>
  </si>
  <si>
    <t>raakTK</t>
  </si>
  <si>
    <t>stippellijn</t>
  </si>
  <si>
    <t>MK = MO</t>
  </si>
  <si>
    <t>MK = 0</t>
  </si>
  <si>
    <t>MK &lt; MO</t>
  </si>
  <si>
    <t>×</t>
  </si>
  <si>
    <t>GO × q</t>
  </si>
  <si>
    <t>GO - GTK × q</t>
  </si>
  <si>
    <t>(GO - GTK) × q</t>
  </si>
  <si>
    <t>GO - GVK × q</t>
  </si>
  <si>
    <t>GTK - GVK × q</t>
  </si>
  <si>
    <t>(GTK - GVK) × q</t>
  </si>
  <si>
    <t xml:space="preserve">stip </t>
  </si>
  <si>
    <t>stip GO</t>
  </si>
  <si>
    <t>stip GTK</t>
  </si>
  <si>
    <t>maximale omzet</t>
  </si>
  <si>
    <t>maximale winst</t>
  </si>
  <si>
    <t>TW</t>
  </si>
  <si>
    <t>opbrengstfunctie</t>
  </si>
  <si>
    <t>prop var kosten</t>
  </si>
  <si>
    <t>var kosten team</t>
  </si>
  <si>
    <t>var kosten progr</t>
  </si>
  <si>
    <t>var kosten degr</t>
  </si>
  <si>
    <t>b</t>
  </si>
  <si>
    <t>c</t>
  </si>
  <si>
    <t>break-even-punten</t>
  </si>
  <si>
    <t>degressief</t>
  </si>
  <si>
    <t>progressief</t>
  </si>
  <si>
    <t>stip GVK</t>
  </si>
  <si>
    <t>raakq</t>
  </si>
  <si>
    <t>hoeveelheid maximale winst = hoeveelheid break-even-point</t>
  </si>
  <si>
    <t>hoeveelheid maximale winst = hoeveelheid maximale omzet</t>
  </si>
  <si>
    <t>hoeveelheid maximale omzet = hoeveelheid break-even-point</t>
  </si>
  <si>
    <t>hoeveelheid maximale winst = hoeveelheid break-even-point = hoeveelheid maximale omzet</t>
  </si>
  <si>
    <t>korte termijn</t>
  </si>
  <si>
    <t>lange termijn</t>
  </si>
  <si>
    <t>GO auto</t>
  </si>
  <si>
    <t>q lang</t>
  </si>
  <si>
    <t>TO lang</t>
  </si>
  <si>
    <t>GO lang</t>
  </si>
  <si>
    <t>MO lang</t>
  </si>
  <si>
    <t>TO stippellijn</t>
  </si>
  <si>
    <t>MO = 0</t>
  </si>
  <si>
    <t>MO = GO</t>
  </si>
  <si>
    <t>MO = GTK</t>
  </si>
  <si>
    <t>MK = GO</t>
  </si>
  <si>
    <t>vervolg stippellijn</t>
  </si>
  <si>
    <t>GTW</t>
  </si>
  <si>
    <t>MW</t>
  </si>
  <si>
    <t>alleen constante kosten</t>
  </si>
  <si>
    <t>Stippellijn TW</t>
  </si>
  <si>
    <t>BEA rechts</t>
  </si>
  <si>
    <t>bea laag</t>
  </si>
  <si>
    <t>bea links</t>
  </si>
  <si>
    <t>hulp bea links</t>
  </si>
  <si>
    <t>GVK</t>
  </si>
  <si>
    <t>!#&amp;?|{@&gt;&lt;</t>
  </si>
  <si>
    <t>!#&amp;?|{^(&gt;&lt;</t>
  </si>
  <si>
    <t>!#&amp;?|{)^&gt;&lt;</t>
  </si>
  <si>
    <t>!#&amp;?|{()&gt;&lt;</t>
  </si>
  <si>
    <t>!#&amp;?|{^&gt;!&lt;</t>
  </si>
  <si>
    <t>!#&amp;?|{@&lt;^</t>
  </si>
  <si>
    <t>!#&amp;?|{@&gt;^&lt;</t>
  </si>
  <si>
    <t>!^&amp;?|{@&gt;&lt;</t>
  </si>
  <si>
    <t>^#&amp;?|{@&gt;&lt;</t>
  </si>
  <si>
    <t>!#^?|{@&gt;&lt;</t>
  </si>
  <si>
    <t>!#&amp;?|{^&gt;&lt;</t>
  </si>
  <si>
    <t>!#&amp;^|{@&gt;&lt;</t>
  </si>
  <si>
    <t>Licentie geldig tot:</t>
  </si>
  <si>
    <t>TO, TK</t>
  </si>
  <si>
    <t>Gem en marg</t>
  </si>
  <si>
    <t>maxiale winst</t>
  </si>
  <si>
    <t>|</t>
  </si>
  <si>
    <t>met kosten erbij</t>
  </si>
  <si>
    <t>zonder kosten</t>
  </si>
  <si>
    <t>GVK × q</t>
  </si>
  <si>
    <t>de totale variabele kosten bij maximale winst</t>
  </si>
  <si>
    <t>de Harbergerdriehoek (de rode driehoek). Merk op dat de producent per saldo aan welvaart heeft gewonnen (hij verliest de onderste helft van de Harbergerdriehoek, maar wint een deel van het consumentensurplus) en dat dus alleen de consument in welvaart achteruitgaat.</t>
  </si>
  <si>
    <t>klaar</t>
  </si>
  <si>
    <t>D</t>
  </si>
  <si>
    <t>E</t>
  </si>
  <si>
    <t>G</t>
  </si>
  <si>
    <t>F</t>
  </si>
  <si>
    <t>H</t>
  </si>
  <si>
    <t>I</t>
  </si>
  <si>
    <t xml:space="preserve"> Om dat te kunnen bepalen moeten we de MO-lijn intekenen.</t>
  </si>
  <si>
    <t xml:space="preserve">het consumentensurplus als de concurrentie zo hevig is dat de evenwichtsprijs gelijk is aan de minimale prijs die de aanbieders voor hun product willen hebben. Zoals je ziet is het producentensurplus dan nul. </t>
  </si>
  <si>
    <t xml:space="preserve">prijszetter kijkt bij welke hoeveelheid geldt dat MO = MK en beperkt zijn aanbod tot deze hoeveelheid, zodat hij de daarbij behorende maximale prijs kan vragen die de consumenten bereid zijn te betalen. </t>
  </si>
  <si>
    <t>break-even-punt</t>
  </si>
  <si>
    <t>GO = GTK</t>
  </si>
  <si>
    <t>T</t>
  </si>
  <si>
    <t>U</t>
  </si>
  <si>
    <t>V</t>
  </si>
  <si>
    <t>W</t>
  </si>
  <si>
    <t>X</t>
  </si>
  <si>
    <t>Y</t>
  </si>
  <si>
    <t>Z</t>
  </si>
  <si>
    <t>Bij deze marktvormen kan er geen concurrentie zijn.</t>
  </si>
  <si>
    <t>Bij een deze marktvormen heeft elke aanbieder zijn eigen (deel-)markt.</t>
  </si>
  <si>
    <t>Bij deze marktvormen kan er geen sprake zijn van kartelvorming of prijsleiderschap.</t>
  </si>
  <si>
    <t>Gokort</t>
  </si>
  <si>
    <t>Tokort</t>
  </si>
  <si>
    <t xml:space="preserve"> </t>
  </si>
  <si>
    <t xml:space="preserve">  </t>
  </si>
  <si>
    <t>\</t>
  </si>
  <si>
    <t>J</t>
  </si>
  <si>
    <t>K</t>
  </si>
  <si>
    <t>L</t>
  </si>
  <si>
    <t>M</t>
  </si>
  <si>
    <t>N</t>
  </si>
  <si>
    <t>O</t>
  </si>
  <si>
    <t>P</t>
  </si>
  <si>
    <t>Q</t>
  </si>
  <si>
    <t>R</t>
  </si>
  <si>
    <t>S</t>
  </si>
  <si>
    <t>de totale constante kosten bij de break-even-afzet</t>
  </si>
  <si>
    <t>de omzet bij maximale winst</t>
  </si>
  <si>
    <t>de totale constante kosten bij maximale winst</t>
  </si>
  <si>
    <t>de totale maximale winst</t>
  </si>
  <si>
    <t>de totale winst bij de break-even-afzet</t>
  </si>
  <si>
    <t>de totale constante kosten</t>
  </si>
  <si>
    <t>de totale opbrengst (omzet)</t>
  </si>
  <si>
    <t>de totale variabele kosten</t>
  </si>
  <si>
    <t>de totale winst</t>
  </si>
  <si>
    <t>de maximale omzet</t>
  </si>
  <si>
    <t>de totale constante kosten bij de maximale omzet</t>
  </si>
  <si>
    <t>de totale winst bij de maximale omzet</t>
  </si>
  <si>
    <t>De TK moeten bij nul beginnen.</t>
  </si>
  <si>
    <t>TVK moet TCK zijn.</t>
  </si>
  <si>
    <t>De TK-lijn moet ook horizontaal lopen.</t>
  </si>
  <si>
    <t xml:space="preserve">De TO-lijn moet ter hoogte van de TK-lijn beginnen. </t>
  </si>
  <si>
    <t>De TO-lijn moet overal dalen.</t>
  </si>
  <si>
    <t>er is een verlies ter grootte van de variabele kosten</t>
  </si>
  <si>
    <t>er is een verlies ter grootte van de constante kosten</t>
  </si>
  <si>
    <t>er is een verlies ter grootte van de totale kosten</t>
  </si>
  <si>
    <t>het resultaat is nul (dus break-even)</t>
  </si>
  <si>
    <t>er is een winst ter grootte van de variabele kosten</t>
  </si>
  <si>
    <t>er is een winst ter grootte van de constante kosten</t>
  </si>
  <si>
    <t>er is een winst ter grootte van de totale kosten</t>
  </si>
  <si>
    <t>als de constante kosten nul zijn</t>
  </si>
  <si>
    <t>als de variabele kosten nul zijn</t>
  </si>
  <si>
    <t>als er geen verlies wordt gemaakt</t>
  </si>
  <si>
    <t>nooit</t>
  </si>
  <si>
    <t>doordat door de prijsverhoging de winst van de producent gestegen is</t>
  </si>
  <si>
    <t>doordat door de prijsverhoging de afzet gedaald is</t>
  </si>
  <si>
    <t>doordat door de prijsverhoging de omzet gedaald is</t>
  </si>
  <si>
    <t>doordat door de prijsverhoging de gemiddelde totale kosten zijn gestegen</t>
  </si>
  <si>
    <t>max w</t>
  </si>
  <si>
    <t>raakT)</t>
  </si>
  <si>
    <t>raakTW</t>
  </si>
  <si>
    <t>alleen als er geen kosten zijn</t>
  </si>
  <si>
    <t>alleen als er geen constante kosten zijn</t>
  </si>
  <si>
    <t>alleen als er geen variabele kosten zijn</t>
  </si>
  <si>
    <t>dat is gelijk aan de constante kosten</t>
  </si>
  <si>
    <t>dat is nul</t>
  </si>
  <si>
    <t>dat is gelijk aan de totale kosten</t>
  </si>
  <si>
    <t>Hun eigen prijs ook verlagen om verlies van afzet te voorkomen.</t>
  </si>
  <si>
    <t>Hun eigen prijs verhogen om de daling van de afzet te compenseren.</t>
  </si>
  <si>
    <t xml:space="preserve">Hun eigen prijs hetzelfde houden en de productie beperken. </t>
  </si>
  <si>
    <t>het producentensurplus is gestegen met precies evenveel euro's als de winst</t>
  </si>
  <si>
    <t>het producentensurplus is ook gestegen, maar door de gestegen totale kosten met minder euro's dan de winst</t>
  </si>
  <si>
    <t>het producentensurplus is ook gestegen en door de hogere afzet zelfs met meer euro's dan de winst</t>
  </si>
  <si>
    <t>het consumenten- en producentensurplus bij redelijk veel prijsdicriminatie door een monopolist</t>
  </si>
  <si>
    <t>het consumenten- en producentensurplus bij maximale omzet van een monopolist</t>
  </si>
  <si>
    <t>het consumenten- en producentensurplus bij maximale winst van een monopolist</t>
  </si>
  <si>
    <t>het consumentensurplus bij volkomen prijsdiscriminatie door een monopolist</t>
  </si>
  <si>
    <t>het producentensurplus bij volkomen prijsdiscriminatie door een monopolist</t>
  </si>
  <si>
    <t>het consumentensurplus bij volkomen concurentie</t>
  </si>
  <si>
    <t>het producentensurplus bij volkomen concurentie</t>
  </si>
  <si>
    <t>HRHBVU</t>
  </si>
  <si>
    <t>QRXEQB</t>
  </si>
  <si>
    <t>GRKQEX</t>
  </si>
  <si>
    <t>LRHBVU</t>
  </si>
  <si>
    <t>YRHBVU</t>
  </si>
  <si>
    <t>LREPYC</t>
  </si>
  <si>
    <t>BHUKEQ</t>
  </si>
  <si>
    <t>LKEPYC</t>
  </si>
  <si>
    <t>EHUKRQ</t>
  </si>
  <si>
    <t>QHUKEQ</t>
  </si>
  <si>
    <t>QHUKRQ</t>
  </si>
  <si>
    <t>XEUIQL</t>
  </si>
  <si>
    <t>OXKEQP</t>
  </si>
  <si>
    <t>URHBVU</t>
  </si>
  <si>
    <t>OBKEQP</t>
  </si>
  <si>
    <t>KKUPYH</t>
  </si>
  <si>
    <t>OXKRQP</t>
  </si>
  <si>
    <t>LKEPZI</t>
  </si>
  <si>
    <t>UBKEQP</t>
  </si>
  <si>
    <t>KURHUB</t>
  </si>
  <si>
    <t>KBCEQP</t>
  </si>
  <si>
    <t>KKUPZH</t>
  </si>
  <si>
    <t>VUKQEX</t>
  </si>
  <si>
    <t>UBCEQP</t>
  </si>
  <si>
    <t>VRKQEX</t>
  </si>
  <si>
    <t>HUKQEX</t>
  </si>
  <si>
    <t>KICRUZ</t>
  </si>
  <si>
    <t>HRKQEX</t>
  </si>
  <si>
    <t>EXKEQP</t>
  </si>
  <si>
    <t>EBKEQP</t>
  </si>
  <si>
    <t>RXKRQP</t>
  </si>
  <si>
    <t>XKEPZY</t>
  </si>
  <si>
    <t>KXKEQP</t>
  </si>
  <si>
    <t>KBKEQP</t>
  </si>
  <si>
    <t>HRBYUB</t>
  </si>
  <si>
    <t>KXKRQP</t>
  </si>
  <si>
    <t>VREPYB</t>
  </si>
  <si>
    <t>KHUKEQ</t>
  </si>
  <si>
    <t>UQRBVE</t>
  </si>
  <si>
    <t>VKEPYR</t>
  </si>
  <si>
    <t>EBCEQP</t>
  </si>
  <si>
    <t>KHUKRQ</t>
  </si>
  <si>
    <t>CPBZQE</t>
  </si>
  <si>
    <t>CPIZQE</t>
  </si>
  <si>
    <t>VRBYUB</t>
  </si>
  <si>
    <t>CPEZQR</t>
  </si>
  <si>
    <t>FBKQEX</t>
  </si>
  <si>
    <t>QXKEQP</t>
  </si>
  <si>
    <t>CBCEQP</t>
  </si>
  <si>
    <t>QBKEQP</t>
  </si>
  <si>
    <t>FRKQEX</t>
  </si>
  <si>
    <t>QXKRQP</t>
  </si>
  <si>
    <t>EREPYQ</t>
  </si>
  <si>
    <t>VKEPZR</t>
  </si>
  <si>
    <t>QIIPIZ</t>
  </si>
  <si>
    <t>EKEPYQ</t>
  </si>
  <si>
    <t>ERXEQB</t>
  </si>
  <si>
    <t>YBCIRZ</t>
  </si>
  <si>
    <t>YICIEB</t>
  </si>
  <si>
    <t>ERBYUB</t>
  </si>
  <si>
    <t>QBCEQP</t>
  </si>
  <si>
    <t>EKEPZQ</t>
  </si>
  <si>
    <t>LBCIRZ</t>
  </si>
  <si>
    <t>QKQRVI</t>
  </si>
  <si>
    <t>RRHBVU</t>
  </si>
  <si>
    <t>LKQRVI</t>
  </si>
  <si>
    <t>YBLEUP</t>
  </si>
  <si>
    <t>MCLBUY</t>
  </si>
  <si>
    <t>HCLRUY</t>
  </si>
  <si>
    <t>PURHUB</t>
  </si>
  <si>
    <t>TIXLEU</t>
  </si>
  <si>
    <t>RKEPYH</t>
  </si>
  <si>
    <t>ZIXLEU</t>
  </si>
  <si>
    <t>HILRUZ</t>
  </si>
  <si>
    <t>YURHEB</t>
  </si>
  <si>
    <t>RKEPZH</t>
  </si>
  <si>
    <t>HKEPYR</t>
  </si>
  <si>
    <t>ZURHEB</t>
  </si>
  <si>
    <t>RICRUZ</t>
  </si>
  <si>
    <t>GBLEUP</t>
  </si>
  <si>
    <t>UUBQEX</t>
  </si>
  <si>
    <t>HKEPZR</t>
  </si>
  <si>
    <t>UURQEB</t>
  </si>
  <si>
    <t>ZBLEUP</t>
  </si>
  <si>
    <t>WBLEUP</t>
  </si>
  <si>
    <t>VICRUK</t>
  </si>
  <si>
    <t>YKEPZV</t>
  </si>
  <si>
    <t>CBLEUP</t>
  </si>
  <si>
    <t>KICYIE</t>
  </si>
  <si>
    <t>PCLBBY</t>
  </si>
  <si>
    <t>ZRBPYH</t>
  </si>
  <si>
    <t>PCLRRY</t>
  </si>
  <si>
    <t>BRCLBX</t>
  </si>
  <si>
    <t>ZKRPYX</t>
  </si>
  <si>
    <t>IIXLEU</t>
  </si>
  <si>
    <t>UCLBUY</t>
  </si>
  <si>
    <t>IBKEUP</t>
  </si>
  <si>
    <t>UCLRUY</t>
  </si>
  <si>
    <t>PILRRZ</t>
  </si>
  <si>
    <t>LIXKEU</t>
  </si>
  <si>
    <t>IPBIVU</t>
  </si>
  <si>
    <t>IBCEUP</t>
  </si>
  <si>
    <t>UILRUZ</t>
  </si>
  <si>
    <t>LIXCEU</t>
  </si>
  <si>
    <t>BBKEUP</t>
  </si>
  <si>
    <t>ZBKEUP</t>
  </si>
  <si>
    <t>UCLKUY</t>
  </si>
  <si>
    <t>UPBIVE</t>
  </si>
  <si>
    <t>UIXKEU</t>
  </si>
  <si>
    <t>BBCEUP</t>
  </si>
  <si>
    <t>UIXCEU</t>
  </si>
  <si>
    <t>VLZBUH</t>
  </si>
  <si>
    <t>CBKEUP</t>
  </si>
  <si>
    <t>PUHILB</t>
  </si>
  <si>
    <t>BRXEQB</t>
  </si>
  <si>
    <t>LRBYUB</t>
  </si>
  <si>
    <t>ERBLCE</t>
  </si>
  <si>
    <t>YBCEUP</t>
  </si>
  <si>
    <t>QRBYUB</t>
  </si>
  <si>
    <t>UULIZY</t>
  </si>
  <si>
    <t>RRLIZY</t>
  </si>
  <si>
    <t>HRZPHY</t>
  </si>
  <si>
    <t>XKZPXY</t>
  </si>
  <si>
    <t>IRHBVU</t>
  </si>
  <si>
    <t>BBZRQP</t>
  </si>
  <si>
    <t>BRLIZY</t>
  </si>
  <si>
    <t>HBZRQP</t>
  </si>
  <si>
    <t>YBZRQP</t>
  </si>
  <si>
    <t>BXKEQP</t>
  </si>
  <si>
    <t>IBKEQP</t>
  </si>
  <si>
    <t>EXKRQP</t>
  </si>
  <si>
    <t>VKQRVI</t>
  </si>
  <si>
    <t>IBCEQP</t>
  </si>
  <si>
    <t>RXKEQP</t>
  </si>
  <si>
    <t>RBKEQP</t>
  </si>
  <si>
    <t>IXKRQP</t>
  </si>
  <si>
    <t>RIXLEU</t>
  </si>
  <si>
    <t>IKQRVI</t>
  </si>
  <si>
    <t>RBCEQP</t>
  </si>
  <si>
    <t>PBCIRZ</t>
  </si>
  <si>
    <t>CIXLEU</t>
  </si>
  <si>
    <t>YIXLEU</t>
  </si>
  <si>
    <t>EBLEUP</t>
  </si>
  <si>
    <t>PREPYH</t>
  </si>
  <si>
    <t>PKEPYX</t>
  </si>
  <si>
    <t>AXKEQP</t>
  </si>
  <si>
    <t>ABKEQP</t>
  </si>
  <si>
    <t>BXKRQP</t>
  </si>
  <si>
    <t>PKEPZX</t>
  </si>
  <si>
    <t>PXKEQP</t>
  </si>
  <si>
    <t>HKEPYH</t>
  </si>
  <si>
    <t>PBKEQP</t>
  </si>
  <si>
    <t>PXKRQP</t>
  </si>
  <si>
    <t>GXKEQP</t>
  </si>
  <si>
    <t>GBKEQP</t>
  </si>
  <si>
    <t>GXKRQP</t>
  </si>
  <si>
    <t>HKEPZH</t>
  </si>
  <si>
    <t>RLUKEQ</t>
  </si>
  <si>
    <t>PBCEQP</t>
  </si>
  <si>
    <t>PHUKEQ</t>
  </si>
  <si>
    <t>RLXKEQ</t>
  </si>
  <si>
    <t>ILUKRQ</t>
  </si>
  <si>
    <t>PHUKRQ</t>
  </si>
  <si>
    <t>ZBCEQP</t>
  </si>
  <si>
    <t>RLXCEQ</t>
  </si>
  <si>
    <t>BPCLHB</t>
  </si>
  <si>
    <t>EHUKEQ</t>
  </si>
  <si>
    <t>RHUKRQ</t>
  </si>
  <si>
    <t>QIXLEU</t>
  </si>
  <si>
    <t>QIXVQB</t>
  </si>
  <si>
    <t>BRPCVU</t>
  </si>
  <si>
    <t>XVRYQL</t>
  </si>
  <si>
    <t>TTXLEU</t>
  </si>
  <si>
    <t>LHVPZY</t>
  </si>
  <si>
    <t>HRIURB</t>
  </si>
  <si>
    <t>TTGELX</t>
  </si>
  <si>
    <t>HHRPZU</t>
  </si>
  <si>
    <t>ATXLEU</t>
  </si>
  <si>
    <t>WTXLEU</t>
  </si>
  <si>
    <t>URHQVX</t>
  </si>
  <si>
    <t>HYCIRZ</t>
  </si>
  <si>
    <t>UIHQVX</t>
  </si>
  <si>
    <t>XRYVEK</t>
  </si>
  <si>
    <t>GTGELX</t>
  </si>
  <si>
    <t>QRRPRZ</t>
  </si>
  <si>
    <t>KBHQVX</t>
  </si>
  <si>
    <t>KIHQVX</t>
  </si>
  <si>
    <t>IBCRUZ</t>
  </si>
  <si>
    <t>VIXVQB</t>
  </si>
  <si>
    <t>HRPCVE</t>
  </si>
  <si>
    <t>LBCRUZ</t>
  </si>
  <si>
    <t>VHVPZQ</t>
  </si>
  <si>
    <t>LBPLVE</t>
  </si>
  <si>
    <t>LRPLVE</t>
  </si>
  <si>
    <t>IRPCVE</t>
  </si>
  <si>
    <t>PRIURB</t>
  </si>
  <si>
    <t>URYREK</t>
  </si>
  <si>
    <t>PRYREK</t>
  </si>
  <si>
    <t>CTXKEU</t>
  </si>
  <si>
    <t>UYLIRZ</t>
  </si>
  <si>
    <t>MRYREK</t>
  </si>
  <si>
    <t>IHVPZU</t>
  </si>
  <si>
    <t>KKPLVE</t>
  </si>
  <si>
    <t>VRYVEK</t>
  </si>
  <si>
    <t>ZRIUVB</t>
  </si>
  <si>
    <t>IYCIRZ</t>
  </si>
  <si>
    <t>HRYVEK</t>
  </si>
  <si>
    <t>RRBQVX</t>
  </si>
  <si>
    <t>UHVPZI</t>
  </si>
  <si>
    <t>RRIQVB</t>
  </si>
  <si>
    <t>RRYVEK</t>
  </si>
  <si>
    <t>YKPLVU</t>
  </si>
  <si>
    <t>YKPLVR</t>
  </si>
  <si>
    <t>BUCLBX</t>
  </si>
  <si>
    <t>BBPLVU</t>
  </si>
  <si>
    <t>RRPLVU</t>
  </si>
  <si>
    <t>PYLIIZ</t>
  </si>
  <si>
    <t>ZRPCVU</t>
  </si>
  <si>
    <t>RYLIRZ</t>
  </si>
  <si>
    <t>YRPCVU</t>
  </si>
  <si>
    <t>RRYREK</t>
  </si>
  <si>
    <t>PRUYLB</t>
  </si>
  <si>
    <t>LRYVEK</t>
  </si>
  <si>
    <t>BIXVQB</t>
  </si>
  <si>
    <t>VIBLCV</t>
  </si>
  <si>
    <t>ZXYKKZ</t>
  </si>
  <si>
    <t>LRCZBE</t>
  </si>
  <si>
    <t>LRCZIE</t>
  </si>
  <si>
    <t>XXYUQP</t>
  </si>
  <si>
    <t>LICZER</t>
  </si>
  <si>
    <t>ETXLEU</t>
  </si>
  <si>
    <t>BBYUQP</t>
  </si>
  <si>
    <t>XXYRQP</t>
  </si>
  <si>
    <t>IXYUQP</t>
  </si>
  <si>
    <t>IBYUQP</t>
  </si>
  <si>
    <t>IIBUEB</t>
  </si>
  <si>
    <t>IXYRQP</t>
  </si>
  <si>
    <t>URCZIE</t>
  </si>
  <si>
    <t>RXYUQP</t>
  </si>
  <si>
    <t>KBYUQP</t>
  </si>
  <si>
    <t>BBZUQP</t>
  </si>
  <si>
    <t>CXYUQP</t>
  </si>
  <si>
    <t>KBCZBE</t>
  </si>
  <si>
    <t>CBYUQP</t>
  </si>
  <si>
    <t>KICZIE</t>
  </si>
  <si>
    <t>CXYRQP</t>
  </si>
  <si>
    <t>KBZUQP</t>
  </si>
  <si>
    <t>KICZER</t>
  </si>
  <si>
    <t>KUQKVH</t>
  </si>
  <si>
    <t>BXYKKZ</t>
  </si>
  <si>
    <t>WICZER</t>
  </si>
  <si>
    <t>IBZUQP</t>
  </si>
  <si>
    <t>MBPLVE</t>
  </si>
  <si>
    <t>HRPLVE</t>
  </si>
  <si>
    <t>PBCRUZ</t>
  </si>
  <si>
    <t>CBPLVE</t>
  </si>
  <si>
    <t>CRPLVE</t>
  </si>
  <si>
    <t>BUBYEL</t>
  </si>
  <si>
    <t>IRPLVE</t>
  </si>
  <si>
    <t>PHVPZX</t>
  </si>
  <si>
    <t>UHVPZU</t>
  </si>
  <si>
    <t>CRPBVU</t>
  </si>
  <si>
    <t>BPCLKB</t>
  </si>
  <si>
    <t>uitwerking</t>
  </si>
  <si>
    <t>SCJLSH</t>
  </si>
  <si>
    <t>SUDHBD</t>
  </si>
  <si>
    <t>DSDXZF</t>
  </si>
  <si>
    <t>GYVPUA</t>
  </si>
  <si>
    <t>AZJOPA</t>
  </si>
  <si>
    <t>OLLWBH</t>
  </si>
  <si>
    <t>WDSFIQ</t>
  </si>
  <si>
    <t>RHPFGJ</t>
  </si>
  <si>
    <t>QTIRFS</t>
  </si>
  <si>
    <t>UEQTJX</t>
  </si>
  <si>
    <t>YGHMRY</t>
  </si>
  <si>
    <t>RGSMVM</t>
  </si>
  <si>
    <t>BSBHZF</t>
  </si>
  <si>
    <t>MQDUOX</t>
  </si>
  <si>
    <t>SUDXRD</t>
  </si>
  <si>
    <t>UUDXRD</t>
  </si>
  <si>
    <t>ZBPMTR</t>
  </si>
  <si>
    <t>ONXLOH</t>
  </si>
  <si>
    <t>QHEIFS</t>
  </si>
  <si>
    <t>ZIQAFO</t>
  </si>
  <si>
    <t>RTPFGJ</t>
  </si>
  <si>
    <t>HEQTJX</t>
  </si>
  <si>
    <t>YCLNMF</t>
  </si>
  <si>
    <t>SFVUDU</t>
  </si>
  <si>
    <t>SRBHOB</t>
  </si>
  <si>
    <t>IHJIDA</t>
  </si>
  <si>
    <t>MQDUOB</t>
  </si>
  <si>
    <t>LADXSF</t>
  </si>
  <si>
    <t>UAQGNS</t>
  </si>
  <si>
    <t>OJPMER</t>
  </si>
  <si>
    <t>IHPFGJ</t>
  </si>
  <si>
    <t>IXFRQP</t>
  </si>
  <si>
    <t>ZHQAFO</t>
  </si>
  <si>
    <t>SBZTTS</t>
  </si>
  <si>
    <t>MMDFEM</t>
  </si>
  <si>
    <t>RVNEBM</t>
  </si>
  <si>
    <t>MQBRUX</t>
  </si>
  <si>
    <t>WGZBBW</t>
  </si>
  <si>
    <t>IXJIDA</t>
  </si>
  <si>
    <t>UYSGDI</t>
  </si>
  <si>
    <t>BNXJOP</t>
  </si>
  <si>
    <t>ONACVE</t>
  </si>
  <si>
    <t>ZDQAFO</t>
  </si>
  <si>
    <t>RIQAFO</t>
  </si>
  <si>
    <t>HBFRQP</t>
  </si>
  <si>
    <t>YLZWKL</t>
  </si>
  <si>
    <t>UMDFVO</t>
  </si>
  <si>
    <t>GHVAYQ</t>
  </si>
  <si>
    <t>IHJIBA</t>
  </si>
  <si>
    <t>DRZPHQ</t>
  </si>
  <si>
    <t>HGZRRH</t>
  </si>
  <si>
    <t>HUISRO</t>
  </si>
  <si>
    <t>YZJOPA</t>
  </si>
  <si>
    <t>ONPBVU</t>
  </si>
  <si>
    <t>DXFIQP</t>
  </si>
  <si>
    <t>CISFRQ</t>
  </si>
  <si>
    <t>RHQAFO</t>
  </si>
  <si>
    <t>UHVAFU</t>
  </si>
  <si>
    <t>SMDYVO</t>
  </si>
  <si>
    <t>WGZRRW</t>
  </si>
  <si>
    <t>GGZIDC</t>
  </si>
  <si>
    <t>DKZPXQ</t>
  </si>
  <si>
    <t>KAZSGD</t>
  </si>
  <si>
    <t>BNPSJF</t>
  </si>
  <si>
    <t>ILCWBH</t>
  </si>
  <si>
    <t>IDQAFO</t>
  </si>
  <si>
    <t>NHQAGC</t>
  </si>
  <si>
    <t>CHSFRQ</t>
  </si>
  <si>
    <t>NTPZFJ</t>
  </si>
  <si>
    <t>YLJVDQ</t>
  </si>
  <si>
    <t>AHVAYX</t>
  </si>
  <si>
    <t>BDZPHQ</t>
  </si>
  <si>
    <t>JBCZBO</t>
  </si>
  <si>
    <t>YADXSF</t>
  </si>
  <si>
    <t>DAQGNS</t>
  </si>
  <si>
    <t>OZCNMI</t>
  </si>
  <si>
    <t>CDSFIQ</t>
  </si>
  <si>
    <t>IISFRQ</t>
  </si>
  <si>
    <t>NTQAGC</t>
  </si>
  <si>
    <t>GBZRQP</t>
  </si>
  <si>
    <t>MMDLCV</t>
  </si>
  <si>
    <t>GMDYVO</t>
  </si>
  <si>
    <t>GGZIBC</t>
  </si>
  <si>
    <t>RRSACD</t>
  </si>
  <si>
    <t>JRCZRO</t>
  </si>
  <si>
    <t>RPDUJS</t>
  </si>
  <si>
    <t>TZJOPA</t>
  </si>
  <si>
    <t>OAQYNB</t>
  </si>
  <si>
    <t>FIQAFO</t>
  </si>
  <si>
    <t>HHSFRQ</t>
  </si>
  <si>
    <t>HTPZFJ</t>
  </si>
  <si>
    <t>UMCVEB</t>
  </si>
  <si>
    <t>DLDJMD</t>
  </si>
  <si>
    <t>JRCZOU</t>
  </si>
  <si>
    <t>SBCZBO</t>
  </si>
  <si>
    <t>KKSACD</t>
  </si>
  <si>
    <t>AICLAX</t>
  </si>
  <si>
    <t>TNPSJF</t>
  </si>
  <si>
    <t>DZCOPA</t>
  </si>
  <si>
    <t>DDSFIQ</t>
  </si>
  <si>
    <t>QIQAFO</t>
  </si>
  <si>
    <t>FHQAFO</t>
  </si>
  <si>
    <t>UHAZRQ</t>
  </si>
  <si>
    <t>LGHXVR</t>
  </si>
  <si>
    <t>LMHMDG</t>
  </si>
  <si>
    <t>DDSACB</t>
  </si>
  <si>
    <t>MSYZID</t>
  </si>
  <si>
    <t>SRCZRO</t>
  </si>
  <si>
    <t>DADXSF</t>
  </si>
  <si>
    <t>AUGIPF</t>
  </si>
  <si>
    <t>DNACVE</t>
  </si>
  <si>
    <t>FDQAFO</t>
  </si>
  <si>
    <t>RHQAGC</t>
  </si>
  <si>
    <t>QHQAFO</t>
  </si>
  <si>
    <t>QTIRZA</t>
  </si>
  <si>
    <t>ULDAVM</t>
  </si>
  <si>
    <t>SMDYED</t>
  </si>
  <si>
    <t>SRCZOU</t>
  </si>
  <si>
    <t>DBLIZY</t>
  </si>
  <si>
    <t>AUDXRD</t>
  </si>
  <si>
    <t>TLXJOP</t>
  </si>
  <si>
    <t>JJPMER</t>
  </si>
  <si>
    <t>QDQAFO</t>
  </si>
  <si>
    <t>CXFRQP</t>
  </si>
  <si>
    <t>RTQAGC</t>
  </si>
  <si>
    <t>RTPZFJ</t>
  </si>
  <si>
    <t>UGVMRY</t>
  </si>
  <si>
    <t>MRMUDU</t>
  </si>
  <si>
    <t>MSYZIB</t>
  </si>
  <si>
    <t>AMCZBO</t>
  </si>
  <si>
    <t>DRLIZY</t>
  </si>
  <si>
    <t>ANXJOP</t>
  </si>
  <si>
    <t>AZCOPA</t>
  </si>
  <si>
    <t>IHQAGC</t>
  </si>
  <si>
    <t>HEQHJU</t>
  </si>
  <si>
    <t>CBFRQP</t>
  </si>
  <si>
    <t>SHQKZO</t>
  </si>
  <si>
    <t>CFVBNB</t>
  </si>
  <si>
    <t>SFHMGS</t>
  </si>
  <si>
    <t>WSDHZF</t>
  </si>
  <si>
    <t>AMCZRO</t>
  </si>
  <si>
    <t>GXCGDJ</t>
  </si>
  <si>
    <t>TNAJVT</t>
  </si>
  <si>
    <t>ZJPMTR</t>
  </si>
  <si>
    <t>CXFIQP</t>
  </si>
  <si>
    <t>DXFHHZ</t>
  </si>
  <si>
    <t>TEQTJX</t>
  </si>
  <si>
    <t>QGVUDC</t>
  </si>
  <si>
    <t>SRLNMY</t>
  </si>
  <si>
    <t>AMCZOU</t>
  </si>
  <si>
    <t>SGZIDC</t>
  </si>
  <si>
    <t>HSDXZF</t>
  </si>
  <si>
    <t>HYSRRH</t>
  </si>
  <si>
    <t>RNPSVC</t>
  </si>
  <si>
    <t>GAQYNB</t>
  </si>
  <si>
    <t>HRQHJU</t>
  </si>
  <si>
    <t>WXKEQP</t>
  </si>
  <si>
    <t>DBFTTZ</t>
  </si>
  <si>
    <t>RHQKZO</t>
  </si>
  <si>
    <t>HMCVEB</t>
  </si>
  <si>
    <t>MMDYEM</t>
  </si>
  <si>
    <t>WSBHZF</t>
  </si>
  <si>
    <t>ASDHZF</t>
  </si>
  <si>
    <t>DKSPXQ</t>
  </si>
  <si>
    <t>TNGOJX</t>
  </si>
  <si>
    <t>JNXCOP</t>
  </si>
  <si>
    <t>BXFHHZ</t>
  </si>
  <si>
    <t>BHQSJC</t>
  </si>
  <si>
    <t>YHAZRQ</t>
  </si>
  <si>
    <t>BAEVJM</t>
  </si>
  <si>
    <t>UMDYVO</t>
  </si>
  <si>
    <t>SGZIBC</t>
  </si>
  <si>
    <t>DSYZID</t>
  </si>
  <si>
    <t>ASDXZF</t>
  </si>
  <si>
    <t>YYSGDI</t>
  </si>
  <si>
    <t>TZQAXO</t>
  </si>
  <si>
    <t>IZCOPA</t>
  </si>
  <si>
    <t>WXKRQP</t>
  </si>
  <si>
    <t>NPNGHS</t>
  </si>
  <si>
    <t>ITQSJC</t>
  </si>
  <si>
    <t>NTQKFY</t>
  </si>
  <si>
    <t>CGVPWC</t>
  </si>
  <si>
    <t>UHVAYU</t>
  </si>
  <si>
    <t>ASBHZF</t>
  </si>
  <si>
    <t>JMDHBD</t>
  </si>
  <si>
    <t>CRISRO</t>
  </si>
  <si>
    <t>TAQGNS</t>
  </si>
  <si>
    <t>JNPBCF</t>
  </si>
  <si>
    <t>EHQSJC</t>
  </si>
  <si>
    <t>WHUKEQ</t>
  </si>
  <si>
    <t>NPNGTS</t>
  </si>
  <si>
    <t>HHAZRQ</t>
  </si>
  <si>
    <t>GXWRHP</t>
  </si>
  <si>
    <t>SLJVDQ</t>
  </si>
  <si>
    <t>BSYZIB</t>
  </si>
  <si>
    <t>SSYZID</t>
  </si>
  <si>
    <t>JMDXRD</t>
  </si>
  <si>
    <t>KKAJID</t>
  </si>
  <si>
    <t>ZNPSVC</t>
  </si>
  <si>
    <t>DAQYNB</t>
  </si>
  <si>
    <t>PPNGHS</t>
  </si>
  <si>
    <t>UTXKEQ</t>
  </si>
  <si>
    <t>ZHQKZO</t>
  </si>
  <si>
    <t>JCLIMF</t>
  </si>
  <si>
    <t>MMDLRV</t>
  </si>
  <si>
    <t>JMBHOB</t>
  </si>
  <si>
    <t>ZSDHZF</t>
  </si>
  <si>
    <t>ARISRO</t>
  </si>
  <si>
    <t>ANPSJF</t>
  </si>
  <si>
    <t>TZCOPA</t>
  </si>
  <si>
    <t>WHUKRQ</t>
  </si>
  <si>
    <t>OHPKJV</t>
  </si>
  <si>
    <t>PPNGTS</t>
  </si>
  <si>
    <t>QHQKZO</t>
  </si>
  <si>
    <t>XMZVPW</t>
  </si>
  <si>
    <t>UMRVEK</t>
  </si>
  <si>
    <t>SSYZIB</t>
  </si>
  <si>
    <t>DSDHZF</t>
  </si>
  <si>
    <t>ZSDXZF</t>
  </si>
  <si>
    <t>MAZSGD</t>
  </si>
  <si>
    <t>ALJWSQ</t>
  </si>
  <si>
    <t>TNPBCF</t>
  </si>
  <si>
    <t>WHGEKU</t>
  </si>
  <si>
    <t>OTPKJV</t>
  </si>
  <si>
    <t>RTQKFY</t>
  </si>
  <si>
    <t>YGVPWC</t>
  </si>
  <si>
    <t>LFHXVG</t>
  </si>
  <si>
    <t>ZSBHZF</t>
  </si>
  <si>
    <t>IMDHBD</t>
  </si>
  <si>
    <t>DRLGSZ</t>
  </si>
  <si>
    <t>BZJNMY</t>
  </si>
  <si>
    <t>AGYSPF</t>
  </si>
  <si>
    <t>VAQRVB</t>
  </si>
  <si>
    <t>UTGEKX</t>
  </si>
  <si>
    <t>XMWFTO</t>
  </si>
  <si>
    <t>DGZIDC</t>
  </si>
  <si>
    <t>IMDXRD</t>
  </si>
  <si>
    <t>JMISRO</t>
  </si>
  <si>
    <t>ABPMTR</t>
  </si>
  <si>
    <t>TLXCOP</t>
  </si>
  <si>
    <t>WHGRKU</t>
  </si>
  <si>
    <t>WPNGHS</t>
  </si>
  <si>
    <t>VAQRVI</t>
  </si>
  <si>
    <t>QCLIMF</t>
  </si>
  <si>
    <t>UFVMGS</t>
  </si>
  <si>
    <t>IMBHOB</t>
  </si>
  <si>
    <t>MQDMOX</t>
  </si>
  <si>
    <t>HADXSF</t>
  </si>
  <si>
    <t>FNPSJF</t>
  </si>
  <si>
    <t>ANXCOP</t>
  </si>
  <si>
    <t>VAQIVE</t>
  </si>
  <si>
    <t>UPNGTS</t>
  </si>
  <si>
    <t>DBZTTS</t>
  </si>
  <si>
    <t>BGTPWC</t>
  </si>
  <si>
    <t>RYVKNK</t>
  </si>
  <si>
    <t>BGZIBC</t>
  </si>
  <si>
    <t>NGZMMW</t>
  </si>
  <si>
    <t>MQDMOB</t>
  </si>
  <si>
    <t>AYSGDI</t>
  </si>
  <si>
    <t>ANPSVC</t>
  </si>
  <si>
    <t>TNACVT</t>
  </si>
  <si>
    <t>NLKTSM</t>
  </si>
  <si>
    <t>CZDHUJ</t>
  </si>
  <si>
    <t>QFVUDR</t>
  </si>
  <si>
    <t>MQBMUX</t>
  </si>
  <si>
    <t>MGBQDC</t>
  </si>
  <si>
    <t>NGZMMH</t>
  </si>
  <si>
    <t>JADXSF</t>
  </si>
  <si>
    <t>FZJNMY</t>
  </si>
  <si>
    <t>RNPBVU</t>
  </si>
  <si>
    <t>VXKHRF</t>
  </si>
  <si>
    <t>NLKWSM</t>
  </si>
  <si>
    <t>ITQAJY</t>
  </si>
  <si>
    <t>ZCKIMH</t>
  </si>
  <si>
    <t>HMRVEK</t>
  </si>
  <si>
    <t>LMDYOD</t>
  </si>
  <si>
    <t>MGRQDC</t>
  </si>
  <si>
    <t>DAZSGD</t>
  </si>
  <si>
    <t>HNPSJF</t>
  </si>
  <si>
    <t>TNYOCX</t>
  </si>
  <si>
    <t>RHQSJC</t>
  </si>
  <si>
    <t>VBKTRF</t>
  </si>
  <si>
    <t>NPNFTA</t>
  </si>
  <si>
    <t>MWMBDU</t>
  </si>
  <si>
    <t>KAEVJM</t>
  </si>
  <si>
    <t>MGRQBC</t>
  </si>
  <si>
    <t>JCJBMY</t>
  </si>
  <si>
    <t>CMDXRD</t>
  </si>
  <si>
    <t>ONPSJF</t>
  </si>
  <si>
    <t>VXKHIF</t>
  </si>
  <si>
    <t>PHPKJV</t>
  </si>
  <si>
    <t>RTQSJC</t>
  </si>
  <si>
    <t>UTXCEQ</t>
  </si>
  <si>
    <t>CMZTPW</t>
  </si>
  <si>
    <t>RFVPWR</t>
  </si>
  <si>
    <t>LMBYUB</t>
  </si>
  <si>
    <t>MMXUQD</t>
  </si>
  <si>
    <t>JCJRMY</t>
  </si>
  <si>
    <t>AAZSGD</t>
  </si>
  <si>
    <t>QLJWES</t>
  </si>
  <si>
    <t>TAQYNB</t>
  </si>
  <si>
    <t>IHQSJC</t>
  </si>
  <si>
    <t>BAQRVB</t>
  </si>
  <si>
    <t>PTPKJV</t>
  </si>
  <si>
    <t>PPNFTA</t>
  </si>
  <si>
    <t>BMCTEB</t>
  </si>
  <si>
    <t>FXWGHP</t>
  </si>
  <si>
    <t>JCJOMY</t>
  </si>
  <si>
    <t>CCJBMY</t>
  </si>
  <si>
    <t>MMBUQD</t>
  </si>
  <si>
    <t>SADXSF</t>
  </si>
  <si>
    <t>ONXJOP</t>
  </si>
  <si>
    <t>ZNPBVU</t>
  </si>
  <si>
    <t>BHPKJV</t>
  </si>
  <si>
    <t>IAQRVI</t>
  </si>
  <si>
    <t>OTPCJV</t>
  </si>
  <si>
    <t>MEBXPQ</t>
  </si>
  <si>
    <t>JRLIMY</t>
  </si>
  <si>
    <t>MMXRQB</t>
  </si>
  <si>
    <t>FMCUOA</t>
  </si>
  <si>
    <t>CCJRMY</t>
  </si>
  <si>
    <t>OBPMEZ</t>
  </si>
  <si>
    <t>ANPBCF</t>
  </si>
  <si>
    <t>EAQIVE</t>
  </si>
  <si>
    <t>WLKMTS</t>
  </si>
  <si>
    <t>ITPKJV</t>
  </si>
  <si>
    <t>UTFECX</t>
  </si>
  <si>
    <t>BMIPTZ</t>
  </si>
  <si>
    <t>CCJOMY</t>
  </si>
  <si>
    <t>ZGUMID</t>
  </si>
  <si>
    <t>GMDXRD</t>
  </si>
  <si>
    <t>ONAJVE</t>
  </si>
  <si>
    <t>ALCWBQ</t>
  </si>
  <si>
    <t>EHPKJV</t>
  </si>
  <si>
    <t>BHGEKU</t>
  </si>
  <si>
    <t>ULKMWS</t>
  </si>
  <si>
    <t>KCMUWP</t>
  </si>
  <si>
    <t>SFVPWR</t>
  </si>
  <si>
    <t>FMCRUA</t>
  </si>
  <si>
    <t>AHDIXL</t>
  </si>
  <si>
    <t>DYSGDI</t>
  </si>
  <si>
    <t>FNGOJX</t>
  </si>
  <si>
    <t>JZCNMI</t>
  </si>
  <si>
    <t>XXKHRF</t>
  </si>
  <si>
    <t>ITGEKX</t>
  </si>
  <si>
    <t>UPNFTA</t>
  </si>
  <si>
    <t>BCKIMF</t>
  </si>
  <si>
    <t>XMWYTO</t>
  </si>
  <si>
    <t>ZGRMIB</t>
  </si>
  <si>
    <t>MCLBMY</t>
  </si>
  <si>
    <t>AXDIBL</t>
  </si>
  <si>
    <t>PTZEPD</t>
  </si>
  <si>
    <t>AJPMTR</t>
  </si>
  <si>
    <t>EHGRKU</t>
  </si>
  <si>
    <t>BPNGHS</t>
  </si>
  <si>
    <t>BBKTRF</t>
  </si>
  <si>
    <t>GMWFED</t>
  </si>
  <si>
    <t>QRLIMY</t>
  </si>
  <si>
    <t>AHBIXL</t>
  </si>
  <si>
    <t>LGUQDC</t>
  </si>
  <si>
    <t>MCLRMY</t>
  </si>
  <si>
    <t>NYSMMH</t>
  </si>
  <si>
    <t>NCRHDD</t>
  </si>
  <si>
    <t>FNPBCF</t>
  </si>
  <si>
    <t>XXKHIF</t>
  </si>
  <si>
    <t>IPNGTS</t>
  </si>
  <si>
    <t>NLCWAM</t>
  </si>
  <si>
    <t>CMWFTO</t>
  </si>
  <si>
    <t>KFTPWR</t>
  </si>
  <si>
    <t>MCLOMY</t>
  </si>
  <si>
    <t>LRUPYD</t>
  </si>
  <si>
    <t>MYRQDI</t>
  </si>
  <si>
    <t>KUIREM</t>
  </si>
  <si>
    <t>ANPBVU</t>
  </si>
  <si>
    <t>EPNGHS</t>
  </si>
  <si>
    <t>EBGEKU</t>
  </si>
  <si>
    <t>VBCTRZ</t>
  </si>
  <si>
    <t>CHTAFM</t>
  </si>
  <si>
    <t>RZDHUJ</t>
  </si>
  <si>
    <t>LGRQBC</t>
  </si>
  <si>
    <t>AGUMIZ</t>
  </si>
  <si>
    <t>LKUPYD</t>
  </si>
  <si>
    <t>LMDZOD</t>
  </si>
  <si>
    <t>FRNPEZ</t>
  </si>
  <si>
    <t>FZCNMI</t>
  </si>
  <si>
    <t>PXKBRF</t>
  </si>
  <si>
    <t>EIGEKX</t>
  </si>
  <si>
    <t>RTQAJY</t>
  </si>
  <si>
    <t>XGTMRY</t>
  </si>
  <si>
    <t>ZRCIMH</t>
  </si>
  <si>
    <t>LDRPYB</t>
  </si>
  <si>
    <t>IMDYOD</t>
  </si>
  <si>
    <t>CICRMZ</t>
  </si>
  <si>
    <t>KJLDHU</t>
  </si>
  <si>
    <t>HNPBCF</t>
  </si>
  <si>
    <t>REGRKU</t>
  </si>
  <si>
    <t>RBULEW</t>
  </si>
  <si>
    <t>PBKIRF</t>
  </si>
  <si>
    <t>PTPCJV</t>
  </si>
  <si>
    <t>ZAWRJE</t>
  </si>
  <si>
    <t>MWMKDU</t>
  </si>
  <si>
    <t>AGRMIZ</t>
  </si>
  <si>
    <t>CMCUOA</t>
  </si>
  <si>
    <t>VXDUBL</t>
  </si>
  <si>
    <t>ONPBCF</t>
  </si>
  <si>
    <t>PXKEIF</t>
  </si>
  <si>
    <t>CAWMVB</t>
  </si>
  <si>
    <t>OMWFTO</t>
  </si>
  <si>
    <t>RMZTPW</t>
  </si>
  <si>
    <t>IMBYUB</t>
  </si>
  <si>
    <t>LHDIAL</t>
  </si>
  <si>
    <t>IICRMZ</t>
  </si>
  <si>
    <t>PCJNRY</t>
  </si>
  <si>
    <t>QLCWEB</t>
  </si>
  <si>
    <t>IEULRW</t>
  </si>
  <si>
    <t>MBPLJV</t>
  </si>
  <si>
    <t>CAUMVI</t>
  </si>
  <si>
    <t>ITPCJV</t>
  </si>
  <si>
    <t>CMWFED</t>
  </si>
  <si>
    <t>KMRTEK</t>
  </si>
  <si>
    <t>CMCRUA</t>
  </si>
  <si>
    <t>LMCUOA</t>
  </si>
  <si>
    <t>LXDIAL</t>
  </si>
  <si>
    <t>FMIUOJ</t>
  </si>
  <si>
    <t>HRNPEZ</t>
  </si>
  <si>
    <t>ONXCOP</t>
  </si>
  <si>
    <t>CAWMVE</t>
  </si>
  <si>
    <t>WBPLJV</t>
  </si>
  <si>
    <t>MIPLJV</t>
  </si>
  <si>
    <t>ULCMWA</t>
  </si>
  <si>
    <t>OGTMRY</t>
  </si>
  <si>
    <t>MEKXPQ</t>
  </si>
  <si>
    <t>LHBIAL</t>
  </si>
  <si>
    <t>MRUPYO</t>
  </si>
  <si>
    <t>SYUMGD</t>
  </si>
  <si>
    <t>ICJNRY</t>
  </si>
  <si>
    <t>OJPMEZ</t>
  </si>
  <si>
    <t>MEPLJV</t>
  </si>
  <si>
    <t>NBWSLO</t>
  </si>
  <si>
    <t>UIPLJV</t>
  </si>
  <si>
    <t>ITFECX</t>
  </si>
  <si>
    <t>MMWFTO</t>
  </si>
  <si>
    <t>KMIPTZ</t>
  </si>
  <si>
    <t>LMCRUA</t>
  </si>
  <si>
    <t>LMBPUX</t>
  </si>
  <si>
    <t>MKUPYO</t>
  </si>
  <si>
    <t>JXDGBL</t>
  </si>
  <si>
    <t>JGERUI</t>
  </si>
  <si>
    <t>WEPLJV</t>
  </si>
  <si>
    <t>MXLBMF</t>
  </si>
  <si>
    <t>NIUSLO</t>
  </si>
  <si>
    <t>BBCTRZ</t>
  </si>
  <si>
    <t>MMZTPE</t>
  </si>
  <si>
    <t>CRMUWP</t>
  </si>
  <si>
    <t>MDRPYU</t>
  </si>
  <si>
    <t>GGUMIZ</t>
  </si>
  <si>
    <t>LMRPUB</t>
  </si>
  <si>
    <t>MILRMZ</t>
  </si>
  <si>
    <t>VRZEHD</t>
  </si>
  <si>
    <t>FNYOCX</t>
  </si>
  <si>
    <t>NEWSLO</t>
  </si>
  <si>
    <t>MPNGBS</t>
  </si>
  <si>
    <t>MBLIMF</t>
  </si>
  <si>
    <t>IPNFTA</t>
  </si>
  <si>
    <t>PHTAFD</t>
  </si>
  <si>
    <t>KRCIMY</t>
  </si>
  <si>
    <t>LMOPRX</t>
  </si>
  <si>
    <t>LCLBMY</t>
  </si>
  <si>
    <t>LYUQDI</t>
  </si>
  <si>
    <t>HGERUI</t>
  </si>
  <si>
    <t>MXLEMF</t>
  </si>
  <si>
    <t>FBULEW</t>
  </si>
  <si>
    <t>MPNGIS</t>
  </si>
  <si>
    <t>ZIAKJT</t>
  </si>
  <si>
    <t>FMWYED</t>
  </si>
  <si>
    <t>GGRMIZ</t>
  </si>
  <si>
    <t>IGUQDC</t>
  </si>
  <si>
    <t>LCLRMY</t>
  </si>
  <si>
    <t>LKUPZD</t>
  </si>
  <si>
    <t>LKEAYC</t>
  </si>
  <si>
    <t>NURHDD</t>
  </si>
  <si>
    <t>MPNGES</t>
  </si>
  <si>
    <t>NTGBGW</t>
  </si>
  <si>
    <t>FIXLEU</t>
  </si>
  <si>
    <t>EIFECX</t>
  </si>
  <si>
    <t>INXKEP</t>
  </si>
  <si>
    <t>RMWYTO</t>
  </si>
  <si>
    <t>LCLOMY</t>
  </si>
  <si>
    <t>WMBRUX</t>
  </si>
  <si>
    <t>JYUMGS</t>
  </si>
  <si>
    <t>DRDYOD</t>
  </si>
  <si>
    <t>KGSREM</t>
  </si>
  <si>
    <t>FEULRW</t>
  </si>
  <si>
    <t>CLMLTS</t>
  </si>
  <si>
    <t>NWGIGU</t>
  </si>
  <si>
    <t>LNGEKX</t>
  </si>
  <si>
    <t>RHTAYM</t>
  </si>
  <si>
    <t>IGRQBC</t>
  </si>
  <si>
    <t>CGUMIZ</t>
  </si>
  <si>
    <t>HMRKUB</t>
  </si>
  <si>
    <t>GMDZOD</t>
  </si>
  <si>
    <t>JGRHDC</t>
  </si>
  <si>
    <t>NTGEGW</t>
  </si>
  <si>
    <t>CBULEW</t>
  </si>
  <si>
    <t>CLMLWS</t>
  </si>
  <si>
    <t>PNXKEP</t>
  </si>
  <si>
    <t>XFTMGS</t>
  </si>
  <si>
    <t>WMODRX</t>
  </si>
  <si>
    <t>IMXUWD</t>
  </si>
  <si>
    <t>IMIUOJ</t>
  </si>
  <si>
    <t>LGRRUI</t>
  </si>
  <si>
    <t>KCLDHG</t>
  </si>
  <si>
    <t>MAWMVB</t>
  </si>
  <si>
    <t>YKUMVI</t>
  </si>
  <si>
    <t>LAQGNS</t>
  </si>
  <si>
    <t>ZAWGJE</t>
  </si>
  <si>
    <t>CGRMIZ</t>
  </si>
  <si>
    <t>DHDIBL</t>
  </si>
  <si>
    <t>IMBUHD</t>
  </si>
  <si>
    <t>LXDGJL</t>
  </si>
  <si>
    <t>DCJRTY</t>
  </si>
  <si>
    <t>VXDGJL</t>
  </si>
  <si>
    <t>CEULRW</t>
  </si>
  <si>
    <t>CBPLJV</t>
  </si>
  <si>
    <t>MAUMVI</t>
  </si>
  <si>
    <t>GZKEPA</t>
  </si>
  <si>
    <t>OMWYTO</t>
  </si>
  <si>
    <t>IMXRWB</t>
  </si>
  <si>
    <t>IMCUOA</t>
  </si>
  <si>
    <t>DXDIRL</t>
  </si>
  <si>
    <t>LMIUOJ</t>
  </si>
  <si>
    <t>KGTHDC</t>
  </si>
  <si>
    <t>PUCNRI</t>
  </si>
  <si>
    <t>MAWMVE</t>
  </si>
  <si>
    <t>CBWSJC</t>
  </si>
  <si>
    <t>CIPLJV</t>
  </si>
  <si>
    <t>IBGTRE</t>
  </si>
  <si>
    <t>RMWYED</t>
  </si>
  <si>
    <t>BHBIOL</t>
  </si>
  <si>
    <t>NXDBID</t>
  </si>
  <si>
    <t>MKUPZO</t>
  </si>
  <si>
    <t>DGTTUI</t>
  </si>
  <si>
    <t>CEPLJV</t>
  </si>
  <si>
    <t>CBGELU</t>
  </si>
  <si>
    <t>CIUSJC</t>
  </si>
  <si>
    <t>NIUALO</t>
  </si>
  <si>
    <t>BZKEPA</t>
  </si>
  <si>
    <t>OFTMGS</t>
  </si>
  <si>
    <t>IMCRUA</t>
  </si>
  <si>
    <t>LMDYUF</t>
  </si>
  <si>
    <t>NBDRID</t>
  </si>
  <si>
    <t>KKTAYH</t>
  </si>
  <si>
    <t>SUCNRI</t>
  </si>
  <si>
    <t>CEWSJC</t>
  </si>
  <si>
    <t>WAWMVB</t>
  </si>
  <si>
    <t>CIGELX</t>
  </si>
  <si>
    <t>MBLIMZ</t>
  </si>
  <si>
    <t>ZNGEKX</t>
  </si>
  <si>
    <t>MMWYTO</t>
  </si>
  <si>
    <t>NXBOIB</t>
  </si>
  <si>
    <t>RGUMIZ</t>
  </si>
  <si>
    <t>YYUMGS</t>
  </si>
  <si>
    <t>MTRHTZ</t>
  </si>
  <si>
    <t>CYERGS</t>
  </si>
  <si>
    <t>CEGRLU</t>
  </si>
  <si>
    <t>CPNGBS</t>
  </si>
  <si>
    <t>UAUMVI</t>
  </si>
  <si>
    <t>MPNFIA</t>
  </si>
  <si>
    <t>BLKWIS</t>
  </si>
  <si>
    <t>LMBYRF</t>
  </si>
  <si>
    <t>ICLKMY</t>
  </si>
  <si>
    <t>KGUMIZ</t>
  </si>
  <si>
    <t>LILRMZ</t>
  </si>
  <si>
    <t>HXDUBL</t>
  </si>
  <si>
    <t>WAWMVE</t>
  </si>
  <si>
    <t>MLLTSM</t>
  </si>
  <si>
    <t>CPNGIS</t>
  </si>
  <si>
    <t>RNGEKX</t>
  </si>
  <si>
    <t>PHTAYD</t>
  </si>
  <si>
    <t>DGRMIZ</t>
  </si>
  <si>
    <t>ZMXUWD</t>
  </si>
  <si>
    <t>ICLTMY</t>
  </si>
  <si>
    <t>GYUQDI</t>
  </si>
  <si>
    <t>GTCTOB</t>
  </si>
  <si>
    <t>HYERGS</t>
  </si>
  <si>
    <t>CPNGES</t>
  </si>
  <si>
    <t>FBWSLO</t>
  </si>
  <si>
    <t>MLLWSM</t>
  </si>
  <si>
    <t>NWFIFU</t>
  </si>
  <si>
    <t>UZKEPA</t>
  </si>
  <si>
    <t>ZIACJT</t>
  </si>
  <si>
    <t>MGUMIZ</t>
  </si>
  <si>
    <t>ZMBUHD</t>
  </si>
  <si>
    <t>LTZTHD</t>
  </si>
  <si>
    <t>LKEAIU</t>
  </si>
  <si>
    <t>TLLTSL</t>
  </si>
  <si>
    <t>FIUSLO</t>
  </si>
  <si>
    <t>YLMLWA</t>
  </si>
  <si>
    <t>BNAKJT</t>
  </si>
  <si>
    <t>INXCEP</t>
  </si>
  <si>
    <t>ZMXRWB</t>
  </si>
  <si>
    <t>DRUPYB</t>
  </si>
  <si>
    <t>IYUMGS</t>
  </si>
  <si>
    <t>KTRHTZ</t>
  </si>
  <si>
    <t>DRDIOD</t>
  </si>
  <si>
    <t>FEWSLO</t>
  </si>
  <si>
    <t>MBWSLO</t>
  </si>
  <si>
    <t>WLLWSL</t>
  </si>
  <si>
    <t>RGWREH</t>
  </si>
  <si>
    <t>LNFECX</t>
  </si>
  <si>
    <t>MGRMIZ</t>
  </si>
  <si>
    <t>DMXEWD</t>
  </si>
  <si>
    <t>DKUPYR</t>
  </si>
  <si>
    <t>GMBUHD</t>
  </si>
  <si>
    <t>DTZTHD</t>
  </si>
  <si>
    <t>CYRHDU</t>
  </si>
  <si>
    <t>FAWMVB</t>
  </si>
  <si>
    <t>MIUSLO</t>
  </si>
  <si>
    <t>MKUMVI</t>
  </si>
  <si>
    <t>BNGEKX</t>
  </si>
  <si>
    <t>PNXCEP</t>
  </si>
  <si>
    <t>BDRPYO</t>
  </si>
  <si>
    <t>NWMDVE</t>
  </si>
  <si>
    <t>DMBEHD</t>
  </si>
  <si>
    <t>DXDGRL</t>
  </si>
  <si>
    <t>KCJRTY</t>
  </si>
  <si>
    <t>LYRRGS</t>
  </si>
  <si>
    <t>MEWSLO</t>
  </si>
  <si>
    <t>CXLBMF</t>
  </si>
  <si>
    <t>FAUMVI</t>
  </si>
  <si>
    <t>YIPLJV</t>
  </si>
  <si>
    <t>ZAQGNS</t>
  </si>
  <si>
    <t>LAQFNB</t>
  </si>
  <si>
    <t>BMXEWB</t>
  </si>
  <si>
    <t>DMCEOA</t>
  </si>
  <si>
    <t>NHMDVE</t>
  </si>
  <si>
    <t>GMIUOJ</t>
  </si>
  <si>
    <t>RGTHDC</t>
  </si>
  <si>
    <t>DUCRTI</t>
  </si>
  <si>
    <t>FAWMVE</t>
  </si>
  <si>
    <t>FBWSJC</t>
  </si>
  <si>
    <t>CBLIMF</t>
  </si>
  <si>
    <t>YIUAJY</t>
  </si>
  <si>
    <t>RSKTGT</t>
  </si>
  <si>
    <t>FZCEPA</t>
  </si>
  <si>
    <t>NWMBVE</t>
  </si>
  <si>
    <t>MREPZI</t>
  </si>
  <si>
    <t>NBDRGD</t>
  </si>
  <si>
    <t>MGTTUI</t>
  </si>
  <si>
    <t>KYTHDU</t>
  </si>
  <si>
    <t>CXLEMF</t>
  </si>
  <si>
    <t>FBGELU</t>
  </si>
  <si>
    <t>FIUSJC</t>
  </si>
  <si>
    <t>YIFELX</t>
  </si>
  <si>
    <t>OZKEPA</t>
  </si>
  <si>
    <t>IKFTGE</t>
  </si>
  <si>
    <t>BMCEUA</t>
  </si>
  <si>
    <t>CIZMEM</t>
  </si>
  <si>
    <t>MKEPZI</t>
  </si>
  <si>
    <t>LMDZUF</t>
  </si>
  <si>
    <t>XGEPDC</t>
  </si>
  <si>
    <t>DYTTGS</t>
  </si>
  <si>
    <t>FEWSJC</t>
  </si>
  <si>
    <t>FXLBMF</t>
  </si>
  <si>
    <t>FIGELX</t>
  </si>
  <si>
    <t>UKUMVI</t>
  </si>
  <si>
    <t>UNPSKO</t>
  </si>
  <si>
    <t>KZCEPA</t>
  </si>
  <si>
    <t>MDEPZI</t>
  </si>
  <si>
    <t>ZGEWDW</t>
  </si>
  <si>
    <t>KYUMGS</t>
  </si>
  <si>
    <t>GTNPEZ</t>
  </si>
  <si>
    <t>KKTAIH</t>
  </si>
  <si>
    <t>FEGRLU</t>
  </si>
  <si>
    <t>FPNGBS</t>
  </si>
  <si>
    <t>FBLIMF</t>
  </si>
  <si>
    <t>YPNFIA</t>
  </si>
  <si>
    <t>OLKIWS</t>
  </si>
  <si>
    <t>ZNFECX</t>
  </si>
  <si>
    <t>CEKOSM</t>
  </si>
  <si>
    <t>ZGEHDH</t>
  </si>
  <si>
    <t>GILTMZ</t>
  </si>
  <si>
    <t>XKEAYG</t>
  </si>
  <si>
    <t>FXLEMF</t>
  </si>
  <si>
    <t>EXLEWP</t>
  </si>
  <si>
    <t>FPNGIS</t>
  </si>
  <si>
    <t>MLLWAM</t>
  </si>
  <si>
    <t>UNXKEP</t>
  </si>
  <si>
    <t>KLCWIB</t>
  </si>
  <si>
    <t>ZGEWBW</t>
  </si>
  <si>
    <t>IREPYN</t>
  </si>
  <si>
    <t>CETOSM</t>
  </si>
  <si>
    <t>SMBUHD</t>
  </si>
  <si>
    <t>VTNPEZ</t>
  </si>
  <si>
    <t>HXDGJL</t>
  </si>
  <si>
    <t>FPNGES</t>
  </si>
  <si>
    <t>EHWSLO</t>
  </si>
  <si>
    <t>ZIUALO</t>
  </si>
  <si>
    <t>OBPTTI</t>
  </si>
  <si>
    <t>GNFECX</t>
  </si>
  <si>
    <t>CEKUSM</t>
  </si>
  <si>
    <t>ZMDYEF</t>
  </si>
  <si>
    <t>IKEPYN</t>
  </si>
  <si>
    <t>MYUMGS</t>
  </si>
  <si>
    <t>MGEPDC</t>
  </si>
  <si>
    <t>YTUTOJ</t>
  </si>
  <si>
    <t>RXLRWP</t>
  </si>
  <si>
    <t>ELLTSW</t>
  </si>
  <si>
    <t>ETUSLO</t>
  </si>
  <si>
    <t>WLLWAL</t>
  </si>
  <si>
    <t>BNPSJC</t>
  </si>
  <si>
    <t>UZCEPA</t>
  </si>
  <si>
    <t>IDEPYN</t>
  </si>
  <si>
    <t>DKUPZR</t>
  </si>
  <si>
    <t>XTCEOB</t>
  </si>
  <si>
    <t>RHWSLO</t>
  </si>
  <si>
    <t>EHULEW</t>
  </si>
  <si>
    <t>ELLWSU</t>
  </si>
  <si>
    <t>MIUALO</t>
  </si>
  <si>
    <t>LQPGYT</t>
  </si>
  <si>
    <t>KNACJT</t>
  </si>
  <si>
    <t>ZMBYEF</t>
  </si>
  <si>
    <t>IMDYEF</t>
  </si>
  <si>
    <t>PGETUI</t>
  </si>
  <si>
    <t>RLLTSW</t>
  </si>
  <si>
    <t>EAQMVB</t>
  </si>
  <si>
    <t>ZKUMVI</t>
  </si>
  <si>
    <t>QBPTTI</t>
  </si>
  <si>
    <t>GFWGEH</t>
  </si>
  <si>
    <t>PDEPYH</t>
  </si>
  <si>
    <t>DLDVMD</t>
  </si>
  <si>
    <t>XTNPEZ</t>
  </si>
  <si>
    <t>RHULRW</t>
  </si>
  <si>
    <t>EAQMVI</t>
  </si>
  <si>
    <t>YBLIMZ</t>
  </si>
  <si>
    <t>IRLKWS</t>
  </si>
  <si>
    <t>KNFECX</t>
  </si>
  <si>
    <t>IMBYEF</t>
  </si>
  <si>
    <t>LMRMDI</t>
  </si>
  <si>
    <t>DMIEOJ</t>
  </si>
  <si>
    <t>DENOST</t>
  </si>
  <si>
    <t>KUCRTI</t>
  </si>
  <si>
    <t>RAQMVE</t>
  </si>
  <si>
    <t>ETPKJV</t>
  </si>
  <si>
    <t>ZIUAJY</t>
  </si>
  <si>
    <t>OAQGNS</t>
  </si>
  <si>
    <t>ZAQFNB</t>
  </si>
  <si>
    <t>BLBVMB</t>
  </si>
  <si>
    <t>ZMDYOD</t>
  </si>
  <si>
    <t>LMKMDI</t>
  </si>
  <si>
    <t>MKEPSG</t>
  </si>
  <si>
    <t>XCJNTY</t>
  </si>
  <si>
    <t>RYTHDU</t>
  </si>
  <si>
    <t>RHPKJV</t>
  </si>
  <si>
    <t>FLKTSW</t>
  </si>
  <si>
    <t>ETQSJC</t>
  </si>
  <si>
    <t>ZIFELX</t>
  </si>
  <si>
    <t>EZKEPA</t>
  </si>
  <si>
    <t>GBCTFT</t>
  </si>
  <si>
    <t>LMDMBI</t>
  </si>
  <si>
    <t>MCMWDW</t>
  </si>
  <si>
    <t>IGSMEM</t>
  </si>
  <si>
    <t>FGEPDC</t>
  </si>
  <si>
    <t>MYTTGS</t>
  </si>
  <si>
    <t>EXKHMF</t>
  </si>
  <si>
    <t>FLKWSU</t>
  </si>
  <si>
    <t>ZBLIMZ</t>
  </si>
  <si>
    <t>DNPSKO</t>
  </si>
  <si>
    <t>OZCEPA</t>
  </si>
  <si>
    <t>ZMBYUB</t>
  </si>
  <si>
    <t>ZGRMIZ</t>
  </si>
  <si>
    <t>MCMHDH</t>
  </si>
  <si>
    <t>SYEHDH</t>
  </si>
  <si>
    <t>MTDYEF</t>
  </si>
  <si>
    <t>XYEPDU</t>
  </si>
  <si>
    <t>EBKTMF</t>
  </si>
  <si>
    <t>ZPNFIA</t>
  </si>
  <si>
    <t>RNPSJC</t>
  </si>
  <si>
    <t>UNPBCO</t>
  </si>
  <si>
    <t>MCMWBW</t>
  </si>
  <si>
    <t>ZCLKMY</t>
  </si>
  <si>
    <t>ZGKMIZ</t>
  </si>
  <si>
    <t>IETOAM</t>
  </si>
  <si>
    <t>FKEAYN</t>
  </si>
  <si>
    <t>YTNPEZ</t>
  </si>
  <si>
    <t>RXKHMF</t>
  </si>
  <si>
    <t>DXKEQP</t>
  </si>
  <si>
    <t>EPNGTS</t>
  </si>
  <si>
    <t>UILKWS</t>
  </si>
  <si>
    <t>OLCIWB</t>
  </si>
  <si>
    <t>ZGDMIZ</t>
  </si>
  <si>
    <t>MMDYOM</t>
  </si>
  <si>
    <t>ZCLTMY</t>
  </si>
  <si>
    <t>GKEPZN</t>
  </si>
  <si>
    <t>FRZEPD</t>
  </si>
  <si>
    <t>XKEAIY</t>
  </si>
  <si>
    <t>RPNGHS</t>
  </si>
  <si>
    <t>DHPKJV</t>
  </si>
  <si>
    <t>DBKEQP</t>
  </si>
  <si>
    <t>ETUALO</t>
  </si>
  <si>
    <t>RZKNTF</t>
  </si>
  <si>
    <t>UNXCEP</t>
  </si>
  <si>
    <t>WMDYEF</t>
  </si>
  <si>
    <t>SMDZEF</t>
  </si>
  <si>
    <t>FXDUBL</t>
  </si>
  <si>
    <t>AAQMVB</t>
  </si>
  <si>
    <t>DTPKJV</t>
  </si>
  <si>
    <t>ELLWAU</t>
  </si>
  <si>
    <t>QNGEKX</t>
  </si>
  <si>
    <t>OKPTTI</t>
  </si>
  <si>
    <t>MMBYUM</t>
  </si>
  <si>
    <t>WREPYW</t>
  </si>
  <si>
    <t>HMDYEF</t>
  </si>
  <si>
    <t>XRDYOD</t>
  </si>
  <si>
    <t>MYEPDU</t>
  </si>
  <si>
    <t>AAQMVI</t>
  </si>
  <si>
    <t>KZKEPA</t>
  </si>
  <si>
    <t>KNPBJR</t>
  </si>
  <si>
    <t>WMBYEF</t>
  </si>
  <si>
    <t>ZLVEDN</t>
  </si>
  <si>
    <t>GMDZEF</t>
  </si>
  <si>
    <t>XGKXEU</t>
  </si>
  <si>
    <t>XTUEOJ</t>
  </si>
  <si>
    <t>AAQMVE</t>
  </si>
  <si>
    <t>XAQMRB</t>
  </si>
  <si>
    <t>EKQMVI</t>
  </si>
  <si>
    <t>UNPSJC</t>
  </si>
  <si>
    <t>LQPFST</t>
  </si>
  <si>
    <t>WDEPYW</t>
  </si>
  <si>
    <t>MMDLCE</t>
  </si>
  <si>
    <t>OPRDVE</t>
  </si>
  <si>
    <t>PYETGS</t>
  </si>
  <si>
    <t>YPNGHS</t>
  </si>
  <si>
    <t>BAQMRI</t>
  </si>
  <si>
    <t>ETPCJV</t>
  </si>
  <si>
    <t>GNQCFP</t>
  </si>
  <si>
    <t>QKPTTI</t>
  </si>
  <si>
    <t>ZLVEBN</t>
  </si>
  <si>
    <t>WMCEOA</t>
  </si>
  <si>
    <t>LMKMDG</t>
  </si>
  <si>
    <t>VKEAYR</t>
  </si>
  <si>
    <t>XAQMIE</t>
  </si>
  <si>
    <t>AHUKEQ</t>
  </si>
  <si>
    <t>YPNGTS</t>
  </si>
  <si>
    <t>ETQAJY</t>
  </si>
  <si>
    <t>KNXKEP</t>
  </si>
  <si>
    <t>IGLCWB</t>
  </si>
  <si>
    <t>MMBLCE</t>
  </si>
  <si>
    <t>LGRHEI</t>
  </si>
  <si>
    <t>HMCEOA</t>
  </si>
  <si>
    <t>SMDZOD</t>
  </si>
  <si>
    <t>FCJNRY</t>
  </si>
  <si>
    <t>DENOBT</t>
  </si>
  <si>
    <t>FXKEQP</t>
  </si>
  <si>
    <t>ATXKEQ</t>
  </si>
  <si>
    <t>ZLCWAU</t>
  </si>
  <si>
    <t>CWPTRJ</t>
  </si>
  <si>
    <t>OAQFNB</t>
  </si>
  <si>
    <t>WMCEUA</t>
  </si>
  <si>
    <t>WLDPEM</t>
  </si>
  <si>
    <t>LGKXEI</t>
  </si>
  <si>
    <t>MIMHDH</t>
  </si>
  <si>
    <t>PGEPDC</t>
  </si>
  <si>
    <t>XUCNTI</t>
  </si>
  <si>
    <t>AHUKRQ</t>
  </si>
  <si>
    <t>AHQSKO</t>
  </si>
  <si>
    <t>FBKEQP</t>
  </si>
  <si>
    <t>EBCTMZ</t>
  </si>
  <si>
    <t>IIPSKO</t>
  </si>
  <si>
    <t>EZCEPA</t>
  </si>
  <si>
    <t>LGDHEI</t>
  </si>
  <si>
    <t>WGEMIZ</t>
  </si>
  <si>
    <t>HLDPEM</t>
  </si>
  <si>
    <t>SYKMGS</t>
  </si>
  <si>
    <t>QRDYEF</t>
  </si>
  <si>
    <t>FYEPDU</t>
  </si>
  <si>
    <t>FXKRQP</t>
  </si>
  <si>
    <t>DPNGHS</t>
  </si>
  <si>
    <t>ATQSKO</t>
  </si>
  <si>
    <t>EPNFTA</t>
  </si>
  <si>
    <t>KIPSJC</t>
  </si>
  <si>
    <t>DNPBCO</t>
  </si>
  <si>
    <t>WLBPEM</t>
  </si>
  <si>
    <t>CYEAKA</t>
  </si>
  <si>
    <t>HGEMIZ</t>
  </si>
  <si>
    <t>SILTMZ</t>
  </si>
  <si>
    <t>VRDYOD</t>
  </si>
  <si>
    <t>MTDIEF</t>
  </si>
  <si>
    <t>DPNGTS</t>
  </si>
  <si>
    <t>DBCEQP</t>
  </si>
  <si>
    <t>CAIYPE</t>
  </si>
  <si>
    <t>GNPBJR</t>
  </si>
  <si>
    <t>NGEWDC</t>
  </si>
  <si>
    <t>CYEATA</t>
  </si>
  <si>
    <t>MMDZOM</t>
  </si>
  <si>
    <t>MKEAYL</t>
  </si>
  <si>
    <t>FKEAIN</t>
  </si>
  <si>
    <t>RHQSKO</t>
  </si>
  <si>
    <t>DTPCJV</t>
  </si>
  <si>
    <t>CZKITF</t>
  </si>
  <si>
    <t>UILCWB</t>
  </si>
  <si>
    <t>RMCEOA</t>
  </si>
  <si>
    <t>NGEHDC</t>
  </si>
  <si>
    <t>HMDZEF</t>
  </si>
  <si>
    <t>VGERUI</t>
  </si>
  <si>
    <t>PYGZQO</t>
  </si>
  <si>
    <t>RTQSKO</t>
  </si>
  <si>
    <t>KKQMVI</t>
  </si>
  <si>
    <t>KAQGIS</t>
  </si>
  <si>
    <t>GZCNTY</t>
  </si>
  <si>
    <t>NGEWBC</t>
  </si>
  <si>
    <t>APOEVM</t>
  </si>
  <si>
    <t>KMCEOA</t>
  </si>
  <si>
    <t>JRNPEZ</t>
  </si>
  <si>
    <t>FXDGJL</t>
  </si>
  <si>
    <t>IHQSKO</t>
  </si>
  <si>
    <t>PZKEPA</t>
  </si>
  <si>
    <t>QNFECX</t>
  </si>
  <si>
    <t>DMCEUA</t>
  </si>
  <si>
    <t>CGEQTC</t>
  </si>
  <si>
    <t>SLVEDN</t>
  </si>
  <si>
    <t>EGEPDC</t>
  </si>
  <si>
    <t>XRDIOD</t>
  </si>
  <si>
    <t>BKQMRI</t>
  </si>
  <si>
    <t>UIAKJV</t>
  </si>
  <si>
    <t>CZCEPA</t>
  </si>
  <si>
    <t>APUEVM</t>
  </si>
  <si>
    <t>GHTIRQ</t>
  </si>
  <si>
    <t>CGEQWC</t>
  </si>
  <si>
    <t>MMDLIE</t>
  </si>
  <si>
    <t>MRDYOD</t>
  </si>
  <si>
    <t>XYKXEG</t>
  </si>
  <si>
    <t>RHPKJR</t>
  </si>
  <si>
    <t>PTXKEQ</t>
  </si>
  <si>
    <t>GPNFTA</t>
  </si>
  <si>
    <t>PLKWSM</t>
  </si>
  <si>
    <t>UNPBJR</t>
  </si>
  <si>
    <t>VCLBMY</t>
  </si>
  <si>
    <t>GXWIKQ</t>
  </si>
  <si>
    <t>HMIEOJ</t>
  </si>
  <si>
    <t>EKEAYP</t>
  </si>
  <si>
    <t>RTPKJR</t>
  </si>
  <si>
    <t>KTXCEQ</t>
  </si>
  <si>
    <t>LZKITF</t>
  </si>
  <si>
    <t>FNQRYP</t>
  </si>
  <si>
    <t>GHTIDQ</t>
  </si>
  <si>
    <t>HMXEQT</t>
  </si>
  <si>
    <t>VCLRMY</t>
  </si>
  <si>
    <t>LYKXEG</t>
  </si>
  <si>
    <t>ERZEPD</t>
  </si>
  <si>
    <t>VKEAIR</t>
  </si>
  <si>
    <t>IHPKJI</t>
  </si>
  <si>
    <t>RHGEKU</t>
  </si>
  <si>
    <t>PBPTVI</t>
  </si>
  <si>
    <t>CNXCEP</t>
  </si>
  <si>
    <t>VCLOMY</t>
  </si>
  <si>
    <t>ZGEQTC</t>
  </si>
  <si>
    <t>XMBEQW</t>
  </si>
  <si>
    <t>EXDUBL</t>
  </si>
  <si>
    <t>FUCNRI</t>
  </si>
  <si>
    <t>RXNPUE</t>
  </si>
  <si>
    <t>RTGEKX</t>
  </si>
  <si>
    <t>KTQACO</t>
  </si>
  <si>
    <t>YIAKJV</t>
  </si>
  <si>
    <t>RWPTGJ</t>
  </si>
  <si>
    <t>HMTYUF</t>
  </si>
  <si>
    <t>ZGEQWC</t>
  </si>
  <si>
    <t>HYEMGS</t>
  </si>
  <si>
    <t>LRDYEF</t>
  </si>
  <si>
    <t>PYEPDU</t>
  </si>
  <si>
    <t>IHGRKU</t>
  </si>
  <si>
    <t>RBNPXE</t>
  </si>
  <si>
    <t>DPNFTA</t>
  </si>
  <si>
    <t>SPKLHS</t>
  </si>
  <si>
    <t>IIPBCO</t>
  </si>
  <si>
    <t>NCLBMY</t>
  </si>
  <si>
    <t>XMWYUF</t>
  </si>
  <si>
    <t>IZEJTJ</t>
  </si>
  <si>
    <t>ERDYOD</t>
  </si>
  <si>
    <t>QRDIEF</t>
  </si>
  <si>
    <t>IXNPUR</t>
  </si>
  <si>
    <t>XHQSJC</t>
  </si>
  <si>
    <t>RPNGTS</t>
  </si>
  <si>
    <t>GIXKEP</t>
  </si>
  <si>
    <t>CIPBJR</t>
  </si>
  <si>
    <t>HMTYRF</t>
  </si>
  <si>
    <t>AGUQTC</t>
  </si>
  <si>
    <t>NCLRMY</t>
  </si>
  <si>
    <t>NYEHDI</t>
  </si>
  <si>
    <t>HLLDHU</t>
  </si>
  <si>
    <t>VRDIOD</t>
  </si>
  <si>
    <t>IPNGHS</t>
  </si>
  <si>
    <t>PHQSKO</t>
  </si>
  <si>
    <t>BTQSJC</t>
  </si>
  <si>
    <t>RTQACO</t>
  </si>
  <si>
    <t>LBPTVI</t>
  </si>
  <si>
    <t>RAISPE</t>
  </si>
  <si>
    <t>NCLOMY</t>
  </si>
  <si>
    <t>CXDRWV</t>
  </si>
  <si>
    <t>AGUQWC</t>
  </si>
  <si>
    <t>KMIEOJ</t>
  </si>
  <si>
    <t>EGERUI</t>
  </si>
  <si>
    <t>MKEAIL</t>
  </si>
  <si>
    <t>PLKTSN</t>
  </si>
  <si>
    <t>PTQSKO</t>
  </si>
  <si>
    <t>PGFSQO</t>
  </si>
  <si>
    <t>YAQGIS</t>
  </si>
  <si>
    <t>RZCITY</t>
  </si>
  <si>
    <t>AGRQTC</t>
  </si>
  <si>
    <t>XCJBMR</t>
  </si>
  <si>
    <t>CBDKHV</t>
  </si>
  <si>
    <t>JPOEVM</t>
  </si>
  <si>
    <t>XEKZRD</t>
  </si>
  <si>
    <t>VYERGS</t>
  </si>
  <si>
    <t>AXKHMF</t>
  </si>
  <si>
    <t>PLKWSN</t>
  </si>
  <si>
    <t>UIUSJC</t>
  </si>
  <si>
    <t>CAQFIB</t>
  </si>
  <si>
    <t>CXBDWV</t>
  </si>
  <si>
    <t>MTMADW</t>
  </si>
  <si>
    <t>BCJRMK</t>
  </si>
  <si>
    <t>IYEQWI</t>
  </si>
  <si>
    <t>DGTPDC</t>
  </si>
  <si>
    <t>CRNPEZ</t>
  </si>
  <si>
    <t>PAQMRB</t>
  </si>
  <si>
    <t>ABKTMF</t>
  </si>
  <si>
    <t>PTXCEQ</t>
  </si>
  <si>
    <t>DMLKWS</t>
  </si>
  <si>
    <t>PZCEPA</t>
  </si>
  <si>
    <t>XCJOMD</t>
  </si>
  <si>
    <t>CMXUQT</t>
  </si>
  <si>
    <t>MWMADH</t>
  </si>
  <si>
    <t>YXWGKQ</t>
  </si>
  <si>
    <t>MTCTOB</t>
  </si>
  <si>
    <t>EYEPDU</t>
  </si>
  <si>
    <t>OHQSKO</t>
  </si>
  <si>
    <t>PAQMRI</t>
  </si>
  <si>
    <t>RTPCJR</t>
  </si>
  <si>
    <t>WIGEKX</t>
  </si>
  <si>
    <t>UIACJV</t>
  </si>
  <si>
    <t>MTMABW</t>
  </si>
  <si>
    <t>AMCUOA</t>
  </si>
  <si>
    <t>CMBUQW</t>
  </si>
  <si>
    <t>VILRMZ</t>
  </si>
  <si>
    <t>WKTAYW</t>
  </si>
  <si>
    <t>MRDIOD</t>
  </si>
  <si>
    <t>PAQMIE</t>
  </si>
  <si>
    <t>PHQSJC</t>
  </si>
  <si>
    <t>OTQSKO</t>
  </si>
  <si>
    <t>UAQGIS</t>
  </si>
  <si>
    <t>PLCWBM</t>
  </si>
  <si>
    <t>CMXRQT</t>
  </si>
  <si>
    <t>MOAHQN</t>
  </si>
  <si>
    <t>KGTTUI</t>
  </si>
  <si>
    <t>EKEAIP</t>
  </si>
  <si>
    <t>OXKHMF</t>
  </si>
  <si>
    <t>PTQSJC</t>
  </si>
  <si>
    <t>RTFECX</t>
  </si>
  <si>
    <t>LZCITY</t>
  </si>
  <si>
    <t>AMCRUA</t>
  </si>
  <si>
    <t>AMBQUX</t>
  </si>
  <si>
    <t>MOAXQN</t>
  </si>
  <si>
    <t>SYEQWI</t>
  </si>
  <si>
    <t>WXWUBL</t>
  </si>
  <si>
    <t>WHQSKO</t>
  </si>
  <si>
    <t>OBKTMF</t>
  </si>
  <si>
    <t>CIAKJV</t>
  </si>
  <si>
    <t>PKPTVI</t>
  </si>
  <si>
    <t>MUAHQN</t>
  </si>
  <si>
    <t>JCMWTQ</t>
  </si>
  <si>
    <t>AMRQUB</t>
  </si>
  <si>
    <t>XMWZUF</t>
  </si>
  <si>
    <t>HTCTOB</t>
  </si>
  <si>
    <t>EXDGJL</t>
  </si>
  <si>
    <t>EHQSKO</t>
  </si>
  <si>
    <t>UTQSKO</t>
  </si>
  <si>
    <t>RPNFTA</t>
  </si>
  <si>
    <t>LIUSJC</t>
  </si>
  <si>
    <t>SIACJV</t>
  </si>
  <si>
    <t>AMOQRX</t>
  </si>
  <si>
    <t>ACJBMY</t>
  </si>
  <si>
    <t>JCMHWQ</t>
  </si>
  <si>
    <t>NILRMZ</t>
  </si>
  <si>
    <t>ATCTOB</t>
  </si>
  <si>
    <t>LRDIEF</t>
  </si>
  <si>
    <t>NLKTVS</t>
  </si>
  <si>
    <t>ETQSKO</t>
  </si>
  <si>
    <t>BTQAJY</t>
  </si>
  <si>
    <t>GLKWMS</t>
  </si>
  <si>
    <t>GMTYOD</t>
  </si>
  <si>
    <t>ACJRMY</t>
  </si>
  <si>
    <t>JYUQWI</t>
  </si>
  <si>
    <t>RTZTHW</t>
  </si>
  <si>
    <t>ERDIOD</t>
  </si>
  <si>
    <t>NLKWVS</t>
  </si>
  <si>
    <t>PTQACO</t>
  </si>
  <si>
    <t>RZLEUA</t>
  </si>
  <si>
    <t>FIXCEP</t>
  </si>
  <si>
    <t>ACJOMY</t>
  </si>
  <si>
    <t>CMTYUF</t>
  </si>
  <si>
    <t>GMWYOD</t>
  </si>
  <si>
    <t>IBDKHV</t>
  </si>
  <si>
    <t>TLWVTD</t>
  </si>
  <si>
    <t>HLLDHG</t>
  </si>
  <si>
    <t>ETXKEQ</t>
  </si>
  <si>
    <t>PLCWAN</t>
  </si>
  <si>
    <t>GBUMVI</t>
  </si>
  <si>
    <t>LKPTVI</t>
  </si>
  <si>
    <t>GMTYUB</t>
  </si>
  <si>
    <t>CRUPYM</t>
  </si>
  <si>
    <t>CMWYUF</t>
  </si>
  <si>
    <t>BICRMK</t>
  </si>
  <si>
    <t>HCLRTY</t>
  </si>
  <si>
    <t>EYERGS</t>
  </si>
  <si>
    <t>KBCTMZ</t>
  </si>
  <si>
    <t>LIALJV</t>
  </si>
  <si>
    <t>SAQFIB</t>
  </si>
  <si>
    <t>CMTYRF</t>
  </si>
  <si>
    <t>HGUMIZ</t>
  </si>
  <si>
    <t>CKUPYM</t>
  </si>
  <si>
    <t>MWMJDH</t>
  </si>
  <si>
    <t>MTWYOD</t>
  </si>
  <si>
    <t>OHGEKU</t>
  </si>
  <si>
    <t>PKQMRI</t>
  </si>
  <si>
    <t>GIUSJC</t>
  </si>
  <si>
    <t>UIUBJR</t>
  </si>
  <si>
    <t>CDRPYM</t>
  </si>
  <si>
    <t>XPTIVO</t>
  </si>
  <si>
    <t>XGUMIZ</t>
  </si>
  <si>
    <t>IMBUQW</t>
  </si>
  <si>
    <t>QKTAYT</t>
  </si>
  <si>
    <t>DYTPDU</t>
  </si>
  <si>
    <t>QRXVQD</t>
  </si>
  <si>
    <t>OTGEKX</t>
  </si>
  <si>
    <t>OTQACO</t>
  </si>
  <si>
    <t>SIGELX</t>
  </si>
  <si>
    <t>DMLCWB</t>
  </si>
  <si>
    <t>HGRMIZ</t>
  </si>
  <si>
    <t>FMTYUF</t>
  </si>
  <si>
    <t>BPWIVO</t>
  </si>
  <si>
    <t>JMIUOJ</t>
  </si>
  <si>
    <t>ATRHTZ</t>
  </si>
  <si>
    <t>MTUTOJ</t>
  </si>
  <si>
    <t>OHGRKU</t>
  </si>
  <si>
    <t>HCBWDD</t>
  </si>
  <si>
    <t>QRBVQD</t>
  </si>
  <si>
    <t>PTQAJY</t>
  </si>
  <si>
    <t>WIFECX</t>
  </si>
  <si>
    <t>XPTIVU</t>
  </si>
  <si>
    <t>CMTYOD</t>
  </si>
  <si>
    <t>FMWYUF</t>
  </si>
  <si>
    <t>MOJXQN</t>
  </si>
  <si>
    <t>MCLRTY</t>
  </si>
  <si>
    <t>WKTAIW</t>
  </si>
  <si>
    <t>IYZBVM</t>
  </si>
  <si>
    <t>TCIUDD</t>
  </si>
  <si>
    <t>OBCTMZ</t>
  </si>
  <si>
    <t>GAQGIS</t>
  </si>
  <si>
    <t>UAQFIB</t>
  </si>
  <si>
    <t>FMTYRF</t>
  </si>
  <si>
    <t>FGUMIZ</t>
  </si>
  <si>
    <t>CMWYOD</t>
  </si>
  <si>
    <t>JMRQUB</t>
  </si>
  <si>
    <t>WTCTOB</t>
  </si>
  <si>
    <t>KYTTGS</t>
  </si>
  <si>
    <t>HCIWBB</t>
  </si>
  <si>
    <t>OBHQVX</t>
  </si>
  <si>
    <t>HYZIVM</t>
  </si>
  <si>
    <t>UTQACO</t>
  </si>
  <si>
    <t>LCEFIG</t>
  </si>
  <si>
    <t>CMTYUB</t>
  </si>
  <si>
    <t>MMTYUF</t>
  </si>
  <si>
    <t>CIMHWQ</t>
  </si>
  <si>
    <t>UTROSL</t>
  </si>
  <si>
    <t>WXWGJL</t>
  </si>
  <si>
    <t>DYZIVM</t>
  </si>
  <si>
    <t>IKLDWY</t>
  </si>
  <si>
    <t>OITQVB</t>
  </si>
  <si>
    <t>ETQACO</t>
  </si>
  <si>
    <t>YIUSLO</t>
  </si>
  <si>
    <t>RIACJV</t>
  </si>
  <si>
    <t>FGRMIZ</t>
  </si>
  <si>
    <t>MMXUQO</t>
  </si>
  <si>
    <t>MMWYUF</t>
  </si>
  <si>
    <t>JICRMZ</t>
  </si>
  <si>
    <t>KTWYOD</t>
  </si>
  <si>
    <t>HTUTOJ</t>
  </si>
  <si>
    <t>OIHQVX</t>
  </si>
  <si>
    <t>JUDYAL</t>
  </si>
  <si>
    <t>HKLDUY</t>
  </si>
  <si>
    <t>NLCWVA</t>
  </si>
  <si>
    <t>YMLLWS</t>
  </si>
  <si>
    <t>LIUBJR</t>
  </si>
  <si>
    <t>MMTYRF</t>
  </si>
  <si>
    <t>QRUPYD</t>
  </si>
  <si>
    <t>MMBUQO</t>
  </si>
  <si>
    <t>YMWZOD</t>
  </si>
  <si>
    <t>RKEAYH</t>
  </si>
  <si>
    <t>ATUTOJ</t>
  </si>
  <si>
    <t>DKLBWY</t>
  </si>
  <si>
    <t>QCKHBF</t>
  </si>
  <si>
    <t>JXDYAL</t>
  </si>
  <si>
    <t>ETXCEQ</t>
  </si>
  <si>
    <t>FLCWMB</t>
  </si>
  <si>
    <t>MMXRQU</t>
  </si>
  <si>
    <t>XBPJVU</t>
  </si>
  <si>
    <t>QKUPYD</t>
  </si>
  <si>
    <t>IMWZUF</t>
  </si>
  <si>
    <t>VGEHWC</t>
  </si>
  <si>
    <t>JUBYAL</t>
  </si>
  <si>
    <t>WBHQVX</t>
  </si>
  <si>
    <t>QCKTIF</t>
  </si>
  <si>
    <t>EKQMVB</t>
  </si>
  <si>
    <t>UZLIMF</t>
  </si>
  <si>
    <t>GZLEUA</t>
  </si>
  <si>
    <t>QDRPYB</t>
  </si>
  <si>
    <t>BKHJOQ</t>
  </si>
  <si>
    <t>BRPJVU</t>
  </si>
  <si>
    <t>IKUPZM</t>
  </si>
  <si>
    <t>LGEHWH</t>
  </si>
  <si>
    <t>QCKHIF</t>
  </si>
  <si>
    <t>ZCKHBF</t>
  </si>
  <si>
    <t>UITQVB</t>
  </si>
  <si>
    <t>FKUMVI</t>
  </si>
  <si>
    <t>XOPJVR</t>
  </si>
  <si>
    <t>LKGOJH</t>
  </si>
  <si>
    <t>RTXJOQ</t>
  </si>
  <si>
    <t>XYUMGS</t>
  </si>
  <si>
    <t>ETCEOB</t>
  </si>
  <si>
    <t>HULRTI</t>
  </si>
  <si>
    <t>WIHQVX</t>
  </si>
  <si>
    <t>KGVBYZ</t>
  </si>
  <si>
    <t>ZCKTIF</t>
  </si>
  <si>
    <t>OTFECX</t>
  </si>
  <si>
    <t>GQFXNE</t>
  </si>
  <si>
    <t>OKHJUQ</t>
  </si>
  <si>
    <t>QKHJOQ</t>
  </si>
  <si>
    <t>LTGOJX</t>
  </si>
  <si>
    <t>BPWGVO</t>
  </si>
  <si>
    <t>RTWYOD</t>
  </si>
  <si>
    <t>MTWIOD</t>
  </si>
  <si>
    <t>ZCKHDF</t>
  </si>
  <si>
    <t>JBXVWD</t>
  </si>
  <si>
    <t>KGVIYZ</t>
  </si>
  <si>
    <t>CZLNMF</t>
  </si>
  <si>
    <t>FIUBJR</t>
  </si>
  <si>
    <t>LKGUJH</t>
  </si>
  <si>
    <t>LPNGKS</t>
  </si>
  <si>
    <t>QTXJOQ</t>
  </si>
  <si>
    <t>FMWZUF</t>
  </si>
  <si>
    <t>YTRHEZ</t>
  </si>
  <si>
    <t>QKTAIT</t>
  </si>
  <si>
    <t>KGVDYZ</t>
  </si>
  <si>
    <t>WGVBYZ</t>
  </si>
  <si>
    <t>JIBVUD</t>
  </si>
  <si>
    <t>TYIUDD</t>
  </si>
  <si>
    <t>CAQGNS</t>
  </si>
  <si>
    <t>BIFELX</t>
  </si>
  <si>
    <t>QKHJUQ</t>
  </si>
  <si>
    <t>GXJOQP</t>
  </si>
  <si>
    <t>LPNGTS</t>
  </si>
  <si>
    <t>IMWZOD</t>
  </si>
  <si>
    <t>JTZEHW</t>
  </si>
  <si>
    <t>JDXVWB</t>
  </si>
  <si>
    <t>LIVPFC</t>
  </si>
  <si>
    <t>UGVIYZ</t>
  </si>
  <si>
    <t>HGSIVM</t>
  </si>
  <si>
    <t>WZLEUA</t>
  </si>
  <si>
    <t>BAGUIO</t>
  </si>
  <si>
    <t>GBJOQP</t>
  </si>
  <si>
    <t>FYUMGS</t>
  </si>
  <si>
    <t>RCJRTY</t>
  </si>
  <si>
    <t>MULRTI</t>
  </si>
  <si>
    <t>WGVDYZ</t>
  </si>
  <si>
    <t>DBDFED</t>
  </si>
  <si>
    <t>LHVPFC</t>
  </si>
  <si>
    <t>RNUSLO</t>
  </si>
  <si>
    <t>FAQFIB</t>
  </si>
  <si>
    <t>GXJUQP</t>
  </si>
  <si>
    <t>AXJOQP</t>
  </si>
  <si>
    <t>RAGUIO</t>
  </si>
  <si>
    <t>MMWZUF</t>
  </si>
  <si>
    <t>KTCEOB</t>
  </si>
  <si>
    <t>WTUTOJ</t>
  </si>
  <si>
    <t>LDVPFC</t>
  </si>
  <si>
    <t>KGBWDC</t>
  </si>
  <si>
    <t>DIDFED</t>
  </si>
  <si>
    <t>HCLDUG</t>
  </si>
  <si>
    <t>GZLNMF</t>
  </si>
  <si>
    <t>LREYIF</t>
  </si>
  <si>
    <t>OAGRIU</t>
  </si>
  <si>
    <t>XKGOJH</t>
  </si>
  <si>
    <t>ABJOQP</t>
  </si>
  <si>
    <t>HTWYEF</t>
  </si>
  <si>
    <t>GTROBL</t>
  </si>
  <si>
    <t>BDBFRB</t>
  </si>
  <si>
    <t>LGBBYZ</t>
  </si>
  <si>
    <t>KGIUDC</t>
  </si>
  <si>
    <t>JXDGKL</t>
  </si>
  <si>
    <t>NNGELX</t>
  </si>
  <si>
    <t>SIUBLO</t>
  </si>
  <si>
    <t>AXJUQP</t>
  </si>
  <si>
    <t>ALJTBS</t>
  </si>
  <si>
    <t>BTGOJX</t>
  </si>
  <si>
    <t>QKUPZD</t>
  </si>
  <si>
    <t>HKEAYR</t>
  </si>
  <si>
    <t>KTWIOD</t>
  </si>
  <si>
    <t>KGDWBC</t>
  </si>
  <si>
    <t>DCKBRF</t>
  </si>
  <si>
    <t>LGIIYZ</t>
  </si>
  <si>
    <t>QYCTIZ</t>
  </si>
  <si>
    <t>FNUSJC</t>
  </si>
  <si>
    <t>SMLLWB</t>
  </si>
  <si>
    <t>XKGUJH</t>
  </si>
  <si>
    <t>IKGOJH</t>
  </si>
  <si>
    <t>ALJWRS</t>
  </si>
  <si>
    <t>HTZEHW</t>
  </si>
  <si>
    <t>RKEAIH</t>
  </si>
  <si>
    <t>LGDDYZ</t>
  </si>
  <si>
    <t>IGRWDC</t>
  </si>
  <si>
    <t>DCKIRF</t>
  </si>
  <si>
    <t>SIXLEU</t>
  </si>
  <si>
    <t>ALJTOS</t>
  </si>
  <si>
    <t>WXJOQP</t>
  </si>
  <si>
    <t>ITGOJX</t>
  </si>
  <si>
    <t>RTXCOQ</t>
  </si>
  <si>
    <t>MGETUI</t>
  </si>
  <si>
    <t>VYEHWU</t>
  </si>
  <si>
    <t>BCKEDF</t>
  </si>
  <si>
    <t>DGRRYZ</t>
  </si>
  <si>
    <t>HGRUDC</t>
  </si>
  <si>
    <t>SYCTIZ</t>
  </si>
  <si>
    <t>NLMLWS</t>
  </si>
  <si>
    <t>UZLIMY</t>
  </si>
  <si>
    <t>IKGUJH</t>
  </si>
  <si>
    <t>AKPJVU</t>
  </si>
  <si>
    <t>HBJOQP</t>
  </si>
  <si>
    <t>LTYOCX</t>
  </si>
  <si>
    <t>DTWYOD</t>
  </si>
  <si>
    <t>LYEHWH</t>
  </si>
  <si>
    <t>DGDWBC</t>
  </si>
  <si>
    <t>IIRPFW</t>
  </si>
  <si>
    <t>CFVIGS</t>
  </si>
  <si>
    <t>NNXLEU</t>
  </si>
  <si>
    <t>RIUBJR</t>
  </si>
  <si>
    <t>WXJUQP</t>
  </si>
  <si>
    <t>IGTIOR</t>
  </si>
  <si>
    <t>ATPJVU</t>
  </si>
  <si>
    <t>QTXCOQ</t>
  </si>
  <si>
    <t>UCTHWP</t>
  </si>
  <si>
    <t>ETUEOJ</t>
  </si>
  <si>
    <t>BGDDYZ</t>
  </si>
  <si>
    <t>MRBWRX</t>
  </si>
  <si>
    <t>HHRPFU</t>
  </si>
  <si>
    <t>MZLLWS</t>
  </si>
  <si>
    <t>FQYXNE</t>
  </si>
  <si>
    <t>AKPJVR</t>
  </si>
  <si>
    <t>AKGOJH</t>
  </si>
  <si>
    <t>IGWIOK</t>
  </si>
  <si>
    <t>LPNYTA</t>
  </si>
  <si>
    <t>DGETUI</t>
  </si>
  <si>
    <t>RTWIOD</t>
  </si>
  <si>
    <t>DDDPFW</t>
  </si>
  <si>
    <t>WUDYAL</t>
  </si>
  <si>
    <t>MRIURB</t>
  </si>
  <si>
    <t>UFVIGS</t>
  </si>
  <si>
    <t>NNALJV</t>
  </si>
  <si>
    <t>RZLNMY</t>
  </si>
  <si>
    <t>IGTIUD</t>
  </si>
  <si>
    <t>XPNGKS</t>
  </si>
  <si>
    <t>ATGOJX</t>
  </si>
  <si>
    <t>YBCOQP</t>
  </si>
  <si>
    <t>ITRHEZ</t>
  </si>
  <si>
    <t>MDEWDX</t>
  </si>
  <si>
    <t>GRCREA</t>
  </si>
  <si>
    <t>UXDYAL</t>
  </si>
  <si>
    <t>FZLEUA</t>
  </si>
  <si>
    <t>RAQFNB</t>
  </si>
  <si>
    <t>AKGUJH</t>
  </si>
  <si>
    <t>ISJUGU</t>
  </si>
  <si>
    <t>BPNGTS</t>
  </si>
  <si>
    <t>RJYUGO</t>
  </si>
  <si>
    <t>AGEPWC</t>
  </si>
  <si>
    <t>CTZEHW</t>
  </si>
  <si>
    <t>WUBYAL</t>
  </si>
  <si>
    <t>LRXRWD</t>
  </si>
  <si>
    <t>DIDZED</t>
  </si>
  <si>
    <t>FXJOQP</t>
  </si>
  <si>
    <t>JBCOQP</t>
  </si>
  <si>
    <t>ATWYEF</t>
  </si>
  <si>
    <t>RUCRTI</t>
  </si>
  <si>
    <t>GDCDRA</t>
  </si>
  <si>
    <t>IRBWRX</t>
  </si>
  <si>
    <t>LRBRUD</t>
  </si>
  <si>
    <t>CFIUDY</t>
  </si>
  <si>
    <t>FNXLEU</t>
  </si>
  <si>
    <t>GNUBLO</t>
  </si>
  <si>
    <t>ISJRGR</t>
  </si>
  <si>
    <t>WKQSJF</t>
  </si>
  <si>
    <t>FBJOQP</t>
  </si>
  <si>
    <t>BTYOCX</t>
  </si>
  <si>
    <t>RGETUI</t>
  </si>
  <si>
    <t>KTUEOJ</t>
  </si>
  <si>
    <t>LDXDWB</t>
  </si>
  <si>
    <t>DRXRWD</t>
  </si>
  <si>
    <t>LFIIGS</t>
  </si>
  <si>
    <t>WNXLEU</t>
  </si>
  <si>
    <t>FZLNMY</t>
  </si>
  <si>
    <t>FXJUQP</t>
  </si>
  <si>
    <t>FLJBTS</t>
  </si>
  <si>
    <t>HTQSJF</t>
  </si>
  <si>
    <t>JLCWRA</t>
  </si>
  <si>
    <t>TTRPEZ</t>
  </si>
  <si>
    <t>HTWIEF</t>
  </si>
  <si>
    <t>DDEWDX</t>
  </si>
  <si>
    <t>ICKBRF</t>
  </si>
  <si>
    <t>DRBRUD</t>
  </si>
  <si>
    <t>DYCIRZ</t>
  </si>
  <si>
    <t>WBUMVI</t>
  </si>
  <si>
    <t>NNFELX</t>
  </si>
  <si>
    <t>WKHJOQ</t>
  </si>
  <si>
    <t>FLJRWS</t>
  </si>
  <si>
    <t>GTYOCX</t>
  </si>
  <si>
    <t>ITWYOD</t>
  </si>
  <si>
    <t>HKEAIR</t>
  </si>
  <si>
    <t>BDXDWB</t>
  </si>
  <si>
    <t>BGRWDC</t>
  </si>
  <si>
    <t>HCKIRF</t>
  </si>
  <si>
    <t>HFRUDY</t>
  </si>
  <si>
    <t>YNUSJC</t>
  </si>
  <si>
    <t>YNUBJR</t>
  </si>
  <si>
    <t>FLJOTS</t>
  </si>
  <si>
    <t>FAQUUB</t>
  </si>
  <si>
    <t>HTXJOQ</t>
  </si>
  <si>
    <t>HBCOQP</t>
  </si>
  <si>
    <t>TZDKHV</t>
  </si>
  <si>
    <t>DCKEDF</t>
  </si>
  <si>
    <t>MGRRYZ</t>
  </si>
  <si>
    <t>IGRUDC</t>
  </si>
  <si>
    <t>DFRRGS</t>
  </si>
  <si>
    <t>VLLWFH</t>
  </si>
  <si>
    <t>XVGSQL</t>
  </si>
  <si>
    <t>WKHJUQ</t>
  </si>
  <si>
    <t>AKQSVC</t>
  </si>
  <si>
    <t>FAQUUR</t>
  </si>
  <si>
    <t>JTPCVU</t>
  </si>
  <si>
    <t>VCJRTK</t>
  </si>
  <si>
    <t>MYETGS</t>
  </si>
  <si>
    <t>EGIWBC</t>
  </si>
  <si>
    <t>UGVQDC</t>
  </si>
  <si>
    <t>DBUMVI</t>
  </si>
  <si>
    <t>NLMLWB</t>
  </si>
  <si>
    <t>FAQRRO</t>
  </si>
  <si>
    <t>LNQGZU</t>
  </si>
  <si>
    <t>ATQSVC</t>
  </si>
  <si>
    <t>GYWGOK</t>
  </si>
  <si>
    <t>TTZEPW</t>
  </si>
  <si>
    <t>DTWIOD</t>
  </si>
  <si>
    <t>MGIIYZ</t>
  </si>
  <si>
    <t>GRHQVX</t>
  </si>
  <si>
    <t>XGVQDC</t>
  </si>
  <si>
    <t>WZLNMF</t>
  </si>
  <si>
    <t>NAQUUB</t>
  </si>
  <si>
    <t>JTYOCX</t>
  </si>
  <si>
    <t>GKEAYV</t>
  </si>
  <si>
    <t>GUTHWP</t>
  </si>
  <si>
    <t>UGVQBC</t>
  </si>
  <si>
    <t>UIVPFG</t>
  </si>
  <si>
    <t>GRTQVB</t>
  </si>
  <si>
    <t>UXDGKL</t>
  </si>
  <si>
    <t>DNXLEU</t>
  </si>
  <si>
    <t>MZLLWB</t>
  </si>
  <si>
    <t>LNQGZR</t>
  </si>
  <si>
    <t>BILJTS</t>
  </si>
  <si>
    <t>NAQUUR</t>
  </si>
  <si>
    <t>BPNYTA</t>
  </si>
  <si>
    <t>TTCEOB</t>
  </si>
  <si>
    <t>DYETGS</t>
  </si>
  <si>
    <t>GIHQVX</t>
  </si>
  <si>
    <t>JRHQVX</t>
  </si>
  <si>
    <t>XHVPFG</t>
  </si>
  <si>
    <t>FRYREK</t>
  </si>
  <si>
    <t>SZLEUA</t>
  </si>
  <si>
    <t>NAQRRO</t>
  </si>
  <si>
    <t>FPNGKS</t>
  </si>
  <si>
    <t>RILJWS</t>
  </si>
  <si>
    <t>GACUYU</t>
  </si>
  <si>
    <t>IGEPWC</t>
  </si>
  <si>
    <t>UDVPFG</t>
  </si>
  <si>
    <t>MGVQDC</t>
  </si>
  <si>
    <t>JRTQVB</t>
  </si>
  <si>
    <t>WNUSLO</t>
  </si>
  <si>
    <t>YZLEUA</t>
  </si>
  <si>
    <t>OILJTS</t>
  </si>
  <si>
    <t>OXJOQP</t>
  </si>
  <si>
    <t>FPNGTS</t>
  </si>
  <si>
    <t>FBCOQP</t>
  </si>
  <si>
    <t>AYEPWU</t>
  </si>
  <si>
    <t>JIHQVX</t>
  </si>
  <si>
    <t>URCVEA</t>
  </si>
  <si>
    <t>DNUSJC</t>
  </si>
  <si>
    <t>DKQSJF</t>
  </si>
  <si>
    <t>OBJOQP</t>
  </si>
  <si>
    <t>HTQACF</t>
  </si>
  <si>
    <t>ITZEPW</t>
  </si>
  <si>
    <t>ATWIEF</t>
  </si>
  <si>
    <t>MGVQBC</t>
  </si>
  <si>
    <t>QGVRYZ</t>
  </si>
  <si>
    <t>XRCVEA</t>
  </si>
  <si>
    <t>SNXLEU</t>
  </si>
  <si>
    <t>YNXLEU</t>
  </si>
  <si>
    <t>UXJUQP</t>
  </si>
  <si>
    <t>IKQSVC</t>
  </si>
  <si>
    <t>DTQSJF</t>
  </si>
  <si>
    <t>FLCRWA</t>
  </si>
  <si>
    <t>HLVEWQ</t>
  </si>
  <si>
    <t>RYETGS</t>
  </si>
  <si>
    <t>UICVRA</t>
  </si>
  <si>
    <t>SBUMTI</t>
  </si>
  <si>
    <t>BKQSJF</t>
  </si>
  <si>
    <t>WBLJTS</t>
  </si>
  <si>
    <t>ITQSVC</t>
  </si>
  <si>
    <t>HTXCOQ</t>
  </si>
  <si>
    <t>AXWUBL</t>
  </si>
  <si>
    <t>QGVIYZ</t>
  </si>
  <si>
    <t>DVHESR</t>
  </si>
  <si>
    <t>XRTQVB</t>
  </si>
  <si>
    <t>IFRUDY</t>
  </si>
  <si>
    <t>SNALJT</t>
  </si>
  <si>
    <t>WKUMVI</t>
  </si>
  <si>
    <t>IXJKUY</t>
  </si>
  <si>
    <t>HRLJWS</t>
  </si>
  <si>
    <t>FJQUUR</t>
  </si>
  <si>
    <t>HMWYOD</t>
  </si>
  <si>
    <t>STWIOD</t>
  </si>
  <si>
    <t>UCKHRF</t>
  </si>
  <si>
    <t>DVTESR</t>
  </si>
  <si>
    <t>MFRRGS</t>
  </si>
  <si>
    <t>JNUSJC</t>
  </si>
  <si>
    <t>SNUBJR</t>
  </si>
  <si>
    <t>WOLJTS</t>
  </si>
  <si>
    <t>NKGOJH</t>
  </si>
  <si>
    <t>IBJTUY</t>
  </si>
  <si>
    <t>JTQAVI</t>
  </si>
  <si>
    <t>AMWYOD</t>
  </si>
  <si>
    <t>BVHRSI</t>
  </si>
  <si>
    <t>OGVQDC</t>
  </si>
  <si>
    <t>XCKTRF</t>
  </si>
  <si>
    <t>XFVQDY</t>
  </si>
  <si>
    <t>GNGELX</t>
  </si>
  <si>
    <t>VLLWYH</t>
  </si>
  <si>
    <t>IXJKRY</t>
  </si>
  <si>
    <t>JXJOQP</t>
  </si>
  <si>
    <t>NTGOJX</t>
  </si>
  <si>
    <t>LNQYSU</t>
  </si>
  <si>
    <t>BPMDVE</t>
  </si>
  <si>
    <t>VUCRTK</t>
  </si>
  <si>
    <t>UCKHIF</t>
  </si>
  <si>
    <t>MRDFVO</t>
  </si>
  <si>
    <t>FRTQVB</t>
  </si>
  <si>
    <t>SZLNMF</t>
  </si>
  <si>
    <t>DKUMVI</t>
  </si>
  <si>
    <t>NKGUJH</t>
  </si>
  <si>
    <t>WKQSVC</t>
  </si>
  <si>
    <t>JBJOQP</t>
  </si>
  <si>
    <t>NJQUUR</t>
  </si>
  <si>
    <t>AGEMUI</t>
  </si>
  <si>
    <t>OGVQBC</t>
  </si>
  <si>
    <t>OIVPFH</t>
  </si>
  <si>
    <t>XHVPZF</t>
  </si>
  <si>
    <t>SAQGNS</t>
  </si>
  <si>
    <t>WZLNMY</t>
  </si>
  <si>
    <t>JXJUQP</t>
  </si>
  <si>
    <t>GKNCYQ</t>
  </si>
  <si>
    <t>HTQSVC</t>
  </si>
  <si>
    <t>RGLCWA</t>
  </si>
  <si>
    <t>QMZEPW</t>
  </si>
  <si>
    <t>YKEAIV</t>
  </si>
  <si>
    <t>MIBFVO</t>
  </si>
  <si>
    <t>OBXVQD</t>
  </si>
  <si>
    <t>OHVPFT</t>
  </si>
  <si>
    <t>DNGELX</t>
  </si>
  <si>
    <t>JKHJOQ</t>
  </si>
  <si>
    <t>GTNCYQ</t>
  </si>
  <si>
    <t>FPNYTA</t>
  </si>
  <si>
    <t>MESBDV</t>
  </si>
  <si>
    <t>TTUEOJ</t>
  </si>
  <si>
    <t>ODVPFH</t>
  </si>
  <si>
    <t>OUDYAL</t>
  </si>
  <si>
    <t>OIBVQD</t>
  </si>
  <si>
    <t>MFVQDY</t>
  </si>
  <si>
    <t>WAQGNS</t>
  </si>
  <si>
    <t>BZLEUA</t>
  </si>
  <si>
    <t>CTQUIV</t>
  </si>
  <si>
    <t>JTXJOQ</t>
  </si>
  <si>
    <t>OBCOQP</t>
  </si>
  <si>
    <t>YMWYEF</t>
  </si>
  <si>
    <t>SYEPWU</t>
  </si>
  <si>
    <t>OIXVQB</t>
  </si>
  <si>
    <t>UBDFED</t>
  </si>
  <si>
    <t>OXDYAL</t>
  </si>
  <si>
    <t>FLLWSA</t>
  </si>
  <si>
    <t>WNUBLO</t>
  </si>
  <si>
    <t>JKHJUQ</t>
  </si>
  <si>
    <t>BBQSJF</t>
  </si>
  <si>
    <t>CWQUIV</t>
  </si>
  <si>
    <t>DTQACF</t>
  </si>
  <si>
    <t>QMWYOD</t>
  </si>
  <si>
    <t>OUBYAL</t>
  </si>
  <si>
    <t>UGIUVY</t>
  </si>
  <si>
    <t>XIDFED</t>
  </si>
  <si>
    <t>QFVRGS</t>
  </si>
  <si>
    <t>CZLEUA</t>
  </si>
  <si>
    <t>DNUBJR</t>
  </si>
  <si>
    <t>CTQRIV</t>
  </si>
  <si>
    <t>JBQSVC</t>
  </si>
  <si>
    <t>RRQSJF</t>
  </si>
  <si>
    <t>GTQAVI</t>
  </si>
  <si>
    <t>GPRBER</t>
  </si>
  <si>
    <t>STZEPW</t>
  </si>
  <si>
    <t>UIBFRB</t>
  </si>
  <si>
    <t>EQBDJV</t>
  </si>
  <si>
    <t>XGHXVY</t>
  </si>
  <si>
    <t>FBUMTI</t>
  </si>
  <si>
    <t>BNXLEU</t>
  </si>
  <si>
    <t>OOQSJF</t>
  </si>
  <si>
    <t>CPBZQO</t>
  </si>
  <si>
    <t>JRQSVC</t>
  </si>
  <si>
    <t>HRLCWA</t>
  </si>
  <si>
    <t>ICWYMV</t>
  </si>
  <si>
    <t>UGDUVY</t>
  </si>
  <si>
    <t>JIVPFB</t>
  </si>
  <si>
    <t>EQIDJV</t>
  </si>
  <si>
    <t>DVTEAR</t>
  </si>
  <si>
    <t>FNALJT</t>
  </si>
  <si>
    <t>BKUMTI</t>
  </si>
  <si>
    <t>JOQSVC</t>
  </si>
  <si>
    <t>CXJBUY</t>
  </si>
  <si>
    <t>CPRZQO</t>
  </si>
  <si>
    <t>GBCTUZ</t>
  </si>
  <si>
    <t>YMCEOB</t>
  </si>
  <si>
    <t>AXWGJL</t>
  </si>
  <si>
    <t>RQIBJV</t>
  </si>
  <si>
    <t>OCKHBF</t>
  </si>
  <si>
    <t>JHVPFI</t>
  </si>
  <si>
    <t>XYCTRZ</t>
  </si>
  <si>
    <t>NZLNMF</t>
  </si>
  <si>
    <t>BNALJT</t>
  </si>
  <si>
    <t>CPOZQU</t>
  </si>
  <si>
    <t>JPNGBS</t>
  </si>
  <si>
    <t>CBJRUY</t>
  </si>
  <si>
    <t>NTYOCX</t>
  </si>
  <si>
    <t>IGKXEU</t>
  </si>
  <si>
    <t>HMWIOD</t>
  </si>
  <si>
    <t>JDVPFI</t>
  </si>
  <si>
    <t>QGVQDC</t>
  </si>
  <si>
    <t>OCKTIF</t>
  </si>
  <si>
    <t>OFVQDY</t>
  </si>
  <si>
    <t>FNGELX</t>
  </si>
  <si>
    <t>JNUBJR</t>
  </si>
  <si>
    <t>CXJORY</t>
  </si>
  <si>
    <t>QXJOQP</t>
  </si>
  <si>
    <t>JPNGRS</t>
  </si>
  <si>
    <t>CBCOQP</t>
  </si>
  <si>
    <t>RMRPEZ</t>
  </si>
  <si>
    <t>AMWIOD</t>
  </si>
  <si>
    <t>OCKHIF</t>
  </si>
  <si>
    <t>NBDFVO</t>
  </si>
  <si>
    <t>MRDZVO</t>
  </si>
  <si>
    <t>CIUSLO</t>
  </si>
  <si>
    <t>FNFELX</t>
  </si>
  <si>
    <t>JPNGOS</t>
  </si>
  <si>
    <t>WBPJVE</t>
  </si>
  <si>
    <t>QBJOQP</t>
  </si>
  <si>
    <t>HTQAVI</t>
  </si>
  <si>
    <t>YGRMUI</t>
  </si>
  <si>
    <t>JPMDVE</t>
  </si>
  <si>
    <t>QGVQBC</t>
  </si>
  <si>
    <t>JBDFED</t>
  </si>
  <si>
    <t>NIDFVO</t>
  </si>
  <si>
    <t>OHVPZT</t>
  </si>
  <si>
    <t>IAQGIS</t>
  </si>
  <si>
    <t>BZLNMY</t>
  </si>
  <si>
    <t>QXJUQP</t>
  </si>
  <si>
    <t>QLJTSM</t>
  </si>
  <si>
    <t>HRPJVE</t>
  </si>
  <si>
    <t>YTNIZQ</t>
  </si>
  <si>
    <t>GCRURV</t>
  </si>
  <si>
    <t>AYEMGS</t>
  </si>
  <si>
    <t>NIBFVO</t>
  </si>
  <si>
    <t>MIVPFL</t>
  </si>
  <si>
    <t>JIDFED</t>
  </si>
  <si>
    <t>CBUMTI</t>
  </si>
  <si>
    <t>BAQFNB</t>
  </si>
  <si>
    <t>WOPJVE</t>
  </si>
  <si>
    <t>LXJBUY</t>
  </si>
  <si>
    <t>QLJWSM</t>
  </si>
  <si>
    <t>CTXCOQ</t>
  </si>
  <si>
    <t>JIBFRB</t>
  </si>
  <si>
    <t>JGVBYZ</t>
  </si>
  <si>
    <t>MHVPFL</t>
  </si>
  <si>
    <t>OXDGKL</t>
  </si>
  <si>
    <t>IIUSLO</t>
  </si>
  <si>
    <t>DNFELX</t>
  </si>
  <si>
    <t>QAQUEB</t>
  </si>
  <si>
    <t>LBJRUY</t>
  </si>
  <si>
    <t>IWQUGV</t>
  </si>
  <si>
    <t>ACLRRY</t>
  </si>
  <si>
    <t>MEBJDV</t>
  </si>
  <si>
    <t>MDVPFL</t>
  </si>
  <si>
    <t>JGVIYZ</t>
  </si>
  <si>
    <t>XIDZED</t>
  </si>
  <si>
    <t>ILLWSA</t>
  </si>
  <si>
    <t>WAQFNB</t>
  </si>
  <si>
    <t>LXJORY</t>
  </si>
  <si>
    <t>ZBPJVE</t>
  </si>
  <si>
    <t>QAQUER</t>
  </si>
  <si>
    <t>RRQACF</t>
  </si>
  <si>
    <t>IKRAYX</t>
  </si>
  <si>
    <t>IMWIEF</t>
  </si>
  <si>
    <t>VGVQDC</t>
  </si>
  <si>
    <t>KITQVB</t>
  </si>
  <si>
    <t>XFHXVG</t>
  </si>
  <si>
    <t>YLLWBA</t>
  </si>
  <si>
    <t>QAQREO</t>
  </si>
  <si>
    <t>SQJLRS</t>
  </si>
  <si>
    <t>ZRPJVE</t>
  </si>
  <si>
    <t>CRQAVI</t>
  </si>
  <si>
    <t>DGRPWC</t>
  </si>
  <si>
    <t>QMWIOD</t>
  </si>
  <si>
    <t>MBDFED</t>
  </si>
  <si>
    <t>IBUMTI</t>
  </si>
  <si>
    <t>ZOPJVE</t>
  </si>
  <si>
    <t>GBHJOQ</t>
  </si>
  <si>
    <t>SQJLKS</t>
  </si>
  <si>
    <t>IPRSQO</t>
  </si>
  <si>
    <t>XGRPWR</t>
  </si>
  <si>
    <t>YPRJER</t>
  </si>
  <si>
    <t>VGVQBC</t>
  </si>
  <si>
    <t>VIVPFQ</t>
  </si>
  <si>
    <t>MIDFED</t>
  </si>
  <si>
    <t>JHVPZI</t>
  </si>
  <si>
    <t>IIALJT</t>
  </si>
  <si>
    <t>YKUMTI</t>
  </si>
  <si>
    <t>SQJLDS</t>
  </si>
  <si>
    <t>LAQUEB</t>
  </si>
  <si>
    <t>GRXJOQ</t>
  </si>
  <si>
    <t>IRCROB</t>
  </si>
  <si>
    <t>SUWIMV</t>
  </si>
  <si>
    <t>MIBFRB</t>
  </si>
  <si>
    <t>VBXVQD</t>
  </si>
  <si>
    <t>VHVPFQ</t>
  </si>
  <si>
    <t>OYCTIZ</t>
  </si>
  <si>
    <t>IIUSJC</t>
  </si>
  <si>
    <t>YNALJT</t>
  </si>
  <si>
    <t>GOHJUQ</t>
  </si>
  <si>
    <t>ZPNGBS</t>
  </si>
  <si>
    <t>LAQUER</t>
  </si>
  <si>
    <t>CPNYRA</t>
  </si>
  <si>
    <t>RGRRUI</t>
  </si>
  <si>
    <t>IMUEOJ</t>
  </si>
  <si>
    <t>VDVPFQ</t>
  </si>
  <si>
    <t>VUDYAL</t>
  </si>
  <si>
    <t>VIBVQD</t>
  </si>
  <si>
    <t>QFVQDY</t>
  </si>
  <si>
    <t>UIUWKU</t>
  </si>
  <si>
    <t>NZLNMY</t>
  </si>
  <si>
    <t>LAQREO</t>
  </si>
  <si>
    <t>WBWSVC</t>
  </si>
  <si>
    <t>ZPNGRS</t>
  </si>
  <si>
    <t>QBCOQP</t>
  </si>
  <si>
    <t>LTKTWU</t>
  </si>
  <si>
    <t>SYKXEG</t>
  </si>
  <si>
    <t>LBDFVO</t>
  </si>
  <si>
    <t>VXDYAL</t>
  </si>
  <si>
    <t>NIDZVO</t>
  </si>
  <si>
    <t>GIUSKO</t>
  </si>
  <si>
    <t>YNFELX</t>
  </si>
  <si>
    <t>ZPNGOS</t>
  </si>
  <si>
    <t>DMLJTS</t>
  </si>
  <si>
    <t>HRHSVC</t>
  </si>
  <si>
    <t>DTWYTF</t>
  </si>
  <si>
    <t>VUBYAL</t>
  </si>
  <si>
    <t>VBDFED</t>
  </si>
  <si>
    <t>LIDFVO</t>
  </si>
  <si>
    <t>JIDZED</t>
  </si>
  <si>
    <t>IZKEUA</t>
  </si>
  <si>
    <t>RIUBLO</t>
  </si>
  <si>
    <t>WOWSVC</t>
  </si>
  <si>
    <t>TBGOJH</t>
  </si>
  <si>
    <t>DMLJWS</t>
  </si>
  <si>
    <t>QLCWAM</t>
  </si>
  <si>
    <t>TCLRTY</t>
  </si>
  <si>
    <t>IYRMGS</t>
  </si>
  <si>
    <t>LIBFVO</t>
  </si>
  <si>
    <t>WLLDWY</t>
  </si>
  <si>
    <t>VIDFED</t>
  </si>
  <si>
    <t>MHVPZL</t>
  </si>
  <si>
    <t>FIAKJT</t>
  </si>
  <si>
    <t>IAQFIB</t>
  </si>
  <si>
    <t>BMLJTS</t>
  </si>
  <si>
    <t>WPNGBS</t>
  </si>
  <si>
    <t>WRGOJX</t>
  </si>
  <si>
    <t>UADUVO</t>
  </si>
  <si>
    <t>YURGRV</t>
  </si>
  <si>
    <t>VIBFRB</t>
  </si>
  <si>
    <t>VGVBYZ</t>
  </si>
  <si>
    <t>ULLDUY</t>
  </si>
  <si>
    <t>JFVIGS</t>
  </si>
  <si>
    <t>RKUMTI</t>
  </si>
  <si>
    <t>TOGUJH</t>
  </si>
  <si>
    <t>HPNGRS</t>
  </si>
  <si>
    <t>QJQUER</t>
  </si>
  <si>
    <t>TTDYTF</t>
  </si>
  <si>
    <t>WLLBWY</t>
  </si>
  <si>
    <t>UVIXBD</t>
  </si>
  <si>
    <t>VGVIYZ</t>
  </si>
  <si>
    <t>CITQVB</t>
  </si>
  <si>
    <t>ZIUSKO</t>
  </si>
  <si>
    <t>IIUBLO</t>
  </si>
  <si>
    <t>WPNGOS</t>
  </si>
  <si>
    <t>CBPJVE</t>
  </si>
  <si>
    <t>SRPCVE</t>
  </si>
  <si>
    <t>BDRDTV</t>
  </si>
  <si>
    <t>AULRRI</t>
  </si>
  <si>
    <t>DGRQDC</t>
  </si>
  <si>
    <t>XVHBID</t>
  </si>
  <si>
    <t>VFVQDY</t>
  </si>
  <si>
    <t>ILLWBA</t>
  </si>
  <si>
    <t>LBWSVC</t>
  </si>
  <si>
    <t>CRPJVE</t>
  </si>
  <si>
    <t>AQCLKA</t>
  </si>
  <si>
    <t>TTZTHD</t>
  </si>
  <si>
    <t>SKRAIX</t>
  </si>
  <si>
    <t>UVDXIB</t>
  </si>
  <si>
    <t>MRCREA</t>
  </si>
  <si>
    <t>MIDZED</t>
  </si>
  <si>
    <t>COPJVE</t>
  </si>
  <si>
    <t>GLJTMS</t>
  </si>
  <si>
    <t>LRHSVC</t>
  </si>
  <si>
    <t>YRXCOQ</t>
  </si>
  <si>
    <t>HYLHDV</t>
  </si>
  <si>
    <t>DYRPWU</t>
  </si>
  <si>
    <t>BGIQBC</t>
  </si>
  <si>
    <t>TIRPFT</t>
  </si>
  <si>
    <t>CIUSKO</t>
  </si>
  <si>
    <t>IKUMTI</t>
  </si>
  <si>
    <t>LOWSVC</t>
  </si>
  <si>
    <t>IXLOWP</t>
  </si>
  <si>
    <t>GLJWMS</t>
  </si>
  <si>
    <t>LJQUER</t>
  </si>
  <si>
    <t>TTCTOB</t>
  </si>
  <si>
    <t>XYRPWR</t>
  </si>
  <si>
    <t>MICIRA</t>
  </si>
  <si>
    <t>IGRRYZ</t>
  </si>
  <si>
    <t>WHRPFW</t>
  </si>
  <si>
    <t>MIGEKX</t>
  </si>
  <si>
    <t>GAWMEB</t>
  </si>
  <si>
    <t>IBLOHP</t>
  </si>
  <si>
    <t>SPNYRA</t>
  </si>
  <si>
    <t>GGKXTU</t>
  </si>
  <si>
    <t>SRUROJ</t>
  </si>
  <si>
    <t>TDIPFT</t>
  </si>
  <si>
    <t>TUTYAL</t>
  </si>
  <si>
    <t>HGRRYZ</t>
  </si>
  <si>
    <t>VXDGKL</t>
  </si>
  <si>
    <t>LIUSKO</t>
  </si>
  <si>
    <t>IIUBJR</t>
  </si>
  <si>
    <t>IXLUWP</t>
  </si>
  <si>
    <t>GAHMER</t>
  </si>
  <si>
    <t>HRHAVI</t>
  </si>
  <si>
    <t>MLDATM</t>
  </si>
  <si>
    <t>RYRRGS</t>
  </si>
  <si>
    <t>DGIIYZ</t>
  </si>
  <si>
    <t>WRCREA</t>
  </si>
  <si>
    <t>WXWYAL</t>
  </si>
  <si>
    <t>LIDZVO</t>
  </si>
  <si>
    <t>GIAKJT</t>
  </si>
  <si>
    <t>UIUWCU</t>
  </si>
  <si>
    <t>GAWMEO</t>
  </si>
  <si>
    <t>GBWSVC</t>
  </si>
  <si>
    <t>DMLCWA</t>
  </si>
  <si>
    <t>RTDYTF</t>
  </si>
  <si>
    <t>LTKTWG</t>
  </si>
  <si>
    <t>PRCREA</t>
  </si>
  <si>
    <t>URCREA</t>
  </si>
  <si>
    <t>VIDZED</t>
  </si>
  <si>
    <t>FZKIMF</t>
  </si>
  <si>
    <t>FIUBCO</t>
  </si>
  <si>
    <t>LOPLVE</t>
  </si>
  <si>
    <t>SBGOLH</t>
  </si>
  <si>
    <t>GRHSVC</t>
  </si>
  <si>
    <t>WRYOCX</t>
  </si>
  <si>
    <t>TGEHDC</t>
  </si>
  <si>
    <t>DTWITF</t>
  </si>
  <si>
    <t>WICIRA</t>
  </si>
  <si>
    <t>BRXRWT</t>
  </si>
  <si>
    <t>ULLDUG</t>
  </si>
  <si>
    <t>CLKWSI</t>
  </si>
  <si>
    <t>IZCEUA</t>
  </si>
  <si>
    <t>GOWSVC</t>
  </si>
  <si>
    <t>NBHLOW</t>
  </si>
  <si>
    <t>SRGOLX</t>
  </si>
  <si>
    <t>HPNYRA</t>
  </si>
  <si>
    <t>ITCEOB</t>
  </si>
  <si>
    <t>TULRTI</t>
  </si>
  <si>
    <t>PICIRA</t>
  </si>
  <si>
    <t>RLTJRD</t>
  </si>
  <si>
    <t>IRBRUW</t>
  </si>
  <si>
    <t>VFVIGS</t>
  </si>
  <si>
    <t>ZZKEUA</t>
  </si>
  <si>
    <t>YIACJT</t>
  </si>
  <si>
    <t>SOGULH</t>
  </si>
  <si>
    <t>GPNGBS</t>
  </si>
  <si>
    <t>NRXLOH</t>
  </si>
  <si>
    <t>KTZEHD</t>
  </si>
  <si>
    <t>GADGVO</t>
  </si>
  <si>
    <t>EIXIWT</t>
  </si>
  <si>
    <t>WCLBRF</t>
  </si>
  <si>
    <t>RLWJRD</t>
  </si>
  <si>
    <t>QIAKJT</t>
  </si>
  <si>
    <t>NOHLUW</t>
  </si>
  <si>
    <t>LCOYBG</t>
  </si>
  <si>
    <t>GPNGRS</t>
  </si>
  <si>
    <t>GTDYEF</t>
  </si>
  <si>
    <t>TTDITF</t>
  </si>
  <si>
    <t>ILTJIB</t>
  </si>
  <si>
    <t>MRTFED</t>
  </si>
  <si>
    <t>UCLIRF</t>
  </si>
  <si>
    <t>DFRQDY</t>
  </si>
  <si>
    <t>YZKEUA</t>
  </si>
  <si>
    <t>ZIUBCO</t>
  </si>
  <si>
    <t>GPNGOS</t>
  </si>
  <si>
    <t>ZBWSLF</t>
  </si>
  <si>
    <t>LCOYRG</t>
  </si>
  <si>
    <t>LRHAVI</t>
  </si>
  <si>
    <t>OADUVE</t>
  </si>
  <si>
    <t>JDRDTV</t>
  </si>
  <si>
    <t>WCLEIF</t>
  </si>
  <si>
    <t>NIRPFR</t>
  </si>
  <si>
    <t>MRWFED</t>
  </si>
  <si>
    <t>SLKWMS</t>
  </si>
  <si>
    <t>LCUYOG</t>
  </si>
  <si>
    <t>ZMLLTS</t>
  </si>
  <si>
    <t>ZRHSLF</t>
  </si>
  <si>
    <t>YLCWMA</t>
  </si>
  <si>
    <t>TCLNTY</t>
  </si>
  <si>
    <t>MITFRB</t>
  </si>
  <si>
    <t>PRBWRX</t>
  </si>
  <si>
    <t>NHRPFR</t>
  </si>
  <si>
    <t>WHRPZW</t>
  </si>
  <si>
    <t>ZOWSLF</t>
  </si>
  <si>
    <t>ZBHLOW</t>
  </si>
  <si>
    <t>ZMLLWS</t>
  </si>
  <si>
    <t>GBLOHP</t>
  </si>
  <si>
    <t>DTDYEF</t>
  </si>
  <si>
    <t>HILHDV</t>
  </si>
  <si>
    <t>NDIPFI</t>
  </si>
  <si>
    <t>MCLBRF</t>
  </si>
  <si>
    <t>HFRRGS</t>
  </si>
  <si>
    <t>UNGEKX</t>
  </si>
  <si>
    <t>RIUBCO</t>
  </si>
  <si>
    <t>WXLBMY</t>
  </si>
  <si>
    <t>ZRXLOH</t>
  </si>
  <si>
    <t>YJHMER</t>
  </si>
  <si>
    <t>QYNEOS</t>
  </si>
  <si>
    <t>TTUTOJ</t>
  </si>
  <si>
    <t>PIEWIX</t>
  </si>
  <si>
    <t>TRCREA</t>
  </si>
  <si>
    <t>MCLIRF</t>
  </si>
  <si>
    <t>WXWGKL</t>
  </si>
  <si>
    <t>RNAKJT</t>
  </si>
  <si>
    <t>MIFECX</t>
  </si>
  <si>
    <t>ZOHLUW</t>
  </si>
  <si>
    <t>CBWSVC</t>
  </si>
  <si>
    <t>HBLRMY</t>
  </si>
  <si>
    <t>KTDYEF</t>
  </si>
  <si>
    <t>YYKXTG</t>
  </si>
  <si>
    <t>MCLEIF</t>
  </si>
  <si>
    <t>YRBESL</t>
  </si>
  <si>
    <t>FNUSKO</t>
  </si>
  <si>
    <t>LIUBCO</t>
  </si>
  <si>
    <t>WXLOMY</t>
  </si>
  <si>
    <t>GNYHKO</t>
  </si>
  <si>
    <t>CRHSVC</t>
  </si>
  <si>
    <t>YRHAVI</t>
  </si>
  <si>
    <t>NTCEOB</t>
  </si>
  <si>
    <t>TICIRA</t>
  </si>
  <si>
    <t>IRTFED</t>
  </si>
  <si>
    <t>YRIESL</t>
  </si>
  <si>
    <t>NZKEUA</t>
  </si>
  <si>
    <t>FIACJT</t>
  </si>
  <si>
    <t>COWSVC</t>
  </si>
  <si>
    <t>CXLKMY</t>
  </si>
  <si>
    <t>GNYXTO</t>
  </si>
  <si>
    <t>ARYOLX</t>
  </si>
  <si>
    <t>IGETUI</t>
  </si>
  <si>
    <t>RTDITF</t>
  </si>
  <si>
    <t>YIERSL</t>
  </si>
  <si>
    <t>BIVPFW</t>
  </si>
  <si>
    <t>HRWFED</t>
  </si>
  <si>
    <t>RNUSKO</t>
  </si>
  <si>
    <t>YZCIMY</t>
  </si>
  <si>
    <t>GNYHKU</t>
  </si>
  <si>
    <t>CPNGKS</t>
  </si>
  <si>
    <t>CBLTMY</t>
  </si>
  <si>
    <t>DKEAYF</t>
  </si>
  <si>
    <t>TYEHDU</t>
  </si>
  <si>
    <t>DITFRB</t>
  </si>
  <si>
    <t>JGVWTC</t>
  </si>
  <si>
    <t>IHVPFU</t>
  </si>
  <si>
    <t>CNXKEU</t>
  </si>
  <si>
    <t>RLCWBI</t>
  </si>
  <si>
    <t>TXLOWP</t>
  </si>
  <si>
    <t>CPNGTS</t>
  </si>
  <si>
    <t>YPNYRA</t>
  </si>
  <si>
    <t>GGEHDC</t>
  </si>
  <si>
    <t>STUEOJ</t>
  </si>
  <si>
    <t>EDVPFW</t>
  </si>
  <si>
    <t>LGVWTW</t>
  </si>
  <si>
    <t>JGVUWC</t>
  </si>
  <si>
    <t>QNUSJC</t>
  </si>
  <si>
    <t>ZZCEUA</t>
  </si>
  <si>
    <t>IKWSLF</t>
  </si>
  <si>
    <t>WBLOHP</t>
  </si>
  <si>
    <t>LIOZRY</t>
  </si>
  <si>
    <t>LTCEOB</t>
  </si>
  <si>
    <t>VRCVEA</t>
  </si>
  <si>
    <t>LGVUWU</t>
  </si>
  <si>
    <t>MRWZED</t>
  </si>
  <si>
    <t>UBUMTI</t>
  </si>
  <si>
    <t>QIACJT</t>
  </si>
  <si>
    <t>TXLUWP</t>
  </si>
  <si>
    <t>GXLKMY</t>
  </si>
  <si>
    <t>ITHSLF</t>
  </si>
  <si>
    <t>SRHALF</t>
  </si>
  <si>
    <t>DOBXHT</t>
  </si>
  <si>
    <t>YTDIEF</t>
  </si>
  <si>
    <t>BRTFED</t>
  </si>
  <si>
    <t>NHRPZR</t>
  </si>
  <si>
    <t>KNUSKO</t>
  </si>
  <si>
    <t>SZCEUA</t>
  </si>
  <si>
    <t>KKGOLH</t>
  </si>
  <si>
    <t>GBLTMY</t>
  </si>
  <si>
    <t>SMLLWA</t>
  </si>
  <si>
    <t>YKEAYD</t>
  </si>
  <si>
    <t>OADGVE</t>
  </si>
  <si>
    <t>VICVRA</t>
  </si>
  <si>
    <t>FRBWVX</t>
  </si>
  <si>
    <t>IRWFED</t>
  </si>
  <si>
    <t>UNUSKO</t>
  </si>
  <si>
    <t>BLCWMB</t>
  </si>
  <si>
    <t>YKWSVC</t>
  </si>
  <si>
    <t>TTGOLX</t>
  </si>
  <si>
    <t>SRXLOH</t>
  </si>
  <si>
    <t>MTZEHD</t>
  </si>
  <si>
    <t>TULNTI</t>
  </si>
  <si>
    <t>EITFRB</t>
  </si>
  <si>
    <t>KRXVWT</t>
  </si>
  <si>
    <t>FRIUVB</t>
  </si>
  <si>
    <t>MYLIRZ</t>
  </si>
  <si>
    <t>ENUSJC</t>
  </si>
  <si>
    <t>KKGULH</t>
  </si>
  <si>
    <t>HEIZNL</t>
  </si>
  <si>
    <t>YTHSVC</t>
  </si>
  <si>
    <t>HBLRMZ</t>
  </si>
  <si>
    <t>VLIZTH</t>
  </si>
  <si>
    <t>DTDIEF</t>
  </si>
  <si>
    <t>FIEWVX</t>
  </si>
  <si>
    <t>BCKBRF</t>
  </si>
  <si>
    <t>KRBVUW</t>
  </si>
  <si>
    <t>WRYREK</t>
  </si>
  <si>
    <t>CZKEUA</t>
  </si>
  <si>
    <t>UNFECX</t>
  </si>
  <si>
    <t>KLMLTS</t>
  </si>
  <si>
    <t>XEIZNL</t>
  </si>
  <si>
    <t>IRHAVI</t>
  </si>
  <si>
    <t>VTCEOB</t>
  </si>
  <si>
    <t>QINEOB</t>
  </si>
  <si>
    <t>KIXVWT</t>
  </si>
  <si>
    <t>IRCVEA</t>
  </si>
  <si>
    <t>ICKIRF</t>
  </si>
  <si>
    <t>GRIEAL</t>
  </si>
  <si>
    <t>NBUMTI</t>
  </si>
  <si>
    <t>GNACJT</t>
  </si>
  <si>
    <t>KKHLOW</t>
  </si>
  <si>
    <t>TLMLWS</t>
  </si>
  <si>
    <t>YNZXTO</t>
  </si>
  <si>
    <t>AOXULD</t>
  </si>
  <si>
    <t>KTDIEF</t>
  </si>
  <si>
    <t>ECKEIF</t>
  </si>
  <si>
    <t>WRTFVO</t>
  </si>
  <si>
    <t>HRCVEA</t>
  </si>
  <si>
    <t>HRWZED</t>
  </si>
  <si>
    <t>DZKNMF</t>
  </si>
  <si>
    <t>YNUBCO</t>
  </si>
  <si>
    <t>MXLLTS</t>
  </si>
  <si>
    <t>TTXLOH</t>
  </si>
  <si>
    <t>IBLTMZ</t>
  </si>
  <si>
    <t>NTUEOJ</t>
  </si>
  <si>
    <t>DICVRA</t>
  </si>
  <si>
    <t>WIVPFB</t>
  </si>
  <si>
    <t>URWFVO</t>
  </si>
  <si>
    <t>HHUBFO</t>
  </si>
  <si>
    <t>NZCEUA</t>
  </si>
  <si>
    <t>KKHLUW</t>
  </si>
  <si>
    <t>MBLLWS</t>
  </si>
  <si>
    <t>IPNYTA</t>
  </si>
  <si>
    <t>VTDYEF</t>
  </si>
  <si>
    <t>SYETGS</t>
  </si>
  <si>
    <t>WITFVO</t>
  </si>
  <si>
    <t>WRXVWT</t>
  </si>
  <si>
    <t>UHVPFI</t>
  </si>
  <si>
    <t>JFVUWY</t>
  </si>
  <si>
    <t>NNIMFS</t>
  </si>
  <si>
    <t>GNUBCO</t>
  </si>
  <si>
    <t>YXLOWP</t>
  </si>
  <si>
    <t>TTPLVE</t>
  </si>
  <si>
    <t>DTZEPD</t>
  </si>
  <si>
    <t>DKEAIF</t>
  </si>
  <si>
    <t>WDVPFE</t>
  </si>
  <si>
    <t>MGVRYZ</t>
  </si>
  <si>
    <t>URBVUW</t>
  </si>
  <si>
    <t>LFVUWU</t>
  </si>
  <si>
    <t>LHUBFO</t>
  </si>
  <si>
    <t>RNXCEU</t>
  </si>
  <si>
    <t>YBLOHP</t>
  </si>
  <si>
    <t>GTHALF</t>
  </si>
  <si>
    <t>LTDYOD</t>
  </si>
  <si>
    <t>YYEHDU</t>
  </si>
  <si>
    <t>WIXVWT</t>
  </si>
  <si>
    <t>DRTFED</t>
  </si>
  <si>
    <t>INAFGJ</t>
  </si>
  <si>
    <t>QNUBJR</t>
  </si>
  <si>
    <t>YXLUWP</t>
  </si>
  <si>
    <t>YKHLOW</t>
  </si>
  <si>
    <t>YBLTMZ</t>
  </si>
  <si>
    <t>ETDLCE</t>
  </si>
  <si>
    <t>LTUEOJ</t>
  </si>
  <si>
    <t>MGVIYZ</t>
  </si>
  <si>
    <t>YCRWTQ</t>
  </si>
  <si>
    <t>DRWFED</t>
  </si>
  <si>
    <t>IRWZED</t>
  </si>
  <si>
    <t>BLFWBU</t>
  </si>
  <si>
    <t>UKUMTI</t>
  </si>
  <si>
    <t>TKHLOW</t>
  </si>
  <si>
    <t>YTXLOH</t>
  </si>
  <si>
    <t>TTYOLX</t>
  </si>
  <si>
    <t>ETDYEF</t>
  </si>
  <si>
    <t>DOJXHT</t>
  </si>
  <si>
    <t>BDTFRB</t>
  </si>
  <si>
    <t>DGVRYZ</t>
  </si>
  <si>
    <t>YCRUWQ</t>
  </si>
  <si>
    <t>HLFWBI</t>
  </si>
  <si>
    <t>CNUBCO</t>
  </si>
  <si>
    <t>YKHLUW</t>
  </si>
  <si>
    <t>TAWMEB</t>
  </si>
  <si>
    <t>WTXLOH</t>
  </si>
  <si>
    <t>ZTHAVI</t>
  </si>
  <si>
    <t>ABVHLE</t>
  </si>
  <si>
    <t>IKEAID</t>
  </si>
  <si>
    <t>YCDWTQ</t>
  </si>
  <si>
    <t>CRBVUW</t>
  </si>
  <si>
    <t>NNUBGC</t>
  </si>
  <si>
    <t>UNUBCO</t>
  </si>
  <si>
    <t>TKHLUW</t>
  </si>
  <si>
    <t>ZKWSVC</t>
  </si>
  <si>
    <t>WAHMER</t>
  </si>
  <si>
    <t>XEGSNL</t>
  </si>
  <si>
    <t>PTDYOD</t>
  </si>
  <si>
    <t>BGVDYZ</t>
  </si>
  <si>
    <t>PGVQTC</t>
  </si>
  <si>
    <t>IHUBFO</t>
  </si>
  <si>
    <t>ENUBJR</t>
  </si>
  <si>
    <t>TAWMEO</t>
  </si>
  <si>
    <t>ELLTYR</t>
  </si>
  <si>
    <t>ZTHSVC</t>
  </si>
  <si>
    <t>TLMLWA</t>
  </si>
  <si>
    <t>DGEPDC</t>
  </si>
  <si>
    <t>VLSZTH</t>
  </si>
  <si>
    <t>PRTFVO</t>
  </si>
  <si>
    <t>PGVQWC</t>
  </si>
  <si>
    <t>NZFTUA</t>
  </si>
  <si>
    <t>RZCEUA</t>
  </si>
  <si>
    <t>DAWMEB</t>
  </si>
  <si>
    <t>ELLWYK</t>
  </si>
  <si>
    <t>MPTDVE</t>
  </si>
  <si>
    <t>VTUEOJ</t>
  </si>
  <si>
    <t>BGVRYZ</t>
  </si>
  <si>
    <t>PRWFVO</t>
  </si>
  <si>
    <t>URWZVO</t>
  </si>
  <si>
    <t>YNAFGJ</t>
  </si>
  <si>
    <t>NKUMTI</t>
  </si>
  <si>
    <t>ELLTYD</t>
  </si>
  <si>
    <t>TXLKMY</t>
  </si>
  <si>
    <t>DAHMER</t>
  </si>
  <si>
    <t>MBLLWA</t>
  </si>
  <si>
    <t>QGETUI</t>
  </si>
  <si>
    <t>AOXGLD</t>
  </si>
  <si>
    <t>PDTFVO</t>
  </si>
  <si>
    <t>IGVRYZ</t>
  </si>
  <si>
    <t>LHSFTP</t>
  </si>
  <si>
    <t>DZCNMY</t>
  </si>
  <si>
    <t>BAWMEO</t>
  </si>
  <si>
    <t>DKHLOW</t>
  </si>
  <si>
    <t>WBLTMY</t>
  </si>
  <si>
    <t>SSDXIF</t>
  </si>
  <si>
    <t>EGVDYZ</t>
  </si>
  <si>
    <t>ZRTFED</t>
  </si>
  <si>
    <t>ZHPBFO</t>
  </si>
  <si>
    <t>HHUKYO</t>
  </si>
  <si>
    <t>SXLOWP</t>
  </si>
  <si>
    <t>DTXLOH</t>
  </si>
  <si>
    <t>ZBLOHP</t>
  </si>
  <si>
    <t>TTLUIY</t>
  </si>
  <si>
    <t>VTDIEF</t>
  </si>
  <si>
    <t>DDEQVX</t>
  </si>
  <si>
    <t>RXDIWJ</t>
  </si>
  <si>
    <t>ZRWFED</t>
  </si>
  <si>
    <t>MFVRGS</t>
  </si>
  <si>
    <t>ZHSFTP</t>
  </si>
  <si>
    <t>NNIMYB</t>
  </si>
  <si>
    <t>BKHLUW</t>
  </si>
  <si>
    <t>TKWSLF</t>
  </si>
  <si>
    <t>SBLOHP</t>
  </si>
  <si>
    <t>KSDXIF</t>
  </si>
  <si>
    <t>ZDTFRB</t>
  </si>
  <si>
    <t>JCKBRI</t>
  </si>
  <si>
    <t>RBDHUJ</t>
  </si>
  <si>
    <t>DRWZED</t>
  </si>
  <si>
    <t>HAQIHB</t>
  </si>
  <si>
    <t>LHUKYO</t>
  </si>
  <si>
    <t>SXLUWP</t>
  </si>
  <si>
    <t>DKWSVC</t>
  </si>
  <si>
    <t>WTHSLF</t>
  </si>
  <si>
    <t>ZTXLOH</t>
  </si>
  <si>
    <t>LTCIRO</t>
  </si>
  <si>
    <t>LTDIOD</t>
  </si>
  <si>
    <t>DXBDWJ</t>
  </si>
  <si>
    <t>RRXVQT</t>
  </si>
  <si>
    <t>JCKIRH</t>
  </si>
  <si>
    <t>GYRUWQ</t>
  </si>
  <si>
    <t>CHPBFO</t>
  </si>
  <si>
    <t>INAYFJ</t>
  </si>
  <si>
    <t>SKHLOW</t>
  </si>
  <si>
    <t>DTHSVC</t>
  </si>
  <si>
    <t>XKIAXY</t>
  </si>
  <si>
    <t>ETDLUE</t>
  </si>
  <si>
    <t>JCKEDD</t>
  </si>
  <si>
    <t>GIVPFJ</t>
  </si>
  <si>
    <t>RRBVQW</t>
  </si>
  <si>
    <t>DFVRGS</t>
  </si>
  <si>
    <t>HNPBGC</t>
  </si>
  <si>
    <t>KLYWKU</t>
  </si>
  <si>
    <t>BKWSVC</t>
  </si>
  <si>
    <t>SAWMUB</t>
  </si>
  <si>
    <t>STXLOH</t>
  </si>
  <si>
    <t>WJHMER</t>
  </si>
  <si>
    <t>UGVATS</t>
  </si>
  <si>
    <t>ETDIEF</t>
  </si>
  <si>
    <t>DDXVQT</t>
  </si>
  <si>
    <t>RRCVEA</t>
  </si>
  <si>
    <t>GHVPFJ</t>
  </si>
  <si>
    <t>UEPNJX</t>
  </si>
  <si>
    <t>HLYWKI</t>
  </si>
  <si>
    <t>SKHLUW</t>
  </si>
  <si>
    <t>SKPLVU</t>
  </si>
  <si>
    <t>SAHMUR</t>
  </si>
  <si>
    <t>STHAVI</t>
  </si>
  <si>
    <t>TTDXRD</t>
  </si>
  <si>
    <t>AJVHLE</t>
  </si>
  <si>
    <t>GDVPFJ</t>
  </si>
  <si>
    <t>ZGVQTC</t>
  </si>
  <si>
    <t>PFVQWY</t>
  </si>
  <si>
    <t>HEPNJX</t>
  </si>
  <si>
    <t>NNUKFR</t>
  </si>
  <si>
    <t>SAWMRO</t>
  </si>
  <si>
    <t>VKWSVC</t>
  </si>
  <si>
    <t>STPLVU</t>
  </si>
  <si>
    <t>ELLWZK</t>
  </si>
  <si>
    <t>LSDXIF</t>
  </si>
  <si>
    <t>PTDIOD</t>
  </si>
  <si>
    <t>DDCVRA</t>
  </si>
  <si>
    <t>ZGVQWC</t>
  </si>
  <si>
    <t>PRWZVO</t>
  </si>
  <si>
    <t>YZFNNY</t>
  </si>
  <si>
    <t>IHUKYO</t>
  </si>
  <si>
    <t>SKPLVR</t>
  </si>
  <si>
    <t>GKGOLH</t>
  </si>
  <si>
    <t>VTHSVC</t>
  </si>
  <si>
    <t>DJHMER</t>
  </si>
  <si>
    <t>TGIUDC</t>
  </si>
  <si>
    <t>DYEPDU</t>
  </si>
  <si>
    <t>ZRXVQT</t>
  </si>
  <si>
    <t>IFVRGS</t>
  </si>
  <si>
    <t>CLFWBL</t>
  </si>
  <si>
    <t>NZYTUA</t>
  </si>
  <si>
    <t>SXLKMY</t>
  </si>
  <si>
    <t>GTGOLX</t>
  </si>
  <si>
    <t>WBLTMZ</t>
  </si>
  <si>
    <t>HTCIRO</t>
  </si>
  <si>
    <t>WLJVTN</t>
  </si>
  <si>
    <t>ZRBVQW</t>
  </si>
  <si>
    <t>ZZFTPA</t>
  </si>
  <si>
    <t>SNAYFJ</t>
  </si>
  <si>
    <t>GKGULH</t>
  </si>
  <si>
    <t>SPNGKS</t>
  </si>
  <si>
    <t>SBLTMY</t>
  </si>
  <si>
    <t>KSYIUD</t>
  </si>
  <si>
    <t>QYETGS</t>
  </si>
  <si>
    <t>ZDXVQT</t>
  </si>
  <si>
    <t>PUTYAL</t>
  </si>
  <si>
    <t>ULJVWN</t>
  </si>
  <si>
    <t>SRWZED</t>
  </si>
  <si>
    <t>QNAFGJ</t>
  </si>
  <si>
    <t>LHBYTP</t>
  </si>
  <si>
    <t>DKGOLH</t>
  </si>
  <si>
    <t>SPNGTS</t>
  </si>
  <si>
    <t>ABLOHP</t>
  </si>
  <si>
    <t>GSDXIF</t>
  </si>
  <si>
    <t>BBDXSF</t>
  </si>
  <si>
    <t>WMTFED</t>
  </si>
  <si>
    <t>PXWYAL</t>
  </si>
  <si>
    <t>RZFTPA</t>
  </si>
  <si>
    <t>ZHPKYO</t>
  </si>
  <si>
    <t>TPNGKS</t>
  </si>
  <si>
    <t>DTGOLX</t>
  </si>
  <si>
    <t>WTHALF</t>
  </si>
  <si>
    <t>RADTBI</t>
  </si>
  <si>
    <t>TTLGSI</t>
  </si>
  <si>
    <t>PMTFED</t>
  </si>
  <si>
    <t>UMWFED</t>
  </si>
  <si>
    <t>JYCIRH</t>
  </si>
  <si>
    <t>HNAFGJ</t>
  </si>
  <si>
    <t>ZHBYTP</t>
  </si>
  <si>
    <t>BKGULH</t>
  </si>
  <si>
    <t>YLLTSP</t>
  </si>
  <si>
    <t>WPNGTS</t>
  </si>
  <si>
    <t>DTHAVI</t>
  </si>
  <si>
    <t>SCJLSX</t>
  </si>
  <si>
    <t>KBDXSF</t>
  </si>
  <si>
    <t>WMTFRB</t>
  </si>
  <si>
    <t>AQMDJV</t>
  </si>
  <si>
    <t>PMWFED</t>
  </si>
  <si>
    <t>UHSFTP</t>
  </si>
  <si>
    <t>HAQIHK</t>
  </si>
  <si>
    <t>CXLOWP</t>
  </si>
  <si>
    <t>YLLWSP</t>
  </si>
  <si>
    <t>ATXLOH</t>
  </si>
  <si>
    <t>DSDXIF</t>
  </si>
  <si>
    <t>LTUSRO</t>
  </si>
  <si>
    <t>PMTFRB</t>
  </si>
  <si>
    <t>PGVMYZ</t>
  </si>
  <si>
    <t>FHVPZJ</t>
  </si>
  <si>
    <t>PNITFS</t>
  </si>
  <si>
    <t>RHPKYO</t>
  </si>
  <si>
    <t>YAWMUB</t>
  </si>
  <si>
    <t>CBLOHP</t>
  </si>
  <si>
    <t>AJHMUR</t>
  </si>
  <si>
    <t>STDXRD</t>
  </si>
  <si>
    <t>XKSAXI</t>
  </si>
  <si>
    <t>AQMBJV</t>
  </si>
  <si>
    <t>NMXVQT</t>
  </si>
  <si>
    <t>TNAFGJ</t>
  </si>
  <si>
    <t>HNPKFR</t>
  </si>
  <si>
    <t>CXLUWP</t>
  </si>
  <si>
    <t>YAHMUR</t>
  </si>
  <si>
    <t>ATPLVU</t>
  </si>
  <si>
    <t>MPDTOZ</t>
  </si>
  <si>
    <t>GYVATB</t>
  </si>
  <si>
    <t>MVSADJ</t>
  </si>
  <si>
    <t>NMBVQW</t>
  </si>
  <si>
    <t>SFVQWY</t>
  </si>
  <si>
    <t>YHPBFO</t>
  </si>
  <si>
    <t>YAWMRO</t>
  </si>
  <si>
    <t>KXLKMY</t>
  </si>
  <si>
    <t>YTPLVU</t>
  </si>
  <si>
    <t>VTHAVI</t>
  </si>
  <si>
    <t>UXJUDB</t>
  </si>
  <si>
    <t>FMTFVO</t>
  </si>
  <si>
    <t>HZFTPA</t>
  </si>
  <si>
    <t>YKGOLH</t>
  </si>
  <si>
    <t>TBLTMY</t>
  </si>
  <si>
    <t>YTYOLX</t>
  </si>
  <si>
    <t>HGIRRH</t>
  </si>
  <si>
    <t>LBDXSF</t>
  </si>
  <si>
    <t>MVSABJ</t>
  </si>
  <si>
    <t>NMTFED</t>
  </si>
  <si>
    <t>FMWFVO</t>
  </si>
  <si>
    <t>SRBVQW</t>
  </si>
  <si>
    <t>THPBFO</t>
  </si>
  <si>
    <t>SZYNNS</t>
  </si>
  <si>
    <t>CBWSLF</t>
  </si>
  <si>
    <t>YTGOLX</t>
  </si>
  <si>
    <t>ABLTMZ</t>
  </si>
  <si>
    <t>DKIAXP</t>
  </si>
  <si>
    <t>TYSGDU</t>
  </si>
  <si>
    <t>GQBAVB</t>
  </si>
  <si>
    <t>NMWFED</t>
  </si>
  <si>
    <t>CHSFTP</t>
  </si>
  <si>
    <t>RLYWKL</t>
  </si>
  <si>
    <t>YKGULH</t>
  </si>
  <si>
    <t>BPNGBS</t>
  </si>
  <si>
    <t>CRHSLF</t>
  </si>
  <si>
    <t>APNYTA</t>
  </si>
  <si>
    <t>GGIUDC</t>
  </si>
  <si>
    <t>HTUSRO</t>
  </si>
  <si>
    <t>NMTFRB</t>
  </si>
  <si>
    <t>ZCTFMJ</t>
  </si>
  <si>
    <t>GQIAVI</t>
  </si>
  <si>
    <t>PXWGKL</t>
  </si>
  <si>
    <t>QNPBGC</t>
  </si>
  <si>
    <t>ZZYTPA</t>
  </si>
  <si>
    <t>COWSLF</t>
  </si>
  <si>
    <t>CAWMUB</t>
  </si>
  <si>
    <t>RPNGRS</t>
  </si>
  <si>
    <t>DTYOLX</t>
  </si>
  <si>
    <t>JRCIRO</t>
  </si>
  <si>
    <t>KBISGD</t>
  </si>
  <si>
    <t>GQEAVE</t>
  </si>
  <si>
    <t>FMCVEA</t>
  </si>
  <si>
    <t>ZCWFMJ</t>
  </si>
  <si>
    <t>UMWZED</t>
  </si>
  <si>
    <t>HHSFTP</t>
  </si>
  <si>
    <t>QNAYFJ</t>
  </si>
  <si>
    <t>OPNGOS</t>
  </si>
  <si>
    <t>BBWSLF</t>
  </si>
  <si>
    <t>CAHMUR</t>
  </si>
  <si>
    <t>WPNYTA</t>
  </si>
  <si>
    <t>KKSBCD</t>
  </si>
  <si>
    <t>YBDXSF</t>
  </si>
  <si>
    <t>ZGIUVY</t>
  </si>
  <si>
    <t>PMWZED</t>
  </si>
  <si>
    <t>FHPBFO</t>
  </si>
  <si>
    <t>GZYTPA</t>
  </si>
  <si>
    <t>CAWMRO</t>
  </si>
  <si>
    <t>BLLTSP</t>
  </si>
  <si>
    <t>RRHSLF</t>
  </si>
  <si>
    <t>ZLLWAP</t>
  </si>
  <si>
    <t>SRCIRO</t>
  </si>
  <si>
    <t>RADTJS</t>
  </si>
  <si>
    <t>FMCVRA</t>
  </si>
  <si>
    <t>BMBQVX</t>
  </si>
  <si>
    <t>ZGHXVY</t>
  </si>
  <si>
    <t>KQMDJV</t>
  </si>
  <si>
    <t>PHPBFO</t>
  </si>
  <si>
    <t>HNAYFJ</t>
  </si>
  <si>
    <t>OOWSLF</t>
  </si>
  <si>
    <t>BBHLOW</t>
  </si>
  <si>
    <t>RLLWSP</t>
  </si>
  <si>
    <t>MSYIUD</t>
  </si>
  <si>
    <t>ZGDUVY</t>
  </si>
  <si>
    <t>FGBMYZ</t>
  </si>
  <si>
    <t>IMIQVB</t>
  </si>
  <si>
    <t>PFVMGS</t>
  </si>
  <si>
    <t>TNPBGC</t>
  </si>
  <si>
    <t>UHBYTP</t>
  </si>
  <si>
    <t>OLLTSP</t>
  </si>
  <si>
    <t>BAWMUB</t>
  </si>
  <si>
    <t>RRXLOH</t>
  </si>
  <si>
    <t>ZJHMUR</t>
  </si>
  <si>
    <t>DRLUIY</t>
  </si>
  <si>
    <t>DBDXSF</t>
  </si>
  <si>
    <t>EMEQVX</t>
  </si>
  <si>
    <t>GCBYBJ</t>
  </si>
  <si>
    <t>FGIMYZ</t>
  </si>
  <si>
    <t>CZFTPA</t>
  </si>
  <si>
    <t>PNITYB</t>
  </si>
  <si>
    <t>OOHLUW</t>
  </si>
  <si>
    <t>RAHMUR</t>
  </si>
  <si>
    <t>ZTPLVU</t>
  </si>
  <si>
    <t>BMCIRO</t>
  </si>
  <si>
    <t>BTDXRD</t>
  </si>
  <si>
    <t>FGDMYZ</t>
  </si>
  <si>
    <t>NBBQBX</t>
  </si>
  <si>
    <t>GCIYIJ</t>
  </si>
  <si>
    <t>MVAKDJ</t>
  </si>
  <si>
    <t>NEPNJX</t>
  </si>
  <si>
    <t>TNAYFJ</t>
  </si>
  <si>
    <t>OAWMRO</t>
  </si>
  <si>
    <t>BBWSVC</t>
  </si>
  <si>
    <t>TBLTMZ</t>
  </si>
  <si>
    <t>HSDXIF</t>
  </si>
  <si>
    <t>GCDYEJ</t>
  </si>
  <si>
    <t>PCLBBF</t>
  </si>
  <si>
    <t>NIIQIB</t>
  </si>
  <si>
    <t>ZMWZVO</t>
  </si>
  <si>
    <t>DZFNNY</t>
  </si>
  <si>
    <t>SHPKYO</t>
  </si>
  <si>
    <t>OOPLVR</t>
  </si>
  <si>
    <t>WBWTJW</t>
  </si>
  <si>
    <t>RRHSVC</t>
  </si>
  <si>
    <t>ZTYOLX</t>
  </si>
  <si>
    <t>SGIUDC</t>
  </si>
  <si>
    <t>NDEQDX</t>
  </si>
  <si>
    <t>ZIBPFU</t>
  </si>
  <si>
    <t>PCLIIF</t>
  </si>
  <si>
    <t>NMWZED</t>
  </si>
  <si>
    <t>HZYTPA</t>
  </si>
  <si>
    <t>OOWSVC</t>
  </si>
  <si>
    <t>GBWSJF</t>
  </si>
  <si>
    <t>HRHWJH</t>
  </si>
  <si>
    <t>IRHALF</t>
  </si>
  <si>
    <t>BSDXIF</t>
  </si>
  <si>
    <t>PCLEDF</t>
  </si>
  <si>
    <t>DGBQTC</t>
  </si>
  <si>
    <t>ZHIPFX</t>
  </si>
  <si>
    <t>FQIKVI</t>
  </si>
  <si>
    <t>INPSJC</t>
  </si>
  <si>
    <t>THPKYO</t>
  </si>
  <si>
    <t>WOWTJW</t>
  </si>
  <si>
    <t>BXJOWP</t>
  </si>
  <si>
    <t>GRHSJF</t>
  </si>
  <si>
    <t>RPNYRA</t>
  </si>
  <si>
    <t>DSYIUD</t>
  </si>
  <si>
    <t>DKSAXP</t>
  </si>
  <si>
    <t>ZDDPFU</t>
  </si>
  <si>
    <t>UGBQTB</t>
  </si>
  <si>
    <t>DGIQWC</t>
  </si>
  <si>
    <t>SYWZMJ</t>
  </si>
  <si>
    <t>QAQGNS</t>
  </si>
  <si>
    <t>RHBYTP</t>
  </si>
  <si>
    <t>GOWSJF</t>
  </si>
  <si>
    <t>YBPJVU</t>
  </si>
  <si>
    <t>RBJOHP</t>
  </si>
  <si>
    <t>IJHMUR</t>
  </si>
  <si>
    <t>YYSGDU</t>
  </si>
  <si>
    <t>BGDQTC</t>
  </si>
  <si>
    <t>ZBCBEA</t>
  </si>
  <si>
    <t>XGIQWI</t>
  </si>
  <si>
    <t>ZMYVEK</t>
  </si>
  <si>
    <t>QNPKFR</t>
  </si>
  <si>
    <t>OXJUWP</t>
  </si>
  <si>
    <t>LBHJOW</t>
  </si>
  <si>
    <t>YRPJVU</t>
  </si>
  <si>
    <t>RRHALF</t>
  </si>
  <si>
    <t>SSYIUD</t>
  </si>
  <si>
    <t>CRUSRO</t>
  </si>
  <si>
    <t>UGDQTE</t>
  </si>
  <si>
    <t>BGBBYZ</t>
  </si>
  <si>
    <t>ZICIEA</t>
  </si>
  <si>
    <t>SFHXVG</t>
  </si>
  <si>
    <t>AAQGNS</t>
  </si>
  <si>
    <t>HHBYTP</t>
  </si>
  <si>
    <t>YOPJVR</t>
  </si>
  <si>
    <t>XBWSJF</t>
  </si>
  <si>
    <t>LRXJOH</t>
  </si>
  <si>
    <t>RLLWAP</t>
  </si>
  <si>
    <t>ISDXIF</t>
  </si>
  <si>
    <t>KKBJUD</t>
  </si>
  <si>
    <t>ZDCDRA</t>
  </si>
  <si>
    <t>LRIRTY</t>
  </si>
  <si>
    <t>IGIIYZ</t>
  </si>
  <si>
    <t>ONAKJV</t>
  </si>
  <si>
    <t>YHPKYO</t>
  </si>
  <si>
    <t>LOHJUW</t>
  </si>
  <si>
    <t>BRHSJF</t>
  </si>
  <si>
    <t>BRUSRO</t>
  </si>
  <si>
    <t>DGDDYZ</t>
  </si>
  <si>
    <t>DRTFRO</t>
  </si>
  <si>
    <t>LRHRWY</t>
  </si>
  <si>
    <t>ZFIMGS</t>
  </si>
  <si>
    <t>PHPKYO</t>
  </si>
  <si>
    <t>XOWSJF</t>
  </si>
  <si>
    <t>RJHMUR</t>
  </si>
  <si>
    <t>UMDXRD</t>
  </si>
  <si>
    <t>MBISGD</t>
  </si>
  <si>
    <t>LDDDTY</t>
  </si>
  <si>
    <t>RCLBRF</t>
  </si>
  <si>
    <t>DRWFRO</t>
  </si>
  <si>
    <t>FYIGIJ</t>
  </si>
  <si>
    <t>VBPTVI</t>
  </si>
  <si>
    <t>TNPKFR</t>
  </si>
  <si>
    <t>CBWSJF</t>
  </si>
  <si>
    <t>DGIUDC</t>
  </si>
  <si>
    <t>DRLGSI</t>
  </si>
  <si>
    <t>BDTFDO</t>
  </si>
  <si>
    <t>YPDYJE</t>
  </si>
  <si>
    <t>RCLIRF</t>
  </si>
  <si>
    <t>RZYTPA</t>
  </si>
  <si>
    <t>MBGOJH</t>
  </si>
  <si>
    <t>CRHSJF</t>
  </si>
  <si>
    <t>RRHAVI</t>
  </si>
  <si>
    <t>MPDMOZ</t>
  </si>
  <si>
    <t>JMUSRO</t>
  </si>
  <si>
    <t>DCLEDF</t>
  </si>
  <si>
    <t>RRDFRO</t>
  </si>
  <si>
    <t>IZKEPA</t>
  </si>
  <si>
    <t>COWSJF</t>
  </si>
  <si>
    <t>LBWSJF</t>
  </si>
  <si>
    <t>MRGOJX</t>
  </si>
  <si>
    <t>HRHWCH</t>
  </si>
  <si>
    <t>QGIMMH</t>
  </si>
  <si>
    <t>HBDXSF</t>
  </si>
  <si>
    <t>YPBYJR</t>
  </si>
  <si>
    <t>ADBDRJ</t>
  </si>
  <si>
    <t>SHIPZX</t>
  </si>
  <si>
    <t>QLKWSM</t>
  </si>
  <si>
    <t>DZYNNS</t>
  </si>
  <si>
    <t>MOGUJH</t>
  </si>
  <si>
    <t>GBPJVU</t>
  </si>
  <si>
    <t>LRHSJF</t>
  </si>
  <si>
    <t>YRHACF</t>
  </si>
  <si>
    <t>MGRPDC</t>
  </si>
  <si>
    <t>BYSGDU</t>
  </si>
  <si>
    <t>DDBFDO</t>
  </si>
  <si>
    <t>RRXRWD</t>
  </si>
  <si>
    <t>ADIDRJ</t>
  </si>
  <si>
    <t>DFIQWY</t>
  </si>
  <si>
    <t>VZKNTF</t>
  </si>
  <si>
    <t>LOWSJF</t>
  </si>
  <si>
    <t>YXJBMY</t>
  </si>
  <si>
    <t>GRPJVU</t>
  </si>
  <si>
    <t>RBCOHP</t>
  </si>
  <si>
    <t>JBDXSF</t>
  </si>
  <si>
    <t>ABEBDJ</t>
  </si>
  <si>
    <t>WFLWDJ</t>
  </si>
  <si>
    <t>RRBRUD</t>
  </si>
  <si>
    <t>XFIQWI</t>
  </si>
  <si>
    <t>TNPSJC</t>
  </si>
  <si>
    <t>INPBJR</t>
  </si>
  <si>
    <t>GOPJVR</t>
  </si>
  <si>
    <t>CLJTSB</t>
  </si>
  <si>
    <t>YBJRMY</t>
  </si>
  <si>
    <t>DBISGD</t>
  </si>
  <si>
    <t>DDXDWB</t>
  </si>
  <si>
    <t>RRCREA</t>
  </si>
  <si>
    <t>UFLUDJ</t>
  </si>
  <si>
    <t>SIYIEK</t>
  </si>
  <si>
    <t>ANAKJV</t>
  </si>
  <si>
    <t>QAQFNB</t>
  </si>
  <si>
    <t>YXJOMY</t>
  </si>
  <si>
    <t>XXJOWP</t>
  </si>
  <si>
    <t>CLJWSR</t>
  </si>
  <si>
    <t>LRXCOH</t>
  </si>
  <si>
    <t>MMZTPD</t>
  </si>
  <si>
    <t>WFLWBJ</t>
  </si>
  <si>
    <t>GGIURY</t>
  </si>
  <si>
    <t>IFIIGS</t>
  </si>
  <si>
    <t>IBPTVI</t>
  </si>
  <si>
    <t>CLJTSO</t>
  </si>
  <si>
    <t>NBPJVU</t>
  </si>
  <si>
    <t>BBJOHP</t>
  </si>
  <si>
    <t>BRHACF</t>
  </si>
  <si>
    <t>BBISGD</t>
  </si>
  <si>
    <t>DDCDRA</t>
  </si>
  <si>
    <t>MLDPRM</t>
  </si>
  <si>
    <t>GGHXRY</t>
  </si>
  <si>
    <t>LRHRWG</t>
  </si>
  <si>
    <t>INAKJV</t>
  </si>
  <si>
    <t>AAQFNB</t>
  </si>
  <si>
    <t>XXJUWP</t>
  </si>
  <si>
    <t>ZXJOWP</t>
  </si>
  <si>
    <t>NRPJVU</t>
  </si>
  <si>
    <t>FMCTOB</t>
  </si>
  <si>
    <t>SBDXSF</t>
  </si>
  <si>
    <t>GGDUDY</t>
  </si>
  <si>
    <t>BRDFRO</t>
  </si>
  <si>
    <t>DRWZRO</t>
  </si>
  <si>
    <t>ONACJV</t>
  </si>
  <si>
    <t>NOPJVR</t>
  </si>
  <si>
    <t>SLJTMS</t>
  </si>
  <si>
    <t>ZBJOHP</t>
  </si>
  <si>
    <t>IGTMUD</t>
  </si>
  <si>
    <t>MLBPDM</t>
  </si>
  <si>
    <t>RGVWDC</t>
  </si>
  <si>
    <t>IRDFRO</t>
  </si>
  <si>
    <t>INGEKX</t>
  </si>
  <si>
    <t>ZXJUWP</t>
  </si>
  <si>
    <t>WBHJOW</t>
  </si>
  <si>
    <t>SLJWMS</t>
  </si>
  <si>
    <t>IRHACF</t>
  </si>
  <si>
    <t>BXDUZL</t>
  </si>
  <si>
    <t>EDBFDO</t>
  </si>
  <si>
    <t>ZRCVEA</t>
  </si>
  <si>
    <t>RGVUDC</t>
  </si>
  <si>
    <t>GPDGJE</t>
  </si>
  <si>
    <t>ZZKNTF</t>
  </si>
  <si>
    <t>VKPTVI</t>
  </si>
  <si>
    <t>WKGOJH</t>
  </si>
  <si>
    <t>HRXJOH</t>
  </si>
  <si>
    <t>MRYOCX</t>
  </si>
  <si>
    <t>DYSGDU</t>
  </si>
  <si>
    <t>DGVWBC</t>
  </si>
  <si>
    <t>IRXVWD</t>
  </si>
  <si>
    <t>RRDZRO</t>
  </si>
  <si>
    <t>IAQGNS</t>
  </si>
  <si>
    <t>UAQFNB</t>
  </si>
  <si>
    <t>WOHJUW</t>
  </si>
  <si>
    <t>IKPJVU</t>
  </si>
  <si>
    <t>HTGOJX</t>
  </si>
  <si>
    <t>LRHACF</t>
  </si>
  <si>
    <t>LGTPDC</t>
  </si>
  <si>
    <t>ZDCVRA</t>
  </si>
  <si>
    <t>GRDFVO</t>
  </si>
  <si>
    <t>HRBVUD</t>
  </si>
  <si>
    <t>KDIDRJ</t>
  </si>
  <si>
    <t>TZKEPA</t>
  </si>
  <si>
    <t>IZCEPA</t>
  </si>
  <si>
    <t>WKGUJH</t>
  </si>
  <si>
    <t>YKWSJF</t>
  </si>
  <si>
    <t>ITPJVU</t>
  </si>
  <si>
    <t>LKTAYD</t>
  </si>
  <si>
    <t>QYSMMH</t>
  </si>
  <si>
    <t>DDXVWB</t>
  </si>
  <si>
    <t>EPDYJV</t>
  </si>
  <si>
    <t>QLCWBM</t>
  </si>
  <si>
    <t>IKPJVR</t>
  </si>
  <si>
    <t>KXJOWP</t>
  </si>
  <si>
    <t>YTHSJF</t>
  </si>
  <si>
    <t>ZBCRMZ</t>
  </si>
  <si>
    <t>BGTMUI</t>
  </si>
  <si>
    <t>MYRPDU</t>
  </si>
  <si>
    <t>GDBFVO</t>
  </si>
  <si>
    <t>RCLHRF</t>
  </si>
  <si>
    <t>UZLUDJ</t>
  </si>
  <si>
    <t>AZKITF</t>
  </si>
  <si>
    <t>VZCNTY</t>
  </si>
  <si>
    <t>IKWSJF</t>
  </si>
  <si>
    <t>TBJOHP</t>
  </si>
  <si>
    <t>ILCWAR</t>
  </si>
  <si>
    <t>UMDYOD</t>
  </si>
  <si>
    <t>LMDIOD</t>
  </si>
  <si>
    <t>RPBYJV</t>
  </si>
  <si>
    <t>DRDFVO</t>
  </si>
  <si>
    <t>RCLTRF</t>
  </si>
  <si>
    <t>TNPBJR</t>
  </si>
  <si>
    <t>KXJUWP</t>
  </si>
  <si>
    <t>CKHJOW</t>
  </si>
  <si>
    <t>ITHSJF</t>
  </si>
  <si>
    <t>BBCOHP</t>
  </si>
  <si>
    <t>CMCTOB</t>
  </si>
  <si>
    <t>CUCRMI</t>
  </si>
  <si>
    <t>DCLHDF</t>
  </si>
  <si>
    <t>NFHVES</t>
  </si>
  <si>
    <t>FFHXRG</t>
  </si>
  <si>
    <t>CBUMVI</t>
  </si>
  <si>
    <t>ANACJV</t>
  </si>
  <si>
    <t>NKWSVC</t>
  </si>
  <si>
    <t>CTXJOH</t>
  </si>
  <si>
    <t>NRPCVU</t>
  </si>
  <si>
    <t>LXDUBL</t>
  </si>
  <si>
    <t>BDBFVO</t>
  </si>
  <si>
    <t>IRDFVO</t>
  </si>
  <si>
    <t>NFTVES</t>
  </si>
  <si>
    <t>MIALJV</t>
  </si>
  <si>
    <t>IKPTVI</t>
  </si>
  <si>
    <t>CKHJUW</t>
  </si>
  <si>
    <t>WAWMUB</t>
  </si>
  <si>
    <t>NTHSVC</t>
  </si>
  <si>
    <t>SBCOHP</t>
  </si>
  <si>
    <t>LMCTOB</t>
  </si>
  <si>
    <t>UUCRMI</t>
  </si>
  <si>
    <t>NFHVRS</t>
  </si>
  <si>
    <t>HRDFVO</t>
  </si>
  <si>
    <t>IRDZRO</t>
  </si>
  <si>
    <t>UIALJV</t>
  </si>
  <si>
    <t>INACJV</t>
  </si>
  <si>
    <t>JKWSJF</t>
  </si>
  <si>
    <t>HAHMUR</t>
  </si>
  <si>
    <t>ALCWMA</t>
  </si>
  <si>
    <t>MKTAYO</t>
  </si>
  <si>
    <t>FMUTOJ</t>
  </si>
  <si>
    <t>DDBFVO</t>
  </si>
  <si>
    <t>ZGVRYZ</t>
  </si>
  <si>
    <t>TRCVEA</t>
  </si>
  <si>
    <t>RFVUDY</t>
  </si>
  <si>
    <t>QIUSLO</t>
  </si>
  <si>
    <t>ULCMWB</t>
  </si>
  <si>
    <t>WAWMRO</t>
  </si>
  <si>
    <t>WKWSJF</t>
  </si>
  <si>
    <t>JTHSJF</t>
  </si>
  <si>
    <t>HRXCOH</t>
  </si>
  <si>
    <t>LMRATZ</t>
  </si>
  <si>
    <t>SYTMGD</t>
  </si>
  <si>
    <t>HDCVRA</t>
  </si>
  <si>
    <t>DIVPFO</t>
  </si>
  <si>
    <t>SRYVEK</t>
  </si>
  <si>
    <t>MZLIMF</t>
  </si>
  <si>
    <t>INFECX</t>
  </si>
  <si>
    <t>OKWSVC</t>
  </si>
  <si>
    <t>HTHSJF</t>
  </si>
  <si>
    <t>HTYOCX</t>
  </si>
  <si>
    <t>GGTMUI</t>
  </si>
  <si>
    <t>JXDGZL</t>
  </si>
  <si>
    <t>ZGVDYZ</t>
  </si>
  <si>
    <t>GGVWDC</t>
  </si>
  <si>
    <t>DHVPFO</t>
  </si>
  <si>
    <t>MAQGIS</t>
  </si>
  <si>
    <t>ZZCNTY</t>
  </si>
  <si>
    <t>CXJOWP</t>
  </si>
  <si>
    <t>OTHSVC</t>
  </si>
  <si>
    <t>GTPCVU</t>
  </si>
  <si>
    <t>MULRMI</t>
  </si>
  <si>
    <t>BDVPFO</t>
  </si>
  <si>
    <t>LRCVEA</t>
  </si>
  <si>
    <t>GGVUDC</t>
  </si>
  <si>
    <t>FRDZVO</t>
  </si>
  <si>
    <t>IAQFNB</t>
  </si>
  <si>
    <t>UKWSVC</t>
  </si>
  <si>
    <t>KAWMUB</t>
  </si>
  <si>
    <t>CBJOHP</t>
  </si>
  <si>
    <t>ZTHACF</t>
  </si>
  <si>
    <t>UGTPDC</t>
  </si>
  <si>
    <t>LYTPDU</t>
  </si>
  <si>
    <t>GGVWBC</t>
  </si>
  <si>
    <t>DEAUWR</t>
  </si>
  <si>
    <t>EPDGJV</t>
  </si>
  <si>
    <t>QWGIGU</t>
  </si>
  <si>
    <t>TZCEPA</t>
  </si>
  <si>
    <t>CXJUWP</t>
  </si>
  <si>
    <t>DXJKMY</t>
  </si>
  <si>
    <t>TAHMUR</t>
  </si>
  <si>
    <t>TBCOHP</t>
  </si>
  <si>
    <t>HMRKTZ</t>
  </si>
  <si>
    <t>LKTAID</t>
  </si>
  <si>
    <t>LDCVRA</t>
  </si>
  <si>
    <t>FIVPFD</t>
  </si>
  <si>
    <t>DEAXUR</t>
  </si>
  <si>
    <t>RYLTRZ</t>
  </si>
  <si>
    <t>KAWMRO</t>
  </si>
  <si>
    <t>RRWAYF</t>
  </si>
  <si>
    <t>DBJTMY</t>
  </si>
  <si>
    <t>GTHACF</t>
  </si>
  <si>
    <t>CGTMUI</t>
  </si>
  <si>
    <t>JYTMGS</t>
  </si>
  <si>
    <t>BRAUWD</t>
  </si>
  <si>
    <t>MRXVWD</t>
  </si>
  <si>
    <t>FHVPFD</t>
  </si>
  <si>
    <t>DRDZVO</t>
  </si>
  <si>
    <t>AZCITY</t>
  </si>
  <si>
    <t>BXJKMY</t>
  </si>
  <si>
    <t>KKBMYS</t>
  </si>
  <si>
    <t>KKHAYF</t>
  </si>
  <si>
    <t>ITXCOH</t>
  </si>
  <si>
    <t>UMZTHD</t>
  </si>
  <si>
    <t>GMDIOD</t>
  </si>
  <si>
    <t>FDVPFB</t>
  </si>
  <si>
    <t>JLZXRW</t>
  </si>
  <si>
    <t>MRBVUD</t>
  </si>
  <si>
    <t>NZTVEA</t>
  </si>
  <si>
    <t>MBUMVI</t>
  </si>
  <si>
    <t>DDWAYF</t>
  </si>
  <si>
    <t>LRWAYF</t>
  </si>
  <si>
    <t>TTRMYS</t>
  </si>
  <si>
    <t>NTHAVI</t>
  </si>
  <si>
    <t>DXDURL</t>
  </si>
  <si>
    <t>UMUTOJ</t>
  </si>
  <si>
    <t>MDXVWB</t>
  </si>
  <si>
    <t>JRCVEA</t>
  </si>
  <si>
    <t>JLZBRU</t>
  </si>
  <si>
    <t>HRDZVO</t>
  </si>
  <si>
    <t>CIALJV</t>
  </si>
  <si>
    <t>RKUMVI</t>
  </si>
  <si>
    <t>KKOMYS</t>
  </si>
  <si>
    <t>BKPYGV</t>
  </si>
  <si>
    <t>LKHAYF</t>
  </si>
  <si>
    <t>HJHMUR</t>
  </si>
  <si>
    <t>UMCTOB</t>
  </si>
  <si>
    <t>JLZXDW</t>
  </si>
  <si>
    <t>PEUYLD</t>
  </si>
  <si>
    <t>TRYVEK</t>
  </si>
  <si>
    <t>LDWAYF</t>
  </si>
  <si>
    <t>ALYTAW</t>
  </si>
  <si>
    <t>RTPYGV</t>
  </si>
  <si>
    <t>CTHACF</t>
  </si>
  <si>
    <t>QZDRUD</t>
  </si>
  <si>
    <t>LMUTOJ</t>
  </si>
  <si>
    <t>JICVRA</t>
  </si>
  <si>
    <t>PEXYLD</t>
  </si>
  <si>
    <t>SFVRGS</t>
  </si>
  <si>
    <t>OKPYGV</t>
  </si>
  <si>
    <t>RLYTAB</t>
  </si>
  <si>
    <t>ALYWAH</t>
  </si>
  <si>
    <t>HTHACF</t>
  </si>
  <si>
    <t>LMDYTF</t>
  </si>
  <si>
    <t>MKTAIO</t>
  </si>
  <si>
    <t>JRDFVO</t>
  </si>
  <si>
    <t>DHVPZO</t>
  </si>
  <si>
    <t>UBUMVI</t>
  </si>
  <si>
    <t>QIUBLO</t>
  </si>
  <si>
    <t>KKWAGC</t>
  </si>
  <si>
    <t>KLYWAR</t>
  </si>
  <si>
    <t>OTHAVI</t>
  </si>
  <si>
    <t>KGTMUI</t>
  </si>
  <si>
    <t>IGVWBC</t>
  </si>
  <si>
    <t>DRXVQD</t>
  </si>
  <si>
    <t>FFVUDY</t>
  </si>
  <si>
    <t>CAQGIS</t>
  </si>
  <si>
    <t>MZLIMY</t>
  </si>
  <si>
    <t>DLYTAO</t>
  </si>
  <si>
    <t>BRWAYF</t>
  </si>
  <si>
    <t>TTHAGC</t>
  </si>
  <si>
    <t>IBCOHP</t>
  </si>
  <si>
    <t>UCLNMY</t>
  </si>
  <si>
    <t>YYTMGS</t>
  </si>
  <si>
    <t>JIBFVO</t>
  </si>
  <si>
    <t>LRDFED</t>
  </si>
  <si>
    <t>DRBVQD</t>
  </si>
  <si>
    <t>MAQFIB</t>
  </si>
  <si>
    <t>KXYUWP</t>
  </si>
  <si>
    <t>RKHAYF</t>
  </si>
  <si>
    <t>TJHMUR</t>
  </si>
  <si>
    <t>IMZTHD</t>
  </si>
  <si>
    <t>LULRMI</t>
  </si>
  <si>
    <t>VRDLCV</t>
  </si>
  <si>
    <t>DEKXUR</t>
  </si>
  <si>
    <t>ODWAYF</t>
  </si>
  <si>
    <t>ZKPYGV</t>
  </si>
  <si>
    <t>TBYUHP</t>
  </si>
  <si>
    <t>DBCTMZ</t>
  </si>
  <si>
    <t>MGTMUI</t>
  </si>
  <si>
    <t>GYTPDU</t>
  </si>
  <si>
    <t>LIBFRB</t>
  </si>
  <si>
    <t>VRDFVO</t>
  </si>
  <si>
    <t>ZHVPZD</t>
  </si>
  <si>
    <t>QWFIFU</t>
  </si>
  <si>
    <t>KXYRWP</t>
  </si>
  <si>
    <t>LRSYUQ</t>
  </si>
  <si>
    <t>ZTPYGV</t>
  </si>
  <si>
    <t>KKHJZF</t>
  </si>
  <si>
    <t>DKTAYR</t>
  </si>
  <si>
    <t>PAJWLV</t>
  </si>
  <si>
    <t>RLMLWB</t>
  </si>
  <si>
    <t>XRQAYF</t>
  </si>
  <si>
    <t>LKSYUQ</t>
  </si>
  <si>
    <t>TTRMZA</t>
  </si>
  <si>
    <t>DMZEHD</t>
  </si>
  <si>
    <t>UYTMGS</t>
  </si>
  <si>
    <t>VIBFVO</t>
  </si>
  <si>
    <t>QRDFED</t>
  </si>
  <si>
    <t>PAJULV</t>
  </si>
  <si>
    <t>JLSBRU</t>
  </si>
  <si>
    <t>FBUMVI</t>
  </si>
  <si>
    <t>LDSYRQ</t>
  </si>
  <si>
    <t>XRSYUQ</t>
  </si>
  <si>
    <t>BKQAYF</t>
  </si>
  <si>
    <t>LKHJZF</t>
  </si>
  <si>
    <t>QHMDVE</t>
  </si>
  <si>
    <t>GMZTHD</t>
  </si>
  <si>
    <t>DGVQDC</t>
  </si>
  <si>
    <t>JRYVEK</t>
  </si>
  <si>
    <t>CZLIMF</t>
  </si>
  <si>
    <t>XDQAYF</t>
  </si>
  <si>
    <t>RPNBRA</t>
  </si>
  <si>
    <t>BKSYUQ</t>
  </si>
  <si>
    <t>RTPZYV</t>
  </si>
  <si>
    <t>DMCEOB</t>
  </si>
  <si>
    <t>QIBFRB</t>
  </si>
  <si>
    <t>MQRDJV</t>
  </si>
  <si>
    <t>PEXGLD</t>
  </si>
  <si>
    <t>RIALJV</t>
  </si>
  <si>
    <t>XDSYRQ</t>
  </si>
  <si>
    <t>CRQAYF</t>
  </si>
  <si>
    <t>KPNRKA</t>
  </si>
  <si>
    <t>JLZWJH</t>
  </si>
  <si>
    <t>MKEAIU</t>
  </si>
  <si>
    <t>GMUTOJ</t>
  </si>
  <si>
    <t>BGVQBC</t>
  </si>
  <si>
    <t>NGVRYZ</t>
  </si>
  <si>
    <t>DPNODA</t>
  </si>
  <si>
    <t>RKQAGC</t>
  </si>
  <si>
    <t>CKQAYF</t>
  </si>
  <si>
    <t>KLZWJR</t>
  </si>
  <si>
    <t>CUIMEM</t>
  </si>
  <si>
    <t>QZDRGD</t>
  </si>
  <si>
    <t>MQIBJV</t>
  </si>
  <si>
    <t>SSDUZO</t>
  </si>
  <si>
    <t>JRDZVO</t>
  </si>
  <si>
    <t>FZLIMF</t>
  </si>
  <si>
    <t>RIFELX</t>
  </si>
  <si>
    <t>CDQAYF</t>
  </si>
  <si>
    <t>WOQKVH</t>
  </si>
  <si>
    <t>KTQAGC</t>
  </si>
  <si>
    <t>TTHJYI</t>
  </si>
  <si>
    <t>IGEHDH</t>
  </si>
  <si>
    <t>LMDITF</t>
  </si>
  <si>
    <t>NGVIYZ</t>
  </si>
  <si>
    <t>RRLYZF</t>
  </si>
  <si>
    <t>SSDXZO</t>
  </si>
  <si>
    <t>FAQGIS</t>
  </si>
  <si>
    <t>DKQAGC</t>
  </si>
  <si>
    <t>ROQKVH</t>
  </si>
  <si>
    <t>HOQTVX</t>
  </si>
  <si>
    <t>RKHJZF</t>
  </si>
  <si>
    <t>CENOSM</t>
  </si>
  <si>
    <t>KYTMGS</t>
  </si>
  <si>
    <t>SSBUZO</t>
  </si>
  <si>
    <t>ISDUZO</t>
  </si>
  <si>
    <t>LRDZED</t>
  </si>
  <si>
    <t>EZLEUA</t>
  </si>
  <si>
    <t>RAQFIB</t>
  </si>
  <si>
    <t>WUQKVH</t>
  </si>
  <si>
    <t>KOQTVX</t>
  </si>
  <si>
    <t>TBZUHP</t>
  </si>
  <si>
    <t>UKEAYQ</t>
  </si>
  <si>
    <t>GULNMI</t>
  </si>
  <si>
    <t>IILYZF</t>
  </si>
  <si>
    <t>HSDXZO</t>
  </si>
  <si>
    <t>VRDLYV</t>
  </si>
  <si>
    <t>ENUSLO</t>
  </si>
  <si>
    <t>MLLWBM</t>
  </si>
  <si>
    <t>DUQKVH</t>
  </si>
  <si>
    <t>CLYTAL</t>
  </si>
  <si>
    <t>ZBYTTZ</t>
  </si>
  <si>
    <t>STPZYV</t>
  </si>
  <si>
    <t>SMZTHD</t>
  </si>
  <si>
    <t>DSBUZO</t>
  </si>
  <si>
    <t>UIZPUF</t>
  </si>
  <si>
    <t>VRDZVO</t>
  </si>
  <si>
    <t>YIUBLO</t>
  </si>
  <si>
    <t>CLYWAL</t>
  </si>
  <si>
    <t>LKAZUQ</t>
  </si>
  <si>
    <t>AKEAYX</t>
  </si>
  <si>
    <t>MYTMGS</t>
  </si>
  <si>
    <t>YGJPRS</t>
  </si>
  <si>
    <t>XHZPXF</t>
  </si>
  <si>
    <t>PKJULV</t>
  </si>
  <si>
    <t>ENXLEU</t>
  </si>
  <si>
    <t>WLLWBL</t>
  </si>
  <si>
    <t>NKPYGV</t>
  </si>
  <si>
    <t>BKQJZF</t>
  </si>
  <si>
    <t>UMDYEF</t>
  </si>
  <si>
    <t>DKTAIR</t>
  </si>
  <si>
    <t>UDZPUF</t>
  </si>
  <si>
    <t>RRDUBD</t>
  </si>
  <si>
    <t>QRDZED</t>
  </si>
  <si>
    <t>EBPMVI</t>
  </si>
  <si>
    <t>MIUBLO</t>
  </si>
  <si>
    <t>NTPYGV</t>
  </si>
  <si>
    <t>BKAZUQ</t>
  </si>
  <si>
    <t>YGJPIS</t>
  </si>
  <si>
    <t>LSDUZO</t>
  </si>
  <si>
    <t>RRDXID</t>
  </si>
  <si>
    <t>DFVQDY</t>
  </si>
  <si>
    <t>ENAKJV</t>
  </si>
  <si>
    <t>RKPYGV</t>
  </si>
  <si>
    <t>KPNRKJ</t>
  </si>
  <si>
    <t>LMKMDU</t>
  </si>
  <si>
    <t>RGZYDC</t>
  </si>
  <si>
    <t>LSDXZO</t>
  </si>
  <si>
    <t>ENPSJC</t>
  </si>
  <si>
    <t>RZLIMY</t>
  </si>
  <si>
    <t>WRSYUQ</t>
  </si>
  <si>
    <t>KTPYGV</t>
  </si>
  <si>
    <t>IKQJZF</t>
  </si>
  <si>
    <t>DMUEOJ</t>
  </si>
  <si>
    <t>LSBUZO</t>
  </si>
  <si>
    <t>WRCZBE</t>
  </si>
  <si>
    <t>NFVRGS</t>
  </si>
  <si>
    <t>YIUBJR</t>
  </si>
  <si>
    <t>DKPYGV</t>
  </si>
  <si>
    <t>QKBUYS</t>
  </si>
  <si>
    <t>HKSYUQ</t>
  </si>
  <si>
    <t>KTQJYI</t>
  </si>
  <si>
    <t>MKEASG</t>
  </si>
  <si>
    <t>IGZYBC</t>
  </si>
  <si>
    <t>ISFZYD</t>
  </si>
  <si>
    <t>AADXSO</t>
  </si>
  <si>
    <t>EZKNMF</t>
  </si>
  <si>
    <t>WDSYRQ</t>
  </si>
  <si>
    <t>UKPYGV</t>
  </si>
  <si>
    <t>QTRUYS</t>
  </si>
  <si>
    <t>IGKMUI</t>
  </si>
  <si>
    <t>UGSMEM</t>
  </si>
  <si>
    <t>GSDUZO</t>
  </si>
  <si>
    <t>HSFZYD</t>
  </si>
  <si>
    <t>RRLGSZ</t>
  </si>
  <si>
    <t>EAQGNS</t>
  </si>
  <si>
    <t>YZLIMY</t>
  </si>
  <si>
    <t>QKORYS</t>
  </si>
  <si>
    <t>ZRQAYF</t>
  </si>
  <si>
    <t>UTPYGV</t>
  </si>
  <si>
    <t>ICLNMY</t>
  </si>
  <si>
    <t>DSFZYB</t>
  </si>
  <si>
    <t>BPDRAZ</t>
  </si>
  <si>
    <t>GSDXZO</t>
  </si>
  <si>
    <t>HADXSO</t>
  </si>
  <si>
    <t>DZKEPA</t>
  </si>
  <si>
    <t>YAQFIB</t>
  </si>
  <si>
    <t>ZKQAYF</t>
  </si>
  <si>
    <t>UENOBM</t>
  </si>
  <si>
    <t>GSBUZO</t>
  </si>
  <si>
    <t>SCKLSU</t>
  </si>
  <si>
    <t>IPDRAZ</t>
  </si>
  <si>
    <t>LRYSIE</t>
  </si>
  <si>
    <t>DNAKJV</t>
  </si>
  <si>
    <t>ZDQAYF</t>
  </si>
  <si>
    <t>URQAYF</t>
  </si>
  <si>
    <t>ILZWJL</t>
  </si>
  <si>
    <t>GKEAIQ</t>
  </si>
  <si>
    <t>EPBIAZ</t>
  </si>
  <si>
    <t>DSDUZO</t>
  </si>
  <si>
    <t>SCKLSX</t>
  </si>
  <si>
    <t>XHSPXZ</t>
  </si>
  <si>
    <t>BBPMVI</t>
  </si>
  <si>
    <t>ENUBLO</t>
  </si>
  <si>
    <t>DXYRQP</t>
  </si>
  <si>
    <t>CRSYUQ</t>
  </si>
  <si>
    <t>UKQAYF</t>
  </si>
  <si>
    <t>HKEAYH</t>
  </si>
  <si>
    <t>SMDIEF</t>
  </si>
  <si>
    <t>SRDUBD</t>
  </si>
  <si>
    <t>DSDXZO</t>
  </si>
  <si>
    <t>GFJPRA</t>
  </si>
  <si>
    <t>AZKEPA</t>
  </si>
  <si>
    <t>ELLWBU</t>
  </si>
  <si>
    <t>RDQAYF</t>
  </si>
  <si>
    <t>NKQAGC</t>
  </si>
  <si>
    <t>CKSYUQ</t>
  </si>
  <si>
    <t>NTPZYV</t>
  </si>
  <si>
    <t>ILVEDQ</t>
  </si>
  <si>
    <t>AKEAIX</t>
  </si>
  <si>
    <t>BSBUZO</t>
  </si>
  <si>
    <t>MQDREX</t>
  </si>
  <si>
    <t>SRDXID</t>
  </si>
  <si>
    <t>ZBPMTI</t>
  </si>
  <si>
    <t>CDSYRQ</t>
  </si>
  <si>
    <t>RRSYUQ</t>
  </si>
  <si>
    <t>GBZUQP</t>
  </si>
  <si>
    <t>GMDIEF</t>
  </si>
  <si>
    <t>SIBUEB</t>
  </si>
  <si>
    <t>YUKYDA</t>
  </si>
  <si>
    <t>MQDREB</t>
  </si>
  <si>
    <t>LADXSO</t>
  </si>
  <si>
    <t>RAQGNS</t>
  </si>
  <si>
    <t>EKPMVI</t>
  </si>
  <si>
    <t>YRQAYF</t>
  </si>
  <si>
    <t>KKSYUQ</t>
  </si>
  <si>
    <t>KTPZYV</t>
  </si>
  <si>
    <t>HMCEOB</t>
  </si>
  <si>
    <t>MQBIRX</t>
  </si>
  <si>
    <t>YXKYDA</t>
  </si>
  <si>
    <t>RFSGDY</t>
  </si>
  <si>
    <t>BNXKEP</t>
  </si>
  <si>
    <t>ENACJV</t>
  </si>
  <si>
    <t>DDSYRQ</t>
  </si>
  <si>
    <t>QRQAYF</t>
  </si>
  <si>
    <t>YKQAYF</t>
  </si>
  <si>
    <t>HKAZUQ</t>
  </si>
  <si>
    <t>LGKXEU</t>
  </si>
  <si>
    <t>YUKYBA</t>
  </si>
  <si>
    <t>DIZPUQ</t>
  </si>
  <si>
    <t>UGZIIU</t>
  </si>
  <si>
    <t>URYSIE</t>
  </si>
  <si>
    <t>FZKEPA</t>
  </si>
  <si>
    <t>ENPBJR</t>
  </si>
  <si>
    <t>YDQAYF</t>
  </si>
  <si>
    <t>UKQAGC</t>
  </si>
  <si>
    <t>QKQAYF</t>
  </si>
  <si>
    <t>QTRUZA</t>
  </si>
  <si>
    <t>HLDAEM</t>
  </si>
  <si>
    <t>SMDIOD</t>
  </si>
  <si>
    <t>WGZIIW</t>
  </si>
  <si>
    <t>GGZYDC</t>
  </si>
  <si>
    <t>DHZPXQ</t>
  </si>
  <si>
    <t>HAZSGD</t>
  </si>
  <si>
    <t>BNPSKO</t>
  </si>
  <si>
    <t>YLCWBU</t>
  </si>
  <si>
    <t>QDQAYF</t>
  </si>
  <si>
    <t>UTQAGC</t>
  </si>
  <si>
    <t>UTPZYV</t>
  </si>
  <si>
    <t>HGEMUI</t>
  </si>
  <si>
    <t>MUMHDH</t>
  </si>
  <si>
    <t>BDZPUQ</t>
  </si>
  <si>
    <t>FADXSO</t>
  </si>
  <si>
    <t>EZCNMY</t>
  </si>
  <si>
    <t>KOQKVH</t>
  </si>
  <si>
    <t>SKQJZF</t>
  </si>
  <si>
    <t>CYEBNB</t>
  </si>
  <si>
    <t>GGZYBC</t>
  </si>
  <si>
    <t>IISACD</t>
  </si>
  <si>
    <t>IPDRKS</t>
  </si>
  <si>
    <t>EAQFNB</t>
  </si>
  <si>
    <t>DXYKKZ</t>
  </si>
  <si>
    <t>TOQTVX</t>
  </si>
  <si>
    <t>QGEHDC</t>
  </si>
  <si>
    <t>SULNMI</t>
  </si>
  <si>
    <t>SBCZBE</t>
  </si>
  <si>
    <t>HHSACD</t>
  </si>
  <si>
    <t>AYCLAX</t>
  </si>
  <si>
    <t>TNPSKO</t>
  </si>
  <si>
    <t>DZCEPA</t>
  </si>
  <si>
    <t>DBYTTZ</t>
  </si>
  <si>
    <t>UKQJZF</t>
  </si>
  <si>
    <t>KMCEOB</t>
  </si>
  <si>
    <t>MMDIOM</t>
  </si>
  <si>
    <t>MSFZYD</t>
  </si>
  <si>
    <t>SICZIE</t>
  </si>
  <si>
    <t>DADXSO</t>
  </si>
  <si>
    <t>ARGYPO</t>
  </si>
  <si>
    <t>DNACJV</t>
  </si>
  <si>
    <t>BKQSVC</t>
  </si>
  <si>
    <t>IKAZUQ</t>
  </si>
  <si>
    <t>BAOEVM</t>
  </si>
  <si>
    <t>HMDIEF</t>
  </si>
  <si>
    <t>SICZER</t>
  </si>
  <si>
    <t>DBLYZF</t>
  </si>
  <si>
    <t>ARDXID</t>
  </si>
  <si>
    <t>TLXKEP</t>
  </si>
  <si>
    <t>KKPMVI</t>
  </si>
  <si>
    <t>NPNGKS</t>
  </si>
  <si>
    <t>RTQSVC</t>
  </si>
  <si>
    <t>NTQJYI</t>
  </si>
  <si>
    <t>CGEPWC</t>
  </si>
  <si>
    <t>HKEAIH</t>
  </si>
  <si>
    <t>MSFZYB</t>
  </si>
  <si>
    <t>AMCZBE</t>
  </si>
  <si>
    <t>DILYZF</t>
  </si>
  <si>
    <t>ANXKEP</t>
  </si>
  <si>
    <t>AZCEPA</t>
  </si>
  <si>
    <t>OKQSVC</t>
  </si>
  <si>
    <t>KKAZUQ</t>
  </si>
  <si>
    <t>GXWUKP</t>
  </si>
  <si>
    <t>SLVEDQ</t>
  </si>
  <si>
    <t>BILYZF</t>
  </si>
  <si>
    <t>WSDUZO</t>
  </si>
  <si>
    <t>AMCZIE</t>
  </si>
  <si>
    <t>GXCGDK</t>
  </si>
  <si>
    <t>TNAKJT</t>
  </si>
  <si>
    <t>ZKPMTI</t>
  </si>
  <si>
    <t>PPNGKS</t>
  </si>
  <si>
    <t>ZKQJZF</t>
  </si>
  <si>
    <t>MMDLUE</t>
  </si>
  <si>
    <t>AMCZER</t>
  </si>
  <si>
    <t>SGZYDC</t>
  </si>
  <si>
    <t>USDXZO</t>
  </si>
  <si>
    <t>UFSIIU</t>
  </si>
  <si>
    <t>GAQFNB</t>
  </si>
  <si>
    <t>FKPJVE</t>
  </si>
  <si>
    <t>QKQJZF</t>
  </si>
  <si>
    <t>XMZEPW</t>
  </si>
  <si>
    <t>HMUEOJ</t>
  </si>
  <si>
    <t>WSBUZO</t>
  </si>
  <si>
    <t>ASDUZO</t>
  </si>
  <si>
    <t>DHSPXQ</t>
  </si>
  <si>
    <t>TNGEKX</t>
  </si>
  <si>
    <t>KNXCEP</t>
  </si>
  <si>
    <t>FTPJVE</t>
  </si>
  <si>
    <t>UTQJYI</t>
  </si>
  <si>
    <t>SGZYBC</t>
  </si>
  <si>
    <t>DSFZYD</t>
  </si>
  <si>
    <t>ASDXZO</t>
  </si>
  <si>
    <t>FFSGDY</t>
  </si>
  <si>
    <t>TZQAXE</t>
  </si>
  <si>
    <t>YZCEPA</t>
  </si>
  <si>
    <t>EAQUEB</t>
  </si>
  <si>
    <t>XMWYTF</t>
  </si>
  <si>
    <t>ASBUZO</t>
  </si>
  <si>
    <t>KMDUBD</t>
  </si>
  <si>
    <t>CIYSIE</t>
  </si>
  <si>
    <t>KNPBCO</t>
  </si>
  <si>
    <t>WPNGKS</t>
  </si>
  <si>
    <t>EAQUER</t>
  </si>
  <si>
    <t>QCLRMY</t>
  </si>
  <si>
    <t>BSFZYB</t>
  </si>
  <si>
    <t>SSFZYD</t>
  </si>
  <si>
    <t>KMDXID</t>
  </si>
  <si>
    <t>HHAKYD</t>
  </si>
  <si>
    <t>ZNPSJC</t>
  </si>
  <si>
    <t>DAQFNB</t>
  </si>
  <si>
    <t>EAQREO</t>
  </si>
  <si>
    <t>BXJOQP</t>
  </si>
  <si>
    <t>HPNGTS</t>
  </si>
  <si>
    <t>UIEJNJ</t>
  </si>
  <si>
    <t>KMBUEB</t>
  </si>
  <si>
    <t>ZSDUZO</t>
  </si>
  <si>
    <t>AIYSIE</t>
  </si>
  <si>
    <t>ANPSKO</t>
  </si>
  <si>
    <t>NLJTSM</t>
  </si>
  <si>
    <t>RBJOQP</t>
  </si>
  <si>
    <t>CZDKHV</t>
  </si>
  <si>
    <t>QYEHDU</t>
  </si>
  <si>
    <t>SSFZYB</t>
  </si>
  <si>
    <t>ZSDXZO</t>
  </si>
  <si>
    <t>ALKWSQ</t>
  </si>
  <si>
    <t>TNPBCO</t>
  </si>
  <si>
    <t>OXJUQP</t>
  </si>
  <si>
    <t>EXJKUY</t>
  </si>
  <si>
    <t>NLJWSM</t>
  </si>
  <si>
    <t>RTQAVI</t>
  </si>
  <si>
    <t>ZCJRMK</t>
  </si>
  <si>
    <t>KMUEOJ</t>
  </si>
  <si>
    <t>ZSBUZO</t>
  </si>
  <si>
    <t>YMDUBD</t>
  </si>
  <si>
    <t>DILGSZ</t>
  </si>
  <si>
    <t>BZKNMF</t>
  </si>
  <si>
    <t>AGFSPO</t>
  </si>
  <si>
    <t>UKQSVC</t>
  </si>
  <si>
    <t>EBJTUY</t>
  </si>
  <si>
    <t>NPNYTA</t>
  </si>
  <si>
    <t>MWMBDH</t>
  </si>
  <si>
    <t>JAOEVM</t>
  </si>
  <si>
    <t>DGZYDC</t>
  </si>
  <si>
    <t>YMDXID</t>
  </si>
  <si>
    <t>KMYSIE</t>
  </si>
  <si>
    <t>ABPMTI</t>
  </si>
  <si>
    <t>TLXCEP</t>
  </si>
  <si>
    <t>EXJKRY</t>
  </si>
  <si>
    <t>PKPJVE</t>
  </si>
  <si>
    <t>UTQSVC</t>
  </si>
  <si>
    <t>UYEPWU</t>
  </si>
  <si>
    <t>YMBUEB</t>
  </si>
  <si>
    <t>MQDMEX</t>
  </si>
  <si>
    <t>UADXSO</t>
  </si>
  <si>
    <t>ONPSKO</t>
  </si>
  <si>
    <t>ANXCEP</t>
  </si>
  <si>
    <t>RKQSVC</t>
  </si>
  <si>
    <t>BAQUEB</t>
  </si>
  <si>
    <t>PTPJVE</t>
  </si>
  <si>
    <t>PPNYTA</t>
  </si>
  <si>
    <t>BMCTOB</t>
  </si>
  <si>
    <t>YXWGKP</t>
  </si>
  <si>
    <t>BGZYBC</t>
  </si>
  <si>
    <t>MQDMEB</t>
  </si>
  <si>
    <t>AFSGDY</t>
  </si>
  <si>
    <t>ANPSJC</t>
  </si>
  <si>
    <t>TNACJT</t>
  </si>
  <si>
    <t>BKPJVE</t>
  </si>
  <si>
    <t>RAQUER</t>
  </si>
  <si>
    <t>FTPCVE</t>
  </si>
  <si>
    <t>MOBXPQ</t>
  </si>
  <si>
    <t>VULRMI</t>
  </si>
  <si>
    <t>MQBMRX</t>
  </si>
  <si>
    <t>NGZMMU</t>
  </si>
  <si>
    <t>KADXSO</t>
  </si>
  <si>
    <t>OZKNMF</t>
  </si>
  <si>
    <t>OAQREO</t>
  </si>
  <si>
    <t>WLJMTS</t>
  </si>
  <si>
    <t>RTPJVE</t>
  </si>
  <si>
    <t>BMRPTZ</t>
  </si>
  <si>
    <t>LMDFED</t>
  </si>
  <si>
    <t>MGIQDC</t>
  </si>
  <si>
    <t>TNFECX</t>
  </si>
  <si>
    <t>OKPJVE</t>
  </si>
  <si>
    <t>BKGOJH</t>
  </si>
  <si>
    <t>HLJMWS</t>
  </si>
  <si>
    <t>EJQUER</t>
  </si>
  <si>
    <t>JCMHWP</t>
  </si>
  <si>
    <t>MGIQBC</t>
  </si>
  <si>
    <t>KCKBMF</t>
  </si>
  <si>
    <t>CMDXID</t>
  </si>
  <si>
    <t>ENPSKO</t>
  </si>
  <si>
    <t>XXJKUY</t>
  </si>
  <si>
    <t>RTGOJX</t>
  </si>
  <si>
    <t>HPNYTA</t>
  </si>
  <si>
    <t>BCJRMY</t>
  </si>
  <si>
    <t>XMWITF</t>
  </si>
  <si>
    <t>LMBFRB</t>
  </si>
  <si>
    <t>MMXRQD</t>
  </si>
  <si>
    <t>KCKIMF</t>
  </si>
  <si>
    <t>QLKWVS</t>
  </si>
  <si>
    <t>TAQFNB</t>
  </si>
  <si>
    <t>OKGUJH</t>
  </si>
  <si>
    <t>BPNGKS</t>
  </si>
  <si>
    <t>BBJTUY</t>
  </si>
  <si>
    <t>RBCOQP</t>
  </si>
  <si>
    <t>QULRMI</t>
  </si>
  <si>
    <t>KCKEMF</t>
  </si>
  <si>
    <t>CCKBMF</t>
  </si>
  <si>
    <t>MMBRQD</t>
  </si>
  <si>
    <t>SADXSO</t>
  </si>
  <si>
    <t>ENXKEP</t>
  </si>
  <si>
    <t>ZNPBJR</t>
  </si>
  <si>
    <t>XXJKRY</t>
  </si>
  <si>
    <t>UXJOQP</t>
  </si>
  <si>
    <t>CMWYTF</t>
  </si>
  <si>
    <t>JYTPWU</t>
  </si>
  <si>
    <t>MMXIQB</t>
  </si>
  <si>
    <t>OMCREA</t>
  </si>
  <si>
    <t>CCKIMF</t>
  </si>
  <si>
    <t>EBPMVZ</t>
  </si>
  <si>
    <t>ANPBCO</t>
  </si>
  <si>
    <t>OPNGKS</t>
  </si>
  <si>
    <t>OBGOJH</t>
  </si>
  <si>
    <t>UBJOQP</t>
  </si>
  <si>
    <t>EBCTUZ</t>
  </si>
  <si>
    <t>CKTAYM</t>
  </si>
  <si>
    <t>UZDKHV</t>
  </si>
  <si>
    <t>CCKEMF</t>
  </si>
  <si>
    <t>ZGRMYD</t>
  </si>
  <si>
    <t>GMDXID</t>
  </si>
  <si>
    <t>RXJUQP</t>
  </si>
  <si>
    <t>PXJBUY</t>
  </si>
  <si>
    <t>ORGOJX</t>
  </si>
  <si>
    <t>UTQAVI</t>
  </si>
  <si>
    <t>XGTMUI</t>
  </si>
  <si>
    <t>ZUCRMK</t>
  </si>
  <si>
    <t>OMCIRA</t>
  </si>
  <si>
    <t>AUDYXL</t>
  </si>
  <si>
    <t>DFSGDY</t>
  </si>
  <si>
    <t>ONGEKX</t>
  </si>
  <si>
    <t>KZCNMY</t>
  </si>
  <si>
    <t>UOGUJH</t>
  </si>
  <si>
    <t>UBHLOW</t>
  </si>
  <si>
    <t>PBJRUY</t>
  </si>
  <si>
    <t>PTPCVE</t>
  </si>
  <si>
    <t>ZAWUVO</t>
  </si>
  <si>
    <t>ZGIMYB</t>
  </si>
  <si>
    <t>MCLBMF</t>
  </si>
  <si>
    <t>AXDYBL</t>
  </si>
  <si>
    <t>PTZVPD</t>
  </si>
  <si>
    <t>AKPMTI</t>
  </si>
  <si>
    <t>PXJORY</t>
  </si>
  <si>
    <t>CAWMEB</t>
  </si>
  <si>
    <t>URXLOH</t>
  </si>
  <si>
    <t>RJQUER</t>
  </si>
  <si>
    <t>FMWYTF</t>
  </si>
  <si>
    <t>UMZTPW</t>
  </si>
  <si>
    <t>AUBYXL</t>
  </si>
  <si>
    <t>LGRQDC</t>
  </si>
  <si>
    <t>MCLIMF</t>
  </si>
  <si>
    <t>NFSMMU</t>
  </si>
  <si>
    <t>NCIUDD</t>
  </si>
  <si>
    <t>ONPBCO</t>
  </si>
  <si>
    <t>ROHLUW</t>
  </si>
  <si>
    <t>CAHMER</t>
  </si>
  <si>
    <t>RTPCVE</t>
  </si>
  <si>
    <t>JMUTOJ</t>
  </si>
  <si>
    <t>MCLEMF</t>
  </si>
  <si>
    <t>LIRPFD</t>
  </si>
  <si>
    <t>MFIQDY</t>
  </si>
  <si>
    <t>HRYIVM</t>
  </si>
  <si>
    <t>ANPBJR</t>
  </si>
  <si>
    <t>CAWMEO</t>
  </si>
  <si>
    <t>WBPLVE</t>
  </si>
  <si>
    <t>MRPLVE</t>
  </si>
  <si>
    <t>HLCMWA</t>
  </si>
  <si>
    <t>FGTMUI</t>
  </si>
  <si>
    <t>MOJXPQ</t>
  </si>
  <si>
    <t>LGIQBC</t>
  </si>
  <si>
    <t>AGRMYZ</t>
  </si>
  <si>
    <t>LHRPFD</t>
  </si>
  <si>
    <t>LMDZED</t>
  </si>
  <si>
    <t>OINPVZ</t>
  </si>
  <si>
    <t>OZCNMY</t>
  </si>
  <si>
    <t>MOPLVE</t>
  </si>
  <si>
    <t>NBWSLF</t>
  </si>
  <si>
    <t>RTYOCX</t>
  </si>
  <si>
    <t>MMWYTF</t>
  </si>
  <si>
    <t>JMRPTZ</t>
  </si>
  <si>
    <t>LDIPFB</t>
  </si>
  <si>
    <t>YMDFED</t>
  </si>
  <si>
    <t>CYCIMZ</t>
  </si>
  <si>
    <t>HKLDUR</t>
  </si>
  <si>
    <t>WOPLVE</t>
  </si>
  <si>
    <t>MXLBMY</t>
  </si>
  <si>
    <t>NRHSLF</t>
  </si>
  <si>
    <t>BBCTUZ</t>
  </si>
  <si>
    <t>MMZTPO</t>
  </si>
  <si>
    <t>CUMHWP</t>
  </si>
  <si>
    <t>AGIMYZ</t>
  </si>
  <si>
    <t>CMCREA</t>
  </si>
  <si>
    <t>JXDRBL</t>
  </si>
  <si>
    <t>ENPBCO</t>
  </si>
  <si>
    <t>NOWSLF</t>
  </si>
  <si>
    <t>MBLRMY</t>
  </si>
  <si>
    <t>RPNYTA</t>
  </si>
  <si>
    <t>PKTAYD</t>
  </si>
  <si>
    <t>JUCRMI</t>
  </si>
  <si>
    <t>YMBFRB</t>
  </si>
  <si>
    <t>LUDYAL</t>
  </si>
  <si>
    <t>YYCIMZ</t>
  </si>
  <si>
    <t>PCKNIF</t>
  </si>
  <si>
    <t>QLCWVB</t>
  </si>
  <si>
    <t>MXLOMY</t>
  </si>
  <si>
    <t>YBHLOW</t>
  </si>
  <si>
    <t>MPNGRS</t>
  </si>
  <si>
    <t>UBCOQP</t>
  </si>
  <si>
    <t>ZRAJVT</t>
  </si>
  <si>
    <t>YMWIOD</t>
  </si>
  <si>
    <t>CMCIRA</t>
  </si>
  <si>
    <t>LMCREA</t>
  </si>
  <si>
    <t>LXDYAL</t>
  </si>
  <si>
    <t>OMYREK</t>
  </si>
  <si>
    <t>UINPVZ</t>
  </si>
  <si>
    <t>ENXCEP</t>
  </si>
  <si>
    <t>MPNGOS</t>
  </si>
  <si>
    <t>YRXLOH</t>
  </si>
  <si>
    <t>ORYOCX</t>
  </si>
  <si>
    <t>RNXJOP</t>
  </si>
  <si>
    <t>UMWITF</t>
  </si>
  <si>
    <t>LUBYAL</t>
  </si>
  <si>
    <t>MIRPFE</t>
  </si>
  <si>
    <t>SFRMGD</t>
  </si>
  <si>
    <t>YCKNIF</t>
  </si>
  <si>
    <t>EKPMVZ</t>
  </si>
  <si>
    <t>YOHLUW</t>
  </si>
  <si>
    <t>NWGRGH</t>
  </si>
  <si>
    <t>LNGOJX</t>
  </si>
  <si>
    <t>UKTAIM</t>
  </si>
  <si>
    <t>LMCIRA</t>
  </si>
  <si>
    <t>LMBPRX</t>
  </si>
  <si>
    <t>MHRPFE</t>
  </si>
  <si>
    <t>KXDGBL</t>
  </si>
  <si>
    <t>KGVIRY</t>
  </si>
  <si>
    <t>NTGOGW</t>
  </si>
  <si>
    <t>CBHLOW</t>
  </si>
  <si>
    <t>PNXJOP</t>
  </si>
  <si>
    <t>XYTMGS</t>
  </si>
  <si>
    <t>MDIPFR</t>
  </si>
  <si>
    <t>GGRMYZ</t>
  </si>
  <si>
    <t>LMIPRB</t>
  </si>
  <si>
    <t>MYLIMZ</t>
  </si>
  <si>
    <t>JIZVUD</t>
  </si>
  <si>
    <t>ONFECX</t>
  </si>
  <si>
    <t>MAWMEB</t>
  </si>
  <si>
    <t>CRXLOH</t>
  </si>
  <si>
    <t>IJHMER</t>
  </si>
  <si>
    <t>ZAWGVO</t>
  </si>
  <si>
    <t>LMEPIX</t>
  </si>
  <si>
    <t>LCLBMF</t>
  </si>
  <si>
    <t>LFRQDY</t>
  </si>
  <si>
    <t>UGVIRY</t>
  </si>
  <si>
    <t>COHLUW</t>
  </si>
  <si>
    <t>MAHMER</t>
  </si>
  <si>
    <t>GZJOPA</t>
  </si>
  <si>
    <t>FMWITF</t>
  </si>
  <si>
    <t>GGIMYZ</t>
  </si>
  <si>
    <t>YGRQDC</t>
  </si>
  <si>
    <t>LCLIMF</t>
  </si>
  <si>
    <t>LHRPZD</t>
  </si>
  <si>
    <t>LHVAFC</t>
  </si>
  <si>
    <t>NRIUDD</t>
  </si>
  <si>
    <t>MAWMEO</t>
  </si>
  <si>
    <t>RBGTUO</t>
  </si>
  <si>
    <t>UMWIOD</t>
  </si>
  <si>
    <t>LCLEMF</t>
  </si>
  <si>
    <t>WMBIRX</t>
  </si>
  <si>
    <t>KFRMGS</t>
  </si>
  <si>
    <t>COPLVE</t>
  </si>
  <si>
    <t>CBGOLH</t>
  </si>
  <si>
    <t>NRHALF</t>
  </si>
  <si>
    <t>BZJOPA</t>
  </si>
  <si>
    <t>FYTMGS</t>
  </si>
  <si>
    <t>YGIQBC</t>
  </si>
  <si>
    <t>CGRMYZ</t>
  </si>
  <si>
    <t>UMIHRB</t>
  </si>
  <si>
    <t>GMDZED</t>
  </si>
  <si>
    <t>WAWMEB</t>
  </si>
  <si>
    <t>CRGOLX</t>
  </si>
  <si>
    <t>MBLRMZ</t>
  </si>
  <si>
    <t>ZNGOJX</t>
  </si>
  <si>
    <t>MMWITF</t>
  </si>
  <si>
    <t>WMEDIX</t>
  </si>
  <si>
    <t>YMXRWD</t>
  </si>
  <si>
    <t>YMYREK</t>
  </si>
  <si>
    <t>LGIIRY</t>
  </si>
  <si>
    <t>COGULH</t>
  </si>
  <si>
    <t>HAHMER</t>
  </si>
  <si>
    <t>MPNYRA</t>
  </si>
  <si>
    <t>BLJWRS</t>
  </si>
  <si>
    <t>CGIMYZ</t>
  </si>
  <si>
    <t>DUDYBL</t>
  </si>
  <si>
    <t>YMBRUD</t>
  </si>
  <si>
    <t>LXDGKL</t>
  </si>
  <si>
    <t>DCKITF</t>
  </si>
  <si>
    <t>WAWMEO</t>
  </si>
  <si>
    <t>CPNGRS</t>
  </si>
  <si>
    <t>UNGOJX</t>
  </si>
  <si>
    <t>PKTAID</t>
  </si>
  <si>
    <t>YMXIWB</t>
  </si>
  <si>
    <t>YMCREA</t>
  </si>
  <si>
    <t>DXDYIL</t>
  </si>
  <si>
    <t>LMYREK</t>
  </si>
  <si>
    <t>HGTUDC</t>
  </si>
  <si>
    <t>PRCNIY</t>
  </si>
  <si>
    <t>CPNGOS</t>
  </si>
  <si>
    <t>YBWSLF</t>
  </si>
  <si>
    <t>NWYRYH</t>
  </si>
  <si>
    <t>HZJOPA</t>
  </si>
  <si>
    <t>ZRACVT</t>
  </si>
  <si>
    <t>NXDBYD</t>
  </si>
  <si>
    <t>MHRPZE</t>
  </si>
  <si>
    <t>DGTTRY</t>
  </si>
  <si>
    <t>YRHSLF</t>
  </si>
  <si>
    <t>ILMLWA</t>
  </si>
  <si>
    <t>BNAJVT</t>
  </si>
  <si>
    <t>RNXCOP</t>
  </si>
  <si>
    <t>YMCIRA</t>
  </si>
  <si>
    <t>LMDFRO</t>
  </si>
  <si>
    <t>NBDIYD</t>
  </si>
  <si>
    <t>HHTAFU</t>
  </si>
  <si>
    <t>SRCNIY</t>
  </si>
  <si>
    <t>YOWSLF</t>
  </si>
  <si>
    <t>MBWSLF</t>
  </si>
  <si>
    <t>IRXLOH</t>
  </si>
  <si>
    <t>UGWUOK</t>
  </si>
  <si>
    <t>LNYOCX</t>
  </si>
  <si>
    <t>NXBEYB</t>
  </si>
  <si>
    <t>IGRMYZ</t>
  </si>
  <si>
    <t>FFRMGS</t>
  </si>
  <si>
    <t>MTIUTZ</t>
  </si>
  <si>
    <t>YAWMEB</t>
  </si>
  <si>
    <t>MRHSLF</t>
  </si>
  <si>
    <t>MJHMER</t>
  </si>
  <si>
    <t>BNGOJX</t>
  </si>
  <si>
    <t>PNXCOP</t>
  </si>
  <si>
    <t>LMBFIO</t>
  </si>
  <si>
    <t>YCLHMF</t>
  </si>
  <si>
    <t>HGRMYZ</t>
  </si>
  <si>
    <t>LYLIMZ</t>
  </si>
  <si>
    <t>UXDRBL</t>
  </si>
  <si>
    <t>MOWSLF</t>
  </si>
  <si>
    <t>CXLBMY</t>
  </si>
  <si>
    <t>YAHMER</t>
  </si>
  <si>
    <t>LAQYNB</t>
  </si>
  <si>
    <t>DGIMYZ</t>
  </si>
  <si>
    <t>ZMXRWD</t>
  </si>
  <si>
    <t>YCLTMF</t>
  </si>
  <si>
    <t>GFRQDY</t>
  </si>
  <si>
    <t>GTCTEB</t>
  </si>
  <si>
    <t>YAWMEO</t>
  </si>
  <si>
    <t>YBWSVC</t>
  </si>
  <si>
    <t>CBLRMY</t>
  </si>
  <si>
    <t>USJTGT</t>
  </si>
  <si>
    <t>YZCOPA</t>
  </si>
  <si>
    <t>MGRMYZ</t>
  </si>
  <si>
    <t>ZMBRUD</t>
  </si>
  <si>
    <t>LTZTUD</t>
  </si>
  <si>
    <t>LHVAYR</t>
  </si>
  <si>
    <t>CXLOMY</t>
  </si>
  <si>
    <t>YBGOLH</t>
  </si>
  <si>
    <t>YRHSVC</t>
  </si>
  <si>
    <t>IRYOLX</t>
  </si>
  <si>
    <t>FZJOPA</t>
  </si>
  <si>
    <t>RJYTGO</t>
  </si>
  <si>
    <t>ZMXIWB</t>
  </si>
  <si>
    <t>DIRPFB</t>
  </si>
  <si>
    <t>YFRMGS</t>
  </si>
  <si>
    <t>HTIUTZ</t>
  </si>
  <si>
    <t>DIDYED</t>
  </si>
  <si>
    <t>YOWSVC</t>
  </si>
  <si>
    <t>YXLBMY</t>
  </si>
  <si>
    <t>YRGOLX</t>
  </si>
  <si>
    <t>HJHMER</t>
  </si>
  <si>
    <t>JZCOPA</t>
  </si>
  <si>
    <t>MGIMYZ</t>
  </si>
  <si>
    <t>DMXVWD</t>
  </si>
  <si>
    <t>DHRPFI</t>
  </si>
  <si>
    <t>GMBRUD</t>
  </si>
  <si>
    <t>DTZTUD</t>
  </si>
  <si>
    <t>CFIUDR</t>
  </si>
  <si>
    <t>YOGULH</t>
  </si>
  <si>
    <t>YPNGBS</t>
  </si>
  <si>
    <t>YBLRMY</t>
  </si>
  <si>
    <t>IPNYRA</t>
  </si>
  <si>
    <t>ZNYOCX</t>
  </si>
  <si>
    <t>BDIPFE</t>
  </si>
  <si>
    <t>NWMDJV</t>
  </si>
  <si>
    <t>DMBVUD</t>
  </si>
  <si>
    <t>DXDGIL</t>
  </si>
  <si>
    <t>HCKITF</t>
  </si>
  <si>
    <t>YXLOMY</t>
  </si>
  <si>
    <t>OXLOWP</t>
  </si>
  <si>
    <t>YPNGRS</t>
  </si>
  <si>
    <t>HNXJOP</t>
  </si>
  <si>
    <t>JLCWRB</t>
  </si>
  <si>
    <t>BMXVWB</t>
  </si>
  <si>
    <t>DMCVEA</t>
  </si>
  <si>
    <t>NUMDJV</t>
  </si>
  <si>
    <t>GMYREK</t>
  </si>
  <si>
    <t>IGTUDC</t>
  </si>
  <si>
    <t>DRCITY</t>
  </si>
  <si>
    <t>YPNGOS</t>
  </si>
  <si>
    <t>OKWSLF</t>
  </si>
  <si>
    <t>OBLOHP</t>
  </si>
  <si>
    <t>ZRHALF</t>
  </si>
  <si>
    <t>FBPTTR</t>
  </si>
  <si>
    <t>GNYOCX</t>
  </si>
  <si>
    <t>NWMBJV</t>
  </si>
  <si>
    <t>MIVPZY</t>
  </si>
  <si>
    <t>NBDIGD</t>
  </si>
  <si>
    <t>MGTTRY</t>
  </si>
  <si>
    <t>HFTUDR</t>
  </si>
  <si>
    <t>UXLUWP</t>
  </si>
  <si>
    <t>OLLTSW</t>
  </si>
  <si>
    <t>OTHSLF</t>
  </si>
  <si>
    <t>BNPSVC</t>
  </si>
  <si>
    <t>HZCOPA</t>
  </si>
  <si>
    <t>BMCVRA</t>
  </si>
  <si>
    <t>CYZMVM</t>
  </si>
  <si>
    <t>MHVPZY</t>
  </si>
  <si>
    <t>LMDZRO</t>
  </si>
  <si>
    <t>XGVPDC</t>
  </si>
  <si>
    <t>DFTTGS</t>
  </si>
  <si>
    <t>UKWSLF</t>
  </si>
  <si>
    <t>OKHLOW</t>
  </si>
  <si>
    <t>OLLWSH</t>
  </si>
  <si>
    <t>MRHALF</t>
  </si>
  <si>
    <t>LQPGIT</t>
  </si>
  <si>
    <t>JNACVT</t>
  </si>
  <si>
    <t>MDVPZY</t>
  </si>
  <si>
    <t>ZGVWDW</t>
  </si>
  <si>
    <t>HFRMGS</t>
  </si>
  <si>
    <t>GTNPVZ</t>
  </si>
  <si>
    <t>HHTAYU</t>
  </si>
  <si>
    <t>ULLTSW</t>
  </si>
  <si>
    <t>OAQMEB</t>
  </si>
  <si>
    <t>OTXLOH</t>
  </si>
  <si>
    <t>ZJHMER</t>
  </si>
  <si>
    <t>QBPTTR</t>
  </si>
  <si>
    <t>CVHESM</t>
  </si>
  <si>
    <t>ZGVUDU</t>
  </si>
  <si>
    <t>GYLTMZ</t>
  </si>
  <si>
    <t>XHVAFG</t>
  </si>
  <si>
    <t>UKHLUW</t>
  </si>
  <si>
    <t>OAQMER</t>
  </si>
  <si>
    <t>IBLRMZ</t>
  </si>
  <si>
    <t>RULJWS</t>
  </si>
  <si>
    <t>JNYOCX</t>
  </si>
  <si>
    <t>ZGVWBW</t>
  </si>
  <si>
    <t>YIVPFN</t>
  </si>
  <si>
    <t>CVTESM</t>
  </si>
  <si>
    <t>SMBRUD</t>
  </si>
  <si>
    <t>JTNPVZ</t>
  </si>
  <si>
    <t>UAQMEO</t>
  </si>
  <si>
    <t>OTPJVE</t>
  </si>
  <si>
    <t>ZRHAVI</t>
  </si>
  <si>
    <t>FAQGNS</t>
  </si>
  <si>
    <t>ZAQYNB</t>
  </si>
  <si>
    <t>CVHRSM</t>
  </si>
  <si>
    <t>ZMDFVO</t>
  </si>
  <si>
    <t>YHVPFN</t>
  </si>
  <si>
    <t>MFRMGS</t>
  </si>
  <si>
    <t>MGVPDC</t>
  </si>
  <si>
    <t>FTRTEK</t>
  </si>
  <si>
    <t>UKPJVE</t>
  </si>
  <si>
    <t>YLJTSW</t>
  </si>
  <si>
    <t>OTQSVC</t>
  </si>
  <si>
    <t>ZRYOLX</t>
  </si>
  <si>
    <t>OZJOPA</t>
  </si>
  <si>
    <t>GBCTYT</t>
  </si>
  <si>
    <t>YDVPFN</t>
  </si>
  <si>
    <t>PIVPFU</t>
  </si>
  <si>
    <t>DHRPZI</t>
  </si>
  <si>
    <t>XTCVEB</t>
  </si>
  <si>
    <t>OXJKMY</t>
  </si>
  <si>
    <t>YLJWSH</t>
  </si>
  <si>
    <t>ZBLRMZ</t>
  </si>
  <si>
    <t>DNPSJF</t>
  </si>
  <si>
    <t>FZCOPA</t>
  </si>
  <si>
    <t>ZMBFVO</t>
  </si>
  <si>
    <t>YMDFVO</t>
  </si>
  <si>
    <t>PHVPFX</t>
  </si>
  <si>
    <t>PGVTRY</t>
  </si>
  <si>
    <t>OBJTMY</t>
  </si>
  <si>
    <t>ZPNYRA</t>
  </si>
  <si>
    <t>UNPSVC</t>
  </si>
  <si>
    <t>PDVPFU</t>
  </si>
  <si>
    <t>XTNPVZ</t>
  </si>
  <si>
    <t>UXJKMY</t>
  </si>
  <si>
    <t>DXJOQP</t>
  </si>
  <si>
    <t>OPNGTS</t>
  </si>
  <si>
    <t>FLCRWB</t>
  </si>
  <si>
    <t>YMBFVO</t>
  </si>
  <si>
    <t>LMIMDY</t>
  </si>
  <si>
    <t>DMYVEK</t>
  </si>
  <si>
    <t>DVNEST</t>
  </si>
  <si>
    <t>HRCITY</t>
  </si>
  <si>
    <t>UPNGKS</t>
  </si>
  <si>
    <t>DKPJVE</t>
  </si>
  <si>
    <t>DBJOQP</t>
  </si>
  <si>
    <t>OTHALF</t>
  </si>
  <si>
    <t>UZJNTY</t>
  </si>
  <si>
    <t>HNXCOP</t>
  </si>
  <si>
    <t>BLBJMB</t>
  </si>
  <si>
    <t>ZMDFED</t>
  </si>
  <si>
    <t>LMHMDY</t>
  </si>
  <si>
    <t>MHVPSG</t>
  </si>
  <si>
    <t>XCKNTF</t>
  </si>
  <si>
    <t>IFTUDR</t>
  </si>
  <si>
    <t>BXJUQP</t>
  </si>
  <si>
    <t>AAQMEB</t>
  </si>
  <si>
    <t>DTPJVE</t>
  </si>
  <si>
    <t>OLLWAH</t>
  </si>
  <si>
    <t>QNGOJX</t>
  </si>
  <si>
    <t>FJPTTR</t>
  </si>
  <si>
    <t>LMDMBY</t>
  </si>
  <si>
    <t>YGSMVM</t>
  </si>
  <si>
    <t>OGVPDC</t>
  </si>
  <si>
    <t>MFTTGS</t>
  </si>
  <si>
    <t>PXJOQP</t>
  </si>
  <si>
    <t>AAQMER</t>
  </si>
  <si>
    <t>JZJOPA</t>
  </si>
  <si>
    <t>JNPBVU</t>
  </si>
  <si>
    <t>ZMBFRB</t>
  </si>
  <si>
    <t>ZGIMYZ</t>
  </si>
  <si>
    <t>MCMUDU</t>
  </si>
  <si>
    <t>MTDFVO</t>
  </si>
  <si>
    <t>XFVPDR</t>
  </si>
  <si>
    <t>AAQMEO</t>
  </si>
  <si>
    <t>XAQMUB</t>
  </si>
  <si>
    <t>PBJOQP</t>
  </si>
  <si>
    <t>OJQMER</t>
  </si>
  <si>
    <t>HNPSVC</t>
  </si>
  <si>
    <t>LQPYST</t>
  </si>
  <si>
    <t>ZCLHMF</t>
  </si>
  <si>
    <t>ZGHMYZ</t>
  </si>
  <si>
    <t>YVTEAM</t>
  </si>
  <si>
    <t>OHVAFN</t>
  </si>
  <si>
    <t>FTNPVZ</t>
  </si>
  <si>
    <t>PXJUQP</t>
  </si>
  <si>
    <t>IPNGKS</t>
  </si>
  <si>
    <t>BAQMUR</t>
  </si>
  <si>
    <t>OTPCVE</t>
  </si>
  <si>
    <t>GNQCYP</t>
  </si>
  <si>
    <t>QJPTTR</t>
  </si>
  <si>
    <t>ZGDMYZ</t>
  </si>
  <si>
    <t>ZCLTMF</t>
  </si>
  <si>
    <t>GHVPZN</t>
  </si>
  <si>
    <t>OIZVPD</t>
  </si>
  <si>
    <t>XHVAYF</t>
  </si>
  <si>
    <t>XAQMRO</t>
  </si>
  <si>
    <t>AKHJOQ</t>
  </si>
  <si>
    <t>OTQAVI</t>
  </si>
  <si>
    <t>JNXJOP</t>
  </si>
  <si>
    <t>RGLCWB</t>
  </si>
  <si>
    <t>WMDFVO</t>
  </si>
  <si>
    <t>SMDZVO</t>
  </si>
  <si>
    <t>OXDRBL</t>
  </si>
  <si>
    <t>YXJOQP</t>
  </si>
  <si>
    <t>ATXJOQ</t>
  </si>
  <si>
    <t>ZLCWAH</t>
  </si>
  <si>
    <t>CWPTUV</t>
  </si>
  <si>
    <t>FAQYNB</t>
  </si>
  <si>
    <t>MMBFRM</t>
  </si>
  <si>
    <t>WIVPFW</t>
  </si>
  <si>
    <t>MFVPDR</t>
  </si>
  <si>
    <t>AKHJUQ</t>
  </si>
  <si>
    <t>AKQSJF</t>
  </si>
  <si>
    <t>YBJOQP</t>
  </si>
  <si>
    <t>RRPSJF</t>
  </si>
  <si>
    <t>OZCOPA</t>
  </si>
  <si>
    <t>WMBFVO</t>
  </si>
  <si>
    <t>ZLJVDN</t>
  </si>
  <si>
    <t>UHVPFU</t>
  </si>
  <si>
    <t>GMDZVO</t>
  </si>
  <si>
    <t>XGHXVR</t>
  </si>
  <si>
    <t>XTRVEK</t>
  </si>
  <si>
    <t>YXJUQP</t>
  </si>
  <si>
    <t>DPNGKS</t>
  </si>
  <si>
    <t>ATQSJF</t>
  </si>
  <si>
    <t>OPNYTA</t>
  </si>
  <si>
    <t>JRPSVC</t>
  </si>
  <si>
    <t>DNPBCF</t>
  </si>
  <si>
    <t>WDVPFW</t>
  </si>
  <si>
    <t>EPIDJV</t>
  </si>
  <si>
    <t>PFVTGS</t>
  </si>
  <si>
    <t>DBCOQP</t>
  </si>
  <si>
    <t>CARIPO</t>
  </si>
  <si>
    <t>GNPBVU</t>
  </si>
  <si>
    <t>ZLJVBN</t>
  </si>
  <si>
    <t>WMCVEA</t>
  </si>
  <si>
    <t>JHVAFI</t>
  </si>
  <si>
    <t>UKQSJF</t>
  </si>
  <si>
    <t>DTPCVE</t>
  </si>
  <si>
    <t>CZJRTY</t>
  </si>
  <si>
    <t>HRLCWB</t>
  </si>
  <si>
    <t>MMBLCV</t>
  </si>
  <si>
    <t>LGIUVY</t>
  </si>
  <si>
    <t>UMCVEA</t>
  </si>
  <si>
    <t>SMDZED</t>
  </si>
  <si>
    <t>OCKNIF</t>
  </si>
  <si>
    <t>DVNEBT</t>
  </si>
  <si>
    <t>PIGZQF</t>
  </si>
  <si>
    <t>UTQSJF</t>
  </si>
  <si>
    <t>JJQMER</t>
  </si>
  <si>
    <t>JAQGRS</t>
  </si>
  <si>
    <t>GZCNTI</t>
  </si>
  <si>
    <t>WMCVRA</t>
  </si>
  <si>
    <t>WLDPVM</t>
  </si>
  <si>
    <t>LGHXVY</t>
  </si>
  <si>
    <t>MYMUDU</t>
  </si>
  <si>
    <t>PGVPDC</t>
  </si>
  <si>
    <t>XRCNTY</t>
  </si>
  <si>
    <t>RKQSJF</t>
  </si>
  <si>
    <t>ULHJOQ</t>
  </si>
  <si>
    <t>PBCOQP</t>
  </si>
  <si>
    <t>PZJOPA</t>
  </si>
  <si>
    <t>QNYOCX</t>
  </si>
  <si>
    <t>LGDUVY</t>
  </si>
  <si>
    <t>WGVMYZ</t>
  </si>
  <si>
    <t>ULDPVM</t>
  </si>
  <si>
    <t>QIDFVO</t>
  </si>
  <si>
    <t>OFVPDR</t>
  </si>
  <si>
    <t>PKHJOQ</t>
  </si>
  <si>
    <t>ULXJOQ</t>
  </si>
  <si>
    <t>BJQMUR</t>
  </si>
  <si>
    <t>HRAJVE</t>
  </si>
  <si>
    <t>CZCOPA</t>
  </si>
  <si>
    <t>WLBPVM</t>
  </si>
  <si>
    <t>CFVAHA</t>
  </si>
  <si>
    <t>UGVMYZ</t>
  </si>
  <si>
    <t>SYLTMZ</t>
  </si>
  <si>
    <t>MTDYVO</t>
  </si>
  <si>
    <t>RLHJUQ</t>
  </si>
  <si>
    <t>UKPJVU</t>
  </si>
  <si>
    <t>PTXJOQ</t>
  </si>
  <si>
    <t>GPNYTA</t>
  </si>
  <si>
    <t>PLJWSM</t>
  </si>
  <si>
    <t>HNPBVU</t>
  </si>
  <si>
    <t>NGVWDC</t>
  </si>
  <si>
    <t>CFVATA</t>
  </si>
  <si>
    <t>MMDZEM</t>
  </si>
  <si>
    <t>MHVAFL</t>
  </si>
  <si>
    <t>OHVAYN</t>
  </si>
  <si>
    <t>PKHJUQ</t>
  </si>
  <si>
    <t>UTPJVU</t>
  </si>
  <si>
    <t>JTXCOQ</t>
  </si>
  <si>
    <t>LZJRTY</t>
  </si>
  <si>
    <t>YNQUIP</t>
  </si>
  <si>
    <t>IMCVEA</t>
  </si>
  <si>
    <t>NGVUDC</t>
  </si>
  <si>
    <t>UMDZVO</t>
  </si>
  <si>
    <t>JGVIRY</t>
  </si>
  <si>
    <t>RKPJVR</t>
  </si>
  <si>
    <t>UKGOJH</t>
  </si>
  <si>
    <t>ZBCOQP</t>
  </si>
  <si>
    <t>PBPTER</t>
  </si>
  <si>
    <t>CNXCOP</t>
  </si>
  <si>
    <t>NGVWBC</t>
  </si>
  <si>
    <t>APEVJM</t>
  </si>
  <si>
    <t>HMCVEA</t>
  </si>
  <si>
    <t>KINPVZ</t>
  </si>
  <si>
    <t>UXNPHO</t>
  </si>
  <si>
    <t>UTGOJX</t>
  </si>
  <si>
    <t>JTQACF</t>
  </si>
  <si>
    <t>IRAJVE</t>
  </si>
  <si>
    <t>UWPTGV</t>
  </si>
  <si>
    <t>DMCVRA</t>
  </si>
  <si>
    <t>CGVQTC</t>
  </si>
  <si>
    <t>SLJVDN</t>
  </si>
  <si>
    <t>VGVPDC</t>
  </si>
  <si>
    <t>XIDYED</t>
  </si>
  <si>
    <t>RKGUJH</t>
  </si>
  <si>
    <t>UBNPXO</t>
  </si>
  <si>
    <t>DPNYTA</t>
  </si>
  <si>
    <t>SPJLKS</t>
  </si>
  <si>
    <t>RRPBCF</t>
  </si>
  <si>
    <t>APRVJM</t>
  </si>
  <si>
    <t>GUTYIQ</t>
  </si>
  <si>
    <t>CGVQWC</t>
  </si>
  <si>
    <t>MMDLYV</t>
  </si>
  <si>
    <t>RXNPHU</t>
  </si>
  <si>
    <t>XKQSVC</t>
  </si>
  <si>
    <t>GRXJOP</t>
  </si>
  <si>
    <t>JCLBMF</t>
  </si>
  <si>
    <t>GXWYHQ</t>
  </si>
  <si>
    <t>UMYVEK</t>
  </si>
  <si>
    <t>VHVAFP</t>
  </si>
  <si>
    <t>RPNGKS</t>
  </si>
  <si>
    <t>PKQSJF</t>
  </si>
  <si>
    <t>BTQSVC</t>
  </si>
  <si>
    <t>UTQACF</t>
  </si>
  <si>
    <t>LBPTER</t>
  </si>
  <si>
    <t>UARSPO</t>
  </si>
  <si>
    <t>GUTYDQ</t>
  </si>
  <si>
    <t>UMXVQT</t>
  </si>
  <si>
    <t>VIZVPD</t>
  </si>
  <si>
    <t>JHVAYI</t>
  </si>
  <si>
    <t>PLJTSN</t>
  </si>
  <si>
    <t>PTQSJF</t>
  </si>
  <si>
    <t>PGYSQF</t>
  </si>
  <si>
    <t>IAQGRS</t>
  </si>
  <si>
    <t>UZCRTI</t>
  </si>
  <si>
    <t>JCLEMF</t>
  </si>
  <si>
    <t>XMBVQW</t>
  </si>
  <si>
    <t>VXDRBL</t>
  </si>
  <si>
    <t>ORCNIY</t>
  </si>
  <si>
    <t>AXJKMY</t>
  </si>
  <si>
    <t>PLJWSN</t>
  </si>
  <si>
    <t>ULXCOQ</t>
  </si>
  <si>
    <t>CAQYRB</t>
  </si>
  <si>
    <t>UMTFRO</t>
  </si>
  <si>
    <t>PFVPDR</t>
  </si>
  <si>
    <t>PAQMUB</t>
  </si>
  <si>
    <t>ABJTMY</t>
  </si>
  <si>
    <t>PTXCOQ</t>
  </si>
  <si>
    <t>PZCOPA</t>
  </si>
  <si>
    <t>NCLBMF</t>
  </si>
  <si>
    <t>XMWFRO</t>
  </si>
  <si>
    <t>YZVKTK</t>
  </si>
  <si>
    <t>QIDYVO</t>
  </si>
  <si>
    <t>FKQSJF</t>
  </si>
  <si>
    <t>PAQMUR</t>
  </si>
  <si>
    <t>UTPCVU</t>
  </si>
  <si>
    <t>HRACVE</t>
  </si>
  <si>
    <t>UMTFIO</t>
  </si>
  <si>
    <t>NCLIMF</t>
  </si>
  <si>
    <t>NFVUDY</t>
  </si>
  <si>
    <t>ULLDUR</t>
  </si>
  <si>
    <t>JIDYED</t>
  </si>
  <si>
    <t>PAQMRO</t>
  </si>
  <si>
    <t>PKQSVC</t>
  </si>
  <si>
    <t>FTQSJF</t>
  </si>
  <si>
    <t>HAQGRS</t>
  </si>
  <si>
    <t>NCLEMF</t>
  </si>
  <si>
    <t>CXDIWJ</t>
  </si>
  <si>
    <t>AGRQWC</t>
  </si>
  <si>
    <t>HMYVEK</t>
  </si>
  <si>
    <t>VGVIRY</t>
  </si>
  <si>
    <t>MHVAYL</t>
  </si>
  <si>
    <t>FXJKMY</t>
  </si>
  <si>
    <t>PTQSVC</t>
  </si>
  <si>
    <t>UTYOCX</t>
  </si>
  <si>
    <t>LZCRTI</t>
  </si>
  <si>
    <t>AGIQTC</t>
  </si>
  <si>
    <t>XCKBMI</t>
  </si>
  <si>
    <t>CBDHUJ</t>
  </si>
  <si>
    <t>KPEVJM</t>
  </si>
  <si>
    <t>XVHZID</t>
  </si>
  <si>
    <t>FBJTMY</t>
  </si>
  <si>
    <t>CRAJVE</t>
  </si>
  <si>
    <t>PJPTER</t>
  </si>
  <si>
    <t>CXBDWJ</t>
  </si>
  <si>
    <t>BCKIMH</t>
  </si>
  <si>
    <t>YFVQWY</t>
  </si>
  <si>
    <t>CINPVZ</t>
  </si>
  <si>
    <t>OKQSJF</t>
  </si>
  <si>
    <t>UPNYTA</t>
  </si>
  <si>
    <t>SRACVE</t>
  </si>
  <si>
    <t>XCKEMD</t>
  </si>
  <si>
    <t>MWMADU</t>
  </si>
  <si>
    <t>FXWGHQ</t>
  </si>
  <si>
    <t>MTCTEB</t>
  </si>
  <si>
    <t>VFVPDR</t>
  </si>
  <si>
    <t>NLJTES</t>
  </si>
  <si>
    <t>OTQSJF</t>
  </si>
  <si>
    <t>BTQAVI</t>
  </si>
  <si>
    <t>AMCREA</t>
  </si>
  <si>
    <t>CMBRQW</t>
  </si>
  <si>
    <t>JYLIMZ</t>
  </si>
  <si>
    <t>WHTAFW</t>
  </si>
  <si>
    <t>MIDYED</t>
  </si>
  <si>
    <t>OKHJOQ</t>
  </si>
  <si>
    <t>NLJWES</t>
  </si>
  <si>
    <t>PTQACF</t>
  </si>
  <si>
    <t>UZLOHA</t>
  </si>
  <si>
    <t>YRXCOP</t>
  </si>
  <si>
    <t>CMXIQT</t>
  </si>
  <si>
    <t>MEAUQN</t>
  </si>
  <si>
    <t>HGTTRY</t>
  </si>
  <si>
    <t>VHVAYP</t>
  </si>
  <si>
    <t>OTXJOQ</t>
  </si>
  <si>
    <t>GBHMER</t>
  </si>
  <si>
    <t>LJPTER</t>
  </si>
  <si>
    <t>AMCIRA</t>
  </si>
  <si>
    <t>AMBQRX</t>
  </si>
  <si>
    <t>MEAXQN</t>
  </si>
  <si>
    <t>WXWRBL</t>
  </si>
  <si>
    <t>UKHJUQ</t>
  </si>
  <si>
    <t>JBCTMZ</t>
  </si>
  <si>
    <t>LRALVE</t>
  </si>
  <si>
    <t>SAQYRB</t>
  </si>
  <si>
    <t>MRAUQN</t>
  </si>
  <si>
    <t>KCMWTQ</t>
  </si>
  <si>
    <t>AMIQRB</t>
  </si>
  <si>
    <t>XMWZRO</t>
  </si>
  <si>
    <t>UTCTEB</t>
  </si>
  <si>
    <t>FKGOJH</t>
  </si>
  <si>
    <t>PJQMUR</t>
  </si>
  <si>
    <t>AMEQIX</t>
  </si>
  <si>
    <t>ACKBMF</t>
  </si>
  <si>
    <t>KCMUWQ</t>
  </si>
  <si>
    <t>NYLIMZ</t>
  </si>
  <si>
    <t>ATCTEB</t>
  </si>
  <si>
    <t>LIDYVO</t>
  </si>
  <si>
    <t>QUXEQD</t>
  </si>
  <si>
    <t>FTGOJX</t>
  </si>
  <si>
    <t>FTQACF</t>
  </si>
  <si>
    <t>GMTFED</t>
  </si>
  <si>
    <t>ACKIMF</t>
  </si>
  <si>
    <t>KFRQWY</t>
  </si>
  <si>
    <t>ITZTUW</t>
  </si>
  <si>
    <t>VIDYED</t>
  </si>
  <si>
    <t>FKGUJH</t>
  </si>
  <si>
    <t>KCBWDD</t>
  </si>
  <si>
    <t>QUBEQD</t>
  </si>
  <si>
    <t>PTQAVI</t>
  </si>
  <si>
    <t>QRXLOH</t>
  </si>
  <si>
    <t>ACKEMF</t>
  </si>
  <si>
    <t>CMTFRO</t>
  </si>
  <si>
    <t>YBDHUJ</t>
  </si>
  <si>
    <t>TLWJTD</t>
  </si>
  <si>
    <t>RIZBEM</t>
  </si>
  <si>
    <t>TCRHDD</t>
  </si>
  <si>
    <t>FBCTMZ</t>
  </si>
  <si>
    <t>GAQGRS</t>
  </si>
  <si>
    <t>HAQYRB</t>
  </si>
  <si>
    <t>GMTFRB</t>
  </si>
  <si>
    <t>CIRPFM</t>
  </si>
  <si>
    <t>CMWFRO</t>
  </si>
  <si>
    <t>BYCIMH</t>
  </si>
  <si>
    <t>UCLITF</t>
  </si>
  <si>
    <t>KCRWBB</t>
  </si>
  <si>
    <t>KIZREM</t>
  </si>
  <si>
    <t>CMTFIO</t>
  </si>
  <si>
    <t>UGRMYZ</t>
  </si>
  <si>
    <t>CHRPFM</t>
  </si>
  <si>
    <t>MTWFED</t>
  </si>
  <si>
    <t>DIZREM</t>
  </si>
  <si>
    <t>RJLDWI</t>
  </si>
  <si>
    <t>FRTQEB</t>
  </si>
  <si>
    <t>OTQACF</t>
  </si>
  <si>
    <t>IRHSLF</t>
  </si>
  <si>
    <t>URACVE</t>
  </si>
  <si>
    <t>CDIPFM</t>
  </si>
  <si>
    <t>XPTYJE</t>
  </si>
  <si>
    <t>XGRMYZ</t>
  </si>
  <si>
    <t>YMBRQW</t>
  </si>
  <si>
    <t>QHTAFT</t>
  </si>
  <si>
    <t>DFTPDR</t>
  </si>
  <si>
    <t>VHDIAL</t>
  </si>
  <si>
    <t>KJLDHI</t>
  </si>
  <si>
    <t>NLCWEA</t>
  </si>
  <si>
    <t>IMLLWS</t>
  </si>
  <si>
    <t>UGIMYZ</t>
  </si>
  <si>
    <t>OMTFRO</t>
  </si>
  <si>
    <t>BPWYJE</t>
  </si>
  <si>
    <t>KMYREK</t>
  </si>
  <si>
    <t>ATIUTZ</t>
  </si>
  <si>
    <t>MTRTEK</t>
  </si>
  <si>
    <t>DJLBWI</t>
  </si>
  <si>
    <t>QCJKBY</t>
  </si>
  <si>
    <t>VXDIAL</t>
  </si>
  <si>
    <t>OTXCOQ</t>
  </si>
  <si>
    <t>YLCWMB</t>
  </si>
  <si>
    <t>XPTYJR</t>
  </si>
  <si>
    <t>CMTFED</t>
  </si>
  <si>
    <t>OMWFRO</t>
  </si>
  <si>
    <t>MEKXQN</t>
  </si>
  <si>
    <t>MCLITF</t>
  </si>
  <si>
    <t>WHTAYW</t>
  </si>
  <si>
    <t>VHBIAL</t>
  </si>
  <si>
    <t>WBKQEX</t>
  </si>
  <si>
    <t>QCJTRY</t>
  </si>
  <si>
    <t>OJQMEB</t>
  </si>
  <si>
    <t>HZLRMY</t>
  </si>
  <si>
    <t>GZLOHA</t>
  </si>
  <si>
    <t>OMTFIO</t>
  </si>
  <si>
    <t>OGRMYZ</t>
  </si>
  <si>
    <t>KMIQRB</t>
  </si>
  <si>
    <t>WTCTEB</t>
  </si>
  <si>
    <t>HFTTGS</t>
  </si>
  <si>
    <t>QCJKRY</t>
  </si>
  <si>
    <t>ZCJKBY</t>
  </si>
  <si>
    <t>HRTQEB</t>
  </si>
  <si>
    <t>CMTFRB</t>
  </si>
  <si>
    <t>MMTFRO</t>
  </si>
  <si>
    <t>CYMUWQ</t>
  </si>
  <si>
    <t>RTIESL</t>
  </si>
  <si>
    <t>WRKQEX</t>
  </si>
  <si>
    <t>JGEBIZ</t>
  </si>
  <si>
    <t>ZCJTRY</t>
  </si>
  <si>
    <t>FTYOCX</t>
  </si>
  <si>
    <t>GQYXNO</t>
  </si>
  <si>
    <t>OGIMYZ</t>
  </si>
  <si>
    <t>MMXRQE</t>
  </si>
  <si>
    <t>MMWFRO</t>
  </si>
  <si>
    <t>KYCIMZ</t>
  </si>
  <si>
    <t>HTWFED</t>
  </si>
  <si>
    <t>UTRTEK</t>
  </si>
  <si>
    <t>ZCJKDY</t>
  </si>
  <si>
    <t>VBXEWD</t>
  </si>
  <si>
    <t>JGERIZ</t>
  </si>
  <si>
    <t>CZLNMY</t>
  </si>
  <si>
    <t>MMTFIO</t>
  </si>
  <si>
    <t>QIRPFD</t>
  </si>
  <si>
    <t>MMBRQE</t>
  </si>
  <si>
    <t>FMWZED</t>
  </si>
  <si>
    <t>IHVAFU</t>
  </si>
  <si>
    <t>ATRTEK</t>
  </si>
  <si>
    <t>JGEDIZ</t>
  </si>
  <si>
    <t>WGEBIZ</t>
  </si>
  <si>
    <t>VRBEHD</t>
  </si>
  <si>
    <t>TIRHDD</t>
  </si>
  <si>
    <t>BRYOLX</t>
  </si>
  <si>
    <t>MMXIQR</t>
  </si>
  <si>
    <t>XBPKJR</t>
  </si>
  <si>
    <t>QHRPFD</t>
  </si>
  <si>
    <t>YMWZRO</t>
  </si>
  <si>
    <t>VDXEWB</t>
  </si>
  <si>
    <t>HGERIZ</t>
  </si>
  <si>
    <t>WZLOHA</t>
  </si>
  <si>
    <t>QDIPFB</t>
  </si>
  <si>
    <t>BIPKJR</t>
  </si>
  <si>
    <t>YHRPZM</t>
  </si>
  <si>
    <t>WGEDIZ</t>
  </si>
  <si>
    <t>DBDYOD</t>
  </si>
  <si>
    <t>UNHSLF</t>
  </si>
  <si>
    <t>YAQYRB</t>
  </si>
  <si>
    <t>XEPKJI</t>
  </si>
  <si>
    <t>LHGEKU</t>
  </si>
  <si>
    <t>ITXKEQ</t>
  </si>
  <si>
    <t>XFRMGS</t>
  </si>
  <si>
    <t>VTCVEB</t>
  </si>
  <si>
    <t>URLITY</t>
  </si>
  <si>
    <t>LDEPYC</t>
  </si>
  <si>
    <t>JGBWDC</t>
  </si>
  <si>
    <t>GZLNMY</t>
  </si>
  <si>
    <t>LUOIRY</t>
  </si>
  <si>
    <t>LTGEKX</t>
  </si>
  <si>
    <t>BPWGJE</t>
  </si>
  <si>
    <t>ITWFED</t>
  </si>
  <si>
    <t>MTWYED</t>
  </si>
  <si>
    <t>BDBYUB</t>
  </si>
  <si>
    <t>LGBBIZ</t>
  </si>
  <si>
    <t>NNGOLX</t>
  </si>
  <si>
    <t>SRHBLF</t>
  </si>
  <si>
    <t>LHGRKU</t>
  </si>
  <si>
    <t>LPNGHS</t>
  </si>
  <si>
    <t>QTXKEQ</t>
  </si>
  <si>
    <t>OMWZRO</t>
  </si>
  <si>
    <t>FTIUVZ</t>
  </si>
  <si>
    <t>QHTAYT</t>
  </si>
  <si>
    <t>JGDWBC</t>
  </si>
  <si>
    <t>DCJBUY</t>
  </si>
  <si>
    <t>LGRRIZ</t>
  </si>
  <si>
    <t>QICTRZ</t>
  </si>
  <si>
    <t>YNHSVC</t>
  </si>
  <si>
    <t>YMWZED</t>
  </si>
  <si>
    <t>KTZVUW</t>
  </si>
  <si>
    <t>LGDDIZ</t>
  </si>
  <si>
    <t>RGUWDC</t>
  </si>
  <si>
    <t>DCJRUY</t>
  </si>
  <si>
    <t>BAGRYE</t>
  </si>
  <si>
    <t>OFRMGS</t>
  </si>
  <si>
    <t>ICKITF</t>
  </si>
  <si>
    <t>MRLITY</t>
  </si>
  <si>
    <t>BCJODY</t>
  </si>
  <si>
    <t>DGUUIZ</t>
  </si>
  <si>
    <t>KGUHDC</t>
  </si>
  <si>
    <t>SICTRZ</t>
  </si>
  <si>
    <t>HZLRMI</t>
  </si>
  <si>
    <t>IAGRYE</t>
  </si>
  <si>
    <t>MMWZRO</t>
  </si>
  <si>
    <t>HTCVEB</t>
  </si>
  <si>
    <t>WTRTEK</t>
  </si>
  <si>
    <t>RRUPYW</t>
  </si>
  <si>
    <t>NNXLOH</t>
  </si>
  <si>
    <t>EAGIYR</t>
  </si>
  <si>
    <t>XHGEKU</t>
  </si>
  <si>
    <t>UTWFVO</t>
  </si>
  <si>
    <t>GTIEBL</t>
  </si>
  <si>
    <t>BGDDIZ</t>
  </si>
  <si>
    <t>MUBWUX</t>
  </si>
  <si>
    <t>YQIXNO</t>
  </si>
  <si>
    <t>AXKRQP</t>
  </si>
  <si>
    <t>ALKTBS</t>
  </si>
  <si>
    <t>BTGEKX</t>
  </si>
  <si>
    <t>QHRPZD</t>
  </si>
  <si>
    <t>UHVAFI</t>
  </si>
  <si>
    <t>HTWYED</t>
  </si>
  <si>
    <t>DDDPYW</t>
  </si>
  <si>
    <t>WHDIAL</t>
  </si>
  <si>
    <t>MURHUB</t>
  </si>
  <si>
    <t>NNALVE</t>
  </si>
  <si>
    <t>UZLNMI</t>
  </si>
  <si>
    <t>XHGRKU</t>
  </si>
  <si>
    <t>YHGEKU</t>
  </si>
  <si>
    <t>ALKWIS</t>
  </si>
  <si>
    <t>BIPCJR</t>
  </si>
  <si>
    <t>UTZVUW</t>
  </si>
  <si>
    <t>IHVAYU</t>
  </si>
  <si>
    <t>MDOWDX</t>
  </si>
  <si>
    <t>GUCUOA</t>
  </si>
  <si>
    <t>HXDIAL</t>
  </si>
  <si>
    <t>YZLOHA</t>
  </si>
  <si>
    <t>UAQYNB</t>
  </si>
  <si>
    <t>ALKTES</t>
  </si>
  <si>
    <t>YTGEKX</t>
  </si>
  <si>
    <t>ITXCEQ</t>
  </si>
  <si>
    <t>MGVTRY</t>
  </si>
  <si>
    <t>JFVUWR</t>
  </si>
  <si>
    <t>WHBIAL</t>
  </si>
  <si>
    <t>LUXUWD</t>
  </si>
  <si>
    <t>DRDZOD</t>
  </si>
  <si>
    <t>YHGRKU</t>
  </si>
  <si>
    <t>AHPKJR</t>
  </si>
  <si>
    <t>LTFECX</t>
  </si>
  <si>
    <t>DTWFED</t>
  </si>
  <si>
    <t>GDCDUA</t>
  </si>
  <si>
    <t>RUBWUX</t>
  </si>
  <si>
    <t>LUBUHD</t>
  </si>
  <si>
    <t>CYRHDI</t>
  </si>
  <si>
    <t>YNXLOH</t>
  </si>
  <si>
    <t>GNHBLF</t>
  </si>
  <si>
    <t>YGTYEI</t>
  </si>
  <si>
    <t>ATPKJR</t>
  </si>
  <si>
    <t>QTXCEQ</t>
  </si>
  <si>
    <t>RCTUWP</t>
  </si>
  <si>
    <t>VTRVEK</t>
  </si>
  <si>
    <t>DUXUWD</t>
  </si>
  <si>
    <t>WNXLOH</t>
  </si>
  <si>
    <t>YZLNMI</t>
  </si>
  <si>
    <t>AHPKJI</t>
  </si>
  <si>
    <t>AHGEKU</t>
  </si>
  <si>
    <t>YGWYEH</t>
  </si>
  <si>
    <t>LPNFTA</t>
  </si>
  <si>
    <t>DGVTRY</t>
  </si>
  <si>
    <t>ITWYED</t>
  </si>
  <si>
    <t>DDOWDX</t>
  </si>
  <si>
    <t>RCJBUY</t>
  </si>
  <si>
    <t>DUBUHD</t>
  </si>
  <si>
    <t>DICRUZ</t>
  </si>
  <si>
    <t>WBHMER</t>
  </si>
  <si>
    <t>NNYOLX</t>
  </si>
  <si>
    <t>YGTYRD</t>
  </si>
  <si>
    <t>XPNGHS</t>
  </si>
  <si>
    <t>ATGEKX</t>
  </si>
  <si>
    <t>FBCEQP</t>
  </si>
  <si>
    <t>YTIUVZ</t>
  </si>
  <si>
    <t>BGUWDC</t>
  </si>
  <si>
    <t>KCJRUY</t>
  </si>
  <si>
    <t>KYUHDI</t>
  </si>
  <si>
    <t>INHSVC</t>
  </si>
  <si>
    <t>INHBVU</t>
  </si>
  <si>
    <t>AHGRKU</t>
  </si>
  <si>
    <t>YSKRGR</t>
  </si>
  <si>
    <t>IKFRGE</t>
  </si>
  <si>
    <t>AGVPWC</t>
  </si>
  <si>
    <t>CTZVUW</t>
  </si>
  <si>
    <t>DCJODY</t>
  </si>
  <si>
    <t>MGUUIZ</t>
  </si>
  <si>
    <t>RGUHDC</t>
  </si>
  <si>
    <t>DYUUGS</t>
  </si>
  <si>
    <t>XEGSQL</t>
  </si>
  <si>
    <t>ATWFVO</t>
  </si>
  <si>
    <t>IRCITY</t>
  </si>
  <si>
    <t>OGRWBC</t>
  </si>
  <si>
    <t>HGEQDC</t>
  </si>
  <si>
    <t>DBHMER</t>
  </si>
  <si>
    <t>YSKIGI</t>
  </si>
  <si>
    <t>BTFECX</t>
  </si>
  <si>
    <t>IGVTRY</t>
  </si>
  <si>
    <t>HTRVEK</t>
  </si>
  <si>
    <t>MGRRIZ</t>
  </si>
  <si>
    <t>GUKQEX</t>
  </si>
  <si>
    <t>XGEQDC</t>
  </si>
  <si>
    <t>OLKBTS</t>
  </si>
  <si>
    <t>KLCWIA</t>
  </si>
  <si>
    <t>TTIPVZ</t>
  </si>
  <si>
    <t>UTWYVO</t>
  </si>
  <si>
    <t>HGEQBC</t>
  </si>
  <si>
    <t>HREPYG</t>
  </si>
  <si>
    <t>GUTQEB</t>
  </si>
  <si>
    <t>DNXLOH</t>
  </si>
  <si>
    <t>GTFECX</t>
  </si>
  <si>
    <t>YTWFED</t>
  </si>
  <si>
    <t>UHVAYI</t>
  </si>
  <si>
    <t>XKEPYG</t>
  </si>
  <si>
    <t>YUIUOJ</t>
  </si>
  <si>
    <t>SZLOHA</t>
  </si>
  <si>
    <t>OLKETS</t>
  </si>
  <si>
    <t>OAQRRB</t>
  </si>
  <si>
    <t>TZDHUJ</t>
  </si>
  <si>
    <t>HDEPYG</t>
  </si>
  <si>
    <t>MGEQDC</t>
  </si>
  <si>
    <t>VUTQEB</t>
  </si>
  <si>
    <t>WNHSLF</t>
  </si>
  <si>
    <t>IZLOHA</t>
  </si>
  <si>
    <t>AHQSJC</t>
  </si>
  <si>
    <t>OAQRRI</t>
  </si>
  <si>
    <t>KTPCJR</t>
  </si>
  <si>
    <t>JCKITH</t>
  </si>
  <si>
    <t>MFVTGS</t>
  </si>
  <si>
    <t>HUCEOA</t>
  </si>
  <si>
    <t>DNHSVC</t>
  </si>
  <si>
    <t>OAQIIE</t>
  </si>
  <si>
    <t>ATQSJC</t>
  </si>
  <si>
    <t>TTZVPW</t>
  </si>
  <si>
    <t>DTWYED</t>
  </si>
  <si>
    <t>MGEQBC</t>
  </si>
  <si>
    <t>QGEUIZ</t>
  </si>
  <si>
    <t>XUCEOA</t>
  </si>
  <si>
    <t>SNXLOH</t>
  </si>
  <si>
    <t>INXLOH</t>
  </si>
  <si>
    <t>NAQRRB</t>
  </si>
  <si>
    <t>KTFECX</t>
  </si>
  <si>
    <t>GHVAFJ</t>
  </si>
  <si>
    <t>GRTUWP</t>
  </si>
  <si>
    <t>HRCEUA</t>
  </si>
  <si>
    <t>SBHMTR</t>
  </si>
  <si>
    <t>LNQGZI</t>
  </si>
  <si>
    <t>BYLKTS</t>
  </si>
  <si>
    <t>NAQRRI</t>
  </si>
  <si>
    <t>BPNFTA</t>
  </si>
  <si>
    <t>TTCVEB</t>
  </si>
  <si>
    <t>DFVTGS</t>
  </si>
  <si>
    <t>QGERIZ</t>
  </si>
  <si>
    <t>DEKOSU</t>
  </si>
  <si>
    <t>XUTQEB</t>
  </si>
  <si>
    <t>RYUHDI</t>
  </si>
  <si>
    <t>SNALVT</t>
  </si>
  <si>
    <t>NAQIIE</t>
  </si>
  <si>
    <t>OPNGHS</t>
  </si>
  <si>
    <t>IYLKWS</t>
  </si>
  <si>
    <t>GACRFR</t>
  </si>
  <si>
    <t>HCJKUY</t>
  </si>
  <si>
    <t>DETOSU</t>
  </si>
  <si>
    <t>MYUUGS</t>
  </si>
  <si>
    <t>VNHSVC</t>
  </si>
  <si>
    <t>SNHBVU</t>
  </si>
  <si>
    <t>EYLKTS</t>
  </si>
  <si>
    <t>OBCEQP</t>
  </si>
  <si>
    <t>AFVPWR</t>
  </si>
  <si>
    <t>BEKUSR</t>
  </si>
  <si>
    <t>FGEQDC</t>
  </si>
  <si>
    <t>XCJTUY</t>
  </si>
  <si>
    <t>XYEQDI</t>
  </si>
  <si>
    <t>GNGOLX</t>
  </si>
  <si>
    <t>ELLWIK</t>
  </si>
  <si>
    <t>DHQSKO</t>
  </si>
  <si>
    <t>YTZVPW</t>
  </si>
  <si>
    <t>ATWYVO</t>
  </si>
  <si>
    <t>HCJKRY</t>
  </si>
  <si>
    <t>MUDYEF</t>
  </si>
  <si>
    <t>YUTQEB</t>
  </si>
  <si>
    <t>SZLNMY</t>
  </si>
  <si>
    <t>YHQSJC</t>
  </si>
  <si>
    <t>DTQSKO</t>
  </si>
  <si>
    <t>OLCIWA</t>
  </si>
  <si>
    <t>ULJVWQ</t>
  </si>
  <si>
    <t>IFVTGS</t>
  </si>
  <si>
    <t>FGEQBC</t>
  </si>
  <si>
    <t>FREPYK</t>
  </si>
  <si>
    <t>WZLNMI</t>
  </si>
  <si>
    <t>BHQSKO</t>
  </si>
  <si>
    <t>WBLKTS</t>
  </si>
  <si>
    <t>YTQSJC</t>
  </si>
  <si>
    <t>AXWRBL</t>
  </si>
  <si>
    <t>MRBYEF</t>
  </si>
  <si>
    <t>FBXEQD</t>
  </si>
  <si>
    <t>FKEPYT</t>
  </si>
  <si>
    <t>DNGOLX</t>
  </si>
  <si>
    <t>YXKHRF</t>
  </si>
  <si>
    <t>OKQRRI</t>
  </si>
  <si>
    <t>STWYED</t>
  </si>
  <si>
    <t>FDEPYK</t>
  </si>
  <si>
    <t>FHDIAL</t>
  </si>
  <si>
    <t>FRBEQD</t>
  </si>
  <si>
    <t>MYEQDI</t>
  </si>
  <si>
    <t>BZLOHA</t>
  </si>
  <si>
    <t>WELKTS</t>
  </si>
  <si>
    <t>NHGEKU</t>
  </si>
  <si>
    <t>YBKTRF</t>
  </si>
  <si>
    <t>KTQAJY</t>
  </si>
  <si>
    <t>AMWFED</t>
  </si>
  <si>
    <t>FRXEQB</t>
  </si>
  <si>
    <t>HBDYOD</t>
  </si>
  <si>
    <t>FXDIAL</t>
  </si>
  <si>
    <t>XUIEOJ</t>
  </si>
  <si>
    <t>YLLWSA</t>
  </si>
  <si>
    <t>WNHBLF</t>
  </si>
  <si>
    <t>YXKHIF</t>
  </si>
  <si>
    <t>NTGEKX</t>
  </si>
  <si>
    <t>LNQFSR</t>
  </si>
  <si>
    <t>BPMDJV</t>
  </si>
  <si>
    <t>JRCITH</t>
  </si>
  <si>
    <t>FHBIAL</t>
  </si>
  <si>
    <t>HGRHEI</t>
  </si>
  <si>
    <t>QYEUGS</t>
  </si>
  <si>
    <t>CZLOHA</t>
  </si>
  <si>
    <t>DNHBVU</t>
  </si>
  <si>
    <t>NHGRKU</t>
  </si>
  <si>
    <t>WHQSJC</t>
  </si>
  <si>
    <t>NKQRRI</t>
  </si>
  <si>
    <t>AGVMRY</t>
  </si>
  <si>
    <t>OQBDVE</t>
  </si>
  <si>
    <t>XGKXEI</t>
  </si>
  <si>
    <t>YBHMTR</t>
  </si>
  <si>
    <t>BNXLOH</t>
  </si>
  <si>
    <t>GHNCFQ</t>
  </si>
  <si>
    <t>UTQSJC</t>
  </si>
  <si>
    <t>IGLCWA</t>
  </si>
  <si>
    <t>QMZVPW</t>
  </si>
  <si>
    <t>FHVAYJ</t>
  </si>
  <si>
    <t>HGDHEI</t>
  </si>
  <si>
    <t>OQRDVE</t>
  </si>
  <si>
    <t>DETOAU</t>
  </si>
  <si>
    <t>YNALVT</t>
  </si>
  <si>
    <t>BJHMTR</t>
  </si>
  <si>
    <t>GTNCFQ</t>
  </si>
  <si>
    <t>OPNFTA</t>
  </si>
  <si>
    <t>MVSBDJ</t>
  </si>
  <si>
    <t>TTRVEK</t>
  </si>
  <si>
    <t>FCJKBY</t>
  </si>
  <si>
    <t>XICTUZ</t>
  </si>
  <si>
    <t>BNALVT</t>
  </si>
  <si>
    <t>CTQRYJ</t>
  </si>
  <si>
    <t>KTXKEQ</t>
  </si>
  <si>
    <t>VDEPYR</t>
  </si>
  <si>
    <t>QGEQDC</t>
  </si>
  <si>
    <t>FCJTRY</t>
  </si>
  <si>
    <t>FYEQDI</t>
  </si>
  <si>
    <t>YNGOLX</t>
  </si>
  <si>
    <t>VNHBVU</t>
  </si>
  <si>
    <t>BBQSKO</t>
  </si>
  <si>
    <t>CWQRYJ</t>
  </si>
  <si>
    <t>DTQACO</t>
  </si>
  <si>
    <t>QMWFED</t>
  </si>
  <si>
    <t>FCJKRY</t>
  </si>
  <si>
    <t>NBDYEF</t>
  </si>
  <si>
    <t>MUDZEF</t>
  </si>
  <si>
    <t>YNYOLX</t>
  </si>
  <si>
    <t>CTQIYJ</t>
  </si>
  <si>
    <t>KBQSJC</t>
  </si>
  <si>
    <t>IIQSKO</t>
  </si>
  <si>
    <t>GTQAJY</t>
  </si>
  <si>
    <t>GPIBVI</t>
  </si>
  <si>
    <t>STZVPW</t>
  </si>
  <si>
    <t>QGEQBC</t>
  </si>
  <si>
    <t>VBDYOD</t>
  </si>
  <si>
    <t>NRDYEF</t>
  </si>
  <si>
    <t>FKEPZT</t>
  </si>
  <si>
    <t>RAQGRS</t>
  </si>
  <si>
    <t>BZLNMI</t>
  </si>
  <si>
    <t>EEQSKO</t>
  </si>
  <si>
    <t>KIQSJC</t>
  </si>
  <si>
    <t>UILCWA</t>
  </si>
  <si>
    <t>YCWFMJ</t>
  </si>
  <si>
    <t>NRBYEF</t>
  </si>
  <si>
    <t>MREPYL</t>
  </si>
  <si>
    <t>CBHMTR</t>
  </si>
  <si>
    <t>BAQYNB</t>
  </si>
  <si>
    <t>KEQSJC</t>
  </si>
  <si>
    <t>CXKBRF</t>
  </si>
  <si>
    <t>GBCTRZ</t>
  </si>
  <si>
    <t>FMCVEB</t>
  </si>
  <si>
    <t>AXWGKL</t>
  </si>
  <si>
    <t>VGEBIZ</t>
  </si>
  <si>
    <t>MKEPYL</t>
  </si>
  <si>
    <t>DNYOLX</t>
  </si>
  <si>
    <t>KPNGBS</t>
  </si>
  <si>
    <t>CBKIRF</t>
  </si>
  <si>
    <t>NTFECX</t>
  </si>
  <si>
    <t>YGHXVR</t>
  </si>
  <si>
    <t>UMWYED</t>
  </si>
  <si>
    <t>MDEPYL</t>
  </si>
  <si>
    <t>JBKQEX</t>
  </si>
  <si>
    <t>VGERIZ</t>
  </si>
  <si>
    <t>XRDZOD</t>
  </si>
  <si>
    <t>RLLWSA</t>
  </si>
  <si>
    <t>WAQYNB</t>
  </si>
  <si>
    <t>CXKEIF</t>
  </si>
  <si>
    <t>KPNGIS</t>
  </si>
  <si>
    <t>IMIPVZ</t>
  </si>
  <si>
    <t>AMWYED</t>
  </si>
  <si>
    <t>EGEQDC</t>
  </si>
  <si>
    <t>JRTQEB</t>
  </si>
  <si>
    <t>KPNGES</t>
  </si>
  <si>
    <t>WBPKJV</t>
  </si>
  <si>
    <t>UTQAJY</t>
  </si>
  <si>
    <t>FGIMRY</t>
  </si>
  <si>
    <t>KPMDJV</t>
  </si>
  <si>
    <t>JRKQEX</t>
  </si>
  <si>
    <t>MBDYOD</t>
  </si>
  <si>
    <t>RBHMTR</t>
  </si>
  <si>
    <t>QLKTSM</t>
  </si>
  <si>
    <t>UIPKJV</t>
  </si>
  <si>
    <t>FTNYZQ</t>
  </si>
  <si>
    <t>GCIRIJ</t>
  </si>
  <si>
    <t>AFVMGS</t>
  </si>
  <si>
    <t>EGEQBC</t>
  </si>
  <si>
    <t>RRALVT</t>
  </si>
  <si>
    <t>IJHMTR</t>
  </si>
  <si>
    <t>WEPKJV</t>
  </si>
  <si>
    <t>LXKBRF</t>
  </si>
  <si>
    <t>CTXCEQ</t>
  </si>
  <si>
    <t>MRBYUB</t>
  </si>
  <si>
    <t>EBXEQD</t>
  </si>
  <si>
    <t>FICTRZ</t>
  </si>
  <si>
    <t>INALVT</t>
  </si>
  <si>
    <t>QAQRVB</t>
  </si>
  <si>
    <t>LBKIRF</t>
  </si>
  <si>
    <t>YWQRGJ</t>
  </si>
  <si>
    <t>ACLIIF</t>
  </si>
  <si>
    <t>MVBKDJ</t>
  </si>
  <si>
    <t>EDEPYQ</t>
  </si>
  <si>
    <t>EHDIAL</t>
  </si>
  <si>
    <t>ERBEQD</t>
  </si>
  <si>
    <t>QYEQDI</t>
  </si>
  <si>
    <t>NZLNMI</t>
  </si>
  <si>
    <t>LXKEIF</t>
  </si>
  <si>
    <t>ZBPKJV</t>
  </si>
  <si>
    <t>QAQRVI</t>
  </si>
  <si>
    <t>IIQACO</t>
  </si>
  <si>
    <t>YHIAFX</t>
  </si>
  <si>
    <t>YMWYVO</t>
  </si>
  <si>
    <t>LBDYEF</t>
  </si>
  <si>
    <t>EXDIAL</t>
  </si>
  <si>
    <t>NRDZEF</t>
  </si>
  <si>
    <t>INYOLX</t>
  </si>
  <si>
    <t>QAQIVE</t>
  </si>
  <si>
    <t>SQKLIS</t>
  </si>
  <si>
    <t>ZIPKJV</t>
  </si>
  <si>
    <t>CIQAJY</t>
  </si>
  <si>
    <t>DGIPWC</t>
  </si>
  <si>
    <t>QMWYED</t>
  </si>
  <si>
    <t>EHBIAL</t>
  </si>
  <si>
    <t>EBDYOD</t>
  </si>
  <si>
    <t>VRDZOD</t>
  </si>
  <si>
    <t>RZJOHA</t>
  </si>
  <si>
    <t>URHBLF</t>
  </si>
  <si>
    <t>ZEPKJV</t>
  </si>
  <si>
    <t>GBUKEQ</t>
  </si>
  <si>
    <t>SQKLHS</t>
  </si>
  <si>
    <t>YPISQE</t>
  </si>
  <si>
    <t>XGIPWI</t>
  </si>
  <si>
    <t>FPIKVI</t>
  </si>
  <si>
    <t>LRBYEF</t>
  </si>
  <si>
    <t>WLLDWI</t>
  </si>
  <si>
    <t>MKEPZL</t>
  </si>
  <si>
    <t>YRAJVT</t>
  </si>
  <si>
    <t>RAQYRB</t>
  </si>
  <si>
    <t>SQKLDS</t>
  </si>
  <si>
    <t>LAQRVB</t>
  </si>
  <si>
    <t>GIXKEQ</t>
  </si>
  <si>
    <t>SRWYMJ</t>
  </si>
  <si>
    <t>EGEBIZ</t>
  </si>
  <si>
    <t>HLLDHI</t>
  </si>
  <si>
    <t>UJHMTR</t>
  </si>
  <si>
    <t>GEUKRQ</t>
  </si>
  <si>
    <t>LAQRVI</t>
  </si>
  <si>
    <t>CPNFIA</t>
  </si>
  <si>
    <t>IGIIRY</t>
  </si>
  <si>
    <t>YMRVEK</t>
  </si>
  <si>
    <t>WLLBWI</t>
  </si>
  <si>
    <t>HERXBD</t>
  </si>
  <si>
    <t>EGERIZ</t>
  </si>
  <si>
    <t>CRTQEB</t>
  </si>
  <si>
    <t>ZRHSJF</t>
  </si>
  <si>
    <t>RRHBLF</t>
  </si>
  <si>
    <t>LAQIVE</t>
  </si>
  <si>
    <t>WBWSJC</t>
  </si>
  <si>
    <t>ZPNGIS</t>
  </si>
  <si>
    <t>LTHTWR</t>
  </si>
  <si>
    <t>DGUQDC</t>
  </si>
  <si>
    <t>XEKBRD</t>
  </si>
  <si>
    <t>EYEQDI</t>
  </si>
  <si>
    <t>RLLWBA</t>
  </si>
  <si>
    <t>ZPNGES</t>
  </si>
  <si>
    <t>DMLKTS</t>
  </si>
  <si>
    <t>UIPCJV</t>
  </si>
  <si>
    <t>DTWFTO</t>
  </si>
  <si>
    <t>HEDXRB</t>
  </si>
  <si>
    <t>MUCUOA</t>
  </si>
  <si>
    <t>MRDZOD</t>
  </si>
  <si>
    <t>WEWSJC</t>
  </si>
  <si>
    <t>TBGEKU</t>
  </si>
  <si>
    <t>TCLITF</t>
  </si>
  <si>
    <t>YFIMGS</t>
  </si>
  <si>
    <t>BGRQBC</t>
  </si>
  <si>
    <t>TRUPYT</t>
  </si>
  <si>
    <t>RJHMTR</t>
  </si>
  <si>
    <t>BMLKTS</t>
  </si>
  <si>
    <t>RADRJE</t>
  </si>
  <si>
    <t>FRIGIJ</t>
  </si>
  <si>
    <t>MRCRUA</t>
  </si>
  <si>
    <t>RGUUIZ</t>
  </si>
  <si>
    <t>WKUPYW</t>
  </si>
  <si>
    <t>TEGRKU</t>
  </si>
  <si>
    <t>UPNGIS</t>
  </si>
  <si>
    <t>TTDFTO</t>
  </si>
  <si>
    <t>TDRPYT</t>
  </si>
  <si>
    <t>THTIAL</t>
  </si>
  <si>
    <t>KGUUIZ</t>
  </si>
  <si>
    <t>WPNGES</t>
  </si>
  <si>
    <t>CBPKJV</t>
  </si>
  <si>
    <t>SIPCJV</t>
  </si>
  <si>
    <t>BDIDTJ</t>
  </si>
  <si>
    <t>ARLIIY</t>
  </si>
  <si>
    <t>DGRRIZ</t>
  </si>
  <si>
    <t>WUCUOA</t>
  </si>
  <si>
    <t>WXWIAL</t>
  </si>
  <si>
    <t>LRDZEF</t>
  </si>
  <si>
    <t>GRAJVT</t>
  </si>
  <si>
    <t>LBWSJC</t>
  </si>
  <si>
    <t>CIPKJV</t>
  </si>
  <si>
    <t>AQCLHA</t>
  </si>
  <si>
    <t>TTZTUD</t>
  </si>
  <si>
    <t>SHIAYX</t>
  </si>
  <si>
    <t>PUCUOA</t>
  </si>
  <si>
    <t>HUCUOA</t>
  </si>
  <si>
    <t>ERDZOD</t>
  </si>
  <si>
    <t>YZJRMY</t>
  </si>
  <si>
    <t>YRHBCF</t>
  </si>
  <si>
    <t>CEPKJV</t>
  </si>
  <si>
    <t>GLKTMS</t>
  </si>
  <si>
    <t>FIXCEQ</t>
  </si>
  <si>
    <t>DFIPWR</t>
  </si>
  <si>
    <t>WRCRUA</t>
  </si>
  <si>
    <t>BUXUWT</t>
  </si>
  <si>
    <t>RZCOHA</t>
  </si>
  <si>
    <t>LEWSJC</t>
  </si>
  <si>
    <t>YXLEWP</t>
  </si>
  <si>
    <t>TTCTEB</t>
  </si>
  <si>
    <t>XFIPWI</t>
  </si>
  <si>
    <t>PRCRUA</t>
  </si>
  <si>
    <t>ULTVUD</t>
  </si>
  <si>
    <t>RUBUHW</t>
  </si>
  <si>
    <t>ZZJOHA</t>
  </si>
  <si>
    <t>IRACVT</t>
  </si>
  <si>
    <t>GAWMVB</t>
  </si>
  <si>
    <t>SPNFIA</t>
  </si>
  <si>
    <t>GGHXTR</t>
  </si>
  <si>
    <t>SIRIEK</t>
  </si>
  <si>
    <t>ORXRWT</t>
  </si>
  <si>
    <t>WCLBUY</t>
  </si>
  <si>
    <t>ULWVUD</t>
  </si>
  <si>
    <t>QRAJVT</t>
  </si>
  <si>
    <t>YXLRWP</t>
  </si>
  <si>
    <t>LBPLJV</t>
  </si>
  <si>
    <t>GAUMVI</t>
  </si>
  <si>
    <t>UIUAJY</t>
  </si>
  <si>
    <t>RLTVRB</t>
  </si>
  <si>
    <t>MUTYOD</t>
  </si>
  <si>
    <t>DYUQDI</t>
  </si>
  <si>
    <t>IZJOHA</t>
  </si>
  <si>
    <t>ZRHBCF</t>
  </si>
  <si>
    <t>GAWMVE</t>
  </si>
  <si>
    <t>GBWSJC</t>
  </si>
  <si>
    <t>LIPLJV</t>
  </si>
  <si>
    <t>ITDFTO</t>
  </si>
  <si>
    <t>LTHTWG</t>
  </si>
  <si>
    <t>WCLORY</t>
  </si>
  <si>
    <t>NRUPYU</t>
  </si>
  <si>
    <t>MUWYOD</t>
  </si>
  <si>
    <t>MUIUOJ</t>
  </si>
  <si>
    <t>LEPLJV</t>
  </si>
  <si>
    <t>SBGELU</t>
  </si>
  <si>
    <t>TGVUDC</t>
  </si>
  <si>
    <t>DTWYTO</t>
  </si>
  <si>
    <t>MRTYUB</t>
  </si>
  <si>
    <t>PUBWUX</t>
  </si>
  <si>
    <t>NKUPYU</t>
  </si>
  <si>
    <t>WKUPZW</t>
  </si>
  <si>
    <t>GEWSJC</t>
  </si>
  <si>
    <t>NBULEW</t>
  </si>
  <si>
    <t>UPNFIA</t>
  </si>
  <si>
    <t>YTCVEB</t>
  </si>
  <si>
    <t>TRLITY</t>
  </si>
  <si>
    <t>NDRPYR</t>
  </si>
  <si>
    <t>KYUUGS</t>
  </si>
  <si>
    <t>HNGOJX</t>
  </si>
  <si>
    <t>URHBCF</t>
  </si>
  <si>
    <t>SEGRLU</t>
  </si>
  <si>
    <t>NIXLEU</t>
  </si>
  <si>
    <t>HTZVUD</t>
  </si>
  <si>
    <t>GADGJE</t>
  </si>
  <si>
    <t>PROWRX</t>
  </si>
  <si>
    <t>TUCUOA</t>
  </si>
  <si>
    <t>MCLRUY</t>
  </si>
  <si>
    <t>UNAJVT</t>
  </si>
  <si>
    <t>NEULRW</t>
  </si>
  <si>
    <t>LCEFBG</t>
  </si>
  <si>
    <t>GPNGIS</t>
  </si>
  <si>
    <t>YIPCJV</t>
  </si>
  <si>
    <t>GTDFVO</t>
  </si>
  <si>
    <t>TTDYTO</t>
  </si>
  <si>
    <t>MCLORY</t>
  </si>
  <si>
    <t>IUBOSL</t>
  </si>
  <si>
    <t>HUIUOJ</t>
  </si>
  <si>
    <t>YNHSJF</t>
  </si>
  <si>
    <t>LRHBCF</t>
  </si>
  <si>
    <t>GPNGES</t>
  </si>
  <si>
    <t>ZBWSLO</t>
  </si>
  <si>
    <t>LIUAJY</t>
  </si>
  <si>
    <t>EADRJV</t>
  </si>
  <si>
    <t>KDIDTJ</t>
  </si>
  <si>
    <t>TRCRUA</t>
  </si>
  <si>
    <t>RUTYOD</t>
  </si>
  <si>
    <t>IUROSL</t>
  </si>
  <si>
    <t>PUIUOJ</t>
  </si>
  <si>
    <t>NZJOHA</t>
  </si>
  <si>
    <t>YRACVT</t>
  </si>
  <si>
    <t>LCRFEG</t>
  </si>
  <si>
    <t>ZIUSLO</t>
  </si>
  <si>
    <t>FLCWMA</t>
  </si>
  <si>
    <t>TCLNTF</t>
  </si>
  <si>
    <t>IROUSL</t>
  </si>
  <si>
    <t>BREPYW</t>
  </si>
  <si>
    <t>KUWYOD</t>
  </si>
  <si>
    <t>UNHSJF</t>
  </si>
  <si>
    <t>IZCRMI</t>
  </si>
  <si>
    <t>ZEWSLO</t>
  </si>
  <si>
    <t>ZBULEW</t>
  </si>
  <si>
    <t>DTDFVO</t>
  </si>
  <si>
    <t>UYLUDJ</t>
  </si>
  <si>
    <t>DRTYUB</t>
  </si>
  <si>
    <t>VGEWTC</t>
  </si>
  <si>
    <t>CNXJOH</t>
  </si>
  <si>
    <t>ULCWBR</t>
  </si>
  <si>
    <t>WXLBMF</t>
  </si>
  <si>
    <t>QFNVES</t>
  </si>
  <si>
    <t>TTRTEK</t>
  </si>
  <si>
    <t>ODEPYW</t>
  </si>
  <si>
    <t>LGEWTW</t>
  </si>
  <si>
    <t>QNHSVC</t>
  </si>
  <si>
    <t>ZZCOHA</t>
  </si>
  <si>
    <t>ZEULRW</t>
  </si>
  <si>
    <t>UBLIMF</t>
  </si>
  <si>
    <t>HTDFVO</t>
  </si>
  <si>
    <t>FFHXTG</t>
  </si>
  <si>
    <t>EUCEOA</t>
  </si>
  <si>
    <t>MUWZOD</t>
  </si>
  <si>
    <t>HBHMTR</t>
  </si>
  <si>
    <t>QRACVT</t>
  </si>
  <si>
    <t>WXLEMF</t>
  </si>
  <si>
    <t>GNFUHE</t>
  </si>
  <si>
    <t>FIUAJY</t>
  </si>
  <si>
    <t>NTCVEB</t>
  </si>
  <si>
    <t>BUTYOD</t>
  </si>
  <si>
    <t>NKUPZU</t>
  </si>
  <si>
    <t>JNHSJF</t>
  </si>
  <si>
    <t>SZCOHA</t>
  </si>
  <si>
    <t>CXLHMF</t>
  </si>
  <si>
    <t>GNFXTE</t>
  </si>
  <si>
    <t>AIFELX</t>
  </si>
  <si>
    <t>YGVTRY</t>
  </si>
  <si>
    <t>ITDYTO</t>
  </si>
  <si>
    <t>ERCEUA</t>
  </si>
  <si>
    <t>YUBWEX</t>
  </si>
  <si>
    <t>RUWYOD</t>
  </si>
  <si>
    <t>HNHSJF</t>
  </si>
  <si>
    <t>GNFUHR</t>
  </si>
  <si>
    <t>CPNGHS</t>
  </si>
  <si>
    <t>CBLTMF</t>
  </si>
  <si>
    <t>DHVAFO</t>
  </si>
  <si>
    <t>TFVUDR</t>
  </si>
  <si>
    <t>ORTYUB</t>
  </si>
  <si>
    <t>JUXEWT</t>
  </si>
  <si>
    <t>MILRUZ</t>
  </si>
  <si>
    <t>ONHSVC</t>
  </si>
  <si>
    <t>TXLEWP</t>
  </si>
  <si>
    <t>FPNFIA</t>
  </si>
  <si>
    <t>STRVEK</t>
  </si>
  <si>
    <t>YROWEX</t>
  </si>
  <si>
    <t>BCJBUY</t>
  </si>
  <si>
    <t>JUBEHW</t>
  </si>
  <si>
    <t>WUIUOJ</t>
  </si>
  <si>
    <t>CZJOHA</t>
  </si>
  <si>
    <t>HNYOCX</t>
  </si>
  <si>
    <t>YHWSLO</t>
  </si>
  <si>
    <t>LYEZIF</t>
  </si>
  <si>
    <t>LTCVEB</t>
  </si>
  <si>
    <t>JRXEWT</t>
  </si>
  <si>
    <t>RUCEOA</t>
  </si>
  <si>
    <t>RCJRUY</t>
  </si>
  <si>
    <t>GUROAL</t>
  </si>
  <si>
    <t>NBHMTR</t>
  </si>
  <si>
    <t>GNACVT</t>
  </si>
  <si>
    <t>TXLRWP</t>
  </si>
  <si>
    <t>GXLHMF</t>
  </si>
  <si>
    <t>YTUSLO</t>
  </si>
  <si>
    <t>SIUALO</t>
  </si>
  <si>
    <t>DEBXUT</t>
  </si>
  <si>
    <t>FTDYVO</t>
  </si>
  <si>
    <t>OCJORY</t>
  </si>
  <si>
    <t>WUTYEF</t>
  </si>
  <si>
    <t>KUCEOA</t>
  </si>
  <si>
    <t>KUWZOD</t>
  </si>
  <si>
    <t>DZJNMY</t>
  </si>
  <si>
    <t>INHBCF</t>
  </si>
  <si>
    <t>HHGELU</t>
  </si>
  <si>
    <t>GBLTMF</t>
  </si>
  <si>
    <t>FHVAFD</t>
  </si>
  <si>
    <t>EADGJV</t>
  </si>
  <si>
    <t>DRCEUA</t>
  </si>
  <si>
    <t>WREPYB</t>
  </si>
  <si>
    <t>HUWYEF</t>
  </si>
  <si>
    <t>KKHBYF</t>
  </si>
  <si>
    <t>NZCOHA</t>
  </si>
  <si>
    <t>FHWSJC</t>
  </si>
  <si>
    <t>MTZVUD</t>
  </si>
  <si>
    <t>TRLNTY</t>
  </si>
  <si>
    <t>WRTYEF</t>
  </si>
  <si>
    <t>WUXEWT</t>
  </si>
  <si>
    <t>VYEHWI</t>
  </si>
  <si>
    <t>NNRMYS</t>
  </si>
  <si>
    <t>GNHBCF</t>
  </si>
  <si>
    <t>HHGRLU</t>
  </si>
  <si>
    <t>UVYZNL</t>
  </si>
  <si>
    <t>FTUSJC</t>
  </si>
  <si>
    <t>UBLIMZ</t>
  </si>
  <si>
    <t>JLYZTU</t>
  </si>
  <si>
    <t>DTDYVO</t>
  </si>
  <si>
    <t>WDEPYO</t>
  </si>
  <si>
    <t>MGEUIZ</t>
  </si>
  <si>
    <t>HUBEHW</t>
  </si>
  <si>
    <t>LKHBYF</t>
  </si>
  <si>
    <t>UNXCOH</t>
  </si>
  <si>
    <t>HLMLTS</t>
  </si>
  <si>
    <t>XVYZNL</t>
  </si>
  <si>
    <t>JTCVEB</t>
  </si>
  <si>
    <t>QYNVEB</t>
  </si>
  <si>
    <t>WRXEWT</t>
  </si>
  <si>
    <t>DUTYOD</t>
  </si>
  <si>
    <t>EUIEOJ</t>
  </si>
  <si>
    <t>RNAYGV</t>
  </si>
  <si>
    <t>QNHBVU</t>
  </si>
  <si>
    <t>HHULEW</t>
  </si>
  <si>
    <t>FNZXTE</t>
  </si>
  <si>
    <t>AEXRLD</t>
  </si>
  <si>
    <t>HTDYVO</t>
  </si>
  <si>
    <t>MGERIZ</t>
  </si>
  <si>
    <t>ICUWTQ</t>
  </si>
  <si>
    <t>DUWYOD</t>
  </si>
  <si>
    <t>RUWZOD</t>
  </si>
  <si>
    <t>BLYWBH</t>
  </si>
  <si>
    <t>HJHMTR</t>
  </si>
  <si>
    <t>NTRVEK</t>
  </si>
  <si>
    <t>BDTYUB</t>
  </si>
  <si>
    <t>DGEUIZ</t>
  </si>
  <si>
    <t>ICUHWQ</t>
  </si>
  <si>
    <t>KLYWBR</t>
  </si>
  <si>
    <t>CNHBCF</t>
  </si>
  <si>
    <t>HHULRW</t>
  </si>
  <si>
    <t>HHPLJV</t>
  </si>
  <si>
    <t>YPNFTA</t>
  </si>
  <si>
    <t>JTDFVO</t>
  </si>
  <si>
    <t>SFVTGS</t>
  </si>
  <si>
    <t>ICDWTQ</t>
  </si>
  <si>
    <t>CUBEHW</t>
  </si>
  <si>
    <t>NNHBGC</t>
  </si>
  <si>
    <t>HNHBCF</t>
  </si>
  <si>
    <t>FXLEWP</t>
  </si>
  <si>
    <t>TTPLJV</t>
  </si>
  <si>
    <t>DTZVPD</t>
  </si>
  <si>
    <t>DHVAYO</t>
  </si>
  <si>
    <t>BGEDIZ</t>
  </si>
  <si>
    <t>PGEQTC</t>
  </si>
  <si>
    <t>RKHBYF</t>
  </si>
  <si>
    <t>ONHBVU</t>
  </si>
  <si>
    <t>FBLEUP</t>
  </si>
  <si>
    <t>GTUALO</t>
  </si>
  <si>
    <t>LTDFED</t>
  </si>
  <si>
    <t>FFVUDR</t>
  </si>
  <si>
    <t>PUTYEF</t>
  </si>
  <si>
    <t>PGEQWC</t>
  </si>
  <si>
    <t>KUIEOJ</t>
  </si>
  <si>
    <t>NZYTHA</t>
  </si>
  <si>
    <t>UZCOHA</t>
  </si>
  <si>
    <t>FXLRWP</t>
  </si>
  <si>
    <t>FHULEW</t>
  </si>
  <si>
    <t>FBLTMZ</t>
  </si>
  <si>
    <t>VTDLCV</t>
  </si>
  <si>
    <t>LTRVEK</t>
  </si>
  <si>
    <t>BGEUIZ</t>
  </si>
  <si>
    <t>PUWYEF</t>
  </si>
  <si>
    <t>HUWZEF</t>
  </si>
  <si>
    <t>INAYGV</t>
  </si>
  <si>
    <t>NJHMTR</t>
  </si>
  <si>
    <t>THULEW</t>
  </si>
  <si>
    <t>FTXLEU</t>
  </si>
  <si>
    <t>TTFELX</t>
  </si>
  <si>
    <t>VTDFVO</t>
  </si>
  <si>
    <t>DEKXUT</t>
  </si>
  <si>
    <t>PDTYEF</t>
  </si>
  <si>
    <t>RGEUIZ</t>
  </si>
  <si>
    <t>LKSYTP</t>
  </si>
  <si>
    <t>DZCNMI</t>
  </si>
  <si>
    <t>FHULRW</t>
  </si>
  <si>
    <t>TAWMVB</t>
  </si>
  <si>
    <t>ZTUAJY</t>
  </si>
  <si>
    <t>ABJULV</t>
  </si>
  <si>
    <t>YHVAYD</t>
  </si>
  <si>
    <t>OGEDIZ</t>
  </si>
  <si>
    <t>ZUTYOD</t>
  </si>
  <si>
    <t>ZKPBYF</t>
  </si>
  <si>
    <t>KKHJIF</t>
  </si>
  <si>
    <t>THULRW</t>
  </si>
  <si>
    <t>ZHWSJC</t>
  </si>
  <si>
    <t>WAUMVI</t>
  </si>
  <si>
    <t>XVGSNL</t>
  </si>
  <si>
    <t>PTDFED</t>
  </si>
  <si>
    <t>DDOQEX</t>
  </si>
  <si>
    <t>UXDRWV</t>
  </si>
  <si>
    <t>ZUWYOD</t>
  </si>
  <si>
    <t>MYEUGS</t>
  </si>
  <si>
    <t>ZKSYTP</t>
  </si>
  <si>
    <t>NNRMIB</t>
  </si>
  <si>
    <t>TAWMVE</t>
  </si>
  <si>
    <t>VLLTFI</t>
  </si>
  <si>
    <t>ZTUSJC</t>
  </si>
  <si>
    <t>DGVPDC</t>
  </si>
  <si>
    <t>JLSZTU</t>
  </si>
  <si>
    <t>ZDTYUB</t>
  </si>
  <si>
    <t>VCJBUR</t>
  </si>
  <si>
    <t>UBDKHV</t>
  </si>
  <si>
    <t>DUWZOD</t>
  </si>
  <si>
    <t>KAQRKB</t>
  </si>
  <si>
    <t>LKHJIF</t>
  </si>
  <si>
    <t>DAWMVB</t>
  </si>
  <si>
    <t>MPTDJV</t>
  </si>
  <si>
    <t>JTRVEK</t>
  </si>
  <si>
    <t>DXBDWV</t>
  </si>
  <si>
    <t>UUXEQT</t>
  </si>
  <si>
    <t>VCJRUK</t>
  </si>
  <si>
    <t>GIUHWQ</t>
  </si>
  <si>
    <t>CKPBYF</t>
  </si>
  <si>
    <t>RNAIYV</t>
  </si>
  <si>
    <t>VLLTFD</t>
  </si>
  <si>
    <t>TXLHMF</t>
  </si>
  <si>
    <t>DAUMVI</t>
  </si>
  <si>
    <t>QGVTRY</t>
  </si>
  <si>
    <t>AEXGLD</t>
  </si>
  <si>
    <t>VCJODD</t>
  </si>
  <si>
    <t>GREPYV</t>
  </si>
  <si>
    <t>UUBEQW</t>
  </si>
  <si>
    <t>DYEUGS</t>
  </si>
  <si>
    <t>KNPBGC</t>
  </si>
  <si>
    <t>JLIWJH</t>
  </si>
  <si>
    <t>BAWMVE</t>
  </si>
  <si>
    <t>DHULEW</t>
  </si>
  <si>
    <t>WBLTMF</t>
  </si>
  <si>
    <t>SSDXYO</t>
  </si>
  <si>
    <t>DDXEQT</t>
  </si>
  <si>
    <t>UUCEOA</t>
  </si>
  <si>
    <t>GKEPYV</t>
  </si>
  <si>
    <t>HOPNVX</t>
  </si>
  <si>
    <t>KLIWJR</t>
  </si>
  <si>
    <t>SXLEWP</t>
  </si>
  <si>
    <t>DTXLEU</t>
  </si>
  <si>
    <t>TTLRYF</t>
  </si>
  <si>
    <t>JTDYVO</t>
  </si>
  <si>
    <t>GDEPYV</t>
  </si>
  <si>
    <t>PYEQWI</t>
  </si>
  <si>
    <t>KOPNVX</t>
  </si>
  <si>
    <t>NNHJYU</t>
  </si>
  <si>
    <t>BHULRW</t>
  </si>
  <si>
    <t>THWSLO</t>
  </si>
  <si>
    <t>SBLEUP</t>
  </si>
  <si>
    <t>HSDXYO</t>
  </si>
  <si>
    <t>DDCEUA</t>
  </si>
  <si>
    <t>PUWZEF</t>
  </si>
  <si>
    <t>IZYNNI</t>
  </si>
  <si>
    <t>RKHJIF</t>
  </si>
  <si>
    <t>SXLRWP</t>
  </si>
  <si>
    <t>DHWSJC</t>
  </si>
  <si>
    <t>WTUSLO</t>
  </si>
  <si>
    <t>ZTXLEU</t>
  </si>
  <si>
    <t>LTCYIE</t>
  </si>
  <si>
    <t>LTDYED</t>
  </si>
  <si>
    <t>ZUXEQT</t>
  </si>
  <si>
    <t>RYEUGS</t>
  </si>
  <si>
    <t>CLYWBL</t>
  </si>
  <si>
    <t>NZITHA</t>
  </si>
  <si>
    <t>SHULEW</t>
  </si>
  <si>
    <t>DTUSJC</t>
  </si>
  <si>
    <t>XHYAXF</t>
  </si>
  <si>
    <t>VTDLRV</t>
  </si>
  <si>
    <t>WLVETN</t>
  </si>
  <si>
    <t>ZUBEQW</t>
  </si>
  <si>
    <t>SNAIYV</t>
  </si>
  <si>
    <t>BHWSJC</t>
  </si>
  <si>
    <t>SAWMRB</t>
  </si>
  <si>
    <t>STXLEU</t>
  </si>
  <si>
    <t>RGJATS</t>
  </si>
  <si>
    <t>VTDYVO</t>
  </si>
  <si>
    <t>ZDXEQT</t>
  </si>
  <si>
    <t>PHTIAL</t>
  </si>
  <si>
    <t>HLVEWN</t>
  </si>
  <si>
    <t>SUWZOD</t>
  </si>
  <si>
    <t>QNAYGV</t>
  </si>
  <si>
    <t>LKBITP</t>
  </si>
  <si>
    <t>SHULRW</t>
  </si>
  <si>
    <t>SHPLJR</t>
  </si>
  <si>
    <t>SAUMRI</t>
  </si>
  <si>
    <t>STUAJY</t>
  </si>
  <si>
    <t>TTDXID</t>
  </si>
  <si>
    <t>AKJULV</t>
  </si>
  <si>
    <t>WMTYOD</t>
  </si>
  <si>
    <t>PXWIAL</t>
  </si>
  <si>
    <t>UZYTPA</t>
  </si>
  <si>
    <t>ZKPJIF</t>
  </si>
  <si>
    <t>SAWMIE</t>
  </si>
  <si>
    <t>JHWSJC</t>
  </si>
  <si>
    <t>STPLJR</t>
  </si>
  <si>
    <t>VLLWZH</t>
  </si>
  <si>
    <t>LSDXYO</t>
  </si>
  <si>
    <t>PTDYED</t>
  </si>
  <si>
    <t>PMTYOD</t>
  </si>
  <si>
    <t>KNAYGV</t>
  </si>
  <si>
    <t>ZKBITP</t>
  </si>
  <si>
    <t>SHPLJI</t>
  </si>
  <si>
    <t>GHGELU</t>
  </si>
  <si>
    <t>JTUSJC</t>
  </si>
  <si>
    <t>TGYRDC</t>
  </si>
  <si>
    <t>DFVPDR</t>
  </si>
  <si>
    <t>WMTYUB</t>
  </si>
  <si>
    <t>AQMDVE</t>
  </si>
  <si>
    <t>PMWYOD</t>
  </si>
  <si>
    <t>HKSYTP</t>
  </si>
  <si>
    <t>KAQRKJ</t>
  </si>
  <si>
    <t>SXLHMF</t>
  </si>
  <si>
    <t>UTCYIE</t>
  </si>
  <si>
    <t>PMTYUB</t>
  </si>
  <si>
    <t>PGEMIZ</t>
  </si>
  <si>
    <t>PNRTYS</t>
  </si>
  <si>
    <t>UKPJIF</t>
  </si>
  <si>
    <t>GHGRLU</t>
  </si>
  <si>
    <t>SPNGHS</t>
  </si>
  <si>
    <t>SBLTMF</t>
  </si>
  <si>
    <t>HSFYRD</t>
  </si>
  <si>
    <t>QFVTGS</t>
  </si>
  <si>
    <t>AQMBVE</t>
  </si>
  <si>
    <t>NMXEQT</t>
  </si>
  <si>
    <t>UUIEOJ</t>
  </si>
  <si>
    <t>TNAYGV</t>
  </si>
  <si>
    <t>KNPJYU</t>
  </si>
  <si>
    <t>DHGELU</t>
  </si>
  <si>
    <t>ABLEUP</t>
  </si>
  <si>
    <t>GSDXYO</t>
  </si>
  <si>
    <t>BBDXSO</t>
  </si>
  <si>
    <t>MESADV</t>
  </si>
  <si>
    <t>NMBEQW</t>
  </si>
  <si>
    <t>IKPBYF</t>
  </si>
  <si>
    <t>TPNGHS</t>
  </si>
  <si>
    <t>DTGELX</t>
  </si>
  <si>
    <t>WTUALO</t>
  </si>
  <si>
    <t>IADTBY</t>
  </si>
  <si>
    <t>TTLGSY</t>
  </si>
  <si>
    <t>YMTYEF</t>
  </si>
  <si>
    <t>KZYTPA</t>
  </si>
  <si>
    <t>BHGRLU</t>
  </si>
  <si>
    <t>FLLTSP</t>
  </si>
  <si>
    <t>DTUAJY</t>
  </si>
  <si>
    <t>HBDXSO</t>
  </si>
  <si>
    <t>MESABV</t>
  </si>
  <si>
    <t>NMTYOD</t>
  </si>
  <si>
    <t>SUBEQW</t>
  </si>
  <si>
    <t>TKPBYF</t>
  </si>
  <si>
    <t>SZINNS</t>
  </si>
  <si>
    <t>CXLEWP</t>
  </si>
  <si>
    <t>FLLWSP</t>
  </si>
  <si>
    <t>DSDXYO</t>
  </si>
  <si>
    <t>LTRSIE</t>
  </si>
  <si>
    <t>GQBAEB</t>
  </si>
  <si>
    <t>NMWYOD</t>
  </si>
  <si>
    <t>CKSYTP</t>
  </si>
  <si>
    <t>ULIWJL</t>
  </si>
  <si>
    <t>FAWMRB</t>
  </si>
  <si>
    <t>AKUMRI</t>
  </si>
  <si>
    <t>STDXID</t>
  </si>
  <si>
    <t>XHSAXY</t>
  </si>
  <si>
    <t>NMTYUB</t>
  </si>
  <si>
    <t>ZCTYMV</t>
  </si>
  <si>
    <t>GQRAER</t>
  </si>
  <si>
    <t>PXWGJL</t>
  </si>
  <si>
    <t>ZZITPA</t>
  </si>
  <si>
    <t>CXLRWP</t>
  </si>
  <si>
    <t>FHPLJR</t>
  </si>
  <si>
    <t>FAUMRI</t>
  </si>
  <si>
    <t>ATPLJR</t>
  </si>
  <si>
    <t>MPDTEZ</t>
  </si>
  <si>
    <t>GFJATB</t>
  </si>
  <si>
    <t>GQOAEO</t>
  </si>
  <si>
    <t>YMCEOA</t>
  </si>
  <si>
    <t>ZCWYMV</t>
  </si>
  <si>
    <t>HMWZOD</t>
  </si>
  <si>
    <t>KKSYTP</t>
  </si>
  <si>
    <t>QNAIYV</t>
  </si>
  <si>
    <t>FAWMIE</t>
  </si>
  <si>
    <t>HXLHMF</t>
  </si>
  <si>
    <t>FTPLJR</t>
  </si>
  <si>
    <t>JTUAJY</t>
  </si>
  <si>
    <t>RXKRDB</t>
  </si>
  <si>
    <t>ZGRHEI</t>
  </si>
  <si>
    <t>PMWZOD</t>
  </si>
  <si>
    <t>YKPBYF</t>
  </si>
  <si>
    <t>GZITPA</t>
  </si>
  <si>
    <t>FHPLJI</t>
  </si>
  <si>
    <t>FHGELU</t>
  </si>
  <si>
    <t>TBLTMF</t>
  </si>
  <si>
    <t>FTFELX</t>
  </si>
  <si>
    <t>UGYIIU</t>
  </si>
  <si>
    <t>LBDXSO</t>
  </si>
  <si>
    <t>YMCEUA</t>
  </si>
  <si>
    <t>BMBQEX</t>
  </si>
  <si>
    <t>ZGKXEI</t>
  </si>
  <si>
    <t>JQMDVE</t>
  </si>
  <si>
    <t>PKPBYF</t>
  </si>
  <si>
    <t>KNAIYV</t>
  </si>
  <si>
    <t>CBWSLO</t>
  </si>
  <si>
    <t>FTGELX</t>
  </si>
  <si>
    <t>DHYAXP</t>
  </si>
  <si>
    <t>TFSGDR</t>
  </si>
  <si>
    <t>ZGDHEI</t>
  </si>
  <si>
    <t>YGBMIZ</t>
  </si>
  <si>
    <t>RMRQEB</t>
  </si>
  <si>
    <t>PYEMGS</t>
  </si>
  <si>
    <t>HKBITP</t>
  </si>
  <si>
    <t>FHGRLU</t>
  </si>
  <si>
    <t>APNFTA</t>
  </si>
  <si>
    <t>GGYRDC</t>
  </si>
  <si>
    <t>UTRSIE</t>
  </si>
  <si>
    <t>OMOQEX</t>
  </si>
  <si>
    <t>GCBIBV</t>
  </si>
  <si>
    <t>YGRMIZ</t>
  </si>
  <si>
    <t>CZYTPA</t>
  </si>
  <si>
    <t>PNRTIB</t>
  </si>
  <si>
    <t>CEWSLO</t>
  </si>
  <si>
    <t>CAWMRB</t>
  </si>
  <si>
    <t>IPNGIS</t>
  </si>
  <si>
    <t>DTFELX</t>
  </si>
  <si>
    <t>HBYSGD</t>
  </si>
  <si>
    <t>YGDMIZ</t>
  </si>
  <si>
    <t>GCRIRV</t>
  </si>
  <si>
    <t>MEAJDV</t>
  </si>
  <si>
    <t>NOPNVX</t>
  </si>
  <si>
    <t>TNAIYV</t>
  </si>
  <si>
    <t>EPNGES</t>
  </si>
  <si>
    <t>BBWSLO</t>
  </si>
  <si>
    <t>CAUMRI</t>
  </si>
  <si>
    <t>WPNFTA</t>
  </si>
  <si>
    <t>HHSBCD</t>
  </si>
  <si>
    <t>FBDXSO</t>
  </si>
  <si>
    <t>GCDIOV</t>
  </si>
  <si>
    <t>NRRQRB</t>
  </si>
  <si>
    <t>ZMWZEF</t>
  </si>
  <si>
    <t>DZYNNI</t>
  </si>
  <si>
    <t>SKPJIF</t>
  </si>
  <si>
    <t>CAWMIE</t>
  </si>
  <si>
    <t>SICYIE</t>
  </si>
  <si>
    <t>IADTKS</t>
  </si>
  <si>
    <t>NDOQDX</t>
  </si>
  <si>
    <t>NMWZOD</t>
  </si>
  <si>
    <t>KZITPA</t>
  </si>
  <si>
    <t>EEWSLO</t>
  </si>
  <si>
    <t>BBULEW</t>
  </si>
  <si>
    <t>ILLWSP</t>
  </si>
  <si>
    <t>MSFYRD</t>
  </si>
  <si>
    <t>PCLODY</t>
  </si>
  <si>
    <t>YQRJER</t>
  </si>
  <si>
    <t>TKPJIF</t>
  </si>
  <si>
    <t>ELLTSP</t>
  </si>
  <si>
    <t>BAWMRB</t>
  </si>
  <si>
    <t>ZKUMRI</t>
  </si>
  <si>
    <t>DILRYF</t>
  </si>
  <si>
    <t>DBDXSO</t>
  </si>
  <si>
    <t>ZDDPYH</t>
  </si>
  <si>
    <t>HGBQTB</t>
  </si>
  <si>
    <t>DGRQWC</t>
  </si>
  <si>
    <t>SIWZMV</t>
  </si>
  <si>
    <t>UKBITP</t>
  </si>
  <si>
    <t>EEULRW</t>
  </si>
  <si>
    <t>BBPLJR</t>
  </si>
  <si>
    <t>IAUMRI</t>
  </si>
  <si>
    <t>ZTPLJR</t>
  </si>
  <si>
    <t>BMCYIE</t>
  </si>
  <si>
    <t>BTDXID</t>
  </si>
  <si>
    <t>ZBCBOA</t>
  </si>
  <si>
    <t>XGRQWR</t>
  </si>
  <si>
    <t>ZMIEOJ</t>
  </si>
  <si>
    <t>QNPJYU</t>
  </si>
  <si>
    <t>EAWMIE</t>
  </si>
  <si>
    <t>BBWSJC</t>
  </si>
  <si>
    <t>IIPLJR</t>
  </si>
  <si>
    <t>USDXYO</t>
  </si>
  <si>
    <t>HGDQTO</t>
  </si>
  <si>
    <t>BGBBIZ</t>
  </si>
  <si>
    <t>ZRCROA</t>
  </si>
  <si>
    <t>KKBITP</t>
  </si>
  <si>
    <t>EEPLJI</t>
  </si>
  <si>
    <t>WBWTKW</t>
  </si>
  <si>
    <t>ZTFELX</t>
  </si>
  <si>
    <t>SGYRDC</t>
  </si>
  <si>
    <t>ZDCDUA</t>
  </si>
  <si>
    <t>LURUTI</t>
  </si>
  <si>
    <t>RGRRIZ</t>
  </si>
  <si>
    <t>FNAJVE</t>
  </si>
  <si>
    <t>IKPJIF</t>
  </si>
  <si>
    <t>EEWSJC</t>
  </si>
  <si>
    <t>GBWSKO</t>
  </si>
  <si>
    <t>YIUALO</t>
  </si>
  <si>
    <t>BSDXYO</t>
  </si>
  <si>
    <t>DGDDIZ</t>
  </si>
  <si>
    <t>DUTYUF</t>
  </si>
  <si>
    <t>LUKUWI</t>
  </si>
  <si>
    <t>ZYRMGS</t>
  </si>
  <si>
    <t>PKPJIF</t>
  </si>
  <si>
    <t>WEWTKW</t>
  </si>
  <si>
    <t>BXKEWP</t>
  </si>
  <si>
    <t>IPNFIA</t>
  </si>
  <si>
    <t>DSFYRD</t>
  </si>
  <si>
    <t>DHSAXP</t>
  </si>
  <si>
    <t>LDDDTI</t>
  </si>
  <si>
    <t>DUWYUF</t>
  </si>
  <si>
    <t>YIRGRV</t>
  </si>
  <si>
    <t>EBPTER</t>
  </si>
  <si>
    <t>TNPJYU</t>
  </si>
  <si>
    <t>GEWSKO</t>
  </si>
  <si>
    <t>FBPKJR</t>
  </si>
  <si>
    <t>YKUMRI</t>
  </si>
  <si>
    <t>FFSGDR</t>
  </si>
  <si>
    <t>BDTYDF</t>
  </si>
  <si>
    <t>IPDIVO</t>
  </si>
  <si>
    <t>HAQGNS</t>
  </si>
  <si>
    <t>UZITPA</t>
  </si>
  <si>
    <t>EXKRWP</t>
  </si>
  <si>
    <t>LBUKEW</t>
  </si>
  <si>
    <t>FIPKJR</t>
  </si>
  <si>
    <t>IIUALO</t>
  </si>
  <si>
    <t>SSFYRD</t>
  </si>
  <si>
    <t>CIRSIE</t>
  </si>
  <si>
    <t>DCLODY</t>
  </si>
  <si>
    <t>UUDYUF</t>
  </si>
  <si>
    <t>RZJOPA</t>
  </si>
  <si>
    <t>FEPKJI</t>
  </si>
  <si>
    <t>XBWSKO</t>
  </si>
  <si>
    <t>ILLWAP</t>
  </si>
  <si>
    <t>YSDXYO</t>
  </si>
  <si>
    <t>HHBKRD</t>
  </si>
  <si>
    <t>ADBDUV</t>
  </si>
  <si>
    <t>SKRPZX</t>
  </si>
  <si>
    <t>DZINNS</t>
  </si>
  <si>
    <t>LEUKRW</t>
  </si>
  <si>
    <t>BIUSKO</t>
  </si>
  <si>
    <t>BIRSIE</t>
  </si>
  <si>
    <t>DDBYDF</t>
  </si>
  <si>
    <t>UUXUWD</t>
  </si>
  <si>
    <t>ADRDUV</t>
  </si>
  <si>
    <t>DYRQWI</t>
  </si>
  <si>
    <t>EZJNTY</t>
  </si>
  <si>
    <t>XEWSKO</t>
  </si>
  <si>
    <t>IKUMRI</t>
  </si>
  <si>
    <t>RMDXID</t>
  </si>
  <si>
    <t>MBYSGD</t>
  </si>
  <si>
    <t>ABOBDV</t>
  </si>
  <si>
    <t>WYLWDV</t>
  </si>
  <si>
    <t>UUBUHD</t>
  </si>
  <si>
    <t>XYRQWR</t>
  </si>
  <si>
    <t>TNPSVC</t>
  </si>
  <si>
    <t>CBWSKO</t>
  </si>
  <si>
    <t>DGYRDC</t>
  </si>
  <si>
    <t>DILGSY</t>
  </si>
  <si>
    <t>UUCUOA</t>
  </si>
  <si>
    <t>SRIROJ</t>
  </si>
  <si>
    <t>ANAJVE</t>
  </si>
  <si>
    <t>QAQYNB</t>
  </si>
  <si>
    <t>MBGEKU</t>
  </si>
  <si>
    <t>IIUAJY</t>
  </si>
  <si>
    <t>MPDMEZ</t>
  </si>
  <si>
    <t>KMRSIE</t>
  </si>
  <si>
    <t>WYLWBV</t>
  </si>
  <si>
    <t>GGRHUI</t>
  </si>
  <si>
    <t>RBPTER</t>
  </si>
  <si>
    <t>CEWSKO</t>
  </si>
  <si>
    <t>LBWSKO</t>
  </si>
  <si>
    <t>QGYMMU</t>
  </si>
  <si>
    <t>UBDXSO</t>
  </si>
  <si>
    <t>DDCDUA</t>
  </si>
  <si>
    <t>MLDPUM</t>
  </si>
  <si>
    <t>GGKXUI</t>
  </si>
  <si>
    <t>LUKUWG</t>
  </si>
  <si>
    <t>RNAJVE</t>
  </si>
  <si>
    <t>AAQYNB</t>
  </si>
  <si>
    <t>MEGRKU</t>
  </si>
  <si>
    <t>GBPKJR</t>
  </si>
  <si>
    <t>FIUACO</t>
  </si>
  <si>
    <t>MGIPDC</t>
  </si>
  <si>
    <t>BFSGDR</t>
  </si>
  <si>
    <t>GGDHDI</t>
  </si>
  <si>
    <t>BUDYUF</t>
  </si>
  <si>
    <t>DUWZUF</t>
  </si>
  <si>
    <t>FNACVE</t>
  </si>
  <si>
    <t>LEWSKO</t>
  </si>
  <si>
    <t>FXKBMF</t>
  </si>
  <si>
    <t>GIPKJR</t>
  </si>
  <si>
    <t>KBDXSO</t>
  </si>
  <si>
    <t>UGEWDC</t>
  </si>
  <si>
    <t>RUDYUF</t>
  </si>
  <si>
    <t>RNGOJX</t>
  </si>
  <si>
    <t>GEPKJI</t>
  </si>
  <si>
    <t>CLKTSB</t>
  </si>
  <si>
    <t>FBKIMF</t>
  </si>
  <si>
    <t>ZIPCJR</t>
  </si>
  <si>
    <t>DBYSGD</t>
  </si>
  <si>
    <t>ODBYDF</t>
  </si>
  <si>
    <t>ZUCEOA</t>
  </si>
  <si>
    <t>UGEHDC</t>
  </si>
  <si>
    <t>GPDGVO</t>
  </si>
  <si>
    <t>ZZJNTY</t>
  </si>
  <si>
    <t>EJPTER</t>
  </si>
  <si>
    <t>FXKEMF</t>
  </si>
  <si>
    <t>XXKEWP</t>
  </si>
  <si>
    <t>DGEWBC</t>
  </si>
  <si>
    <t>RUXEWD</t>
  </si>
  <si>
    <t>UUDZUF</t>
  </si>
  <si>
    <t>HAQYNB</t>
  </si>
  <si>
    <t>CLKTSE</t>
  </si>
  <si>
    <t>NBPKJR</t>
  </si>
  <si>
    <t>BIUACO</t>
  </si>
  <si>
    <t>BBYSGD</t>
  </si>
  <si>
    <t>ZDCEUA</t>
  </si>
  <si>
    <t>GUDYEF</t>
  </si>
  <si>
    <t>KUBEHD</t>
  </si>
  <si>
    <t>JDRDUV</t>
  </si>
  <si>
    <t>RZCOPA</t>
  </si>
  <si>
    <t>XXKRWP</t>
  </si>
  <si>
    <t>ZXKEWP</t>
  </si>
  <si>
    <t>NIPKJR</t>
  </si>
  <si>
    <t>OMCTEB</t>
  </si>
  <si>
    <t>SBDXSO</t>
  </si>
  <si>
    <t>DDXEWB</t>
  </si>
  <si>
    <t>OPDIVE</t>
  </si>
  <si>
    <t>NEPKJI</t>
  </si>
  <si>
    <t>SLKTMS</t>
  </si>
  <si>
    <t>YGTMRD</t>
  </si>
  <si>
    <t>GDBYEF</t>
  </si>
  <si>
    <t>HZLHDV</t>
  </si>
  <si>
    <t>AZJRTY</t>
  </si>
  <si>
    <t>EZCNTI</t>
  </si>
  <si>
    <t>ZXKRWP</t>
  </si>
  <si>
    <t>WBUKEW</t>
  </si>
  <si>
    <t>YIUACO</t>
  </si>
  <si>
    <t>BXDRZL</t>
  </si>
  <si>
    <t>DUDYEF</t>
  </si>
  <si>
    <t>UCLTUY</t>
  </si>
  <si>
    <t>UUIUOJ</t>
  </si>
  <si>
    <t>TRXLOH</t>
  </si>
  <si>
    <t>TNPBVU</t>
  </si>
  <si>
    <t>DFSGDR</t>
  </si>
  <si>
    <t>DCLKDY</t>
  </si>
  <si>
    <t>NYKEOS</t>
  </si>
  <si>
    <t>YYKXUG</t>
  </si>
  <si>
    <t>CBHMER</t>
  </si>
  <si>
    <t>ANACVE</t>
  </si>
  <si>
    <t>WEUKRW</t>
  </si>
  <si>
    <t>YHPKJR</t>
  </si>
  <si>
    <t>LIUACO</t>
  </si>
  <si>
    <t>BDBYEF</t>
  </si>
  <si>
    <t>RUDYEF</t>
  </si>
  <si>
    <t>NYTEOS</t>
  </si>
  <si>
    <t>MRALVE</t>
  </si>
  <si>
    <t>RJPTER</t>
  </si>
  <si>
    <t>FHWSKO</t>
  </si>
  <si>
    <t>YTPKJR</t>
  </si>
  <si>
    <t>FIPCJR</t>
  </si>
  <si>
    <t>LHTAFD</t>
  </si>
  <si>
    <t>QFSMMU</t>
  </si>
  <si>
    <t>NYKEUS</t>
  </si>
  <si>
    <t>KUDYEF</t>
  </si>
  <si>
    <t>RUDZUF</t>
  </si>
  <si>
    <t>HRALVE</t>
  </si>
  <si>
    <t>RNACVE</t>
  </si>
  <si>
    <t>YHPKJI</t>
  </si>
  <si>
    <t>HXKEWP</t>
  </si>
  <si>
    <t>FTUSKO</t>
  </si>
  <si>
    <t>ZBCIMZ</t>
  </si>
  <si>
    <t>BGTMRY</t>
  </si>
  <si>
    <t>MFIPDR</t>
  </si>
  <si>
    <t>DDBYEF</t>
  </si>
  <si>
    <t>ZGEUIZ</t>
  </si>
  <si>
    <t>TUCEOA</t>
  </si>
  <si>
    <t>UYEHDI</t>
  </si>
  <si>
    <t>QRHSLF</t>
  </si>
  <si>
    <t>HLCMWB</t>
  </si>
  <si>
    <t>YHWSKO</t>
  </si>
  <si>
    <t>TBKEUP</t>
  </si>
  <si>
    <t>YLCWAI</t>
  </si>
  <si>
    <t>RMDFED</t>
  </si>
  <si>
    <t>LMDYED</t>
  </si>
  <si>
    <t>KDCEUA</t>
  </si>
  <si>
    <t>DREPYF</t>
  </si>
  <si>
    <t>SUIEOJ</t>
  </si>
  <si>
    <t>MZLRMY</t>
  </si>
  <si>
    <t>RNYOCX</t>
  </si>
  <si>
    <t>HXKRWP</t>
  </si>
  <si>
    <t>CHUKEW</t>
  </si>
  <si>
    <t>YTUSKO</t>
  </si>
  <si>
    <t>CMCTEB</t>
  </si>
  <si>
    <t>CRCIMY</t>
  </si>
  <si>
    <t>ZGEDIZ</t>
  </si>
  <si>
    <t>GGEWDC</t>
  </si>
  <si>
    <t>DKEPYF</t>
  </si>
  <si>
    <t>MAQGRS</t>
  </si>
  <si>
    <t>ZZCNTI</t>
  </si>
  <si>
    <t>NHWSJC</t>
  </si>
  <si>
    <t>NIPCJR</t>
  </si>
  <si>
    <t>LXDRBL</t>
  </si>
  <si>
    <t>BDEPYF</t>
  </si>
  <si>
    <t>LUCEOA</t>
  </si>
  <si>
    <t>YUDZEF</t>
  </si>
  <si>
    <t>RAQYNB</t>
  </si>
  <si>
    <t>CHUKRW</t>
  </si>
  <si>
    <t>WAWMRB</t>
  </si>
  <si>
    <t>NTUSJC</t>
  </si>
  <si>
    <t>SBCEUP</t>
  </si>
  <si>
    <t>LMCTEB</t>
  </si>
  <si>
    <t>RRCIMY</t>
  </si>
  <si>
    <t>GGEWBC</t>
  </si>
  <si>
    <t>DOAHWU</t>
  </si>
  <si>
    <t>OPDGVE</t>
  </si>
  <si>
    <t>QWGRGH</t>
  </si>
  <si>
    <t>KHWSKO</t>
  </si>
  <si>
    <t>UAUMRI</t>
  </si>
  <si>
    <t>MHTAFE</t>
  </si>
  <si>
    <t>OMRTEK</t>
  </si>
  <si>
    <t>LDCEUA</t>
  </si>
  <si>
    <t>YREPYD</t>
  </si>
  <si>
    <t>DOAXHU</t>
  </si>
  <si>
    <t>UILTUZ</t>
  </si>
  <si>
    <t>WAWMIE</t>
  </si>
  <si>
    <t>WHWSKO</t>
  </si>
  <si>
    <t>KTUSKO</t>
  </si>
  <si>
    <t>LMIATZ</t>
  </si>
  <si>
    <t>SFTMGD</t>
  </si>
  <si>
    <t>BUAHWD</t>
  </si>
  <si>
    <t>MUXEWD</t>
  </si>
  <si>
    <t>YKEPYD</t>
  </si>
  <si>
    <t>DUDZEF</t>
  </si>
  <si>
    <t>AZCRTI</t>
  </si>
  <si>
    <t>EHWSJC</t>
  </si>
  <si>
    <t>UTUSKO</t>
  </si>
  <si>
    <t>GGTMRY</t>
  </si>
  <si>
    <t>KXDGZL</t>
  </si>
  <si>
    <t>YDEPYB</t>
  </si>
  <si>
    <t>VLZXUW</t>
  </si>
  <si>
    <t>MUBEHD</t>
  </si>
  <si>
    <t>NZTEOA</t>
  </si>
  <si>
    <t>MBHMER</t>
  </si>
  <si>
    <t>CXKEWP</t>
  </si>
  <si>
    <t>ETUSJC</t>
  </si>
  <si>
    <t>GTPCJR</t>
  </si>
  <si>
    <t>MRLIMY</t>
  </si>
  <si>
    <t>MDXEWB</t>
  </si>
  <si>
    <t>VUCEOA</t>
  </si>
  <si>
    <t>KUDZEF</t>
  </si>
  <si>
    <t>CRALVE</t>
  </si>
  <si>
    <t>UJHMER</t>
  </si>
  <si>
    <t>RHWSJC</t>
  </si>
  <si>
    <t>HAWMRB</t>
  </si>
  <si>
    <t>ZTUACO</t>
  </si>
  <si>
    <t>RGTPDC</t>
  </si>
  <si>
    <t>LFTPDR</t>
  </si>
  <si>
    <t>VLZXDW</t>
  </si>
  <si>
    <t>POHILD</t>
  </si>
  <si>
    <t>TUIEOJ</t>
  </si>
  <si>
    <t>CXKRWP</t>
  </si>
  <si>
    <t>DXKHMF</t>
  </si>
  <si>
    <t>TAUMRI</t>
  </si>
  <si>
    <t>TBCEUP</t>
  </si>
  <si>
    <t>UMIHTZ</t>
  </si>
  <si>
    <t>LHTAYD</t>
  </si>
  <si>
    <t>VRCEUA</t>
  </si>
  <si>
    <t>POXILD</t>
  </si>
  <si>
    <t>SYEUGS</t>
  </si>
  <si>
    <t>HAWMIE</t>
  </si>
  <si>
    <t>IIWAFO</t>
  </si>
  <si>
    <t>DBKTMF</t>
  </si>
  <si>
    <t>GTUACO</t>
  </si>
  <si>
    <t>CGTMRY</t>
  </si>
  <si>
    <t>KFTMGS</t>
  </si>
  <si>
    <t>VUDYEF</t>
  </si>
  <si>
    <t>DKEPZF</t>
  </si>
  <si>
    <t>HBHMER</t>
  </si>
  <si>
    <t>QRHBLF</t>
  </si>
  <si>
    <t>BXKHMF</t>
  </si>
  <si>
    <t>HHBMFS</t>
  </si>
  <si>
    <t>HHUAFO</t>
  </si>
  <si>
    <t>YTXCEU</t>
  </si>
  <si>
    <t>RMZTUD</t>
  </si>
  <si>
    <t>GMDYED</t>
  </si>
  <si>
    <t>RGEWBC</t>
  </si>
  <si>
    <t>DUXEQD</t>
  </si>
  <si>
    <t>YYEHDI</t>
  </si>
  <si>
    <t>CAQGRS</t>
  </si>
  <si>
    <t>MZLRMI</t>
  </si>
  <si>
    <t>DDWAFO</t>
  </si>
  <si>
    <t>LIWAFO</t>
  </si>
  <si>
    <t>TTIMFS</t>
  </si>
  <si>
    <t>NTUAJY</t>
  </si>
  <si>
    <t>DXDRIL</t>
  </si>
  <si>
    <t>RMRTEK</t>
  </si>
  <si>
    <t>VRBYEF</t>
  </si>
  <si>
    <t>LUDYOD</t>
  </si>
  <si>
    <t>DUBEQD</t>
  </si>
  <si>
    <t>LUIEOJ</t>
  </si>
  <si>
    <t>MAQYRB</t>
  </si>
  <si>
    <t>HHEMFS</t>
  </si>
  <si>
    <t>BHPFGJ</t>
  </si>
  <si>
    <t>LHUAFO</t>
  </si>
  <si>
    <t>UKUMRI</t>
  </si>
  <si>
    <t>RMCTEB</t>
  </si>
  <si>
    <t>EUDLCE</t>
  </si>
  <si>
    <t>DOJXHU</t>
  </si>
  <si>
    <t>LDWAFO</t>
  </si>
  <si>
    <t>ALFTAW</t>
  </si>
  <si>
    <t>ITPFGJ</t>
  </si>
  <si>
    <t>CTUACO</t>
  </si>
  <si>
    <t>QZDIRD</t>
  </si>
  <si>
    <t>LMRTEK</t>
  </si>
  <si>
    <t>EUDYEF</t>
  </si>
  <si>
    <t>ZKEPZD</t>
  </si>
  <si>
    <t>QWYRYH</t>
  </si>
  <si>
    <t>EHPFGJ</t>
  </si>
  <si>
    <t>ILFTAB</t>
  </si>
  <si>
    <t>ALFWAU</t>
  </si>
  <si>
    <t>UTUACO</t>
  </si>
  <si>
    <t>LMDFTO</t>
  </si>
  <si>
    <t>MHTAYE</t>
  </si>
  <si>
    <t>PAVWLE</t>
  </si>
  <si>
    <t>ULMLWB</t>
  </si>
  <si>
    <t>HHWAGC</t>
  </si>
  <si>
    <t>HLFWAI</t>
  </si>
  <si>
    <t>ETUAJY</t>
  </si>
  <si>
    <t>HGTMRY</t>
  </si>
  <si>
    <t>ERBYEF</t>
  </si>
  <si>
    <t>QUDYOD</t>
  </si>
  <si>
    <t>PAVHLE</t>
  </si>
  <si>
    <t>VLSBUH</t>
  </si>
  <si>
    <t>YBHMER</t>
  </si>
  <si>
    <t>DLFTAE</t>
  </si>
  <si>
    <t>BIWAFO</t>
  </si>
  <si>
    <t>TTUAGC</t>
  </si>
  <si>
    <t>RCLNMF</t>
  </si>
  <si>
    <t>FFTMGS</t>
  </si>
  <si>
    <t>DGEQDC</t>
  </si>
  <si>
    <t>VUIEOJ</t>
  </si>
  <si>
    <t>CZLRMY</t>
  </si>
  <si>
    <t>HXFRWP</t>
  </si>
  <si>
    <t>IHUAFO</t>
  </si>
  <si>
    <t>TKUMRI</t>
  </si>
  <si>
    <t>YMZTUD</t>
  </si>
  <si>
    <t>LRLIMY</t>
  </si>
  <si>
    <t>MQUDVE</t>
  </si>
  <si>
    <t>POXGLD</t>
  </si>
  <si>
    <t>URALVE</t>
  </si>
  <si>
    <t>EDWAFO</t>
  </si>
  <si>
    <t>ZHPFGJ</t>
  </si>
  <si>
    <t>TBFRUP</t>
  </si>
  <si>
    <t>MGTMRY</t>
  </si>
  <si>
    <t>GFTPDR</t>
  </si>
  <si>
    <t>BGEQBC</t>
  </si>
  <si>
    <t>NGEUIZ</t>
  </si>
  <si>
    <t>HXFIWP</t>
  </si>
  <si>
    <t>LISFRQ</t>
  </si>
  <si>
    <t>ZTPFGJ</t>
  </si>
  <si>
    <t>HHUKZO</t>
  </si>
  <si>
    <t>DHTAFI</t>
  </si>
  <si>
    <t>MQRBVE</t>
  </si>
  <si>
    <t>SSDHZF</t>
  </si>
  <si>
    <t>VUDZEF</t>
  </si>
  <si>
    <t>YZLRMY</t>
  </si>
  <si>
    <t>URYOLX</t>
  </si>
  <si>
    <t>XIQAFO</t>
  </si>
  <si>
    <t>LHSFRQ</t>
  </si>
  <si>
    <t>TTIMZA</t>
  </si>
  <si>
    <t>DMZVUD</t>
  </si>
  <si>
    <t>RFTMGS</t>
  </si>
  <si>
    <t>NGERIZ</t>
  </si>
  <si>
    <t>SSDXZF</t>
  </si>
  <si>
    <t>YAQGRS</t>
  </si>
  <si>
    <t>LDSFIQ</t>
  </si>
  <si>
    <t>XISFRQ</t>
  </si>
  <si>
    <t>BHQAFO</t>
  </si>
  <si>
    <t>LHUKZO</t>
  </si>
  <si>
    <t>QUMDJV</t>
  </si>
  <si>
    <t>GMZTUD</t>
  </si>
  <si>
    <t>SSBHZF</t>
  </si>
  <si>
    <t>RSDHZF</t>
  </si>
  <si>
    <t>LUDZOD</t>
  </si>
  <si>
    <t>OZLOHA</t>
  </si>
  <si>
    <t>UAQYRB</t>
  </si>
  <si>
    <t>XDQAFO</t>
  </si>
  <si>
    <t>IPNBIA</t>
  </si>
  <si>
    <t>BHSFRQ</t>
  </si>
  <si>
    <t>ITPZFJ</t>
  </si>
  <si>
    <t>DMCVEB</t>
  </si>
  <si>
    <t>LUCZBO</t>
  </si>
  <si>
    <t>KSDXZF</t>
  </si>
  <si>
    <t>EUDLIE</t>
  </si>
  <si>
    <t>ONHSLF</t>
  </si>
  <si>
    <t>XDSFIQ</t>
  </si>
  <si>
    <t>CIQAFO</t>
  </si>
  <si>
    <t>HPNIHA</t>
  </si>
  <si>
    <t>KLZWKU</t>
  </si>
  <si>
    <t>MHVAYR</t>
  </si>
  <si>
    <t>GMRTEK</t>
  </si>
  <si>
    <t>DSBHZF</t>
  </si>
  <si>
    <t>LUCZRO</t>
  </si>
  <si>
    <t>EUDZEF</t>
  </si>
  <si>
    <t>IRHBLF</t>
  </si>
  <si>
    <t>DPNEDA</t>
  </si>
  <si>
    <t>CHQAFO</t>
  </si>
  <si>
    <t>HLZWKI</t>
  </si>
  <si>
    <t>CRYMVM</t>
  </si>
  <si>
    <t>QZDIGD</t>
  </si>
  <si>
    <t>LRCZOU</t>
  </si>
  <si>
    <t>IGVPUS</t>
  </si>
  <si>
    <t>PJVHLE</t>
  </si>
  <si>
    <t>CDQAFO</t>
  </si>
  <si>
    <t>WEQHJU</t>
  </si>
  <si>
    <t>HTQAGC</t>
  </si>
  <si>
    <t>TTUKFY</t>
  </si>
  <si>
    <t>YGVUDU</t>
  </si>
  <si>
    <t>LMDYTO</t>
  </si>
  <si>
    <t>HDZPHY</t>
  </si>
  <si>
    <t>UUDHBD</t>
  </si>
  <si>
    <t>QUDZOD</t>
  </si>
  <si>
    <t>OBPMER</t>
  </si>
  <si>
    <t>MRHBLF</t>
  </si>
  <si>
    <t>DHQAGC</t>
  </si>
  <si>
    <t>IEQHJU</t>
  </si>
  <si>
    <t>IHUKZO</t>
  </si>
  <si>
    <t>CVNESM</t>
  </si>
  <si>
    <t>HFTMGS</t>
  </si>
  <si>
    <t>IGVPRS</t>
  </si>
  <si>
    <t>LSDHZF</t>
  </si>
  <si>
    <t>DYEQDI</t>
  </si>
  <si>
    <t>WRQHJU</t>
  </si>
  <si>
    <t>ZXFHHZ</t>
  </si>
  <si>
    <t>TBZRUP</t>
  </si>
  <si>
    <t>RHVAFQ</t>
  </si>
  <si>
    <t>GRLNMY</t>
  </si>
  <si>
    <t>RRBHOB</t>
  </si>
  <si>
    <t>UGZIDC</t>
  </si>
  <si>
    <t>LSDXZF</t>
  </si>
  <si>
    <t>ONPSVC</t>
  </si>
  <si>
    <t>UZLRMI</t>
  </si>
  <si>
    <t>DRQHJU</t>
  </si>
  <si>
    <t>CLFTAL</t>
  </si>
  <si>
    <t>ZBFTTZ</t>
  </si>
  <si>
    <t>STPZFJ</t>
  </si>
  <si>
    <t>SMZTUD</t>
  </si>
  <si>
    <t>LSBHZF</t>
  </si>
  <si>
    <t>WUCZBO</t>
  </si>
  <si>
    <t>NYEUGS</t>
  </si>
  <si>
    <t>XXFRQP</t>
  </si>
  <si>
    <t>CLFWAL</t>
  </si>
  <si>
    <t>LHAZRQ</t>
  </si>
  <si>
    <t>AHVAFX</t>
  </si>
  <si>
    <t>MFTMGS</t>
  </si>
  <si>
    <t>RGZIBC</t>
  </si>
  <si>
    <t>RSYZID</t>
  </si>
  <si>
    <t>HUCZRO</t>
  </si>
  <si>
    <t>AADXSF</t>
  </si>
  <si>
    <t>OZJNMY</t>
  </si>
  <si>
    <t>NHPFGJ</t>
  </si>
  <si>
    <t>BBFRQP</t>
  </si>
  <si>
    <t>BHQKZO</t>
  </si>
  <si>
    <t>RMDFVO</t>
  </si>
  <si>
    <t>DHTAYI</t>
  </si>
  <si>
    <t>WRCZOU</t>
  </si>
  <si>
    <t>GSDHZF</t>
  </si>
  <si>
    <t>KSYZID</t>
  </si>
  <si>
    <t>UULGSZ</t>
  </si>
  <si>
    <t>IZLRMI</t>
  </si>
  <si>
    <t>XXFIQP</t>
  </si>
  <si>
    <t>YXFRQP</t>
  </si>
  <si>
    <t>NTPFGJ</t>
  </si>
  <si>
    <t>BHAZRQ</t>
  </si>
  <si>
    <t>DSYZIB</t>
  </si>
  <si>
    <t>BPDUAZ</t>
  </si>
  <si>
    <t>GSDXZF</t>
  </si>
  <si>
    <t>KADXSF</t>
  </si>
  <si>
    <t>DZJOPA</t>
  </si>
  <si>
    <t>IAQYRB</t>
  </si>
  <si>
    <t>YBFRQP</t>
  </si>
  <si>
    <t>HPNIHK</t>
  </si>
  <si>
    <t>LMHMDR</t>
  </si>
  <si>
    <t>GSBHZF</t>
  </si>
  <si>
    <t>RPDUAZ</t>
  </si>
  <si>
    <t>LUISRO</t>
  </si>
  <si>
    <t>DNAJVE</t>
  </si>
  <si>
    <t>YXFIQP</t>
  </si>
  <si>
    <t>WISFRQ</t>
  </si>
  <si>
    <t>HTPFGJ</t>
  </si>
  <si>
    <t>YHQKZO</t>
  </si>
  <si>
    <t>DMRVEK</t>
  </si>
  <si>
    <t>OPBRAZ</t>
  </si>
  <si>
    <t>XKSPXZ</t>
  </si>
  <si>
    <t>BBPMER</t>
  </si>
  <si>
    <t>ONHBLF</t>
  </si>
  <si>
    <t>DHPFGJ</t>
  </si>
  <si>
    <t>QHBRFS</t>
  </si>
  <si>
    <t>UHSFRQ</t>
  </si>
  <si>
    <t>HTQKFY</t>
  </si>
  <si>
    <t>MHVASG</t>
  </si>
</sst>
</file>

<file path=xl/styles.xml><?xml version="1.0" encoding="utf-8"?>
<styleSheet xmlns="http://schemas.openxmlformats.org/spreadsheetml/2006/main">
  <numFmts count="7">
    <numFmt numFmtId="42" formatCode="_ &quot;€&quot;\ * #,##0_ ;_ &quot;€&quot;\ * \-#,##0_ ;_ &quot;€&quot;\ * &quot;-&quot;_ ;_ @_ "/>
    <numFmt numFmtId="44" formatCode="_ &quot;€&quot;\ * #,##0.00_ ;_ &quot;€&quot;\ * \-#,##0.00_ ;_ &quot;€&quot;\ * &quot;-&quot;??_ ;_ @_ "/>
    <numFmt numFmtId="164" formatCode="_-* #,##0.00_-;_-* #,##0.00\-;_-* &quot;-&quot;??_-;_-@_-"/>
    <numFmt numFmtId="165" formatCode="_(&quot;€&quot;\ * #,##0.00_);_(&quot;€&quot;\ * \(#,##0.00\);_(&quot;€&quot;\ * &quot;-&quot;??_);_(@_)"/>
    <numFmt numFmtId="166" formatCode="d\ mmmm\ yyyy"/>
    <numFmt numFmtId="167" formatCode="&quot;€&quot;\ #,##0"/>
    <numFmt numFmtId="168" formatCode="&quot;€&quot;\ #,##0.00"/>
  </numFmts>
  <fonts count="86">
    <font>
      <sz val="10"/>
      <name val="Arial"/>
    </font>
    <font>
      <sz val="10"/>
      <name val="Arial"/>
      <family val="2"/>
    </font>
    <font>
      <sz val="10"/>
      <name val="Arial"/>
      <family val="2"/>
    </font>
    <font>
      <sz val="18"/>
      <name val="Arial"/>
      <family val="2"/>
    </font>
    <font>
      <b/>
      <sz val="9"/>
      <color indexed="13"/>
      <name val="Arial"/>
      <family val="2"/>
    </font>
    <font>
      <sz val="10"/>
      <color indexed="10"/>
      <name val="Arial"/>
      <family val="2"/>
    </font>
    <font>
      <sz val="10"/>
      <color indexed="11"/>
      <name val="Arial"/>
      <family val="2"/>
    </font>
    <font>
      <sz val="10"/>
      <color indexed="9"/>
      <name val="Arial"/>
      <family val="2"/>
    </font>
    <font>
      <b/>
      <sz val="10"/>
      <name val="Arial"/>
      <family val="2"/>
    </font>
    <font>
      <sz val="10"/>
      <color indexed="22"/>
      <name val="Arial"/>
      <family val="2"/>
    </font>
    <font>
      <sz val="10"/>
      <color indexed="8"/>
      <name val="Arial"/>
      <family val="2"/>
    </font>
    <font>
      <sz val="14"/>
      <name val="Times New Roman"/>
      <family val="1"/>
    </font>
    <font>
      <u/>
      <sz val="10"/>
      <color indexed="12"/>
      <name val="Arial"/>
      <family val="2"/>
    </font>
    <font>
      <b/>
      <sz val="16"/>
      <name val="Times New Roman"/>
      <family val="1"/>
    </font>
    <font>
      <b/>
      <sz val="10"/>
      <color indexed="20"/>
      <name val="Arial"/>
      <family val="2"/>
    </font>
    <font>
      <b/>
      <sz val="12"/>
      <color indexed="13"/>
      <name val="Arial"/>
      <family val="2"/>
    </font>
    <font>
      <sz val="12"/>
      <color indexed="13"/>
      <name val="Arial"/>
      <family val="2"/>
    </font>
    <font>
      <sz val="10"/>
      <color indexed="13"/>
      <name val="Arial"/>
      <family val="2"/>
    </font>
    <font>
      <b/>
      <sz val="10"/>
      <color indexed="13"/>
      <name val="Arial"/>
      <family val="2"/>
    </font>
    <font>
      <b/>
      <sz val="14"/>
      <color indexed="13"/>
      <name val="Arial"/>
      <family val="2"/>
    </font>
    <font>
      <sz val="14"/>
      <name val="Arial"/>
      <family val="2"/>
    </font>
    <font>
      <b/>
      <sz val="12"/>
      <color indexed="13"/>
      <name val="Times New Roman"/>
      <family val="1"/>
    </font>
    <font>
      <b/>
      <sz val="20"/>
      <name val="Arial"/>
      <family val="2"/>
    </font>
    <font>
      <sz val="8"/>
      <name val="Arial"/>
      <family val="2"/>
    </font>
    <font>
      <sz val="8"/>
      <name val="Times New Roman"/>
      <family val="1"/>
    </font>
    <font>
      <b/>
      <sz val="18"/>
      <name val="Times New Roman"/>
      <family val="1"/>
    </font>
    <font>
      <b/>
      <sz val="12"/>
      <color indexed="8"/>
      <name val="Arial"/>
      <family val="2"/>
    </font>
    <font>
      <sz val="18"/>
      <color indexed="22"/>
      <name val="Arial"/>
      <family val="2"/>
    </font>
    <font>
      <sz val="11"/>
      <color indexed="8"/>
      <name val="Arial"/>
      <family val="2"/>
    </font>
    <font>
      <b/>
      <sz val="18"/>
      <name val="Arial"/>
      <family val="2"/>
    </font>
    <font>
      <b/>
      <sz val="20"/>
      <color indexed="18"/>
      <name val="Arial"/>
      <family val="2"/>
    </font>
    <font>
      <b/>
      <sz val="12"/>
      <name val="Arial"/>
      <family val="2"/>
    </font>
    <font>
      <u/>
      <sz val="10"/>
      <color indexed="12"/>
      <name val="Arial"/>
      <family val="2"/>
    </font>
    <font>
      <b/>
      <sz val="11"/>
      <name val="Arial"/>
      <family val="2"/>
    </font>
    <font>
      <b/>
      <sz val="8"/>
      <name val="Arial"/>
      <family val="2"/>
    </font>
    <font>
      <b/>
      <sz val="14"/>
      <color indexed="8"/>
      <name val="Arial"/>
      <family val="2"/>
    </font>
    <font>
      <b/>
      <sz val="14"/>
      <name val="Arial"/>
      <family val="2"/>
    </font>
    <font>
      <sz val="12"/>
      <color indexed="8"/>
      <name val="Arial"/>
      <family val="2"/>
    </font>
    <font>
      <sz val="12"/>
      <name val="Arial"/>
      <family val="2"/>
    </font>
    <font>
      <sz val="10"/>
      <name val="Tahoma"/>
      <family val="2"/>
    </font>
    <font>
      <sz val="18"/>
      <color indexed="22"/>
      <name val="Tahoma"/>
      <family val="2"/>
    </font>
    <font>
      <sz val="18"/>
      <color indexed="55"/>
      <name val="Arial"/>
      <family val="2"/>
    </font>
    <font>
      <sz val="8"/>
      <color indexed="11"/>
      <name val="Arial"/>
      <family val="2"/>
    </font>
    <font>
      <sz val="11"/>
      <name val="Arial"/>
      <family val="2"/>
    </font>
    <font>
      <b/>
      <sz val="11"/>
      <color indexed="8"/>
      <name val="Arial"/>
      <family val="2"/>
    </font>
    <font>
      <b/>
      <sz val="10"/>
      <color indexed="8"/>
      <name val="Arial"/>
      <family val="2"/>
    </font>
    <font>
      <sz val="18"/>
      <color indexed="11"/>
      <name val="Arial"/>
      <family val="2"/>
    </font>
    <font>
      <sz val="11"/>
      <color theme="1"/>
      <name val="Calibri"/>
      <family val="2"/>
      <scheme val="minor"/>
    </font>
    <font>
      <sz val="10"/>
      <color rgb="FFFF0000"/>
      <name val="Arial"/>
      <family val="2"/>
    </font>
    <font>
      <sz val="18"/>
      <color rgb="FFFF0000"/>
      <name val="Arial"/>
      <family val="2"/>
    </font>
    <font>
      <sz val="18"/>
      <color theme="0" tint="-0.249977111117893"/>
      <name val="Arial"/>
      <family val="2"/>
    </font>
    <font>
      <sz val="10"/>
      <color theme="0"/>
      <name val="Arial"/>
      <family val="2"/>
    </font>
    <font>
      <b/>
      <sz val="14"/>
      <color rgb="FFFFFF00"/>
      <name val="Arial"/>
      <family val="2"/>
    </font>
    <font>
      <b/>
      <sz val="10"/>
      <color rgb="FFFF0000"/>
      <name val="Arial"/>
      <family val="2"/>
    </font>
    <font>
      <sz val="10"/>
      <color theme="0" tint="-0.249977111117893"/>
      <name val="Arial"/>
      <family val="2"/>
    </font>
    <font>
      <b/>
      <sz val="10"/>
      <color theme="0" tint="-0.249977111117893"/>
      <name val="Arial"/>
      <family val="2"/>
    </font>
    <font>
      <sz val="12"/>
      <color rgb="FFFF0000"/>
      <name val="Arial"/>
      <family val="2"/>
    </font>
    <font>
      <sz val="8"/>
      <color rgb="FFFF0000"/>
      <name val="Arial"/>
      <family val="2"/>
    </font>
    <font>
      <sz val="9"/>
      <color rgb="FFFF0000"/>
      <name val="Arial"/>
      <family val="2"/>
    </font>
    <font>
      <sz val="18"/>
      <color rgb="FF00FF00"/>
      <name val="Arial"/>
      <family val="2"/>
    </font>
    <font>
      <sz val="12"/>
      <color theme="0" tint="-0.249977111117893"/>
      <name val="Arial"/>
      <family val="2"/>
    </font>
    <font>
      <sz val="11"/>
      <color rgb="FFFF0000"/>
      <name val="Arial"/>
      <family val="2"/>
    </font>
    <font>
      <b/>
      <sz val="12"/>
      <color rgb="FFFFFF00"/>
      <name val="Arial"/>
      <family val="2"/>
    </font>
    <font>
      <sz val="9"/>
      <color theme="0" tint="-0.249977111117893"/>
      <name val="Arial"/>
      <family val="2"/>
    </font>
    <font>
      <sz val="8"/>
      <color indexed="11"/>
      <name val="Calibri"/>
      <family val="2"/>
      <scheme val="minor"/>
    </font>
    <font>
      <sz val="8"/>
      <name val="Calibri"/>
      <family val="2"/>
      <scheme val="minor"/>
    </font>
    <font>
      <b/>
      <sz val="8"/>
      <name val="Calibri"/>
      <family val="2"/>
      <scheme val="minor"/>
    </font>
    <font>
      <sz val="8"/>
      <color indexed="8"/>
      <name val="Calibri"/>
      <family val="2"/>
      <scheme val="minor"/>
    </font>
    <font>
      <b/>
      <sz val="14"/>
      <color rgb="FF0000CC"/>
      <name val="Arial"/>
      <family val="2"/>
    </font>
    <font>
      <b/>
      <sz val="14"/>
      <color rgb="FFFF0000"/>
      <name val="Times New Roman"/>
      <family val="1"/>
    </font>
    <font>
      <sz val="18"/>
      <color rgb="FFC0C0C0"/>
      <name val="Arial"/>
      <family val="2"/>
    </font>
    <font>
      <b/>
      <sz val="16"/>
      <color rgb="FF0000CC"/>
      <name val="Times New Roman"/>
      <family val="1"/>
    </font>
    <font>
      <b/>
      <sz val="12"/>
      <color rgb="FF0000CC"/>
      <name val="Arial"/>
      <family val="2"/>
    </font>
    <font>
      <b/>
      <sz val="12"/>
      <color rgb="FFFF0000"/>
      <name val="Arial"/>
      <family val="2"/>
    </font>
    <font>
      <sz val="14"/>
      <color rgb="FF0000CC"/>
      <name val="Arial"/>
      <family val="2"/>
    </font>
    <font>
      <sz val="12"/>
      <color rgb="FF0000CC"/>
      <name val="Arial"/>
      <family val="2"/>
    </font>
    <font>
      <b/>
      <sz val="10"/>
      <color rgb="FF0000CC"/>
      <name val="Arial"/>
      <family val="2"/>
    </font>
    <font>
      <b/>
      <sz val="14"/>
      <color rgb="FFFF0000"/>
      <name val="Arial"/>
      <family val="2"/>
    </font>
    <font>
      <b/>
      <sz val="12"/>
      <color theme="1"/>
      <name val="Arial"/>
      <family val="2"/>
    </font>
    <font>
      <b/>
      <sz val="10"/>
      <color theme="0"/>
      <name val="Arial"/>
      <family val="2"/>
    </font>
    <font>
      <sz val="12"/>
      <color rgb="FFFFFF00"/>
      <name val="Arial"/>
      <family val="2"/>
    </font>
    <font>
      <sz val="10"/>
      <color rgb="FFFFFF00"/>
      <name val="Arial"/>
      <family val="2"/>
    </font>
    <font>
      <b/>
      <sz val="8"/>
      <color indexed="8"/>
      <name val="Arial"/>
      <family val="2"/>
    </font>
    <font>
      <sz val="11"/>
      <color rgb="FFFF0000"/>
      <name val="Calibri"/>
      <family val="2"/>
      <scheme val="minor"/>
    </font>
    <font>
      <b/>
      <sz val="12"/>
      <color rgb="FF7030A0"/>
      <name val="Arial"/>
      <family val="2"/>
    </font>
    <font>
      <b/>
      <sz val="18"/>
      <color rgb="FFFF0000"/>
      <name val="Arial"/>
      <family val="2"/>
    </font>
  </fonts>
  <fills count="23">
    <fill>
      <patternFill patternType="none"/>
    </fill>
    <fill>
      <patternFill patternType="gray125"/>
    </fill>
    <fill>
      <patternFill patternType="solid">
        <fgColor indexed="10"/>
        <bgColor indexed="64"/>
      </patternFill>
    </fill>
    <fill>
      <patternFill patternType="solid">
        <fgColor indexed="18"/>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00"/>
        <bgColor indexed="64"/>
      </patternFill>
    </fill>
    <fill>
      <patternFill patternType="solid">
        <fgColor rgb="FF00008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FF99"/>
        <bgColor indexed="64"/>
      </patternFill>
    </fill>
    <fill>
      <patternFill patternType="solid">
        <fgColor rgb="FFFF0000"/>
        <bgColor indexed="64"/>
      </patternFill>
    </fill>
    <fill>
      <patternFill patternType="solid">
        <fgColor rgb="FFC0C0C0"/>
        <bgColor indexed="64"/>
      </patternFill>
    </fill>
    <fill>
      <patternFill patternType="solid">
        <fgColor rgb="FFFFCCFF"/>
        <bgColor indexed="64"/>
      </patternFill>
    </fill>
    <fill>
      <patternFill patternType="solid">
        <fgColor rgb="FF00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13">
    <xf numFmtId="0" fontId="0" fillId="0" borderId="0"/>
    <xf numFmtId="165" fontId="1" fillId="0" borderId="0" applyFont="0" applyFill="0" applyBorder="0" applyAlignment="0" applyProtection="0"/>
    <xf numFmtId="165" fontId="2"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164" fontId="2" fillId="0" borderId="0" applyFont="0" applyFill="0" applyBorder="0" applyAlignment="0" applyProtection="0"/>
    <xf numFmtId="0" fontId="2" fillId="0" borderId="0"/>
    <xf numFmtId="0" fontId="2" fillId="0" borderId="0"/>
    <xf numFmtId="0" fontId="2" fillId="0" borderId="0"/>
    <xf numFmtId="0" fontId="47" fillId="0" borderId="0"/>
    <xf numFmtId="0" fontId="47" fillId="0" borderId="0"/>
    <xf numFmtId="0" fontId="1" fillId="0" borderId="0"/>
  </cellStyleXfs>
  <cellXfs count="753">
    <xf numFmtId="0" fontId="0" fillId="0" borderId="0" xfId="0"/>
    <xf numFmtId="0" fontId="0" fillId="2" borderId="0" xfId="0" applyFill="1" applyProtection="1">
      <protection hidden="1"/>
    </xf>
    <xf numFmtId="0" fontId="4" fillId="3" borderId="0" xfId="0" applyFont="1" applyFill="1" applyProtection="1">
      <protection hidden="1"/>
    </xf>
    <xf numFmtId="0" fontId="0" fillId="2" borderId="0" xfId="0" applyFill="1" applyAlignment="1" applyProtection="1">
      <protection hidden="1"/>
    </xf>
    <xf numFmtId="0" fontId="5" fillId="2" borderId="0" xfId="0" applyFont="1" applyFill="1" applyProtection="1">
      <protection hidden="1"/>
    </xf>
    <xf numFmtId="0" fontId="2" fillId="0" borderId="0" xfId="0" applyFont="1"/>
    <xf numFmtId="0" fontId="2" fillId="2" borderId="0" xfId="0" applyFont="1" applyFill="1" applyProtection="1">
      <protection hidden="1"/>
    </xf>
    <xf numFmtId="0" fontId="0" fillId="4" borderId="0" xfId="0" applyFill="1" applyProtection="1">
      <protection hidden="1"/>
    </xf>
    <xf numFmtId="0" fontId="3" fillId="4" borderId="0" xfId="0" applyFont="1" applyFill="1" applyProtection="1">
      <protection hidden="1"/>
    </xf>
    <xf numFmtId="0" fontId="8" fillId="4" borderId="0" xfId="0" applyFont="1" applyFill="1" applyProtection="1">
      <protection hidden="1"/>
    </xf>
    <xf numFmtId="0" fontId="10" fillId="5" borderId="0" xfId="0" applyFont="1" applyFill="1" applyAlignment="1" applyProtection="1">
      <protection hidden="1"/>
    </xf>
    <xf numFmtId="0" fontId="9" fillId="6" borderId="0" xfId="0" applyFont="1" applyFill="1" applyAlignment="1" applyProtection="1">
      <protection hidden="1"/>
    </xf>
    <xf numFmtId="0" fontId="11" fillId="5" borderId="0" xfId="0" applyFont="1" applyFill="1" applyAlignment="1" applyProtection="1">
      <protection hidden="1"/>
    </xf>
    <xf numFmtId="0" fontId="0" fillId="0" borderId="0" xfId="0" applyFill="1"/>
    <xf numFmtId="0" fontId="7" fillId="5" borderId="0" xfId="0" applyFont="1" applyFill="1" applyAlignment="1" applyProtection="1">
      <protection hidden="1"/>
    </xf>
    <xf numFmtId="0" fontId="2" fillId="4" borderId="0" xfId="0" applyFont="1" applyFill="1" applyAlignment="1" applyProtection="1">
      <protection hidden="1"/>
    </xf>
    <xf numFmtId="0" fontId="13" fillId="5" borderId="0" xfId="0" applyFont="1" applyFill="1" applyAlignment="1" applyProtection="1">
      <protection hidden="1"/>
    </xf>
    <xf numFmtId="0" fontId="0" fillId="4" borderId="0" xfId="0" applyFill="1" applyAlignment="1" applyProtection="1">
      <protection hidden="1"/>
    </xf>
    <xf numFmtId="0" fontId="14" fillId="4" borderId="0" xfId="0" applyFont="1" applyFill="1" applyProtection="1">
      <protection hidden="1"/>
    </xf>
    <xf numFmtId="0" fontId="15" fillId="3" borderId="0" xfId="0" applyFont="1" applyFill="1" applyProtection="1">
      <protection hidden="1"/>
    </xf>
    <xf numFmtId="0" fontId="16" fillId="3" borderId="0" xfId="0" applyFont="1" applyFill="1" applyProtection="1">
      <protection hidden="1"/>
    </xf>
    <xf numFmtId="0" fontId="17" fillId="3" borderId="0" xfId="0" applyFont="1" applyFill="1" applyProtection="1">
      <protection hidden="1"/>
    </xf>
    <xf numFmtId="0" fontId="18" fillId="3" borderId="0" xfId="0" applyFont="1" applyFill="1" applyProtection="1">
      <protection hidden="1"/>
    </xf>
    <xf numFmtId="0" fontId="19" fillId="3" borderId="0" xfId="0" applyFont="1" applyFill="1" applyProtection="1">
      <protection hidden="1"/>
    </xf>
    <xf numFmtId="0" fontId="5" fillId="5" borderId="0" xfId="0" applyFont="1" applyFill="1" applyAlignment="1" applyProtection="1">
      <protection hidden="1"/>
    </xf>
    <xf numFmtId="0" fontId="0" fillId="5" borderId="0" xfId="0" applyFill="1" applyAlignment="1" applyProtection="1">
      <protection hidden="1"/>
    </xf>
    <xf numFmtId="0" fontId="0" fillId="5" borderId="0" xfId="0" applyFill="1" applyProtection="1">
      <protection hidden="1"/>
    </xf>
    <xf numFmtId="0" fontId="17" fillId="5" borderId="0" xfId="0" applyFont="1" applyFill="1" applyProtection="1">
      <protection hidden="1"/>
    </xf>
    <xf numFmtId="0" fontId="11" fillId="3" borderId="0" xfId="0" applyFont="1" applyFill="1" applyAlignment="1" applyProtection="1">
      <protection hidden="1"/>
    </xf>
    <xf numFmtId="0" fontId="21" fillId="3" borderId="0" xfId="0" applyFont="1" applyFill="1" applyAlignment="1" applyProtection="1">
      <protection hidden="1"/>
    </xf>
    <xf numFmtId="0" fontId="0" fillId="3" borderId="0" xfId="0" applyFill="1" applyAlignment="1" applyProtection="1">
      <protection hidden="1"/>
    </xf>
    <xf numFmtId="0" fontId="0" fillId="3" borderId="0" xfId="0" applyFill="1" applyProtection="1">
      <protection hidden="1"/>
    </xf>
    <xf numFmtId="0" fontId="9" fillId="6" borderId="0" xfId="0" applyFont="1" applyFill="1" applyProtection="1">
      <protection hidden="1"/>
    </xf>
    <xf numFmtId="0" fontId="8" fillId="4" borderId="0" xfId="0" applyFont="1" applyFill="1" applyAlignment="1" applyProtection="1">
      <alignment horizontal="center"/>
      <protection hidden="1"/>
    </xf>
    <xf numFmtId="0" fontId="8" fillId="4" borderId="0" xfId="0" applyFont="1" applyFill="1" applyAlignment="1" applyProtection="1">
      <alignment vertical="top"/>
      <protection hidden="1"/>
    </xf>
    <xf numFmtId="0" fontId="25" fillId="5" borderId="0" xfId="0" applyFont="1" applyFill="1" applyAlignment="1" applyProtection="1">
      <protection hidden="1"/>
    </xf>
    <xf numFmtId="0" fontId="0" fillId="5" borderId="0" xfId="0" applyFill="1" applyAlignment="1" applyProtection="1">
      <alignment horizontal="right"/>
      <protection hidden="1"/>
    </xf>
    <xf numFmtId="0" fontId="30" fillId="4" borderId="0" xfId="0" applyFont="1" applyFill="1" applyProtection="1">
      <protection hidden="1"/>
    </xf>
    <xf numFmtId="0" fontId="11" fillId="7" borderId="0" xfId="0" applyFont="1" applyFill="1" applyAlignment="1" applyProtection="1">
      <protection hidden="1"/>
    </xf>
    <xf numFmtId="0" fontId="0" fillId="0" borderId="0" xfId="0" applyAlignment="1" applyProtection="1">
      <protection hidden="1"/>
    </xf>
    <xf numFmtId="0" fontId="2" fillId="7" borderId="0" xfId="0" applyFont="1" applyFill="1" applyAlignment="1" applyProtection="1">
      <alignment horizontal="right"/>
      <protection hidden="1"/>
    </xf>
    <xf numFmtId="0" fontId="9" fillId="7" borderId="0" xfId="0" applyFont="1" applyFill="1" applyProtection="1">
      <protection hidden="1"/>
    </xf>
    <xf numFmtId="0" fontId="9" fillId="7" borderId="0" xfId="0" applyFont="1" applyFill="1" applyAlignment="1" applyProtection="1">
      <protection hidden="1"/>
    </xf>
    <xf numFmtId="0" fontId="0" fillId="7" borderId="0" xfId="0" applyFill="1" applyProtection="1">
      <protection hidden="1"/>
    </xf>
    <xf numFmtId="0" fontId="48" fillId="7" borderId="0" xfId="0" applyFont="1" applyFill="1" applyAlignment="1" applyProtection="1">
      <protection hidden="1"/>
    </xf>
    <xf numFmtId="0" fontId="34" fillId="7" borderId="0" xfId="0" applyFont="1" applyFill="1" applyAlignment="1" applyProtection="1">
      <alignment vertical="center"/>
      <protection hidden="1"/>
    </xf>
    <xf numFmtId="0" fontId="34" fillId="0" borderId="0" xfId="0" applyFont="1" applyAlignment="1" applyProtection="1">
      <alignment vertical="center"/>
      <protection hidden="1"/>
    </xf>
    <xf numFmtId="0" fontId="27" fillId="9" borderId="0" xfId="0" applyFont="1" applyFill="1" applyProtection="1">
      <protection hidden="1"/>
    </xf>
    <xf numFmtId="0" fontId="49" fillId="9" borderId="0" xfId="0" applyFont="1" applyFill="1" applyProtection="1">
      <protection hidden="1"/>
    </xf>
    <xf numFmtId="0" fontId="50" fillId="9" borderId="0" xfId="0" applyFont="1" applyFill="1" applyProtection="1">
      <protection hidden="1"/>
    </xf>
    <xf numFmtId="0" fontId="48" fillId="0" borderId="0" xfId="0" applyFont="1" applyProtection="1">
      <protection hidden="1"/>
    </xf>
    <xf numFmtId="0" fontId="51" fillId="0" borderId="0" xfId="0" applyFont="1" applyProtection="1">
      <protection hidden="1"/>
    </xf>
    <xf numFmtId="0" fontId="51" fillId="0" borderId="0" xfId="0" applyFont="1" applyAlignment="1" applyProtection="1">
      <alignment horizontal="center"/>
      <protection hidden="1"/>
    </xf>
    <xf numFmtId="0" fontId="52" fillId="3" borderId="0" xfId="0" applyFont="1" applyFill="1" applyProtection="1">
      <protection hidden="1"/>
    </xf>
    <xf numFmtId="0" fontId="53" fillId="7" borderId="0" xfId="0" applyFont="1" applyFill="1" applyAlignment="1" applyProtection="1">
      <protection hidden="1"/>
    </xf>
    <xf numFmtId="0" fontId="0" fillId="7" borderId="0" xfId="0" applyFill="1" applyAlignment="1" applyProtection="1">
      <alignment vertical="center"/>
      <protection hidden="1"/>
    </xf>
    <xf numFmtId="0" fontId="23" fillId="7" borderId="1" xfId="0" applyFont="1" applyFill="1" applyBorder="1"/>
    <xf numFmtId="0" fontId="23" fillId="7" borderId="0" xfId="0" applyFont="1" applyFill="1" applyAlignment="1" applyProtection="1">
      <protection hidden="1"/>
    </xf>
    <xf numFmtId="0" fontId="24" fillId="7" borderId="0" xfId="0" applyFont="1" applyFill="1" applyAlignment="1" applyProtection="1">
      <protection hidden="1"/>
    </xf>
    <xf numFmtId="0" fontId="23" fillId="7" borderId="0" xfId="0" applyFont="1" applyFill="1" applyAlignment="1" applyProtection="1">
      <alignment vertical="center"/>
      <protection hidden="1"/>
    </xf>
    <xf numFmtId="0" fontId="2" fillId="2" borderId="0" xfId="7" applyFill="1" applyProtection="1">
      <protection hidden="1"/>
    </xf>
    <xf numFmtId="0" fontId="8" fillId="4" borderId="0" xfId="7" applyFont="1" applyFill="1" applyAlignment="1" applyProtection="1">
      <alignment vertical="top"/>
      <protection hidden="1"/>
    </xf>
    <xf numFmtId="0" fontId="8" fillId="4" borderId="0" xfId="7" applyFont="1" applyFill="1" applyProtection="1">
      <protection hidden="1"/>
    </xf>
    <xf numFmtId="0" fontId="3" fillId="4" borderId="0" xfId="7" applyFont="1" applyFill="1" applyProtection="1">
      <protection hidden="1"/>
    </xf>
    <xf numFmtId="0" fontId="23" fillId="4" borderId="0" xfId="7" applyFont="1" applyFill="1" applyAlignment="1" applyProtection="1">
      <alignment horizontal="left" vertical="center"/>
      <protection hidden="1"/>
    </xf>
    <xf numFmtId="0" fontId="2" fillId="0" borderId="0" xfId="7" applyFill="1"/>
    <xf numFmtId="0" fontId="2" fillId="0" borderId="0" xfId="7"/>
    <xf numFmtId="0" fontId="2" fillId="4" borderId="0" xfId="7" applyFill="1" applyProtection="1">
      <protection hidden="1"/>
    </xf>
    <xf numFmtId="0" fontId="4" fillId="3" borderId="0" xfId="7" applyFont="1" applyFill="1" applyProtection="1">
      <protection hidden="1"/>
    </xf>
    <xf numFmtId="0" fontId="2" fillId="2" borderId="0" xfId="7" applyFill="1" applyAlignment="1" applyProtection="1">
      <protection hidden="1"/>
    </xf>
    <xf numFmtId="0" fontId="10" fillId="5" borderId="0" xfId="7" applyFont="1" applyFill="1" applyAlignment="1" applyProtection="1">
      <protection hidden="1"/>
    </xf>
    <xf numFmtId="0" fontId="2" fillId="5" borderId="0" xfId="7" applyFill="1" applyAlignment="1" applyProtection="1">
      <protection hidden="1"/>
    </xf>
    <xf numFmtId="0" fontId="2" fillId="5" borderId="0" xfId="7" applyFill="1" applyProtection="1">
      <protection hidden="1"/>
    </xf>
    <xf numFmtId="0" fontId="13" fillId="5" borderId="0" xfId="7" applyFont="1" applyFill="1" applyAlignment="1" applyProtection="1">
      <protection hidden="1"/>
    </xf>
    <xf numFmtId="0" fontId="11" fillId="5" borderId="0" xfId="7" applyFont="1" applyFill="1" applyAlignment="1" applyProtection="1">
      <protection hidden="1"/>
    </xf>
    <xf numFmtId="0" fontId="11" fillId="3" borderId="0" xfId="7" applyFont="1" applyFill="1" applyAlignment="1" applyProtection="1">
      <protection hidden="1"/>
    </xf>
    <xf numFmtId="0" fontId="2" fillId="3" borderId="0" xfId="7" applyFill="1" applyAlignment="1" applyProtection="1">
      <protection hidden="1"/>
    </xf>
    <xf numFmtId="0" fontId="2" fillId="3" borderId="0" xfId="7" applyFill="1" applyProtection="1">
      <protection hidden="1"/>
    </xf>
    <xf numFmtId="0" fontId="54" fillId="9" borderId="0" xfId="0" applyFont="1" applyFill="1" applyProtection="1">
      <protection hidden="1"/>
    </xf>
    <xf numFmtId="0" fontId="0" fillId="0" borderId="0" xfId="0" applyProtection="1">
      <protection hidden="1"/>
    </xf>
    <xf numFmtId="0" fontId="0" fillId="0" borderId="0" xfId="0" applyFill="1" applyProtection="1">
      <protection hidden="1"/>
    </xf>
    <xf numFmtId="0" fontId="37" fillId="5" borderId="0" xfId="0" applyFont="1" applyFill="1" applyAlignment="1" applyProtection="1">
      <alignment horizontal="center" vertical="center"/>
      <protection hidden="1"/>
    </xf>
    <xf numFmtId="0" fontId="2" fillId="2" borderId="0" xfId="7" applyFont="1" applyFill="1" applyProtection="1">
      <protection hidden="1"/>
    </xf>
    <xf numFmtId="0" fontId="5" fillId="2" borderId="0" xfId="7" applyFont="1" applyFill="1" applyProtection="1">
      <protection hidden="1"/>
    </xf>
    <xf numFmtId="0" fontId="8" fillId="4" borderId="0" xfId="7" applyFont="1" applyFill="1" applyAlignment="1" applyProtection="1">
      <alignment horizontal="center"/>
      <protection hidden="1"/>
    </xf>
    <xf numFmtId="0" fontId="54" fillId="9" borderId="0" xfId="7" applyFont="1" applyFill="1" applyAlignment="1" applyProtection="1">
      <protection hidden="1"/>
    </xf>
    <xf numFmtId="0" fontId="54" fillId="9" borderId="0" xfId="7" applyFont="1" applyFill="1" applyProtection="1">
      <protection hidden="1"/>
    </xf>
    <xf numFmtId="0" fontId="55" fillId="9" borderId="0" xfId="7" applyFont="1" applyFill="1" applyAlignment="1" applyProtection="1">
      <alignment horizontal="center"/>
      <protection hidden="1"/>
    </xf>
    <xf numFmtId="0" fontId="10" fillId="7" borderId="2" xfId="0" applyFont="1" applyFill="1" applyBorder="1" applyAlignment="1" applyProtection="1">
      <protection hidden="1"/>
    </xf>
    <xf numFmtId="0" fontId="10" fillId="7" borderId="0" xfId="7" applyFont="1" applyFill="1" applyAlignment="1" applyProtection="1">
      <protection hidden="1"/>
    </xf>
    <xf numFmtId="0" fontId="26" fillId="5" borderId="0" xfId="0" applyFont="1" applyFill="1" applyAlignment="1" applyProtection="1">
      <protection hidden="1"/>
    </xf>
    <xf numFmtId="0" fontId="5" fillId="7" borderId="0" xfId="0" applyFont="1" applyFill="1" applyAlignment="1" applyProtection="1">
      <protection hidden="1"/>
    </xf>
    <xf numFmtId="0" fontId="37" fillId="5" borderId="0" xfId="0" applyFont="1" applyFill="1" applyAlignment="1" applyProtection="1">
      <protection hidden="1"/>
    </xf>
    <xf numFmtId="0" fontId="48" fillId="9" borderId="0" xfId="0" applyFont="1" applyFill="1" applyProtection="1">
      <protection hidden="1"/>
    </xf>
    <xf numFmtId="0" fontId="56" fillId="9" borderId="0" xfId="0" applyFont="1" applyFill="1" applyProtection="1">
      <protection hidden="1"/>
    </xf>
    <xf numFmtId="0" fontId="49" fillId="10" borderId="0" xfId="0" applyFont="1" applyFill="1" applyProtection="1">
      <protection hidden="1"/>
    </xf>
    <xf numFmtId="0" fontId="48" fillId="9" borderId="0" xfId="7" applyFont="1" applyFill="1" applyProtection="1">
      <protection hidden="1"/>
    </xf>
    <xf numFmtId="0" fontId="48" fillId="9" borderId="0" xfId="7" applyFont="1" applyFill="1" applyAlignment="1" applyProtection="1">
      <protection hidden="1"/>
    </xf>
    <xf numFmtId="0" fontId="10" fillId="5" borderId="0" xfId="7" applyFont="1" applyFill="1" applyAlignment="1" applyProtection="1">
      <alignment horizontal="right"/>
      <protection hidden="1"/>
    </xf>
    <xf numFmtId="0" fontId="37" fillId="5" borderId="0" xfId="7" applyFont="1" applyFill="1" applyAlignment="1" applyProtection="1">
      <alignment horizontal="center" vertical="center"/>
      <protection hidden="1"/>
    </xf>
    <xf numFmtId="0" fontId="39" fillId="5" borderId="0" xfId="7" applyFont="1" applyFill="1" applyProtection="1">
      <protection hidden="1"/>
    </xf>
    <xf numFmtId="0" fontId="10" fillId="5" borderId="3" xfId="0" applyFont="1" applyFill="1" applyBorder="1" applyAlignment="1" applyProtection="1">
      <protection hidden="1"/>
    </xf>
    <xf numFmtId="0" fontId="37" fillId="5" borderId="3" xfId="0" applyFont="1" applyFill="1" applyBorder="1" applyAlignment="1" applyProtection="1">
      <alignment horizontal="center" vertical="center"/>
      <protection hidden="1"/>
    </xf>
    <xf numFmtId="0" fontId="57" fillId="9" borderId="0" xfId="0" applyFont="1" applyFill="1" applyProtection="1">
      <protection hidden="1"/>
    </xf>
    <xf numFmtId="0" fontId="48" fillId="10" borderId="0" xfId="0" applyFont="1" applyFill="1" applyProtection="1">
      <protection hidden="1"/>
    </xf>
    <xf numFmtId="0" fontId="57" fillId="10" borderId="0" xfId="0" applyFont="1" applyFill="1" applyProtection="1">
      <protection hidden="1"/>
    </xf>
    <xf numFmtId="0" fontId="0" fillId="7" borderId="0" xfId="0" applyFill="1" applyAlignment="1" applyProtection="1">
      <alignment horizontal="center" vertical="center"/>
      <protection hidden="1"/>
    </xf>
    <xf numFmtId="0" fontId="0" fillId="0" borderId="0" xfId="0" applyBorder="1" applyAlignment="1" applyProtection="1">
      <protection hidden="1"/>
    </xf>
    <xf numFmtId="0" fontId="9" fillId="6" borderId="0" xfId="7" applyFont="1" applyFill="1" applyProtection="1">
      <protection hidden="1"/>
    </xf>
    <xf numFmtId="0" fontId="9" fillId="6" borderId="0" xfId="7" applyFont="1" applyFill="1" applyAlignment="1" applyProtection="1">
      <protection hidden="1"/>
    </xf>
    <xf numFmtId="0" fontId="25" fillId="5" borderId="0" xfId="7" applyFont="1" applyFill="1" applyAlignment="1" applyProtection="1">
      <protection hidden="1"/>
    </xf>
    <xf numFmtId="0" fontId="20" fillId="7" borderId="0" xfId="0" applyFont="1" applyFill="1" applyAlignment="1" applyProtection="1">
      <protection hidden="1"/>
    </xf>
    <xf numFmtId="0" fontId="40" fillId="9" borderId="0" xfId="0" applyFont="1" applyFill="1" applyProtection="1">
      <protection hidden="1"/>
    </xf>
    <xf numFmtId="0" fontId="48" fillId="5" borderId="0" xfId="0" applyFont="1" applyFill="1" applyProtection="1">
      <protection hidden="1"/>
    </xf>
    <xf numFmtId="0" fontId="48" fillId="5" borderId="0" xfId="0" applyFont="1" applyFill="1" applyAlignment="1" applyProtection="1">
      <protection hidden="1"/>
    </xf>
    <xf numFmtId="0" fontId="48" fillId="10" borderId="0" xfId="0" applyFont="1" applyFill="1" applyAlignment="1" applyProtection="1">
      <protection hidden="1"/>
    </xf>
    <xf numFmtId="0" fontId="54" fillId="9" borderId="0" xfId="0" applyFont="1" applyFill="1" applyAlignment="1" applyProtection="1">
      <protection hidden="1"/>
    </xf>
    <xf numFmtId="0" fontId="23" fillId="0" borderId="1" xfId="0" applyFont="1" applyFill="1" applyBorder="1"/>
    <xf numFmtId="0" fontId="48" fillId="7" borderId="0" xfId="0" applyFont="1" applyFill="1" applyProtection="1">
      <protection hidden="1"/>
    </xf>
    <xf numFmtId="0" fontId="58" fillId="9" borderId="0" xfId="0" applyFont="1" applyFill="1" applyProtection="1">
      <protection hidden="1"/>
    </xf>
    <xf numFmtId="0" fontId="2" fillId="9" borderId="0" xfId="0" applyFont="1" applyFill="1" applyProtection="1">
      <protection hidden="1"/>
    </xf>
    <xf numFmtId="0" fontId="56" fillId="9" borderId="0" xfId="0" applyFont="1" applyFill="1" applyAlignment="1" applyProtection="1">
      <alignment horizontal="center"/>
      <protection hidden="1"/>
    </xf>
    <xf numFmtId="0" fontId="35" fillId="7" borderId="0" xfId="0" applyFont="1" applyFill="1" applyAlignment="1" applyProtection="1">
      <protection hidden="1"/>
    </xf>
    <xf numFmtId="0" fontId="27" fillId="10" borderId="0" xfId="0" applyFont="1" applyFill="1" applyProtection="1">
      <protection hidden="1"/>
    </xf>
    <xf numFmtId="0" fontId="11" fillId="7" borderId="0" xfId="0" applyNumberFormat="1" applyFont="1" applyFill="1" applyAlignment="1" applyProtection="1">
      <protection hidden="1"/>
    </xf>
    <xf numFmtId="0" fontId="20" fillId="7" borderId="0" xfId="0" applyFont="1" applyFill="1" applyAlignment="1" applyProtection="1">
      <alignment horizontal="right"/>
      <protection hidden="1"/>
    </xf>
    <xf numFmtId="0" fontId="10" fillId="7" borderId="0" xfId="0" applyFont="1" applyFill="1" applyAlignment="1" applyProtection="1">
      <protection hidden="1"/>
    </xf>
    <xf numFmtId="0" fontId="27" fillId="9" borderId="0" xfId="0" applyFont="1" applyFill="1" applyAlignment="1" applyProtection="1">
      <protection hidden="1"/>
    </xf>
    <xf numFmtId="0" fontId="48" fillId="9" borderId="0" xfId="0" applyFont="1" applyFill="1" applyAlignment="1" applyProtection="1">
      <alignment horizontal="center" vertical="center"/>
      <protection hidden="1"/>
    </xf>
    <xf numFmtId="0" fontId="25" fillId="7" borderId="0" xfId="0" applyFont="1" applyFill="1" applyAlignment="1" applyProtection="1">
      <protection hidden="1"/>
    </xf>
    <xf numFmtId="0" fontId="56" fillId="9" borderId="0" xfId="0" applyFont="1" applyFill="1" applyAlignment="1" applyProtection="1">
      <protection hidden="1"/>
    </xf>
    <xf numFmtId="0" fontId="57" fillId="9" borderId="0" xfId="0" applyFont="1" applyFill="1" applyAlignment="1" applyProtection="1">
      <alignment horizontal="center" vertical="center"/>
      <protection hidden="1"/>
    </xf>
    <xf numFmtId="0" fontId="13" fillId="7" borderId="0" xfId="0" applyFont="1" applyFill="1" applyAlignment="1" applyProtection="1">
      <protection hidden="1"/>
    </xf>
    <xf numFmtId="0" fontId="26" fillId="7" borderId="0" xfId="0" applyFont="1" applyFill="1" applyAlignment="1" applyProtection="1">
      <alignment horizontal="right"/>
      <protection hidden="1"/>
    </xf>
    <xf numFmtId="0" fontId="59" fillId="3" borderId="0" xfId="0" applyFont="1" applyFill="1" applyAlignment="1" applyProtection="1">
      <alignment horizontal="right"/>
      <protection hidden="1"/>
    </xf>
    <xf numFmtId="0" fontId="2" fillId="0" borderId="0" xfId="0" applyFont="1" applyProtection="1">
      <protection hidden="1"/>
    </xf>
    <xf numFmtId="0" fontId="0" fillId="6" borderId="0" xfId="0" applyFill="1" applyProtection="1">
      <protection hidden="1"/>
    </xf>
    <xf numFmtId="0" fontId="2" fillId="0" borderId="0" xfId="7" applyProtection="1">
      <protection hidden="1"/>
    </xf>
    <xf numFmtId="0" fontId="2" fillId="0" borderId="0" xfId="7" applyFill="1" applyProtection="1">
      <protection hidden="1"/>
    </xf>
    <xf numFmtId="0" fontId="2" fillId="6" borderId="0" xfId="7" applyFill="1" applyProtection="1">
      <protection hidden="1"/>
    </xf>
    <xf numFmtId="0" fontId="10" fillId="5" borderId="0" xfId="0" applyFont="1" applyFill="1" applyAlignment="1" applyProtection="1">
      <alignment horizontal="center"/>
      <protection hidden="1"/>
    </xf>
    <xf numFmtId="0" fontId="2" fillId="7" borderId="0" xfId="7" applyFill="1" applyProtection="1">
      <protection hidden="1"/>
    </xf>
    <xf numFmtId="0" fontId="0" fillId="10" borderId="0" xfId="0" applyFill="1" applyProtection="1">
      <protection hidden="1"/>
    </xf>
    <xf numFmtId="0" fontId="10" fillId="10" borderId="0" xfId="0" applyFont="1" applyFill="1" applyAlignment="1" applyProtection="1">
      <alignment horizontal="center"/>
      <protection hidden="1"/>
    </xf>
    <xf numFmtId="0" fontId="56" fillId="0" borderId="0" xfId="0" applyFont="1" applyProtection="1">
      <protection hidden="1"/>
    </xf>
    <xf numFmtId="0" fontId="53" fillId="7" borderId="0" xfId="0" applyFont="1" applyFill="1" applyProtection="1">
      <protection hidden="1"/>
    </xf>
    <xf numFmtId="0" fontId="8" fillId="7" borderId="0" xfId="0" applyFont="1" applyFill="1" applyAlignment="1" applyProtection="1">
      <protection hidden="1"/>
    </xf>
    <xf numFmtId="0" fontId="0" fillId="7" borderId="0" xfId="0" applyFill="1" applyBorder="1" applyProtection="1">
      <protection hidden="1"/>
    </xf>
    <xf numFmtId="0" fontId="0" fillId="7" borderId="0" xfId="0" applyFill="1" applyAlignment="1" applyProtection="1">
      <alignment horizontal="right"/>
      <protection hidden="1"/>
    </xf>
    <xf numFmtId="0" fontId="2" fillId="7" borderId="0" xfId="0" applyFont="1" applyFill="1" applyProtection="1">
      <protection hidden="1"/>
    </xf>
    <xf numFmtId="0" fontId="8" fillId="7" borderId="0" xfId="0" applyFont="1" applyFill="1" applyAlignment="1" applyProtection="1">
      <alignment horizontal="center"/>
      <protection hidden="1"/>
    </xf>
    <xf numFmtId="0" fontId="34" fillId="7" borderId="0" xfId="0" applyFont="1" applyFill="1" applyAlignment="1" applyProtection="1">
      <alignment vertical="top"/>
      <protection hidden="1"/>
    </xf>
    <xf numFmtId="0" fontId="8" fillId="0" borderId="0" xfId="0" applyFont="1" applyAlignment="1" applyProtection="1">
      <alignment vertical="center" wrapText="1"/>
      <protection hidden="1"/>
    </xf>
    <xf numFmtId="0" fontId="31" fillId="7" borderId="0" xfId="0" applyFont="1" applyFill="1" applyAlignment="1" applyProtection="1">
      <alignment horizontal="right"/>
      <protection hidden="1"/>
    </xf>
    <xf numFmtId="0" fontId="31" fillId="7" borderId="0" xfId="0" applyFont="1" applyFill="1" applyProtection="1">
      <protection hidden="1"/>
    </xf>
    <xf numFmtId="0" fontId="0" fillId="0" borderId="0" xfId="0" applyAlignment="1" applyProtection="1">
      <alignment horizontal="left"/>
      <protection hidden="1"/>
    </xf>
    <xf numFmtId="0" fontId="23" fillId="7" borderId="0" xfId="0" applyFont="1" applyFill="1" applyProtection="1">
      <protection hidden="1"/>
    </xf>
    <xf numFmtId="0" fontId="23" fillId="7" borderId="0" xfId="0" applyFont="1" applyFill="1" applyBorder="1" applyProtection="1">
      <protection hidden="1"/>
    </xf>
    <xf numFmtId="0" fontId="0" fillId="7" borderId="2" xfId="0" applyFill="1" applyBorder="1" applyProtection="1">
      <protection hidden="1"/>
    </xf>
    <xf numFmtId="0" fontId="23" fillId="7" borderId="1" xfId="0" applyFont="1" applyFill="1" applyBorder="1" applyProtection="1">
      <protection hidden="1"/>
    </xf>
    <xf numFmtId="0" fontId="23" fillId="7" borderId="4" xfId="0" applyFont="1" applyFill="1" applyBorder="1" applyProtection="1">
      <protection hidden="1"/>
    </xf>
    <xf numFmtId="0" fontId="2" fillId="7" borderId="2" xfId="0" applyFont="1" applyFill="1" applyBorder="1" applyAlignment="1" applyProtection="1">
      <protection hidden="1"/>
    </xf>
    <xf numFmtId="0" fontId="8" fillId="0" borderId="0" xfId="0" applyFont="1" applyAlignment="1" applyProtection="1">
      <alignment horizontal="right"/>
      <protection hidden="1"/>
    </xf>
    <xf numFmtId="0" fontId="31" fillId="7" borderId="0" xfId="0" applyFont="1" applyFill="1" applyAlignment="1" applyProtection="1">
      <alignment horizontal="center"/>
      <protection hidden="1"/>
    </xf>
    <xf numFmtId="44" fontId="0" fillId="0" borderId="0" xfId="0" applyNumberFormat="1" applyProtection="1">
      <protection hidden="1"/>
    </xf>
    <xf numFmtId="0" fontId="51" fillId="7" borderId="0" xfId="0" applyFont="1" applyFill="1" applyProtection="1">
      <protection hidden="1"/>
    </xf>
    <xf numFmtId="0" fontId="60" fillId="9" borderId="0" xfId="0" applyFont="1" applyFill="1" applyProtection="1">
      <protection hidden="1"/>
    </xf>
    <xf numFmtId="0" fontId="33" fillId="7" borderId="0" xfId="0" applyFont="1" applyFill="1" applyAlignment="1" applyProtection="1">
      <protection hidden="1"/>
    </xf>
    <xf numFmtId="0" fontId="41" fillId="6" borderId="0" xfId="0" applyFont="1" applyFill="1" applyProtection="1">
      <protection hidden="1"/>
    </xf>
    <xf numFmtId="0" fontId="8" fillId="7" borderId="0" xfId="0" applyFont="1" applyFill="1" applyAlignment="1" applyProtection="1">
      <alignment horizontal="left" vertical="center"/>
      <protection hidden="1"/>
    </xf>
    <xf numFmtId="0" fontId="49" fillId="6" borderId="0" xfId="0" applyFont="1" applyFill="1" applyProtection="1">
      <protection hidden="1"/>
    </xf>
    <xf numFmtId="0" fontId="10" fillId="5" borderId="0" xfId="0" applyFont="1" applyFill="1" applyBorder="1" applyAlignment="1" applyProtection="1">
      <protection hidden="1"/>
    </xf>
    <xf numFmtId="0" fontId="10" fillId="7" borderId="0" xfId="0" applyFont="1" applyFill="1" applyBorder="1" applyAlignment="1" applyProtection="1">
      <protection hidden="1"/>
    </xf>
    <xf numFmtId="0" fontId="0" fillId="7" borderId="0" xfId="0" applyFill="1" applyAlignment="1" applyProtection="1">
      <alignment horizontal="right" vertical="center"/>
      <protection hidden="1"/>
    </xf>
    <xf numFmtId="0" fontId="8" fillId="7" borderId="0" xfId="0" applyFont="1" applyFill="1" applyAlignment="1" applyProtection="1">
      <alignment horizontal="right" vertical="center"/>
      <protection hidden="1"/>
    </xf>
    <xf numFmtId="0" fontId="0" fillId="0" borderId="0" xfId="0" applyAlignment="1" applyProtection="1">
      <alignment horizontal="right" vertical="center"/>
      <protection hidden="1"/>
    </xf>
    <xf numFmtId="0" fontId="0" fillId="7" borderId="0" xfId="0" applyFill="1" applyAlignment="1" applyProtection="1">
      <alignment horizontal="center"/>
      <protection hidden="1"/>
    </xf>
    <xf numFmtId="0" fontId="8" fillId="7" borderId="0" xfId="0" applyFont="1" applyFill="1" applyBorder="1" applyAlignment="1" applyProtection="1">
      <alignment horizontal="center" vertical="center"/>
      <protection hidden="1"/>
    </xf>
    <xf numFmtId="0" fontId="0" fillId="7" borderId="0" xfId="0" applyFill="1" applyAlignment="1" applyProtection="1">
      <alignment horizontal="left" vertical="center"/>
      <protection hidden="1"/>
    </xf>
    <xf numFmtId="0" fontId="27" fillId="6" borderId="0" xfId="0" applyFont="1" applyFill="1" applyProtection="1">
      <protection hidden="1"/>
    </xf>
    <xf numFmtId="0" fontId="26" fillId="7" borderId="0" xfId="7" applyFont="1" applyFill="1" applyAlignment="1" applyProtection="1">
      <alignment horizontal="center" vertical="center"/>
      <protection hidden="1"/>
    </xf>
    <xf numFmtId="0" fontId="8" fillId="7" borderId="0" xfId="0" applyFont="1" applyFill="1" applyAlignment="1" applyProtection="1">
      <alignment horizontal="center" vertical="center"/>
      <protection hidden="1"/>
    </xf>
    <xf numFmtId="0" fontId="38" fillId="7" borderId="0" xfId="0" applyFont="1" applyFill="1" applyAlignment="1" applyProtection="1">
      <alignment horizontal="right" vertical="center"/>
      <protection hidden="1"/>
    </xf>
    <xf numFmtId="0" fontId="41" fillId="9" borderId="0" xfId="0" applyFont="1" applyFill="1" applyProtection="1">
      <protection hidden="1"/>
    </xf>
    <xf numFmtId="0" fontId="38" fillId="7" borderId="0" xfId="0" applyFont="1" applyFill="1" applyAlignment="1" applyProtection="1">
      <alignment horizontal="right"/>
      <protection hidden="1"/>
    </xf>
    <xf numFmtId="0" fontId="0" fillId="9" borderId="0" xfId="0" applyFill="1" applyProtection="1">
      <protection hidden="1"/>
    </xf>
    <xf numFmtId="0" fontId="48" fillId="7" borderId="0" xfId="7" applyFont="1" applyFill="1" applyAlignment="1" applyProtection="1">
      <alignment vertical="center"/>
      <protection hidden="1"/>
    </xf>
    <xf numFmtId="0" fontId="42" fillId="7" borderId="0" xfId="0" applyFont="1" applyFill="1" applyAlignment="1" applyProtection="1">
      <protection hidden="1"/>
    </xf>
    <xf numFmtId="0" fontId="61" fillId="9" borderId="0" xfId="0" applyFont="1" applyFill="1" applyProtection="1">
      <protection hidden="1"/>
    </xf>
    <xf numFmtId="0" fontId="6" fillId="7" borderId="0" xfId="7" applyFont="1" applyFill="1" applyAlignment="1" applyProtection="1">
      <protection hidden="1"/>
    </xf>
    <xf numFmtId="0" fontId="57" fillId="6" borderId="0" xfId="0" applyFont="1" applyFill="1" applyProtection="1">
      <protection hidden="1"/>
    </xf>
    <xf numFmtId="0" fontId="5" fillId="7" borderId="0" xfId="0" applyFont="1" applyFill="1" applyAlignment="1" applyProtection="1">
      <alignment vertical="center"/>
      <protection hidden="1"/>
    </xf>
    <xf numFmtId="0" fontId="48" fillId="6" borderId="0" xfId="0" applyFont="1" applyFill="1" applyProtection="1">
      <protection hidden="1"/>
    </xf>
    <xf numFmtId="0" fontId="0" fillId="0" borderId="0" xfId="0" applyAlignment="1" applyProtection="1">
      <alignment wrapText="1"/>
      <protection hidden="1"/>
    </xf>
    <xf numFmtId="0" fontId="62" fillId="3" borderId="0" xfId="3" applyFont="1" applyFill="1" applyAlignment="1" applyProtection="1">
      <protection hidden="1"/>
    </xf>
    <xf numFmtId="0" fontId="6" fillId="7" borderId="0" xfId="7" applyFont="1" applyFill="1" applyAlignment="1" applyProtection="1">
      <protection hidden="1"/>
    </xf>
    <xf numFmtId="0" fontId="2" fillId="7" borderId="0" xfId="7" applyFill="1" applyAlignment="1" applyProtection="1">
      <protection hidden="1"/>
    </xf>
    <xf numFmtId="0" fontId="0" fillId="7" borderId="0" xfId="0" applyFill="1" applyAlignment="1" applyProtection="1">
      <protection hidden="1"/>
    </xf>
    <xf numFmtId="0" fontId="6" fillId="7" borderId="0" xfId="0" applyFont="1" applyFill="1" applyAlignment="1" applyProtection="1">
      <protection hidden="1"/>
    </xf>
    <xf numFmtId="0" fontId="36" fillId="7" borderId="0" xfId="0" applyFont="1" applyFill="1" applyAlignment="1" applyProtection="1">
      <protection hidden="1"/>
    </xf>
    <xf numFmtId="0" fontId="31" fillId="7" borderId="0" xfId="0" applyFont="1" applyFill="1" applyAlignment="1" applyProtection="1">
      <alignment horizontal="center" vertical="center"/>
      <protection hidden="1"/>
    </xf>
    <xf numFmtId="0" fontId="8" fillId="7" borderId="0" xfId="0" applyFont="1" applyFill="1" applyAlignment="1" applyProtection="1">
      <alignment horizontal="right"/>
      <protection hidden="1"/>
    </xf>
    <xf numFmtId="0" fontId="26" fillId="7" borderId="0" xfId="0" applyFont="1" applyFill="1" applyAlignment="1" applyProtection="1">
      <protection hidden="1"/>
    </xf>
    <xf numFmtId="0" fontId="33" fillId="7" borderId="0" xfId="0" applyFont="1" applyFill="1" applyAlignment="1" applyProtection="1">
      <alignment horizontal="center" vertical="center"/>
      <protection hidden="1"/>
    </xf>
    <xf numFmtId="0" fontId="33" fillId="7" borderId="0" xfId="0" applyFont="1" applyFill="1" applyAlignment="1" applyProtection="1">
      <alignment horizontal="right" vertical="center"/>
      <protection hidden="1"/>
    </xf>
    <xf numFmtId="0" fontId="33" fillId="7" borderId="0" xfId="0" applyFont="1" applyFill="1" applyAlignment="1" applyProtection="1">
      <alignment horizontal="center"/>
      <protection hidden="1"/>
    </xf>
    <xf numFmtId="0" fontId="48" fillId="9" borderId="0" xfId="0" applyFont="1" applyFill="1" applyAlignment="1" applyProtection="1">
      <protection hidden="1"/>
    </xf>
    <xf numFmtId="0" fontId="48" fillId="7" borderId="0" xfId="7" applyFont="1" applyFill="1" applyAlignment="1" applyProtection="1">
      <protection hidden="1"/>
    </xf>
    <xf numFmtId="0" fontId="48" fillId="0" borderId="0" xfId="0" applyFont="1" applyAlignment="1" applyProtection="1">
      <protection hidden="1"/>
    </xf>
    <xf numFmtId="0" fontId="6" fillId="7" borderId="0" xfId="7" applyFont="1" applyFill="1" applyAlignment="1" applyProtection="1">
      <alignment wrapText="1"/>
      <protection hidden="1"/>
    </xf>
    <xf numFmtId="0" fontId="0" fillId="7" borderId="0" xfId="0" applyFill="1" applyAlignment="1" applyProtection="1">
      <alignment wrapText="1"/>
      <protection hidden="1"/>
    </xf>
    <xf numFmtId="0" fontId="56" fillId="7" borderId="0" xfId="0" applyFont="1" applyFill="1" applyAlignment="1" applyProtection="1">
      <alignment vertical="center" wrapText="1"/>
      <protection hidden="1"/>
    </xf>
    <xf numFmtId="0" fontId="8" fillId="7" borderId="0" xfId="0" applyFont="1" applyFill="1" applyBorder="1" applyAlignment="1" applyProtection="1">
      <alignment horizontal="right" vertical="center"/>
      <protection hidden="1"/>
    </xf>
    <xf numFmtId="0" fontId="2" fillId="7" borderId="0" xfId="0" applyFont="1" applyFill="1" applyAlignment="1" applyProtection="1">
      <protection hidden="1"/>
    </xf>
    <xf numFmtId="0" fontId="0" fillId="7" borderId="0" xfId="0" applyFill="1" applyAlignment="1" applyProtection="1">
      <alignment horizontal="left"/>
      <protection hidden="1"/>
    </xf>
    <xf numFmtId="0" fontId="0" fillId="7" borderId="0" xfId="0" applyFill="1" applyBorder="1" applyAlignment="1" applyProtection="1">
      <protection hidden="1"/>
    </xf>
    <xf numFmtId="0" fontId="63" fillId="9" borderId="0" xfId="0" applyFont="1" applyFill="1" applyProtection="1">
      <protection hidden="1"/>
    </xf>
    <xf numFmtId="0" fontId="0" fillId="7" borderId="0" xfId="0" applyFill="1" applyAlignment="1" applyProtection="1">
      <alignment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168" fontId="38" fillId="0" borderId="0" xfId="0" applyNumberFormat="1" applyFont="1" applyAlignment="1" applyProtection="1">
      <protection hidden="1"/>
    </xf>
    <xf numFmtId="0" fontId="38" fillId="0" borderId="0" xfId="0" applyFont="1" applyAlignment="1" applyProtection="1">
      <protection hidden="1"/>
    </xf>
    <xf numFmtId="0" fontId="31" fillId="0" borderId="0" xfId="0" applyFont="1" applyProtection="1">
      <protection hidden="1"/>
    </xf>
    <xf numFmtId="0" fontId="26" fillId="8" borderId="0" xfId="7" applyFont="1" applyFill="1" applyAlignment="1" applyProtection="1">
      <alignment horizontal="left" vertical="center"/>
      <protection hidden="1"/>
    </xf>
    <xf numFmtId="0" fontId="0" fillId="11" borderId="0" xfId="0" applyFill="1" applyProtection="1">
      <protection hidden="1"/>
    </xf>
    <xf numFmtId="0" fontId="6" fillId="7" borderId="0" xfId="7" applyFont="1" applyFill="1" applyAlignment="1" applyProtection="1">
      <protection hidden="1"/>
    </xf>
    <xf numFmtId="0" fontId="64" fillId="7" borderId="0" xfId="7" applyFont="1" applyFill="1" applyAlignment="1" applyProtection="1">
      <protection hidden="1"/>
    </xf>
    <xf numFmtId="0" fontId="64" fillId="7" borderId="0" xfId="0" applyFont="1" applyFill="1" applyAlignment="1" applyProtection="1">
      <protection hidden="1"/>
    </xf>
    <xf numFmtId="0" fontId="65" fillId="7" borderId="0" xfId="0" applyFont="1" applyFill="1" applyProtection="1">
      <protection hidden="1"/>
    </xf>
    <xf numFmtId="0" fontId="66" fillId="7" borderId="0" xfId="0" applyFont="1" applyFill="1" applyAlignment="1" applyProtection="1">
      <alignment vertical="center"/>
      <protection hidden="1"/>
    </xf>
    <xf numFmtId="0" fontId="65" fillId="7" borderId="0" xfId="0" applyFont="1" applyFill="1" applyAlignment="1" applyProtection="1">
      <protection hidden="1"/>
    </xf>
    <xf numFmtId="0" fontId="67" fillId="7" borderId="0" xfId="0" applyFont="1" applyFill="1" applyAlignment="1" applyProtection="1">
      <protection hidden="1"/>
    </xf>
    <xf numFmtId="0" fontId="66" fillId="7" borderId="0" xfId="0" applyFont="1" applyFill="1" applyAlignment="1" applyProtection="1">
      <alignment horizontal="left" vertical="center" wrapText="1"/>
      <protection hidden="1"/>
    </xf>
    <xf numFmtId="0" fontId="65" fillId="7" borderId="0" xfId="0" applyFont="1" applyFill="1" applyAlignment="1" applyProtection="1">
      <alignment wrapText="1"/>
      <protection hidden="1"/>
    </xf>
    <xf numFmtId="0" fontId="65" fillId="0" borderId="0" xfId="0" applyFont="1" applyProtection="1">
      <protection hidden="1"/>
    </xf>
    <xf numFmtId="0" fontId="66" fillId="0" borderId="0" xfId="0" applyFont="1" applyAlignment="1" applyProtection="1">
      <alignment vertical="center" wrapText="1"/>
      <protection hidden="1"/>
    </xf>
    <xf numFmtId="0" fontId="65" fillId="7" borderId="0" xfId="0" applyFont="1" applyFill="1" applyBorder="1" applyProtection="1">
      <protection hidden="1"/>
    </xf>
    <xf numFmtId="0" fontId="65" fillId="7" borderId="0" xfId="0" applyFont="1" applyFill="1" applyBorder="1" applyAlignment="1" applyProtection="1">
      <protection hidden="1"/>
    </xf>
    <xf numFmtId="0" fontId="66" fillId="7" borderId="0" xfId="0" applyFont="1" applyFill="1" applyAlignment="1" applyProtection="1">
      <alignment vertical="center" wrapText="1"/>
      <protection hidden="1"/>
    </xf>
    <xf numFmtId="0" fontId="66" fillId="7" borderId="0" xfId="0" applyFont="1" applyFill="1" applyAlignment="1" applyProtection="1">
      <protection hidden="1"/>
    </xf>
    <xf numFmtId="0" fontId="54" fillId="9" borderId="0" xfId="0" applyFont="1" applyFill="1" applyProtection="1">
      <protection hidden="1"/>
    </xf>
    <xf numFmtId="0" fontId="0" fillId="5" borderId="1" xfId="0" applyFill="1" applyBorder="1" applyAlignment="1" applyProtection="1">
      <alignment horizontal="center" vertical="center"/>
      <protection locked="0"/>
    </xf>
    <xf numFmtId="0" fontId="48" fillId="12" borderId="0" xfId="7" applyFont="1" applyFill="1" applyAlignment="1" applyProtection="1">
      <protection hidden="1"/>
    </xf>
    <xf numFmtId="0" fontId="48" fillId="13" borderId="0" xfId="7" applyFont="1" applyFill="1" applyAlignment="1" applyProtection="1">
      <protection hidden="1"/>
    </xf>
    <xf numFmtId="0" fontId="48" fillId="14" borderId="0" xfId="7" applyFont="1" applyFill="1" applyAlignment="1" applyProtection="1">
      <protection hidden="1"/>
    </xf>
    <xf numFmtId="0" fontId="48" fillId="10" borderId="0" xfId="7" applyFont="1" applyFill="1" applyAlignment="1" applyProtection="1">
      <protection hidden="1"/>
    </xf>
    <xf numFmtId="0" fontId="48" fillId="15" borderId="0" xfId="7" applyFont="1" applyFill="1" applyAlignment="1" applyProtection="1">
      <protection hidden="1"/>
    </xf>
    <xf numFmtId="0" fontId="48" fillId="16" borderId="0" xfId="7" applyFont="1" applyFill="1" applyAlignment="1" applyProtection="1">
      <protection hidden="1"/>
    </xf>
    <xf numFmtId="0" fontId="48" fillId="17" borderId="0" xfId="7" applyFont="1" applyFill="1" applyAlignment="1" applyProtection="1">
      <protection hidden="1"/>
    </xf>
    <xf numFmtId="0" fontId="2" fillId="18" borderId="0" xfId="7" applyFill="1" applyAlignment="1" applyProtection="1">
      <protection hidden="1"/>
    </xf>
    <xf numFmtId="0" fontId="6" fillId="7" borderId="0" xfId="0" applyFont="1" applyFill="1" applyAlignment="1" applyProtection="1">
      <protection hidden="1"/>
    </xf>
    <xf numFmtId="0" fontId="0" fillId="7" borderId="0" xfId="0" applyFill="1" applyAlignment="1" applyProtection="1">
      <protection hidden="1"/>
    </xf>
    <xf numFmtId="0" fontId="11" fillId="7" borderId="0" xfId="0" applyFont="1" applyFill="1" applyAlignment="1" applyProtection="1">
      <protection hidden="1"/>
    </xf>
    <xf numFmtId="0" fontId="6" fillId="7" borderId="0" xfId="7" applyFont="1" applyFill="1" applyAlignment="1" applyProtection="1">
      <protection hidden="1"/>
    </xf>
    <xf numFmtId="0" fontId="2" fillId="7" borderId="0" xfId="7" applyFill="1" applyAlignment="1" applyProtection="1">
      <protection hidden="1"/>
    </xf>
    <xf numFmtId="0" fontId="48" fillId="7" borderId="0" xfId="7" applyFont="1" applyFill="1" applyAlignment="1" applyProtection="1">
      <protection hidden="1"/>
    </xf>
    <xf numFmtId="0" fontId="54" fillId="9" borderId="0" xfId="0" applyFont="1" applyFill="1" applyProtection="1">
      <protection hidden="1"/>
    </xf>
    <xf numFmtId="0" fontId="27" fillId="6" borderId="0" xfId="7" applyFont="1" applyFill="1" applyProtection="1">
      <protection hidden="1"/>
    </xf>
    <xf numFmtId="0" fontId="49" fillId="6" borderId="0" xfId="7" applyFont="1" applyFill="1" applyProtection="1">
      <protection hidden="1"/>
    </xf>
    <xf numFmtId="0" fontId="50" fillId="9" borderId="0" xfId="7" applyFont="1" applyFill="1" applyProtection="1">
      <protection hidden="1"/>
    </xf>
    <xf numFmtId="0" fontId="27" fillId="6" borderId="0" xfId="7" applyFont="1" applyFill="1" applyAlignment="1" applyProtection="1">
      <protection hidden="1"/>
    </xf>
    <xf numFmtId="0" fontId="3" fillId="4" borderId="0" xfId="7" applyFont="1" applyFill="1" applyAlignment="1" applyProtection="1">
      <protection hidden="1"/>
    </xf>
    <xf numFmtId="0" fontId="11" fillId="7" borderId="0" xfId="7" applyFont="1" applyFill="1" applyAlignment="1" applyProtection="1">
      <protection hidden="1"/>
    </xf>
    <xf numFmtId="0" fontId="2" fillId="7" borderId="0" xfId="7" applyFill="1" applyAlignment="1" applyProtection="1">
      <alignment horizontal="right"/>
      <protection hidden="1"/>
    </xf>
    <xf numFmtId="0" fontId="25" fillId="7" borderId="0" xfId="7" applyFont="1" applyFill="1" applyAlignment="1" applyProtection="1">
      <protection hidden="1"/>
    </xf>
    <xf numFmtId="0" fontId="13" fillId="7" borderId="0" xfId="7" applyFont="1" applyFill="1" applyAlignment="1" applyProtection="1">
      <protection hidden="1"/>
    </xf>
    <xf numFmtId="0" fontId="68" fillId="7" borderId="0" xfId="7" applyFont="1" applyFill="1" applyAlignment="1" applyProtection="1">
      <protection hidden="1"/>
    </xf>
    <xf numFmtId="0" fontId="69" fillId="7" borderId="0" xfId="7" applyFont="1" applyFill="1" applyAlignment="1" applyProtection="1">
      <protection hidden="1"/>
    </xf>
    <xf numFmtId="0" fontId="2" fillId="7" borderId="0" xfId="7" applyFill="1"/>
    <xf numFmtId="0" fontId="70" fillId="9" borderId="0" xfId="7" applyFont="1" applyFill="1" applyProtection="1">
      <protection hidden="1"/>
    </xf>
    <xf numFmtId="0" fontId="71" fillId="7" borderId="0" xfId="7" applyFont="1" applyFill="1" applyAlignment="1" applyProtection="1">
      <protection hidden="1"/>
    </xf>
    <xf numFmtId="0" fontId="72" fillId="7" borderId="0" xfId="7" applyFont="1" applyFill="1" applyAlignment="1" applyProtection="1">
      <alignment horizontal="right"/>
      <protection hidden="1"/>
    </xf>
    <xf numFmtId="0" fontId="47" fillId="19" borderId="0" xfId="10" applyFont="1" applyFill="1" applyAlignment="1" applyProtection="1">
      <alignment horizontal="center" vertical="center"/>
      <protection hidden="1"/>
    </xf>
    <xf numFmtId="0" fontId="47" fillId="2" borderId="0" xfId="11" applyFill="1" applyAlignment="1" applyProtection="1">
      <protection hidden="1"/>
    </xf>
    <xf numFmtId="0" fontId="10" fillId="7" borderId="0" xfId="11" applyFont="1" applyFill="1" applyAlignment="1" applyProtection="1">
      <protection hidden="1"/>
    </xf>
    <xf numFmtId="0" fontId="47" fillId="7" borderId="0" xfId="11" applyFill="1" applyProtection="1">
      <protection hidden="1"/>
    </xf>
    <xf numFmtId="0" fontId="47" fillId="7" borderId="0" xfId="11" applyFill="1"/>
    <xf numFmtId="0" fontId="56" fillId="6" borderId="0" xfId="7" applyFont="1" applyFill="1" applyProtection="1">
      <protection hidden="1"/>
    </xf>
    <xf numFmtId="0" fontId="10" fillId="7" borderId="0" xfId="0" applyFont="1" applyFill="1" applyAlignment="1" applyProtection="1">
      <protection hidden="1"/>
    </xf>
    <xf numFmtId="0" fontId="73" fillId="7" borderId="0" xfId="7" applyFont="1" applyFill="1" applyAlignment="1" applyProtection="1">
      <protection hidden="1"/>
    </xf>
    <xf numFmtId="0" fontId="11" fillId="7" borderId="0" xfId="11" applyFont="1" applyFill="1" applyAlignment="1" applyProtection="1">
      <protection hidden="1"/>
    </xf>
    <xf numFmtId="0" fontId="54" fillId="20" borderId="0" xfId="7" applyFont="1" applyFill="1" applyProtection="1">
      <protection hidden="1"/>
    </xf>
    <xf numFmtId="0" fontId="51" fillId="7" borderId="0" xfId="11" applyFont="1" applyFill="1" applyAlignment="1" applyProtection="1">
      <protection hidden="1"/>
    </xf>
    <xf numFmtId="0" fontId="48" fillId="20" borderId="0" xfId="7" applyFont="1" applyFill="1" applyProtection="1">
      <protection hidden="1"/>
    </xf>
    <xf numFmtId="0" fontId="53" fillId="7" borderId="0" xfId="7" applyFont="1" applyFill="1" applyAlignment="1" applyProtection="1">
      <protection hidden="1"/>
    </xf>
    <xf numFmtId="0" fontId="38" fillId="7" borderId="0" xfId="7" applyFont="1" applyFill="1" applyAlignment="1" applyProtection="1">
      <alignment horizontal="right"/>
      <protection hidden="1"/>
    </xf>
    <xf numFmtId="0" fontId="74" fillId="7" borderId="0" xfId="7" applyFont="1" applyFill="1" applyAlignment="1">
      <alignment vertical="center" wrapText="1"/>
    </xf>
    <xf numFmtId="0" fontId="75" fillId="7" borderId="0" xfId="7" applyFont="1" applyFill="1"/>
    <xf numFmtId="0" fontId="2" fillId="7" borderId="0" xfId="7" applyFill="1" applyAlignment="1"/>
    <xf numFmtId="0" fontId="2" fillId="7" borderId="0" xfId="7" applyFont="1" applyFill="1" applyProtection="1">
      <protection hidden="1"/>
    </xf>
    <xf numFmtId="0" fontId="17" fillId="3" borderId="0" xfId="7" applyFont="1" applyFill="1" applyProtection="1">
      <protection hidden="1"/>
    </xf>
    <xf numFmtId="0" fontId="29" fillId="4" borderId="0" xfId="0" applyFont="1" applyFill="1" applyAlignment="1" applyProtection="1">
      <alignment vertical="center"/>
      <protection hidden="1"/>
    </xf>
    <xf numFmtId="0" fontId="0" fillId="4" borderId="0" xfId="0" applyFill="1" applyAlignment="1" applyProtection="1">
      <alignment vertical="center"/>
      <protection hidden="1"/>
    </xf>
    <xf numFmtId="0" fontId="22" fillId="4" borderId="0" xfId="0" applyFont="1" applyFill="1" applyAlignment="1" applyProtection="1">
      <alignment vertical="center"/>
      <protection hidden="1"/>
    </xf>
    <xf numFmtId="0" fontId="0" fillId="4" borderId="0" xfId="0" applyFill="1" applyAlignment="1" applyProtection="1">
      <alignment horizontal="right" vertical="center"/>
      <protection hidden="1"/>
    </xf>
    <xf numFmtId="0" fontId="36" fillId="4" borderId="0" xfId="0" applyFont="1" applyFill="1" applyAlignment="1" applyProtection="1">
      <alignment vertical="top"/>
      <protection hidden="1"/>
    </xf>
    <xf numFmtId="0" fontId="2" fillId="5" borderId="1" xfId="0" applyFont="1" applyFill="1" applyBorder="1" applyAlignment="1" applyProtection="1">
      <alignment horizontal="center" vertical="center"/>
      <protection locked="0"/>
    </xf>
    <xf numFmtId="0" fontId="2" fillId="0" borderId="0" xfId="7" applyAlignment="1" applyProtection="1">
      <protection hidden="1"/>
    </xf>
    <xf numFmtId="0" fontId="73" fillId="7" borderId="0" xfId="7" applyFont="1" applyFill="1" applyAlignment="1" applyProtection="1">
      <protection hidden="1"/>
    </xf>
    <xf numFmtId="0" fontId="2" fillId="7" borderId="0" xfId="7" applyFill="1" applyAlignment="1" applyProtection="1">
      <protection hidden="1"/>
    </xf>
    <xf numFmtId="0" fontId="48" fillId="6" borderId="0" xfId="7" applyFont="1" applyFill="1" applyProtection="1">
      <protection hidden="1"/>
    </xf>
    <xf numFmtId="0" fontId="54" fillId="6" borderId="0" xfId="7" applyFont="1" applyFill="1" applyProtection="1">
      <protection hidden="1"/>
    </xf>
    <xf numFmtId="0" fontId="38" fillId="7" borderId="0" xfId="7" applyFont="1" applyFill="1" applyAlignment="1" applyProtection="1">
      <alignment horizontal="right" vertical="center"/>
      <protection hidden="1"/>
    </xf>
    <xf numFmtId="0" fontId="26" fillId="7" borderId="0" xfId="7" applyFont="1" applyFill="1" applyAlignment="1" applyProtection="1">
      <alignment horizontal="right"/>
      <protection hidden="1"/>
    </xf>
    <xf numFmtId="0" fontId="51" fillId="7" borderId="0" xfId="7" applyFont="1" applyFill="1" applyAlignment="1" applyProtection="1">
      <protection hidden="1"/>
    </xf>
    <xf numFmtId="0" fontId="2" fillId="7" borderId="0" xfId="7" applyFont="1" applyFill="1" applyAlignment="1" applyProtection="1">
      <protection hidden="1"/>
    </xf>
    <xf numFmtId="22" fontId="48" fillId="6" borderId="0" xfId="7" applyNumberFormat="1" applyFont="1" applyFill="1" applyProtection="1">
      <protection hidden="1"/>
    </xf>
    <xf numFmtId="0" fontId="50" fillId="6" borderId="0" xfId="7" applyFont="1" applyFill="1" applyProtection="1">
      <protection hidden="1"/>
    </xf>
    <xf numFmtId="0" fontId="11" fillId="7" borderId="0" xfId="7" applyFont="1" applyFill="1" applyAlignment="1" applyProtection="1">
      <protection hidden="1"/>
    </xf>
    <xf numFmtId="0" fontId="0" fillId="0" borderId="0" xfId="0" applyAlignment="1" applyProtection="1">
      <alignment shrinkToFit="1"/>
      <protection hidden="1"/>
    </xf>
    <xf numFmtId="0" fontId="10" fillId="5" borderId="0" xfId="0" applyFont="1" applyFill="1" applyBorder="1" applyAlignment="1" applyProtection="1">
      <alignment horizontal="center" vertical="center" shrinkToFit="1"/>
      <protection hidden="1"/>
    </xf>
    <xf numFmtId="0" fontId="2" fillId="2" borderId="0" xfId="7" applyFill="1" applyAlignment="1" applyProtection="1">
      <alignment horizontal="center" vertical="center"/>
      <protection hidden="1"/>
    </xf>
    <xf numFmtId="0" fontId="61" fillId="6" borderId="0" xfId="7" applyFont="1" applyFill="1" applyProtection="1">
      <protection hidden="1"/>
    </xf>
    <xf numFmtId="0" fontId="61" fillId="9" borderId="0" xfId="7" applyFont="1" applyFill="1" applyProtection="1">
      <protection hidden="1"/>
    </xf>
    <xf numFmtId="0" fontId="6" fillId="7" borderId="0" xfId="7" applyFont="1" applyFill="1" applyAlignment="1" applyProtection="1">
      <protection hidden="1"/>
    </xf>
    <xf numFmtId="0" fontId="0" fillId="0" borderId="0" xfId="0" applyAlignment="1"/>
    <xf numFmtId="0" fontId="11" fillId="7" borderId="0" xfId="7" applyFont="1" applyFill="1" applyAlignment="1" applyProtection="1">
      <protection hidden="1"/>
    </xf>
    <xf numFmtId="0" fontId="2" fillId="7" borderId="0" xfId="7" applyFill="1" applyAlignment="1" applyProtection="1">
      <protection hidden="1"/>
    </xf>
    <xf numFmtId="0" fontId="0" fillId="7" borderId="0" xfId="0" applyFill="1" applyAlignment="1" applyProtection="1">
      <protection hidden="1"/>
    </xf>
    <xf numFmtId="0" fontId="73" fillId="7" borderId="0" xfId="7" applyFont="1" applyFill="1" applyAlignment="1" applyProtection="1">
      <alignment vertical="center"/>
      <protection hidden="1"/>
    </xf>
    <xf numFmtId="0" fontId="11" fillId="7" borderId="0" xfId="0" applyFont="1" applyFill="1" applyAlignment="1" applyProtection="1">
      <protection hidden="1"/>
    </xf>
    <xf numFmtId="0" fontId="31" fillId="7" borderId="0" xfId="0" applyFont="1" applyFill="1" applyAlignment="1" applyProtection="1">
      <alignment horizontal="center" vertical="center"/>
      <protection hidden="1"/>
    </xf>
    <xf numFmtId="0" fontId="56" fillId="7" borderId="0" xfId="0" applyFont="1" applyFill="1" applyAlignment="1" applyProtection="1">
      <alignment vertical="center" wrapText="1"/>
      <protection hidden="1"/>
    </xf>
    <xf numFmtId="0" fontId="0" fillId="7" borderId="0" xfId="0" applyFill="1" applyAlignment="1" applyProtection="1">
      <alignment wrapText="1"/>
      <protection hidden="1"/>
    </xf>
    <xf numFmtId="0" fontId="54" fillId="9" borderId="0" xfId="0" applyFont="1" applyFill="1" applyProtection="1">
      <protection hidden="1"/>
    </xf>
    <xf numFmtId="0" fontId="43" fillId="7" borderId="0" xfId="7" applyNumberFormat="1" applyFont="1" applyFill="1" applyAlignment="1" applyProtection="1">
      <alignment horizontal="center"/>
      <protection hidden="1"/>
    </xf>
    <xf numFmtId="0" fontId="2" fillId="7" borderId="0" xfId="7" applyNumberFormat="1" applyFill="1" applyAlignment="1" applyProtection="1">
      <protection hidden="1"/>
    </xf>
    <xf numFmtId="0" fontId="6" fillId="7" borderId="0" xfId="7" applyFont="1" applyFill="1" applyAlignment="1" applyProtection="1">
      <protection hidden="1"/>
    </xf>
    <xf numFmtId="0" fontId="0" fillId="7" borderId="0" xfId="0" applyFill="1" applyAlignment="1" applyProtection="1">
      <protection hidden="1"/>
    </xf>
    <xf numFmtId="0" fontId="73" fillId="7" borderId="0" xfId="7" applyFont="1" applyFill="1" applyAlignment="1" applyProtection="1">
      <alignment vertical="center"/>
      <protection hidden="1"/>
    </xf>
    <xf numFmtId="0" fontId="6" fillId="7" borderId="0" xfId="0" applyFont="1" applyFill="1" applyAlignment="1" applyProtection="1">
      <protection hidden="1"/>
    </xf>
    <xf numFmtId="0" fontId="11" fillId="7" borderId="0" xfId="7" applyFont="1" applyFill="1" applyAlignment="1" applyProtection="1">
      <protection hidden="1"/>
    </xf>
    <xf numFmtId="0" fontId="2" fillId="7" borderId="0" xfId="7" applyFill="1" applyAlignment="1" applyProtection="1">
      <protection hidden="1"/>
    </xf>
    <xf numFmtId="0" fontId="11" fillId="7" borderId="0" xfId="0" applyFont="1" applyFill="1" applyAlignment="1" applyProtection="1">
      <protection hidden="1"/>
    </xf>
    <xf numFmtId="0" fontId="31" fillId="7" borderId="0" xfId="0" applyFont="1" applyFill="1" applyAlignment="1" applyProtection="1">
      <alignment horizontal="center" vertical="center"/>
      <protection hidden="1"/>
    </xf>
    <xf numFmtId="0" fontId="26" fillId="7" borderId="0" xfId="0" applyFont="1" applyFill="1" applyAlignment="1" applyProtection="1">
      <protection hidden="1"/>
    </xf>
    <xf numFmtId="0" fontId="48" fillId="7" borderId="0" xfId="7" applyFont="1" applyFill="1" applyAlignment="1" applyProtection="1">
      <protection hidden="1"/>
    </xf>
    <xf numFmtId="0" fontId="0" fillId="7" borderId="0" xfId="0" applyFill="1" applyAlignment="1" applyProtection="1">
      <alignment horizontal="left"/>
      <protection hidden="1"/>
    </xf>
    <xf numFmtId="0" fontId="54" fillId="9" borderId="0" xfId="0" applyFont="1" applyFill="1" applyProtection="1">
      <protection hidden="1"/>
    </xf>
    <xf numFmtId="0" fontId="57" fillId="6" borderId="0" xfId="7" applyFont="1" applyFill="1" applyProtection="1">
      <protection hidden="1"/>
    </xf>
    <xf numFmtId="0" fontId="56" fillId="7" borderId="0" xfId="0" applyFont="1" applyFill="1" applyAlignment="1" applyProtection="1">
      <alignment vertical="center"/>
      <protection hidden="1"/>
    </xf>
    <xf numFmtId="0" fontId="11" fillId="7" borderId="0" xfId="7" applyFont="1" applyFill="1" applyAlignment="1" applyProtection="1">
      <protection hidden="1"/>
    </xf>
    <xf numFmtId="0" fontId="2" fillId="7" borderId="0" xfId="7" applyFill="1" applyAlignment="1" applyProtection="1">
      <protection hidden="1"/>
    </xf>
    <xf numFmtId="0" fontId="6" fillId="7" borderId="0" xfId="7" applyFont="1" applyFill="1" applyAlignment="1" applyProtection="1">
      <protection hidden="1"/>
    </xf>
    <xf numFmtId="0" fontId="0" fillId="7" borderId="0" xfId="0" applyFill="1" applyAlignment="1" applyProtection="1">
      <protection hidden="1"/>
    </xf>
    <xf numFmtId="0" fontId="73" fillId="7" borderId="0" xfId="7" applyFont="1" applyFill="1" applyAlignment="1" applyProtection="1">
      <alignment vertical="center"/>
      <protection hidden="1"/>
    </xf>
    <xf numFmtId="0" fontId="11" fillId="7" borderId="0" xfId="0" applyFont="1" applyFill="1" applyAlignment="1" applyProtection="1">
      <protection hidden="1"/>
    </xf>
    <xf numFmtId="0" fontId="31" fillId="7" borderId="0" xfId="0" applyFont="1" applyFill="1" applyAlignment="1" applyProtection="1">
      <alignment horizontal="center" vertical="center"/>
      <protection hidden="1"/>
    </xf>
    <xf numFmtId="0" fontId="2" fillId="7" borderId="0" xfId="7" applyFill="1" applyAlignment="1">
      <alignment horizontal="right"/>
    </xf>
    <xf numFmtId="0" fontId="2" fillId="7" borderId="0" xfId="7" applyFill="1" applyAlignment="1">
      <alignment horizontal="right" vertical="center"/>
    </xf>
    <xf numFmtId="0" fontId="10" fillId="7" borderId="0" xfId="7" applyFont="1" applyFill="1" applyAlignment="1" applyProtection="1">
      <alignment horizontal="center" vertical="center"/>
      <protection hidden="1"/>
    </xf>
    <xf numFmtId="0" fontId="0" fillId="7" borderId="0" xfId="0" applyFill="1"/>
    <xf numFmtId="0" fontId="38" fillId="7" borderId="0" xfId="0" applyFont="1" applyFill="1" applyAlignment="1" applyProtection="1">
      <protection hidden="1"/>
    </xf>
    <xf numFmtId="0" fontId="0" fillId="9" borderId="0" xfId="0" applyFill="1" applyAlignment="1" applyProtection="1">
      <protection hidden="1"/>
    </xf>
    <xf numFmtId="0" fontId="10" fillId="9" borderId="0" xfId="0" applyFont="1" applyFill="1" applyAlignment="1" applyProtection="1">
      <protection hidden="1"/>
    </xf>
    <xf numFmtId="0" fontId="26" fillId="7" borderId="0" xfId="7" applyFont="1" applyFill="1" applyAlignment="1" applyProtection="1">
      <protection hidden="1"/>
    </xf>
    <xf numFmtId="0" fontId="54" fillId="9" borderId="0" xfId="7" applyFont="1" applyFill="1" applyProtection="1">
      <protection hidden="1"/>
    </xf>
    <xf numFmtId="0" fontId="10" fillId="7" borderId="0" xfId="0" applyFont="1" applyFill="1" applyAlignment="1" applyProtection="1">
      <protection hidden="1"/>
    </xf>
    <xf numFmtId="0" fontId="26" fillId="7" borderId="0" xfId="0" applyFont="1" applyFill="1" applyAlignment="1" applyProtection="1">
      <alignment horizontal="right" vertical="center"/>
      <protection hidden="1"/>
    </xf>
    <xf numFmtId="0" fontId="48" fillId="6" borderId="0" xfId="7" applyFont="1" applyFill="1" applyAlignment="1" applyProtection="1">
      <protection hidden="1"/>
    </xf>
    <xf numFmtId="0" fontId="37" fillId="7" borderId="0" xfId="7" applyFont="1" applyFill="1" applyAlignment="1" applyProtection="1">
      <alignment horizontal="center"/>
      <protection hidden="1"/>
    </xf>
    <xf numFmtId="0" fontId="10" fillId="7" borderId="0" xfId="7" applyFont="1" applyFill="1" applyAlignment="1" applyProtection="1">
      <alignment horizontal="right"/>
      <protection hidden="1"/>
    </xf>
    <xf numFmtId="0" fontId="76" fillId="7" borderId="0" xfId="7" applyFont="1" applyFill="1" applyAlignment="1" applyProtection="1">
      <alignment horizontal="center" vertical="center"/>
      <protection hidden="1"/>
    </xf>
    <xf numFmtId="0" fontId="51" fillId="7" borderId="0" xfId="7" applyFont="1" applyFill="1"/>
    <xf numFmtId="0" fontId="62" fillId="3" borderId="0" xfId="3" applyFont="1" applyFill="1" applyAlignment="1" applyProtection="1">
      <protection hidden="1"/>
    </xf>
    <xf numFmtId="0" fontId="62" fillId="11" borderId="0" xfId="3" applyFont="1" applyFill="1" applyAlignment="1" applyProtection="1">
      <protection hidden="1"/>
    </xf>
    <xf numFmtId="0" fontId="6" fillId="7" borderId="0" xfId="0" applyFont="1" applyFill="1" applyAlignment="1" applyProtection="1">
      <protection hidden="1"/>
    </xf>
    <xf numFmtId="0" fontId="0" fillId="7" borderId="0" xfId="0" applyFill="1" applyAlignment="1" applyProtection="1">
      <protection hidden="1"/>
    </xf>
    <xf numFmtId="0" fontId="6" fillId="7" borderId="0" xfId="7" applyFont="1" applyFill="1" applyAlignment="1" applyProtection="1">
      <protection hidden="1"/>
    </xf>
    <xf numFmtId="0" fontId="11" fillId="7" borderId="0" xfId="7" applyFont="1" applyFill="1" applyAlignment="1" applyProtection="1">
      <protection hidden="1"/>
    </xf>
    <xf numFmtId="0" fontId="2" fillId="7" borderId="0" xfId="7" applyFill="1" applyAlignment="1" applyProtection="1">
      <protection hidden="1"/>
    </xf>
    <xf numFmtId="0" fontId="48" fillId="9" borderId="0" xfId="0" applyFont="1" applyFill="1" applyAlignment="1" applyProtection="1">
      <protection hidden="1"/>
    </xf>
    <xf numFmtId="0" fontId="0" fillId="7" borderId="0" xfId="0" applyFill="1" applyAlignment="1"/>
    <xf numFmtId="0" fontId="11" fillId="7" borderId="0" xfId="0" applyFont="1" applyFill="1" applyAlignment="1" applyProtection="1">
      <protection hidden="1"/>
    </xf>
    <xf numFmtId="0" fontId="31" fillId="7" borderId="0" xfId="0" applyFont="1" applyFill="1" applyAlignment="1" applyProtection="1">
      <alignment horizontal="center" vertical="center"/>
      <protection hidden="1"/>
    </xf>
    <xf numFmtId="0" fontId="48" fillId="7" borderId="0" xfId="7" applyFont="1" applyFill="1" applyAlignment="1" applyProtection="1">
      <protection hidden="1"/>
    </xf>
    <xf numFmtId="0" fontId="10" fillId="7" borderId="0" xfId="0" applyFont="1" applyFill="1" applyAlignment="1" applyProtection="1">
      <protection hidden="1"/>
    </xf>
    <xf numFmtId="0" fontId="54" fillId="9" borderId="0" xfId="7" applyFont="1" applyFill="1" applyProtection="1">
      <protection hidden="1"/>
    </xf>
    <xf numFmtId="0" fontId="46" fillId="3" borderId="0" xfId="0" applyFont="1" applyFill="1" applyAlignment="1" applyProtection="1">
      <alignment horizontal="right"/>
      <protection hidden="1"/>
    </xf>
    <xf numFmtId="0" fontId="52" fillId="11" borderId="0" xfId="5" applyFont="1" applyFill="1" applyAlignment="1" applyProtection="1">
      <protection hidden="1"/>
    </xf>
    <xf numFmtId="0" fontId="8" fillId="4" borderId="0" xfId="7" applyFont="1" applyFill="1" applyAlignment="1" applyProtection="1">
      <alignment horizontal="left" vertical="center"/>
      <protection hidden="1"/>
    </xf>
    <xf numFmtId="167" fontId="48" fillId="9" borderId="0" xfId="0" applyNumberFormat="1" applyFont="1" applyFill="1" applyProtection="1">
      <protection hidden="1"/>
    </xf>
    <xf numFmtId="0" fontId="2" fillId="7" borderId="0" xfId="0" applyFont="1" applyFill="1" applyAlignment="1" applyProtection="1">
      <alignment horizontal="center" vertical="center"/>
      <protection locked="0"/>
    </xf>
    <xf numFmtId="0" fontId="2" fillId="7" borderId="0" xfId="0" applyFont="1" applyFill="1" applyAlignment="1" applyProtection="1">
      <protection locked="0"/>
    </xf>
    <xf numFmtId="0" fontId="51" fillId="7" borderId="0" xfId="0" applyFont="1" applyFill="1" applyAlignment="1" applyProtection="1">
      <protection hidden="1"/>
    </xf>
    <xf numFmtId="0" fontId="51" fillId="7" borderId="0" xfId="7" applyFont="1" applyFill="1" applyAlignment="1" applyProtection="1">
      <alignment wrapText="1"/>
      <protection hidden="1"/>
    </xf>
    <xf numFmtId="0" fontId="51" fillId="0" borderId="0" xfId="7" applyFont="1"/>
    <xf numFmtId="0" fontId="77" fillId="7" borderId="0" xfId="7" applyFont="1" applyFill="1" applyAlignment="1" applyProtection="1">
      <protection hidden="1"/>
    </xf>
    <xf numFmtId="0" fontId="11" fillId="7" borderId="0" xfId="0" applyFont="1" applyFill="1" applyAlignment="1" applyProtection="1">
      <protection hidden="1"/>
    </xf>
    <xf numFmtId="0" fontId="0" fillId="7" borderId="0" xfId="0" applyFill="1" applyAlignment="1" applyProtection="1">
      <alignment wrapText="1"/>
      <protection hidden="1"/>
    </xf>
    <xf numFmtId="0" fontId="7" fillId="0" borderId="0" xfId="0" applyFont="1" applyProtection="1">
      <protection hidden="1"/>
    </xf>
    <xf numFmtId="0" fontId="48" fillId="6" borderId="0" xfId="0" applyFont="1" applyFill="1" applyAlignment="1" applyProtection="1">
      <alignment horizontal="center" vertical="center"/>
      <protection hidden="1"/>
    </xf>
    <xf numFmtId="0" fontId="73" fillId="7" borderId="0" xfId="7" applyFont="1" applyFill="1" applyAlignment="1" applyProtection="1">
      <alignment vertical="center"/>
      <protection hidden="1"/>
    </xf>
    <xf numFmtId="0" fontId="11" fillId="7" borderId="0" xfId="7" applyFont="1" applyFill="1" applyAlignment="1" applyProtection="1">
      <protection hidden="1"/>
    </xf>
    <xf numFmtId="0" fontId="2" fillId="7" borderId="0" xfId="7" applyFill="1" applyAlignment="1" applyProtection="1">
      <protection hidden="1"/>
    </xf>
    <xf numFmtId="0" fontId="2" fillId="0" borderId="0" xfId="7" applyAlignment="1"/>
    <xf numFmtId="0" fontId="57" fillId="9" borderId="0" xfId="7" applyFont="1" applyFill="1" applyProtection="1">
      <protection hidden="1"/>
    </xf>
    <xf numFmtId="0" fontId="11" fillId="7" borderId="0" xfId="7" applyFont="1" applyFill="1" applyAlignment="1" applyProtection="1">
      <protection hidden="1"/>
    </xf>
    <xf numFmtId="0" fontId="2" fillId="7" borderId="0" xfId="7" applyFill="1" applyAlignment="1" applyProtection="1">
      <protection hidden="1"/>
    </xf>
    <xf numFmtId="0" fontId="54" fillId="9" borderId="0" xfId="0" applyFont="1" applyFill="1"/>
    <xf numFmtId="0" fontId="6" fillId="7" borderId="0" xfId="7" applyFont="1" applyFill="1" applyAlignment="1" applyProtection="1">
      <protection hidden="1"/>
    </xf>
    <xf numFmtId="0" fontId="0" fillId="7" borderId="0" xfId="0" applyFill="1" applyAlignment="1" applyProtection="1">
      <protection hidden="1"/>
    </xf>
    <xf numFmtId="0" fontId="11" fillId="7" borderId="0" xfId="0" applyFont="1" applyFill="1" applyAlignment="1" applyProtection="1">
      <protection hidden="1"/>
    </xf>
    <xf numFmtId="0" fontId="48" fillId="7" borderId="0" xfId="7" applyFont="1" applyFill="1" applyAlignment="1" applyProtection="1">
      <protection hidden="1"/>
    </xf>
    <xf numFmtId="0" fontId="26" fillId="7" borderId="0" xfId="0" applyFont="1" applyFill="1" applyAlignment="1" applyProtection="1">
      <protection hidden="1"/>
    </xf>
    <xf numFmtId="0" fontId="2" fillId="7" borderId="0" xfId="0" applyFont="1" applyFill="1" applyAlignment="1" applyProtection="1">
      <protection hidden="1"/>
    </xf>
    <xf numFmtId="0" fontId="0" fillId="7" borderId="0" xfId="0" applyFill="1" applyAlignment="1" applyProtection="1">
      <protection hidden="1"/>
    </xf>
    <xf numFmtId="0" fontId="0" fillId="7" borderId="0" xfId="0" applyFill="1" applyBorder="1" applyAlignment="1" applyProtection="1">
      <protection hidden="1"/>
    </xf>
    <xf numFmtId="0" fontId="6" fillId="7" borderId="0" xfId="7" applyFont="1" applyFill="1" applyAlignment="1" applyProtection="1">
      <protection hidden="1"/>
    </xf>
    <xf numFmtId="0" fontId="11" fillId="7" borderId="0" xfId="7" applyFont="1" applyFill="1" applyAlignment="1" applyProtection="1">
      <protection hidden="1"/>
    </xf>
    <xf numFmtId="0" fontId="2" fillId="7" borderId="0" xfId="7" applyFill="1" applyAlignment="1" applyProtection="1">
      <protection hidden="1"/>
    </xf>
    <xf numFmtId="0" fontId="6" fillId="7" borderId="0" xfId="7" applyFont="1" applyFill="1" applyAlignment="1" applyProtection="1">
      <alignment wrapText="1"/>
      <protection hidden="1"/>
    </xf>
    <xf numFmtId="0" fontId="73" fillId="7" borderId="0" xfId="7" applyFont="1" applyFill="1" applyAlignment="1" applyProtection="1">
      <alignment vertical="center"/>
      <protection hidden="1"/>
    </xf>
    <xf numFmtId="0" fontId="10" fillId="7" borderId="0" xfId="0" applyFont="1" applyFill="1" applyBorder="1" applyAlignment="1" applyProtection="1">
      <alignment horizontal="center" vertical="center"/>
      <protection hidden="1"/>
    </xf>
    <xf numFmtId="0" fontId="11" fillId="7" borderId="0" xfId="0" applyFont="1" applyFill="1" applyAlignment="1" applyProtection="1">
      <protection hidden="1"/>
    </xf>
    <xf numFmtId="0" fontId="26" fillId="7" borderId="0" xfId="0" applyFont="1" applyFill="1" applyAlignment="1" applyProtection="1">
      <protection hidden="1"/>
    </xf>
    <xf numFmtId="0" fontId="48" fillId="7" borderId="0" xfId="7" applyFont="1" applyFill="1" applyAlignment="1" applyProtection="1">
      <protection hidden="1"/>
    </xf>
    <xf numFmtId="0" fontId="38" fillId="0" borderId="0" xfId="0" applyFont="1"/>
    <xf numFmtId="0" fontId="11" fillId="7" borderId="0" xfId="7" applyNumberFormat="1" applyFont="1" applyFill="1" applyAlignment="1" applyProtection="1">
      <protection hidden="1"/>
    </xf>
    <xf numFmtId="0" fontId="9" fillId="7" borderId="0" xfId="7" applyFont="1" applyFill="1" applyProtection="1">
      <protection hidden="1"/>
    </xf>
    <xf numFmtId="0" fontId="9" fillId="7" borderId="0" xfId="7" applyFont="1" applyFill="1" applyAlignment="1" applyProtection="1">
      <protection hidden="1"/>
    </xf>
    <xf numFmtId="0" fontId="31" fillId="7" borderId="0" xfId="7" applyFont="1" applyFill="1" applyAlignment="1" applyProtection="1">
      <alignment horizontal="center" vertical="center"/>
      <protection hidden="1"/>
    </xf>
    <xf numFmtId="0" fontId="8" fillId="7" borderId="0" xfId="7" applyFont="1" applyFill="1" applyAlignment="1" applyProtection="1">
      <alignment horizontal="center" vertical="center"/>
      <protection hidden="1"/>
    </xf>
    <xf numFmtId="0" fontId="31" fillId="7" borderId="0" xfId="7" applyFont="1" applyFill="1" applyAlignment="1" applyProtection="1">
      <alignment horizontal="right"/>
      <protection hidden="1"/>
    </xf>
    <xf numFmtId="0" fontId="51" fillId="7" borderId="0" xfId="7" applyFont="1" applyFill="1" applyProtection="1">
      <protection hidden="1"/>
    </xf>
    <xf numFmtId="0" fontId="38" fillId="7" borderId="0" xfId="7" applyNumberFormat="1" applyFont="1" applyFill="1" applyAlignment="1" applyProtection="1">
      <alignment horizontal="right"/>
      <protection hidden="1"/>
    </xf>
    <xf numFmtId="0" fontId="54" fillId="10" borderId="0" xfId="7" applyFont="1" applyFill="1" applyProtection="1">
      <protection hidden="1"/>
    </xf>
    <xf numFmtId="0" fontId="6" fillId="7" borderId="0" xfId="0" applyFont="1" applyFill="1" applyAlignment="1" applyProtection="1">
      <protection hidden="1"/>
    </xf>
    <xf numFmtId="0" fontId="0" fillId="7" borderId="0" xfId="0" applyFill="1" applyAlignment="1" applyProtection="1">
      <protection hidden="1"/>
    </xf>
    <xf numFmtId="0" fontId="11" fillId="7" borderId="0" xfId="0" applyFont="1" applyFill="1" applyAlignment="1" applyProtection="1">
      <protection hidden="1"/>
    </xf>
    <xf numFmtId="0" fontId="10" fillId="7" borderId="0" xfId="0" applyFont="1" applyFill="1" applyAlignment="1" applyProtection="1">
      <protection hidden="1"/>
    </xf>
    <xf numFmtId="0" fontId="0" fillId="6" borderId="0" xfId="0" applyFill="1" applyAlignment="1" applyProtection="1">
      <alignment shrinkToFit="1"/>
      <protection hidden="1"/>
    </xf>
    <xf numFmtId="0" fontId="7" fillId="6" borderId="0" xfId="0" applyFont="1" applyFill="1" applyAlignment="1" applyProtection="1">
      <alignment shrinkToFit="1"/>
      <protection hidden="1"/>
    </xf>
    <xf numFmtId="0" fontId="48" fillId="20" borderId="0" xfId="9" applyFont="1" applyFill="1" applyProtection="1">
      <protection hidden="1"/>
    </xf>
    <xf numFmtId="0" fontId="0" fillId="0" borderId="0" xfId="0" applyProtection="1">
      <protection locked="0"/>
    </xf>
    <xf numFmtId="0" fontId="48" fillId="20" borderId="0" xfId="9" applyNumberFormat="1" applyFont="1"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9" fontId="0" fillId="0" borderId="0" xfId="0" applyNumberFormat="1" applyProtection="1">
      <protection hidden="1"/>
    </xf>
    <xf numFmtId="0" fontId="0" fillId="0" borderId="0" xfId="0" applyNumberFormat="1" applyProtection="1">
      <protection hidden="1"/>
    </xf>
    <xf numFmtId="0" fontId="48" fillId="0" borderId="0" xfId="0" applyFont="1" applyAlignment="1" applyProtection="1">
      <alignment horizontal="center" vertical="center"/>
      <protection hidden="1"/>
    </xf>
    <xf numFmtId="0" fontId="0" fillId="0" borderId="0" xfId="0" applyFont="1" applyAlignment="1" applyProtection="1">
      <alignment horizontal="center" vertical="center"/>
      <protection hidden="1"/>
    </xf>
    <xf numFmtId="44" fontId="2" fillId="0" borderId="0" xfId="0" applyNumberFormat="1" applyFont="1" applyProtection="1">
      <protection hidden="1"/>
    </xf>
    <xf numFmtId="0" fontId="23" fillId="0" borderId="0" xfId="0" applyNumberFormat="1" applyFont="1" applyProtection="1">
      <protection hidden="1"/>
    </xf>
    <xf numFmtId="0" fontId="2" fillId="0" borderId="0" xfId="0" applyFont="1" applyAlignment="1" applyProtection="1">
      <alignment horizontal="center" vertical="center"/>
      <protection hidden="1"/>
    </xf>
    <xf numFmtId="0" fontId="0" fillId="21" borderId="0" xfId="0" applyFill="1" applyProtection="1">
      <protection hidden="1"/>
    </xf>
    <xf numFmtId="0" fontId="7" fillId="0" borderId="0" xfId="0" applyFont="1" applyAlignment="1" applyProtection="1">
      <alignment horizontal="center" vertical="center"/>
      <protection hidden="1"/>
    </xf>
    <xf numFmtId="0" fontId="48" fillId="9" borderId="0" xfId="0" applyFont="1" applyFill="1" applyAlignment="1" applyProtection="1">
      <protection hidden="1"/>
    </xf>
    <xf numFmtId="0" fontId="1" fillId="9" borderId="0" xfId="0" applyFont="1" applyFill="1" applyProtection="1">
      <protection hidden="1"/>
    </xf>
    <xf numFmtId="0" fontId="49" fillId="9" borderId="0" xfId="7" applyFont="1" applyFill="1" applyProtection="1">
      <protection hidden="1"/>
    </xf>
    <xf numFmtId="0" fontId="0" fillId="7" borderId="0" xfId="0" applyFill="1" applyAlignment="1" applyProtection="1">
      <protection hidden="1"/>
    </xf>
    <xf numFmtId="0" fontId="48" fillId="9" borderId="0" xfId="0" applyFont="1" applyFill="1" applyAlignment="1" applyProtection="1">
      <protection hidden="1"/>
    </xf>
    <xf numFmtId="0" fontId="11" fillId="7" borderId="0" xfId="0" applyFont="1" applyFill="1" applyAlignment="1" applyProtection="1">
      <protection hidden="1"/>
    </xf>
    <xf numFmtId="0" fontId="0" fillId="0" borderId="0" xfId="0" applyProtection="1">
      <protection hidden="1"/>
    </xf>
    <xf numFmtId="0" fontId="10" fillId="7" borderId="0" xfId="0" applyFont="1" applyFill="1" applyAlignment="1" applyProtection="1">
      <protection hidden="1"/>
    </xf>
    <xf numFmtId="0" fontId="48" fillId="2" borderId="0" xfId="0" applyFont="1" applyFill="1" applyProtection="1">
      <protection hidden="1"/>
    </xf>
    <xf numFmtId="0" fontId="2" fillId="7" borderId="0" xfId="7" applyFill="1" applyAlignment="1" applyProtection="1">
      <protection hidden="1"/>
    </xf>
    <xf numFmtId="0" fontId="6" fillId="7" borderId="0" xfId="7" applyFont="1" applyFill="1" applyAlignment="1" applyProtection="1">
      <protection hidden="1"/>
    </xf>
    <xf numFmtId="0" fontId="0" fillId="7" borderId="0" xfId="0" applyFill="1" applyAlignment="1" applyProtection="1">
      <protection hidden="1"/>
    </xf>
    <xf numFmtId="0" fontId="48" fillId="9" borderId="0" xfId="0" applyFont="1" applyFill="1" applyAlignment="1" applyProtection="1">
      <protection hidden="1"/>
    </xf>
    <xf numFmtId="0" fontId="11" fillId="7" borderId="0" xfId="0" applyFont="1" applyFill="1" applyAlignment="1" applyProtection="1">
      <protection hidden="1"/>
    </xf>
    <xf numFmtId="0" fontId="0" fillId="0" borderId="0" xfId="0" applyProtection="1">
      <protection hidden="1"/>
    </xf>
    <xf numFmtId="0" fontId="10" fillId="7" borderId="0" xfId="0" applyFont="1" applyFill="1" applyAlignment="1" applyProtection="1">
      <protection hidden="1"/>
    </xf>
    <xf numFmtId="0" fontId="0" fillId="7" borderId="0" xfId="0" applyFill="1" applyAlignment="1">
      <alignment vertical="center" wrapText="1"/>
    </xf>
    <xf numFmtId="0" fontId="45" fillId="7" borderId="0" xfId="0" applyFont="1" applyFill="1" applyAlignment="1" applyProtection="1">
      <alignment horizontal="center" vertical="top"/>
      <protection hidden="1"/>
    </xf>
    <xf numFmtId="0" fontId="0" fillId="7" borderId="0" xfId="0" applyFill="1" applyAlignment="1">
      <alignment horizontal="center" vertical="center"/>
    </xf>
    <xf numFmtId="0" fontId="11" fillId="7" borderId="0" xfId="0" applyFont="1" applyFill="1" applyAlignment="1" applyProtection="1">
      <protection hidden="1"/>
    </xf>
    <xf numFmtId="0" fontId="0" fillId="0" borderId="0" xfId="0" applyAlignment="1" applyProtection="1">
      <protection hidden="1"/>
    </xf>
    <xf numFmtId="0" fontId="48" fillId="9" borderId="0" xfId="0" applyFont="1" applyFill="1" applyAlignment="1" applyProtection="1">
      <protection hidden="1"/>
    </xf>
    <xf numFmtId="0" fontId="11" fillId="7" borderId="0" xfId="0" applyFont="1" applyFill="1" applyAlignment="1" applyProtection="1">
      <protection hidden="1"/>
    </xf>
    <xf numFmtId="0" fontId="0" fillId="0" borderId="0" xfId="0" applyProtection="1">
      <protection hidden="1"/>
    </xf>
    <xf numFmtId="0" fontId="10" fillId="7" borderId="0" xfId="0" applyFont="1" applyFill="1" applyAlignment="1" applyProtection="1">
      <protection hidden="1"/>
    </xf>
    <xf numFmtId="0" fontId="11" fillId="7" borderId="0" xfId="7" applyFont="1" applyFill="1" applyAlignment="1" applyProtection="1">
      <protection hidden="1"/>
    </xf>
    <xf numFmtId="0" fontId="48" fillId="9" borderId="0" xfId="0" applyFont="1" applyFill="1" applyAlignment="1" applyProtection="1">
      <protection hidden="1"/>
    </xf>
    <xf numFmtId="0" fontId="0" fillId="0" borderId="0" xfId="0" applyProtection="1">
      <protection hidden="1"/>
    </xf>
    <xf numFmtId="0" fontId="51" fillId="7" borderId="0" xfId="0" applyFont="1" applyFill="1" applyAlignment="1" applyProtection="1">
      <alignment horizontal="right"/>
      <protection locked="0" hidden="1"/>
    </xf>
    <xf numFmtId="0" fontId="84" fillId="22" borderId="0" xfId="9" applyFont="1" applyFill="1" applyAlignment="1" applyProtection="1">
      <alignment horizontal="center" vertical="center"/>
      <protection locked="0"/>
    </xf>
    <xf numFmtId="0" fontId="83" fillId="20" borderId="0" xfId="10" applyNumberFormat="1" applyFont="1" applyFill="1" applyProtection="1">
      <protection hidden="1"/>
    </xf>
    <xf numFmtId="0" fontId="48" fillId="0" borderId="0" xfId="0" applyFont="1" applyAlignment="1" applyProtection="1">
      <alignment horizontal="left"/>
      <protection hidden="1"/>
    </xf>
    <xf numFmtId="0" fontId="0" fillId="0" borderId="0" xfId="0" applyAlignment="1">
      <alignment vertical="center"/>
    </xf>
    <xf numFmtId="0" fontId="1" fillId="0" borderId="0" xfId="0" applyFont="1" applyBorder="1" applyAlignment="1" applyProtection="1">
      <protection hidden="1"/>
    </xf>
    <xf numFmtId="0" fontId="1" fillId="4" borderId="0" xfId="0" applyFont="1" applyFill="1" applyAlignment="1" applyProtection="1">
      <protection hidden="1"/>
    </xf>
    <xf numFmtId="0" fontId="0" fillId="0" borderId="0" xfId="0" applyProtection="1">
      <protection hidden="1"/>
    </xf>
    <xf numFmtId="0" fontId="1" fillId="0" borderId="0" xfId="0" applyFont="1" applyProtection="1">
      <protection hidden="1"/>
    </xf>
    <xf numFmtId="0" fontId="11" fillId="5" borderId="0" xfId="0" applyFont="1" applyFill="1" applyAlignment="1" applyProtection="1">
      <protection hidden="1"/>
    </xf>
    <xf numFmtId="14" fontId="0" fillId="0" borderId="0" xfId="0" applyNumberFormat="1" applyFont="1" applyProtection="1">
      <protection hidden="1"/>
    </xf>
    <xf numFmtId="0" fontId="0" fillId="0" borderId="0" xfId="0" applyFont="1" applyProtection="1">
      <protection hidden="1"/>
    </xf>
    <xf numFmtId="1" fontId="0" fillId="0" borderId="0" xfId="0" applyNumberFormat="1" applyFont="1" applyProtection="1">
      <protection hidden="1"/>
    </xf>
    <xf numFmtId="0" fontId="11" fillId="7" borderId="0" xfId="9" applyFont="1" applyFill="1" applyAlignment="1" applyProtection="1">
      <protection hidden="1"/>
    </xf>
    <xf numFmtId="0" fontId="73" fillId="7" borderId="0" xfId="9" applyFont="1" applyFill="1" applyAlignment="1" applyProtection="1">
      <protection hidden="1"/>
    </xf>
    <xf numFmtId="0" fontId="0" fillId="0" borderId="0" xfId="0" applyProtection="1">
      <protection hidden="1"/>
    </xf>
    <xf numFmtId="0" fontId="11" fillId="7" borderId="0" xfId="0" applyFont="1" applyFill="1" applyAlignment="1" applyProtection="1">
      <protection hidden="1"/>
    </xf>
    <xf numFmtId="0" fontId="0" fillId="0" borderId="0" xfId="0" applyAlignment="1" applyProtection="1">
      <alignment shrinkToFit="1"/>
      <protection hidden="1"/>
    </xf>
    <xf numFmtId="0" fontId="0" fillId="0" borderId="0" xfId="0" applyProtection="1">
      <protection hidden="1"/>
    </xf>
    <xf numFmtId="0" fontId="10" fillId="7" borderId="0" xfId="0" applyFont="1" applyFill="1" applyAlignment="1" applyProtection="1">
      <protection hidden="1"/>
    </xf>
    <xf numFmtId="0" fontId="2" fillId="7" borderId="0" xfId="7" applyFill="1" applyAlignment="1" applyProtection="1">
      <alignment shrinkToFit="1"/>
      <protection hidden="1"/>
    </xf>
    <xf numFmtId="0" fontId="2" fillId="7" borderId="0" xfId="7" applyFill="1" applyAlignment="1">
      <alignment shrinkToFit="1"/>
    </xf>
    <xf numFmtId="0" fontId="6" fillId="7" borderId="0" xfId="0" applyFont="1" applyFill="1" applyAlignment="1" applyProtection="1">
      <alignment shrinkToFit="1"/>
      <protection hidden="1"/>
    </xf>
    <xf numFmtId="0" fontId="51" fillId="7" borderId="0" xfId="0" applyFont="1" applyFill="1" applyAlignment="1" applyProtection="1">
      <alignment shrinkToFit="1"/>
      <protection hidden="1"/>
    </xf>
    <xf numFmtId="0" fontId="10" fillId="7" borderId="0" xfId="0" applyFont="1" applyFill="1" applyAlignment="1" applyProtection="1">
      <alignment shrinkToFit="1"/>
      <protection hidden="1"/>
    </xf>
    <xf numFmtId="0" fontId="10" fillId="7" borderId="0" xfId="0" applyNumberFormat="1" applyFont="1" applyFill="1" applyAlignment="1" applyProtection="1">
      <alignment horizontal="center" shrinkToFit="1"/>
      <protection hidden="1"/>
    </xf>
    <xf numFmtId="0" fontId="11" fillId="7" borderId="0" xfId="0" applyFont="1" applyFill="1" applyAlignment="1" applyProtection="1">
      <protection hidden="1"/>
    </xf>
    <xf numFmtId="0" fontId="0" fillId="0" borderId="0" xfId="0" applyProtection="1">
      <protection hidden="1"/>
    </xf>
    <xf numFmtId="0" fontId="6" fillId="7" borderId="0" xfId="7" applyFont="1" applyFill="1" applyAlignment="1" applyProtection="1">
      <protection hidden="1"/>
    </xf>
    <xf numFmtId="0" fontId="2" fillId="7" borderId="0" xfId="7" applyFill="1" applyAlignment="1" applyProtection="1">
      <protection hidden="1"/>
    </xf>
    <xf numFmtId="0" fontId="0" fillId="7" borderId="0" xfId="0" applyFill="1" applyAlignment="1" applyProtection="1">
      <protection hidden="1"/>
    </xf>
    <xf numFmtId="0" fontId="48" fillId="7" borderId="0" xfId="7" applyFont="1" applyFill="1" applyAlignment="1" applyProtection="1">
      <protection hidden="1"/>
    </xf>
    <xf numFmtId="0" fontId="10" fillId="7" borderId="0" xfId="0" applyFont="1" applyFill="1" applyAlignment="1" applyProtection="1">
      <protection hidden="1"/>
    </xf>
    <xf numFmtId="44" fontId="0" fillId="7" borderId="0" xfId="0" applyNumberFormat="1" applyFill="1" applyProtection="1">
      <protection hidden="1"/>
    </xf>
    <xf numFmtId="0" fontId="11" fillId="7" borderId="0" xfId="7" applyFont="1" applyFill="1" applyAlignment="1" applyProtection="1">
      <protection hidden="1"/>
    </xf>
    <xf numFmtId="0" fontId="1" fillId="2" borderId="0" xfId="0" applyFont="1" applyFill="1" applyProtection="1">
      <protection hidden="1"/>
    </xf>
    <xf numFmtId="0" fontId="2" fillId="5" borderId="5" xfId="0" applyFont="1" applyFill="1" applyBorder="1" applyAlignment="1" applyProtection="1">
      <alignment vertical="center" shrinkToFit="1"/>
      <protection hidden="1"/>
    </xf>
    <xf numFmtId="0" fontId="0" fillId="0" borderId="6" xfId="0" applyBorder="1" applyAlignment="1" applyProtection="1">
      <alignment vertical="center" shrinkToFit="1"/>
      <protection hidden="1"/>
    </xf>
    <xf numFmtId="0" fontId="0" fillId="0" borderId="7" xfId="0" applyBorder="1" applyAlignment="1" applyProtection="1">
      <alignment shrinkToFit="1"/>
      <protection hidden="1"/>
    </xf>
    <xf numFmtId="14" fontId="0" fillId="0" borderId="5" xfId="0" applyNumberFormat="1" applyBorder="1" applyAlignment="1" applyProtection="1">
      <alignment horizontal="center" vertical="center" shrinkToFit="1"/>
      <protection hidden="1"/>
    </xf>
    <xf numFmtId="0" fontId="1" fillId="5" borderId="5" xfId="0" applyFont="1" applyFill="1" applyBorder="1" applyAlignment="1" applyProtection="1">
      <alignment horizontal="center" vertical="center" shrinkToFit="1"/>
      <protection locked="0"/>
    </xf>
    <xf numFmtId="0" fontId="0" fillId="0" borderId="7" xfId="0" applyBorder="1" applyAlignment="1" applyProtection="1">
      <alignment shrinkToFit="1"/>
      <protection locked="0"/>
    </xf>
    <xf numFmtId="0" fontId="2" fillId="5" borderId="5" xfId="0" applyFont="1" applyFill="1" applyBorder="1" applyAlignment="1" applyProtection="1">
      <alignment horizontal="center" vertical="center" shrinkToFit="1"/>
      <protection locked="0"/>
    </xf>
    <xf numFmtId="0" fontId="19" fillId="3" borderId="0" xfId="0" applyFont="1" applyFill="1" applyAlignment="1" applyProtection="1">
      <alignment wrapText="1"/>
      <protection hidden="1"/>
    </xf>
    <xf numFmtId="0" fontId="0" fillId="0" borderId="0" xfId="0" applyAlignment="1" applyProtection="1">
      <alignment wrapText="1"/>
      <protection hidden="1"/>
    </xf>
    <xf numFmtId="0" fontId="20" fillId="5" borderId="0" xfId="0" applyFont="1" applyFill="1" applyAlignment="1" applyProtection="1">
      <alignment vertical="center"/>
      <protection locked="0"/>
    </xf>
    <xf numFmtId="0" fontId="62" fillId="11" borderId="0" xfId="3" applyFont="1" applyFill="1" applyAlignment="1" applyProtection="1">
      <protection hidden="1"/>
    </xf>
    <xf numFmtId="0" fontId="0" fillId="0" borderId="0" xfId="0" applyAlignment="1" applyProtection="1">
      <protection hidden="1"/>
    </xf>
    <xf numFmtId="0" fontId="62" fillId="0" borderId="0" xfId="3" applyFont="1" applyAlignment="1" applyProtection="1">
      <protection hidden="1"/>
    </xf>
    <xf numFmtId="0" fontId="62" fillId="3" borderId="0" xfId="3" applyFont="1" applyFill="1" applyAlignment="1" applyProtection="1">
      <protection hidden="1"/>
    </xf>
    <xf numFmtId="0" fontId="2" fillId="5" borderId="5" xfId="0" applyFont="1" applyFill="1" applyBorder="1" applyAlignment="1" applyProtection="1">
      <alignment vertical="center" shrinkToFit="1"/>
      <protection locked="0"/>
    </xf>
    <xf numFmtId="0" fontId="2" fillId="5" borderId="6" xfId="0" applyFont="1" applyFill="1" applyBorder="1" applyAlignment="1" applyProtection="1">
      <alignment vertical="center" shrinkToFit="1"/>
      <protection locked="0"/>
    </xf>
    <xf numFmtId="166" fontId="23" fillId="18" borderId="0" xfId="7" applyNumberFormat="1" applyFont="1" applyFill="1" applyAlignment="1" applyProtection="1">
      <alignment horizontal="left"/>
      <protection hidden="1"/>
    </xf>
    <xf numFmtId="0" fontId="2" fillId="18" borderId="0" xfId="7" applyFill="1" applyAlignment="1" applyProtection="1">
      <protection hidden="1"/>
    </xf>
    <xf numFmtId="0" fontId="8" fillId="4" borderId="0" xfId="7" applyFont="1" applyFill="1" applyAlignment="1" applyProtection="1">
      <alignment horizontal="left"/>
      <protection hidden="1"/>
    </xf>
    <xf numFmtId="0" fontId="8" fillId="0" borderId="0" xfId="0" applyFont="1" applyAlignment="1"/>
    <xf numFmtId="0" fontId="8" fillId="4" borderId="0" xfId="7" applyFont="1" applyFill="1" applyAlignment="1" applyProtection="1">
      <protection hidden="1"/>
    </xf>
    <xf numFmtId="0" fontId="0" fillId="0" borderId="0" xfId="0" applyAlignment="1"/>
    <xf numFmtId="0" fontId="8" fillId="18" borderId="0" xfId="7" applyFont="1" applyFill="1" applyAlignment="1" applyProtection="1">
      <alignment horizontal="left"/>
      <protection hidden="1"/>
    </xf>
    <xf numFmtId="0" fontId="8" fillId="4" borderId="0" xfId="7" applyFont="1" applyFill="1" applyAlignment="1" applyProtection="1">
      <alignment horizontal="left" vertical="center"/>
      <protection hidden="1"/>
    </xf>
    <xf numFmtId="0" fontId="73" fillId="7" borderId="0" xfId="7" applyFont="1" applyFill="1" applyAlignment="1" applyProtection="1">
      <alignment vertical="center"/>
      <protection hidden="1"/>
    </xf>
    <xf numFmtId="0" fontId="6" fillId="7" borderId="0" xfId="7" applyFont="1" applyFill="1" applyAlignment="1" applyProtection="1">
      <alignment wrapText="1"/>
      <protection hidden="1"/>
    </xf>
    <xf numFmtId="0" fontId="78" fillId="7" borderId="0" xfId="0" applyFont="1" applyFill="1" applyAlignment="1" applyProtection="1">
      <alignment horizontal="center" vertical="center" shrinkToFit="1"/>
      <protection locked="0"/>
    </xf>
    <xf numFmtId="0" fontId="6" fillId="7" borderId="0" xfId="7" applyFont="1" applyFill="1" applyAlignment="1" applyProtection="1">
      <protection hidden="1"/>
    </xf>
    <xf numFmtId="168" fontId="10" fillId="7" borderId="0" xfId="7" applyNumberFormat="1" applyFont="1" applyFill="1" applyAlignment="1" applyProtection="1">
      <alignment horizontal="center" shrinkToFit="1"/>
      <protection locked="0"/>
    </xf>
    <xf numFmtId="0" fontId="37" fillId="7" borderId="0" xfId="7" applyFont="1" applyFill="1" applyAlignment="1" applyProtection="1">
      <alignment horizontal="center"/>
      <protection hidden="1"/>
    </xf>
    <xf numFmtId="0" fontId="2" fillId="7" borderId="0" xfId="7" applyFill="1" applyAlignment="1" applyProtection="1">
      <protection hidden="1"/>
    </xf>
    <xf numFmtId="0" fontId="76" fillId="7" borderId="0" xfId="7" applyFont="1" applyFill="1" applyAlignment="1" applyProtection="1">
      <alignment horizontal="center" vertical="center" shrinkToFit="1"/>
      <protection locked="0"/>
    </xf>
    <xf numFmtId="0" fontId="10" fillId="7" borderId="0" xfId="0" applyNumberFormat="1" applyFont="1" applyFill="1" applyAlignment="1" applyProtection="1">
      <alignment horizontal="center" vertical="center" shrinkToFit="1"/>
      <protection locked="0"/>
    </xf>
    <xf numFmtId="0" fontId="6" fillId="7" borderId="0" xfId="0" applyFont="1" applyFill="1" applyAlignment="1" applyProtection="1">
      <protection hidden="1"/>
    </xf>
    <xf numFmtId="0" fontId="0" fillId="7" borderId="0" xfId="0" applyFill="1" applyAlignment="1" applyProtection="1">
      <protection hidden="1"/>
    </xf>
    <xf numFmtId="0" fontId="73" fillId="7" borderId="0" xfId="7" applyFont="1" applyFill="1" applyAlignment="1" applyProtection="1">
      <alignment vertical="center" shrinkToFit="1"/>
      <protection hidden="1"/>
    </xf>
    <xf numFmtId="0" fontId="0" fillId="0" borderId="0" xfId="0" applyAlignment="1">
      <alignment shrinkToFit="1"/>
    </xf>
    <xf numFmtId="0" fontId="2" fillId="7" borderId="0" xfId="7" applyFill="1" applyAlignment="1"/>
    <xf numFmtId="0" fontId="8" fillId="7" borderId="0" xfId="7" applyFont="1" applyFill="1" applyAlignment="1" applyProtection="1">
      <alignment horizontal="center" vertical="center" shrinkToFit="1"/>
      <protection locked="0"/>
    </xf>
    <xf numFmtId="0" fontId="2" fillId="7" borderId="0" xfId="7" applyFill="1" applyAlignment="1" applyProtection="1">
      <alignment shrinkToFit="1"/>
      <protection locked="0"/>
    </xf>
    <xf numFmtId="0" fontId="0" fillId="0" borderId="0" xfId="0" applyAlignment="1" applyProtection="1">
      <alignment shrinkToFit="1"/>
      <protection locked="0"/>
    </xf>
    <xf numFmtId="0" fontId="10" fillId="7" borderId="0" xfId="7" applyFont="1" applyFill="1" applyAlignment="1" applyProtection="1">
      <alignment horizontal="center" vertical="center" shrinkToFit="1"/>
      <protection hidden="1"/>
    </xf>
    <xf numFmtId="0" fontId="11" fillId="7" borderId="0" xfId="7" applyFont="1" applyFill="1" applyAlignment="1" applyProtection="1">
      <protection hidden="1"/>
    </xf>
    <xf numFmtId="0" fontId="0" fillId="7" borderId="0" xfId="0" applyFill="1" applyAlignment="1"/>
    <xf numFmtId="0" fontId="0" fillId="7" borderId="0" xfId="0" applyFill="1" applyAlignment="1" applyProtection="1">
      <alignment shrinkToFit="1"/>
      <protection locked="0"/>
    </xf>
    <xf numFmtId="168" fontId="2" fillId="7" borderId="0" xfId="7" applyNumberFormat="1" applyFont="1" applyFill="1" applyAlignment="1" applyProtection="1">
      <alignment horizontal="center" shrinkToFit="1"/>
      <protection locked="0"/>
    </xf>
    <xf numFmtId="168" fontId="2" fillId="7" borderId="0" xfId="7" applyNumberFormat="1" applyFont="1" applyFill="1" applyAlignment="1" applyProtection="1">
      <alignment shrinkToFit="1"/>
      <protection locked="0"/>
    </xf>
    <xf numFmtId="0" fontId="0" fillId="7" borderId="0" xfId="0" applyFill="1" applyBorder="1" applyAlignment="1" applyProtection="1">
      <protection hidden="1"/>
    </xf>
    <xf numFmtId="0" fontId="2" fillId="7" borderId="0" xfId="7" applyNumberFormat="1" applyFont="1" applyFill="1" applyAlignment="1" applyProtection="1">
      <alignment horizontal="center" shrinkToFit="1"/>
      <protection locked="0"/>
    </xf>
    <xf numFmtId="0" fontId="2" fillId="7" borderId="0" xfId="7" applyNumberFormat="1" applyFont="1" applyFill="1" applyAlignment="1" applyProtection="1">
      <alignment shrinkToFit="1"/>
      <protection locked="0"/>
    </xf>
    <xf numFmtId="0" fontId="10" fillId="7" borderId="0" xfId="7" applyNumberFormat="1" applyFont="1" applyFill="1" applyAlignment="1" applyProtection="1">
      <alignment horizontal="center" shrinkToFit="1"/>
      <protection locked="0"/>
    </xf>
    <xf numFmtId="0" fontId="2" fillId="7" borderId="0" xfId="7" applyFill="1" applyAlignment="1">
      <alignment horizontal="center" vertical="center" shrinkToFit="1"/>
    </xf>
    <xf numFmtId="168" fontId="44" fillId="7" borderId="0" xfId="7" applyNumberFormat="1" applyFont="1" applyFill="1" applyAlignment="1" applyProtection="1">
      <alignment horizontal="center" shrinkToFit="1"/>
      <protection locked="0"/>
    </xf>
    <xf numFmtId="0" fontId="33" fillId="0" borderId="0" xfId="0" applyFont="1" applyAlignment="1" applyProtection="1">
      <alignment shrinkToFit="1"/>
      <protection locked="0"/>
    </xf>
    <xf numFmtId="0" fontId="10" fillId="7" borderId="8" xfId="0" applyFont="1" applyFill="1" applyBorder="1" applyAlignment="1" applyProtection="1">
      <alignment horizontal="center" vertical="center" shrinkToFit="1"/>
      <protection hidden="1"/>
    </xf>
    <xf numFmtId="0" fontId="10" fillId="7" borderId="9" xfId="0" applyFont="1" applyFill="1" applyBorder="1" applyAlignment="1" applyProtection="1">
      <alignment horizontal="center" vertical="center" shrinkToFit="1"/>
      <protection hidden="1"/>
    </xf>
    <xf numFmtId="0" fontId="10" fillId="7" borderId="10" xfId="0" applyFont="1" applyFill="1" applyBorder="1" applyAlignment="1" applyProtection="1">
      <alignment horizontal="center" vertical="center" shrinkToFit="1"/>
      <protection hidden="1"/>
    </xf>
    <xf numFmtId="0" fontId="10" fillId="7" borderId="11" xfId="0" applyFont="1" applyFill="1" applyBorder="1" applyAlignment="1" applyProtection="1">
      <alignment horizontal="center" vertical="center" shrinkToFit="1"/>
      <protection hidden="1"/>
    </xf>
    <xf numFmtId="0" fontId="10" fillId="7" borderId="2" xfId="0" applyFont="1" applyFill="1" applyBorder="1" applyAlignment="1" applyProtection="1">
      <alignment horizontal="center" vertical="center" shrinkToFit="1"/>
      <protection hidden="1"/>
    </xf>
    <xf numFmtId="0" fontId="10" fillId="7" borderId="12" xfId="0" applyFont="1" applyFill="1" applyBorder="1" applyAlignment="1" applyProtection="1">
      <alignment horizontal="center" vertical="center" shrinkToFit="1"/>
      <protection hidden="1"/>
    </xf>
    <xf numFmtId="0" fontId="48" fillId="8" borderId="8" xfId="0" applyFont="1" applyFill="1" applyBorder="1" applyAlignment="1" applyProtection="1">
      <alignment horizontal="center" vertical="center" shrinkToFit="1"/>
      <protection locked="0"/>
    </xf>
    <xf numFmtId="0" fontId="48" fillId="8" borderId="9" xfId="0" applyFont="1" applyFill="1" applyBorder="1" applyAlignment="1" applyProtection="1">
      <alignment horizontal="center" vertical="center" shrinkToFit="1"/>
      <protection locked="0"/>
    </xf>
    <xf numFmtId="0" fontId="48" fillId="8" borderId="10" xfId="0" applyFont="1" applyFill="1" applyBorder="1" applyAlignment="1" applyProtection="1">
      <alignment horizontal="center" vertical="center" shrinkToFit="1"/>
      <protection locked="0"/>
    </xf>
    <xf numFmtId="0" fontId="48" fillId="8" borderId="13" xfId="0" applyFont="1" applyFill="1" applyBorder="1" applyAlignment="1" applyProtection="1">
      <alignment horizontal="center" vertical="center" shrinkToFit="1"/>
      <protection locked="0"/>
    </xf>
    <xf numFmtId="0" fontId="48" fillId="8" borderId="0" xfId="0" applyFont="1" applyFill="1" applyBorder="1" applyAlignment="1" applyProtection="1">
      <alignment horizontal="center" vertical="center" shrinkToFit="1"/>
      <protection locked="0"/>
    </xf>
    <xf numFmtId="0" fontId="48" fillId="8" borderId="14" xfId="0" applyFont="1" applyFill="1" applyBorder="1" applyAlignment="1" applyProtection="1">
      <alignment horizontal="center" vertical="center" shrinkToFit="1"/>
      <protection locked="0"/>
    </xf>
    <xf numFmtId="0" fontId="48" fillId="8" borderId="11" xfId="0" applyFont="1" applyFill="1" applyBorder="1" applyAlignment="1" applyProtection="1">
      <alignment horizontal="center" vertical="center" shrinkToFit="1"/>
      <protection locked="0"/>
    </xf>
    <xf numFmtId="0" fontId="48" fillId="8" borderId="2" xfId="0" applyFont="1" applyFill="1" applyBorder="1" applyAlignment="1" applyProtection="1">
      <alignment horizontal="center" vertical="center" shrinkToFit="1"/>
      <protection locked="0"/>
    </xf>
    <xf numFmtId="0" fontId="48" fillId="8" borderId="12" xfId="0" applyFont="1" applyFill="1" applyBorder="1" applyAlignment="1" applyProtection="1">
      <alignment horizontal="center" vertical="center" shrinkToFit="1"/>
      <protection locked="0"/>
    </xf>
    <xf numFmtId="0" fontId="38" fillId="8" borderId="0" xfId="7" applyFont="1" applyFill="1" applyAlignment="1" applyProtection="1">
      <alignment horizontal="center" vertical="center" shrinkToFit="1"/>
      <protection locked="0"/>
    </xf>
    <xf numFmtId="0" fontId="0" fillId="0" borderId="9" xfId="0" applyBorder="1" applyAlignment="1" applyProtection="1">
      <alignment horizontal="center" vertical="center" shrinkToFit="1"/>
      <protection hidden="1"/>
    </xf>
    <xf numFmtId="0" fontId="0" fillId="0" borderId="10"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0" xfId="0"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2"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10" fillId="5" borderId="13" xfId="0" applyFont="1" applyFill="1" applyBorder="1" applyAlignment="1" applyProtection="1">
      <alignment horizontal="center" vertical="center" shrinkToFit="1"/>
      <protection hidden="1"/>
    </xf>
    <xf numFmtId="0" fontId="10" fillId="7" borderId="0" xfId="0" applyFont="1" applyFill="1" applyBorder="1" applyAlignment="1" applyProtection="1">
      <alignment horizontal="center" vertical="center" shrinkToFit="1"/>
      <protection hidden="1"/>
    </xf>
    <xf numFmtId="0" fontId="10" fillId="5" borderId="14" xfId="0" applyFont="1" applyFill="1" applyBorder="1" applyAlignment="1" applyProtection="1">
      <alignment horizontal="center" vertical="center" shrinkToFit="1"/>
      <protection hidden="1"/>
    </xf>
    <xf numFmtId="0" fontId="48" fillId="9" borderId="0" xfId="0" applyFont="1" applyFill="1" applyAlignment="1" applyProtection="1">
      <protection hidden="1"/>
    </xf>
    <xf numFmtId="0" fontId="48" fillId="0" borderId="0" xfId="0" applyFont="1" applyAlignment="1" applyProtection="1">
      <protection hidden="1"/>
    </xf>
    <xf numFmtId="0" fontId="73" fillId="0" borderId="0" xfId="0" applyFont="1" applyAlignment="1" applyProtection="1">
      <alignment vertical="center" shrinkToFit="1"/>
      <protection hidden="1"/>
    </xf>
    <xf numFmtId="0" fontId="73" fillId="0" borderId="0" xfId="0" applyFont="1" applyAlignment="1">
      <alignment vertical="center" shrinkToFit="1"/>
    </xf>
    <xf numFmtId="0" fontId="26" fillId="7" borderId="8" xfId="0" applyFont="1" applyFill="1" applyBorder="1" applyAlignment="1" applyProtection="1">
      <alignment horizontal="center" vertical="center" shrinkToFit="1"/>
      <protection hidden="1"/>
    </xf>
    <xf numFmtId="0" fontId="26" fillId="7" borderId="9" xfId="0" applyFont="1" applyFill="1" applyBorder="1" applyAlignment="1" applyProtection="1">
      <alignment horizontal="center" vertical="center" shrinkToFit="1"/>
      <protection hidden="1"/>
    </xf>
    <xf numFmtId="0" fontId="26" fillId="7" borderId="10" xfId="0" applyFont="1" applyFill="1" applyBorder="1" applyAlignment="1" applyProtection="1">
      <alignment horizontal="center" vertical="center" shrinkToFit="1"/>
      <protection hidden="1"/>
    </xf>
    <xf numFmtId="0" fontId="26" fillId="7" borderId="11" xfId="0" applyFont="1" applyFill="1" applyBorder="1" applyAlignment="1" applyProtection="1">
      <alignment horizontal="center" vertical="center" shrinkToFit="1"/>
      <protection hidden="1"/>
    </xf>
    <xf numFmtId="0" fontId="26" fillId="7" borderId="2" xfId="0" applyFont="1" applyFill="1" applyBorder="1" applyAlignment="1" applyProtection="1">
      <alignment horizontal="center" vertical="center" shrinkToFit="1"/>
      <protection hidden="1"/>
    </xf>
    <xf numFmtId="0" fontId="26" fillId="7" borderId="12" xfId="0" applyFont="1" applyFill="1" applyBorder="1" applyAlignment="1" applyProtection="1">
      <alignment horizontal="center" vertical="center" shrinkToFit="1"/>
      <protection hidden="1"/>
    </xf>
    <xf numFmtId="0" fontId="28" fillId="7" borderId="0" xfId="0" applyFont="1" applyFill="1" applyAlignment="1" applyProtection="1">
      <alignment horizontal="center" shrinkToFit="1"/>
      <protection locked="0"/>
    </xf>
    <xf numFmtId="0" fontId="11" fillId="3" borderId="0" xfId="7" applyFont="1" applyFill="1" applyAlignment="1" applyProtection="1">
      <protection hidden="1"/>
    </xf>
    <xf numFmtId="0" fontId="2" fillId="0" borderId="0" xfId="7" applyAlignment="1"/>
    <xf numFmtId="0" fontId="26" fillId="7" borderId="0" xfId="0" applyFont="1" applyFill="1" applyAlignment="1" applyProtection="1">
      <alignment horizontal="right" vertical="center" wrapText="1"/>
      <protection hidden="1"/>
    </xf>
    <xf numFmtId="0" fontId="0" fillId="0" borderId="0" xfId="0" applyAlignment="1">
      <alignment wrapText="1"/>
    </xf>
    <xf numFmtId="0" fontId="73" fillId="7" borderId="0" xfId="7" applyFont="1" applyFill="1" applyAlignment="1" applyProtection="1">
      <alignment shrinkToFit="1"/>
      <protection hidden="1"/>
    </xf>
    <xf numFmtId="0" fontId="37" fillId="7" borderId="0" xfId="0" applyFont="1" applyFill="1" applyAlignment="1" applyProtection="1">
      <alignment horizontal="center" vertical="center"/>
      <protection hidden="1"/>
    </xf>
    <xf numFmtId="0" fontId="0" fillId="7" borderId="0" xfId="0" applyFill="1" applyAlignment="1">
      <alignment horizontal="center" vertical="center"/>
    </xf>
    <xf numFmtId="0" fontId="8" fillId="8" borderId="0" xfId="0" applyFont="1" applyFill="1" applyAlignment="1" applyProtection="1">
      <alignment horizontal="center" shrinkToFit="1"/>
      <protection locked="0"/>
    </xf>
    <xf numFmtId="0" fontId="79" fillId="7" borderId="3" xfId="0" applyFont="1" applyFill="1" applyBorder="1" applyAlignment="1">
      <alignment horizontal="center" vertical="center"/>
    </xf>
    <xf numFmtId="0" fontId="80" fillId="7" borderId="0" xfId="0" applyFont="1" applyFill="1" applyAlignment="1" applyProtection="1">
      <alignment horizontal="center" vertical="top"/>
      <protection hidden="1"/>
    </xf>
    <xf numFmtId="0" fontId="81" fillId="7" borderId="0" xfId="0" applyFont="1" applyFill="1" applyAlignment="1">
      <alignment horizontal="center" vertical="top"/>
    </xf>
    <xf numFmtId="0" fontId="8" fillId="4" borderId="0" xfId="0" applyFont="1" applyFill="1" applyAlignment="1" applyProtection="1">
      <alignment horizontal="left"/>
      <protection hidden="1"/>
    </xf>
    <xf numFmtId="0" fontId="0" fillId="7" borderId="0" xfId="0" applyNumberFormat="1" applyFill="1" applyAlignment="1" applyProtection="1">
      <alignment horizontal="center" vertical="center" shrinkToFit="1"/>
      <protection locked="0"/>
    </xf>
    <xf numFmtId="166" fontId="23" fillId="18" borderId="0" xfId="0" applyNumberFormat="1" applyFont="1" applyFill="1" applyAlignment="1" applyProtection="1">
      <alignment horizontal="left"/>
      <protection hidden="1"/>
    </xf>
    <xf numFmtId="0" fontId="0" fillId="18" borderId="0" xfId="0" applyFill="1" applyAlignment="1" applyProtection="1">
      <protection hidden="1"/>
    </xf>
    <xf numFmtId="44" fontId="10" fillId="7" borderId="0" xfId="0" applyNumberFormat="1" applyFont="1" applyFill="1" applyAlignment="1" applyProtection="1">
      <alignment shrinkToFit="1"/>
      <protection locked="0"/>
    </xf>
    <xf numFmtId="44" fontId="0" fillId="7" borderId="0" xfId="0" applyNumberFormat="1" applyFill="1" applyAlignment="1" applyProtection="1">
      <alignment shrinkToFit="1"/>
      <protection locked="0"/>
    </xf>
    <xf numFmtId="0" fontId="37" fillId="7" borderId="0" xfId="0" applyFont="1" applyFill="1" applyAlignment="1" applyProtection="1">
      <alignment horizontal="center" vertical="center" shrinkToFit="1"/>
      <protection locked="0"/>
    </xf>
    <xf numFmtId="0" fontId="11" fillId="7" borderId="0" xfId="0" applyFont="1" applyFill="1" applyAlignment="1" applyProtection="1">
      <protection hidden="1"/>
    </xf>
    <xf numFmtId="0" fontId="38" fillId="7" borderId="0" xfId="0" applyFont="1" applyFill="1" applyAlignment="1" applyProtection="1">
      <alignment vertical="center" wrapText="1"/>
      <protection hidden="1"/>
    </xf>
    <xf numFmtId="0" fontId="0" fillId="7" borderId="0" xfId="0" applyFill="1" applyAlignment="1">
      <alignment vertical="center" wrapText="1"/>
    </xf>
    <xf numFmtId="0" fontId="26" fillId="8" borderId="0" xfId="7" applyFont="1" applyFill="1" applyAlignment="1" applyProtection="1">
      <alignment horizontal="center" vertical="center" shrinkToFit="1"/>
      <protection locked="0"/>
    </xf>
    <xf numFmtId="0" fontId="0" fillId="8" borderId="0" xfId="0" applyFill="1" applyAlignment="1" applyProtection="1">
      <alignment horizontal="center" vertical="center" shrinkToFit="1"/>
      <protection locked="0"/>
    </xf>
    <xf numFmtId="0" fontId="0" fillId="8" borderId="0" xfId="0" applyFill="1" applyAlignment="1" applyProtection="1">
      <alignment shrinkToFit="1"/>
      <protection locked="0"/>
    </xf>
    <xf numFmtId="167" fontId="10" fillId="7" borderId="0" xfId="7" applyNumberFormat="1" applyFont="1" applyFill="1" applyAlignment="1" applyProtection="1">
      <alignment horizontal="center" shrinkToFit="1"/>
      <protection locked="0"/>
    </xf>
    <xf numFmtId="0" fontId="45" fillId="7" borderId="0" xfId="7" applyFont="1" applyFill="1" applyAlignment="1" applyProtection="1">
      <alignment horizontal="center" vertical="center" shrinkToFit="1"/>
      <protection locked="0"/>
    </xf>
    <xf numFmtId="0" fontId="0" fillId="7" borderId="0" xfId="0" applyFill="1" applyAlignment="1" applyProtection="1">
      <alignment horizontal="center" vertical="center" shrinkToFit="1"/>
      <protection locked="0"/>
    </xf>
    <xf numFmtId="0" fontId="82" fillId="7" borderId="0" xfId="0" applyFont="1" applyFill="1" applyAlignment="1" applyProtection="1">
      <alignment horizontal="center" vertical="center"/>
      <protection hidden="1"/>
    </xf>
    <xf numFmtId="0" fontId="10" fillId="7" borderId="0" xfId="0" applyFont="1" applyFill="1" applyAlignment="1" applyProtection="1">
      <alignment horizontal="center" vertical="center"/>
      <protection hidden="1"/>
    </xf>
    <xf numFmtId="0" fontId="0" fillId="0" borderId="0" xfId="0" applyAlignment="1">
      <alignment horizontal="center" vertical="center"/>
    </xf>
    <xf numFmtId="0" fontId="10" fillId="5" borderId="0" xfId="0" applyFont="1" applyFill="1" applyAlignment="1" applyProtection="1">
      <alignment horizontal="center" vertical="center"/>
      <protection hidden="1"/>
    </xf>
    <xf numFmtId="42" fontId="10" fillId="7" borderId="0" xfId="7" applyNumberFormat="1" applyFont="1" applyFill="1" applyAlignment="1" applyProtection="1">
      <alignment horizontal="center" shrinkToFit="1"/>
      <protection locked="0"/>
    </xf>
    <xf numFmtId="42" fontId="2" fillId="7" borderId="0" xfId="0" applyNumberFormat="1" applyFont="1" applyFill="1" applyAlignment="1" applyProtection="1">
      <alignment shrinkToFit="1"/>
      <protection locked="0"/>
    </xf>
    <xf numFmtId="0" fontId="38" fillId="7" borderId="0" xfId="0" applyFont="1" applyFill="1" applyAlignment="1" applyProtection="1">
      <alignment horizontal="center" vertical="center" shrinkToFit="1"/>
      <protection locked="0"/>
    </xf>
    <xf numFmtId="0" fontId="31" fillId="8" borderId="0" xfId="0" applyFont="1" applyFill="1" applyAlignment="1" applyProtection="1">
      <alignment horizontal="center" vertical="center" shrinkToFit="1"/>
      <protection locked="0"/>
    </xf>
    <xf numFmtId="0" fontId="45" fillId="7" borderId="0" xfId="0" applyFont="1" applyFill="1" applyAlignment="1" applyProtection="1">
      <alignment horizontal="center" vertical="center"/>
      <protection hidden="1"/>
    </xf>
    <xf numFmtId="0" fontId="1" fillId="5" borderId="0" xfId="0" applyFont="1" applyFill="1" applyAlignment="1" applyProtection="1">
      <alignment wrapText="1"/>
      <protection hidden="1"/>
    </xf>
    <xf numFmtId="0" fontId="11" fillId="5" borderId="0" xfId="0" applyFont="1" applyFill="1" applyAlignment="1" applyProtection="1">
      <protection hidden="1"/>
    </xf>
    <xf numFmtId="0" fontId="10" fillId="7" borderId="0" xfId="7" applyFont="1" applyFill="1" applyAlignment="1" applyProtection="1">
      <alignment horizontal="center" shrinkToFit="1"/>
      <protection locked="0"/>
    </xf>
    <xf numFmtId="0" fontId="10" fillId="7" borderId="0" xfId="0" applyFont="1" applyFill="1" applyAlignment="1" applyProtection="1">
      <alignment horizontal="center" vertical="center" shrinkToFit="1"/>
      <protection locked="0"/>
    </xf>
    <xf numFmtId="0" fontId="2" fillId="7" borderId="0" xfId="0" applyFont="1" applyFill="1" applyAlignment="1" applyProtection="1">
      <alignment horizontal="center" vertical="center" shrinkToFit="1"/>
      <protection locked="0"/>
    </xf>
    <xf numFmtId="0" fontId="8" fillId="7" borderId="0" xfId="0" applyFont="1" applyFill="1" applyAlignment="1" applyProtection="1">
      <alignment horizontal="right" wrapText="1"/>
      <protection hidden="1"/>
    </xf>
    <xf numFmtId="0" fontId="0" fillId="0" borderId="0" xfId="0" applyProtection="1">
      <protection hidden="1"/>
    </xf>
    <xf numFmtId="0" fontId="8" fillId="7" borderId="0" xfId="0" applyFont="1" applyFill="1" applyAlignment="1" applyProtection="1">
      <alignment horizontal="left" vertical="center" wrapText="1"/>
      <protection hidden="1"/>
    </xf>
    <xf numFmtId="0" fontId="33" fillId="7" borderId="0" xfId="0" applyFont="1" applyFill="1" applyAlignment="1" applyProtection="1">
      <alignment horizontal="right" vertical="center"/>
      <protection hidden="1"/>
    </xf>
    <xf numFmtId="0" fontId="8" fillId="7" borderId="0" xfId="0" applyFont="1" applyFill="1" applyAlignment="1" applyProtection="1">
      <alignment vertical="center" wrapText="1"/>
      <protection hidden="1"/>
    </xf>
    <xf numFmtId="0" fontId="8" fillId="7" borderId="0" xfId="0" applyFont="1" applyFill="1" applyAlignment="1" applyProtection="1">
      <alignment horizontal="right"/>
      <protection hidden="1"/>
    </xf>
    <xf numFmtId="0" fontId="26" fillId="7" borderId="0" xfId="0" applyFont="1" applyFill="1" applyAlignment="1" applyProtection="1">
      <protection hidden="1"/>
    </xf>
    <xf numFmtId="0" fontId="33" fillId="7" borderId="0" xfId="0" applyFont="1" applyFill="1" applyAlignment="1" applyProtection="1">
      <alignment horizontal="center" vertical="center"/>
      <protection hidden="1"/>
    </xf>
    <xf numFmtId="0" fontId="36" fillId="7" borderId="0" xfId="0" applyFont="1" applyFill="1" applyAlignment="1" applyProtection="1">
      <protection hidden="1"/>
    </xf>
    <xf numFmtId="0" fontId="31" fillId="7" borderId="0" xfId="0" applyFont="1" applyFill="1" applyAlignment="1" applyProtection="1">
      <alignment horizontal="left" vertical="center"/>
      <protection hidden="1"/>
    </xf>
    <xf numFmtId="0" fontId="31" fillId="7" borderId="0" xfId="0" applyFont="1" applyFill="1" applyAlignment="1" applyProtection="1">
      <alignment horizontal="center" vertical="center"/>
      <protection hidden="1"/>
    </xf>
    <xf numFmtId="0" fontId="48" fillId="5" borderId="0" xfId="0" applyFont="1" applyFill="1" applyAlignment="1" applyProtection="1">
      <alignment horizontal="left" vertical="center" wrapText="1"/>
      <protection hidden="1"/>
    </xf>
    <xf numFmtId="0" fontId="48" fillId="0" borderId="0" xfId="0" applyFont="1" applyAlignment="1" applyProtection="1">
      <alignment horizontal="left" vertical="center" wrapText="1"/>
      <protection hidden="1"/>
    </xf>
    <xf numFmtId="0" fontId="10" fillId="8" borderId="8" xfId="0" applyFont="1" applyFill="1" applyBorder="1" applyAlignment="1" applyProtection="1">
      <alignment horizontal="center" vertical="center" shrinkToFit="1"/>
      <protection locked="0"/>
    </xf>
    <xf numFmtId="0" fontId="0" fillId="0" borderId="9" xfId="0" applyBorder="1" applyAlignment="1" applyProtection="1">
      <alignment shrinkToFit="1"/>
      <protection locked="0"/>
    </xf>
    <xf numFmtId="0" fontId="0" fillId="0" borderId="10" xfId="0" applyBorder="1" applyAlignment="1" applyProtection="1">
      <alignment shrinkToFit="1"/>
      <protection locked="0"/>
    </xf>
    <xf numFmtId="0" fontId="0" fillId="0" borderId="13" xfId="0" applyBorder="1" applyAlignment="1" applyProtection="1">
      <alignment shrinkToFit="1"/>
      <protection locked="0"/>
    </xf>
    <xf numFmtId="0" fontId="0" fillId="0" borderId="14" xfId="0" applyBorder="1" applyAlignment="1" applyProtection="1">
      <alignment shrinkToFit="1"/>
      <protection locked="0"/>
    </xf>
    <xf numFmtId="0" fontId="0" fillId="0" borderId="11" xfId="0" applyBorder="1" applyAlignment="1" applyProtection="1">
      <alignment shrinkToFit="1"/>
      <protection locked="0"/>
    </xf>
    <xf numFmtId="0" fontId="0" fillId="0" borderId="2" xfId="0" applyBorder="1" applyAlignment="1" applyProtection="1">
      <alignment shrinkToFit="1"/>
      <protection locked="0"/>
    </xf>
    <xf numFmtId="0" fontId="0" fillId="0" borderId="12" xfId="0" applyBorder="1" applyAlignment="1" applyProtection="1">
      <alignment shrinkToFit="1"/>
      <protection locked="0"/>
    </xf>
    <xf numFmtId="0" fontId="10" fillId="5" borderId="8" xfId="0" applyFont="1" applyFill="1" applyBorder="1" applyAlignment="1" applyProtection="1">
      <alignment horizontal="center" vertical="center" shrinkToFit="1"/>
      <protection hidden="1"/>
    </xf>
    <xf numFmtId="0" fontId="0" fillId="0" borderId="9" xfId="0" applyBorder="1" applyAlignment="1" applyProtection="1">
      <alignment shrinkToFit="1"/>
      <protection hidden="1"/>
    </xf>
    <xf numFmtId="0" fontId="0" fillId="0" borderId="10" xfId="0" applyBorder="1" applyAlignment="1" applyProtection="1">
      <alignment shrinkToFit="1"/>
      <protection hidden="1"/>
    </xf>
    <xf numFmtId="0" fontId="0" fillId="0" borderId="13" xfId="0" applyBorder="1" applyAlignment="1" applyProtection="1">
      <alignment shrinkToFit="1"/>
      <protection hidden="1"/>
    </xf>
    <xf numFmtId="0" fontId="0" fillId="0" borderId="0" xfId="0" applyAlignment="1" applyProtection="1">
      <alignment shrinkToFit="1"/>
      <protection hidden="1"/>
    </xf>
    <xf numFmtId="0" fontId="0" fillId="0" borderId="14" xfId="0" applyBorder="1" applyAlignment="1" applyProtection="1">
      <alignment shrinkToFit="1"/>
      <protection hidden="1"/>
    </xf>
    <xf numFmtId="0" fontId="0" fillId="0" borderId="11" xfId="0" applyBorder="1" applyAlignment="1" applyProtection="1">
      <alignment shrinkToFit="1"/>
      <protection hidden="1"/>
    </xf>
    <xf numFmtId="0" fontId="0" fillId="0" borderId="2" xfId="0" applyBorder="1" applyAlignment="1" applyProtection="1">
      <alignment shrinkToFit="1"/>
      <protection hidden="1"/>
    </xf>
    <xf numFmtId="0" fontId="0" fillId="0" borderId="12" xfId="0" applyBorder="1" applyAlignment="1" applyProtection="1">
      <alignment shrinkToFit="1"/>
      <protection hidden="1"/>
    </xf>
    <xf numFmtId="0" fontId="48" fillId="7" borderId="0" xfId="7" applyFont="1" applyFill="1" applyAlignment="1" applyProtection="1">
      <protection hidden="1"/>
    </xf>
    <xf numFmtId="0" fontId="33" fillId="8" borderId="0" xfId="0" applyFont="1" applyFill="1" applyAlignment="1" applyProtection="1">
      <alignment horizontal="center" shrinkToFit="1"/>
      <protection locked="0"/>
    </xf>
    <xf numFmtId="0" fontId="33" fillId="7" borderId="0" xfId="0" applyFont="1" applyFill="1" applyAlignment="1" applyProtection="1">
      <alignment horizontal="center"/>
      <protection hidden="1"/>
    </xf>
    <xf numFmtId="0" fontId="10" fillId="7" borderId="0" xfId="0" applyFont="1" applyFill="1" applyBorder="1" applyAlignment="1" applyProtection="1">
      <alignment horizontal="center" vertical="center"/>
      <protection hidden="1"/>
    </xf>
    <xf numFmtId="0" fontId="31" fillId="7" borderId="0" xfId="0" applyFont="1" applyFill="1" applyAlignment="1" applyProtection="1">
      <alignment horizontal="right" vertical="top"/>
      <protection hidden="1"/>
    </xf>
    <xf numFmtId="0" fontId="31" fillId="7" borderId="0" xfId="0" applyFont="1" applyFill="1" applyAlignment="1" applyProtection="1">
      <alignment horizontal="right" vertical="center"/>
      <protection hidden="1"/>
    </xf>
    <xf numFmtId="0" fontId="48" fillId="7" borderId="0" xfId="0" applyFont="1" applyFill="1" applyBorder="1" applyAlignment="1" applyProtection="1">
      <alignment horizontal="left" vertical="center" shrinkToFit="1"/>
      <protection hidden="1"/>
    </xf>
    <xf numFmtId="0" fontId="48" fillId="0" borderId="0" xfId="0" applyFont="1" applyAlignment="1" applyProtection="1">
      <alignment horizontal="left" shrinkToFit="1"/>
      <protection hidden="1"/>
    </xf>
    <xf numFmtId="0" fontId="48" fillId="5" borderId="0" xfId="0" applyFont="1" applyFill="1" applyBorder="1" applyAlignment="1" applyProtection="1">
      <alignment horizontal="left" vertical="center" shrinkToFit="1"/>
      <protection hidden="1"/>
    </xf>
    <xf numFmtId="0" fontId="36" fillId="7" borderId="0" xfId="0" applyFont="1" applyFill="1" applyAlignment="1" applyProtection="1">
      <alignment vertical="center" wrapText="1"/>
      <protection hidden="1"/>
    </xf>
    <xf numFmtId="0" fontId="37" fillId="7" borderId="0" xfId="7" applyFont="1" applyFill="1" applyAlignment="1" applyProtection="1">
      <alignment horizontal="center" vertical="center" shrinkToFit="1"/>
      <protection locked="0"/>
    </xf>
    <xf numFmtId="0" fontId="56" fillId="7" borderId="0" xfId="0" applyFont="1" applyFill="1" applyAlignment="1" applyProtection="1">
      <alignment vertical="center" wrapText="1"/>
      <protection hidden="1"/>
    </xf>
    <xf numFmtId="0" fontId="0" fillId="7" borderId="0" xfId="0" applyFill="1" applyAlignment="1" applyProtection="1">
      <alignment wrapText="1"/>
      <protection hidden="1"/>
    </xf>
    <xf numFmtId="0" fontId="10" fillId="5" borderId="0" xfId="0" applyFont="1" applyFill="1" applyBorder="1" applyAlignment="1" applyProtection="1">
      <alignment horizontal="center" vertical="center" shrinkToFit="1"/>
      <protection hidden="1"/>
    </xf>
    <xf numFmtId="0" fontId="48" fillId="0" borderId="0" xfId="0" applyFont="1" applyAlignment="1" applyProtection="1">
      <alignment horizontal="left" wrapText="1"/>
      <protection hidden="1"/>
    </xf>
    <xf numFmtId="0" fontId="26" fillId="7" borderId="0" xfId="7" applyFont="1" applyFill="1" applyAlignment="1" applyProtection="1">
      <alignment horizontal="center" vertical="center" shrinkToFit="1"/>
      <protection locked="0"/>
    </xf>
    <xf numFmtId="42" fontId="26" fillId="7" borderId="0" xfId="7" applyNumberFormat="1" applyFont="1" applyFill="1" applyAlignment="1" applyProtection="1">
      <alignment horizontal="center" vertical="center" shrinkToFit="1"/>
      <protection locked="0"/>
    </xf>
    <xf numFmtId="0" fontId="10" fillId="8" borderId="0" xfId="0" applyFont="1" applyFill="1" applyAlignment="1" applyProtection="1">
      <alignment horizontal="center" shrinkToFit="1"/>
      <protection locked="0"/>
    </xf>
    <xf numFmtId="0" fontId="48" fillId="0" borderId="0" xfId="0" applyFont="1" applyAlignment="1" applyProtection="1">
      <alignment horizontal="left" vertical="top" wrapText="1"/>
      <protection hidden="1"/>
    </xf>
    <xf numFmtId="44" fontId="26" fillId="7" borderId="0" xfId="7" applyNumberFormat="1" applyFont="1" applyFill="1" applyAlignment="1" applyProtection="1">
      <alignment horizontal="center" vertical="center" shrinkToFit="1"/>
      <protection locked="0"/>
    </xf>
    <xf numFmtId="44" fontId="31" fillId="7" borderId="0" xfId="0" applyNumberFormat="1" applyFont="1" applyFill="1" applyAlignment="1" applyProtection="1">
      <alignment horizontal="center" vertical="center" shrinkToFit="1"/>
      <protection locked="0"/>
    </xf>
    <xf numFmtId="44" fontId="8" fillId="7" borderId="0" xfId="0" applyNumberFormat="1" applyFont="1" applyFill="1" applyAlignment="1" applyProtection="1">
      <alignment horizontal="center" vertical="center" shrinkToFit="1"/>
      <protection locked="0"/>
    </xf>
    <xf numFmtId="0" fontId="31" fillId="7" borderId="0" xfId="0" applyFont="1" applyFill="1" applyAlignment="1" applyProtection="1">
      <alignment horizontal="center" vertical="center" shrinkToFit="1"/>
      <protection locked="0"/>
    </xf>
    <xf numFmtId="0" fontId="8" fillId="7" borderId="0" xfId="0" applyFont="1" applyFill="1" applyAlignment="1" applyProtection="1">
      <alignment horizontal="center" vertical="center" shrinkToFit="1"/>
      <protection locked="0"/>
    </xf>
    <xf numFmtId="168" fontId="37" fillId="7" borderId="0" xfId="7" applyNumberFormat="1" applyFont="1" applyFill="1" applyAlignment="1" applyProtection="1">
      <alignment horizontal="center" vertical="center" shrinkToFit="1"/>
      <protection locked="0"/>
    </xf>
    <xf numFmtId="168" fontId="38" fillId="7" borderId="0" xfId="0" applyNumberFormat="1" applyFont="1" applyFill="1" applyAlignment="1" applyProtection="1">
      <alignment horizontal="center" vertical="center" shrinkToFit="1"/>
      <protection locked="0"/>
    </xf>
    <xf numFmtId="168" fontId="0" fillId="7" borderId="0" xfId="0" applyNumberFormat="1" applyFill="1" applyAlignment="1" applyProtection="1">
      <alignment horizontal="center" vertical="center" shrinkToFit="1"/>
      <protection locked="0"/>
    </xf>
    <xf numFmtId="0" fontId="11" fillId="7" borderId="0" xfId="0" applyNumberFormat="1" applyFont="1" applyFill="1" applyAlignment="1" applyProtection="1">
      <protection hidden="1"/>
    </xf>
    <xf numFmtId="0" fontId="37" fillId="7" borderId="0" xfId="7" applyNumberFormat="1" applyFont="1" applyFill="1" applyAlignment="1" applyProtection="1">
      <alignment horizontal="center" vertical="center" shrinkToFit="1"/>
      <protection locked="0"/>
    </xf>
    <xf numFmtId="0" fontId="38" fillId="7" borderId="0" xfId="0" applyNumberFormat="1" applyFont="1" applyFill="1" applyAlignment="1" applyProtection="1">
      <alignment horizontal="center" vertical="center" shrinkToFit="1"/>
      <protection locked="0"/>
    </xf>
    <xf numFmtId="0" fontId="10" fillId="7" borderId="0" xfId="0" applyFont="1" applyFill="1" applyAlignment="1" applyProtection="1">
      <protection hidden="1"/>
    </xf>
    <xf numFmtId="0" fontId="78" fillId="7" borderId="0" xfId="7" applyFont="1" applyFill="1" applyAlignment="1" applyProtection="1">
      <alignment horizontal="center" vertical="center" shrinkToFit="1"/>
      <protection locked="0"/>
    </xf>
    <xf numFmtId="0" fontId="2" fillId="7" borderId="0" xfId="0" applyFont="1" applyFill="1" applyAlignment="1" applyProtection="1">
      <alignment horizontal="center" shrinkToFit="1"/>
      <protection locked="0"/>
    </xf>
    <xf numFmtId="0" fontId="10" fillId="7" borderId="0" xfId="7" applyFont="1" applyFill="1" applyAlignment="1" applyProtection="1">
      <alignment horizontal="center" vertical="center" shrinkToFit="1"/>
      <protection locked="0"/>
    </xf>
    <xf numFmtId="0" fontId="2" fillId="7" borderId="0" xfId="0" applyFont="1" applyFill="1" applyAlignment="1" applyProtection="1">
      <protection hidden="1"/>
    </xf>
    <xf numFmtId="0" fontId="8" fillId="7" borderId="0" xfId="0" applyFont="1" applyFill="1" applyBorder="1" applyAlignment="1" applyProtection="1">
      <alignment vertical="center" wrapText="1"/>
      <protection hidden="1"/>
    </xf>
    <xf numFmtId="0" fontId="8" fillId="7" borderId="0" xfId="0" applyFont="1" applyFill="1" applyBorder="1" applyAlignment="1" applyProtection="1">
      <alignment horizontal="right" vertical="center"/>
      <protection hidden="1"/>
    </xf>
    <xf numFmtId="0" fontId="8" fillId="7" borderId="0" xfId="0" applyFont="1" applyFill="1" applyBorder="1" applyAlignment="1" applyProtection="1">
      <alignment horizontal="left" vertical="center" wrapText="1"/>
      <protection hidden="1"/>
    </xf>
    <xf numFmtId="0" fontId="0" fillId="7" borderId="0" xfId="0" applyFill="1" applyAlignment="1" applyProtection="1">
      <alignment horizontal="left" vertical="center" wrapText="1"/>
      <protection hidden="1"/>
    </xf>
    <xf numFmtId="0" fontId="8" fillId="7" borderId="0" xfId="0" applyFont="1" applyFill="1" applyBorder="1" applyAlignment="1" applyProtection="1">
      <alignment horizontal="center" vertical="center" wrapText="1"/>
      <protection hidden="1"/>
    </xf>
    <xf numFmtId="0" fontId="8" fillId="7" borderId="0" xfId="0" applyFont="1" applyFill="1" applyBorder="1" applyAlignment="1" applyProtection="1">
      <alignment horizontal="left" vertical="center"/>
      <protection hidden="1"/>
    </xf>
    <xf numFmtId="0" fontId="0" fillId="7" borderId="0" xfId="0" applyFill="1" applyAlignment="1" applyProtection="1">
      <alignment horizontal="left"/>
      <protection hidden="1"/>
    </xf>
    <xf numFmtId="0" fontId="2" fillId="8" borderId="0" xfId="0" applyFont="1" applyFill="1" applyAlignment="1" applyProtection="1">
      <alignment horizontal="center" vertical="center" shrinkToFit="1"/>
      <protection locked="0"/>
    </xf>
    <xf numFmtId="0" fontId="48" fillId="7" borderId="0" xfId="7" applyFont="1" applyFill="1" applyAlignment="1" applyProtection="1">
      <alignment vertical="center" wrapText="1"/>
      <protection hidden="1"/>
    </xf>
    <xf numFmtId="0" fontId="0" fillId="7" borderId="0" xfId="0" applyFill="1" applyAlignment="1">
      <alignment wrapText="1"/>
    </xf>
    <xf numFmtId="0" fontId="48" fillId="7" borderId="0" xfId="7" applyFont="1" applyFill="1" applyAlignment="1" applyProtection="1">
      <alignment shrinkToFit="1"/>
      <protection hidden="1"/>
    </xf>
    <xf numFmtId="0" fontId="2" fillId="7" borderId="0" xfId="0" applyFont="1" applyFill="1" applyAlignment="1" applyProtection="1">
      <alignment shrinkToFit="1"/>
      <protection locked="0"/>
    </xf>
    <xf numFmtId="0" fontId="8" fillId="0" borderId="0" xfId="0" applyFont="1" applyAlignment="1" applyProtection="1">
      <protection hidden="1"/>
    </xf>
    <xf numFmtId="0" fontId="1" fillId="2" borderId="0" xfId="7" applyFont="1" applyFill="1" applyProtection="1">
      <protection hidden="1"/>
    </xf>
    <xf numFmtId="0" fontId="1" fillId="2" borderId="0" xfId="7" applyFont="1" applyFill="1" applyAlignment="1" applyProtection="1">
      <protection hidden="1"/>
    </xf>
    <xf numFmtId="0" fontId="1" fillId="7" borderId="0" xfId="7" applyFont="1" applyFill="1" applyProtection="1">
      <protection hidden="1"/>
    </xf>
    <xf numFmtId="0" fontId="1" fillId="7" borderId="0" xfId="7" applyFont="1" applyFill="1"/>
    <xf numFmtId="0" fontId="1" fillId="7" borderId="0" xfId="7" applyFont="1" applyFill="1" applyAlignment="1">
      <alignment wrapText="1"/>
    </xf>
    <xf numFmtId="0" fontId="1" fillId="0" borderId="0" xfId="7" applyFont="1"/>
    <xf numFmtId="0" fontId="1" fillId="2" borderId="0" xfId="12" applyFill="1" applyProtection="1">
      <protection hidden="1"/>
    </xf>
    <xf numFmtId="0" fontId="1" fillId="2" borderId="0" xfId="12" applyFill="1" applyAlignment="1" applyProtection="1">
      <protection hidden="1"/>
    </xf>
    <xf numFmtId="0" fontId="11" fillId="7" borderId="0" xfId="10" applyFont="1" applyFill="1" applyAlignment="1" applyProtection="1">
      <protection hidden="1"/>
    </xf>
    <xf numFmtId="0" fontId="11" fillId="7" borderId="0" xfId="12" applyFont="1" applyFill="1" applyAlignment="1" applyProtection="1">
      <protection hidden="1"/>
    </xf>
    <xf numFmtId="0" fontId="10" fillId="7" borderId="0" xfId="12" applyFont="1" applyFill="1" applyAlignment="1" applyProtection="1">
      <protection hidden="1"/>
    </xf>
    <xf numFmtId="0" fontId="1" fillId="7" borderId="0" xfId="12" applyFill="1" applyProtection="1">
      <protection hidden="1"/>
    </xf>
    <xf numFmtId="0" fontId="74" fillId="7" borderId="0" xfId="12" applyFont="1" applyFill="1" applyAlignment="1" applyProtection="1">
      <alignment vertical="center" wrapText="1"/>
      <protection hidden="1"/>
    </xf>
    <xf numFmtId="0" fontId="53" fillId="7" borderId="0" xfId="12" applyFont="1" applyFill="1" applyAlignment="1" applyProtection="1">
      <protection hidden="1"/>
    </xf>
    <xf numFmtId="0" fontId="38" fillId="7" borderId="0" xfId="12" applyFont="1" applyFill="1" applyAlignment="1" applyProtection="1">
      <alignment horizontal="right"/>
      <protection hidden="1"/>
    </xf>
    <xf numFmtId="0" fontId="68" fillId="7" borderId="0" xfId="12" applyFont="1" applyFill="1" applyAlignment="1" applyProtection="1">
      <alignment horizontal="center" vertical="center"/>
      <protection hidden="1"/>
    </xf>
    <xf numFmtId="0" fontId="74" fillId="7" borderId="0" xfId="12" applyFont="1" applyFill="1" applyAlignment="1" applyProtection="1">
      <alignment vertical="center"/>
      <protection hidden="1"/>
    </xf>
    <xf numFmtId="0" fontId="1" fillId="7" borderId="0" xfId="12" applyFill="1" applyAlignment="1" applyProtection="1">
      <protection hidden="1"/>
    </xf>
    <xf numFmtId="0" fontId="54" fillId="20" borderId="0" xfId="12" applyFont="1" applyFill="1" applyProtection="1">
      <protection hidden="1"/>
    </xf>
    <xf numFmtId="0" fontId="50" fillId="9" borderId="0" xfId="12" applyFont="1" applyFill="1" applyProtection="1">
      <protection hidden="1"/>
    </xf>
    <xf numFmtId="0" fontId="54" fillId="9" borderId="0" xfId="12" applyFont="1" applyFill="1" applyProtection="1">
      <protection hidden="1"/>
    </xf>
    <xf numFmtId="0" fontId="1" fillId="0" borderId="0" xfId="12"/>
    <xf numFmtId="0" fontId="1" fillId="7" borderId="0" xfId="12" applyFill="1"/>
    <xf numFmtId="0" fontId="74" fillId="7" borderId="0" xfId="12" applyFont="1" applyFill="1" applyAlignment="1">
      <alignment vertical="center" wrapText="1"/>
    </xf>
    <xf numFmtId="0" fontId="1" fillId="7" borderId="0" xfId="12" applyFill="1" applyAlignment="1"/>
    <xf numFmtId="0" fontId="74" fillId="7" borderId="0" xfId="12" applyFont="1" applyFill="1" applyAlignment="1">
      <alignment vertical="center" shrinkToFit="1"/>
    </xf>
    <xf numFmtId="0" fontId="0" fillId="7" borderId="0" xfId="0" applyFill="1" applyAlignment="1">
      <alignment shrinkToFit="1"/>
    </xf>
    <xf numFmtId="0" fontId="0" fillId="7" borderId="0" xfId="0" applyFill="1" applyAlignment="1">
      <alignment shrinkToFit="1"/>
    </xf>
    <xf numFmtId="0" fontId="85" fillId="7" borderId="0" xfId="12" applyFont="1" applyFill="1" applyAlignment="1" applyProtection="1">
      <alignment horizontal="center" vertical="center" shrinkToFit="1"/>
      <protection locked="0"/>
    </xf>
    <xf numFmtId="0" fontId="1" fillId="7" borderId="0" xfId="12" applyFill="1" applyAlignment="1">
      <alignment shrinkToFit="1"/>
    </xf>
    <xf numFmtId="0" fontId="48" fillId="20" borderId="0" xfId="12" applyFont="1" applyFill="1" applyProtection="1">
      <protection hidden="1"/>
    </xf>
  </cellXfs>
  <cellStyles count="13">
    <cellStyle name="Euro" xfId="1"/>
    <cellStyle name="Euro 2" xfId="2"/>
    <cellStyle name="Hyperlink" xfId="3" builtinId="8"/>
    <cellStyle name="Hyperlink 2" xfId="4"/>
    <cellStyle name="Hyperlink 2 2" xfId="5"/>
    <cellStyle name="Komma 2" xfId="6"/>
    <cellStyle name="Standaard" xfId="0" builtinId="0"/>
    <cellStyle name="Standaard 2" xfId="7"/>
    <cellStyle name="Standaard 2 2" xfId="8"/>
    <cellStyle name="Standaard 2 3" xfId="9"/>
    <cellStyle name="Standaard 2 3 2" xfId="12"/>
    <cellStyle name="Standaard 3" xfId="10"/>
    <cellStyle name="Standaard 3 2" xfId="11"/>
  </cellStyles>
  <dxfs count="206">
    <dxf>
      <font>
        <strike val="0"/>
        <color rgb="FFFF0000"/>
      </font>
    </dxf>
    <dxf>
      <font>
        <color rgb="FFFF0000"/>
      </font>
    </dxf>
    <dxf>
      <font>
        <color rgb="FF008000"/>
      </font>
    </dxf>
    <dxf>
      <font>
        <color auto="1"/>
      </font>
      <fill>
        <patternFill>
          <bgColor theme="1"/>
        </patternFill>
      </fill>
    </dxf>
    <dxf>
      <font>
        <color rgb="FF0000CC"/>
        <name val="Cambria"/>
        <scheme val="none"/>
      </font>
      <fill>
        <patternFill>
          <bgColor rgb="FF0000CC"/>
        </patternFill>
      </fill>
    </dxf>
    <dxf>
      <font>
        <color rgb="FFFFCCFF"/>
      </font>
      <fill>
        <patternFill>
          <bgColor rgb="FFFFCCFF"/>
        </patternFill>
      </fill>
    </dxf>
    <dxf>
      <font>
        <color rgb="FF99CC00"/>
      </font>
      <fill>
        <patternFill>
          <bgColor rgb="FF99CC00"/>
        </patternFill>
      </fill>
    </dxf>
    <dxf>
      <font>
        <color rgb="FF990099"/>
      </font>
      <fill>
        <patternFill>
          <bgColor rgb="FF990099"/>
        </patternFill>
      </fill>
    </dxf>
    <dxf>
      <font>
        <color theme="0" tint="-0.24994659260841701"/>
        <name val="Cambria"/>
        <scheme val="none"/>
      </font>
      <fill>
        <patternFill>
          <bgColor theme="0" tint="-0.24994659260841701"/>
        </patternFill>
      </fill>
    </dxf>
    <dxf>
      <font>
        <color rgb="FFFFCC00"/>
      </font>
      <fill>
        <patternFill>
          <bgColor rgb="FFFFCC00"/>
        </patternFill>
      </fill>
    </dxf>
    <dxf>
      <font>
        <color rgb="FFFF0000"/>
      </font>
      <fill>
        <patternFill>
          <bgColor rgb="FFFF0000"/>
        </patternFill>
      </fill>
    </dxf>
    <dxf>
      <font>
        <color rgb="FF00FF00"/>
      </font>
      <fill>
        <patternFill>
          <bgColor rgb="FF00FF00"/>
        </patternFill>
      </fill>
    </dxf>
    <dxf>
      <font>
        <color rgb="FFFFFF00"/>
      </font>
      <fill>
        <patternFill>
          <bgColor rgb="FFFFFF00"/>
        </patternFill>
      </fill>
    </dxf>
    <dxf>
      <font>
        <color rgb="FFA50021"/>
      </font>
      <fill>
        <patternFill>
          <bgColor rgb="FFC00000"/>
        </patternFill>
      </fill>
    </dxf>
    <dxf>
      <font>
        <color rgb="FFFFFF00"/>
      </font>
      <fill>
        <patternFill>
          <bgColor indexed="13"/>
        </patternFill>
      </fill>
    </dxf>
    <dxf>
      <font>
        <color rgb="FF00FF00"/>
      </font>
      <fill>
        <patternFill>
          <bgColor indexed="11"/>
        </patternFill>
      </fill>
    </dxf>
    <dxf>
      <font>
        <color rgb="FFFF0000"/>
      </font>
      <fill>
        <patternFill>
          <bgColor rgb="FFFF0000"/>
        </patternFill>
      </fill>
    </dxf>
    <dxf>
      <font>
        <color rgb="FFFFC000"/>
      </font>
      <fill>
        <patternFill>
          <bgColor rgb="FFFFC000"/>
        </patternFill>
      </fill>
    </dxf>
    <dxf>
      <font>
        <color auto="1"/>
      </font>
      <fill>
        <patternFill>
          <bgColor theme="1"/>
        </patternFill>
      </fill>
    </dxf>
    <dxf>
      <font>
        <color rgb="FF0000CC"/>
        <name val="Cambria"/>
        <scheme val="none"/>
      </font>
      <fill>
        <patternFill>
          <bgColor rgb="FF0000CC"/>
        </patternFill>
      </fill>
    </dxf>
    <dxf>
      <font>
        <color rgb="FFFF99FF"/>
      </font>
      <fill>
        <patternFill>
          <bgColor rgb="FFFF99FF"/>
        </patternFill>
      </fill>
    </dxf>
    <dxf>
      <font>
        <color rgb="FF990099"/>
      </font>
      <fill>
        <patternFill>
          <bgColor rgb="FF990099"/>
        </patternFill>
      </fill>
    </dxf>
    <dxf>
      <font>
        <color rgb="FF009900"/>
      </font>
      <fill>
        <patternFill>
          <bgColor rgb="FF009900"/>
        </patternFill>
      </fill>
    </dxf>
    <dxf>
      <font>
        <color rgb="FFCC0066"/>
      </font>
      <fill>
        <patternFill>
          <bgColor rgb="FFCC0066"/>
        </patternFill>
      </fill>
    </dxf>
    <dxf>
      <font>
        <color rgb="FF990099"/>
      </font>
      <fill>
        <patternFill>
          <bgColor rgb="FF990099"/>
        </patternFill>
      </fill>
    </dxf>
    <dxf>
      <font>
        <color rgb="FF009900"/>
      </font>
      <fill>
        <patternFill>
          <bgColor rgb="FF009900"/>
        </patternFill>
      </fill>
    </dxf>
    <dxf>
      <font>
        <color rgb="FF99CC00"/>
      </font>
      <fill>
        <patternFill>
          <bgColor rgb="FF99CC00"/>
        </patternFill>
      </fill>
    </dxf>
    <dxf>
      <font>
        <color rgb="FFA50021"/>
      </font>
      <fill>
        <patternFill>
          <bgColor rgb="FFC00000"/>
        </patternFill>
      </fill>
    </dxf>
    <dxf>
      <font>
        <color rgb="FFFFFF00"/>
      </font>
      <fill>
        <patternFill>
          <bgColor indexed="13"/>
        </patternFill>
      </fill>
    </dxf>
    <dxf>
      <font>
        <color rgb="FF00FF00"/>
      </font>
      <fill>
        <patternFill>
          <bgColor indexed="11"/>
        </patternFill>
      </fill>
    </dxf>
    <dxf>
      <font>
        <color rgb="FFFF0000"/>
      </font>
      <fill>
        <patternFill>
          <bgColor rgb="FFFF0000"/>
        </patternFill>
      </fill>
    </dxf>
    <dxf>
      <font>
        <color rgb="FFFFC000"/>
      </font>
      <fill>
        <patternFill>
          <bgColor rgb="FFFFC000"/>
        </patternFill>
      </fill>
    </dxf>
    <dxf>
      <font>
        <color auto="1"/>
      </font>
      <fill>
        <patternFill>
          <bgColor theme="1"/>
        </patternFill>
      </fill>
    </dxf>
    <dxf>
      <font>
        <color rgb="FF3333CC"/>
      </font>
      <fill>
        <patternFill>
          <bgColor rgb="FF3333CC"/>
        </patternFill>
      </fill>
    </dxf>
    <dxf>
      <font>
        <color rgb="FFFF99FF"/>
      </font>
      <fill>
        <patternFill>
          <bgColor rgb="FFFF99FF"/>
        </patternFill>
      </fill>
    </dxf>
    <dxf>
      <font>
        <color rgb="FFCC0066"/>
      </font>
      <fill>
        <patternFill>
          <bgColor rgb="FFCC0066"/>
        </patternFill>
      </fill>
    </dxf>
    <dxf>
      <font>
        <color rgb="FF990099"/>
      </font>
      <fill>
        <patternFill>
          <bgColor rgb="FF990099"/>
        </patternFill>
      </fill>
    </dxf>
    <dxf>
      <font>
        <color rgb="FFA50021"/>
      </font>
      <fill>
        <patternFill>
          <bgColor rgb="FFC00000"/>
        </patternFill>
      </fill>
    </dxf>
    <dxf>
      <font>
        <color rgb="FFFFFF00"/>
      </font>
      <fill>
        <patternFill>
          <bgColor indexed="13"/>
        </patternFill>
      </fill>
    </dxf>
    <dxf>
      <font>
        <color rgb="FF00FF00"/>
      </font>
      <fill>
        <patternFill>
          <bgColor rgb="FF00FF00"/>
        </patternFill>
      </fill>
    </dxf>
    <dxf>
      <font>
        <color auto="1"/>
      </font>
      <fill>
        <patternFill>
          <bgColor theme="1"/>
        </patternFill>
      </fill>
    </dxf>
    <dxf>
      <font>
        <color rgb="FF99CC00"/>
      </font>
      <fill>
        <patternFill>
          <bgColor rgb="FF99CC00"/>
        </patternFill>
      </fill>
    </dxf>
    <dxf>
      <font>
        <color rgb="FFFFCC00"/>
      </font>
      <fill>
        <patternFill>
          <bgColor rgb="FFFFCC00"/>
        </patternFill>
      </fill>
    </dxf>
    <dxf>
      <font>
        <color rgb="FFFF0000"/>
      </font>
      <fill>
        <patternFill>
          <bgColor rgb="FFFF0000"/>
        </patternFill>
      </fill>
    </dxf>
    <dxf>
      <font>
        <color theme="0" tint="-0.14996795556505021"/>
      </font>
      <fill>
        <patternFill>
          <bgColor theme="0" tint="-0.14996795556505021"/>
        </patternFill>
      </fill>
    </dxf>
    <dxf>
      <font>
        <color rgb="FF008000"/>
      </font>
      <fill>
        <patternFill>
          <bgColor rgb="FF008000"/>
        </patternFill>
      </fill>
    </dxf>
    <dxf>
      <font>
        <color rgb="FF0000CC"/>
        <name val="Cambria"/>
        <scheme val="none"/>
      </font>
      <fill>
        <patternFill>
          <bgColor rgb="FF0000CC"/>
        </patternFill>
      </fill>
    </dxf>
    <dxf>
      <font>
        <color rgb="FFFF99FF"/>
      </font>
      <fill>
        <patternFill>
          <bgColor rgb="FFFF99FF"/>
        </patternFill>
      </fill>
    </dxf>
    <dxf>
      <font>
        <color rgb="FFA50021"/>
      </font>
      <fill>
        <patternFill>
          <bgColor rgb="FFC00000"/>
        </patternFill>
      </fill>
    </dxf>
    <dxf>
      <font>
        <color rgb="FFFFFF00"/>
      </font>
      <fill>
        <patternFill>
          <bgColor indexed="13"/>
        </patternFill>
      </fill>
    </dxf>
    <dxf>
      <font>
        <color rgb="FF00FF00"/>
      </font>
      <fill>
        <patternFill>
          <bgColor indexed="11"/>
        </patternFill>
      </fill>
    </dxf>
    <dxf>
      <font>
        <color rgb="FFFF0000"/>
      </font>
      <fill>
        <patternFill>
          <bgColor rgb="FFFF0000"/>
        </patternFill>
      </fill>
    </dxf>
    <dxf>
      <font>
        <color rgb="FFFFC000"/>
      </font>
      <fill>
        <patternFill>
          <bgColor rgb="FFFFC000"/>
        </patternFill>
      </fill>
    </dxf>
    <dxf>
      <font>
        <color auto="1"/>
      </font>
      <fill>
        <patternFill>
          <bgColor theme="1"/>
        </patternFill>
      </fill>
    </dxf>
    <dxf>
      <font>
        <color rgb="FF0000CC"/>
        <name val="Cambria"/>
        <scheme val="none"/>
      </font>
      <fill>
        <patternFill>
          <bgColor rgb="FF0000CC"/>
        </patternFill>
      </fill>
    </dxf>
    <dxf>
      <font>
        <color rgb="FFFF99FF"/>
      </font>
      <fill>
        <patternFill>
          <bgColor rgb="FFFF99FF"/>
        </patternFill>
      </fill>
    </dxf>
    <dxf>
      <font>
        <color rgb="FF990099"/>
      </font>
      <fill>
        <patternFill>
          <bgColor rgb="FF990099"/>
        </patternFill>
      </fill>
    </dxf>
    <dxf>
      <font>
        <color rgb="FF009900"/>
      </font>
      <fill>
        <patternFill>
          <bgColor rgb="FF009900"/>
        </patternFill>
      </fill>
    </dxf>
    <dxf>
      <font>
        <color rgb="FFCC0066"/>
      </font>
      <fill>
        <patternFill>
          <bgColor rgb="FFCC0066"/>
        </patternFill>
      </fill>
    </dxf>
    <dxf>
      <font>
        <color rgb="FFFF0000"/>
      </font>
      <fill>
        <patternFill>
          <bgColor rgb="FFFF0000"/>
        </patternFill>
      </fill>
    </dxf>
    <dxf>
      <font>
        <color rgb="FFFFFF00"/>
      </font>
      <fill>
        <patternFill>
          <bgColor theme="1"/>
        </patternFill>
      </fill>
    </dxf>
    <dxf>
      <font>
        <color rgb="FF008000"/>
      </font>
    </dxf>
    <dxf>
      <font>
        <color rgb="FFA50021"/>
      </font>
      <fill>
        <patternFill>
          <bgColor rgb="FFC00000"/>
        </patternFill>
      </fill>
    </dxf>
    <dxf>
      <font>
        <color rgb="FFFFFF00"/>
      </font>
      <fill>
        <patternFill>
          <bgColor indexed="13"/>
        </patternFill>
      </fill>
    </dxf>
    <dxf>
      <font>
        <color rgb="FF00FF00"/>
      </font>
      <fill>
        <patternFill>
          <bgColor indexed="11"/>
        </patternFill>
      </fill>
    </dxf>
    <dxf>
      <font>
        <color rgb="FFFF0000"/>
      </font>
      <fill>
        <patternFill>
          <bgColor rgb="FFFF0000"/>
        </patternFill>
      </fill>
    </dxf>
    <dxf>
      <font>
        <color rgb="FFFFC000"/>
      </font>
      <fill>
        <patternFill>
          <bgColor rgb="FFFFC000"/>
        </patternFill>
      </fill>
    </dxf>
    <dxf>
      <font>
        <color auto="1"/>
      </font>
      <fill>
        <patternFill>
          <bgColor theme="1"/>
        </patternFill>
      </fill>
    </dxf>
    <dxf>
      <font>
        <color rgb="FF0000CC"/>
        <name val="Cambria"/>
        <scheme val="none"/>
      </font>
      <fill>
        <patternFill>
          <bgColor rgb="FF0000CC"/>
        </patternFill>
      </fill>
    </dxf>
    <dxf>
      <font>
        <color rgb="FFFF99FF"/>
      </font>
      <fill>
        <patternFill>
          <bgColor rgb="FFFF99FF"/>
        </patternFill>
      </fill>
    </dxf>
    <dxf>
      <font>
        <color rgb="FF990099"/>
      </font>
      <fill>
        <patternFill>
          <bgColor rgb="FF990099"/>
        </patternFill>
      </fill>
    </dxf>
    <dxf>
      <font>
        <color rgb="FF009900"/>
      </font>
      <fill>
        <patternFill>
          <bgColor rgb="FF009900"/>
        </patternFill>
      </fill>
    </dxf>
    <dxf>
      <font>
        <color rgb="FFCC0066"/>
      </font>
      <fill>
        <patternFill>
          <bgColor rgb="FFCC0066"/>
        </patternFill>
      </fill>
    </dxf>
    <dxf>
      <font>
        <color rgb="FFFFFF00"/>
      </font>
      <fill>
        <patternFill>
          <bgColor indexed="13"/>
        </patternFill>
      </fill>
    </dxf>
    <dxf>
      <font>
        <color rgb="FF00FF00"/>
      </font>
      <fill>
        <patternFill>
          <bgColor indexed="11"/>
        </patternFill>
      </fill>
    </dxf>
    <dxf>
      <font>
        <color rgb="FFFF0000"/>
      </font>
      <fill>
        <patternFill>
          <bgColor rgb="FFFF0000"/>
        </patternFill>
      </fill>
    </dxf>
    <dxf>
      <font>
        <color rgb="FFFFC000"/>
      </font>
      <fill>
        <patternFill>
          <bgColor rgb="FFFFC000"/>
        </patternFill>
      </fill>
    </dxf>
    <dxf>
      <font>
        <color auto="1"/>
      </font>
      <fill>
        <patternFill>
          <bgColor theme="1"/>
        </patternFill>
      </fill>
    </dxf>
    <dxf>
      <font>
        <color rgb="FF3333CC"/>
      </font>
      <fill>
        <patternFill>
          <bgColor rgb="FF3333CC"/>
        </patternFill>
      </fill>
    </dxf>
    <dxf>
      <font>
        <color rgb="FFA50021"/>
      </font>
      <fill>
        <patternFill>
          <bgColor rgb="FFC00000"/>
        </patternFill>
      </fill>
    </dxf>
    <dxf>
      <font>
        <color rgb="FFCC0066"/>
      </font>
      <fill>
        <patternFill>
          <bgColor rgb="FFCC0066"/>
        </patternFill>
      </fill>
    </dxf>
    <dxf>
      <fill>
        <patternFill>
          <bgColor indexed="13"/>
        </patternFill>
      </fill>
    </dxf>
    <dxf>
      <font>
        <color rgb="FF990099"/>
      </font>
      <fill>
        <patternFill>
          <bgColor rgb="FF990099"/>
        </patternFill>
      </fill>
    </dxf>
    <dxf>
      <font>
        <color rgb="FF009900"/>
      </font>
      <fill>
        <patternFill>
          <bgColor rgb="FF009900"/>
        </patternFill>
      </fill>
    </dxf>
    <dxf>
      <font>
        <color rgb="FF99CC00"/>
      </font>
      <fill>
        <patternFill>
          <bgColor rgb="FF99CC00"/>
        </patternFill>
      </fill>
    </dxf>
    <dxf>
      <font>
        <color rgb="FFA50021"/>
      </font>
      <fill>
        <patternFill>
          <bgColor rgb="FFC00000"/>
        </patternFill>
      </fill>
    </dxf>
    <dxf>
      <font>
        <color rgb="FFFFFF00"/>
      </font>
      <fill>
        <patternFill>
          <bgColor indexed="13"/>
        </patternFill>
      </fill>
    </dxf>
    <dxf>
      <font>
        <color rgb="FF00FF00"/>
      </font>
      <fill>
        <patternFill>
          <bgColor indexed="11"/>
        </patternFill>
      </fill>
    </dxf>
    <dxf>
      <font>
        <color rgb="FFFF0000"/>
      </font>
      <fill>
        <patternFill>
          <bgColor rgb="FFFF0000"/>
        </patternFill>
      </fill>
    </dxf>
    <dxf>
      <font>
        <color rgb="FFFFC000"/>
      </font>
      <fill>
        <patternFill>
          <bgColor rgb="FFFFC000"/>
        </patternFill>
      </fill>
    </dxf>
    <dxf>
      <font>
        <color auto="1"/>
      </font>
      <fill>
        <patternFill>
          <bgColor theme="1"/>
        </patternFill>
      </fill>
    </dxf>
    <dxf>
      <font>
        <color rgb="FF0000CC"/>
        <name val="Cambria"/>
        <scheme val="none"/>
      </font>
      <fill>
        <patternFill>
          <bgColor rgb="FF0000CC"/>
        </patternFill>
      </fill>
    </dxf>
    <dxf>
      <font>
        <color rgb="FFFF99FF"/>
      </font>
      <fill>
        <patternFill>
          <bgColor rgb="FFFF99FF"/>
        </patternFill>
      </fill>
    </dxf>
    <dxf>
      <font>
        <color rgb="FFCC0066"/>
      </font>
      <fill>
        <patternFill>
          <bgColor rgb="FFCC0066"/>
        </patternFill>
      </fill>
    </dxf>
    <dxf>
      <font>
        <color rgb="FFFFFF00"/>
      </font>
      <fill>
        <patternFill>
          <bgColor theme="1"/>
        </patternFill>
      </fill>
    </dxf>
    <dxf>
      <font>
        <color rgb="FF990099"/>
      </font>
      <fill>
        <patternFill>
          <bgColor rgb="FF990099"/>
        </patternFill>
      </fill>
    </dxf>
    <dxf>
      <font>
        <color rgb="FF009900"/>
      </font>
      <fill>
        <patternFill>
          <bgColor rgb="FF009900"/>
        </patternFill>
      </fill>
    </dxf>
    <dxf>
      <font>
        <color rgb="FF99CC00"/>
      </font>
      <fill>
        <patternFill>
          <bgColor rgb="FF99CC00"/>
        </patternFill>
      </fill>
    </dxf>
    <dxf>
      <font>
        <color rgb="FFA50021"/>
      </font>
      <fill>
        <patternFill>
          <bgColor rgb="FFC00000"/>
        </patternFill>
      </fill>
    </dxf>
    <dxf>
      <font>
        <color rgb="FFFFFF00"/>
      </font>
      <fill>
        <patternFill>
          <bgColor indexed="13"/>
        </patternFill>
      </fill>
    </dxf>
    <dxf>
      <font>
        <color rgb="FF00FF00"/>
      </font>
      <fill>
        <patternFill>
          <bgColor indexed="11"/>
        </patternFill>
      </fill>
    </dxf>
    <dxf>
      <font>
        <color rgb="FFFF0000"/>
      </font>
      <fill>
        <patternFill>
          <bgColor rgb="FFFF0000"/>
        </patternFill>
      </fill>
    </dxf>
    <dxf>
      <font>
        <color rgb="FFFFC000"/>
      </font>
      <fill>
        <patternFill>
          <bgColor rgb="FFFFC000"/>
        </patternFill>
      </fill>
    </dxf>
    <dxf>
      <font>
        <color auto="1"/>
      </font>
      <fill>
        <patternFill>
          <bgColor theme="1"/>
        </patternFill>
      </fill>
    </dxf>
    <dxf>
      <font>
        <color rgb="FF3333CC"/>
      </font>
      <fill>
        <patternFill>
          <bgColor rgb="FF3333CC"/>
        </patternFill>
      </fill>
    </dxf>
    <dxf>
      <font>
        <color rgb="FFFF99FF"/>
      </font>
      <fill>
        <patternFill>
          <bgColor rgb="FFFF99FF"/>
        </patternFill>
      </fill>
    </dxf>
    <dxf>
      <font>
        <color rgb="FFCC0066"/>
      </font>
      <fill>
        <patternFill>
          <bgColor rgb="FFCC0066"/>
        </patternFill>
      </fill>
    </dxf>
    <dxf>
      <font>
        <color rgb="FFA50021"/>
      </font>
      <fill>
        <patternFill>
          <bgColor rgb="FFC00000"/>
        </patternFill>
      </fill>
    </dxf>
    <dxf>
      <font>
        <color rgb="FFFFFF00"/>
      </font>
      <fill>
        <patternFill>
          <bgColor indexed="13"/>
        </patternFill>
      </fill>
    </dxf>
    <dxf>
      <font>
        <color rgb="FF00FF00"/>
      </font>
      <fill>
        <patternFill>
          <bgColor indexed="11"/>
        </patternFill>
      </fill>
    </dxf>
    <dxf>
      <font>
        <color rgb="FFFF0000"/>
      </font>
      <fill>
        <patternFill>
          <bgColor rgb="FFFF0000"/>
        </patternFill>
      </fill>
    </dxf>
    <dxf>
      <font>
        <color rgb="FFFFC000"/>
      </font>
      <fill>
        <patternFill>
          <bgColor rgb="FFFFC000"/>
        </patternFill>
      </fill>
    </dxf>
    <dxf>
      <font>
        <color auto="1"/>
      </font>
      <fill>
        <patternFill>
          <bgColor theme="1"/>
        </patternFill>
      </fill>
    </dxf>
    <dxf>
      <font>
        <color rgb="FF0000CC"/>
        <name val="Cambria"/>
        <scheme val="none"/>
      </font>
      <fill>
        <patternFill>
          <bgColor rgb="FF0000CC"/>
        </patternFill>
      </fill>
    </dxf>
    <dxf>
      <font>
        <color rgb="FFFF99FF"/>
      </font>
      <fill>
        <patternFill>
          <bgColor rgb="FFFF99FF"/>
        </patternFill>
      </fill>
    </dxf>
    <dxf>
      <font>
        <color rgb="FF990099"/>
      </font>
      <fill>
        <patternFill>
          <bgColor rgb="FF990099"/>
        </patternFill>
      </fill>
    </dxf>
    <dxf>
      <font>
        <color rgb="FF009900"/>
      </font>
      <fill>
        <patternFill>
          <bgColor rgb="FF009900"/>
        </patternFill>
      </fill>
    </dxf>
    <dxf>
      <font>
        <color rgb="FFCC0066"/>
      </font>
      <fill>
        <patternFill>
          <bgColor rgb="FFCC0066"/>
        </patternFill>
      </fill>
    </dxf>
    <dxf>
      <font>
        <color rgb="FF990099"/>
      </font>
      <fill>
        <patternFill>
          <bgColor rgb="FF990099"/>
        </patternFill>
      </fill>
    </dxf>
    <dxf>
      <font>
        <color rgb="FF009900"/>
      </font>
      <fill>
        <patternFill>
          <bgColor rgb="FF009900"/>
        </patternFill>
      </fill>
    </dxf>
    <dxf>
      <font>
        <color rgb="FF99CC00"/>
      </font>
      <fill>
        <patternFill>
          <bgColor rgb="FF99CC00"/>
        </patternFill>
      </fill>
    </dxf>
    <dxf>
      <font>
        <color rgb="FFA50021"/>
      </font>
      <fill>
        <patternFill>
          <bgColor rgb="FFC00000"/>
        </patternFill>
      </fill>
    </dxf>
    <dxf>
      <font>
        <color rgb="FFFFFF00"/>
      </font>
      <fill>
        <patternFill>
          <bgColor indexed="13"/>
        </patternFill>
      </fill>
    </dxf>
    <dxf>
      <font>
        <color rgb="FF00FF00"/>
      </font>
      <fill>
        <patternFill>
          <bgColor indexed="11"/>
        </patternFill>
      </fill>
    </dxf>
    <dxf>
      <font>
        <color rgb="FFFF0000"/>
      </font>
      <fill>
        <patternFill>
          <bgColor rgb="FFFF0000"/>
        </patternFill>
      </fill>
    </dxf>
    <dxf>
      <font>
        <color rgb="FFFFC000"/>
      </font>
      <fill>
        <patternFill>
          <bgColor rgb="FFFFC000"/>
        </patternFill>
      </fill>
    </dxf>
    <dxf>
      <font>
        <color auto="1"/>
      </font>
      <fill>
        <patternFill>
          <bgColor theme="1"/>
        </patternFill>
      </fill>
    </dxf>
    <dxf>
      <font>
        <color rgb="FF3333CC"/>
      </font>
      <fill>
        <patternFill>
          <bgColor rgb="FF3333CC"/>
        </patternFill>
      </fill>
    </dxf>
    <dxf>
      <font>
        <color rgb="FFFF99FF"/>
      </font>
      <fill>
        <patternFill>
          <bgColor rgb="FFFF99FF"/>
        </patternFill>
      </fill>
    </dxf>
    <dxf>
      <font>
        <color rgb="FFCC0066"/>
      </font>
      <fill>
        <patternFill>
          <bgColor rgb="FFCC0066"/>
        </patternFill>
      </fill>
    </dxf>
    <dxf>
      <fill>
        <patternFill>
          <bgColor indexed="13"/>
        </patternFill>
      </fill>
    </dxf>
    <dxf>
      <font>
        <color rgb="FFA50021"/>
      </font>
      <fill>
        <patternFill>
          <bgColor rgb="FFC00000"/>
        </patternFill>
      </fill>
    </dxf>
    <dxf>
      <font>
        <color rgb="FFFFFF00"/>
      </font>
      <fill>
        <patternFill>
          <bgColor indexed="13"/>
        </patternFill>
      </fill>
    </dxf>
    <dxf>
      <font>
        <color rgb="FF00FF00"/>
      </font>
      <fill>
        <patternFill>
          <bgColor indexed="11"/>
        </patternFill>
      </fill>
    </dxf>
    <dxf>
      <font>
        <color rgb="FFFF0000"/>
      </font>
      <fill>
        <patternFill>
          <bgColor rgb="FFFF0000"/>
        </patternFill>
      </fill>
    </dxf>
    <dxf>
      <font>
        <color rgb="FFFFC000"/>
      </font>
      <fill>
        <patternFill>
          <bgColor rgb="FFFFC000"/>
        </patternFill>
      </fill>
    </dxf>
    <dxf>
      <font>
        <color auto="1"/>
      </font>
      <fill>
        <patternFill>
          <bgColor theme="1"/>
        </patternFill>
      </fill>
    </dxf>
    <dxf>
      <font>
        <color rgb="FF0000CC"/>
        <name val="Cambria"/>
        <scheme val="none"/>
      </font>
      <fill>
        <patternFill>
          <bgColor rgb="FF0000CC"/>
        </patternFill>
      </fill>
    </dxf>
    <dxf>
      <font>
        <color rgb="FFFF99FF"/>
      </font>
      <fill>
        <patternFill>
          <bgColor rgb="FFFF99FF"/>
        </patternFill>
      </fill>
    </dxf>
    <dxf>
      <font>
        <color rgb="FF990099"/>
      </font>
      <fill>
        <patternFill>
          <bgColor rgb="FF990099"/>
        </patternFill>
      </fill>
    </dxf>
    <dxf>
      <font>
        <color rgb="FF009900"/>
      </font>
      <fill>
        <patternFill>
          <bgColor rgb="FF009900"/>
        </patternFill>
      </fill>
    </dxf>
    <dxf>
      <font>
        <color rgb="FFCC0066"/>
      </font>
      <fill>
        <patternFill>
          <bgColor rgb="FFCC0066"/>
        </patternFill>
      </fill>
    </dxf>
    <dxf>
      <fill>
        <patternFill>
          <bgColor indexed="13"/>
        </patternFill>
      </fill>
    </dxf>
    <dxf>
      <font>
        <color rgb="FFA50021"/>
      </font>
      <fill>
        <patternFill>
          <bgColor rgb="FFC00000"/>
        </patternFill>
      </fill>
    </dxf>
    <dxf>
      <font>
        <color rgb="FFFFFF00"/>
      </font>
      <fill>
        <patternFill>
          <bgColor indexed="13"/>
        </patternFill>
      </fill>
    </dxf>
    <dxf>
      <font>
        <color rgb="FF00FF00"/>
      </font>
      <fill>
        <patternFill>
          <bgColor indexed="11"/>
        </patternFill>
      </fill>
    </dxf>
    <dxf>
      <font>
        <color rgb="FFFF0000"/>
      </font>
      <fill>
        <patternFill>
          <bgColor rgb="FFFF0000"/>
        </patternFill>
      </fill>
    </dxf>
    <dxf>
      <font>
        <color rgb="FFFFC000"/>
      </font>
      <fill>
        <patternFill>
          <bgColor rgb="FFFFC000"/>
        </patternFill>
      </fill>
    </dxf>
    <dxf>
      <font>
        <color auto="1"/>
      </font>
      <fill>
        <patternFill>
          <bgColor theme="1"/>
        </patternFill>
      </fill>
    </dxf>
    <dxf>
      <font>
        <color rgb="FF3333CC"/>
      </font>
      <fill>
        <patternFill>
          <bgColor rgb="FF3333CC"/>
        </patternFill>
      </fill>
    </dxf>
    <dxf>
      <font>
        <color rgb="FFFF99FF"/>
      </font>
      <fill>
        <patternFill>
          <bgColor rgb="FFFF99FF"/>
        </patternFill>
      </fill>
    </dxf>
    <dxf>
      <font>
        <color rgb="FF990099"/>
      </font>
      <fill>
        <patternFill>
          <bgColor rgb="FF990099"/>
        </patternFill>
      </fill>
    </dxf>
    <dxf>
      <font>
        <color rgb="FF009900"/>
      </font>
      <fill>
        <patternFill>
          <bgColor rgb="FF009900"/>
        </patternFill>
      </fill>
    </dxf>
    <dxf>
      <fill>
        <patternFill>
          <bgColor indexed="13"/>
        </patternFill>
      </fill>
    </dxf>
    <dxf>
      <font>
        <color theme="0" tint="-0.24994659260841701"/>
      </font>
      <fill>
        <patternFill>
          <bgColor theme="0" tint="-0.24994659260841701"/>
        </patternFill>
      </fill>
    </dxf>
    <dxf>
      <font>
        <color rgb="FFFFCCFF"/>
      </font>
      <fill>
        <patternFill>
          <bgColor rgb="FFFFCCFF"/>
        </patternFill>
      </fill>
    </dxf>
    <dxf>
      <font>
        <color rgb="FFCC0066"/>
      </font>
      <fill>
        <patternFill>
          <bgColor rgb="FFCC0066"/>
        </patternFill>
      </fill>
    </dxf>
    <dxf>
      <font>
        <color rgb="FFA50021"/>
      </font>
      <fill>
        <patternFill>
          <bgColor rgb="FFC00000"/>
        </patternFill>
      </fill>
    </dxf>
    <dxf>
      <font>
        <color rgb="FF3333CC"/>
      </font>
      <fill>
        <patternFill>
          <bgColor rgb="FF3333CC"/>
        </patternFill>
      </fill>
    </dxf>
    <dxf>
      <font>
        <color auto="1"/>
      </font>
      <fill>
        <patternFill>
          <bgColor theme="1"/>
        </patternFill>
      </fill>
    </dxf>
    <dxf>
      <font>
        <color rgb="FFFFC000"/>
      </font>
      <fill>
        <patternFill>
          <bgColor rgb="FFFFC000"/>
        </patternFill>
      </fill>
    </dxf>
    <dxf>
      <font>
        <color rgb="FFFF0000"/>
      </font>
      <fill>
        <patternFill>
          <bgColor rgb="FFFF0000"/>
        </patternFill>
      </fill>
    </dxf>
    <dxf>
      <font>
        <color rgb="FF00FF00"/>
      </font>
      <fill>
        <patternFill>
          <bgColor indexed="11"/>
        </patternFill>
      </fill>
    </dxf>
    <dxf>
      <font>
        <color rgb="FFFFFF00"/>
      </font>
      <fill>
        <patternFill>
          <bgColor indexed="13"/>
        </patternFill>
      </fill>
    </dxf>
    <dxf>
      <font>
        <color rgb="FF009900"/>
      </font>
      <fill>
        <patternFill>
          <bgColor rgb="FF009900"/>
        </patternFill>
      </fill>
    </dxf>
    <dxf>
      <font>
        <color rgb="FF990099"/>
      </font>
      <fill>
        <patternFill>
          <bgColor rgb="FF990099"/>
        </patternFill>
      </fill>
    </dxf>
    <dxf>
      <font>
        <color theme="0" tint="-0.14996795556505021"/>
      </font>
      <fill>
        <patternFill>
          <bgColor theme="0" tint="-0.14996795556505021"/>
        </patternFill>
      </fill>
    </dxf>
    <dxf>
      <font>
        <color rgb="FF00FF00"/>
      </font>
      <fill>
        <patternFill>
          <bgColor rgb="FF00FF00"/>
        </patternFill>
      </fill>
    </dxf>
    <dxf>
      <font>
        <color auto="1"/>
      </font>
      <fill>
        <patternFill>
          <bgColor theme="1"/>
        </patternFill>
      </fill>
    </dxf>
    <dxf>
      <font>
        <color rgb="FF0000CC"/>
        <name val="Cambria"/>
        <scheme val="none"/>
      </font>
      <fill>
        <patternFill>
          <bgColor rgb="FF0000CC"/>
        </patternFill>
      </fill>
    </dxf>
    <dxf>
      <font>
        <color rgb="FFFFCCFF"/>
      </font>
      <fill>
        <patternFill>
          <bgColor rgb="FFFFCCFF"/>
        </patternFill>
      </fill>
    </dxf>
    <dxf>
      <font>
        <color rgb="FF99CC00"/>
      </font>
      <fill>
        <patternFill>
          <bgColor rgb="FF99CC00"/>
        </patternFill>
      </fill>
    </dxf>
    <dxf>
      <font>
        <color rgb="FF990099"/>
      </font>
      <fill>
        <patternFill>
          <bgColor rgb="FF990099"/>
        </patternFill>
      </fill>
    </dxf>
    <dxf>
      <font>
        <color rgb="FFA50021"/>
      </font>
      <fill>
        <patternFill>
          <bgColor rgb="FFA50021"/>
        </patternFill>
      </fill>
    </dxf>
    <dxf>
      <font>
        <color rgb="FFFFCC00"/>
      </font>
      <fill>
        <patternFill>
          <bgColor rgb="FFFFCC00"/>
        </patternFill>
      </fill>
    </dxf>
    <dxf>
      <font>
        <color rgb="FFFF0000"/>
      </font>
      <fill>
        <patternFill>
          <bgColor rgb="FFFF0000"/>
        </patternFill>
      </fill>
    </dxf>
    <dxf>
      <fill>
        <patternFill patternType="solid">
          <bgColor rgb="FFCCECFF"/>
        </patternFill>
      </fill>
      <border>
        <left style="thin">
          <color auto="1"/>
        </left>
        <right style="thin">
          <color auto="1"/>
        </right>
        <top style="thin">
          <color auto="1"/>
        </top>
        <bottom style="thin">
          <color auto="1"/>
        </bottom>
        <vertical/>
        <horizontal/>
      </border>
    </dxf>
    <dxf>
      <fill>
        <patternFill>
          <bgColor rgb="FFCCECFF"/>
        </patternFill>
      </fill>
      <border>
        <left style="thin">
          <color auto="1"/>
        </left>
        <right style="thin">
          <color auto="1"/>
        </right>
        <top style="thin">
          <color auto="1"/>
        </top>
        <bottom style="thin">
          <color auto="1"/>
        </bottom>
        <vertical/>
        <horizontal/>
      </border>
    </dxf>
    <dxf>
      <fill>
        <patternFill patternType="lightDown">
          <bgColor rgb="FFFFFF00"/>
        </patternFill>
      </fill>
      <border>
        <left style="thin">
          <color auto="1"/>
        </left>
        <right style="thin">
          <color auto="1"/>
        </right>
        <top style="thin">
          <color auto="1"/>
        </top>
        <bottom style="thin">
          <color auto="1"/>
        </bottom>
        <vertical/>
        <horizontal/>
      </border>
    </dxf>
    <dxf>
      <fill>
        <patternFill patternType="lightDown">
          <bgColor rgb="FFCCEC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patternType="solid">
          <bgColor rgb="FFFFFF00"/>
        </patternFill>
      </fill>
      <border>
        <left style="thin">
          <color auto="1"/>
        </left>
        <right style="thin">
          <color auto="1"/>
        </right>
        <top style="thin">
          <color auto="1"/>
        </top>
        <bottom style="thin">
          <color auto="1"/>
        </bottom>
        <vertical/>
        <horizontal/>
      </border>
    </dxf>
    <dxf>
      <fill>
        <patternFill patternType="lightUp">
          <bgColor theme="0"/>
        </patternFill>
      </fill>
      <border>
        <left style="thin">
          <color auto="1"/>
        </left>
        <right style="thin">
          <color auto="1"/>
        </right>
        <top style="thin">
          <color auto="1"/>
        </top>
        <bottom style="thin">
          <color auto="1"/>
        </bottom>
        <vertical/>
        <horizontal/>
      </border>
    </dxf>
    <dxf>
      <fill>
        <patternFill patternType="lightUp">
          <bgColor rgb="FFFFFF00"/>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dxf>
    <dxf>
      <font>
        <color rgb="FF00FF00"/>
      </font>
      <fill>
        <patternFill>
          <bgColor rgb="FF00FF00"/>
        </patternFill>
      </fill>
    </dxf>
    <dxf>
      <font>
        <color auto="1"/>
      </font>
      <fill>
        <patternFill>
          <bgColor theme="1"/>
        </patternFill>
      </fill>
    </dxf>
    <dxf>
      <font>
        <color rgb="FF0000CC"/>
        <name val="Cambria"/>
        <scheme val="none"/>
      </font>
      <fill>
        <patternFill>
          <bgColor rgb="FF0000CC"/>
        </patternFill>
      </fill>
    </dxf>
    <dxf>
      <font>
        <color rgb="FFFFCCFF"/>
      </font>
      <fill>
        <patternFill>
          <bgColor rgb="FFFFCCFF"/>
        </patternFill>
      </fill>
    </dxf>
    <dxf>
      <font>
        <color rgb="FF99CC00"/>
      </font>
      <fill>
        <patternFill>
          <bgColor rgb="FF99CC00"/>
        </patternFill>
      </fill>
    </dxf>
    <dxf>
      <font>
        <color rgb="FF990099"/>
      </font>
      <fill>
        <patternFill>
          <bgColor rgb="FF990099"/>
        </patternFill>
      </fill>
    </dxf>
    <dxf>
      <font>
        <color rgb="FFA50021"/>
      </font>
      <fill>
        <patternFill>
          <bgColor rgb="FFA50021"/>
        </patternFill>
      </fill>
    </dxf>
    <dxf>
      <font>
        <color rgb="FFFFCC00"/>
      </font>
      <fill>
        <patternFill>
          <bgColor rgb="FFFFCC00"/>
        </patternFill>
      </fill>
    </dxf>
    <dxf>
      <font>
        <color rgb="FFFF0000"/>
      </font>
      <fill>
        <patternFill>
          <bgColor rgb="FFFF0000"/>
        </patternFill>
      </fill>
    </dxf>
    <dxf>
      <fill>
        <patternFill>
          <bgColor indexed="13"/>
        </patternFill>
      </fill>
    </dxf>
    <dxf>
      <font>
        <color rgb="FF00FF00"/>
      </font>
      <fill>
        <patternFill>
          <bgColor rgb="FF00FF00"/>
        </patternFill>
      </fill>
    </dxf>
    <dxf>
      <font>
        <color auto="1"/>
      </font>
      <fill>
        <patternFill>
          <bgColor theme="1"/>
        </patternFill>
      </fill>
    </dxf>
    <dxf>
      <font>
        <color rgb="FFFFCCFF"/>
      </font>
      <fill>
        <patternFill>
          <bgColor rgb="FFFFCCFF"/>
        </patternFill>
      </fill>
    </dxf>
    <dxf>
      <font>
        <color rgb="FF99CC00"/>
      </font>
      <fill>
        <patternFill>
          <bgColor rgb="FF99CC00"/>
        </patternFill>
      </fill>
    </dxf>
    <dxf>
      <font>
        <color rgb="FF990099"/>
      </font>
      <fill>
        <patternFill>
          <bgColor rgb="FF990099"/>
        </patternFill>
      </fill>
    </dxf>
    <dxf>
      <font>
        <color rgb="FFA50021"/>
      </font>
      <fill>
        <patternFill>
          <bgColor rgb="FFA50021"/>
        </patternFill>
      </fill>
    </dxf>
    <dxf>
      <font>
        <color rgb="FFFFCC00"/>
      </font>
      <fill>
        <patternFill>
          <bgColor rgb="FFFFCC00"/>
        </patternFill>
      </fill>
    </dxf>
    <dxf>
      <font>
        <color rgb="FFFF0000"/>
      </font>
      <fill>
        <patternFill>
          <bgColor rgb="FFFF0000"/>
        </patternFill>
      </fill>
    </dxf>
    <dxf>
      <font>
        <color rgb="FF0000CC"/>
        <name val="Cambria"/>
        <scheme val="none"/>
      </font>
      <fill>
        <patternFill>
          <bgColor rgb="FF0000CC"/>
        </patternFill>
      </fill>
    </dxf>
    <dxf>
      <fill>
        <patternFill>
          <bgColor indexed="10"/>
        </patternFill>
      </fill>
      <border>
        <left style="thin">
          <color indexed="8"/>
        </left>
        <right style="thin">
          <color indexed="8"/>
        </right>
        <top style="thin">
          <color indexed="8"/>
        </top>
        <bottom style="thin">
          <color indexed="8"/>
        </bottom>
      </border>
    </dxf>
  </dxfs>
  <tableStyles count="0" defaultTableStyle="TableStyleMedium9" defaultPivotStyle="PivotStyleLight16"/>
  <colors>
    <mruColors>
      <color rgb="FFCCECFF"/>
      <color rgb="FF66FF99"/>
      <color rgb="FF00FF00"/>
      <color rgb="FF99FF99"/>
      <color rgb="FF99FF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lang val="nl-NL"/>
  <c:chart>
    <c:title>
      <c:tx>
        <c:rich>
          <a:bodyPr/>
          <a:lstStyle/>
          <a:p>
            <a:pPr>
              <a:defRPr sz="960" b="1" i="0" u="none" strike="noStrike" baseline="0">
                <a:solidFill>
                  <a:srgbClr val="000000"/>
                </a:solidFill>
                <a:latin typeface="Arial"/>
                <a:ea typeface="Arial"/>
                <a:cs typeface="Arial"/>
              </a:defRPr>
            </a:pPr>
            <a:r>
              <a:rPr lang="nl-NL"/>
              <a:t>GO-lijn = P(rijsafzet)-lijn</a:t>
            </a:r>
          </a:p>
        </c:rich>
      </c:tx>
      <c:layout>
        <c:manualLayout>
          <c:xMode val="edge"/>
          <c:yMode val="edge"/>
          <c:x val="0.33681221665473993"/>
          <c:y val="5.9701313931503922E-2"/>
        </c:manualLayout>
      </c:layout>
    </c:title>
    <c:plotArea>
      <c:layout>
        <c:manualLayout>
          <c:layoutTarget val="inner"/>
          <c:xMode val="edge"/>
          <c:yMode val="edge"/>
          <c:x val="0.1994295526888927"/>
          <c:y val="0.17757049861843471"/>
          <c:w val="0.69561540179818526"/>
          <c:h val="0.63235373042122833"/>
        </c:manualLayout>
      </c:layout>
      <c:scatterChart>
        <c:scatterStyle val="lineMarker"/>
        <c:ser>
          <c:idx val="0"/>
          <c:order val="0"/>
          <c:tx>
            <c:v>GO-functie</c:v>
          </c:tx>
          <c:spPr>
            <a:ln w="25400">
              <a:solidFill>
                <a:srgbClr val="000080"/>
              </a:solidFill>
              <a:prstDash val="solid"/>
            </a:ln>
          </c:spPr>
          <c:marker>
            <c:symbol val="none"/>
          </c:marker>
          <c:xVal>
            <c:numRef>
              <c:f>'TO, TK en TW'!$GF$55:$GF$65</c:f>
            </c:numRef>
          </c:xVal>
          <c:yVal>
            <c:numRef>
              <c:f>'TO, TK en TW'!$GG$55:$GG$65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er>
        <c:axId val="109104512"/>
        <c:axId val="109282816"/>
      </c:scatterChart>
      <c:valAx>
        <c:axId val="109104512"/>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842698639942765"/>
              <c:y val="0.89719822256260562"/>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09282816"/>
        <c:crosses val="autoZero"/>
        <c:crossBetween val="midCat"/>
      </c:valAx>
      <c:valAx>
        <c:axId val="109282816"/>
        <c:scaling>
          <c:orientation val="minMax"/>
        </c:scaling>
        <c:axPos val="l"/>
        <c:title>
          <c:tx>
            <c:rich>
              <a:bodyPr rot="0" vert="horz"/>
              <a:lstStyle/>
              <a:p>
                <a:pPr algn="ctr">
                  <a:defRPr sz="800" b="1" i="0" u="none" strike="noStrike" baseline="0">
                    <a:solidFill>
                      <a:srgbClr val="000000"/>
                    </a:solidFill>
                    <a:latin typeface="Arial"/>
                    <a:ea typeface="Arial"/>
                    <a:cs typeface="Arial"/>
                  </a:defRPr>
                </a:pPr>
                <a:r>
                  <a:rPr lang="nl-NL"/>
                  <a:t>prijs</a:t>
                </a:r>
              </a:p>
            </c:rich>
          </c:tx>
          <c:layout>
            <c:manualLayout>
              <c:xMode val="edge"/>
              <c:yMode val="edge"/>
              <c:x val="2.9154438081603441E-2"/>
              <c:y val="4.6729132262722455E-2"/>
            </c:manualLayout>
          </c:layout>
          <c:spPr>
            <a:noFill/>
            <a:ln w="25400">
              <a:noFill/>
            </a:ln>
          </c:spPr>
        </c:title>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09104512"/>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488" r="0.75000000000000488"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15672117908338379"/>
          <c:y val="0.14743623393229985"/>
          <c:w val="0.71619195437109495"/>
          <c:h val="0.70513041219204564"/>
        </c:manualLayout>
      </c:layout>
      <c:scatterChart>
        <c:scatterStyle val="lineMarker"/>
        <c:ser>
          <c:idx val="0"/>
          <c:order val="0"/>
          <c:tx>
            <c:v>GO</c:v>
          </c:tx>
          <c:spPr>
            <a:ln w="25400">
              <a:solidFill>
                <a:srgbClr val="000080"/>
              </a:solidFill>
              <a:prstDash val="solid"/>
            </a:ln>
          </c:spPr>
          <c:marker>
            <c:symbol val="none"/>
          </c:marker>
          <c:xVal>
            <c:numRef>
              <c:f>'TVK, TCK, GVK en GCK'!$GB$35:$GB$45</c:f>
            </c:numRef>
          </c:xVal>
          <c:yVal>
            <c:numRef>
              <c:f>'TVK, TCK, GVK en GCK'!$GC$35:$GC$45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MO</c:v>
          </c:tx>
          <c:spPr>
            <a:ln>
              <a:solidFill>
                <a:srgbClr val="A61BB5"/>
              </a:solidFill>
            </a:ln>
          </c:spPr>
          <c:marker>
            <c:symbol val="none"/>
          </c:marker>
          <c:xVal>
            <c:numRef>
              <c:f>'TVK, TCK, GVK en GCK'!$GB$35:$GB$40</c:f>
            </c:numRef>
          </c:xVal>
          <c:yVal>
            <c:numRef>
              <c:f>'TVK, TCK, GVK en GCK'!$GD$35:$GD$40</c:f>
              <c:numCache>
                <c:formatCode>General</c:formatCode>
                <c:ptCount val="6"/>
                <c:pt idx="0">
                  <c:v>0</c:v>
                </c:pt>
                <c:pt idx="1">
                  <c:v>0</c:v>
                </c:pt>
                <c:pt idx="2">
                  <c:v>0</c:v>
                </c:pt>
                <c:pt idx="3">
                  <c:v>0</c:v>
                </c:pt>
                <c:pt idx="4">
                  <c:v>0</c:v>
                </c:pt>
                <c:pt idx="5">
                  <c:v>0</c:v>
                </c:pt>
              </c:numCache>
            </c:numRef>
          </c:yVal>
        </c:ser>
        <c:ser>
          <c:idx val="2"/>
          <c:order val="2"/>
          <c:tx>
            <c:v>GTK</c:v>
          </c:tx>
          <c:spPr>
            <a:ln>
              <a:solidFill>
                <a:srgbClr val="FF0000"/>
              </a:solidFill>
            </a:ln>
          </c:spPr>
          <c:marker>
            <c:symbol val="none"/>
          </c:marker>
          <c:xVal>
            <c:strRef>
              <c:f>'TVK, TCK, GVK en GCK'!$GA$35:$GA$45</c:f>
              <c:strCache>
                <c:ptCount val="2"/>
                <c:pt idx="0">
                  <c:v>0</c:v>
                </c:pt>
                <c:pt idx="1">
                  <c:v>0</c:v>
                </c:pt>
              </c:strCache>
            </c:strRef>
          </c:xVal>
          <c:yVal>
            <c:numRef>
              <c:f>'TVK, TCK, GVK en GCK'!$GE$35:$GE$45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101915264"/>
        <c:axId val="101937920"/>
      </c:scatterChart>
      <c:scatterChart>
        <c:scatterStyle val="smoothMarker"/>
        <c:ser>
          <c:idx val="3"/>
          <c:order val="3"/>
          <c:tx>
            <c:v>MK</c:v>
          </c:tx>
          <c:spPr>
            <a:ln>
              <a:solidFill>
                <a:srgbClr val="00B050"/>
              </a:solidFill>
            </a:ln>
          </c:spPr>
          <c:marker>
            <c:symbol val="none"/>
          </c:marker>
          <c:xVal>
            <c:numRef>
              <c:f>'TVK, TCK, GVK en GCK'!$GB$35:$GB$45</c:f>
            </c:numRef>
          </c:xVal>
          <c:yVal>
            <c:numRef>
              <c:f>'TVK, TCK, GVK en GCK'!$GF$35:$GF$45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4"/>
          <c:order val="4"/>
          <c:tx>
            <c:v>stippellijn</c:v>
          </c:tx>
          <c:spPr>
            <a:ln>
              <a:solidFill>
                <a:schemeClr val="tx1"/>
              </a:solidFill>
              <a:prstDash val="sysDash"/>
            </a:ln>
          </c:spPr>
          <c:marker>
            <c:symbol val="none"/>
          </c:marker>
          <c:xVal>
            <c:numRef>
              <c:f>'TVK, TCK, GVK en GCK'!$GH$35:$GH$45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'TVK, TCK, GVK en GCK'!$GI$35:$GI$45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5"/>
          <c:order val="5"/>
          <c:tx>
            <c:v>stip GO</c:v>
          </c:tx>
          <c:spPr>
            <a:ln>
              <a:solidFill>
                <a:srgbClr val="000000"/>
              </a:solidFill>
              <a:prstDash val="sysDot"/>
            </a:ln>
          </c:spPr>
          <c:marker>
            <c:symbol val="none"/>
          </c:marker>
          <c:xVal>
            <c:numRef>
              <c:f>'TVK, TCK, GVK en GCK'!$GJ$35:$GJ$45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'TVK, TCK, GVK en GCK'!$GK$35:$GK$45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6"/>
          <c:order val="6"/>
          <c:tx>
            <c:v>stip GTK</c:v>
          </c:tx>
          <c:spPr>
            <a:ln>
              <a:solidFill>
                <a:srgbClr val="000000"/>
              </a:solidFill>
              <a:prstDash val="sysDot"/>
            </a:ln>
          </c:spPr>
          <c:marker>
            <c:symbol val="none"/>
          </c:marker>
          <c:xVal>
            <c:numRef>
              <c:f>'TVK, TCK, GVK en GCK'!$GJ$35:$GJ$45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'TVK, TCK, GVK en GCK'!$GL$35:$GL$45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7"/>
          <c:order val="7"/>
          <c:tx>
            <c:v>stippellijn BEA hoog</c:v>
          </c:tx>
          <c:spPr>
            <a:ln>
              <a:solidFill>
                <a:prstClr val="black"/>
              </a:solidFill>
              <a:prstDash val="sysDash"/>
            </a:ln>
          </c:spPr>
          <c:marker>
            <c:symbol val="none"/>
          </c:marker>
          <c:xVal>
            <c:numRef>
              <c:f>'TVK, TCK, GVK en GCK'!$GU$35:$GU$44</c:f>
              <c:numCache>
                <c:formatCode>General</c:formatCode>
                <c:ptCount val="10"/>
                <c:pt idx="0">
                  <c:v>0</c:v>
                </c:pt>
                <c:pt idx="1">
                  <c:v>0</c:v>
                </c:pt>
                <c:pt idx="2">
                  <c:v>0</c:v>
                </c:pt>
                <c:pt idx="3">
                  <c:v>0</c:v>
                </c:pt>
                <c:pt idx="4">
                  <c:v>0</c:v>
                </c:pt>
                <c:pt idx="5">
                  <c:v>0</c:v>
                </c:pt>
                <c:pt idx="6">
                  <c:v>0</c:v>
                </c:pt>
                <c:pt idx="7">
                  <c:v>0</c:v>
                </c:pt>
                <c:pt idx="8">
                  <c:v>0</c:v>
                </c:pt>
                <c:pt idx="9">
                  <c:v>0</c:v>
                </c:pt>
              </c:numCache>
            </c:numRef>
          </c:xVal>
          <c:yVal>
            <c:numRef>
              <c:f>'TVK, TCK, GVK en GCK'!$GW$35:$GW$45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101915264"/>
        <c:axId val="101937920"/>
      </c:scatterChart>
      <c:valAx>
        <c:axId val="101915264"/>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73276068292"/>
              <c:y val="0.92414765808913524"/>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01937920"/>
        <c:crosses val="autoZero"/>
        <c:crossBetween val="midCat"/>
      </c:valAx>
      <c:valAx>
        <c:axId val="101937920"/>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01915264"/>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577" r="0.75000000000000577"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24884977613092707"/>
          <c:y val="0.13902415194946074"/>
          <c:w val="0.63436678942263358"/>
          <c:h val="0.70513041219204564"/>
        </c:manualLayout>
      </c:layout>
      <c:scatterChart>
        <c:scatterStyle val="lineMarker"/>
        <c:ser>
          <c:idx val="0"/>
          <c:order val="0"/>
          <c:tx>
            <c:v>TO</c:v>
          </c:tx>
          <c:spPr>
            <a:ln w="25400">
              <a:solidFill>
                <a:srgbClr val="000080"/>
              </a:solidFill>
              <a:prstDash val="solid"/>
            </a:ln>
          </c:spPr>
          <c:marker>
            <c:symbol val="none"/>
          </c:marker>
          <c:xVal>
            <c:numRef>
              <c:f>'TVK, TCK, GVK en GCK'!$GB$35:$GB$45</c:f>
            </c:numRef>
          </c:xVal>
          <c:yVal>
            <c:numRef>
              <c:f>'TVK, TCK, GVK en GCK'!$GM$35:$GM$45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TK</c:v>
          </c:tx>
          <c:spPr>
            <a:ln>
              <a:solidFill>
                <a:srgbClr val="FF0000"/>
              </a:solidFill>
            </a:ln>
          </c:spPr>
          <c:marker>
            <c:symbol val="none"/>
          </c:marker>
          <c:trendline>
            <c:trendlineType val="log"/>
          </c:trendline>
          <c:trendline>
            <c:trendlineType val="power"/>
          </c:trendline>
          <c:xVal>
            <c:numRef>
              <c:f>'TVK, TCK, GVK en GCK'!$GB$35:$GB$45</c:f>
            </c:numRef>
          </c:xVal>
          <c:yVal>
            <c:numRef>
              <c:f>'TVK, TCK, GVK en GCK'!$GN$35:$GN$45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2"/>
          <c:order val="2"/>
          <c:tx>
            <c:v>raaklijn TO</c:v>
          </c:tx>
          <c:spPr>
            <a:ln>
              <a:solidFill>
                <a:srgbClr val="9900CC">
                  <a:alpha val="75000"/>
                </a:srgbClr>
              </a:solidFill>
            </a:ln>
          </c:spPr>
          <c:marker>
            <c:symbol val="none"/>
          </c:marker>
          <c:xVal>
            <c:numRef>
              <c:f>'TVK, TCK, GVK en GCK'!$GP$35:$GP$39</c:f>
              <c:numCache>
                <c:formatCode>General</c:formatCode>
                <c:ptCount val="5"/>
                <c:pt idx="0">
                  <c:v>0</c:v>
                </c:pt>
                <c:pt idx="1">
                  <c:v>0</c:v>
                </c:pt>
                <c:pt idx="2">
                  <c:v>0</c:v>
                </c:pt>
                <c:pt idx="3">
                  <c:v>0</c:v>
                </c:pt>
                <c:pt idx="4">
                  <c:v>0</c:v>
                </c:pt>
              </c:numCache>
            </c:numRef>
          </c:xVal>
          <c:yVal>
            <c:numRef>
              <c:f>'TVK, TCK, GVK en GCK'!$GO$35:$GO$39</c:f>
              <c:numCache>
                <c:formatCode>General</c:formatCode>
                <c:ptCount val="5"/>
                <c:pt idx="0">
                  <c:v>0</c:v>
                </c:pt>
                <c:pt idx="1">
                  <c:v>0</c:v>
                </c:pt>
                <c:pt idx="2">
                  <c:v>0</c:v>
                </c:pt>
                <c:pt idx="3">
                  <c:v>0</c:v>
                </c:pt>
                <c:pt idx="4">
                  <c:v>0</c:v>
                </c:pt>
              </c:numCache>
            </c:numRef>
          </c:yVal>
          <c:smooth val="1"/>
        </c:ser>
        <c:ser>
          <c:idx val="4"/>
          <c:order val="3"/>
          <c:tx>
            <c:v>stippellij</c:v>
          </c:tx>
          <c:spPr>
            <a:ln>
              <a:solidFill>
                <a:schemeClr val="tx1"/>
              </a:solidFill>
              <a:prstDash val="sysDash"/>
            </a:ln>
          </c:spPr>
          <c:marker>
            <c:symbol val="none"/>
          </c:marker>
          <c:xVal>
            <c:numRef>
              <c:f>'TVK, TCK, GVK en GCK'!$GQ$35:$GQ$45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'TVK, TCK, GVK en GCK'!$GR$35:$GR$45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3"/>
          <c:order val="4"/>
          <c:tx>
            <c:v>TVK</c:v>
          </c:tx>
          <c:spPr>
            <a:ln>
              <a:solidFill>
                <a:srgbClr val="C00000"/>
              </a:solidFill>
            </a:ln>
          </c:spPr>
          <c:marker>
            <c:symbol val="none"/>
          </c:marker>
          <c:xVal>
            <c:numRef>
              <c:f>'TVK, TCK, GVK en GCK'!$GB$35:$GB$45</c:f>
            </c:numRef>
          </c:xVal>
          <c:yVal>
            <c:numRef>
              <c:f>'TVK, TCK, GVK en GCK'!$GS$35:$GS$45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5"/>
          <c:order val="5"/>
          <c:tx>
            <c:v>stip BEA hoog</c:v>
          </c:tx>
          <c:spPr>
            <a:ln>
              <a:solidFill>
                <a:prstClr val="black"/>
              </a:solidFill>
              <a:prstDash val="sysDash"/>
            </a:ln>
          </c:spPr>
          <c:marker>
            <c:symbol val="none"/>
          </c:marker>
          <c:xVal>
            <c:numRef>
              <c:f>'TVK, TCK, GVK en GCK'!$GU$35:$GU$45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'TVK, TCK, GVK en GCK'!$GV$35:$GV$45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er>
        <c:axId val="102020224"/>
        <c:axId val="102022144"/>
      </c:scatterChart>
      <c:valAx>
        <c:axId val="102020224"/>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5114723567"/>
              <c:y val="0.92414799632004763"/>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02022144"/>
        <c:crosses val="autoZero"/>
        <c:crossBetween val="midCat"/>
      </c:valAx>
      <c:valAx>
        <c:axId val="102022144"/>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02020224"/>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711" r="0.75000000000000711"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24479897725407143"/>
          <c:y val="5.2410064001066806E-2"/>
          <c:w val="0.63948273209159223"/>
          <c:h val="0.79851101507635958"/>
        </c:manualLayout>
      </c:layout>
      <c:scatterChart>
        <c:scatterStyle val="lineMarker"/>
        <c:ser>
          <c:idx val="0"/>
          <c:order val="0"/>
          <c:tx>
            <c:v>GO</c:v>
          </c:tx>
          <c:spPr>
            <a:ln w="25400">
              <a:solidFill>
                <a:srgbClr val="000080"/>
              </a:solidFill>
              <a:prstDash val="solid"/>
            </a:ln>
          </c:spPr>
          <c:marker>
            <c:symbol val="none"/>
          </c:marker>
          <c:xVal>
            <c:numRef>
              <c:f>'Berekening maximale winst'!$GC$32:$GC$42</c:f>
            </c:numRef>
          </c:xVal>
          <c:yVal>
            <c:numRef>
              <c:f>'Berekening maximale winst'!$GD$32:$GD$42</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MO</c:v>
          </c:tx>
          <c:spPr>
            <a:ln>
              <a:solidFill>
                <a:srgbClr val="9900CC"/>
              </a:solidFill>
            </a:ln>
          </c:spPr>
          <c:marker>
            <c:symbol val="none"/>
          </c:marker>
          <c:xVal>
            <c:numRef>
              <c:f>'Berekening maximale winst'!$GC$32:$GC$37</c:f>
            </c:numRef>
          </c:xVal>
          <c:yVal>
            <c:numRef>
              <c:f>'Berekening maximale winst'!$GE$32:$GE$37</c:f>
              <c:numCache>
                <c:formatCode>General</c:formatCode>
                <c:ptCount val="6"/>
                <c:pt idx="0">
                  <c:v>0</c:v>
                </c:pt>
                <c:pt idx="1">
                  <c:v>0</c:v>
                </c:pt>
                <c:pt idx="2">
                  <c:v>0</c:v>
                </c:pt>
                <c:pt idx="3">
                  <c:v>0</c:v>
                </c:pt>
                <c:pt idx="4">
                  <c:v>0</c:v>
                </c:pt>
                <c:pt idx="5">
                  <c:v>0</c:v>
                </c:pt>
              </c:numCache>
            </c:numRef>
          </c:yVal>
        </c:ser>
        <c:ser>
          <c:idx val="2"/>
          <c:order val="2"/>
          <c:tx>
            <c:v>GTK</c:v>
          </c:tx>
          <c:spPr>
            <a:ln>
              <a:solidFill>
                <a:srgbClr val="FF0000"/>
              </a:solidFill>
            </a:ln>
          </c:spPr>
          <c:marker>
            <c:symbol val="none"/>
          </c:marker>
          <c:xVal>
            <c:strRef>
              <c:f>'Berekening maximale winst'!$GB$47:$GB$57</c:f>
              <c:strCache>
                <c:ptCount val="10"/>
                <c:pt idx="0">
                  <c:v>0</c:v>
                </c:pt>
                <c:pt idx="1">
                  <c:v>#WAARDE!</c:v>
                </c:pt>
                <c:pt idx="2">
                  <c:v>#WAARDE!</c:v>
                </c:pt>
                <c:pt idx="3">
                  <c:v>#WAARDE!</c:v>
                </c:pt>
                <c:pt idx="4">
                  <c:v>#WAARDE!</c:v>
                </c:pt>
                <c:pt idx="5">
                  <c:v>#WAARDE!</c:v>
                </c:pt>
                <c:pt idx="6">
                  <c:v>#WAARDE!</c:v>
                </c:pt>
                <c:pt idx="7">
                  <c:v>#WAARDE!</c:v>
                </c:pt>
                <c:pt idx="8">
                  <c:v>#WAARDE!</c:v>
                </c:pt>
                <c:pt idx="9">
                  <c:v>#WAARDE!</c:v>
                </c:pt>
              </c:strCache>
            </c:strRef>
          </c:xVal>
          <c:yVal>
            <c:numRef>
              <c:f>'Berekening maximale winst'!$GF$47:$GF$57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102684160"/>
        <c:axId val="102686080"/>
      </c:scatterChart>
      <c:scatterChart>
        <c:scatterStyle val="smoothMarker"/>
        <c:ser>
          <c:idx val="3"/>
          <c:order val="3"/>
          <c:tx>
            <c:v>MK</c:v>
          </c:tx>
          <c:spPr>
            <a:ln>
              <a:solidFill>
                <a:srgbClr val="00B050"/>
              </a:solidFill>
            </a:ln>
          </c:spPr>
          <c:marker>
            <c:symbol val="none"/>
          </c:marker>
          <c:xVal>
            <c:strRef>
              <c:f>'Berekening maximale winst'!$GC$47:$GC$57</c:f>
              <c:strCache>
                <c:ptCount val="1"/>
                <c:pt idx="0">
                  <c:v>0</c:v>
                </c:pt>
              </c:strCache>
            </c:strRef>
          </c:xVal>
          <c:yVal>
            <c:numRef>
              <c:f>'Berekening maximale winst'!$GH$47:$GH$57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4"/>
          <c:order val="4"/>
          <c:tx>
            <c:v>stippellijn</c:v>
          </c:tx>
          <c:spPr>
            <a:ln>
              <a:solidFill>
                <a:srgbClr val="000000"/>
              </a:solidFill>
              <a:prstDash val="sysDash"/>
            </a:ln>
          </c:spPr>
          <c:marker>
            <c:symbol val="none"/>
          </c:marker>
          <c:xVal>
            <c:numRef>
              <c:f>'Berekening maximale winst'!$GI$47:$GI$57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winst'!$GJ$47:$GJ$57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5"/>
          <c:order val="5"/>
          <c:tx>
            <c:v>stip GO</c:v>
          </c:tx>
          <c:spPr>
            <a:ln>
              <a:solidFill>
                <a:srgbClr val="000000"/>
              </a:solidFill>
              <a:prstDash val="sysDot"/>
            </a:ln>
          </c:spPr>
          <c:marker>
            <c:symbol val="none"/>
          </c:marker>
          <c:xVal>
            <c:numRef>
              <c:f>'Berekening maximale winst'!$GK$47:$GK$57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winst'!$GL$47:$GL$57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6"/>
          <c:order val="6"/>
          <c:tx>
            <c:v>stip GTK</c:v>
          </c:tx>
          <c:spPr>
            <a:ln>
              <a:solidFill>
                <a:srgbClr val="000000"/>
              </a:solidFill>
              <a:prstDash val="sysDot"/>
            </a:ln>
          </c:spPr>
          <c:marker>
            <c:symbol val="none"/>
          </c:marker>
          <c:xVal>
            <c:numRef>
              <c:f>'Berekening maximale winst'!$GK$47:$GK$57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winst'!$GM$47:$GM$57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7"/>
          <c:order val="7"/>
          <c:tx>
            <c:v>GVK</c:v>
          </c:tx>
          <c:spPr>
            <a:ln>
              <a:solidFill>
                <a:srgbClr val="C00000"/>
              </a:solidFill>
            </a:ln>
          </c:spPr>
          <c:marker>
            <c:symbol val="none"/>
          </c:marker>
          <c:xVal>
            <c:numRef>
              <c:f>'Berekening maximale winst'!$GC$32:$GC$42</c:f>
            </c:numRef>
          </c:xVal>
          <c:yVal>
            <c:numRef>
              <c:f>'Berekening maximale winst'!$GG$47:$GG$57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8"/>
          <c:order val="8"/>
          <c:tx>
            <c:v>stip GVK</c:v>
          </c:tx>
          <c:spPr>
            <a:ln>
              <a:solidFill>
                <a:schemeClr val="tx1"/>
              </a:solidFill>
              <a:prstDash val="sysDot"/>
            </a:ln>
          </c:spPr>
          <c:marker>
            <c:symbol val="none"/>
          </c:marker>
          <c:xVal>
            <c:numRef>
              <c:f>'Berekening maximale winst'!$GK$47:$GK$57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winst'!$GU$47:$GU$57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9"/>
          <c:order val="9"/>
          <c:tx>
            <c:v>stippellijn BEA hoog</c:v>
          </c:tx>
          <c:spPr>
            <a:ln>
              <a:solidFill>
                <a:schemeClr val="tx1"/>
              </a:solidFill>
              <a:prstDash val="sysDash"/>
            </a:ln>
          </c:spPr>
          <c:marker>
            <c:symbol val="none"/>
          </c:marker>
          <c:xVal>
            <c:numRef>
              <c:f>'Berekening maximale winst'!$GV$47:$GV$57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winst'!$GX$47:$GX$57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0"/>
          <c:order val="10"/>
          <c:tx>
            <c:v>vervolg stippellijn</c:v>
          </c:tx>
          <c:spPr>
            <a:ln cmpd="dbl">
              <a:solidFill>
                <a:schemeClr val="tx1"/>
              </a:solidFill>
              <a:prstDash val="sysDash"/>
            </a:ln>
          </c:spPr>
          <c:marker>
            <c:symbol val="none"/>
          </c:marker>
          <c:xVal>
            <c:numRef>
              <c:f>'Berekening maximale winst'!$GI$47:$GI$57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winst'!$GY$47:$GY$57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1"/>
          <c:order val="11"/>
          <c:tx>
            <c:v>vervolg stippellijn hoog</c:v>
          </c:tx>
          <c:spPr>
            <a:ln cmpd="dbl">
              <a:solidFill>
                <a:schemeClr val="tx1"/>
              </a:solidFill>
              <a:prstDash val="sysDash"/>
            </a:ln>
          </c:spPr>
          <c:marker>
            <c:symbol val="none"/>
          </c:marker>
          <c:xVal>
            <c:numRef>
              <c:f>'Berekening maximale winst'!$GV$47:$GV$57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winst'!$GZ$47:$GZ$57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102684160"/>
        <c:axId val="102686080"/>
      </c:scatterChart>
      <c:valAx>
        <c:axId val="102684160"/>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52350317504"/>
              <c:y val="0.91509980560787874"/>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02686080"/>
        <c:crosses val="autoZero"/>
        <c:crossBetween val="midCat"/>
      </c:valAx>
      <c:valAx>
        <c:axId val="102686080"/>
        <c:scaling>
          <c:orientation val="minMax"/>
          <c:min val="0"/>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02684160"/>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622" r="0.75000000000000622"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24884967489304441"/>
          <c:y val="0.15294929893639198"/>
          <c:w val="0.63436678942263336"/>
          <c:h val="0.80619265059509371"/>
        </c:manualLayout>
      </c:layout>
      <c:scatterChart>
        <c:scatterStyle val="lineMarker"/>
        <c:ser>
          <c:idx val="0"/>
          <c:order val="0"/>
          <c:tx>
            <c:v>TO</c:v>
          </c:tx>
          <c:spPr>
            <a:ln w="25400">
              <a:solidFill>
                <a:srgbClr val="000080"/>
              </a:solidFill>
              <a:prstDash val="solid"/>
            </a:ln>
          </c:spPr>
          <c:marker>
            <c:symbol val="none"/>
          </c:marker>
          <c:xVal>
            <c:numRef>
              <c:f>'Berekening maximale winst'!$GC$32:$GC$42</c:f>
            </c:numRef>
          </c:xVal>
          <c:yVal>
            <c:numRef>
              <c:f>'Berekening maximale winst'!$GN$47:$GN$57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TK</c:v>
          </c:tx>
          <c:spPr>
            <a:ln>
              <a:solidFill>
                <a:srgbClr val="FF0000"/>
              </a:solidFill>
            </a:ln>
          </c:spPr>
          <c:marker>
            <c:symbol val="none"/>
          </c:marker>
          <c:trendline>
            <c:trendlineType val="log"/>
          </c:trendline>
          <c:trendline>
            <c:trendlineType val="power"/>
          </c:trendline>
          <c:xVal>
            <c:numRef>
              <c:f>'Berekening maximale winst'!$GD$47:$GD$57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winst'!$GO$47:$GO$57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2"/>
          <c:order val="2"/>
          <c:tx>
            <c:v>raaklijn TO</c:v>
          </c:tx>
          <c:spPr>
            <a:ln>
              <a:solidFill>
                <a:srgbClr val="9900CC">
                  <a:alpha val="75000"/>
                </a:srgbClr>
              </a:solidFill>
            </a:ln>
          </c:spPr>
          <c:marker>
            <c:symbol val="none"/>
          </c:marker>
          <c:xVal>
            <c:numRef>
              <c:f>'Berekening maximale winst'!$GE$47:$GE$51</c:f>
              <c:numCache>
                <c:formatCode>General</c:formatCode>
                <c:ptCount val="5"/>
                <c:pt idx="0">
                  <c:v>0</c:v>
                </c:pt>
                <c:pt idx="1">
                  <c:v>0</c:v>
                </c:pt>
                <c:pt idx="2">
                  <c:v>0</c:v>
                </c:pt>
                <c:pt idx="3">
                  <c:v>0</c:v>
                </c:pt>
                <c:pt idx="4">
                  <c:v>0</c:v>
                </c:pt>
              </c:numCache>
            </c:numRef>
          </c:xVal>
          <c:yVal>
            <c:numRef>
              <c:f>'Berekening maximale winst'!$GP$47:$GP$51</c:f>
              <c:numCache>
                <c:formatCode>General</c:formatCode>
                <c:ptCount val="5"/>
                <c:pt idx="0">
                  <c:v>0</c:v>
                </c:pt>
                <c:pt idx="1">
                  <c:v>0</c:v>
                </c:pt>
                <c:pt idx="2">
                  <c:v>0</c:v>
                </c:pt>
                <c:pt idx="3">
                  <c:v>0</c:v>
                </c:pt>
                <c:pt idx="4">
                  <c:v>0</c:v>
                </c:pt>
              </c:numCache>
            </c:numRef>
          </c:yVal>
          <c:smooth val="1"/>
        </c:ser>
        <c:ser>
          <c:idx val="3"/>
          <c:order val="3"/>
          <c:tx>
            <c:v>raaklijn TK</c:v>
          </c:tx>
          <c:spPr>
            <a:ln>
              <a:solidFill>
                <a:srgbClr val="339933">
                  <a:alpha val="75000"/>
                </a:srgbClr>
              </a:solidFill>
            </a:ln>
          </c:spPr>
          <c:marker>
            <c:symbol val="none"/>
          </c:marker>
          <c:xVal>
            <c:numRef>
              <c:f>'Berekening maximale winst'!$GE$47:$GE$51</c:f>
              <c:numCache>
                <c:formatCode>General</c:formatCode>
                <c:ptCount val="5"/>
                <c:pt idx="0">
                  <c:v>0</c:v>
                </c:pt>
                <c:pt idx="1">
                  <c:v>0</c:v>
                </c:pt>
                <c:pt idx="2">
                  <c:v>0</c:v>
                </c:pt>
                <c:pt idx="3">
                  <c:v>0</c:v>
                </c:pt>
                <c:pt idx="4">
                  <c:v>0</c:v>
                </c:pt>
              </c:numCache>
            </c:numRef>
          </c:xVal>
          <c:yVal>
            <c:numRef>
              <c:f>'Berekening maximale winst'!$GQ$47:$GQ$51</c:f>
              <c:numCache>
                <c:formatCode>General</c:formatCode>
                <c:ptCount val="5"/>
                <c:pt idx="0">
                  <c:v>0</c:v>
                </c:pt>
                <c:pt idx="1">
                  <c:v>0</c:v>
                </c:pt>
                <c:pt idx="2">
                  <c:v>0</c:v>
                </c:pt>
                <c:pt idx="3">
                  <c:v>0</c:v>
                </c:pt>
                <c:pt idx="4">
                  <c:v>0</c:v>
                </c:pt>
              </c:numCache>
            </c:numRef>
          </c:yVal>
        </c:ser>
        <c:ser>
          <c:idx val="4"/>
          <c:order val="4"/>
          <c:tx>
            <c:v>stippellij</c:v>
          </c:tx>
          <c:spPr>
            <a:ln>
              <a:solidFill>
                <a:schemeClr val="tx1"/>
              </a:solidFill>
              <a:prstDash val="sysDash"/>
            </a:ln>
          </c:spPr>
          <c:marker>
            <c:symbol val="none"/>
          </c:marker>
          <c:xVal>
            <c:numRef>
              <c:f>'Berekening maximale winst'!$GR$47:$GR$57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winst'!$GS$47:$GS$57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5"/>
          <c:order val="5"/>
          <c:tx>
            <c:v>TVK</c:v>
          </c:tx>
          <c:spPr>
            <a:ln>
              <a:solidFill>
                <a:srgbClr val="C00000"/>
              </a:solidFill>
            </a:ln>
          </c:spPr>
          <c:marker>
            <c:symbol val="none"/>
          </c:marker>
          <c:xVal>
            <c:numRef>
              <c:f>'Berekening maximale winst'!$GA$47:$GA$57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winst'!$GT$47:$GT$57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6"/>
          <c:order val="6"/>
          <c:tx>
            <c:v>stippellijn BEA hoog</c:v>
          </c:tx>
          <c:spPr>
            <a:ln>
              <a:solidFill>
                <a:schemeClr val="tx1"/>
              </a:solidFill>
              <a:prstDash val="sysDash"/>
            </a:ln>
          </c:spPr>
          <c:marker>
            <c:symbol val="none"/>
          </c:marker>
          <c:xVal>
            <c:numRef>
              <c:f>'Berekening maximale winst'!$GV$47:$GV$57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winst'!$GW$47:$GW$57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er>
        <c:axId val="103932672"/>
        <c:axId val="103934208"/>
      </c:scatterChart>
      <c:valAx>
        <c:axId val="103932672"/>
        <c:scaling>
          <c:orientation val="minMax"/>
        </c:scaling>
        <c:delete val="1"/>
        <c:axPos val="b"/>
        <c:numFmt formatCode="General" sourceLinked="1"/>
        <c:tickLblPos val="none"/>
        <c:crossAx val="103934208"/>
        <c:crosses val="autoZero"/>
        <c:crossBetween val="midCat"/>
      </c:valAx>
      <c:valAx>
        <c:axId val="103934208"/>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03932672"/>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711" r="0.75000000000000711"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23244487297174141"/>
          <c:y val="0.10132949925063289"/>
          <c:w val="0.68965931763691202"/>
          <c:h val="0.76298474606068711"/>
        </c:manualLayout>
      </c:layout>
      <c:scatterChart>
        <c:scatterStyle val="lineMarker"/>
        <c:ser>
          <c:idx val="2"/>
          <c:order val="0"/>
          <c:tx>
            <c:v>TW</c:v>
          </c:tx>
          <c:spPr>
            <a:ln>
              <a:solidFill>
                <a:schemeClr val="tx1"/>
              </a:solidFill>
            </a:ln>
          </c:spPr>
          <c:marker>
            <c:symbol val="none"/>
          </c:marker>
          <c:xVal>
            <c:numRef>
              <c:f>'Berekening maximale winst'!$GD$47:$GD$57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winst'!$GF$32:$GF$42</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104251392"/>
        <c:axId val="104253312"/>
      </c:scatterChart>
      <c:scatterChart>
        <c:scatterStyle val="smoothMarker"/>
        <c:ser>
          <c:idx val="4"/>
          <c:order val="1"/>
          <c:tx>
            <c:v>stippellijn</c:v>
          </c:tx>
          <c:spPr>
            <a:ln cmpd="sng">
              <a:solidFill>
                <a:srgbClr val="000000"/>
              </a:solidFill>
              <a:prstDash val="sysDash"/>
            </a:ln>
          </c:spPr>
          <c:marker>
            <c:symbol val="none"/>
          </c:marker>
          <c:xVal>
            <c:numRef>
              <c:f>'Berekening maximale winst'!$GI$47:$GI$57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winst'!$GG$32:$GG$42</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0"/>
          <c:order val="2"/>
          <c:tx>
            <c:v>stippellijn BEA hoog</c:v>
          </c:tx>
          <c:spPr>
            <a:ln>
              <a:solidFill>
                <a:schemeClr val="tx1"/>
              </a:solidFill>
              <a:prstDash val="sysDash"/>
            </a:ln>
          </c:spPr>
          <c:marker>
            <c:symbol val="none"/>
          </c:marker>
          <c:xVal>
            <c:numRef>
              <c:f>'Berekening maximale winst'!$GV$47:$GV$57</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'Berekening maximale winst'!$GG$32:$GG$42</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3"/>
          <c:tx>
            <c:v>horizonale as</c:v>
          </c:tx>
          <c:spPr>
            <a:ln>
              <a:noFill/>
            </a:ln>
          </c:spPr>
          <c:marker>
            <c:symbol val="none"/>
          </c:marker>
          <c:xVal>
            <c:numRef>
              <c:f>'Berekening maximale winst'!$GC$32:$GC$42</c:f>
            </c:numRef>
          </c:xVal>
          <c:yVal>
            <c:numRef>
              <c:f>'Berekening maximale winst'!$GA$32:$GA$43</c:f>
              <c:numCache>
                <c:formatCode>General</c:formatCode>
                <c:ptCount val="12"/>
                <c:pt idx="0">
                  <c:v>0</c:v>
                </c:pt>
                <c:pt idx="1">
                  <c:v>0</c:v>
                </c:pt>
                <c:pt idx="2">
                  <c:v>0</c:v>
                </c:pt>
                <c:pt idx="3">
                  <c:v>0</c:v>
                </c:pt>
                <c:pt idx="4">
                  <c:v>0</c:v>
                </c:pt>
                <c:pt idx="5">
                  <c:v>0</c:v>
                </c:pt>
                <c:pt idx="6">
                  <c:v>0</c:v>
                </c:pt>
                <c:pt idx="7">
                  <c:v>0</c:v>
                </c:pt>
                <c:pt idx="8">
                  <c:v>0</c:v>
                </c:pt>
                <c:pt idx="9">
                  <c:v>0</c:v>
                </c:pt>
                <c:pt idx="10">
                  <c:v>0</c:v>
                </c:pt>
              </c:numCache>
            </c:numRef>
          </c:yVal>
          <c:smooth val="1"/>
        </c:ser>
        <c:axId val="104251392"/>
        <c:axId val="104253312"/>
      </c:scatterChart>
      <c:valAx>
        <c:axId val="104251392"/>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52807370122"/>
              <c:y val="0.92025117499847464"/>
            </c:manualLayout>
          </c:layout>
          <c:spPr>
            <a:noFill/>
            <a:ln w="25400">
              <a:noFill/>
            </a:ln>
          </c:spPr>
        </c:title>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04253312"/>
        <c:crosses val="autoZero"/>
        <c:crossBetween val="midCat"/>
      </c:valAx>
      <c:valAx>
        <c:axId val="104253312"/>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04251392"/>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644" r="0.75000000000000644"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15672117908338379"/>
          <c:y val="0.14743623393229999"/>
          <c:w val="0.71619195437109529"/>
          <c:h val="0.70513041219204564"/>
        </c:manualLayout>
      </c:layout>
      <c:scatterChart>
        <c:scatterStyle val="lineMarker"/>
        <c:ser>
          <c:idx val="0"/>
          <c:order val="0"/>
          <c:tx>
            <c:v>GO</c:v>
          </c:tx>
          <c:spPr>
            <a:ln w="25400">
              <a:solidFill>
                <a:srgbClr val="000080"/>
              </a:solidFill>
              <a:prstDash val="solid"/>
            </a:ln>
          </c:spPr>
          <c:marker>
            <c:symbol val="none"/>
          </c:marker>
          <c:xVal>
            <c:numRef>
              <c:f>'Mon. Conc. lange termijn'!$GB$43:$GB$53</c:f>
            </c:numRef>
          </c:xVal>
          <c:yVal>
            <c:numRef>
              <c:f>'Mon. Conc. lange termijn'!$HS$43:$HS$53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MO</c:v>
          </c:tx>
          <c:spPr>
            <a:ln>
              <a:solidFill>
                <a:srgbClr val="A61BB5"/>
              </a:solidFill>
            </a:ln>
          </c:spPr>
          <c:marker>
            <c:symbol val="none"/>
          </c:marker>
          <c:xVal>
            <c:numRef>
              <c:f>'Mon. Conc. lange termijn'!$GB$43:$GB$48</c:f>
            </c:numRef>
          </c:xVal>
          <c:yVal>
            <c:numRef>
              <c:f>'Mon. Conc. lange termijn'!$GD$43:$GD$48</c:f>
              <c:numCache>
                <c:formatCode>General</c:formatCode>
                <c:ptCount val="6"/>
                <c:pt idx="0">
                  <c:v>0</c:v>
                </c:pt>
                <c:pt idx="1">
                  <c:v>0</c:v>
                </c:pt>
                <c:pt idx="2">
                  <c:v>0</c:v>
                </c:pt>
                <c:pt idx="3">
                  <c:v>0</c:v>
                </c:pt>
                <c:pt idx="4">
                  <c:v>0</c:v>
                </c:pt>
                <c:pt idx="5">
                  <c:v>0</c:v>
                </c:pt>
              </c:numCache>
            </c:numRef>
          </c:yVal>
        </c:ser>
        <c:ser>
          <c:idx val="2"/>
          <c:order val="2"/>
          <c:tx>
            <c:v>GTK</c:v>
          </c:tx>
          <c:spPr>
            <a:ln>
              <a:solidFill>
                <a:srgbClr val="FF0000"/>
              </a:solidFill>
            </a:ln>
          </c:spPr>
          <c:marker>
            <c:symbol val="none"/>
          </c:marker>
          <c:xVal>
            <c:strRef>
              <c:f>'Mon. Conc. lange termijn'!$GA$43:$GA$53</c:f>
              <c:strCache>
                <c:ptCount val="2"/>
                <c:pt idx="0">
                  <c:v>0</c:v>
                </c:pt>
                <c:pt idx="1">
                  <c:v>0</c:v>
                </c:pt>
              </c:strCache>
            </c:strRef>
          </c:xVal>
          <c:yVal>
            <c:numRef>
              <c:f>'Mon. Conc. lange termijn'!$GE$43:$GE$53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175390080"/>
        <c:axId val="175404544"/>
      </c:scatterChart>
      <c:scatterChart>
        <c:scatterStyle val="smoothMarker"/>
        <c:ser>
          <c:idx val="3"/>
          <c:order val="3"/>
          <c:tx>
            <c:v>MK</c:v>
          </c:tx>
          <c:spPr>
            <a:ln>
              <a:solidFill>
                <a:srgbClr val="00B050"/>
              </a:solidFill>
            </a:ln>
          </c:spPr>
          <c:marker>
            <c:symbol val="none"/>
          </c:marker>
          <c:xVal>
            <c:numRef>
              <c:f>'Mon. Conc. lange termijn'!$GB$43:$GB$53</c:f>
            </c:numRef>
          </c:xVal>
          <c:yVal>
            <c:numRef>
              <c:f>'Mon. Conc. lange termijn'!$GF$43:$GF$53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4"/>
          <c:order val="4"/>
          <c:tx>
            <c:v>stippellijn</c:v>
          </c:tx>
          <c:spPr>
            <a:ln>
              <a:solidFill>
                <a:schemeClr val="tx1"/>
              </a:solidFill>
              <a:prstDash val="sysDash"/>
            </a:ln>
          </c:spPr>
          <c:marker>
            <c:symbol val="none"/>
          </c:marker>
          <c:xVal>
            <c:numRef>
              <c:f>'Mon. Conc. lange termijn'!$GH$43:$GH$53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'Mon. Conc. lange termijn'!$GI$43:$GI$53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5"/>
          <c:order val="5"/>
          <c:tx>
            <c:v>stip GO</c:v>
          </c:tx>
          <c:spPr>
            <a:ln>
              <a:solidFill>
                <a:srgbClr val="000000"/>
              </a:solidFill>
              <a:prstDash val="sysDot"/>
            </a:ln>
          </c:spPr>
          <c:marker>
            <c:symbol val="none"/>
          </c:marker>
          <c:xVal>
            <c:numRef>
              <c:f>'Mon. Conc. lange termijn'!$GJ$43:$GJ$53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'Mon. Conc. lange termijn'!$GK$43:$GK$53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6"/>
          <c:order val="6"/>
          <c:tx>
            <c:v>stip GTK</c:v>
          </c:tx>
          <c:spPr>
            <a:ln>
              <a:solidFill>
                <a:srgbClr val="000000"/>
              </a:solidFill>
              <a:prstDash val="sysDot"/>
            </a:ln>
          </c:spPr>
          <c:marker>
            <c:symbol val="none"/>
          </c:marker>
          <c:xVal>
            <c:numRef>
              <c:f>'Mon. Conc. lange termijn'!$GJ$43:$GJ$53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'Mon. Conc. lange termijn'!$GL$43:$GL$53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7"/>
          <c:order val="7"/>
          <c:tx>
            <c:v>GO lang</c:v>
          </c:tx>
          <c:spPr>
            <a:ln>
              <a:solidFill>
                <a:sysClr val="windowText" lastClr="000000"/>
              </a:solidFill>
            </a:ln>
          </c:spPr>
          <c:marker>
            <c:symbol val="none"/>
          </c:marker>
          <c:xVal>
            <c:numRef>
              <c:f>'Mon. Conc. lange termijn'!$GX$43:$GX$53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'Mon. Conc. lange termijn'!$GZ$43:$GZ$53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8"/>
          <c:order val="8"/>
          <c:tx>
            <c:v>MO lang</c:v>
          </c:tx>
          <c:spPr>
            <a:ln>
              <a:solidFill>
                <a:srgbClr val="CC00CC"/>
              </a:solidFill>
            </a:ln>
          </c:spPr>
          <c:marker>
            <c:symbol val="none"/>
          </c:marker>
          <c:xVal>
            <c:numRef>
              <c:f>'Mon. Conc. lange termijn'!$GX$43:$GX$48</c:f>
              <c:numCache>
                <c:formatCode>General</c:formatCode>
                <c:ptCount val="6"/>
                <c:pt idx="0">
                  <c:v>0</c:v>
                </c:pt>
                <c:pt idx="1">
                  <c:v>0</c:v>
                </c:pt>
                <c:pt idx="2">
                  <c:v>0</c:v>
                </c:pt>
                <c:pt idx="3">
                  <c:v>0</c:v>
                </c:pt>
                <c:pt idx="4">
                  <c:v>0</c:v>
                </c:pt>
                <c:pt idx="5">
                  <c:v>0</c:v>
                </c:pt>
              </c:numCache>
            </c:numRef>
          </c:xVal>
          <c:yVal>
            <c:numRef>
              <c:f>'Mon. Conc. lange termijn'!$HA$43:$HA$48</c:f>
              <c:numCache>
                <c:formatCode>General</c:formatCode>
                <c:ptCount val="6"/>
                <c:pt idx="0">
                  <c:v>0</c:v>
                </c:pt>
                <c:pt idx="1">
                  <c:v>0</c:v>
                </c:pt>
                <c:pt idx="2">
                  <c:v>0</c:v>
                </c:pt>
                <c:pt idx="3">
                  <c:v>0</c:v>
                </c:pt>
                <c:pt idx="4">
                  <c:v>0</c:v>
                </c:pt>
                <c:pt idx="5">
                  <c:v>0</c:v>
                </c:pt>
              </c:numCache>
            </c:numRef>
          </c:yVal>
          <c:smooth val="1"/>
        </c:ser>
        <c:axId val="175390080"/>
        <c:axId val="175404544"/>
      </c:scatterChart>
      <c:valAx>
        <c:axId val="175390080"/>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73276068292"/>
              <c:y val="0.92414765635015972"/>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75404544"/>
        <c:crosses val="autoZero"/>
        <c:crossBetween val="midCat"/>
      </c:valAx>
      <c:valAx>
        <c:axId val="175404544"/>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75390080"/>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6" r="0.750000000000006" t="1" header="0.5" footer="0.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24884977613092718"/>
          <c:y val="0.13902415194946074"/>
          <c:w val="0.63436678942263336"/>
          <c:h val="0.70513041219204564"/>
        </c:manualLayout>
      </c:layout>
      <c:scatterChart>
        <c:scatterStyle val="lineMarker"/>
        <c:ser>
          <c:idx val="0"/>
          <c:order val="0"/>
          <c:tx>
            <c:v>TO</c:v>
          </c:tx>
          <c:spPr>
            <a:ln w="25400">
              <a:solidFill>
                <a:srgbClr val="0000CC"/>
              </a:solidFill>
              <a:prstDash val="sysDot"/>
            </a:ln>
          </c:spPr>
          <c:marker>
            <c:symbol val="none"/>
          </c:marker>
          <c:xVal>
            <c:numRef>
              <c:f>'Mon. Conc. lange termijn'!$GB$43:$GB$53</c:f>
            </c:numRef>
          </c:xVal>
          <c:yVal>
            <c:numRef>
              <c:f>'Mon. Conc. lange termijn'!$GM$43:$GM$53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TK</c:v>
          </c:tx>
          <c:spPr>
            <a:ln>
              <a:solidFill>
                <a:srgbClr val="FF0000"/>
              </a:solidFill>
            </a:ln>
          </c:spPr>
          <c:marker>
            <c:symbol val="none"/>
          </c:marker>
          <c:trendline>
            <c:trendlineType val="log"/>
          </c:trendline>
          <c:trendline>
            <c:trendlineType val="power"/>
          </c:trendline>
          <c:xVal>
            <c:numRef>
              <c:f>'Mon. Conc. lange termijn'!$GB$43:$GB$53</c:f>
            </c:numRef>
          </c:xVal>
          <c:yVal>
            <c:numRef>
              <c:f>'Mon. Conc. lange termijn'!$GN$43:$GN$53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2"/>
          <c:order val="2"/>
          <c:tx>
            <c:v>raaklijn TO</c:v>
          </c:tx>
          <c:spPr>
            <a:ln>
              <a:solidFill>
                <a:srgbClr val="9900CC">
                  <a:alpha val="75000"/>
                </a:srgbClr>
              </a:solidFill>
            </a:ln>
          </c:spPr>
          <c:marker>
            <c:symbol val="none"/>
          </c:marker>
          <c:xVal>
            <c:numRef>
              <c:f>'Mon. Conc. lange termijn'!$GP$43:$GP$47</c:f>
              <c:numCache>
                <c:formatCode>General</c:formatCode>
                <c:ptCount val="5"/>
                <c:pt idx="0">
                  <c:v>0</c:v>
                </c:pt>
                <c:pt idx="1">
                  <c:v>0</c:v>
                </c:pt>
                <c:pt idx="2">
                  <c:v>0</c:v>
                </c:pt>
                <c:pt idx="3">
                  <c:v>0</c:v>
                </c:pt>
                <c:pt idx="4">
                  <c:v>0</c:v>
                </c:pt>
              </c:numCache>
            </c:numRef>
          </c:xVal>
          <c:yVal>
            <c:numRef>
              <c:f>'Mon. Conc. lange termijn'!$GO$43:$GO$47</c:f>
              <c:numCache>
                <c:formatCode>General</c:formatCode>
                <c:ptCount val="5"/>
                <c:pt idx="0">
                  <c:v>0</c:v>
                </c:pt>
                <c:pt idx="1">
                  <c:v>0</c:v>
                </c:pt>
                <c:pt idx="2">
                  <c:v>0</c:v>
                </c:pt>
                <c:pt idx="3">
                  <c:v>0</c:v>
                </c:pt>
                <c:pt idx="4">
                  <c:v>0</c:v>
                </c:pt>
              </c:numCache>
            </c:numRef>
          </c:yVal>
          <c:smooth val="1"/>
        </c:ser>
        <c:ser>
          <c:idx val="4"/>
          <c:order val="3"/>
          <c:tx>
            <c:v>stippellij</c:v>
          </c:tx>
          <c:spPr>
            <a:ln>
              <a:solidFill>
                <a:schemeClr val="bg1">
                  <a:lumMod val="75000"/>
                </a:schemeClr>
              </a:solidFill>
              <a:prstDash val="sysDot"/>
            </a:ln>
          </c:spPr>
          <c:marker>
            <c:symbol val="none"/>
          </c:marker>
          <c:xVal>
            <c:numRef>
              <c:f>'Mon. Conc. lange termijn'!$HV$43:$HV$53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'Mon. Conc. lange termijn'!$HU$43:$HU$53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3"/>
          <c:order val="4"/>
          <c:tx>
            <c:v>TO lang</c:v>
          </c:tx>
          <c:spPr>
            <a:ln>
              <a:solidFill>
                <a:schemeClr val="tx1"/>
              </a:solidFill>
            </a:ln>
          </c:spPr>
          <c:marker>
            <c:symbol val="none"/>
          </c:marker>
          <c:xVal>
            <c:numRef>
              <c:f>'Mon. Conc. lange termijn'!$GX$43:$GX$53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'Mon. Conc. lange termijn'!$GY$43:$GY$53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5"/>
          <c:order val="5"/>
          <c:tx>
            <c:v>TO1</c:v>
          </c:tx>
          <c:spPr>
            <a:ln>
              <a:solidFill>
                <a:srgbClr val="000066"/>
              </a:solidFill>
            </a:ln>
          </c:spPr>
          <c:marker>
            <c:symbol val="none"/>
          </c:marker>
          <c:xVal>
            <c:numRef>
              <c:f>'Mon. Conc. lange termijn'!$GB$43:$GB$53</c:f>
            </c:numRef>
          </c:xVal>
          <c:yVal>
            <c:numRef>
              <c:f>'Mon. Conc. lange termijn'!$HT$43:$HT$53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6"/>
          <c:order val="6"/>
          <c:tx>
            <c:v>stip1</c:v>
          </c:tx>
          <c:spPr>
            <a:ln>
              <a:solidFill>
                <a:schemeClr val="tx1"/>
              </a:solidFill>
              <a:prstDash val="sysDash"/>
            </a:ln>
          </c:spPr>
          <c:marker>
            <c:symbol val="none"/>
          </c:marker>
          <c:xVal>
            <c:numRef>
              <c:f>'Mon. Conc. lange termijn'!$GQ$43:$GQ$53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'Mon. Conc. lange termijn'!$GR$43:$GR$53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175643264"/>
        <c:axId val="175657728"/>
      </c:scatterChart>
      <c:valAx>
        <c:axId val="175643264"/>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80040022444"/>
              <c:y val="0.92414799371158285"/>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75657728"/>
        <c:crosses val="autoZero"/>
        <c:crossBetween val="midCat"/>
      </c:valAx>
      <c:valAx>
        <c:axId val="175657728"/>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75643264"/>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733" r="0.75000000000000733"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nl-NL"/>
  <c:chart>
    <c:title>
      <c:txPr>
        <a:bodyPr/>
        <a:lstStyle/>
        <a:p>
          <a:pPr>
            <a:defRPr sz="960" b="1" i="0" u="none" strike="noStrike" baseline="0">
              <a:solidFill>
                <a:srgbClr val="000000"/>
              </a:solidFill>
              <a:latin typeface="Arial"/>
              <a:ea typeface="Arial"/>
              <a:cs typeface="Arial"/>
            </a:defRPr>
          </a:pPr>
          <a:endParaRPr lang="nl-NL"/>
        </a:p>
      </c:txPr>
    </c:title>
    <c:plotArea>
      <c:layout>
        <c:manualLayout>
          <c:layoutTarget val="inner"/>
          <c:xMode val="edge"/>
          <c:yMode val="edge"/>
          <c:x val="0.23848197546735339"/>
          <c:y val="0.14743623393229985"/>
          <c:w val="0.67237871039316832"/>
          <c:h val="0.70513041219204564"/>
        </c:manualLayout>
      </c:layout>
      <c:scatterChart>
        <c:scatterStyle val="lineMarker"/>
        <c:ser>
          <c:idx val="0"/>
          <c:order val="0"/>
          <c:tx>
            <c:v>TO-lijn</c:v>
          </c:tx>
          <c:spPr>
            <a:ln w="25400">
              <a:solidFill>
                <a:srgbClr val="000080"/>
              </a:solidFill>
              <a:prstDash val="solid"/>
            </a:ln>
          </c:spPr>
          <c:marker>
            <c:symbol val="none"/>
          </c:marker>
          <c:xVal>
            <c:numRef>
              <c:f>'TO, TK en TW'!$GF$55:$GF$65</c:f>
            </c:numRef>
          </c:xVal>
          <c:yVal>
            <c:numRef>
              <c:f>'TO, TK en TW'!$GH$55:$GH$65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151385600"/>
        <c:axId val="151387520"/>
      </c:scatterChart>
      <c:valAx>
        <c:axId val="151385600"/>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789548510384376"/>
              <c:y val="0.9241477769824226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51387520"/>
        <c:crosses val="autoZero"/>
        <c:crossBetween val="midCat"/>
      </c:valAx>
      <c:valAx>
        <c:axId val="151387520"/>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51385600"/>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511" r="0.750000000000005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24884977613092732"/>
          <c:y val="0.13902415194946074"/>
          <c:w val="0.63436678942263258"/>
          <c:h val="0.70513041219204564"/>
        </c:manualLayout>
      </c:layout>
      <c:scatterChart>
        <c:scatterStyle val="lineMarker"/>
        <c:ser>
          <c:idx val="0"/>
          <c:order val="0"/>
          <c:tx>
            <c:v>TO</c:v>
          </c:tx>
          <c:spPr>
            <a:ln w="25400">
              <a:solidFill>
                <a:srgbClr val="000080"/>
              </a:solidFill>
              <a:prstDash val="solid"/>
            </a:ln>
          </c:spPr>
          <c:marker>
            <c:symbol val="none"/>
          </c:marker>
          <c:xVal>
            <c:numRef>
              <c:f>'TO, TK en TW'!$GC$180:$GC$190</c:f>
            </c:numRef>
          </c:xVal>
          <c:yVal>
            <c:numRef>
              <c:f>'TO, TK en TW'!$GN$180:$GN$190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TK</c:v>
          </c:tx>
          <c:spPr>
            <a:ln>
              <a:solidFill>
                <a:srgbClr val="FF0000"/>
              </a:solidFill>
            </a:ln>
          </c:spPr>
          <c:marker>
            <c:symbol val="none"/>
          </c:marker>
          <c:trendline>
            <c:trendlineType val="log"/>
          </c:trendline>
          <c:trendline>
            <c:trendlineType val="power"/>
          </c:trendline>
          <c:xVal>
            <c:numRef>
              <c:f>'TO, TK en TW'!$GC$180:$GC$190</c:f>
            </c:numRef>
          </c:xVal>
          <c:yVal>
            <c:numRef>
              <c:f>'TO, TK en TW'!$GO$180:$GO$190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2"/>
          <c:order val="2"/>
          <c:tx>
            <c:v>raaklijn TO</c:v>
          </c:tx>
          <c:spPr>
            <a:ln>
              <a:solidFill>
                <a:srgbClr val="9900CC">
                  <a:alpha val="75000"/>
                </a:srgbClr>
              </a:solidFill>
            </a:ln>
          </c:spPr>
          <c:marker>
            <c:symbol val="none"/>
          </c:marker>
          <c:xVal>
            <c:numRef>
              <c:f>'TO, TK en TW'!$GQ$180:$GQ$184</c:f>
              <c:numCache>
                <c:formatCode>General</c:formatCode>
                <c:ptCount val="5"/>
                <c:pt idx="0">
                  <c:v>0</c:v>
                </c:pt>
                <c:pt idx="1">
                  <c:v>0</c:v>
                </c:pt>
                <c:pt idx="2">
                  <c:v>0</c:v>
                </c:pt>
                <c:pt idx="3">
                  <c:v>0</c:v>
                </c:pt>
                <c:pt idx="4">
                  <c:v>0</c:v>
                </c:pt>
              </c:numCache>
            </c:numRef>
          </c:xVal>
          <c:yVal>
            <c:numRef>
              <c:f>'TO, TK en TW'!$GP$180:$GP$184</c:f>
              <c:numCache>
                <c:formatCode>General</c:formatCode>
                <c:ptCount val="5"/>
                <c:pt idx="0">
                  <c:v>0</c:v>
                </c:pt>
                <c:pt idx="1">
                  <c:v>0</c:v>
                </c:pt>
                <c:pt idx="2">
                  <c:v>0</c:v>
                </c:pt>
                <c:pt idx="3">
                  <c:v>0</c:v>
                </c:pt>
                <c:pt idx="4">
                  <c:v>0</c:v>
                </c:pt>
              </c:numCache>
            </c:numRef>
          </c:yVal>
          <c:smooth val="1"/>
        </c:ser>
        <c:ser>
          <c:idx val="4"/>
          <c:order val="3"/>
          <c:tx>
            <c:v>stippellij</c:v>
          </c:tx>
          <c:spPr>
            <a:ln>
              <a:solidFill>
                <a:schemeClr val="tx1"/>
              </a:solidFill>
              <a:prstDash val="sysDash"/>
            </a:ln>
          </c:spPr>
          <c:marker>
            <c:symbol val="none"/>
          </c:marker>
          <c:xVal>
            <c:numRef>
              <c:f>'TO, TK en TW'!$GR$180:$GR$190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'TO, TK en TW'!$GS$180:$GS$190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183333248"/>
        <c:axId val="183335168"/>
      </c:scatterChart>
      <c:valAx>
        <c:axId val="183333248"/>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65562494812"/>
              <c:y val="0.92414799371158285"/>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83335168"/>
        <c:crosses val="autoZero"/>
        <c:crossBetween val="midCat"/>
      </c:valAx>
      <c:valAx>
        <c:axId val="183335168"/>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83333248"/>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777" r="0.75000000000000777"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24884977613092743"/>
          <c:y val="0.13902415194946074"/>
          <c:w val="0.63436678942263236"/>
          <c:h val="0.70513041219204564"/>
        </c:manualLayout>
      </c:layout>
      <c:scatterChart>
        <c:scatterStyle val="lineMarker"/>
        <c:ser>
          <c:idx val="0"/>
          <c:order val="0"/>
          <c:tx>
            <c:v>TO</c:v>
          </c:tx>
          <c:spPr>
            <a:ln w="25400">
              <a:solidFill>
                <a:srgbClr val="000080"/>
              </a:solidFill>
              <a:prstDash val="solid"/>
            </a:ln>
          </c:spPr>
          <c:marker>
            <c:symbol val="none"/>
          </c:marker>
          <c:xVal>
            <c:numRef>
              <c:f>'TO, TK en TW'!$GC$346:$GC$356</c:f>
            </c:numRef>
          </c:xVal>
          <c:yVal>
            <c:numRef>
              <c:f>'TO, TK en TW'!$GN$346:$GN$356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TK</c:v>
          </c:tx>
          <c:spPr>
            <a:ln>
              <a:solidFill>
                <a:srgbClr val="FF0000"/>
              </a:solidFill>
            </a:ln>
          </c:spPr>
          <c:marker>
            <c:symbol val="none"/>
          </c:marker>
          <c:trendline>
            <c:trendlineType val="log"/>
          </c:trendline>
          <c:trendline>
            <c:trendlineType val="power"/>
          </c:trendline>
          <c:xVal>
            <c:numRef>
              <c:f>'TO, TK en TW'!$GC$346:$GC$356</c:f>
            </c:numRef>
          </c:xVal>
          <c:yVal>
            <c:numRef>
              <c:f>'TO, TK en TW'!$GO$346:$GO$356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2"/>
          <c:order val="2"/>
          <c:tx>
            <c:v>raaklijn TO</c:v>
          </c:tx>
          <c:spPr>
            <a:ln>
              <a:solidFill>
                <a:srgbClr val="9900CC">
                  <a:alpha val="75000"/>
                </a:srgbClr>
              </a:solidFill>
            </a:ln>
          </c:spPr>
          <c:marker>
            <c:symbol val="none"/>
          </c:marker>
          <c:xVal>
            <c:numRef>
              <c:f>'TO, TK en TW'!$GQ$346:$GQ$356</c:f>
              <c:numCache>
                <c:formatCode>General</c:formatCode>
                <c:ptCount val="11"/>
                <c:pt idx="0">
                  <c:v>0</c:v>
                </c:pt>
                <c:pt idx="1">
                  <c:v>0</c:v>
                </c:pt>
                <c:pt idx="2">
                  <c:v>0</c:v>
                </c:pt>
                <c:pt idx="3">
                  <c:v>0</c:v>
                </c:pt>
                <c:pt idx="4">
                  <c:v>0</c:v>
                </c:pt>
              </c:numCache>
            </c:numRef>
          </c:xVal>
          <c:yVal>
            <c:numRef>
              <c:f>'TO, TK en TW'!$GP$346:$GP$356</c:f>
              <c:numCache>
                <c:formatCode>General</c:formatCode>
                <c:ptCount val="11"/>
                <c:pt idx="0">
                  <c:v>0</c:v>
                </c:pt>
                <c:pt idx="1">
                  <c:v>0</c:v>
                </c:pt>
                <c:pt idx="2">
                  <c:v>0</c:v>
                </c:pt>
                <c:pt idx="3">
                  <c:v>0</c:v>
                </c:pt>
                <c:pt idx="4">
                  <c:v>0</c:v>
                </c:pt>
              </c:numCache>
            </c:numRef>
          </c:yVal>
          <c:smooth val="1"/>
        </c:ser>
        <c:ser>
          <c:idx val="4"/>
          <c:order val="3"/>
          <c:tx>
            <c:v>stippellij</c:v>
          </c:tx>
          <c:spPr>
            <a:ln>
              <a:solidFill>
                <a:schemeClr val="tx1"/>
              </a:solidFill>
              <a:prstDash val="sysDash"/>
            </a:ln>
          </c:spPr>
          <c:marker>
            <c:symbol val="none"/>
          </c:marker>
          <c:xVal>
            <c:numRef>
              <c:f>'TO, TK en TW'!$GR$346:$GR$356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'TO, TK en TW'!$GS$346:$GS$356</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195883008"/>
        <c:axId val="195956736"/>
      </c:scatterChart>
      <c:valAx>
        <c:axId val="195883008"/>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5114723567"/>
              <c:y val="0.92414799111649504"/>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95956736"/>
        <c:crosses val="autoZero"/>
        <c:crossBetween val="midCat"/>
      </c:valAx>
      <c:valAx>
        <c:axId val="195956736"/>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195883008"/>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799" r="0.75000000000000799"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24884977613092743"/>
          <c:y val="0.13902415194946074"/>
          <c:w val="0.63436678942263236"/>
          <c:h val="0.70513041219204564"/>
        </c:manualLayout>
      </c:layout>
      <c:scatterChart>
        <c:scatterStyle val="lineMarker"/>
        <c:ser>
          <c:idx val="0"/>
          <c:order val="0"/>
          <c:tx>
            <c:v>TO</c:v>
          </c:tx>
          <c:spPr>
            <a:ln w="25400">
              <a:solidFill>
                <a:srgbClr val="FF0000"/>
              </a:solidFill>
              <a:prstDash val="solid"/>
            </a:ln>
          </c:spPr>
          <c:marker>
            <c:symbol val="none"/>
          </c:marker>
          <c:xVal>
            <c:numRef>
              <c:f>'TO, TK en TW'!$GC$180:$GC$190</c:f>
            </c:numRef>
          </c:xVal>
          <c:yVal>
            <c:numRef>
              <c:f>'TO, TK en TW'!$GW$180:$GW$190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TK</c:v>
          </c:tx>
          <c:spPr>
            <a:ln>
              <a:solidFill>
                <a:srgbClr val="0000CC"/>
              </a:solidFill>
            </a:ln>
          </c:spPr>
          <c:marker>
            <c:symbol val="none"/>
          </c:marker>
          <c:trendline>
            <c:trendlineType val="log"/>
          </c:trendline>
          <c:trendline>
            <c:trendlineType val="power"/>
          </c:trendline>
          <c:xVal>
            <c:numRef>
              <c:f>'TO, TK en TW'!$GC$180:$GC$190</c:f>
            </c:numRef>
          </c:xVal>
          <c:yVal>
            <c:numRef>
              <c:f>'TO, TK en TW'!$GN$180:$GN$190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2"/>
          <c:order val="2"/>
          <c:tx>
            <c:v>raaklijn TO</c:v>
          </c:tx>
          <c:spPr>
            <a:ln>
              <a:solidFill>
                <a:srgbClr val="9900CC">
                  <a:alpha val="75000"/>
                </a:srgbClr>
              </a:solidFill>
            </a:ln>
          </c:spPr>
          <c:marker>
            <c:symbol val="none"/>
          </c:marker>
          <c:xVal>
            <c:numRef>
              <c:f>'TO, TK en TW'!$GQ$180:$GQ$184</c:f>
              <c:numCache>
                <c:formatCode>General</c:formatCode>
                <c:ptCount val="5"/>
                <c:pt idx="0">
                  <c:v>0</c:v>
                </c:pt>
                <c:pt idx="1">
                  <c:v>0</c:v>
                </c:pt>
                <c:pt idx="2">
                  <c:v>0</c:v>
                </c:pt>
                <c:pt idx="3">
                  <c:v>0</c:v>
                </c:pt>
                <c:pt idx="4">
                  <c:v>0</c:v>
                </c:pt>
              </c:numCache>
            </c:numRef>
          </c:xVal>
          <c:yVal>
            <c:numRef>
              <c:f>'TO, TK en TW'!$GP$180:$GP$184</c:f>
              <c:numCache>
                <c:formatCode>General</c:formatCode>
                <c:ptCount val="5"/>
                <c:pt idx="0">
                  <c:v>0</c:v>
                </c:pt>
                <c:pt idx="1">
                  <c:v>0</c:v>
                </c:pt>
                <c:pt idx="2">
                  <c:v>0</c:v>
                </c:pt>
                <c:pt idx="3">
                  <c:v>0</c:v>
                </c:pt>
                <c:pt idx="4">
                  <c:v>0</c:v>
                </c:pt>
              </c:numCache>
            </c:numRef>
          </c:yVal>
          <c:smooth val="1"/>
        </c:ser>
        <c:ser>
          <c:idx val="4"/>
          <c:order val="3"/>
          <c:tx>
            <c:v>stippellij</c:v>
          </c:tx>
          <c:spPr>
            <a:ln>
              <a:solidFill>
                <a:schemeClr val="tx1"/>
              </a:solidFill>
              <a:prstDash val="sysDash"/>
            </a:ln>
          </c:spPr>
          <c:marker>
            <c:symbol val="none"/>
          </c:marker>
          <c:xVal>
            <c:numRef>
              <c:f>'TO, TK en TW'!$GR$180:$GR$190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'TO, TK en TW'!$GS$180:$GS$190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3"/>
          <c:order val="4"/>
          <c:tx>
            <c:v>stippellijn TW</c:v>
          </c:tx>
          <c:spPr>
            <a:ln>
              <a:solidFill>
                <a:srgbClr val="FF0000"/>
              </a:solidFill>
              <a:prstDash val="sysDot"/>
            </a:ln>
          </c:spPr>
          <c:marker>
            <c:symbol val="none"/>
          </c:marker>
          <c:xVal>
            <c:numRef>
              <c:f>'TO, TK en TW'!$GX$180:$GX$190</c:f>
              <c:numCache>
                <c:formatCode>General</c:formatCode>
                <c:ptCount val="11"/>
                <c:pt idx="0">
                  <c:v>370</c:v>
                </c:pt>
                <c:pt idx="1">
                  <c:v>370</c:v>
                </c:pt>
                <c:pt idx="2">
                  <c:v>370</c:v>
                </c:pt>
                <c:pt idx="3">
                  <c:v>370</c:v>
                </c:pt>
                <c:pt idx="4">
                  <c:v>370</c:v>
                </c:pt>
                <c:pt idx="5">
                  <c:v>370</c:v>
                </c:pt>
                <c:pt idx="6">
                  <c:v>370</c:v>
                </c:pt>
                <c:pt idx="7">
                  <c:v>370</c:v>
                </c:pt>
                <c:pt idx="8">
                  <c:v>370</c:v>
                </c:pt>
                <c:pt idx="9">
                  <c:v>370</c:v>
                </c:pt>
                <c:pt idx="10">
                  <c:v>370</c:v>
                </c:pt>
              </c:numCache>
            </c:numRef>
          </c:xVal>
          <c:yVal>
            <c:numRef>
              <c:f>'TO, TK en TW'!$GY$180:$GY$190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er>
        <c:ser>
          <c:idx val="5"/>
          <c:order val="5"/>
          <c:tx>
            <c:v>raaklijn TW</c:v>
          </c:tx>
          <c:spPr>
            <a:ln>
              <a:solidFill>
                <a:srgbClr val="00B050"/>
              </a:solidFill>
            </a:ln>
          </c:spPr>
          <c:marker>
            <c:symbol val="none"/>
          </c:marker>
          <c:xVal>
            <c:numRef>
              <c:f>'TO, TK en TW'!$HA$180:$HA$184</c:f>
              <c:numCache>
                <c:formatCode>General</c:formatCode>
                <c:ptCount val="5"/>
                <c:pt idx="0">
                  <c:v>0</c:v>
                </c:pt>
                <c:pt idx="1">
                  <c:v>0</c:v>
                </c:pt>
                <c:pt idx="2">
                  <c:v>0</c:v>
                </c:pt>
                <c:pt idx="3">
                  <c:v>0</c:v>
                </c:pt>
                <c:pt idx="4">
                  <c:v>0</c:v>
                </c:pt>
              </c:numCache>
            </c:numRef>
          </c:xVal>
          <c:yVal>
            <c:numRef>
              <c:f>'TO, TK en TW'!$GZ$180:$GZ$184</c:f>
              <c:numCache>
                <c:formatCode>General</c:formatCode>
                <c:ptCount val="5"/>
                <c:pt idx="0">
                  <c:v>0</c:v>
                </c:pt>
                <c:pt idx="1">
                  <c:v>0</c:v>
                </c:pt>
                <c:pt idx="2">
                  <c:v>0</c:v>
                </c:pt>
                <c:pt idx="3">
                  <c:v>0</c:v>
                </c:pt>
                <c:pt idx="4">
                  <c:v>0</c:v>
                </c:pt>
              </c:numCache>
            </c:numRef>
          </c:yVal>
        </c:ser>
        <c:axId val="208234368"/>
        <c:axId val="83283968"/>
      </c:scatterChart>
      <c:valAx>
        <c:axId val="208234368"/>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65562494812"/>
              <c:y val="0.92414799371158285"/>
            </c:manualLayout>
          </c:layout>
          <c:spPr>
            <a:noFill/>
            <a:ln w="25400">
              <a:noFill/>
            </a:ln>
          </c:spPr>
        </c:title>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83283968"/>
        <c:crosses val="autoZero"/>
        <c:crossBetween val="midCat"/>
      </c:valAx>
      <c:valAx>
        <c:axId val="83283968"/>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208234368"/>
        <c:crossesAt val="0"/>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799" r="0.75000000000000799"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15672117908338379"/>
          <c:y val="0.1474362339323001"/>
          <c:w val="0.71619195437109573"/>
          <c:h val="0.70513041219204564"/>
        </c:manualLayout>
      </c:layout>
      <c:scatterChart>
        <c:scatterStyle val="lineMarker"/>
        <c:ser>
          <c:idx val="0"/>
          <c:order val="0"/>
          <c:tx>
            <c:v>GO</c:v>
          </c:tx>
          <c:spPr>
            <a:ln w="25400">
              <a:solidFill>
                <a:srgbClr val="000080"/>
              </a:solidFill>
              <a:prstDash val="solid"/>
            </a:ln>
          </c:spPr>
          <c:marker>
            <c:symbol val="none"/>
          </c:marker>
          <c:xVal>
            <c:numRef>
              <c:f>'Gemiddeld en marginaal'!$GC$180:$GC$190</c:f>
            </c:numRef>
          </c:xVal>
          <c:yVal>
            <c:numRef>
              <c:f>'Gemiddeld en marginaal'!$GD$180:$GD$190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MO</c:v>
          </c:tx>
          <c:spPr>
            <a:ln>
              <a:solidFill>
                <a:srgbClr val="A61BB5"/>
              </a:solidFill>
            </a:ln>
          </c:spPr>
          <c:marker>
            <c:symbol val="none"/>
          </c:marker>
          <c:xVal>
            <c:numRef>
              <c:f>'Gemiddeld en marginaal'!$GC$180:$GC$185</c:f>
            </c:numRef>
          </c:xVal>
          <c:yVal>
            <c:numRef>
              <c:f>'Gemiddeld en marginaal'!$GE$180:$GE$185</c:f>
              <c:numCache>
                <c:formatCode>General</c:formatCode>
                <c:ptCount val="6"/>
                <c:pt idx="0">
                  <c:v>0</c:v>
                </c:pt>
                <c:pt idx="1">
                  <c:v>0</c:v>
                </c:pt>
                <c:pt idx="2">
                  <c:v>0</c:v>
                </c:pt>
                <c:pt idx="3">
                  <c:v>0</c:v>
                </c:pt>
                <c:pt idx="4">
                  <c:v>0</c:v>
                </c:pt>
                <c:pt idx="5">
                  <c:v>0</c:v>
                </c:pt>
              </c:numCache>
            </c:numRef>
          </c:yVal>
        </c:ser>
        <c:ser>
          <c:idx val="2"/>
          <c:order val="2"/>
          <c:tx>
            <c:v>GTK</c:v>
          </c:tx>
          <c:spPr>
            <a:ln>
              <a:solidFill>
                <a:srgbClr val="FF0000"/>
              </a:solidFill>
            </a:ln>
          </c:spPr>
          <c:marker>
            <c:symbol val="none"/>
          </c:marker>
          <c:xVal>
            <c:strRef>
              <c:f>'Gemiddeld en marginaal'!$GB$180:$GB$190</c:f>
              <c:strCache>
                <c:ptCount val="2"/>
                <c:pt idx="0">
                  <c:v>0</c:v>
                </c:pt>
                <c:pt idx="1">
                  <c:v>0</c:v>
                </c:pt>
              </c:strCache>
            </c:strRef>
          </c:xVal>
          <c:yVal>
            <c:numRef>
              <c:f>'Gemiddeld en marginaal'!$GF$180:$GF$190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89156224"/>
        <c:axId val="89174784"/>
      </c:scatterChart>
      <c:scatterChart>
        <c:scatterStyle val="smoothMarker"/>
        <c:ser>
          <c:idx val="3"/>
          <c:order val="3"/>
          <c:tx>
            <c:v>MK</c:v>
          </c:tx>
          <c:spPr>
            <a:ln>
              <a:solidFill>
                <a:srgbClr val="00B050"/>
              </a:solidFill>
            </a:ln>
          </c:spPr>
          <c:marker>
            <c:symbol val="none"/>
          </c:marker>
          <c:xVal>
            <c:numRef>
              <c:f>'Gemiddeld en marginaal'!$GC$180:$GC$190</c:f>
            </c:numRef>
          </c:xVal>
          <c:yVal>
            <c:numRef>
              <c:f>'Gemiddeld en marginaal'!$GG$180:$GG$190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4"/>
          <c:order val="4"/>
          <c:tx>
            <c:v>stippellijn</c:v>
          </c:tx>
          <c:spPr>
            <a:ln>
              <a:solidFill>
                <a:schemeClr val="tx1"/>
              </a:solidFill>
              <a:prstDash val="sysDash"/>
            </a:ln>
          </c:spPr>
          <c:marker>
            <c:symbol val="none"/>
          </c:marker>
          <c:xVal>
            <c:numRef>
              <c:f>'Gemiddeld en marginaal'!$GI$180:$GI$190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'Gemiddeld en marginaal'!$GJ$180:$GJ$190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5"/>
          <c:order val="5"/>
          <c:tx>
            <c:v>stip GO</c:v>
          </c:tx>
          <c:spPr>
            <a:ln>
              <a:solidFill>
                <a:srgbClr val="000000"/>
              </a:solidFill>
              <a:prstDash val="sysDot"/>
            </a:ln>
          </c:spPr>
          <c:marker>
            <c:symbol val="none"/>
          </c:marker>
          <c:xVal>
            <c:numRef>
              <c:f>'Gemiddeld en marginaal'!$GK$180:$GK$190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'Gemiddeld en marginaal'!$GL$180:$GL$190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6"/>
          <c:order val="6"/>
          <c:tx>
            <c:v>stip GTK</c:v>
          </c:tx>
          <c:spPr>
            <a:ln>
              <a:solidFill>
                <a:srgbClr val="000000"/>
              </a:solidFill>
              <a:prstDash val="sysDot"/>
            </a:ln>
          </c:spPr>
          <c:marker>
            <c:symbol val="none"/>
          </c:marker>
          <c:xVal>
            <c:numRef>
              <c:f>'Gemiddeld en marginaal'!$GK$180:$GK$190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'Gemiddeld en marginaal'!$GM$180:$GM$190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89156224"/>
        <c:axId val="89174784"/>
      </c:scatterChart>
      <c:valAx>
        <c:axId val="89156224"/>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87816999673"/>
              <c:y val="0.92414765808913524"/>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89174784"/>
        <c:crosses val="autoZero"/>
        <c:crossBetween val="midCat"/>
      </c:valAx>
      <c:valAx>
        <c:axId val="89174784"/>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89156224"/>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622" r="0.75000000000000622"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24884977613092726"/>
          <c:y val="0.13902415194946074"/>
          <c:w val="0.63436678942263303"/>
          <c:h val="0.70513041219204564"/>
        </c:manualLayout>
      </c:layout>
      <c:scatterChart>
        <c:scatterStyle val="lineMarker"/>
        <c:ser>
          <c:idx val="0"/>
          <c:order val="0"/>
          <c:tx>
            <c:v>TO</c:v>
          </c:tx>
          <c:spPr>
            <a:ln w="25400">
              <a:solidFill>
                <a:srgbClr val="000080"/>
              </a:solidFill>
              <a:prstDash val="solid"/>
            </a:ln>
          </c:spPr>
          <c:marker>
            <c:symbol val="none"/>
          </c:marker>
          <c:xVal>
            <c:numRef>
              <c:f>'Gemiddeld en marginaal'!$GC$180:$GC$190</c:f>
            </c:numRef>
          </c:xVal>
          <c:yVal>
            <c:numRef>
              <c:f>'Gemiddeld en marginaal'!$GN$180:$GN$190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TK</c:v>
          </c:tx>
          <c:spPr>
            <a:ln>
              <a:solidFill>
                <a:srgbClr val="FF0000"/>
              </a:solidFill>
            </a:ln>
          </c:spPr>
          <c:marker>
            <c:symbol val="none"/>
          </c:marker>
          <c:trendline>
            <c:trendlineType val="log"/>
          </c:trendline>
          <c:trendline>
            <c:trendlineType val="power"/>
          </c:trendline>
          <c:xVal>
            <c:numRef>
              <c:f>'Gemiddeld en marginaal'!$GC$180:$GC$190</c:f>
            </c:numRef>
          </c:xVal>
          <c:yVal>
            <c:numRef>
              <c:f>'Gemiddeld en marginaal'!$GO$180:$GO$190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2"/>
          <c:order val="2"/>
          <c:tx>
            <c:v>raaklijn TO</c:v>
          </c:tx>
          <c:spPr>
            <a:ln>
              <a:solidFill>
                <a:srgbClr val="9900CC">
                  <a:alpha val="75000"/>
                </a:srgbClr>
              </a:solidFill>
            </a:ln>
          </c:spPr>
          <c:marker>
            <c:symbol val="none"/>
          </c:marker>
          <c:xVal>
            <c:numRef>
              <c:f>'Gemiddeld en marginaal'!$GQ$180:$GQ$184</c:f>
              <c:numCache>
                <c:formatCode>General</c:formatCode>
                <c:ptCount val="5"/>
                <c:pt idx="0">
                  <c:v>0</c:v>
                </c:pt>
                <c:pt idx="1">
                  <c:v>0</c:v>
                </c:pt>
                <c:pt idx="2">
                  <c:v>0</c:v>
                </c:pt>
                <c:pt idx="3">
                  <c:v>0</c:v>
                </c:pt>
                <c:pt idx="4">
                  <c:v>0</c:v>
                </c:pt>
              </c:numCache>
            </c:numRef>
          </c:xVal>
          <c:yVal>
            <c:numRef>
              <c:f>'Gemiddeld en marginaal'!$GP$180:$GP$184</c:f>
              <c:numCache>
                <c:formatCode>General</c:formatCode>
                <c:ptCount val="5"/>
                <c:pt idx="0">
                  <c:v>0</c:v>
                </c:pt>
                <c:pt idx="1">
                  <c:v>0</c:v>
                </c:pt>
                <c:pt idx="2">
                  <c:v>0</c:v>
                </c:pt>
                <c:pt idx="3">
                  <c:v>0</c:v>
                </c:pt>
                <c:pt idx="4">
                  <c:v>0</c:v>
                </c:pt>
              </c:numCache>
            </c:numRef>
          </c:yVal>
          <c:smooth val="1"/>
        </c:ser>
        <c:ser>
          <c:idx val="4"/>
          <c:order val="3"/>
          <c:tx>
            <c:v>stippellij</c:v>
          </c:tx>
          <c:spPr>
            <a:ln>
              <a:solidFill>
                <a:schemeClr val="tx1"/>
              </a:solidFill>
              <a:prstDash val="sysDash"/>
            </a:ln>
          </c:spPr>
          <c:marker>
            <c:symbol val="none"/>
          </c:marker>
          <c:xVal>
            <c:numRef>
              <c:f>'Gemiddeld en marginaal'!$GR$180:$GR$190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xVal>
          <c:yVal>
            <c:numRef>
              <c:f>'Gemiddeld en marginaal'!$GS$180:$GS$190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89283968"/>
        <c:axId val="89294336"/>
      </c:scatterChart>
      <c:valAx>
        <c:axId val="89283968"/>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65562494812"/>
              <c:y val="0.92414799632004763"/>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89294336"/>
        <c:crosses val="autoZero"/>
        <c:crossBetween val="midCat"/>
      </c:valAx>
      <c:valAx>
        <c:axId val="89294336"/>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89283968"/>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755" r="0.75000000000000755"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22069285982109391"/>
          <c:y val="0.14743623393229954"/>
          <c:w val="0.67356495532398075"/>
          <c:h val="0.70513041219204564"/>
        </c:manualLayout>
      </c:layout>
      <c:scatterChart>
        <c:scatterStyle val="lineMarker"/>
        <c:ser>
          <c:idx val="0"/>
          <c:order val="0"/>
          <c:spPr>
            <a:ln w="25400">
              <a:solidFill>
                <a:srgbClr val="000080"/>
              </a:solidFill>
              <a:prstDash val="solid"/>
            </a:ln>
          </c:spPr>
          <c:marker>
            <c:symbol val="none"/>
          </c:marker>
          <c:xVal>
            <c:numRef>
              <c:f>'Gemiddeld en marginaal'!$GD$73:$GD$83</c:f>
            </c:numRef>
          </c:xVal>
          <c:yVal>
            <c:numRef>
              <c:f>'Gemiddeld en marginaal'!$GE$73:$GE$83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axId val="89321856"/>
        <c:axId val="89323776"/>
      </c:scatterChart>
      <c:valAx>
        <c:axId val="89321856"/>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4505608323623218"/>
              <c:y val="0.92414800956668963"/>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89323776"/>
        <c:crosses val="autoZero"/>
        <c:crossBetween val="midCat"/>
      </c:valAx>
      <c:valAx>
        <c:axId val="89323776"/>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89321856"/>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533" r="0.75000000000000533"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nl-NL"/>
  <c:chart>
    <c:plotArea>
      <c:layout>
        <c:manualLayout>
          <c:layoutTarget val="inner"/>
          <c:xMode val="edge"/>
          <c:yMode val="edge"/>
          <c:x val="0.2036860571000054"/>
          <c:y val="0.14743623393229954"/>
          <c:w val="0.70712069686941825"/>
          <c:h val="0.70513041219204564"/>
        </c:manualLayout>
      </c:layout>
      <c:scatterChart>
        <c:scatterStyle val="lineMarker"/>
        <c:ser>
          <c:idx val="0"/>
          <c:order val="0"/>
          <c:tx>
            <c:v>GO</c:v>
          </c:tx>
          <c:spPr>
            <a:ln w="25400">
              <a:solidFill>
                <a:srgbClr val="000080"/>
              </a:solidFill>
              <a:prstDash val="solid"/>
            </a:ln>
          </c:spPr>
          <c:marker>
            <c:symbol val="none"/>
          </c:marker>
          <c:xVal>
            <c:numRef>
              <c:f>'Gemiddeld en marginaal'!$GD$73:$GD$83</c:f>
            </c:numRef>
          </c:xVal>
          <c:yVal>
            <c:numRef>
              <c:f>'Gemiddeld en marginaal'!$GF$73:$GF$83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1"/>
        </c:ser>
        <c:ser>
          <c:idx val="1"/>
          <c:order val="1"/>
          <c:tx>
            <c:v>MO</c:v>
          </c:tx>
          <c:spPr>
            <a:ln>
              <a:solidFill>
                <a:srgbClr val="A61BB5"/>
              </a:solidFill>
            </a:ln>
          </c:spPr>
          <c:marker>
            <c:symbol val="none"/>
          </c:marker>
          <c:xVal>
            <c:numRef>
              <c:f>'Gemiddeld en marginaal'!$GD$73:$GD$78</c:f>
            </c:numRef>
          </c:xVal>
          <c:yVal>
            <c:numRef>
              <c:f>'Gemiddeld en marginaal'!$GG$73:$GG$78</c:f>
              <c:numCache>
                <c:formatCode>General</c:formatCode>
                <c:ptCount val="6"/>
                <c:pt idx="0">
                  <c:v>0</c:v>
                </c:pt>
                <c:pt idx="1">
                  <c:v>0</c:v>
                </c:pt>
                <c:pt idx="2">
                  <c:v>0</c:v>
                </c:pt>
                <c:pt idx="3">
                  <c:v>0</c:v>
                </c:pt>
                <c:pt idx="4">
                  <c:v>0</c:v>
                </c:pt>
                <c:pt idx="5">
                  <c:v>0</c:v>
                </c:pt>
              </c:numCache>
            </c:numRef>
          </c:yVal>
        </c:ser>
        <c:axId val="89368448"/>
        <c:axId val="89395200"/>
      </c:scatterChart>
      <c:valAx>
        <c:axId val="89368448"/>
        <c:scaling>
          <c:orientation val="minMax"/>
        </c:scaling>
        <c:axPos val="b"/>
        <c:title>
          <c:tx>
            <c:rich>
              <a:bodyPr/>
              <a:lstStyle/>
              <a:p>
                <a:pPr>
                  <a:defRPr sz="800" b="1" i="0" u="none" strike="noStrike" baseline="0">
                    <a:solidFill>
                      <a:srgbClr val="000000"/>
                    </a:solidFill>
                    <a:latin typeface="Arial"/>
                    <a:ea typeface="Arial"/>
                    <a:cs typeface="Arial"/>
                  </a:defRPr>
                </a:pPr>
                <a:r>
                  <a:rPr lang="nl-NL"/>
                  <a:t>hoeveelheid</a:t>
                </a:r>
              </a:p>
            </c:rich>
          </c:tx>
          <c:layout>
            <c:manualLayout>
              <c:xMode val="edge"/>
              <c:yMode val="edge"/>
              <c:x val="0.7790696996208899"/>
              <c:y val="0.92414800956668963"/>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89395200"/>
        <c:crosses val="autoZero"/>
        <c:crossBetween val="midCat"/>
      </c:valAx>
      <c:valAx>
        <c:axId val="89395200"/>
        <c:scaling>
          <c:orientation val="minMax"/>
        </c:scaling>
        <c:axPos val="l"/>
        <c:numFmt formatCode="[$€-2]\ #,##0_-"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l-NL"/>
          </a:p>
        </c:txPr>
        <c:crossAx val="89368448"/>
        <c:crosses val="autoZero"/>
        <c:crossBetween val="midCat"/>
      </c:valAx>
      <c:spPr>
        <a:solidFill>
          <a:srgbClr val="FFFFCC"/>
        </a:solidFill>
        <a:ln w="25400">
          <a:solidFill>
            <a:srgbClr val="000000"/>
          </a:solidFill>
          <a:prstDash val="solid"/>
        </a:ln>
      </c:spPr>
    </c:plotArea>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555" r="0.75000000000000555" t="1" header="0.5" footer="0.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hyperlink" Target="#programma!D18"/></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hyperlink" Target="#programma!D24"/></Relationships>
</file>

<file path=xl/drawings/_rels/drawing1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hyperlink" Target="#programma!D25"/><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hyperlink" Target="#programma!D26"/></Relationships>
</file>

<file path=xl/drawings/_rels/drawing1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programma!D27"/></Relationships>
</file>

<file path=xl/drawings/_rels/drawing2.xml.rels><?xml version="1.0" encoding="UTF-8" standalone="yes"?>
<Relationships xmlns="http://schemas.openxmlformats.org/package/2006/relationships"><Relationship Id="rId1" Type="http://schemas.openxmlformats.org/officeDocument/2006/relationships/hyperlink" Target="#programma!D20"/></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hyperlink" Target="#programma!D22"/><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programma!D23"/><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123</xdr:col>
      <xdr:colOff>30480</xdr:colOff>
      <xdr:row>1</xdr:row>
      <xdr:rowOff>45720</xdr:rowOff>
    </xdr:from>
    <xdr:to>
      <xdr:col>139</xdr:col>
      <xdr:colOff>0</xdr:colOff>
      <xdr:row>4</xdr:row>
      <xdr:rowOff>228600</xdr:rowOff>
    </xdr:to>
    <xdr:sp macro="" textlink="">
      <xdr:nvSpPr>
        <xdr:cNvPr id="59094059" name="AutoShape 11">
          <a:hlinkClick xmlns:r="http://schemas.openxmlformats.org/officeDocument/2006/relationships" r:id="rId1"/>
        </xdr:cNvPr>
        <xdr:cNvSpPr>
          <a:spLocks noChangeArrowheads="1"/>
        </xdr:cNvSpPr>
      </xdr:nvSpPr>
      <xdr:spPr bwMode="auto">
        <a:xfrm>
          <a:off x="6019800" y="350520"/>
          <a:ext cx="701040" cy="701040"/>
        </a:xfrm>
        <a:prstGeom prst="bevel">
          <a:avLst>
            <a:gd name="adj" fmla="val 12500"/>
          </a:avLst>
        </a:prstGeom>
        <a:solidFill>
          <a:srgbClr val="800080"/>
        </a:solidFill>
        <a:ln w="9525">
          <a:solidFill>
            <a:srgbClr val="000000"/>
          </a:solidFill>
          <a:miter lim="800000"/>
          <a:headEnd/>
          <a:tailEnd/>
        </a:ln>
      </xdr:spPr>
    </xdr:sp>
    <xdr:clientData/>
  </xdr:twoCellAnchor>
</xdr:wsDr>
</file>

<file path=xl/drawings/drawing10.xml><?xml version="1.0" encoding="utf-8"?>
<c:userShapes xmlns:c="http://schemas.openxmlformats.org/drawingml/2006/chart">
  <cdr:relSizeAnchor xmlns:cdr="http://schemas.openxmlformats.org/drawingml/2006/chartDrawing">
    <cdr:from>
      <cdr:x>0.47937</cdr:x>
      <cdr:y>0.03461</cdr:y>
    </cdr:from>
    <cdr:to>
      <cdr:x>0.83694</cdr:x>
      <cdr:y>0.09584</cdr:y>
    </cdr:to>
    <cdr:sp macro="" textlink="">
      <cdr:nvSpPr>
        <cdr:cNvPr id="95233" name="Text Box 1"/>
        <cdr:cNvSpPr txBox="1">
          <a:spLocks xmlns:a="http://schemas.openxmlformats.org/drawingml/2006/main" noChangeArrowheads="1"/>
        </cdr:cNvSpPr>
      </cdr:nvSpPr>
      <cdr:spPr bwMode="auto">
        <a:xfrm xmlns:a="http://schemas.openxmlformats.org/drawingml/2006/main">
          <a:off x="1582420" y="107800"/>
          <a:ext cx="1167860" cy="1847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nl-NL" sz="1000" b="1" i="0" u="none" strike="noStrike" baseline="0">
              <a:solidFill>
                <a:srgbClr val="000000"/>
              </a:solidFill>
              <a:latin typeface="Arial"/>
              <a:cs typeface="Arial"/>
            </a:rPr>
            <a:t>TO-</a:t>
          </a:r>
        </a:p>
      </cdr:txBody>
    </cdr:sp>
  </cdr:relSizeAnchor>
  <cdr:relSizeAnchor xmlns:cdr="http://schemas.openxmlformats.org/drawingml/2006/chartDrawing">
    <cdr:from>
      <cdr:x>0.47937</cdr:x>
      <cdr:y>0.03461</cdr:y>
    </cdr:from>
    <cdr:to>
      <cdr:x>0.83694</cdr:x>
      <cdr:y>0.09584</cdr:y>
    </cdr:to>
    <cdr:sp macro="" textlink="">
      <cdr:nvSpPr>
        <cdr:cNvPr id="2" name="Text Box 1"/>
        <cdr:cNvSpPr txBox="1">
          <a:spLocks xmlns:a="http://schemas.openxmlformats.org/drawingml/2006/main" noChangeArrowheads="1"/>
        </cdr:cNvSpPr>
      </cdr:nvSpPr>
      <cdr:spPr bwMode="auto">
        <a:xfrm xmlns:a="http://schemas.openxmlformats.org/drawingml/2006/main">
          <a:off x="1582420" y="107800"/>
          <a:ext cx="1167860" cy="18470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nl-NL" sz="1000" b="1" i="0" u="none" strike="noStrike" baseline="0">
              <a:solidFill>
                <a:srgbClr val="000000"/>
              </a:solidFill>
              <a:latin typeface="Arial"/>
              <a:cs typeface="Arial"/>
            </a:rPr>
            <a:t>TO-lijn</a:t>
          </a:r>
        </a:p>
      </cdr:txBody>
    </cdr:sp>
  </cdr:relSizeAnchor>
</c:userShapes>
</file>

<file path=xl/drawings/drawing11.xml><?xml version="1.0" encoding="utf-8"?>
<c:userShapes xmlns:c="http://schemas.openxmlformats.org/drawingml/2006/chart">
  <cdr:relSizeAnchor xmlns:cdr="http://schemas.openxmlformats.org/drawingml/2006/chartDrawing">
    <cdr:from>
      <cdr:x>0.24639</cdr:x>
      <cdr:y>0.03461</cdr:y>
    </cdr:from>
    <cdr:to>
      <cdr:x>0.82368</cdr:x>
      <cdr:y>0.11098</cdr:y>
    </cdr:to>
    <cdr:sp macro="" textlink="">
      <cdr:nvSpPr>
        <cdr:cNvPr id="95233" name="Text Box 1"/>
        <cdr:cNvSpPr txBox="1">
          <a:spLocks xmlns:a="http://schemas.openxmlformats.org/drawingml/2006/main" noChangeArrowheads="1"/>
        </cdr:cNvSpPr>
      </cdr:nvSpPr>
      <cdr:spPr bwMode="auto">
        <a:xfrm xmlns:a="http://schemas.openxmlformats.org/drawingml/2006/main">
          <a:off x="843929" y="107623"/>
          <a:ext cx="1984052" cy="2364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nl-NL" sz="1000" b="1" i="0" u="none" strike="noStrike" baseline="0">
              <a:solidFill>
                <a:srgbClr val="000000"/>
              </a:solidFill>
              <a:latin typeface="Arial"/>
              <a:cs typeface="Arial"/>
            </a:rPr>
            <a:t>GO- en MO-lijn</a:t>
          </a:r>
        </a:p>
      </cdr:txBody>
    </cdr:sp>
  </cdr:relSizeAnchor>
</c:userShapes>
</file>

<file path=xl/drawings/drawing12.xml><?xml version="1.0" encoding="utf-8"?>
<xdr:wsDr xmlns:xdr="http://schemas.openxmlformats.org/drawingml/2006/spreadsheetDrawing" xmlns:a="http://schemas.openxmlformats.org/drawingml/2006/main">
  <xdr:twoCellAnchor>
    <xdr:from>
      <xdr:col>127</xdr:col>
      <xdr:colOff>0</xdr:colOff>
      <xdr:row>1</xdr:row>
      <xdr:rowOff>38100</xdr:rowOff>
    </xdr:from>
    <xdr:to>
      <xdr:col>141</xdr:col>
      <xdr:colOff>15240</xdr:colOff>
      <xdr:row>4</xdr:row>
      <xdr:rowOff>198120</xdr:rowOff>
    </xdr:to>
    <xdr:sp macro="" textlink="">
      <xdr:nvSpPr>
        <xdr:cNvPr id="59711443" name="AutoShape 11">
          <a:hlinkClick xmlns:r="http://schemas.openxmlformats.org/officeDocument/2006/relationships" r:id="rId1"/>
        </xdr:cNvPr>
        <xdr:cNvSpPr>
          <a:spLocks noChangeArrowheads="1"/>
        </xdr:cNvSpPr>
      </xdr:nvSpPr>
      <xdr:spPr bwMode="auto">
        <a:xfrm>
          <a:off x="5989320" y="342900"/>
          <a:ext cx="655320" cy="678180"/>
        </a:xfrm>
        <a:prstGeom prst="bevel">
          <a:avLst>
            <a:gd name="adj" fmla="val 12500"/>
          </a:avLst>
        </a:prstGeom>
        <a:solidFill>
          <a:srgbClr val="800080"/>
        </a:solidFill>
        <a:ln w="9525">
          <a:solidFill>
            <a:srgbClr val="000000"/>
          </a:solidFill>
          <a:miter lim="800000"/>
          <a:headEnd/>
          <a:tailEnd/>
        </a:ln>
      </xdr:spPr>
    </xdr:sp>
    <xdr:clientData/>
  </xdr:twoCellAnchor>
  <xdr:twoCellAnchor>
    <xdr:from>
      <xdr:col>0</xdr:col>
      <xdr:colOff>-609600</xdr:colOff>
      <xdr:row>14</xdr:row>
      <xdr:rowOff>0</xdr:rowOff>
    </xdr:from>
    <xdr:to>
      <xdr:col>0</xdr:col>
      <xdr:colOff>-609600</xdr:colOff>
      <xdr:row>14</xdr:row>
      <xdr:rowOff>0</xdr:rowOff>
    </xdr:to>
    <xdr:grpSp>
      <xdr:nvGrpSpPr>
        <xdr:cNvPr id="59711444" name="Group 106"/>
        <xdr:cNvGrpSpPr>
          <a:grpSpLocks/>
        </xdr:cNvGrpSpPr>
      </xdr:nvGrpSpPr>
      <xdr:grpSpPr bwMode="auto">
        <a:xfrm>
          <a:off x="-609600" y="2842260"/>
          <a:ext cx="0" cy="0"/>
          <a:chOff x="941" y="2969"/>
          <a:chExt cx="69" cy="136"/>
        </a:xfrm>
      </xdr:grpSpPr>
      <xdr:sp macro="" textlink="">
        <xdr:nvSpPr>
          <xdr:cNvPr id="59867190"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867191" name="Group 88"/>
          <xdr:cNvGrpSpPr>
            <a:grpSpLocks/>
          </xdr:cNvGrpSpPr>
        </xdr:nvGrpSpPr>
        <xdr:grpSpPr bwMode="auto">
          <a:xfrm>
            <a:off x="941" y="2969"/>
            <a:ext cx="69" cy="56"/>
            <a:chOff x="1904895" y="419519"/>
            <a:chExt cx="652165" cy="538250"/>
          </a:xfrm>
        </xdr:grpSpPr>
        <xdr:sp macro="" textlink="">
          <xdr:nvSpPr>
            <xdr:cNvPr id="59867192"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67193" name="Group 90"/>
            <xdr:cNvGrpSpPr>
              <a:grpSpLocks/>
            </xdr:cNvGrpSpPr>
          </xdr:nvGrpSpPr>
          <xdr:grpSpPr bwMode="auto">
            <a:xfrm>
              <a:off x="1904895" y="754676"/>
              <a:ext cx="646538" cy="203093"/>
              <a:chOff x="3868" y="3810"/>
              <a:chExt cx="2793" cy="828"/>
            </a:xfrm>
          </xdr:grpSpPr>
          <xdr:sp macro="" textlink="">
            <xdr:nvSpPr>
              <xdr:cNvPr id="59867195"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67196" name="Group 92"/>
              <xdr:cNvGrpSpPr>
                <a:grpSpLocks/>
              </xdr:cNvGrpSpPr>
            </xdr:nvGrpSpPr>
            <xdr:grpSpPr bwMode="auto">
              <a:xfrm rot="-900000">
                <a:off x="4551" y="3810"/>
                <a:ext cx="1221" cy="461"/>
                <a:chOff x="4723" y="5578"/>
                <a:chExt cx="1254" cy="456"/>
              </a:xfrm>
            </xdr:grpSpPr>
            <xdr:sp macro="" textlink="">
              <xdr:nvSpPr>
                <xdr:cNvPr id="59867197"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67198"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67199"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67200"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190" name="Text Box 97"/>
            <xdr:cNvSpPr txBox="1">
              <a:spLocks noChangeArrowheads="1"/>
            </xdr:cNvSpPr>
          </xdr:nvSpPr>
          <xdr:spPr bwMode="auto">
            <a:xfrm>
              <a:off x="-609600" y="2842260"/>
              <a:ext cx="0" cy="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nl-NL" sz="900" b="0" i="0" u="none" strike="noStrike" baseline="0">
                  <a:solidFill>
                    <a:srgbClr val="000000"/>
                  </a:solidFill>
                  <a:latin typeface="Times New Roman"/>
                  <a:cs typeface="Times New Roman"/>
                </a:rPr>
                <a:t>+ 2</a:t>
              </a:r>
            </a:p>
            <a:p>
              <a:pPr algn="l" rtl="0">
                <a:defRPr sz="1000"/>
              </a:pPr>
              <a:endParaRPr lang="nl-NL" sz="900" b="0" i="0" u="none" strike="noStrike" baseline="0">
                <a:solidFill>
                  <a:srgbClr val="000000"/>
                </a:solidFill>
                <a:latin typeface="Times New Roman"/>
                <a:cs typeface="Times New Roman"/>
              </a:endParaRPr>
            </a:p>
          </xdr:txBody>
        </xdr:sp>
      </xdr:grpSp>
    </xdr:grpSp>
    <xdr:clientData/>
  </xdr:twoCellAnchor>
  <xdr:twoCellAnchor>
    <xdr:from>
      <xdr:col>0</xdr:col>
      <xdr:colOff>-350520</xdr:colOff>
      <xdr:row>14</xdr:row>
      <xdr:rowOff>0</xdr:rowOff>
    </xdr:from>
    <xdr:to>
      <xdr:col>0</xdr:col>
      <xdr:colOff>-350520</xdr:colOff>
      <xdr:row>14</xdr:row>
      <xdr:rowOff>0</xdr:rowOff>
    </xdr:to>
    <xdr:grpSp>
      <xdr:nvGrpSpPr>
        <xdr:cNvPr id="59711445" name="Group 106"/>
        <xdr:cNvGrpSpPr>
          <a:grpSpLocks/>
        </xdr:cNvGrpSpPr>
      </xdr:nvGrpSpPr>
      <xdr:grpSpPr bwMode="auto">
        <a:xfrm>
          <a:off x="-350520" y="2842260"/>
          <a:ext cx="0" cy="0"/>
          <a:chOff x="941" y="2969"/>
          <a:chExt cx="69" cy="136"/>
        </a:xfrm>
      </xdr:grpSpPr>
      <xdr:sp macro="" textlink="">
        <xdr:nvSpPr>
          <xdr:cNvPr id="59867179"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867180" name="Group 88"/>
          <xdr:cNvGrpSpPr>
            <a:grpSpLocks/>
          </xdr:cNvGrpSpPr>
        </xdr:nvGrpSpPr>
        <xdr:grpSpPr bwMode="auto">
          <a:xfrm>
            <a:off x="941" y="2969"/>
            <a:ext cx="69" cy="56"/>
            <a:chOff x="1904895" y="419519"/>
            <a:chExt cx="652165" cy="538250"/>
          </a:xfrm>
        </xdr:grpSpPr>
        <xdr:sp macro="" textlink="">
          <xdr:nvSpPr>
            <xdr:cNvPr id="59867181"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67182" name="Group 90"/>
            <xdr:cNvGrpSpPr>
              <a:grpSpLocks/>
            </xdr:cNvGrpSpPr>
          </xdr:nvGrpSpPr>
          <xdr:grpSpPr bwMode="auto">
            <a:xfrm>
              <a:off x="1904895" y="754676"/>
              <a:ext cx="646538" cy="203093"/>
              <a:chOff x="3868" y="3810"/>
              <a:chExt cx="2793" cy="828"/>
            </a:xfrm>
          </xdr:grpSpPr>
          <xdr:sp macro="" textlink="">
            <xdr:nvSpPr>
              <xdr:cNvPr id="59867184"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67185" name="Group 92"/>
              <xdr:cNvGrpSpPr>
                <a:grpSpLocks/>
              </xdr:cNvGrpSpPr>
            </xdr:nvGrpSpPr>
            <xdr:grpSpPr bwMode="auto">
              <a:xfrm rot="-900000">
                <a:off x="4549" y="3810"/>
                <a:ext cx="1221" cy="461"/>
                <a:chOff x="4723" y="5578"/>
                <a:chExt cx="1254" cy="456"/>
              </a:xfrm>
            </xdr:grpSpPr>
            <xdr:sp macro="" textlink="">
              <xdr:nvSpPr>
                <xdr:cNvPr id="59867186"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67187"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67188"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67189"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202" name="Text Box 97"/>
            <xdr:cNvSpPr txBox="1">
              <a:spLocks noChangeArrowheads="1"/>
            </xdr:cNvSpPr>
          </xdr:nvSpPr>
          <xdr:spPr bwMode="auto">
            <a:xfrm>
              <a:off x="-350520" y="2842260"/>
              <a:ext cx="0" cy="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nl-NL" sz="900" b="0" i="0" u="none" strike="noStrike" baseline="0">
                  <a:solidFill>
                    <a:srgbClr val="000000"/>
                  </a:solidFill>
                  <a:latin typeface="Times New Roman"/>
                  <a:cs typeface="Times New Roman"/>
                </a:rPr>
                <a:t>+ 2</a:t>
              </a:r>
            </a:p>
            <a:p>
              <a:pPr algn="l" rtl="0">
                <a:defRPr sz="1000"/>
              </a:pPr>
              <a:endParaRPr lang="nl-NL" sz="900" b="0" i="0" u="none" strike="noStrike" baseline="0">
                <a:solidFill>
                  <a:srgbClr val="000000"/>
                </a:solidFill>
                <a:latin typeface="Times New Roman"/>
                <a:cs typeface="Times New Roman"/>
              </a:endParaRPr>
            </a:p>
          </xdr:txBody>
        </xdr:sp>
      </xdr:grpSp>
    </xdr:grpSp>
    <xdr:clientData/>
  </xdr:twoCellAnchor>
  <xdr:twoCellAnchor>
    <xdr:from>
      <xdr:col>0</xdr:col>
      <xdr:colOff>-1181100</xdr:colOff>
      <xdr:row>14</xdr:row>
      <xdr:rowOff>0</xdr:rowOff>
    </xdr:from>
    <xdr:to>
      <xdr:col>0</xdr:col>
      <xdr:colOff>-1181100</xdr:colOff>
      <xdr:row>14</xdr:row>
      <xdr:rowOff>0</xdr:rowOff>
    </xdr:to>
    <xdr:grpSp>
      <xdr:nvGrpSpPr>
        <xdr:cNvPr id="59711446" name="Group 106"/>
        <xdr:cNvGrpSpPr>
          <a:grpSpLocks/>
        </xdr:cNvGrpSpPr>
      </xdr:nvGrpSpPr>
      <xdr:grpSpPr bwMode="auto">
        <a:xfrm>
          <a:off x="-1181100" y="2842260"/>
          <a:ext cx="0" cy="0"/>
          <a:chOff x="940" y="2969"/>
          <a:chExt cx="68" cy="136"/>
        </a:xfrm>
      </xdr:grpSpPr>
      <xdr:sp macro="" textlink="">
        <xdr:nvSpPr>
          <xdr:cNvPr id="59867168"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867169" name="Group 88"/>
          <xdr:cNvGrpSpPr>
            <a:grpSpLocks/>
          </xdr:cNvGrpSpPr>
        </xdr:nvGrpSpPr>
        <xdr:grpSpPr bwMode="auto">
          <a:xfrm>
            <a:off x="940" y="2969"/>
            <a:ext cx="68" cy="56"/>
            <a:chOff x="1904895" y="419519"/>
            <a:chExt cx="646538" cy="538250"/>
          </a:xfrm>
        </xdr:grpSpPr>
        <xdr:sp macro="" textlink="">
          <xdr:nvSpPr>
            <xdr:cNvPr id="59867170"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67171" name="Group 90"/>
            <xdr:cNvGrpSpPr>
              <a:grpSpLocks/>
            </xdr:cNvGrpSpPr>
          </xdr:nvGrpSpPr>
          <xdr:grpSpPr bwMode="auto">
            <a:xfrm>
              <a:off x="1904895" y="754676"/>
              <a:ext cx="646538" cy="203093"/>
              <a:chOff x="3868" y="3810"/>
              <a:chExt cx="2793" cy="828"/>
            </a:xfrm>
          </xdr:grpSpPr>
          <xdr:sp macro="" textlink="">
            <xdr:nvSpPr>
              <xdr:cNvPr id="59867173"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67174" name="Group 92"/>
              <xdr:cNvGrpSpPr>
                <a:grpSpLocks/>
              </xdr:cNvGrpSpPr>
            </xdr:nvGrpSpPr>
            <xdr:grpSpPr bwMode="auto">
              <a:xfrm rot="-900000">
                <a:off x="4545" y="3810"/>
                <a:ext cx="1221" cy="461"/>
                <a:chOff x="4723" y="5578"/>
                <a:chExt cx="1254" cy="456"/>
              </a:xfrm>
            </xdr:grpSpPr>
            <xdr:sp macro="" textlink="">
              <xdr:nvSpPr>
                <xdr:cNvPr id="59867175"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67176"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67177"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67178"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214" name="Text Box 97"/>
            <xdr:cNvSpPr txBox="1">
              <a:spLocks noChangeArrowheads="1"/>
            </xdr:cNvSpPr>
          </xdr:nvSpPr>
          <xdr:spPr bwMode="auto">
            <a:xfrm>
              <a:off x="-1181100" y="2842260"/>
              <a:ext cx="0" cy="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nl-NL" sz="900" b="0" i="0" u="none" strike="noStrike" baseline="0">
                  <a:solidFill>
                    <a:srgbClr val="000000"/>
                  </a:solidFill>
                  <a:latin typeface="Times New Roman"/>
                  <a:cs typeface="Times New Roman"/>
                </a:rPr>
                <a:t>+ 0,5</a:t>
              </a:r>
            </a:p>
            <a:p>
              <a:pPr algn="l" rtl="0">
                <a:defRPr sz="1000"/>
              </a:pPr>
              <a:endParaRPr lang="nl-NL" sz="900" b="0" i="0" u="none" strike="noStrike" baseline="0">
                <a:solidFill>
                  <a:srgbClr val="000000"/>
                </a:solidFill>
                <a:latin typeface="Times New Roman"/>
                <a:cs typeface="Times New Roman"/>
              </a:endParaRPr>
            </a:p>
          </xdr:txBody>
        </xdr:sp>
      </xdr:grpSp>
    </xdr:grpSp>
    <xdr:clientData/>
  </xdr:twoCellAnchor>
  <xdr:twoCellAnchor>
    <xdr:from>
      <xdr:col>9</xdr:col>
      <xdr:colOff>15240</xdr:colOff>
      <xdr:row>68</xdr:row>
      <xdr:rowOff>91440</xdr:rowOff>
    </xdr:from>
    <xdr:to>
      <xdr:col>167</xdr:col>
      <xdr:colOff>457200</xdr:colOff>
      <xdr:row>82</xdr:row>
      <xdr:rowOff>114300</xdr:rowOff>
    </xdr:to>
    <xdr:grpSp>
      <xdr:nvGrpSpPr>
        <xdr:cNvPr id="59711447" name="Groep 1082"/>
        <xdr:cNvGrpSpPr>
          <a:grpSpLocks/>
        </xdr:cNvGrpSpPr>
      </xdr:nvGrpSpPr>
      <xdr:grpSpPr bwMode="auto">
        <a:xfrm>
          <a:off x="609600" y="11917680"/>
          <a:ext cx="7665720" cy="2903220"/>
          <a:chOff x="619127" y="90125548"/>
          <a:chExt cx="7953373" cy="2747761"/>
        </a:xfrm>
      </xdr:grpSpPr>
      <xdr:grpSp>
        <xdr:nvGrpSpPr>
          <xdr:cNvPr id="59711452" name="Groep 1021"/>
          <xdr:cNvGrpSpPr>
            <a:grpSpLocks/>
          </xdr:cNvGrpSpPr>
        </xdr:nvGrpSpPr>
        <xdr:grpSpPr bwMode="auto">
          <a:xfrm>
            <a:off x="619127" y="90125548"/>
            <a:ext cx="2666999" cy="2728679"/>
            <a:chOff x="619127" y="90125548"/>
            <a:chExt cx="2666999" cy="2728679"/>
          </a:xfrm>
        </xdr:grpSpPr>
        <xdr:grpSp>
          <xdr:nvGrpSpPr>
            <xdr:cNvPr id="59867152" name="Groep 911"/>
            <xdr:cNvGrpSpPr>
              <a:grpSpLocks/>
            </xdr:cNvGrpSpPr>
          </xdr:nvGrpSpPr>
          <xdr:grpSpPr bwMode="auto">
            <a:xfrm>
              <a:off x="619127" y="91030469"/>
              <a:ext cx="1678164" cy="1823758"/>
              <a:chOff x="1273805" y="81095894"/>
              <a:chExt cx="1678164" cy="1823758"/>
            </a:xfrm>
          </xdr:grpSpPr>
          <xdr:grpSp>
            <xdr:nvGrpSpPr>
              <xdr:cNvPr id="59867154" name="Groep 420"/>
              <xdr:cNvGrpSpPr>
                <a:grpSpLocks/>
              </xdr:cNvGrpSpPr>
            </xdr:nvGrpSpPr>
            <xdr:grpSpPr bwMode="auto">
              <a:xfrm>
                <a:off x="1273805" y="81095894"/>
                <a:ext cx="1678164" cy="1795716"/>
                <a:chOff x="705858" y="41395649"/>
                <a:chExt cx="1579626" cy="1885951"/>
              </a:xfrm>
            </xdr:grpSpPr>
            <xdr:grpSp>
              <xdr:nvGrpSpPr>
                <xdr:cNvPr id="59867158" name="Groep 284"/>
                <xdr:cNvGrpSpPr>
                  <a:grpSpLocks/>
                </xdr:cNvGrpSpPr>
              </xdr:nvGrpSpPr>
              <xdr:grpSpPr bwMode="auto">
                <a:xfrm>
                  <a:off x="705858" y="41395649"/>
                  <a:ext cx="1579626" cy="1885951"/>
                  <a:chOff x="473747" y="55330722"/>
                  <a:chExt cx="1579626" cy="1885952"/>
                </a:xfrm>
              </xdr:grpSpPr>
              <xdr:cxnSp macro="">
                <xdr:nvCxnSpPr>
                  <xdr:cNvPr id="59867161" name="Rechte verbindingslijn 175"/>
                  <xdr:cNvCxnSpPr>
                    <a:cxnSpLocks noChangeShapeType="1"/>
                  </xdr:cNvCxnSpPr>
                </xdr:nvCxnSpPr>
                <xdr:spPr bwMode="auto">
                  <a:xfrm rot="5400000">
                    <a:off x="-64466" y="56175387"/>
                    <a:ext cx="1543140" cy="0"/>
                  </a:xfrm>
                  <a:prstGeom prst="line">
                    <a:avLst/>
                  </a:prstGeom>
                  <a:noFill/>
                  <a:ln w="22225" algn="ctr">
                    <a:solidFill>
                      <a:srgbClr val="000000"/>
                    </a:solidFill>
                    <a:round/>
                    <a:headEnd/>
                    <a:tailEnd/>
                  </a:ln>
                </xdr:spPr>
              </xdr:cxnSp>
              <xdr:cxnSp macro="">
                <xdr:nvCxnSpPr>
                  <xdr:cNvPr id="59867162" name="Rechte verbindingslijn 182"/>
                  <xdr:cNvCxnSpPr>
                    <a:cxnSpLocks noChangeShapeType="1"/>
                  </xdr:cNvCxnSpPr>
                </xdr:nvCxnSpPr>
                <xdr:spPr bwMode="auto">
                  <a:xfrm>
                    <a:off x="707102" y="56946955"/>
                    <a:ext cx="1287305" cy="0"/>
                  </a:xfrm>
                  <a:prstGeom prst="line">
                    <a:avLst/>
                  </a:prstGeom>
                  <a:noFill/>
                  <a:ln w="22225" algn="ctr">
                    <a:solidFill>
                      <a:srgbClr val="000000"/>
                    </a:solidFill>
                    <a:round/>
                    <a:headEnd/>
                    <a:tailEnd/>
                  </a:ln>
                </xdr:spPr>
              </xdr:cxnSp>
              <xdr:sp macro="" textlink="">
                <xdr:nvSpPr>
                  <xdr:cNvPr id="643" name="Tekstvak 642"/>
                  <xdr:cNvSpPr txBox="1"/>
                </xdr:nvSpPr>
                <xdr:spPr>
                  <a:xfrm flipH="1">
                    <a:off x="481189" y="55327126"/>
                    <a:ext cx="156276" cy="249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a:t>
                    </a:r>
                  </a:p>
                </xdr:txBody>
              </xdr:sp>
              <xdr:sp macro="" textlink="">
                <xdr:nvSpPr>
                  <xdr:cNvPr id="644" name="Tekstvak 643"/>
                  <xdr:cNvSpPr txBox="1"/>
                </xdr:nvSpPr>
                <xdr:spPr>
                  <a:xfrm flipH="1">
                    <a:off x="1843023" y="56963192"/>
                    <a:ext cx="208368" cy="249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Q</a:t>
                    </a:r>
                  </a:p>
                </xdr:txBody>
              </xdr:sp>
              <xdr:cxnSp macro="">
                <xdr:nvCxnSpPr>
                  <xdr:cNvPr id="59867165" name="Rechte verbindingslijn 187"/>
                  <xdr:cNvCxnSpPr>
                    <a:cxnSpLocks noChangeShapeType="1"/>
                  </xdr:cNvCxnSpPr>
                </xdr:nvCxnSpPr>
                <xdr:spPr bwMode="auto">
                  <a:xfrm rot="16200000" flipH="1">
                    <a:off x="606224" y="55715865"/>
                    <a:ext cx="1323847" cy="1122088"/>
                  </a:xfrm>
                  <a:prstGeom prst="line">
                    <a:avLst/>
                  </a:prstGeom>
                  <a:noFill/>
                  <a:ln w="22225" algn="ctr">
                    <a:solidFill>
                      <a:srgbClr val="000000"/>
                    </a:solidFill>
                    <a:round/>
                    <a:headEnd/>
                    <a:tailEnd/>
                  </a:ln>
                </xdr:spPr>
              </xdr:cxnSp>
              <xdr:cxnSp macro="">
                <xdr:nvCxnSpPr>
                  <xdr:cNvPr id="59867166" name="Rechte verbindingslijn 229"/>
                  <xdr:cNvCxnSpPr>
                    <a:cxnSpLocks noChangeShapeType="1"/>
                  </xdr:cNvCxnSpPr>
                </xdr:nvCxnSpPr>
                <xdr:spPr bwMode="auto">
                  <a:xfrm rot="10800000" flipV="1">
                    <a:off x="710703" y="56651162"/>
                    <a:ext cx="1206523" cy="3536"/>
                  </a:xfrm>
                  <a:prstGeom prst="line">
                    <a:avLst/>
                  </a:prstGeom>
                  <a:noFill/>
                  <a:ln w="22225" algn="ctr">
                    <a:solidFill>
                      <a:srgbClr val="000000"/>
                    </a:solidFill>
                    <a:round/>
                    <a:headEnd/>
                    <a:tailEnd/>
                  </a:ln>
                </xdr:spPr>
              </xdr:cxnSp>
              <xdr:sp macro="" textlink="">
                <xdr:nvSpPr>
                  <xdr:cNvPr id="647" name="Tekstvak 646"/>
                  <xdr:cNvSpPr txBox="1"/>
                </xdr:nvSpPr>
                <xdr:spPr>
                  <a:xfrm flipH="1">
                    <a:off x="473747" y="55970948"/>
                    <a:ext cx="215810" cy="280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p</a:t>
                    </a:r>
                  </a:p>
                </xdr:txBody>
              </xdr:sp>
            </xdr:grpSp>
            <xdr:sp macro="" textlink="">
              <xdr:nvSpPr>
                <xdr:cNvPr id="639" name="Tekstvak 638"/>
                <xdr:cNvSpPr txBox="1"/>
              </xdr:nvSpPr>
              <xdr:spPr>
                <a:xfrm>
                  <a:off x="1442588" y="41467796"/>
                  <a:ext cx="312552" cy="30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A</a:t>
                  </a:r>
                </a:p>
              </xdr:txBody>
            </xdr:sp>
            <xdr:cxnSp macro="">
              <xdr:nvCxnSpPr>
                <xdr:cNvPr id="59867160" name="Rechte verbindingslijn 229"/>
                <xdr:cNvCxnSpPr>
                  <a:cxnSpLocks noChangeShapeType="1"/>
                </xdr:cNvCxnSpPr>
              </xdr:nvCxnSpPr>
              <xdr:spPr bwMode="auto">
                <a:xfrm rot="16200000" flipV="1">
                  <a:off x="555140" y="42088297"/>
                  <a:ext cx="1365805" cy="590120"/>
                </a:xfrm>
                <a:prstGeom prst="line">
                  <a:avLst/>
                </a:prstGeom>
                <a:noFill/>
                <a:ln w="22225" algn="ctr">
                  <a:solidFill>
                    <a:srgbClr val="000000"/>
                  </a:solidFill>
                  <a:round/>
                  <a:headEnd/>
                  <a:tailEnd/>
                </a:ln>
              </xdr:spPr>
            </xdr:cxnSp>
          </xdr:grpSp>
          <xdr:cxnSp macro="">
            <xdr:nvCxnSpPr>
              <xdr:cNvPr id="59867155" name="Rechte verbindingslijn 464"/>
              <xdr:cNvCxnSpPr>
                <a:cxnSpLocks noChangeShapeType="1"/>
              </xdr:cNvCxnSpPr>
            </xdr:nvCxnSpPr>
            <xdr:spPr bwMode="auto">
              <a:xfrm rot="16200000" flipH="1">
                <a:off x="1568157" y="82289374"/>
                <a:ext cx="861582" cy="3"/>
              </a:xfrm>
              <a:prstGeom prst="line">
                <a:avLst/>
              </a:prstGeom>
              <a:noFill/>
              <a:ln w="22225" algn="ctr">
                <a:solidFill>
                  <a:srgbClr val="000000"/>
                </a:solidFill>
                <a:prstDash val="sysDash"/>
                <a:round/>
                <a:headEnd/>
                <a:tailEnd/>
              </a:ln>
            </xdr:spPr>
          </xdr:cxnSp>
          <xdr:sp macro="" textlink="">
            <xdr:nvSpPr>
              <xdr:cNvPr id="636" name="Tekstvak 635"/>
              <xdr:cNvSpPr txBox="1"/>
            </xdr:nvSpPr>
            <xdr:spPr bwMode="auto">
              <a:xfrm flipH="1">
                <a:off x="1850938" y="82664679"/>
                <a:ext cx="276708" cy="2524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sp macro="" textlink="">
            <xdr:nvSpPr>
              <xdr:cNvPr id="59867157" name="Rechthoek 351"/>
              <xdr:cNvSpPr>
                <a:spLocks noChangeArrowheads="1"/>
              </xdr:cNvSpPr>
            </xdr:nvSpPr>
            <xdr:spPr bwMode="auto">
              <a:xfrm>
                <a:off x="1524001" y="81879700"/>
                <a:ext cx="476250" cy="121024"/>
              </a:xfrm>
              <a:prstGeom prst="rect">
                <a:avLst/>
              </a:prstGeom>
              <a:solidFill>
                <a:srgbClr val="000000">
                  <a:alpha val="20000"/>
                </a:srgbClr>
              </a:solidFill>
              <a:ln w="22225" algn="ctr">
                <a:solidFill>
                  <a:srgbClr val="000000"/>
                </a:solidFill>
                <a:round/>
                <a:headEnd/>
                <a:tailEnd/>
              </a:ln>
            </xdr:spPr>
          </xdr:sp>
        </xdr:grpSp>
        <xdr:sp macro="" textlink="">
          <xdr:nvSpPr>
            <xdr:cNvPr id="633" name="Boog 632"/>
            <xdr:cNvSpPr/>
          </xdr:nvSpPr>
          <xdr:spPr bwMode="auto">
            <a:xfrm rot="600000" flipH="1" flipV="1">
              <a:off x="951176" y="90125548"/>
              <a:ext cx="2332251" cy="2105896"/>
            </a:xfrm>
            <a:prstGeom prst="arc">
              <a:avLst>
                <a:gd name="adj1" fmla="val 15457690"/>
                <a:gd name="adj2" fmla="val 20956569"/>
              </a:avLst>
            </a:prstGeom>
            <a:noFill/>
            <a:ln w="222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grpSp>
        <xdr:nvGrpSpPr>
          <xdr:cNvPr id="59711453" name="Groep 1022"/>
          <xdr:cNvGrpSpPr>
            <a:grpSpLocks/>
          </xdr:cNvGrpSpPr>
        </xdr:nvGrpSpPr>
        <xdr:grpSpPr bwMode="auto">
          <a:xfrm>
            <a:off x="2374245" y="90125548"/>
            <a:ext cx="2664301" cy="2733337"/>
            <a:chOff x="621647" y="90125546"/>
            <a:chExt cx="2664301" cy="2733337"/>
          </a:xfrm>
        </xdr:grpSpPr>
        <xdr:grpSp>
          <xdr:nvGrpSpPr>
            <xdr:cNvPr id="59867136" name="Groep 911"/>
            <xdr:cNvGrpSpPr>
              <a:grpSpLocks/>
            </xdr:cNvGrpSpPr>
          </xdr:nvGrpSpPr>
          <xdr:grpSpPr bwMode="auto">
            <a:xfrm>
              <a:off x="621647" y="91100066"/>
              <a:ext cx="1660247" cy="1758817"/>
              <a:chOff x="1276325" y="81165491"/>
              <a:chExt cx="1660247" cy="1758817"/>
            </a:xfrm>
          </xdr:grpSpPr>
          <xdr:grpSp>
            <xdr:nvGrpSpPr>
              <xdr:cNvPr id="59867138" name="Groep 420"/>
              <xdr:cNvGrpSpPr>
                <a:grpSpLocks/>
              </xdr:cNvGrpSpPr>
            </xdr:nvGrpSpPr>
            <xdr:grpSpPr bwMode="auto">
              <a:xfrm>
                <a:off x="1276325" y="81165491"/>
                <a:ext cx="1660247" cy="1744393"/>
                <a:chOff x="708228" y="41468743"/>
                <a:chExt cx="1562761" cy="1832049"/>
              </a:xfrm>
            </xdr:grpSpPr>
            <xdr:grpSp>
              <xdr:nvGrpSpPr>
                <xdr:cNvPr id="59867142" name="Groep 284"/>
                <xdr:cNvGrpSpPr>
                  <a:grpSpLocks/>
                </xdr:cNvGrpSpPr>
              </xdr:nvGrpSpPr>
              <xdr:grpSpPr bwMode="auto">
                <a:xfrm>
                  <a:off x="708228" y="41468743"/>
                  <a:ext cx="1562761" cy="1832049"/>
                  <a:chOff x="476117" y="55403817"/>
                  <a:chExt cx="1562761" cy="1832050"/>
                </a:xfrm>
              </xdr:grpSpPr>
              <xdr:cxnSp macro="">
                <xdr:nvCxnSpPr>
                  <xdr:cNvPr id="59867145" name="Rechte verbindingslijn 175"/>
                  <xdr:cNvCxnSpPr>
                    <a:cxnSpLocks noChangeShapeType="1"/>
                  </xdr:cNvCxnSpPr>
                </xdr:nvCxnSpPr>
                <xdr:spPr bwMode="auto">
                  <a:xfrm rot="5400000">
                    <a:off x="-64466" y="56175387"/>
                    <a:ext cx="1543140" cy="0"/>
                  </a:xfrm>
                  <a:prstGeom prst="line">
                    <a:avLst/>
                  </a:prstGeom>
                  <a:noFill/>
                  <a:ln w="22225" algn="ctr">
                    <a:solidFill>
                      <a:srgbClr val="000000"/>
                    </a:solidFill>
                    <a:round/>
                    <a:headEnd/>
                    <a:tailEnd/>
                  </a:ln>
                </xdr:spPr>
              </xdr:cxnSp>
              <xdr:cxnSp macro="">
                <xdr:nvCxnSpPr>
                  <xdr:cNvPr id="59867146" name="Rechte verbindingslijn 182"/>
                  <xdr:cNvCxnSpPr>
                    <a:cxnSpLocks noChangeShapeType="1"/>
                  </xdr:cNvCxnSpPr>
                </xdr:nvCxnSpPr>
                <xdr:spPr bwMode="auto">
                  <a:xfrm>
                    <a:off x="707102" y="56946955"/>
                    <a:ext cx="1287305" cy="0"/>
                  </a:xfrm>
                  <a:prstGeom prst="line">
                    <a:avLst/>
                  </a:prstGeom>
                  <a:noFill/>
                  <a:ln w="22225" algn="ctr">
                    <a:solidFill>
                      <a:srgbClr val="000000"/>
                    </a:solidFill>
                    <a:round/>
                    <a:headEnd/>
                    <a:tailEnd/>
                  </a:ln>
                </xdr:spPr>
              </xdr:cxnSp>
              <xdr:sp macro="" textlink="">
                <xdr:nvSpPr>
                  <xdr:cNvPr id="627" name="Tekstvak 626"/>
                  <xdr:cNvSpPr txBox="1"/>
                </xdr:nvSpPr>
                <xdr:spPr>
                  <a:xfrm flipH="1">
                    <a:off x="483559" y="55569504"/>
                    <a:ext cx="148834" cy="242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a:t>
                    </a:r>
                  </a:p>
                </xdr:txBody>
              </xdr:sp>
              <xdr:sp macro="" textlink="">
                <xdr:nvSpPr>
                  <xdr:cNvPr id="628" name="Tekstvak 627"/>
                  <xdr:cNvSpPr txBox="1"/>
                </xdr:nvSpPr>
                <xdr:spPr>
                  <a:xfrm flipH="1">
                    <a:off x="1837952" y="56978338"/>
                    <a:ext cx="193485" cy="249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Q</a:t>
                    </a:r>
                  </a:p>
                </xdr:txBody>
              </xdr:sp>
              <xdr:cxnSp macro="">
                <xdr:nvCxnSpPr>
                  <xdr:cNvPr id="59867149" name="Rechte verbindingslijn 187"/>
                  <xdr:cNvCxnSpPr>
                    <a:cxnSpLocks noChangeShapeType="1"/>
                  </xdr:cNvCxnSpPr>
                </xdr:nvCxnSpPr>
                <xdr:spPr bwMode="auto">
                  <a:xfrm rot="16200000" flipH="1">
                    <a:off x="606224" y="55715865"/>
                    <a:ext cx="1323847" cy="1122088"/>
                  </a:xfrm>
                  <a:prstGeom prst="line">
                    <a:avLst/>
                  </a:prstGeom>
                  <a:noFill/>
                  <a:ln w="22225" algn="ctr">
                    <a:solidFill>
                      <a:srgbClr val="000000"/>
                    </a:solidFill>
                    <a:round/>
                    <a:headEnd/>
                    <a:tailEnd/>
                  </a:ln>
                </xdr:spPr>
              </xdr:cxnSp>
              <xdr:cxnSp macro="">
                <xdr:nvCxnSpPr>
                  <xdr:cNvPr id="59867150" name="Rechte verbindingslijn 229"/>
                  <xdr:cNvCxnSpPr>
                    <a:cxnSpLocks noChangeShapeType="1"/>
                  </xdr:cNvCxnSpPr>
                </xdr:nvCxnSpPr>
                <xdr:spPr bwMode="auto">
                  <a:xfrm rot="10800000" flipV="1">
                    <a:off x="710703" y="56651162"/>
                    <a:ext cx="1206523" cy="3536"/>
                  </a:xfrm>
                  <a:prstGeom prst="line">
                    <a:avLst/>
                  </a:prstGeom>
                  <a:noFill/>
                  <a:ln w="22225" algn="ctr">
                    <a:solidFill>
                      <a:srgbClr val="000000"/>
                    </a:solidFill>
                    <a:round/>
                    <a:headEnd/>
                    <a:tailEnd/>
                  </a:ln>
                </xdr:spPr>
              </xdr:cxnSp>
              <xdr:sp macro="" textlink="">
                <xdr:nvSpPr>
                  <xdr:cNvPr id="631" name="Tekstvak 630"/>
                  <xdr:cNvSpPr txBox="1"/>
                </xdr:nvSpPr>
                <xdr:spPr>
                  <a:xfrm flipH="1">
                    <a:off x="476117" y="56008818"/>
                    <a:ext cx="215810" cy="280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p</a:t>
                    </a:r>
                  </a:p>
                </xdr:txBody>
              </xdr:sp>
            </xdr:grpSp>
            <xdr:sp macro="" textlink="">
              <xdr:nvSpPr>
                <xdr:cNvPr id="623" name="Tekstvak 622"/>
                <xdr:cNvSpPr txBox="1"/>
              </xdr:nvSpPr>
              <xdr:spPr>
                <a:xfrm>
                  <a:off x="1437516" y="41710174"/>
                  <a:ext cx="319994" cy="31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B</a:t>
                  </a:r>
                </a:p>
              </xdr:txBody>
            </xdr:sp>
            <xdr:cxnSp macro="">
              <xdr:nvCxnSpPr>
                <xdr:cNvPr id="59867144" name="Rechte verbindingslijn 229"/>
                <xdr:cNvCxnSpPr>
                  <a:cxnSpLocks noChangeShapeType="1"/>
                </xdr:cNvCxnSpPr>
              </xdr:nvCxnSpPr>
              <xdr:spPr bwMode="auto">
                <a:xfrm rot="16200000" flipV="1">
                  <a:off x="555140" y="42088297"/>
                  <a:ext cx="1365805" cy="590120"/>
                </a:xfrm>
                <a:prstGeom prst="line">
                  <a:avLst/>
                </a:prstGeom>
                <a:noFill/>
                <a:ln w="22225" algn="ctr">
                  <a:solidFill>
                    <a:srgbClr val="000000"/>
                  </a:solidFill>
                  <a:round/>
                  <a:headEnd/>
                  <a:tailEnd/>
                </a:ln>
              </xdr:spPr>
            </xdr:cxnSp>
          </xdr:grpSp>
          <xdr:cxnSp macro="">
            <xdr:nvCxnSpPr>
              <xdr:cNvPr id="59867139" name="Rechte verbindingslijn 464"/>
              <xdr:cNvCxnSpPr>
                <a:cxnSpLocks noChangeShapeType="1"/>
              </xdr:cNvCxnSpPr>
            </xdr:nvCxnSpPr>
            <xdr:spPr bwMode="auto">
              <a:xfrm rot="16200000" flipH="1">
                <a:off x="1566541" y="82289376"/>
                <a:ext cx="861582" cy="3"/>
              </a:xfrm>
              <a:prstGeom prst="line">
                <a:avLst/>
              </a:prstGeom>
              <a:noFill/>
              <a:ln w="22225" algn="ctr">
                <a:solidFill>
                  <a:srgbClr val="000000"/>
                </a:solidFill>
                <a:prstDash val="sysDash"/>
                <a:round/>
                <a:headEnd/>
                <a:tailEnd/>
              </a:ln>
            </xdr:spPr>
          </xdr:cxnSp>
          <xdr:sp macro="" textlink="">
            <xdr:nvSpPr>
              <xdr:cNvPr id="620" name="Tekstvak 619"/>
              <xdr:cNvSpPr txBox="1"/>
            </xdr:nvSpPr>
            <xdr:spPr bwMode="auto">
              <a:xfrm flipH="1">
                <a:off x="1845553" y="82671889"/>
                <a:ext cx="276708" cy="2524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sp macro="" textlink="">
            <xdr:nvSpPr>
              <xdr:cNvPr id="59867141" name="Rechthoek 351"/>
              <xdr:cNvSpPr>
                <a:spLocks noChangeArrowheads="1"/>
              </xdr:cNvSpPr>
            </xdr:nvSpPr>
            <xdr:spPr bwMode="auto">
              <a:xfrm>
                <a:off x="1524001" y="82366281"/>
                <a:ext cx="471765" cy="263550"/>
              </a:xfrm>
              <a:prstGeom prst="rect">
                <a:avLst/>
              </a:prstGeom>
              <a:solidFill>
                <a:srgbClr val="000000">
                  <a:alpha val="20000"/>
                </a:srgbClr>
              </a:solidFill>
              <a:ln w="22225" algn="ctr">
                <a:solidFill>
                  <a:srgbClr val="000000"/>
                </a:solidFill>
                <a:round/>
                <a:headEnd/>
                <a:tailEnd/>
              </a:ln>
            </xdr:spPr>
          </xdr:sp>
        </xdr:grpSp>
        <xdr:sp macro="" textlink="">
          <xdr:nvSpPr>
            <xdr:cNvPr id="617" name="Boog 616"/>
            <xdr:cNvSpPr/>
          </xdr:nvSpPr>
          <xdr:spPr bwMode="auto">
            <a:xfrm rot="600000" flipH="1" flipV="1">
              <a:off x="953696" y="90125546"/>
              <a:ext cx="2332252" cy="2113107"/>
            </a:xfrm>
            <a:prstGeom prst="arc">
              <a:avLst>
                <a:gd name="adj1" fmla="val 15457690"/>
                <a:gd name="adj2" fmla="val 20956569"/>
              </a:avLst>
            </a:prstGeom>
            <a:noFill/>
            <a:ln w="222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grpSp>
        <xdr:nvGrpSpPr>
          <xdr:cNvPr id="59711454" name="Groep 1041"/>
          <xdr:cNvGrpSpPr>
            <a:grpSpLocks/>
          </xdr:cNvGrpSpPr>
        </xdr:nvGrpSpPr>
        <xdr:grpSpPr bwMode="auto">
          <a:xfrm>
            <a:off x="4124325" y="90135075"/>
            <a:ext cx="2666997" cy="2728709"/>
            <a:chOff x="619127" y="90125548"/>
            <a:chExt cx="2666997" cy="2728709"/>
          </a:xfrm>
        </xdr:grpSpPr>
        <xdr:grpSp>
          <xdr:nvGrpSpPr>
            <xdr:cNvPr id="59711472" name="Groep 911"/>
            <xdr:cNvGrpSpPr>
              <a:grpSpLocks/>
            </xdr:cNvGrpSpPr>
          </xdr:nvGrpSpPr>
          <xdr:grpSpPr bwMode="auto">
            <a:xfrm>
              <a:off x="619131" y="91030469"/>
              <a:ext cx="1678164" cy="1823788"/>
              <a:chOff x="1273809" y="81095894"/>
              <a:chExt cx="1678164" cy="1823788"/>
            </a:xfrm>
          </xdr:grpSpPr>
          <xdr:grpSp>
            <xdr:nvGrpSpPr>
              <xdr:cNvPr id="59711474" name="Groep 420"/>
              <xdr:cNvGrpSpPr>
                <a:grpSpLocks/>
              </xdr:cNvGrpSpPr>
            </xdr:nvGrpSpPr>
            <xdr:grpSpPr bwMode="auto">
              <a:xfrm>
                <a:off x="1273809" y="81095894"/>
                <a:ext cx="1678164" cy="1795716"/>
                <a:chOff x="705858" y="41395649"/>
                <a:chExt cx="1579626" cy="1885951"/>
              </a:xfrm>
            </xdr:grpSpPr>
            <xdr:grpSp>
              <xdr:nvGrpSpPr>
                <xdr:cNvPr id="59711478" name="Groep 284"/>
                <xdr:cNvGrpSpPr>
                  <a:grpSpLocks/>
                </xdr:cNvGrpSpPr>
              </xdr:nvGrpSpPr>
              <xdr:grpSpPr bwMode="auto">
                <a:xfrm>
                  <a:off x="705858" y="41395649"/>
                  <a:ext cx="1579626" cy="1885951"/>
                  <a:chOff x="473747" y="55330722"/>
                  <a:chExt cx="1579626" cy="1885952"/>
                </a:xfrm>
              </xdr:grpSpPr>
              <xdr:cxnSp macro="">
                <xdr:nvCxnSpPr>
                  <xdr:cNvPr id="59711481" name="Rechte verbindingslijn 175"/>
                  <xdr:cNvCxnSpPr>
                    <a:cxnSpLocks noChangeShapeType="1"/>
                  </xdr:cNvCxnSpPr>
                </xdr:nvCxnSpPr>
                <xdr:spPr bwMode="auto">
                  <a:xfrm rot="5400000">
                    <a:off x="-64466" y="56175387"/>
                    <a:ext cx="1543140" cy="0"/>
                  </a:xfrm>
                  <a:prstGeom prst="line">
                    <a:avLst/>
                  </a:prstGeom>
                  <a:noFill/>
                  <a:ln w="22225" algn="ctr">
                    <a:solidFill>
                      <a:srgbClr val="000000"/>
                    </a:solidFill>
                    <a:round/>
                    <a:headEnd/>
                    <a:tailEnd/>
                  </a:ln>
                </xdr:spPr>
              </xdr:cxnSp>
              <xdr:cxnSp macro="">
                <xdr:nvCxnSpPr>
                  <xdr:cNvPr id="59711482" name="Rechte verbindingslijn 182"/>
                  <xdr:cNvCxnSpPr>
                    <a:cxnSpLocks noChangeShapeType="1"/>
                  </xdr:cNvCxnSpPr>
                </xdr:nvCxnSpPr>
                <xdr:spPr bwMode="auto">
                  <a:xfrm>
                    <a:off x="707102" y="56946955"/>
                    <a:ext cx="1287305" cy="0"/>
                  </a:xfrm>
                  <a:prstGeom prst="line">
                    <a:avLst/>
                  </a:prstGeom>
                  <a:noFill/>
                  <a:ln w="22225" algn="ctr">
                    <a:solidFill>
                      <a:srgbClr val="000000"/>
                    </a:solidFill>
                    <a:round/>
                    <a:headEnd/>
                    <a:tailEnd/>
                  </a:ln>
                </xdr:spPr>
              </xdr:cxnSp>
              <xdr:sp macro="" textlink="">
                <xdr:nvSpPr>
                  <xdr:cNvPr id="611" name="Tekstvak 610"/>
                  <xdr:cNvSpPr txBox="1"/>
                </xdr:nvSpPr>
                <xdr:spPr>
                  <a:xfrm flipH="1">
                    <a:off x="478485" y="55332269"/>
                    <a:ext cx="156276" cy="242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a:t>
                    </a:r>
                  </a:p>
                </xdr:txBody>
              </xdr:sp>
              <xdr:sp macro="" textlink="">
                <xdr:nvSpPr>
                  <xdr:cNvPr id="612" name="Tekstvak 611"/>
                  <xdr:cNvSpPr txBox="1"/>
                </xdr:nvSpPr>
                <xdr:spPr>
                  <a:xfrm flipH="1">
                    <a:off x="1855204" y="56960759"/>
                    <a:ext cx="200926" cy="25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Q</a:t>
                    </a:r>
                  </a:p>
                </xdr:txBody>
              </xdr:sp>
              <xdr:cxnSp macro="">
                <xdr:nvCxnSpPr>
                  <xdr:cNvPr id="59711485" name="Rechte verbindingslijn 187"/>
                  <xdr:cNvCxnSpPr>
                    <a:cxnSpLocks noChangeShapeType="1"/>
                  </xdr:cNvCxnSpPr>
                </xdr:nvCxnSpPr>
                <xdr:spPr bwMode="auto">
                  <a:xfrm rot="16200000" flipH="1">
                    <a:off x="606224" y="55715865"/>
                    <a:ext cx="1323847" cy="1122088"/>
                  </a:xfrm>
                  <a:prstGeom prst="line">
                    <a:avLst/>
                  </a:prstGeom>
                  <a:noFill/>
                  <a:ln w="22225" algn="ctr">
                    <a:solidFill>
                      <a:srgbClr val="000000"/>
                    </a:solidFill>
                    <a:round/>
                    <a:headEnd/>
                    <a:tailEnd/>
                  </a:ln>
                </xdr:spPr>
              </xdr:cxnSp>
              <xdr:cxnSp macro="">
                <xdr:nvCxnSpPr>
                  <xdr:cNvPr id="59711486" name="Rechte verbindingslijn 229"/>
                  <xdr:cNvCxnSpPr>
                    <a:cxnSpLocks noChangeShapeType="1"/>
                  </xdr:cNvCxnSpPr>
                </xdr:nvCxnSpPr>
                <xdr:spPr bwMode="auto">
                  <a:xfrm rot="10800000" flipV="1">
                    <a:off x="710703" y="56651162"/>
                    <a:ext cx="1206523" cy="3536"/>
                  </a:xfrm>
                  <a:prstGeom prst="line">
                    <a:avLst/>
                  </a:prstGeom>
                  <a:noFill/>
                  <a:ln w="22225" algn="ctr">
                    <a:solidFill>
                      <a:srgbClr val="000000"/>
                    </a:solidFill>
                    <a:round/>
                    <a:headEnd/>
                    <a:tailEnd/>
                  </a:ln>
                </xdr:spPr>
              </xdr:cxnSp>
              <xdr:sp macro="" textlink="">
                <xdr:nvSpPr>
                  <xdr:cNvPr id="615" name="Tekstvak 614"/>
                  <xdr:cNvSpPr txBox="1"/>
                </xdr:nvSpPr>
                <xdr:spPr>
                  <a:xfrm flipH="1">
                    <a:off x="471044" y="55983665"/>
                    <a:ext cx="215810" cy="280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p</a:t>
                    </a:r>
                  </a:p>
                </xdr:txBody>
              </xdr:sp>
            </xdr:grpSp>
            <xdr:sp macro="" textlink="">
              <xdr:nvSpPr>
                <xdr:cNvPr id="607" name="Tekstvak 606"/>
                <xdr:cNvSpPr txBox="1"/>
              </xdr:nvSpPr>
              <xdr:spPr>
                <a:xfrm>
                  <a:off x="1439885" y="41472939"/>
                  <a:ext cx="312552" cy="31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C</a:t>
                  </a:r>
                </a:p>
              </xdr:txBody>
            </xdr:sp>
            <xdr:cxnSp macro="">
              <xdr:nvCxnSpPr>
                <xdr:cNvPr id="59711480" name="Rechte verbindingslijn 229"/>
                <xdr:cNvCxnSpPr>
                  <a:cxnSpLocks noChangeShapeType="1"/>
                </xdr:cNvCxnSpPr>
              </xdr:nvCxnSpPr>
              <xdr:spPr bwMode="auto">
                <a:xfrm rot="16200000" flipV="1">
                  <a:off x="555140" y="42088297"/>
                  <a:ext cx="1365805" cy="590120"/>
                </a:xfrm>
                <a:prstGeom prst="line">
                  <a:avLst/>
                </a:prstGeom>
                <a:noFill/>
                <a:ln w="22225" algn="ctr">
                  <a:solidFill>
                    <a:srgbClr val="000000"/>
                  </a:solidFill>
                  <a:round/>
                  <a:headEnd/>
                  <a:tailEnd/>
                </a:ln>
              </xdr:spPr>
            </xdr:cxnSp>
          </xdr:grpSp>
          <xdr:cxnSp macro="">
            <xdr:nvCxnSpPr>
              <xdr:cNvPr id="59711475" name="Rechte verbindingslijn 464"/>
              <xdr:cNvCxnSpPr>
                <a:cxnSpLocks noChangeShapeType="1"/>
              </xdr:cNvCxnSpPr>
            </xdr:nvCxnSpPr>
            <xdr:spPr bwMode="auto">
              <a:xfrm rot="16200000" flipH="1">
                <a:off x="1568157" y="82289374"/>
                <a:ext cx="861582" cy="3"/>
              </a:xfrm>
              <a:prstGeom prst="line">
                <a:avLst/>
              </a:prstGeom>
              <a:noFill/>
              <a:ln w="22225" algn="ctr">
                <a:solidFill>
                  <a:srgbClr val="000000"/>
                </a:solidFill>
                <a:prstDash val="sysDash"/>
                <a:round/>
                <a:headEnd/>
                <a:tailEnd/>
              </a:ln>
            </xdr:spPr>
          </xdr:cxnSp>
          <xdr:sp macro="" textlink="">
            <xdr:nvSpPr>
              <xdr:cNvPr id="604" name="Tekstvak 603"/>
              <xdr:cNvSpPr txBox="1"/>
            </xdr:nvSpPr>
            <xdr:spPr bwMode="auto">
              <a:xfrm flipH="1">
                <a:off x="1855977" y="82676788"/>
                <a:ext cx="276708" cy="2452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sp macro="" textlink="">
            <xdr:nvSpPr>
              <xdr:cNvPr id="59711477" name="Rechthoek 351"/>
              <xdr:cNvSpPr>
                <a:spLocks noChangeArrowheads="1"/>
              </xdr:cNvSpPr>
            </xdr:nvSpPr>
            <xdr:spPr bwMode="auto">
              <a:xfrm>
                <a:off x="1524001" y="82019775"/>
                <a:ext cx="476250" cy="333373"/>
              </a:xfrm>
              <a:prstGeom prst="rect">
                <a:avLst/>
              </a:prstGeom>
              <a:solidFill>
                <a:srgbClr val="000000">
                  <a:alpha val="20000"/>
                </a:srgbClr>
              </a:solidFill>
              <a:ln w="22225" algn="ctr">
                <a:solidFill>
                  <a:srgbClr val="000000"/>
                </a:solidFill>
                <a:round/>
                <a:headEnd/>
                <a:tailEnd/>
              </a:ln>
            </xdr:spPr>
          </xdr:sp>
        </xdr:grpSp>
        <xdr:sp macro="" textlink="">
          <xdr:nvSpPr>
            <xdr:cNvPr id="601" name="Boog 600"/>
            <xdr:cNvSpPr/>
          </xdr:nvSpPr>
          <xdr:spPr bwMode="auto">
            <a:xfrm rot="600000" flipH="1" flipV="1">
              <a:off x="948309" y="90123233"/>
              <a:ext cx="2340157" cy="2113108"/>
            </a:xfrm>
            <a:prstGeom prst="arc">
              <a:avLst>
                <a:gd name="adj1" fmla="val 15457690"/>
                <a:gd name="adj2" fmla="val 20956569"/>
              </a:avLst>
            </a:prstGeom>
            <a:noFill/>
            <a:ln w="222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grpSp>
        <xdr:nvGrpSpPr>
          <xdr:cNvPr id="59711455" name="Groep 1062"/>
          <xdr:cNvGrpSpPr>
            <a:grpSpLocks/>
          </xdr:cNvGrpSpPr>
        </xdr:nvGrpSpPr>
        <xdr:grpSpPr bwMode="auto">
          <a:xfrm>
            <a:off x="5838828" y="90144600"/>
            <a:ext cx="2733672" cy="2728709"/>
            <a:chOff x="619127" y="90125548"/>
            <a:chExt cx="2666997" cy="2728709"/>
          </a:xfrm>
        </xdr:grpSpPr>
        <xdr:grpSp>
          <xdr:nvGrpSpPr>
            <xdr:cNvPr id="59711456" name="Groep 911"/>
            <xdr:cNvGrpSpPr>
              <a:grpSpLocks/>
            </xdr:cNvGrpSpPr>
          </xdr:nvGrpSpPr>
          <xdr:grpSpPr bwMode="auto">
            <a:xfrm>
              <a:off x="619133" y="91030469"/>
              <a:ext cx="1678164" cy="1823788"/>
              <a:chOff x="1273811" y="81095894"/>
              <a:chExt cx="1678164" cy="1823788"/>
            </a:xfrm>
          </xdr:grpSpPr>
          <xdr:grpSp>
            <xdr:nvGrpSpPr>
              <xdr:cNvPr id="59711458" name="Groep 420"/>
              <xdr:cNvGrpSpPr>
                <a:grpSpLocks/>
              </xdr:cNvGrpSpPr>
            </xdr:nvGrpSpPr>
            <xdr:grpSpPr bwMode="auto">
              <a:xfrm>
                <a:off x="1273811" y="81095894"/>
                <a:ext cx="1678164" cy="1795716"/>
                <a:chOff x="705858" y="41395649"/>
                <a:chExt cx="1579626" cy="1885951"/>
              </a:xfrm>
            </xdr:grpSpPr>
            <xdr:grpSp>
              <xdr:nvGrpSpPr>
                <xdr:cNvPr id="59711462" name="Groep 284"/>
                <xdr:cNvGrpSpPr>
                  <a:grpSpLocks/>
                </xdr:cNvGrpSpPr>
              </xdr:nvGrpSpPr>
              <xdr:grpSpPr bwMode="auto">
                <a:xfrm>
                  <a:off x="705858" y="41395649"/>
                  <a:ext cx="1579626" cy="1885951"/>
                  <a:chOff x="473747" y="55330722"/>
                  <a:chExt cx="1579626" cy="1885952"/>
                </a:xfrm>
              </xdr:grpSpPr>
              <xdr:cxnSp macro="">
                <xdr:nvCxnSpPr>
                  <xdr:cNvPr id="59711465" name="Rechte verbindingslijn 175"/>
                  <xdr:cNvCxnSpPr>
                    <a:cxnSpLocks noChangeShapeType="1"/>
                  </xdr:cNvCxnSpPr>
                </xdr:nvCxnSpPr>
                <xdr:spPr bwMode="auto">
                  <a:xfrm rot="5400000">
                    <a:off x="-64466" y="56175387"/>
                    <a:ext cx="1543140" cy="0"/>
                  </a:xfrm>
                  <a:prstGeom prst="line">
                    <a:avLst/>
                  </a:prstGeom>
                  <a:noFill/>
                  <a:ln w="22225" algn="ctr">
                    <a:solidFill>
                      <a:srgbClr val="000000"/>
                    </a:solidFill>
                    <a:round/>
                    <a:headEnd/>
                    <a:tailEnd/>
                  </a:ln>
                </xdr:spPr>
              </xdr:cxnSp>
              <xdr:cxnSp macro="">
                <xdr:nvCxnSpPr>
                  <xdr:cNvPr id="59711466" name="Rechte verbindingslijn 182"/>
                  <xdr:cNvCxnSpPr>
                    <a:cxnSpLocks noChangeShapeType="1"/>
                  </xdr:cNvCxnSpPr>
                </xdr:nvCxnSpPr>
                <xdr:spPr bwMode="auto">
                  <a:xfrm>
                    <a:off x="707102" y="56946955"/>
                    <a:ext cx="1287305" cy="0"/>
                  </a:xfrm>
                  <a:prstGeom prst="line">
                    <a:avLst/>
                  </a:prstGeom>
                  <a:noFill/>
                  <a:ln w="22225" algn="ctr">
                    <a:solidFill>
                      <a:srgbClr val="000000"/>
                    </a:solidFill>
                    <a:round/>
                    <a:headEnd/>
                    <a:tailEnd/>
                  </a:ln>
                </xdr:spPr>
              </xdr:cxnSp>
              <xdr:sp macro="" textlink="">
                <xdr:nvSpPr>
                  <xdr:cNvPr id="595" name="Tekstvak 594"/>
                  <xdr:cNvSpPr txBox="1"/>
                </xdr:nvSpPr>
                <xdr:spPr>
                  <a:xfrm flipH="1">
                    <a:off x="479365" y="55329839"/>
                    <a:ext cx="159725" cy="242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a:t>
                    </a:r>
                  </a:p>
                </xdr:txBody>
              </xdr:sp>
              <xdr:sp macro="" textlink="">
                <xdr:nvSpPr>
                  <xdr:cNvPr id="596" name="Tekstvak 595"/>
                  <xdr:cNvSpPr txBox="1"/>
                </xdr:nvSpPr>
                <xdr:spPr>
                  <a:xfrm flipH="1">
                    <a:off x="1866065" y="56958330"/>
                    <a:ext cx="188766" cy="25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Q</a:t>
                    </a:r>
                  </a:p>
                </xdr:txBody>
              </xdr:sp>
              <xdr:cxnSp macro="">
                <xdr:nvCxnSpPr>
                  <xdr:cNvPr id="59711469" name="Rechte verbindingslijn 187"/>
                  <xdr:cNvCxnSpPr>
                    <a:cxnSpLocks noChangeShapeType="1"/>
                  </xdr:cNvCxnSpPr>
                </xdr:nvCxnSpPr>
                <xdr:spPr bwMode="auto">
                  <a:xfrm rot="16200000" flipH="1">
                    <a:off x="606224" y="55715865"/>
                    <a:ext cx="1323847" cy="1122088"/>
                  </a:xfrm>
                  <a:prstGeom prst="line">
                    <a:avLst/>
                  </a:prstGeom>
                  <a:noFill/>
                  <a:ln w="22225" algn="ctr">
                    <a:solidFill>
                      <a:srgbClr val="000000"/>
                    </a:solidFill>
                    <a:round/>
                    <a:headEnd/>
                    <a:tailEnd/>
                  </a:ln>
                </xdr:spPr>
              </xdr:cxnSp>
              <xdr:cxnSp macro="">
                <xdr:nvCxnSpPr>
                  <xdr:cNvPr id="59711470" name="Rechte verbindingslijn 229"/>
                  <xdr:cNvCxnSpPr>
                    <a:cxnSpLocks noChangeShapeType="1"/>
                  </xdr:cNvCxnSpPr>
                </xdr:nvCxnSpPr>
                <xdr:spPr bwMode="auto">
                  <a:xfrm rot="10800000" flipV="1">
                    <a:off x="710703" y="56651162"/>
                    <a:ext cx="1206523" cy="3536"/>
                  </a:xfrm>
                  <a:prstGeom prst="line">
                    <a:avLst/>
                  </a:prstGeom>
                  <a:noFill/>
                  <a:ln w="22225" algn="ctr">
                    <a:solidFill>
                      <a:srgbClr val="000000"/>
                    </a:solidFill>
                    <a:round/>
                    <a:headEnd/>
                    <a:tailEnd/>
                  </a:ln>
                </xdr:spPr>
              </xdr:cxnSp>
              <xdr:sp macro="" textlink="">
                <xdr:nvSpPr>
                  <xdr:cNvPr id="599" name="Tekstvak 598"/>
                  <xdr:cNvSpPr txBox="1"/>
                </xdr:nvSpPr>
                <xdr:spPr>
                  <a:xfrm flipH="1">
                    <a:off x="472104" y="55981236"/>
                    <a:ext cx="217806" cy="265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p</a:t>
                    </a:r>
                  </a:p>
                </xdr:txBody>
              </xdr:sp>
            </xdr:grpSp>
            <xdr:sp macro="" textlink="">
              <xdr:nvSpPr>
                <xdr:cNvPr id="591" name="Tekstvak 590"/>
                <xdr:cNvSpPr txBox="1"/>
              </xdr:nvSpPr>
              <xdr:spPr>
                <a:xfrm>
                  <a:off x="1437497" y="41470510"/>
                  <a:ext cx="319449" cy="30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D</a:t>
                  </a:r>
                </a:p>
              </xdr:txBody>
            </xdr:sp>
            <xdr:cxnSp macro="">
              <xdr:nvCxnSpPr>
                <xdr:cNvPr id="59711464" name="Rechte verbindingslijn 229"/>
                <xdr:cNvCxnSpPr>
                  <a:cxnSpLocks noChangeShapeType="1"/>
                </xdr:cNvCxnSpPr>
              </xdr:nvCxnSpPr>
              <xdr:spPr bwMode="auto">
                <a:xfrm rot="16200000" flipV="1">
                  <a:off x="555140" y="42088297"/>
                  <a:ext cx="1365805" cy="590120"/>
                </a:xfrm>
                <a:prstGeom prst="line">
                  <a:avLst/>
                </a:prstGeom>
                <a:noFill/>
                <a:ln w="22225" algn="ctr">
                  <a:solidFill>
                    <a:srgbClr val="000000"/>
                  </a:solidFill>
                  <a:round/>
                  <a:headEnd/>
                  <a:tailEnd/>
                </a:ln>
              </xdr:spPr>
            </xdr:cxnSp>
          </xdr:grpSp>
          <xdr:cxnSp macro="">
            <xdr:nvCxnSpPr>
              <xdr:cNvPr id="59711459" name="Rechte verbindingslijn 464"/>
              <xdr:cNvCxnSpPr>
                <a:cxnSpLocks noChangeShapeType="1"/>
              </xdr:cNvCxnSpPr>
            </xdr:nvCxnSpPr>
            <xdr:spPr bwMode="auto">
              <a:xfrm rot="16200000" flipH="1">
                <a:off x="1568157" y="82289374"/>
                <a:ext cx="861582" cy="3"/>
              </a:xfrm>
              <a:prstGeom prst="line">
                <a:avLst/>
              </a:prstGeom>
              <a:noFill/>
              <a:ln w="22225" algn="ctr">
                <a:solidFill>
                  <a:srgbClr val="000000"/>
                </a:solidFill>
                <a:prstDash val="sysDash"/>
                <a:round/>
                <a:headEnd/>
                <a:tailEnd/>
              </a:ln>
            </xdr:spPr>
          </xdr:cxnSp>
          <xdr:sp macro="" textlink="">
            <xdr:nvSpPr>
              <xdr:cNvPr id="588" name="Tekstvak 587"/>
              <xdr:cNvSpPr txBox="1"/>
            </xdr:nvSpPr>
            <xdr:spPr bwMode="auto">
              <a:xfrm flipH="1">
                <a:off x="1858262" y="82660051"/>
                <a:ext cx="269959" cy="259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sp macro="" textlink="">
            <xdr:nvSpPr>
              <xdr:cNvPr id="59711461" name="Rechthoek 351"/>
              <xdr:cNvSpPr>
                <a:spLocks noChangeArrowheads="1"/>
              </xdr:cNvSpPr>
            </xdr:nvSpPr>
            <xdr:spPr bwMode="auto">
              <a:xfrm>
                <a:off x="1524001" y="81876899"/>
                <a:ext cx="476250" cy="762000"/>
              </a:xfrm>
              <a:prstGeom prst="rect">
                <a:avLst/>
              </a:prstGeom>
              <a:solidFill>
                <a:srgbClr val="000000">
                  <a:alpha val="20000"/>
                </a:srgbClr>
              </a:solidFill>
              <a:ln w="22225" algn="ctr">
                <a:solidFill>
                  <a:srgbClr val="000000"/>
                </a:solidFill>
                <a:round/>
                <a:headEnd/>
                <a:tailEnd/>
              </a:ln>
            </xdr:spPr>
          </xdr:sp>
        </xdr:grpSp>
        <xdr:sp macro="" textlink="">
          <xdr:nvSpPr>
            <xdr:cNvPr id="585" name="Boog 584"/>
            <xdr:cNvSpPr/>
          </xdr:nvSpPr>
          <xdr:spPr bwMode="auto">
            <a:xfrm rot="600000" flipH="1" flipV="1">
              <a:off x="949052" y="90128132"/>
              <a:ext cx="2337072" cy="2105896"/>
            </a:xfrm>
            <a:prstGeom prst="arc">
              <a:avLst>
                <a:gd name="adj1" fmla="val 15457690"/>
                <a:gd name="adj2" fmla="val 20956569"/>
              </a:avLst>
            </a:prstGeom>
            <a:noFill/>
            <a:ln w="222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grpSp>
    <xdr:clientData/>
  </xdr:twoCellAnchor>
  <xdr:twoCellAnchor>
    <xdr:from>
      <xdr:col>85</xdr:col>
      <xdr:colOff>38100</xdr:colOff>
      <xdr:row>31</xdr:row>
      <xdr:rowOff>121920</xdr:rowOff>
    </xdr:from>
    <xdr:to>
      <xdr:col>159</xdr:col>
      <xdr:colOff>7620</xdr:colOff>
      <xdr:row>45</xdr:row>
      <xdr:rowOff>198120</xdr:rowOff>
    </xdr:to>
    <xdr:graphicFrame macro="">
      <xdr:nvGraphicFramePr>
        <xdr:cNvPr id="59711448"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xdr:colOff>
      <xdr:row>31</xdr:row>
      <xdr:rowOff>121920</xdr:rowOff>
    </xdr:from>
    <xdr:to>
      <xdr:col>83</xdr:col>
      <xdr:colOff>38100</xdr:colOff>
      <xdr:row>45</xdr:row>
      <xdr:rowOff>198120</xdr:rowOff>
    </xdr:to>
    <xdr:graphicFrame macro="">
      <xdr:nvGraphicFramePr>
        <xdr:cNvPr id="5971144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51</xdr:col>
      <xdr:colOff>30480</xdr:colOff>
      <xdr:row>77</xdr:row>
      <xdr:rowOff>15240</xdr:rowOff>
    </xdr:from>
    <xdr:to>
      <xdr:col>61</xdr:col>
      <xdr:colOff>15240</xdr:colOff>
      <xdr:row>77</xdr:row>
      <xdr:rowOff>15240</xdr:rowOff>
    </xdr:to>
    <xdr:cxnSp macro="">
      <xdr:nvCxnSpPr>
        <xdr:cNvPr id="59711450" name="Rechte verbindingslijn 109"/>
        <xdr:cNvCxnSpPr>
          <a:cxnSpLocks noChangeShapeType="1"/>
        </xdr:cNvCxnSpPr>
      </xdr:nvCxnSpPr>
      <xdr:spPr bwMode="auto">
        <a:xfrm flipH="1">
          <a:off x="2545080" y="13395960"/>
          <a:ext cx="441960" cy="0"/>
        </a:xfrm>
        <a:prstGeom prst="line">
          <a:avLst/>
        </a:prstGeom>
        <a:noFill/>
        <a:ln w="22225" algn="ctr">
          <a:solidFill>
            <a:srgbClr val="000000"/>
          </a:solidFill>
          <a:prstDash val="sysDash"/>
          <a:round/>
          <a:headEnd/>
          <a:tailEnd/>
        </a:ln>
      </xdr:spPr>
    </xdr:cxnSp>
    <xdr:clientData/>
  </xdr:twoCellAnchor>
  <xdr:twoCellAnchor>
    <xdr:from>
      <xdr:col>88</xdr:col>
      <xdr:colOff>30480</xdr:colOff>
      <xdr:row>77</xdr:row>
      <xdr:rowOff>30480</xdr:rowOff>
    </xdr:from>
    <xdr:to>
      <xdr:col>98</xdr:col>
      <xdr:colOff>30480</xdr:colOff>
      <xdr:row>77</xdr:row>
      <xdr:rowOff>30480</xdr:rowOff>
    </xdr:to>
    <xdr:cxnSp macro="">
      <xdr:nvCxnSpPr>
        <xdr:cNvPr id="59711451" name="Rechte verbindingslijn 110"/>
        <xdr:cNvCxnSpPr>
          <a:cxnSpLocks noChangeShapeType="1"/>
        </xdr:cNvCxnSpPr>
      </xdr:nvCxnSpPr>
      <xdr:spPr bwMode="auto">
        <a:xfrm flipH="1">
          <a:off x="4236720" y="13411200"/>
          <a:ext cx="457200" cy="0"/>
        </a:xfrm>
        <a:prstGeom prst="line">
          <a:avLst/>
        </a:prstGeom>
        <a:noFill/>
        <a:ln w="22225" algn="ctr">
          <a:solidFill>
            <a:srgbClr val="000000"/>
          </a:solidFill>
          <a:prstDash val="sysDash"/>
          <a:round/>
          <a:headEnd/>
          <a:tailEnd/>
        </a:ln>
      </xdr:spPr>
    </xdr:cxnSp>
    <xdr:clientData/>
  </xdr:twoCellAnchor>
</xdr:wsDr>
</file>

<file path=xl/drawings/drawing13.xml><?xml version="1.0" encoding="utf-8"?>
<c:userShapes xmlns:c="http://schemas.openxmlformats.org/drawingml/2006/chart">
  <cdr:relSizeAnchor xmlns:cdr="http://schemas.openxmlformats.org/drawingml/2006/chartDrawing">
    <cdr:from>
      <cdr:x>0.09975</cdr:x>
      <cdr:y>0.03509</cdr:y>
    </cdr:from>
    <cdr:to>
      <cdr:x>0.93202</cdr:x>
      <cdr:y>0.11218</cdr:y>
    </cdr:to>
    <cdr:sp macro="" textlink="">
      <cdr:nvSpPr>
        <cdr:cNvPr id="95233" name="Text Box 1"/>
        <cdr:cNvSpPr txBox="1">
          <a:spLocks xmlns:a="http://schemas.openxmlformats.org/drawingml/2006/main" noChangeArrowheads="1"/>
        </cdr:cNvSpPr>
      </cdr:nvSpPr>
      <cdr:spPr bwMode="auto">
        <a:xfrm xmlns:a="http://schemas.openxmlformats.org/drawingml/2006/main">
          <a:off x="403884" y="104280"/>
          <a:ext cx="3284315" cy="2290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nl-NL" sz="1000" b="1" i="0" u="none" strike="noStrike" baseline="0">
              <a:solidFill>
                <a:srgbClr val="000000"/>
              </a:solidFill>
              <a:latin typeface="Arial"/>
              <a:cs typeface="Arial"/>
            </a:rPr>
            <a:t>GO-, MO-, GTK- en MK- en tevens GVK-lijn</a:t>
          </a:r>
        </a:p>
      </cdr:txBody>
    </cdr:sp>
  </cdr:relSizeAnchor>
</c:userShapes>
</file>

<file path=xl/drawings/drawing14.xml><?xml version="1.0" encoding="utf-8"?>
<c:userShapes xmlns:c="http://schemas.openxmlformats.org/drawingml/2006/chart">
  <cdr:relSizeAnchor xmlns:cdr="http://schemas.openxmlformats.org/drawingml/2006/chartDrawing">
    <cdr:from>
      <cdr:x>0.30652</cdr:x>
      <cdr:y>0.03413</cdr:y>
    </cdr:from>
    <cdr:to>
      <cdr:x>0.75256</cdr:x>
      <cdr:y>0.09181</cdr:y>
    </cdr:to>
    <cdr:sp macro="" textlink="">
      <cdr:nvSpPr>
        <cdr:cNvPr id="95233" name="Text Box 1"/>
        <cdr:cNvSpPr txBox="1">
          <a:spLocks xmlns:a="http://schemas.openxmlformats.org/drawingml/2006/main" noChangeArrowheads="1"/>
        </cdr:cNvSpPr>
      </cdr:nvSpPr>
      <cdr:spPr bwMode="auto">
        <a:xfrm xmlns:a="http://schemas.openxmlformats.org/drawingml/2006/main">
          <a:off x="1095374" y="105952"/>
          <a:ext cx="1590661" cy="1843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nl-NL" sz="1000" b="1" i="0" u="none" strike="noStrike" baseline="0">
              <a:solidFill>
                <a:srgbClr val="000000"/>
              </a:solidFill>
              <a:latin typeface="Arial"/>
              <a:cs typeface="Arial"/>
            </a:rPr>
            <a:t>TO-, TK- en TVK-lijn</a:t>
          </a:r>
        </a:p>
      </cdr:txBody>
    </cdr:sp>
  </cdr:relSizeAnchor>
</c:userShapes>
</file>

<file path=xl/drawings/drawing15.xml><?xml version="1.0" encoding="utf-8"?>
<xdr:wsDr xmlns:xdr="http://schemas.openxmlformats.org/drawingml/2006/spreadsheetDrawing" xmlns:a="http://schemas.openxmlformats.org/drawingml/2006/main">
  <xdr:twoCellAnchor>
    <xdr:from>
      <xdr:col>127</xdr:col>
      <xdr:colOff>0</xdr:colOff>
      <xdr:row>1</xdr:row>
      <xdr:rowOff>38100</xdr:rowOff>
    </xdr:from>
    <xdr:to>
      <xdr:col>141</xdr:col>
      <xdr:colOff>15240</xdr:colOff>
      <xdr:row>4</xdr:row>
      <xdr:rowOff>198120</xdr:rowOff>
    </xdr:to>
    <xdr:sp macro="" textlink="">
      <xdr:nvSpPr>
        <xdr:cNvPr id="59677460" name="AutoShape 11">
          <a:hlinkClick xmlns:r="http://schemas.openxmlformats.org/officeDocument/2006/relationships" r:id="rId1"/>
        </xdr:cNvPr>
        <xdr:cNvSpPr>
          <a:spLocks noChangeArrowheads="1"/>
        </xdr:cNvSpPr>
      </xdr:nvSpPr>
      <xdr:spPr bwMode="auto">
        <a:xfrm>
          <a:off x="5989320" y="342900"/>
          <a:ext cx="655320" cy="678180"/>
        </a:xfrm>
        <a:prstGeom prst="bevel">
          <a:avLst>
            <a:gd name="adj" fmla="val 12500"/>
          </a:avLst>
        </a:prstGeom>
        <a:solidFill>
          <a:srgbClr val="800080"/>
        </a:solidFill>
        <a:ln w="9525">
          <a:solidFill>
            <a:srgbClr val="000000"/>
          </a:solidFill>
          <a:miter lim="800000"/>
          <a:headEnd/>
          <a:tailEnd/>
        </a:ln>
      </xdr:spPr>
    </xdr:sp>
    <xdr:clientData/>
  </xdr:twoCellAnchor>
  <xdr:twoCellAnchor>
    <xdr:from>
      <xdr:col>0</xdr:col>
      <xdr:colOff>-609600</xdr:colOff>
      <xdr:row>13</xdr:row>
      <xdr:rowOff>0</xdr:rowOff>
    </xdr:from>
    <xdr:to>
      <xdr:col>0</xdr:col>
      <xdr:colOff>-609600</xdr:colOff>
      <xdr:row>13</xdr:row>
      <xdr:rowOff>0</xdr:rowOff>
    </xdr:to>
    <xdr:grpSp>
      <xdr:nvGrpSpPr>
        <xdr:cNvPr id="59677461" name="Group 106"/>
        <xdr:cNvGrpSpPr>
          <a:grpSpLocks/>
        </xdr:cNvGrpSpPr>
      </xdr:nvGrpSpPr>
      <xdr:grpSpPr bwMode="auto">
        <a:xfrm>
          <a:off x="-609600" y="2636520"/>
          <a:ext cx="0" cy="0"/>
          <a:chOff x="941" y="2969"/>
          <a:chExt cx="69" cy="136"/>
        </a:xfrm>
      </xdr:grpSpPr>
      <xdr:sp macro="" textlink="">
        <xdr:nvSpPr>
          <xdr:cNvPr id="59677522"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677523" name="Group 88"/>
          <xdr:cNvGrpSpPr>
            <a:grpSpLocks/>
          </xdr:cNvGrpSpPr>
        </xdr:nvGrpSpPr>
        <xdr:grpSpPr bwMode="auto">
          <a:xfrm>
            <a:off x="941" y="2969"/>
            <a:ext cx="69" cy="56"/>
            <a:chOff x="1904895" y="419519"/>
            <a:chExt cx="652165" cy="538250"/>
          </a:xfrm>
        </xdr:grpSpPr>
        <xdr:sp macro="" textlink="">
          <xdr:nvSpPr>
            <xdr:cNvPr id="59677524"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677525" name="Group 90"/>
            <xdr:cNvGrpSpPr>
              <a:grpSpLocks/>
            </xdr:cNvGrpSpPr>
          </xdr:nvGrpSpPr>
          <xdr:grpSpPr bwMode="auto">
            <a:xfrm>
              <a:off x="1904895" y="754676"/>
              <a:ext cx="646538" cy="203093"/>
              <a:chOff x="3868" y="3810"/>
              <a:chExt cx="2793" cy="828"/>
            </a:xfrm>
          </xdr:grpSpPr>
          <xdr:sp macro="" textlink="">
            <xdr:nvSpPr>
              <xdr:cNvPr id="59677527"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677528" name="Group 92"/>
              <xdr:cNvGrpSpPr>
                <a:grpSpLocks/>
              </xdr:cNvGrpSpPr>
            </xdr:nvGrpSpPr>
            <xdr:grpSpPr bwMode="auto">
              <a:xfrm rot="-900000">
                <a:off x="4551" y="3810"/>
                <a:ext cx="1221" cy="461"/>
                <a:chOff x="4723" y="5578"/>
                <a:chExt cx="1254" cy="456"/>
              </a:xfrm>
            </xdr:grpSpPr>
            <xdr:sp macro="" textlink="">
              <xdr:nvSpPr>
                <xdr:cNvPr id="59677529"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677530"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677531"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677532"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8" name="Text Box 97"/>
            <xdr:cNvSpPr txBox="1">
              <a:spLocks noChangeArrowheads="1"/>
            </xdr:cNvSpPr>
          </xdr:nvSpPr>
          <xdr:spPr bwMode="auto">
            <a:xfrm>
              <a:off x="-609600" y="2636520"/>
              <a:ext cx="0" cy="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nl-NL" sz="900" b="0" i="0" u="none" strike="noStrike" baseline="0">
                  <a:solidFill>
                    <a:srgbClr val="000000"/>
                  </a:solidFill>
                  <a:latin typeface="Times New Roman"/>
                  <a:cs typeface="Times New Roman"/>
                </a:rPr>
                <a:t>+ 2</a:t>
              </a:r>
            </a:p>
            <a:p>
              <a:pPr algn="l" rtl="0">
                <a:defRPr sz="1000"/>
              </a:pPr>
              <a:endParaRPr lang="nl-NL" sz="900" b="0" i="0" u="none" strike="noStrike" baseline="0">
                <a:solidFill>
                  <a:srgbClr val="000000"/>
                </a:solidFill>
                <a:latin typeface="Times New Roman"/>
                <a:cs typeface="Times New Roman"/>
              </a:endParaRPr>
            </a:p>
          </xdr:txBody>
        </xdr:sp>
      </xdr:grpSp>
    </xdr:grpSp>
    <xdr:clientData/>
  </xdr:twoCellAnchor>
  <xdr:twoCellAnchor>
    <xdr:from>
      <xdr:col>0</xdr:col>
      <xdr:colOff>-350520</xdr:colOff>
      <xdr:row>13</xdr:row>
      <xdr:rowOff>0</xdr:rowOff>
    </xdr:from>
    <xdr:to>
      <xdr:col>0</xdr:col>
      <xdr:colOff>-350520</xdr:colOff>
      <xdr:row>13</xdr:row>
      <xdr:rowOff>0</xdr:rowOff>
    </xdr:to>
    <xdr:grpSp>
      <xdr:nvGrpSpPr>
        <xdr:cNvPr id="59677462" name="Group 106"/>
        <xdr:cNvGrpSpPr>
          <a:grpSpLocks/>
        </xdr:cNvGrpSpPr>
      </xdr:nvGrpSpPr>
      <xdr:grpSpPr bwMode="auto">
        <a:xfrm>
          <a:off x="-350520" y="2636520"/>
          <a:ext cx="0" cy="0"/>
          <a:chOff x="941" y="2969"/>
          <a:chExt cx="69" cy="136"/>
        </a:xfrm>
      </xdr:grpSpPr>
      <xdr:sp macro="" textlink="">
        <xdr:nvSpPr>
          <xdr:cNvPr id="59677511"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677512" name="Group 88"/>
          <xdr:cNvGrpSpPr>
            <a:grpSpLocks/>
          </xdr:cNvGrpSpPr>
        </xdr:nvGrpSpPr>
        <xdr:grpSpPr bwMode="auto">
          <a:xfrm>
            <a:off x="941" y="2969"/>
            <a:ext cx="69" cy="56"/>
            <a:chOff x="1904895" y="419519"/>
            <a:chExt cx="652165" cy="538250"/>
          </a:xfrm>
        </xdr:grpSpPr>
        <xdr:sp macro="" textlink="">
          <xdr:nvSpPr>
            <xdr:cNvPr id="59677513"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677514" name="Group 90"/>
            <xdr:cNvGrpSpPr>
              <a:grpSpLocks/>
            </xdr:cNvGrpSpPr>
          </xdr:nvGrpSpPr>
          <xdr:grpSpPr bwMode="auto">
            <a:xfrm>
              <a:off x="1904895" y="754676"/>
              <a:ext cx="646538" cy="203093"/>
              <a:chOff x="3868" y="3810"/>
              <a:chExt cx="2793" cy="828"/>
            </a:xfrm>
          </xdr:grpSpPr>
          <xdr:sp macro="" textlink="">
            <xdr:nvSpPr>
              <xdr:cNvPr id="59677516"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677517" name="Group 92"/>
              <xdr:cNvGrpSpPr>
                <a:grpSpLocks/>
              </xdr:cNvGrpSpPr>
            </xdr:nvGrpSpPr>
            <xdr:grpSpPr bwMode="auto">
              <a:xfrm rot="-900000">
                <a:off x="4549" y="3810"/>
                <a:ext cx="1221" cy="461"/>
                <a:chOff x="4723" y="5578"/>
                <a:chExt cx="1254" cy="456"/>
              </a:xfrm>
            </xdr:grpSpPr>
            <xdr:sp macro="" textlink="">
              <xdr:nvSpPr>
                <xdr:cNvPr id="59677518"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677519"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677520"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677521"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20" name="Text Box 97"/>
            <xdr:cNvSpPr txBox="1">
              <a:spLocks noChangeArrowheads="1"/>
            </xdr:cNvSpPr>
          </xdr:nvSpPr>
          <xdr:spPr bwMode="auto">
            <a:xfrm>
              <a:off x="-350520" y="2636520"/>
              <a:ext cx="0" cy="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nl-NL" sz="900" b="0" i="0" u="none" strike="noStrike" baseline="0">
                  <a:solidFill>
                    <a:srgbClr val="000000"/>
                  </a:solidFill>
                  <a:latin typeface="Times New Roman"/>
                  <a:cs typeface="Times New Roman"/>
                </a:rPr>
                <a:t>+ 2</a:t>
              </a:r>
            </a:p>
            <a:p>
              <a:pPr algn="l" rtl="0">
                <a:defRPr sz="1000"/>
              </a:pPr>
              <a:endParaRPr lang="nl-NL" sz="900" b="0" i="0" u="none" strike="noStrike" baseline="0">
                <a:solidFill>
                  <a:srgbClr val="000000"/>
                </a:solidFill>
                <a:latin typeface="Times New Roman"/>
                <a:cs typeface="Times New Roman"/>
              </a:endParaRPr>
            </a:p>
          </xdr:txBody>
        </xdr:sp>
      </xdr:grpSp>
    </xdr:grpSp>
    <xdr:clientData/>
  </xdr:twoCellAnchor>
  <xdr:twoCellAnchor>
    <xdr:from>
      <xdr:col>0</xdr:col>
      <xdr:colOff>-1181100</xdr:colOff>
      <xdr:row>13</xdr:row>
      <xdr:rowOff>0</xdr:rowOff>
    </xdr:from>
    <xdr:to>
      <xdr:col>0</xdr:col>
      <xdr:colOff>-1181100</xdr:colOff>
      <xdr:row>13</xdr:row>
      <xdr:rowOff>0</xdr:rowOff>
    </xdr:to>
    <xdr:grpSp>
      <xdr:nvGrpSpPr>
        <xdr:cNvPr id="59677463" name="Group 106"/>
        <xdr:cNvGrpSpPr>
          <a:grpSpLocks/>
        </xdr:cNvGrpSpPr>
      </xdr:nvGrpSpPr>
      <xdr:grpSpPr bwMode="auto">
        <a:xfrm>
          <a:off x="-1181100" y="2636520"/>
          <a:ext cx="0" cy="0"/>
          <a:chOff x="940" y="2969"/>
          <a:chExt cx="68" cy="136"/>
        </a:xfrm>
      </xdr:grpSpPr>
      <xdr:sp macro="" textlink="">
        <xdr:nvSpPr>
          <xdr:cNvPr id="59677500"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677501" name="Group 88"/>
          <xdr:cNvGrpSpPr>
            <a:grpSpLocks/>
          </xdr:cNvGrpSpPr>
        </xdr:nvGrpSpPr>
        <xdr:grpSpPr bwMode="auto">
          <a:xfrm>
            <a:off x="940" y="2969"/>
            <a:ext cx="68" cy="56"/>
            <a:chOff x="1904895" y="419519"/>
            <a:chExt cx="646538" cy="538250"/>
          </a:xfrm>
        </xdr:grpSpPr>
        <xdr:sp macro="" textlink="">
          <xdr:nvSpPr>
            <xdr:cNvPr id="59677502"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677503" name="Group 90"/>
            <xdr:cNvGrpSpPr>
              <a:grpSpLocks/>
            </xdr:cNvGrpSpPr>
          </xdr:nvGrpSpPr>
          <xdr:grpSpPr bwMode="auto">
            <a:xfrm>
              <a:off x="1904895" y="754676"/>
              <a:ext cx="646538" cy="203093"/>
              <a:chOff x="3868" y="3810"/>
              <a:chExt cx="2793" cy="828"/>
            </a:xfrm>
          </xdr:grpSpPr>
          <xdr:sp macro="" textlink="">
            <xdr:nvSpPr>
              <xdr:cNvPr id="59677505"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677506" name="Group 92"/>
              <xdr:cNvGrpSpPr>
                <a:grpSpLocks/>
              </xdr:cNvGrpSpPr>
            </xdr:nvGrpSpPr>
            <xdr:grpSpPr bwMode="auto">
              <a:xfrm rot="-900000">
                <a:off x="4545" y="3810"/>
                <a:ext cx="1221" cy="461"/>
                <a:chOff x="4723" y="5578"/>
                <a:chExt cx="1254" cy="456"/>
              </a:xfrm>
            </xdr:grpSpPr>
            <xdr:sp macro="" textlink="">
              <xdr:nvSpPr>
                <xdr:cNvPr id="59677507"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677508"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677509"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677510"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32" name="Text Box 97"/>
            <xdr:cNvSpPr txBox="1">
              <a:spLocks noChangeArrowheads="1"/>
            </xdr:cNvSpPr>
          </xdr:nvSpPr>
          <xdr:spPr bwMode="auto">
            <a:xfrm>
              <a:off x="-1181100" y="2636520"/>
              <a:ext cx="0" cy="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nl-NL" sz="900" b="0" i="0" u="none" strike="noStrike" baseline="0">
                  <a:solidFill>
                    <a:srgbClr val="000000"/>
                  </a:solidFill>
                  <a:latin typeface="Times New Roman"/>
                  <a:cs typeface="Times New Roman"/>
                </a:rPr>
                <a:t>+ 0,5</a:t>
              </a:r>
            </a:p>
            <a:p>
              <a:pPr algn="l" rtl="0">
                <a:defRPr sz="1000"/>
              </a:pPr>
              <a:endParaRPr lang="nl-NL" sz="900" b="0" i="0" u="none" strike="noStrike" baseline="0">
                <a:solidFill>
                  <a:srgbClr val="000000"/>
                </a:solidFill>
                <a:latin typeface="Times New Roman"/>
                <a:cs typeface="Times New Roman"/>
              </a:endParaRPr>
            </a:p>
          </xdr:txBody>
        </xdr:sp>
      </xdr:grpSp>
    </xdr:grpSp>
    <xdr:clientData/>
  </xdr:twoCellAnchor>
  <xdr:twoCellAnchor>
    <xdr:from>
      <xdr:col>8</xdr:col>
      <xdr:colOff>7620</xdr:colOff>
      <xdr:row>40</xdr:row>
      <xdr:rowOff>68580</xdr:rowOff>
    </xdr:from>
    <xdr:to>
      <xdr:col>102</xdr:col>
      <xdr:colOff>0</xdr:colOff>
      <xdr:row>53</xdr:row>
      <xdr:rowOff>38100</xdr:rowOff>
    </xdr:to>
    <xdr:graphicFrame macro="">
      <xdr:nvGraphicFramePr>
        <xdr:cNvPr id="5967746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25</xdr:row>
      <xdr:rowOff>68580</xdr:rowOff>
    </xdr:from>
    <xdr:to>
      <xdr:col>101</xdr:col>
      <xdr:colOff>38100</xdr:colOff>
      <xdr:row>40</xdr:row>
      <xdr:rowOff>0</xdr:rowOff>
    </xdr:to>
    <xdr:graphicFrame macro="">
      <xdr:nvGraphicFramePr>
        <xdr:cNvPr id="59677465"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103</xdr:col>
      <xdr:colOff>15240</xdr:colOff>
      <xdr:row>31</xdr:row>
      <xdr:rowOff>7620</xdr:rowOff>
    </xdr:from>
    <xdr:to>
      <xdr:col>167</xdr:col>
      <xdr:colOff>586740</xdr:colOff>
      <xdr:row>50</xdr:row>
      <xdr:rowOff>30480</xdr:rowOff>
    </xdr:to>
    <xdr:graphicFrame macro="">
      <xdr:nvGraphicFramePr>
        <xdr:cNvPr id="59677466"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30480</xdr:colOff>
      <xdr:row>242</xdr:row>
      <xdr:rowOff>30480</xdr:rowOff>
    </xdr:from>
    <xdr:to>
      <xdr:col>107</xdr:col>
      <xdr:colOff>38100</xdr:colOff>
      <xdr:row>254</xdr:row>
      <xdr:rowOff>152400</xdr:rowOff>
    </xdr:to>
    <xdr:grpSp>
      <xdr:nvGrpSpPr>
        <xdr:cNvPr id="59677467" name="Groep 76"/>
        <xdr:cNvGrpSpPr>
          <a:grpSpLocks/>
        </xdr:cNvGrpSpPr>
      </xdr:nvGrpSpPr>
      <xdr:grpSpPr bwMode="auto">
        <a:xfrm>
          <a:off x="1584960" y="39357300"/>
          <a:ext cx="3528060" cy="2590800"/>
          <a:chOff x="1584960" y="38275261"/>
          <a:chExt cx="3528060" cy="2591706"/>
        </a:xfrm>
      </xdr:grpSpPr>
      <xdr:grpSp>
        <xdr:nvGrpSpPr>
          <xdr:cNvPr id="59677468" name="Groep 1"/>
          <xdr:cNvGrpSpPr>
            <a:grpSpLocks/>
          </xdr:cNvGrpSpPr>
        </xdr:nvGrpSpPr>
        <xdr:grpSpPr bwMode="auto">
          <a:xfrm>
            <a:off x="1584960" y="38275261"/>
            <a:ext cx="3528060" cy="2591706"/>
            <a:chOff x="1628775" y="39147751"/>
            <a:chExt cx="3676650" cy="2641108"/>
          </a:xfrm>
        </xdr:grpSpPr>
        <xdr:grpSp>
          <xdr:nvGrpSpPr>
            <xdr:cNvPr id="59677470" name="Groep 97"/>
            <xdr:cNvGrpSpPr>
              <a:grpSpLocks/>
            </xdr:cNvGrpSpPr>
          </xdr:nvGrpSpPr>
          <xdr:grpSpPr bwMode="auto">
            <a:xfrm>
              <a:off x="1628775" y="39147751"/>
              <a:ext cx="3676650" cy="2641108"/>
              <a:chOff x="1628976" y="38452430"/>
              <a:chExt cx="3676448" cy="2637614"/>
            </a:xfrm>
          </xdr:grpSpPr>
          <xdr:cxnSp macro="">
            <xdr:nvCxnSpPr>
              <xdr:cNvPr id="59677472" name="Rechte verbindingslijn 187"/>
              <xdr:cNvCxnSpPr>
                <a:cxnSpLocks noChangeShapeType="1"/>
              </xdr:cNvCxnSpPr>
            </xdr:nvCxnSpPr>
            <xdr:spPr bwMode="auto">
              <a:xfrm>
                <a:off x="1914525" y="38623875"/>
                <a:ext cx="1333500" cy="2124075"/>
              </a:xfrm>
              <a:prstGeom prst="line">
                <a:avLst/>
              </a:prstGeom>
              <a:noFill/>
              <a:ln w="31750" algn="ctr">
                <a:solidFill>
                  <a:srgbClr val="000000"/>
                </a:solidFill>
                <a:round/>
                <a:headEnd/>
                <a:tailEnd/>
              </a:ln>
            </xdr:spPr>
          </xdr:cxnSp>
          <xdr:grpSp>
            <xdr:nvGrpSpPr>
              <xdr:cNvPr id="59677473" name="Groep 96"/>
              <xdr:cNvGrpSpPr>
                <a:grpSpLocks/>
              </xdr:cNvGrpSpPr>
            </xdr:nvGrpSpPr>
            <xdr:grpSpPr bwMode="auto">
              <a:xfrm>
                <a:off x="1628976" y="38452430"/>
                <a:ext cx="3676448" cy="2637614"/>
                <a:chOff x="1628976" y="38452430"/>
                <a:chExt cx="3676448" cy="2637614"/>
              </a:xfrm>
            </xdr:grpSpPr>
            <xdr:grpSp>
              <xdr:nvGrpSpPr>
                <xdr:cNvPr id="59677474" name="Groep 41"/>
                <xdr:cNvGrpSpPr>
                  <a:grpSpLocks/>
                </xdr:cNvGrpSpPr>
              </xdr:nvGrpSpPr>
              <xdr:grpSpPr bwMode="auto">
                <a:xfrm>
                  <a:off x="1628976" y="38452430"/>
                  <a:ext cx="3676448" cy="2637614"/>
                  <a:chOff x="2229051" y="46034328"/>
                  <a:chExt cx="3676448" cy="2675427"/>
                </a:xfrm>
              </xdr:grpSpPr>
              <xdr:grpSp>
                <xdr:nvGrpSpPr>
                  <xdr:cNvPr id="59677487" name="Groep 60"/>
                  <xdr:cNvGrpSpPr>
                    <a:grpSpLocks/>
                  </xdr:cNvGrpSpPr>
                </xdr:nvGrpSpPr>
                <xdr:grpSpPr bwMode="auto">
                  <a:xfrm>
                    <a:off x="2229051" y="46034328"/>
                    <a:ext cx="3676448" cy="2675427"/>
                    <a:chOff x="2105226" y="45558078"/>
                    <a:chExt cx="3676448" cy="2589702"/>
                  </a:xfrm>
                </xdr:grpSpPr>
                <xdr:grpSp>
                  <xdr:nvGrpSpPr>
                    <xdr:cNvPr id="59677492" name="Groep 284"/>
                    <xdr:cNvGrpSpPr>
                      <a:grpSpLocks/>
                    </xdr:cNvGrpSpPr>
                  </xdr:nvGrpSpPr>
                  <xdr:grpSpPr bwMode="auto">
                    <a:xfrm>
                      <a:off x="2105226" y="45558078"/>
                      <a:ext cx="3676448" cy="2589702"/>
                      <a:chOff x="592385" y="55170818"/>
                      <a:chExt cx="1577879" cy="2044033"/>
                    </a:xfrm>
                  </xdr:grpSpPr>
                  <xdr:cxnSp macro="">
                    <xdr:nvCxnSpPr>
                      <xdr:cNvPr id="59677495" name="Rechte verbindingslijn 175"/>
                      <xdr:cNvCxnSpPr>
                        <a:cxnSpLocks noChangeShapeType="1"/>
                      </xdr:cNvCxnSpPr>
                    </xdr:nvCxnSpPr>
                    <xdr:spPr bwMode="auto">
                      <a:xfrm>
                        <a:off x="706763" y="55245983"/>
                        <a:ext cx="342" cy="1700974"/>
                      </a:xfrm>
                      <a:prstGeom prst="line">
                        <a:avLst/>
                      </a:prstGeom>
                      <a:noFill/>
                      <a:ln w="31750" algn="ctr">
                        <a:solidFill>
                          <a:srgbClr val="000000"/>
                        </a:solidFill>
                        <a:round/>
                        <a:headEnd/>
                        <a:tailEnd/>
                      </a:ln>
                    </xdr:spPr>
                  </xdr:cxnSp>
                  <xdr:cxnSp macro="">
                    <xdr:nvCxnSpPr>
                      <xdr:cNvPr id="59677496" name="Rechte verbindingslijn 182"/>
                      <xdr:cNvCxnSpPr>
                        <a:cxnSpLocks noChangeShapeType="1"/>
                      </xdr:cNvCxnSpPr>
                    </xdr:nvCxnSpPr>
                    <xdr:spPr bwMode="auto">
                      <a:xfrm>
                        <a:off x="707102" y="56946955"/>
                        <a:ext cx="1287305" cy="0"/>
                      </a:xfrm>
                      <a:prstGeom prst="line">
                        <a:avLst/>
                      </a:prstGeom>
                      <a:noFill/>
                      <a:ln w="31750" algn="ctr">
                        <a:solidFill>
                          <a:srgbClr val="000000"/>
                        </a:solidFill>
                        <a:round/>
                        <a:headEnd/>
                        <a:tailEnd/>
                      </a:ln>
                    </xdr:spPr>
                  </xdr:cxnSp>
                  <xdr:sp macro="" textlink="">
                    <xdr:nvSpPr>
                      <xdr:cNvPr id="57" name="Tekstvak 56"/>
                      <xdr:cNvSpPr txBox="1"/>
                    </xdr:nvSpPr>
                    <xdr:spPr>
                      <a:xfrm flipH="1">
                        <a:off x="592385" y="55170818"/>
                        <a:ext cx="156766" cy="252498"/>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ysClr val="windowText" lastClr="000000"/>
                            </a:solidFill>
                          </a:rPr>
                          <a:t>€</a:t>
                        </a:r>
                      </a:p>
                    </xdr:txBody>
                  </xdr:sp>
                  <xdr:sp macro="" textlink="">
                    <xdr:nvSpPr>
                      <xdr:cNvPr id="58" name="Tekstvak 57"/>
                      <xdr:cNvSpPr txBox="1"/>
                    </xdr:nvSpPr>
                    <xdr:spPr>
                      <a:xfrm flipH="1">
                        <a:off x="1969195" y="56962353"/>
                        <a:ext cx="201069" cy="252498"/>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ysClr val="windowText" lastClr="000000"/>
                            </a:solidFill>
                          </a:rPr>
                          <a:t>Q</a:t>
                        </a:r>
                      </a:p>
                    </xdr:txBody>
                  </xdr:sp>
                  <xdr:cxnSp macro="">
                    <xdr:nvCxnSpPr>
                      <xdr:cNvPr id="59677499" name="Rechte verbindingslijn 187"/>
                      <xdr:cNvCxnSpPr>
                        <a:cxnSpLocks noChangeShapeType="1"/>
                      </xdr:cNvCxnSpPr>
                    </xdr:nvCxnSpPr>
                    <xdr:spPr bwMode="auto">
                      <a:xfrm>
                        <a:off x="702675" y="55281540"/>
                        <a:ext cx="1169166" cy="1675589"/>
                      </a:xfrm>
                      <a:prstGeom prst="line">
                        <a:avLst/>
                      </a:prstGeom>
                      <a:noFill/>
                      <a:ln w="31750" algn="ctr">
                        <a:solidFill>
                          <a:srgbClr val="000000"/>
                        </a:solidFill>
                        <a:round/>
                        <a:headEnd/>
                        <a:tailEnd/>
                      </a:ln>
                    </xdr:spPr>
                  </xdr:cxnSp>
                </xdr:grpSp>
                <xdr:sp macro="" textlink="">
                  <xdr:nvSpPr>
                    <xdr:cNvPr id="59677493" name="Vrije vorm 50"/>
                    <xdr:cNvSpPr>
                      <a:spLocks/>
                    </xdr:cNvSpPr>
                  </xdr:nvSpPr>
                  <xdr:spPr bwMode="auto">
                    <a:xfrm>
                      <a:off x="2533649" y="45643799"/>
                      <a:ext cx="2676526" cy="1812731"/>
                    </a:xfrm>
                    <a:custGeom>
                      <a:avLst/>
                      <a:gdLst>
                        <a:gd name="T0" fmla="*/ 0 w 1790700"/>
                        <a:gd name="T1" fmla="*/ 0 h 1295400"/>
                        <a:gd name="T2" fmla="*/ 2147483647 w 1790700"/>
                        <a:gd name="T3" fmla="*/ 2147483647 h 1295400"/>
                        <a:gd name="T4" fmla="*/ 2147483647 w 1790700"/>
                        <a:gd name="T5" fmla="*/ 2147483647 h 1295400"/>
                        <a:gd name="T6" fmla="*/ 2147483647 w 1790700"/>
                        <a:gd name="T7" fmla="*/ 2147483647 h 1295400"/>
                        <a:gd name="T8" fmla="*/ 2147483647 w 1790700"/>
                        <a:gd name="T9" fmla="*/ 2147483647 h 1295400"/>
                        <a:gd name="T10" fmla="*/ 0 60000 65536"/>
                        <a:gd name="T11" fmla="*/ 0 60000 65536"/>
                        <a:gd name="T12" fmla="*/ 0 60000 65536"/>
                        <a:gd name="T13" fmla="*/ 0 60000 65536"/>
                        <a:gd name="T14" fmla="*/ 0 60000 65536"/>
                        <a:gd name="T15" fmla="*/ 0 w 1790700"/>
                        <a:gd name="T16" fmla="*/ 0 h 1295400"/>
                        <a:gd name="T17" fmla="*/ 1790700 w 1790700"/>
                        <a:gd name="T18" fmla="*/ 1295400 h 1295400"/>
                      </a:gdLst>
                      <a:ahLst/>
                      <a:cxnLst>
                        <a:cxn ang="T10">
                          <a:pos x="T0" y="T1"/>
                        </a:cxn>
                        <a:cxn ang="T11">
                          <a:pos x="T2" y="T3"/>
                        </a:cxn>
                        <a:cxn ang="T12">
                          <a:pos x="T4" y="T5"/>
                        </a:cxn>
                        <a:cxn ang="T13">
                          <a:pos x="T6" y="T7"/>
                        </a:cxn>
                        <a:cxn ang="T14">
                          <a:pos x="T8" y="T9"/>
                        </a:cxn>
                      </a:cxnLst>
                      <a:rect l="T15" t="T16" r="T17" b="T18"/>
                      <a:pathLst>
                        <a:path w="1790700" h="1295400">
                          <a:moveTo>
                            <a:pt x="0" y="0"/>
                          </a:moveTo>
                          <a:cubicBezTo>
                            <a:pt x="37306" y="212725"/>
                            <a:pt x="74613" y="425450"/>
                            <a:pt x="152400" y="590550"/>
                          </a:cubicBezTo>
                          <a:cubicBezTo>
                            <a:pt x="230187" y="755650"/>
                            <a:pt x="323850" y="890587"/>
                            <a:pt x="466725" y="990600"/>
                          </a:cubicBezTo>
                          <a:cubicBezTo>
                            <a:pt x="609600" y="1090613"/>
                            <a:pt x="788988" y="1139825"/>
                            <a:pt x="1009650" y="1190625"/>
                          </a:cubicBezTo>
                          <a:cubicBezTo>
                            <a:pt x="1230312" y="1241425"/>
                            <a:pt x="1510506" y="1268412"/>
                            <a:pt x="1790700" y="1295400"/>
                          </a:cubicBezTo>
                        </a:path>
                      </a:pathLst>
                    </a:custGeom>
                    <a:noFill/>
                    <a:ln w="31750" cap="flat" cmpd="sng" algn="ctr">
                      <a:solidFill>
                        <a:srgbClr val="000000"/>
                      </a:solidFill>
                      <a:prstDash val="solid"/>
                      <a:round/>
                      <a:headEnd type="none" w="med" len="med"/>
                      <a:tailEnd type="none" w="med" len="med"/>
                    </a:ln>
                  </xdr:spPr>
                </xdr:sp>
                <xdr:cxnSp macro="">
                  <xdr:nvCxnSpPr>
                    <xdr:cNvPr id="59677494" name="Rechte verbindingslijn 187"/>
                    <xdr:cNvCxnSpPr>
                      <a:cxnSpLocks noChangeShapeType="1"/>
                    </xdr:cNvCxnSpPr>
                  </xdr:nvCxnSpPr>
                  <xdr:spPr bwMode="auto">
                    <a:xfrm flipV="1">
                      <a:off x="2381250" y="47555208"/>
                      <a:ext cx="2835464" cy="2059"/>
                    </a:xfrm>
                    <a:prstGeom prst="line">
                      <a:avLst/>
                    </a:prstGeom>
                    <a:noFill/>
                    <a:ln w="31750" algn="ctr">
                      <a:solidFill>
                        <a:srgbClr val="000000"/>
                      </a:solidFill>
                      <a:round/>
                      <a:headEnd/>
                      <a:tailEnd/>
                    </a:ln>
                  </xdr:spPr>
                </xdr:cxnSp>
              </xdr:grpSp>
              <xdr:sp macro="" textlink="">
                <xdr:nvSpPr>
                  <xdr:cNvPr id="45" name="Tekstvak 44"/>
                  <xdr:cNvSpPr txBox="1"/>
                </xdr:nvSpPr>
                <xdr:spPr bwMode="auto">
                  <a:xfrm flipH="1">
                    <a:off x="2427563" y="48355654"/>
                    <a:ext cx="460549" cy="299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nl-NL" sz="1100" b="1">
                        <a:solidFill>
                          <a:srgbClr val="FF0000"/>
                        </a:solidFill>
                      </a:rPr>
                      <a:t>A</a:t>
                    </a:r>
                  </a:p>
                </xdr:txBody>
              </xdr:sp>
              <xdr:sp macro="" textlink="">
                <xdr:nvSpPr>
                  <xdr:cNvPr id="46" name="Tekstvak 45"/>
                  <xdr:cNvSpPr txBox="1"/>
                </xdr:nvSpPr>
                <xdr:spPr bwMode="auto">
                  <a:xfrm flipH="1">
                    <a:off x="2641957" y="48363523"/>
                    <a:ext cx="452608" cy="3147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rgbClr val="FF0000"/>
                        </a:solidFill>
                      </a:rPr>
                      <a:t>B</a:t>
                    </a:r>
                  </a:p>
                </xdr:txBody>
              </xdr:sp>
              <xdr:sp macro="" textlink="">
                <xdr:nvSpPr>
                  <xdr:cNvPr id="47" name="Tekstvak 46"/>
                  <xdr:cNvSpPr txBox="1"/>
                </xdr:nvSpPr>
                <xdr:spPr bwMode="auto">
                  <a:xfrm flipH="1">
                    <a:off x="3181910" y="48363523"/>
                    <a:ext cx="460549" cy="330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rgbClr val="FF0000"/>
                        </a:solidFill>
                      </a:rPr>
                      <a:t>C</a:t>
                    </a:r>
                  </a:p>
                </xdr:txBody>
              </xdr:sp>
              <xdr:sp macro="" textlink="">
                <xdr:nvSpPr>
                  <xdr:cNvPr id="48" name="Tekstvak 47"/>
                  <xdr:cNvSpPr txBox="1"/>
                </xdr:nvSpPr>
                <xdr:spPr bwMode="auto">
                  <a:xfrm flipH="1">
                    <a:off x="3547173" y="48371392"/>
                    <a:ext cx="452608" cy="32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rgbClr val="FF0000"/>
                        </a:solidFill>
                      </a:rPr>
                      <a:t>D</a:t>
                    </a:r>
                  </a:p>
                </xdr:txBody>
              </xdr:sp>
            </xdr:grpSp>
            <xdr:cxnSp macro="">
              <xdr:nvCxnSpPr>
                <xdr:cNvPr id="59677475" name="Rechte verbindingslijn 464"/>
                <xdr:cNvCxnSpPr>
                  <a:cxnSpLocks noChangeShapeType="1"/>
                </xdr:cNvCxnSpPr>
              </xdr:nvCxnSpPr>
              <xdr:spPr bwMode="auto">
                <a:xfrm>
                  <a:off x="4271953" y="38501819"/>
                  <a:ext cx="0" cy="2228850"/>
                </a:xfrm>
                <a:prstGeom prst="line">
                  <a:avLst/>
                </a:prstGeom>
                <a:noFill/>
                <a:ln w="22225" algn="ctr">
                  <a:solidFill>
                    <a:srgbClr val="FF0000"/>
                  </a:solidFill>
                  <a:prstDash val="sysDash"/>
                  <a:round/>
                  <a:headEnd/>
                  <a:tailEnd/>
                </a:ln>
              </xdr:spPr>
            </xdr:cxnSp>
            <xdr:cxnSp macro="">
              <xdr:nvCxnSpPr>
                <xdr:cNvPr id="59677476" name="Rechte verbindingslijn 464"/>
                <xdr:cNvCxnSpPr>
                  <a:cxnSpLocks noChangeShapeType="1"/>
                </xdr:cNvCxnSpPr>
              </xdr:nvCxnSpPr>
              <xdr:spPr bwMode="auto">
                <a:xfrm>
                  <a:off x="4591050" y="38528625"/>
                  <a:ext cx="0" cy="2228850"/>
                </a:xfrm>
                <a:prstGeom prst="line">
                  <a:avLst/>
                </a:prstGeom>
                <a:noFill/>
                <a:ln w="22225" algn="ctr">
                  <a:solidFill>
                    <a:srgbClr val="FF0000"/>
                  </a:solidFill>
                  <a:prstDash val="sysDash"/>
                  <a:round/>
                  <a:headEnd/>
                  <a:tailEnd/>
                </a:ln>
              </xdr:spPr>
            </xdr:cxnSp>
            <xdr:cxnSp macro="">
              <xdr:nvCxnSpPr>
                <xdr:cNvPr id="59677477" name="Rechte verbindingslijn 464"/>
                <xdr:cNvCxnSpPr>
                  <a:cxnSpLocks noChangeShapeType="1"/>
                </xdr:cNvCxnSpPr>
              </xdr:nvCxnSpPr>
              <xdr:spPr bwMode="auto">
                <a:xfrm>
                  <a:off x="4048125" y="38519100"/>
                  <a:ext cx="0" cy="2228850"/>
                </a:xfrm>
                <a:prstGeom prst="line">
                  <a:avLst/>
                </a:prstGeom>
                <a:noFill/>
                <a:ln w="22225" algn="ctr">
                  <a:solidFill>
                    <a:srgbClr val="FF0000"/>
                  </a:solidFill>
                  <a:prstDash val="sysDash"/>
                  <a:round/>
                  <a:headEnd/>
                  <a:tailEnd/>
                </a:ln>
              </xdr:spPr>
            </xdr:cxnSp>
            <xdr:cxnSp macro="">
              <xdr:nvCxnSpPr>
                <xdr:cNvPr id="59677478" name="Rechte verbindingslijn 464"/>
                <xdr:cNvCxnSpPr>
                  <a:cxnSpLocks noChangeShapeType="1"/>
                </xdr:cNvCxnSpPr>
              </xdr:nvCxnSpPr>
              <xdr:spPr bwMode="auto">
                <a:xfrm>
                  <a:off x="2743200" y="38519100"/>
                  <a:ext cx="0" cy="2228850"/>
                </a:xfrm>
                <a:prstGeom prst="line">
                  <a:avLst/>
                </a:prstGeom>
                <a:noFill/>
                <a:ln w="22225" algn="ctr">
                  <a:solidFill>
                    <a:srgbClr val="FF0000"/>
                  </a:solidFill>
                  <a:prstDash val="sysDash"/>
                  <a:round/>
                  <a:headEnd/>
                  <a:tailEnd/>
                </a:ln>
              </xdr:spPr>
            </xdr:cxnSp>
            <xdr:cxnSp macro="">
              <xdr:nvCxnSpPr>
                <xdr:cNvPr id="59677479" name="Rechte verbindingslijn 464"/>
                <xdr:cNvCxnSpPr>
                  <a:cxnSpLocks noChangeShapeType="1"/>
                </xdr:cNvCxnSpPr>
              </xdr:nvCxnSpPr>
              <xdr:spPr bwMode="auto">
                <a:xfrm>
                  <a:off x="3071803" y="38509574"/>
                  <a:ext cx="0" cy="2228850"/>
                </a:xfrm>
                <a:prstGeom prst="line">
                  <a:avLst/>
                </a:prstGeom>
                <a:noFill/>
                <a:ln w="22225" algn="ctr">
                  <a:solidFill>
                    <a:srgbClr val="FF0000"/>
                  </a:solidFill>
                  <a:prstDash val="sysDash"/>
                  <a:round/>
                  <a:headEnd/>
                  <a:tailEnd/>
                </a:ln>
              </xdr:spPr>
            </xdr:cxnSp>
            <xdr:cxnSp macro="">
              <xdr:nvCxnSpPr>
                <xdr:cNvPr id="59677480" name="Rechte verbindingslijn 464"/>
                <xdr:cNvCxnSpPr>
                  <a:cxnSpLocks noChangeShapeType="1"/>
                </xdr:cNvCxnSpPr>
              </xdr:nvCxnSpPr>
              <xdr:spPr bwMode="auto">
                <a:xfrm>
                  <a:off x="2162175" y="38519100"/>
                  <a:ext cx="0" cy="2228850"/>
                </a:xfrm>
                <a:prstGeom prst="line">
                  <a:avLst/>
                </a:prstGeom>
                <a:noFill/>
                <a:ln w="22225" algn="ctr">
                  <a:solidFill>
                    <a:srgbClr val="FF0000"/>
                  </a:solidFill>
                  <a:prstDash val="sysDash"/>
                  <a:round/>
                  <a:headEnd/>
                  <a:tailEnd/>
                </a:ln>
              </xdr:spPr>
            </xdr:cxnSp>
            <xdr:cxnSp macro="">
              <xdr:nvCxnSpPr>
                <xdr:cNvPr id="59677481" name="Rechte verbindingslijn 464"/>
                <xdr:cNvCxnSpPr>
                  <a:cxnSpLocks noChangeShapeType="1"/>
                </xdr:cNvCxnSpPr>
              </xdr:nvCxnSpPr>
              <xdr:spPr bwMode="auto">
                <a:xfrm>
                  <a:off x="2105025" y="38509575"/>
                  <a:ext cx="0" cy="2228850"/>
                </a:xfrm>
                <a:prstGeom prst="line">
                  <a:avLst/>
                </a:prstGeom>
                <a:noFill/>
                <a:ln w="22225" algn="ctr">
                  <a:solidFill>
                    <a:srgbClr val="FF0000"/>
                  </a:solidFill>
                  <a:prstDash val="sysDash"/>
                  <a:round/>
                  <a:headEnd/>
                  <a:tailEnd/>
                </a:ln>
              </xdr:spPr>
            </xdr:cxnSp>
            <xdr:cxnSp macro="">
              <xdr:nvCxnSpPr>
                <xdr:cNvPr id="59677482" name="Rechte verbindingslijn 464"/>
                <xdr:cNvCxnSpPr>
                  <a:cxnSpLocks noChangeShapeType="1"/>
                </xdr:cNvCxnSpPr>
              </xdr:nvCxnSpPr>
              <xdr:spPr bwMode="auto">
                <a:xfrm>
                  <a:off x="3259134" y="38517329"/>
                  <a:ext cx="0" cy="2228850"/>
                </a:xfrm>
                <a:prstGeom prst="line">
                  <a:avLst/>
                </a:prstGeom>
                <a:noFill/>
                <a:ln w="22225" algn="ctr">
                  <a:solidFill>
                    <a:srgbClr val="FF0000"/>
                  </a:solidFill>
                  <a:prstDash val="sysDash"/>
                  <a:round/>
                  <a:headEnd/>
                  <a:tailEnd/>
                </a:ln>
              </xdr:spPr>
            </xdr:cxnSp>
            <xdr:sp macro="" textlink="">
              <xdr:nvSpPr>
                <xdr:cNvPr id="91" name="Tekstvak 90"/>
                <xdr:cNvSpPr txBox="1"/>
              </xdr:nvSpPr>
              <xdr:spPr bwMode="auto">
                <a:xfrm flipH="1">
                  <a:off x="3145610" y="40756463"/>
                  <a:ext cx="460549" cy="318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rgbClr val="FF0000"/>
                      </a:solidFill>
                    </a:rPr>
                    <a:t>E</a:t>
                  </a:r>
                </a:p>
              </xdr:txBody>
            </xdr:sp>
            <xdr:sp macro="" textlink="">
              <xdr:nvSpPr>
                <xdr:cNvPr id="92" name="Tekstvak 91"/>
                <xdr:cNvSpPr txBox="1"/>
              </xdr:nvSpPr>
              <xdr:spPr bwMode="auto">
                <a:xfrm flipH="1">
                  <a:off x="3915838" y="40678887"/>
                  <a:ext cx="468489" cy="411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nl-NL" sz="1100" b="1">
                      <a:solidFill>
                        <a:srgbClr val="FF0000"/>
                      </a:solidFill>
                    </a:rPr>
                    <a:t>F</a:t>
                  </a:r>
                </a:p>
              </xdr:txBody>
            </xdr:sp>
            <xdr:sp macro="" textlink="">
              <xdr:nvSpPr>
                <xdr:cNvPr id="93" name="Tekstvak 92"/>
                <xdr:cNvSpPr txBox="1"/>
              </xdr:nvSpPr>
              <xdr:spPr bwMode="auto">
                <a:xfrm flipH="1">
                  <a:off x="4169934" y="40748706"/>
                  <a:ext cx="468489" cy="271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nl-NL" sz="1100" b="1">
                      <a:solidFill>
                        <a:srgbClr val="FF0000"/>
                      </a:solidFill>
                    </a:rPr>
                    <a:t>G</a:t>
                  </a:r>
                </a:p>
              </xdr:txBody>
            </xdr:sp>
            <xdr:sp macro="" textlink="">
              <xdr:nvSpPr>
                <xdr:cNvPr id="94" name="Tekstvak 93"/>
                <xdr:cNvSpPr txBox="1"/>
              </xdr:nvSpPr>
              <xdr:spPr bwMode="auto">
                <a:xfrm flipH="1">
                  <a:off x="4447851" y="40787494"/>
                  <a:ext cx="381144" cy="193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nl-NL" sz="1100" b="1">
                      <a:solidFill>
                        <a:srgbClr val="FF0000"/>
                      </a:solidFill>
                    </a:rPr>
                    <a:t>H</a:t>
                  </a:r>
                </a:p>
              </xdr:txBody>
            </xdr:sp>
          </xdr:grpSp>
        </xdr:grpSp>
        <xdr:cxnSp macro="">
          <xdr:nvCxnSpPr>
            <xdr:cNvPr id="59677471" name="Rechte verbindingslijn 464"/>
            <xdr:cNvCxnSpPr>
              <a:cxnSpLocks noChangeShapeType="1"/>
            </xdr:cNvCxnSpPr>
          </xdr:nvCxnSpPr>
          <xdr:spPr bwMode="auto">
            <a:xfrm>
              <a:off x="4743450" y="39204900"/>
              <a:ext cx="0" cy="2231802"/>
            </a:xfrm>
            <a:prstGeom prst="line">
              <a:avLst/>
            </a:prstGeom>
            <a:noFill/>
            <a:ln w="22225" algn="ctr">
              <a:solidFill>
                <a:srgbClr val="FF0000"/>
              </a:solidFill>
              <a:prstDash val="sysDash"/>
              <a:round/>
              <a:headEnd/>
              <a:tailEnd/>
            </a:ln>
          </xdr:spPr>
        </xdr:cxnSp>
      </xdr:grpSp>
      <xdr:sp macro="" textlink="">
        <xdr:nvSpPr>
          <xdr:cNvPr id="76" name="Tekstvak 75"/>
          <xdr:cNvSpPr txBox="1"/>
        </xdr:nvSpPr>
        <xdr:spPr bwMode="auto">
          <a:xfrm flipH="1">
            <a:off x="4472940" y="40546815"/>
            <a:ext cx="335280" cy="228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nl-NL" sz="1100" b="1">
                <a:solidFill>
                  <a:srgbClr val="FF0000"/>
                </a:solidFill>
              </a:rPr>
              <a:t>I</a:t>
            </a:r>
          </a:p>
        </xdr:txBody>
      </xdr:sp>
    </xdr:grpSp>
    <xdr:clientData/>
  </xdr:twoCellAnchor>
</xdr:wsDr>
</file>

<file path=xl/drawings/drawing16.xml><?xml version="1.0" encoding="utf-8"?>
<c:userShapes xmlns:c="http://schemas.openxmlformats.org/drawingml/2006/chart">
  <cdr:relSizeAnchor xmlns:cdr="http://schemas.openxmlformats.org/drawingml/2006/chartDrawing">
    <cdr:from>
      <cdr:x>0.03676</cdr:x>
      <cdr:y>0.0148</cdr:y>
    </cdr:from>
    <cdr:to>
      <cdr:x>0.98508</cdr:x>
      <cdr:y>0.11392</cdr:y>
    </cdr:to>
    <cdr:sp macro="" textlink="">
      <cdr:nvSpPr>
        <cdr:cNvPr id="95233" name="Text Box 1"/>
        <cdr:cNvSpPr txBox="1">
          <a:spLocks xmlns:a="http://schemas.openxmlformats.org/drawingml/2006/main" noChangeArrowheads="1"/>
        </cdr:cNvSpPr>
      </cdr:nvSpPr>
      <cdr:spPr bwMode="auto">
        <a:xfrm xmlns:a="http://schemas.openxmlformats.org/drawingml/2006/main">
          <a:off x="164306" y="40482"/>
          <a:ext cx="4238625" cy="2857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nl-NL" sz="1100" b="1" i="0" baseline="0">
              <a:latin typeface="+mn-lt"/>
              <a:ea typeface="+mn-ea"/>
              <a:cs typeface="+mn-cs"/>
            </a:rPr>
            <a:t>boven: TO-, TK- en TVK-lijn; onder: GO-, MO-, GTK-, GVK en MK-lijn</a:t>
          </a:r>
          <a:endParaRPr lang="nl-NL" sz="1000"/>
        </a:p>
        <a:p xmlns:a="http://schemas.openxmlformats.org/drawingml/2006/main">
          <a:pPr algn="ctr" rtl="0"/>
          <a:endParaRPr lang="nl-NL" sz="1000"/>
        </a:p>
      </cdr:txBody>
    </cdr:sp>
  </cdr:relSizeAnchor>
</c:userShapes>
</file>

<file path=xl/drawings/drawing17.xml><?xml version="1.0" encoding="utf-8"?>
<c:userShapes xmlns:c="http://schemas.openxmlformats.org/drawingml/2006/chart">
  <cdr:relSizeAnchor xmlns:cdr="http://schemas.openxmlformats.org/drawingml/2006/chartDrawing">
    <cdr:from>
      <cdr:x>0.38104</cdr:x>
      <cdr:y>0.02957</cdr:y>
    </cdr:from>
    <cdr:to>
      <cdr:x>0.68578</cdr:x>
      <cdr:y>0.11099</cdr:y>
    </cdr:to>
    <cdr:sp macro="" textlink="">
      <cdr:nvSpPr>
        <cdr:cNvPr id="2" name="Text Box 1"/>
        <cdr:cNvSpPr txBox="1">
          <a:spLocks xmlns:a="http://schemas.openxmlformats.org/drawingml/2006/main" noChangeArrowheads="1"/>
        </cdr:cNvSpPr>
      </cdr:nvSpPr>
      <cdr:spPr bwMode="auto">
        <a:xfrm xmlns:a="http://schemas.openxmlformats.org/drawingml/2006/main">
          <a:off x="1511627" y="142537"/>
          <a:ext cx="1184483" cy="3964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nl-NL" sz="1100" b="1" i="0" baseline="0">
              <a:latin typeface="Calibri"/>
            </a:rPr>
            <a:t>Totale winst</a:t>
          </a:r>
          <a:endParaRPr lang="nl-NL" sz="1000"/>
        </a:p>
        <a:p xmlns:a="http://schemas.openxmlformats.org/drawingml/2006/main">
          <a:pPr algn="ctr" rtl="0"/>
          <a:endParaRPr lang="nl-NL" sz="1000"/>
        </a:p>
      </cdr:txBody>
    </cdr:sp>
  </cdr:relSizeAnchor>
</c:userShapes>
</file>

<file path=xl/drawings/drawing18.xml><?xml version="1.0" encoding="utf-8"?>
<xdr:wsDr xmlns:xdr="http://schemas.openxmlformats.org/drawingml/2006/spreadsheetDrawing" xmlns:a="http://schemas.openxmlformats.org/drawingml/2006/main">
  <xdr:twoCellAnchor>
    <xdr:from>
      <xdr:col>126</xdr:col>
      <xdr:colOff>7620</xdr:colOff>
      <xdr:row>1</xdr:row>
      <xdr:rowOff>53340</xdr:rowOff>
    </xdr:from>
    <xdr:to>
      <xdr:col>140</xdr:col>
      <xdr:colOff>38100</xdr:colOff>
      <xdr:row>4</xdr:row>
      <xdr:rowOff>220980</xdr:rowOff>
    </xdr:to>
    <xdr:sp macro="" textlink="">
      <xdr:nvSpPr>
        <xdr:cNvPr id="59837067" name="AutoShape 11">
          <a:hlinkClick xmlns:r="http://schemas.openxmlformats.org/officeDocument/2006/relationships" r:id="rId1"/>
        </xdr:cNvPr>
        <xdr:cNvSpPr>
          <a:spLocks noChangeArrowheads="1"/>
        </xdr:cNvSpPr>
      </xdr:nvSpPr>
      <xdr:spPr bwMode="auto">
        <a:xfrm>
          <a:off x="5974080" y="358140"/>
          <a:ext cx="670560" cy="685800"/>
        </a:xfrm>
        <a:prstGeom prst="bevel">
          <a:avLst>
            <a:gd name="adj" fmla="val 12500"/>
          </a:avLst>
        </a:prstGeom>
        <a:solidFill>
          <a:srgbClr val="800080"/>
        </a:solidFill>
        <a:ln w="9525">
          <a:solidFill>
            <a:srgbClr val="000000"/>
          </a:solidFill>
          <a:miter lim="800000"/>
          <a:headEnd/>
          <a:tailEnd/>
        </a:ln>
      </xdr:spPr>
    </xdr:sp>
    <xdr:clientData/>
  </xdr:twoCellAnchor>
  <xdr:twoCellAnchor>
    <xdr:from>
      <xdr:col>28</xdr:col>
      <xdr:colOff>15240</xdr:colOff>
      <xdr:row>174</xdr:row>
      <xdr:rowOff>0</xdr:rowOff>
    </xdr:from>
    <xdr:to>
      <xdr:col>143</xdr:col>
      <xdr:colOff>38100</xdr:colOff>
      <xdr:row>188</xdr:row>
      <xdr:rowOff>0</xdr:rowOff>
    </xdr:to>
    <xdr:grpSp>
      <xdr:nvGrpSpPr>
        <xdr:cNvPr id="59837068" name="Groep 383"/>
        <xdr:cNvGrpSpPr>
          <a:grpSpLocks/>
        </xdr:cNvGrpSpPr>
      </xdr:nvGrpSpPr>
      <xdr:grpSpPr bwMode="auto">
        <a:xfrm>
          <a:off x="1478280" y="21473160"/>
          <a:ext cx="5303520" cy="2788920"/>
          <a:chOff x="1080276" y="74056884"/>
          <a:chExt cx="2637109" cy="2850189"/>
        </a:xfrm>
      </xdr:grpSpPr>
      <xdr:grpSp>
        <xdr:nvGrpSpPr>
          <xdr:cNvPr id="59837406" name="Groep 507"/>
          <xdr:cNvGrpSpPr>
            <a:grpSpLocks/>
          </xdr:cNvGrpSpPr>
        </xdr:nvGrpSpPr>
        <xdr:grpSpPr bwMode="auto">
          <a:xfrm>
            <a:off x="1080276" y="74056884"/>
            <a:ext cx="2372944" cy="2850189"/>
            <a:chOff x="1080276" y="32118309"/>
            <a:chExt cx="2372944" cy="2850189"/>
          </a:xfrm>
        </xdr:grpSpPr>
        <xdr:grpSp>
          <xdr:nvGrpSpPr>
            <xdr:cNvPr id="59837410" name="Groep 247"/>
            <xdr:cNvGrpSpPr>
              <a:grpSpLocks/>
            </xdr:cNvGrpSpPr>
          </xdr:nvGrpSpPr>
          <xdr:grpSpPr bwMode="auto">
            <a:xfrm>
              <a:off x="1080276" y="32118309"/>
              <a:ext cx="2372944" cy="2850189"/>
              <a:chOff x="1052756" y="47882189"/>
              <a:chExt cx="2376034" cy="2850756"/>
            </a:xfrm>
          </xdr:grpSpPr>
          <xdr:grpSp>
            <xdr:nvGrpSpPr>
              <xdr:cNvPr id="59837413" name="Groep 127"/>
              <xdr:cNvGrpSpPr>
                <a:grpSpLocks/>
              </xdr:cNvGrpSpPr>
            </xdr:nvGrpSpPr>
            <xdr:grpSpPr bwMode="auto">
              <a:xfrm>
                <a:off x="1052756" y="47882189"/>
                <a:ext cx="2376034" cy="2850756"/>
                <a:chOff x="1951429" y="43489807"/>
                <a:chExt cx="2376034" cy="2850756"/>
              </a:xfrm>
            </xdr:grpSpPr>
            <xdr:sp macro="" textlink="">
              <xdr:nvSpPr>
                <xdr:cNvPr id="59837416" name="Line 241"/>
                <xdr:cNvSpPr>
                  <a:spLocks noChangeShapeType="1"/>
                </xdr:cNvSpPr>
              </xdr:nvSpPr>
              <xdr:spPr bwMode="auto">
                <a:xfrm>
                  <a:off x="2122411" y="45458636"/>
                  <a:ext cx="2068178" cy="85"/>
                </a:xfrm>
                <a:prstGeom prst="line">
                  <a:avLst/>
                </a:prstGeom>
                <a:noFill/>
                <a:ln w="25400">
                  <a:solidFill>
                    <a:srgbClr val="000000"/>
                  </a:solidFill>
                  <a:round/>
                  <a:headEnd/>
                  <a:tailEnd/>
                </a:ln>
              </xdr:spPr>
            </xdr:sp>
            <xdr:grpSp>
              <xdr:nvGrpSpPr>
                <xdr:cNvPr id="59837417" name="Group 420"/>
                <xdr:cNvGrpSpPr>
                  <a:grpSpLocks/>
                </xdr:cNvGrpSpPr>
              </xdr:nvGrpSpPr>
              <xdr:grpSpPr bwMode="auto">
                <a:xfrm>
                  <a:off x="1951429" y="43489807"/>
                  <a:ext cx="2376034" cy="2850756"/>
                  <a:chOff x="212" y="6692"/>
                  <a:chExt cx="140" cy="178"/>
                </a:xfrm>
              </xdr:grpSpPr>
              <xdr:grpSp>
                <xdr:nvGrpSpPr>
                  <xdr:cNvPr id="59837427" name="Group 419"/>
                  <xdr:cNvGrpSpPr>
                    <a:grpSpLocks/>
                  </xdr:cNvGrpSpPr>
                </xdr:nvGrpSpPr>
                <xdr:grpSpPr bwMode="auto">
                  <a:xfrm>
                    <a:off x="222" y="6696"/>
                    <a:ext cx="130" cy="154"/>
                    <a:chOff x="222" y="6696"/>
                    <a:chExt cx="130" cy="154"/>
                  </a:xfrm>
                </xdr:grpSpPr>
                <xdr:grpSp>
                  <xdr:nvGrpSpPr>
                    <xdr:cNvPr id="59837431" name="Group 240"/>
                    <xdr:cNvGrpSpPr>
                      <a:grpSpLocks/>
                    </xdr:cNvGrpSpPr>
                  </xdr:nvGrpSpPr>
                  <xdr:grpSpPr bwMode="auto">
                    <a:xfrm>
                      <a:off x="222" y="6696"/>
                      <a:ext cx="130" cy="154"/>
                      <a:chOff x="245" y="4653"/>
                      <a:chExt cx="130" cy="154"/>
                    </a:xfrm>
                  </xdr:grpSpPr>
                  <xdr:sp macro="" textlink="">
                    <xdr:nvSpPr>
                      <xdr:cNvPr id="59837433" name="Line 238"/>
                      <xdr:cNvSpPr>
                        <a:spLocks noChangeShapeType="1"/>
                      </xdr:cNvSpPr>
                    </xdr:nvSpPr>
                    <xdr:spPr bwMode="auto">
                      <a:xfrm flipH="1">
                        <a:off x="245" y="4653"/>
                        <a:ext cx="1" cy="154"/>
                      </a:xfrm>
                      <a:prstGeom prst="line">
                        <a:avLst/>
                      </a:prstGeom>
                      <a:noFill/>
                      <a:ln w="25400">
                        <a:solidFill>
                          <a:srgbClr val="000000"/>
                        </a:solidFill>
                        <a:round/>
                        <a:headEnd/>
                        <a:tailEnd/>
                      </a:ln>
                    </xdr:spPr>
                  </xdr:sp>
                  <xdr:sp macro="" textlink="">
                    <xdr:nvSpPr>
                      <xdr:cNvPr id="59837434" name="Line 239"/>
                      <xdr:cNvSpPr>
                        <a:spLocks noChangeShapeType="1"/>
                      </xdr:cNvSpPr>
                    </xdr:nvSpPr>
                    <xdr:spPr bwMode="auto">
                      <a:xfrm flipV="1">
                        <a:off x="245" y="4807"/>
                        <a:ext cx="130" cy="0"/>
                      </a:xfrm>
                      <a:prstGeom prst="line">
                        <a:avLst/>
                      </a:prstGeom>
                      <a:noFill/>
                      <a:ln w="25400">
                        <a:solidFill>
                          <a:srgbClr val="000000"/>
                        </a:solidFill>
                        <a:round/>
                        <a:headEnd/>
                        <a:tailEnd/>
                      </a:ln>
                    </xdr:spPr>
                  </xdr:sp>
                </xdr:grpSp>
                <xdr:sp macro="" textlink="">
                  <xdr:nvSpPr>
                    <xdr:cNvPr id="59837432" name="Line 243"/>
                    <xdr:cNvSpPr>
                      <a:spLocks noChangeShapeType="1"/>
                    </xdr:cNvSpPr>
                  </xdr:nvSpPr>
                  <xdr:spPr bwMode="auto">
                    <a:xfrm flipH="1">
                      <a:off x="222" y="6765"/>
                      <a:ext cx="44" cy="0"/>
                    </a:xfrm>
                    <a:prstGeom prst="line">
                      <a:avLst/>
                    </a:prstGeom>
                    <a:noFill/>
                    <a:ln w="25400">
                      <a:solidFill>
                        <a:srgbClr val="000000"/>
                      </a:solidFill>
                      <a:prstDash val="sysDash"/>
                      <a:round/>
                      <a:headEnd/>
                      <a:tailEnd/>
                    </a:ln>
                  </xdr:spPr>
                </xdr:sp>
              </xdr:grpSp>
              <xdr:grpSp>
                <xdr:nvGrpSpPr>
                  <xdr:cNvPr id="59837428" name="Group 418"/>
                  <xdr:cNvGrpSpPr>
                    <a:grpSpLocks/>
                  </xdr:cNvGrpSpPr>
                </xdr:nvGrpSpPr>
                <xdr:grpSpPr bwMode="auto">
                  <a:xfrm>
                    <a:off x="212" y="6692"/>
                    <a:ext cx="140" cy="178"/>
                    <a:chOff x="212" y="6692"/>
                    <a:chExt cx="140" cy="178"/>
                  </a:xfrm>
                </xdr:grpSpPr>
                <xdr:sp macro="" textlink="">
                  <xdr:nvSpPr>
                    <xdr:cNvPr id="27" name="Text Box 256"/>
                    <xdr:cNvSpPr txBox="1">
                      <a:spLocks noChangeArrowheads="1"/>
                    </xdr:cNvSpPr>
                  </xdr:nvSpPr>
                  <xdr:spPr bwMode="auto">
                    <a:xfrm>
                      <a:off x="212" y="6692"/>
                      <a:ext cx="12" cy="22"/>
                    </a:xfrm>
                    <a:prstGeom prst="rect">
                      <a:avLst/>
                    </a:prstGeom>
                    <a:noFill/>
                    <a:ln w="25400">
                      <a:noFill/>
                      <a:round/>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a:t>
                      </a:r>
                    </a:p>
                  </xdr:txBody>
                </xdr:sp>
                <xdr:sp macro="" textlink="">
                  <xdr:nvSpPr>
                    <xdr:cNvPr id="28" name="Text Box 257"/>
                    <xdr:cNvSpPr txBox="1">
                      <a:spLocks noChangeArrowheads="1"/>
                    </xdr:cNvSpPr>
                  </xdr:nvSpPr>
                  <xdr:spPr bwMode="auto">
                    <a:xfrm>
                      <a:off x="330" y="6852"/>
                      <a:ext cx="22" cy="18"/>
                    </a:xfrm>
                    <a:prstGeom prst="rect">
                      <a:avLst/>
                    </a:prstGeom>
                    <a:noFill/>
                    <a:ln w="25400">
                      <a:noFill/>
                      <a:round/>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grpSp>
            <xdr:sp macro="" textlink="">
              <xdr:nvSpPr>
                <xdr:cNvPr id="16" name="Text Box 256"/>
                <xdr:cNvSpPr txBox="1">
                  <a:spLocks noChangeArrowheads="1"/>
                </xdr:cNvSpPr>
              </xdr:nvSpPr>
              <xdr:spPr bwMode="auto">
                <a:xfrm>
                  <a:off x="2110772" y="44331014"/>
                  <a:ext cx="299717" cy="194724"/>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a</a:t>
                  </a:r>
                </a:p>
              </xdr:txBody>
            </xdr:sp>
            <xdr:sp macro="" textlink="">
              <xdr:nvSpPr>
                <xdr:cNvPr id="17" name="Text Box 256"/>
                <xdr:cNvSpPr txBox="1">
                  <a:spLocks noChangeArrowheads="1"/>
                </xdr:cNvSpPr>
              </xdr:nvSpPr>
              <xdr:spPr bwMode="auto">
                <a:xfrm>
                  <a:off x="2217001" y="44993075"/>
                  <a:ext cx="299717" cy="171357"/>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b</a:t>
                  </a:r>
                </a:p>
              </xdr:txBody>
            </xdr:sp>
            <xdr:sp macro="" textlink="">
              <xdr:nvSpPr>
                <xdr:cNvPr id="18" name="Text Box 256"/>
                <xdr:cNvSpPr txBox="1">
                  <a:spLocks noChangeArrowheads="1"/>
                </xdr:cNvSpPr>
              </xdr:nvSpPr>
              <xdr:spPr bwMode="auto">
                <a:xfrm>
                  <a:off x="2327023" y="45662924"/>
                  <a:ext cx="299717" cy="186935"/>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c</a:t>
                  </a:r>
                </a:p>
              </xdr:txBody>
            </xdr:sp>
            <xdr:sp macro="" textlink="">
              <xdr:nvSpPr>
                <xdr:cNvPr id="19" name="Text Box 256"/>
                <xdr:cNvSpPr txBox="1">
                  <a:spLocks noChangeArrowheads="1"/>
                </xdr:cNvSpPr>
              </xdr:nvSpPr>
              <xdr:spPr bwMode="auto">
                <a:xfrm>
                  <a:off x="2406695" y="44385536"/>
                  <a:ext cx="307305" cy="186935"/>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d</a:t>
                  </a:r>
                </a:p>
              </xdr:txBody>
            </xdr:sp>
            <xdr:sp macro="" textlink="">
              <xdr:nvSpPr>
                <xdr:cNvPr id="20" name="Text Box 256"/>
                <xdr:cNvSpPr txBox="1">
                  <a:spLocks noChangeArrowheads="1"/>
                </xdr:cNvSpPr>
              </xdr:nvSpPr>
              <xdr:spPr bwMode="auto">
                <a:xfrm>
                  <a:off x="2603977" y="44790562"/>
                  <a:ext cx="299717" cy="179146"/>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e</a:t>
                  </a:r>
                </a:p>
              </xdr:txBody>
            </xdr:sp>
            <xdr:sp macro="" textlink="">
              <xdr:nvSpPr>
                <xdr:cNvPr id="21" name="Text Box 256"/>
                <xdr:cNvSpPr txBox="1">
                  <a:spLocks noChangeArrowheads="1"/>
                </xdr:cNvSpPr>
              </xdr:nvSpPr>
              <xdr:spPr bwMode="auto">
                <a:xfrm>
                  <a:off x="2797465" y="45756392"/>
                  <a:ext cx="311098" cy="179146"/>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f</a:t>
                  </a:r>
                </a:p>
              </xdr:txBody>
            </xdr:sp>
            <xdr:sp macro="" textlink="">
              <xdr:nvSpPr>
                <xdr:cNvPr id="22" name="Text Box 256"/>
                <xdr:cNvSpPr txBox="1">
                  <a:spLocks noChangeArrowheads="1"/>
                </xdr:cNvSpPr>
              </xdr:nvSpPr>
              <xdr:spPr bwMode="auto">
                <a:xfrm>
                  <a:off x="2949220" y="45109909"/>
                  <a:ext cx="299717" cy="257035"/>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g</a:t>
                  </a:r>
                </a:p>
              </xdr:txBody>
            </xdr:sp>
            <xdr:sp macro="" textlink="">
              <xdr:nvSpPr>
                <xdr:cNvPr id="23" name="Text Box 256"/>
                <xdr:cNvSpPr txBox="1">
                  <a:spLocks noChangeArrowheads="1"/>
                </xdr:cNvSpPr>
              </xdr:nvSpPr>
              <xdr:spPr bwMode="auto">
                <a:xfrm>
                  <a:off x="3176853" y="45678502"/>
                  <a:ext cx="311098" cy="194724"/>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h</a:t>
                  </a:r>
                </a:p>
              </xdr:txBody>
            </xdr:sp>
            <xdr:sp macro="" textlink="">
              <xdr:nvSpPr>
                <xdr:cNvPr id="59837426" name="Line 241"/>
                <xdr:cNvSpPr>
                  <a:spLocks noChangeShapeType="1"/>
                </xdr:cNvSpPr>
              </xdr:nvSpPr>
              <xdr:spPr bwMode="auto">
                <a:xfrm>
                  <a:off x="2147759" y="43842306"/>
                  <a:ext cx="1937890" cy="2169637"/>
                </a:xfrm>
                <a:prstGeom prst="line">
                  <a:avLst/>
                </a:prstGeom>
                <a:noFill/>
                <a:ln w="25400">
                  <a:solidFill>
                    <a:srgbClr val="000000"/>
                  </a:solidFill>
                  <a:round/>
                  <a:headEnd/>
                  <a:tailEnd/>
                </a:ln>
              </xdr:spPr>
            </xdr:sp>
          </xdr:grpSp>
          <xdr:sp macro="" textlink="">
            <xdr:nvSpPr>
              <xdr:cNvPr id="12" name="Text Box 253"/>
              <xdr:cNvSpPr txBox="1">
                <a:spLocks noChangeArrowheads="1"/>
              </xdr:cNvSpPr>
            </xdr:nvSpPr>
            <xdr:spPr bwMode="auto">
              <a:xfrm>
                <a:off x="1576312" y="49447768"/>
                <a:ext cx="182106" cy="288191"/>
              </a:xfrm>
              <a:prstGeom prst="rect">
                <a:avLst/>
              </a:prstGeom>
              <a:noFill/>
              <a:ln w="25400">
                <a:noFill/>
                <a:round/>
                <a:headEnd/>
                <a:tailEnd/>
              </a:ln>
            </xdr:spPr>
            <xdr:txBody>
              <a:bodyPr vertOverflow="clip" wrap="square" lIns="27432" tIns="22860" rIns="27432" bIns="0" anchor="t" upright="1"/>
              <a:lstStyle/>
              <a:p>
                <a:pPr marL="0" indent="0" algn="r" rtl="0">
                  <a:defRPr sz="1000"/>
                </a:pPr>
                <a:r>
                  <a:rPr lang="nl-NL" sz="1000" b="1" i="0" u="none" strike="noStrike" baseline="0">
                    <a:solidFill>
                      <a:srgbClr val="000000"/>
                    </a:solidFill>
                    <a:latin typeface="Arial"/>
                    <a:ea typeface="+mn-ea"/>
                    <a:cs typeface="Arial"/>
                  </a:rPr>
                  <a:t>MO</a:t>
                </a:r>
              </a:p>
            </xdr:txBody>
          </xdr:sp>
          <xdr:sp macro="" textlink="">
            <xdr:nvSpPr>
              <xdr:cNvPr id="13" name="Text Box 253"/>
              <xdr:cNvSpPr txBox="1">
                <a:spLocks noChangeArrowheads="1"/>
              </xdr:cNvSpPr>
            </xdr:nvSpPr>
            <xdr:spPr bwMode="auto">
              <a:xfrm>
                <a:off x="2061929" y="49143999"/>
                <a:ext cx="572876" cy="327136"/>
              </a:xfrm>
              <a:prstGeom prst="rect">
                <a:avLst/>
              </a:prstGeom>
              <a:noFill/>
              <a:ln w="25400">
                <a:noFill/>
                <a:round/>
                <a:headEnd/>
                <a:tailEnd/>
              </a:ln>
            </xdr:spPr>
            <xdr:txBody>
              <a:bodyPr vertOverflow="clip" wrap="square" lIns="27432" tIns="22860" rIns="27432" bIns="0" anchor="t" upright="1"/>
              <a:lstStyle/>
              <a:p>
                <a:pPr marL="0" indent="0" algn="ctr" rtl="0">
                  <a:defRPr sz="1000"/>
                </a:pPr>
                <a:r>
                  <a:rPr lang="nl-NL" sz="1000" b="1" i="0" u="none" strike="noStrike" baseline="0">
                    <a:solidFill>
                      <a:srgbClr val="000000"/>
                    </a:solidFill>
                    <a:latin typeface="Arial"/>
                    <a:ea typeface="+mn-ea"/>
                    <a:cs typeface="Arial"/>
                  </a:rPr>
                  <a:t>vraaglijn</a:t>
                </a:r>
              </a:p>
            </xdr:txBody>
          </xdr:sp>
        </xdr:grpSp>
        <xdr:sp macro="" textlink="">
          <xdr:nvSpPr>
            <xdr:cNvPr id="59837411" name="Line 241"/>
            <xdr:cNvSpPr>
              <a:spLocks noChangeShapeType="1"/>
            </xdr:cNvSpPr>
          </xdr:nvSpPr>
          <xdr:spPr bwMode="auto">
            <a:xfrm flipH="1" flipV="1">
              <a:off x="1275139" y="32483745"/>
              <a:ext cx="961455" cy="2165570"/>
            </a:xfrm>
            <a:prstGeom prst="line">
              <a:avLst/>
            </a:prstGeom>
            <a:noFill/>
            <a:ln w="25400">
              <a:solidFill>
                <a:srgbClr val="000000"/>
              </a:solidFill>
              <a:round/>
              <a:headEnd/>
              <a:tailEnd/>
            </a:ln>
          </xdr:spPr>
        </xdr:sp>
        <xdr:sp macro="" textlink="">
          <xdr:nvSpPr>
            <xdr:cNvPr id="10" name="Text Box 256"/>
            <xdr:cNvSpPr txBox="1">
              <a:spLocks noChangeArrowheads="1"/>
            </xdr:cNvSpPr>
          </xdr:nvSpPr>
          <xdr:spPr bwMode="auto">
            <a:xfrm>
              <a:off x="2701946" y="34376655"/>
              <a:ext cx="303116" cy="179110"/>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i</a:t>
              </a:r>
            </a:p>
          </xdr:txBody>
        </xdr:sp>
      </xdr:grpSp>
      <xdr:sp macro="" textlink="">
        <xdr:nvSpPr>
          <xdr:cNvPr id="59837407" name="Line 243"/>
          <xdr:cNvSpPr>
            <a:spLocks noChangeShapeType="1"/>
          </xdr:cNvSpPr>
        </xdr:nvSpPr>
        <xdr:spPr bwMode="auto">
          <a:xfrm flipH="1" flipV="1">
            <a:off x="1990535" y="75228550"/>
            <a:ext cx="2276" cy="1361973"/>
          </a:xfrm>
          <a:prstGeom prst="line">
            <a:avLst/>
          </a:prstGeom>
          <a:noFill/>
          <a:ln w="25400">
            <a:solidFill>
              <a:srgbClr val="000000"/>
            </a:solidFill>
            <a:prstDash val="sysDash"/>
            <a:round/>
            <a:headEnd/>
            <a:tailEnd/>
          </a:ln>
        </xdr:spPr>
      </xdr:sp>
      <xdr:sp macro="" textlink="">
        <xdr:nvSpPr>
          <xdr:cNvPr id="59837408" name="Line 243"/>
          <xdr:cNvSpPr>
            <a:spLocks noChangeShapeType="1"/>
          </xdr:cNvSpPr>
        </xdr:nvSpPr>
        <xdr:spPr bwMode="auto">
          <a:xfrm flipH="1" flipV="1">
            <a:off x="2719601" y="76034779"/>
            <a:ext cx="2192" cy="537145"/>
          </a:xfrm>
          <a:prstGeom prst="line">
            <a:avLst/>
          </a:prstGeom>
          <a:noFill/>
          <a:ln w="25400">
            <a:solidFill>
              <a:srgbClr val="000000"/>
            </a:solidFill>
            <a:prstDash val="sysDash"/>
            <a:round/>
            <a:headEnd/>
            <a:tailEnd/>
          </a:ln>
        </xdr:spPr>
      </xdr:sp>
      <xdr:sp macro="" textlink="">
        <xdr:nvSpPr>
          <xdr:cNvPr id="7" name="Text Box 253"/>
          <xdr:cNvSpPr txBox="1">
            <a:spLocks noChangeArrowheads="1"/>
          </xdr:cNvSpPr>
        </xdr:nvSpPr>
        <xdr:spPr bwMode="auto">
          <a:xfrm>
            <a:off x="2880027" y="75801262"/>
            <a:ext cx="837358" cy="225835"/>
          </a:xfrm>
          <a:prstGeom prst="rect">
            <a:avLst/>
          </a:prstGeom>
          <a:noFill/>
          <a:ln w="25400">
            <a:noFill/>
            <a:round/>
            <a:headEnd/>
            <a:tailEnd/>
          </a:ln>
        </xdr:spPr>
        <xdr:txBody>
          <a:bodyPr vertOverflow="clip" wrap="square" lIns="27432" tIns="22860" rIns="27432" bIns="0" anchor="t" upright="1"/>
          <a:lstStyle/>
          <a:p>
            <a:pPr marL="0" indent="0" algn="l" rtl="0">
              <a:defRPr sz="1000"/>
            </a:pPr>
            <a:r>
              <a:rPr lang="nl-NL" sz="1000" b="1" i="0" u="none" strike="noStrike" baseline="0">
                <a:solidFill>
                  <a:srgbClr val="000000"/>
                </a:solidFill>
                <a:latin typeface="Arial" pitchFamily="34" charset="0"/>
                <a:ea typeface="+mn-ea"/>
                <a:cs typeface="Arial" pitchFamily="34" charset="0"/>
              </a:rPr>
              <a:t>MK = GVK = </a:t>
            </a:r>
            <a:r>
              <a:rPr lang="nl-NL" sz="1000" b="1" i="0" baseline="0">
                <a:latin typeface="Arial" pitchFamily="34" charset="0"/>
                <a:ea typeface="+mn-ea"/>
                <a:cs typeface="Arial" pitchFamily="34" charset="0"/>
              </a:rPr>
              <a:t>aanbodlijn</a:t>
            </a:r>
            <a:endParaRPr lang="nl-NL" sz="1000" b="1" i="0" u="none" strike="noStrike" baseline="0">
              <a:solidFill>
                <a:srgbClr val="FF0000"/>
              </a:solidFill>
              <a:latin typeface="Arial" pitchFamily="34" charset="0"/>
              <a:ea typeface="+mn-ea"/>
              <a:cs typeface="Arial" pitchFamily="34" charset="0"/>
            </a:endParaRPr>
          </a:p>
        </xdr:txBody>
      </xdr:sp>
    </xdr:grpSp>
    <xdr:clientData/>
  </xdr:twoCellAnchor>
  <xdr:twoCellAnchor>
    <xdr:from>
      <xdr:col>2</xdr:col>
      <xdr:colOff>15240</xdr:colOff>
      <xdr:row>259</xdr:row>
      <xdr:rowOff>152400</xdr:rowOff>
    </xdr:from>
    <xdr:to>
      <xdr:col>144</xdr:col>
      <xdr:colOff>0</xdr:colOff>
      <xdr:row>276</xdr:row>
      <xdr:rowOff>114300</xdr:rowOff>
    </xdr:to>
    <xdr:grpSp>
      <xdr:nvGrpSpPr>
        <xdr:cNvPr id="59837069" name="Groep 110"/>
        <xdr:cNvGrpSpPr>
          <a:grpSpLocks/>
        </xdr:cNvGrpSpPr>
      </xdr:nvGrpSpPr>
      <xdr:grpSpPr bwMode="auto">
        <a:xfrm>
          <a:off x="289560" y="37033200"/>
          <a:ext cx="6499860" cy="2788920"/>
          <a:chOff x="291465" y="31356300"/>
          <a:chExt cx="6497955" cy="2788920"/>
        </a:xfrm>
      </xdr:grpSpPr>
      <xdr:grpSp>
        <xdr:nvGrpSpPr>
          <xdr:cNvPr id="59837381" name="Groep 383"/>
          <xdr:cNvGrpSpPr>
            <a:grpSpLocks/>
          </xdr:cNvGrpSpPr>
        </xdr:nvGrpSpPr>
        <xdr:grpSpPr bwMode="auto">
          <a:xfrm>
            <a:off x="1844040" y="31356300"/>
            <a:ext cx="4945380" cy="2788920"/>
            <a:chOff x="1080276" y="74056884"/>
            <a:chExt cx="2460129" cy="2850189"/>
          </a:xfrm>
        </xdr:grpSpPr>
        <xdr:grpSp>
          <xdr:nvGrpSpPr>
            <xdr:cNvPr id="59837386" name="Groep 507"/>
            <xdr:cNvGrpSpPr>
              <a:grpSpLocks/>
            </xdr:cNvGrpSpPr>
          </xdr:nvGrpSpPr>
          <xdr:grpSpPr bwMode="auto">
            <a:xfrm>
              <a:off x="1080276" y="74056884"/>
              <a:ext cx="2372944" cy="2850189"/>
              <a:chOff x="1080276" y="32118309"/>
              <a:chExt cx="2372944" cy="2850189"/>
            </a:xfrm>
          </xdr:grpSpPr>
          <xdr:grpSp>
            <xdr:nvGrpSpPr>
              <xdr:cNvPr id="59837390" name="Groep 247"/>
              <xdr:cNvGrpSpPr>
                <a:grpSpLocks/>
              </xdr:cNvGrpSpPr>
            </xdr:nvGrpSpPr>
            <xdr:grpSpPr bwMode="auto">
              <a:xfrm>
                <a:off x="1080276" y="32118309"/>
                <a:ext cx="2372944" cy="2850189"/>
                <a:chOff x="1052756" y="47882189"/>
                <a:chExt cx="2376034" cy="2850756"/>
              </a:xfrm>
            </xdr:grpSpPr>
            <xdr:grpSp>
              <xdr:nvGrpSpPr>
                <xdr:cNvPr id="59837392" name="Groep 127"/>
                <xdr:cNvGrpSpPr>
                  <a:grpSpLocks/>
                </xdr:cNvGrpSpPr>
              </xdr:nvGrpSpPr>
              <xdr:grpSpPr bwMode="auto">
                <a:xfrm>
                  <a:off x="1052756" y="47882189"/>
                  <a:ext cx="2376034" cy="2850756"/>
                  <a:chOff x="1951429" y="43489807"/>
                  <a:chExt cx="2376034" cy="2850756"/>
                </a:xfrm>
              </xdr:grpSpPr>
              <xdr:sp macro="" textlink="">
                <xdr:nvSpPr>
                  <xdr:cNvPr id="59837395" name="Line 241"/>
                  <xdr:cNvSpPr>
                    <a:spLocks noChangeShapeType="1"/>
                  </xdr:cNvSpPr>
                </xdr:nvSpPr>
                <xdr:spPr bwMode="auto">
                  <a:xfrm>
                    <a:off x="2122411" y="45458636"/>
                    <a:ext cx="2068178" cy="85"/>
                  </a:xfrm>
                  <a:prstGeom prst="line">
                    <a:avLst/>
                  </a:prstGeom>
                  <a:noFill/>
                  <a:ln w="25400">
                    <a:solidFill>
                      <a:srgbClr val="000000"/>
                    </a:solidFill>
                    <a:round/>
                    <a:headEnd/>
                    <a:tailEnd/>
                  </a:ln>
                </xdr:spPr>
              </xdr:sp>
              <xdr:grpSp>
                <xdr:nvGrpSpPr>
                  <xdr:cNvPr id="59837396" name="Group 420"/>
                  <xdr:cNvGrpSpPr>
                    <a:grpSpLocks/>
                  </xdr:cNvGrpSpPr>
                </xdr:nvGrpSpPr>
                <xdr:grpSpPr bwMode="auto">
                  <a:xfrm>
                    <a:off x="1951429" y="43489807"/>
                    <a:ext cx="2376034" cy="2850756"/>
                    <a:chOff x="212" y="6692"/>
                    <a:chExt cx="140" cy="178"/>
                  </a:xfrm>
                </xdr:grpSpPr>
                <xdr:grpSp>
                  <xdr:nvGrpSpPr>
                    <xdr:cNvPr id="59837398" name="Group 419"/>
                    <xdr:cNvGrpSpPr>
                      <a:grpSpLocks/>
                    </xdr:cNvGrpSpPr>
                  </xdr:nvGrpSpPr>
                  <xdr:grpSpPr bwMode="auto">
                    <a:xfrm>
                      <a:off x="222" y="6696"/>
                      <a:ext cx="130" cy="154"/>
                      <a:chOff x="222" y="6696"/>
                      <a:chExt cx="130" cy="154"/>
                    </a:xfrm>
                  </xdr:grpSpPr>
                  <xdr:grpSp>
                    <xdr:nvGrpSpPr>
                      <xdr:cNvPr id="59837402" name="Group 240"/>
                      <xdr:cNvGrpSpPr>
                        <a:grpSpLocks/>
                      </xdr:cNvGrpSpPr>
                    </xdr:nvGrpSpPr>
                    <xdr:grpSpPr bwMode="auto">
                      <a:xfrm>
                        <a:off x="222" y="6696"/>
                        <a:ext cx="130" cy="154"/>
                        <a:chOff x="245" y="4653"/>
                        <a:chExt cx="130" cy="154"/>
                      </a:xfrm>
                    </xdr:grpSpPr>
                    <xdr:sp macro="" textlink="">
                      <xdr:nvSpPr>
                        <xdr:cNvPr id="59837404" name="Line 238"/>
                        <xdr:cNvSpPr>
                          <a:spLocks noChangeShapeType="1"/>
                        </xdr:cNvSpPr>
                      </xdr:nvSpPr>
                      <xdr:spPr bwMode="auto">
                        <a:xfrm flipH="1">
                          <a:off x="245" y="4653"/>
                          <a:ext cx="1" cy="154"/>
                        </a:xfrm>
                        <a:prstGeom prst="line">
                          <a:avLst/>
                        </a:prstGeom>
                        <a:noFill/>
                        <a:ln w="25400">
                          <a:solidFill>
                            <a:srgbClr val="000000"/>
                          </a:solidFill>
                          <a:round/>
                          <a:headEnd/>
                          <a:tailEnd/>
                        </a:ln>
                      </xdr:spPr>
                    </xdr:sp>
                    <xdr:sp macro="" textlink="">
                      <xdr:nvSpPr>
                        <xdr:cNvPr id="59837405" name="Line 239"/>
                        <xdr:cNvSpPr>
                          <a:spLocks noChangeShapeType="1"/>
                        </xdr:cNvSpPr>
                      </xdr:nvSpPr>
                      <xdr:spPr bwMode="auto">
                        <a:xfrm flipV="1">
                          <a:off x="245" y="4807"/>
                          <a:ext cx="130" cy="0"/>
                        </a:xfrm>
                        <a:prstGeom prst="line">
                          <a:avLst/>
                        </a:prstGeom>
                        <a:noFill/>
                        <a:ln w="25400">
                          <a:solidFill>
                            <a:srgbClr val="000000"/>
                          </a:solidFill>
                          <a:round/>
                          <a:headEnd/>
                          <a:tailEnd/>
                        </a:ln>
                      </xdr:spPr>
                    </xdr:sp>
                  </xdr:grpSp>
                  <xdr:sp macro="" textlink="">
                    <xdr:nvSpPr>
                      <xdr:cNvPr id="59837403" name="Line 243"/>
                      <xdr:cNvSpPr>
                        <a:spLocks noChangeShapeType="1"/>
                      </xdr:cNvSpPr>
                    </xdr:nvSpPr>
                    <xdr:spPr bwMode="auto">
                      <a:xfrm flipH="1">
                        <a:off x="222" y="6765"/>
                        <a:ext cx="44" cy="0"/>
                      </a:xfrm>
                      <a:prstGeom prst="line">
                        <a:avLst/>
                      </a:prstGeom>
                      <a:noFill/>
                      <a:ln w="25400">
                        <a:solidFill>
                          <a:srgbClr val="000000"/>
                        </a:solidFill>
                        <a:prstDash val="sysDash"/>
                        <a:round/>
                        <a:headEnd/>
                        <a:tailEnd/>
                      </a:ln>
                    </xdr:spPr>
                  </xdr:sp>
                </xdr:grpSp>
                <xdr:grpSp>
                  <xdr:nvGrpSpPr>
                    <xdr:cNvPr id="59837399" name="Group 418"/>
                    <xdr:cNvGrpSpPr>
                      <a:grpSpLocks/>
                    </xdr:cNvGrpSpPr>
                  </xdr:nvGrpSpPr>
                  <xdr:grpSpPr bwMode="auto">
                    <a:xfrm>
                      <a:off x="212" y="6692"/>
                      <a:ext cx="140" cy="178"/>
                      <a:chOff x="212" y="6692"/>
                      <a:chExt cx="140" cy="178"/>
                    </a:xfrm>
                  </xdr:grpSpPr>
                  <xdr:sp macro="" textlink="">
                    <xdr:nvSpPr>
                      <xdr:cNvPr id="48" name="Text Box 256"/>
                      <xdr:cNvSpPr txBox="1">
                        <a:spLocks noChangeArrowheads="1"/>
                      </xdr:cNvSpPr>
                    </xdr:nvSpPr>
                    <xdr:spPr bwMode="auto">
                      <a:xfrm>
                        <a:off x="212" y="6692"/>
                        <a:ext cx="12" cy="22"/>
                      </a:xfrm>
                      <a:prstGeom prst="rect">
                        <a:avLst/>
                      </a:prstGeom>
                      <a:noFill/>
                      <a:ln w="25400">
                        <a:noFill/>
                        <a:round/>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a:t>
                        </a:r>
                      </a:p>
                    </xdr:txBody>
                  </xdr:sp>
                  <xdr:sp macro="" textlink="">
                    <xdr:nvSpPr>
                      <xdr:cNvPr id="49" name="Text Box 257"/>
                      <xdr:cNvSpPr txBox="1">
                        <a:spLocks noChangeArrowheads="1"/>
                      </xdr:cNvSpPr>
                    </xdr:nvSpPr>
                    <xdr:spPr bwMode="auto">
                      <a:xfrm>
                        <a:off x="330" y="6852"/>
                        <a:ext cx="22" cy="18"/>
                      </a:xfrm>
                      <a:prstGeom prst="rect">
                        <a:avLst/>
                      </a:prstGeom>
                      <a:noFill/>
                      <a:ln w="25400">
                        <a:noFill/>
                        <a:round/>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grpSp>
              <xdr:sp macro="" textlink="">
                <xdr:nvSpPr>
                  <xdr:cNvPr id="59837397" name="Line 241"/>
                  <xdr:cNvSpPr>
                    <a:spLocks noChangeShapeType="1"/>
                  </xdr:cNvSpPr>
                </xdr:nvSpPr>
                <xdr:spPr bwMode="auto">
                  <a:xfrm>
                    <a:off x="2147759" y="43842306"/>
                    <a:ext cx="1937890" cy="2169637"/>
                  </a:xfrm>
                  <a:prstGeom prst="line">
                    <a:avLst/>
                  </a:prstGeom>
                  <a:noFill/>
                  <a:ln w="25400">
                    <a:solidFill>
                      <a:srgbClr val="000000"/>
                    </a:solidFill>
                    <a:round/>
                    <a:headEnd/>
                    <a:tailEnd/>
                  </a:ln>
                </xdr:spPr>
              </xdr:sp>
            </xdr:grpSp>
            <xdr:sp macro="" textlink="">
              <xdr:nvSpPr>
                <xdr:cNvPr id="41" name="Text Box 253"/>
                <xdr:cNvSpPr txBox="1">
                  <a:spLocks noChangeArrowheads="1"/>
                </xdr:cNvSpPr>
              </xdr:nvSpPr>
              <xdr:spPr bwMode="auto">
                <a:xfrm>
                  <a:off x="1580909" y="49447768"/>
                  <a:ext cx="182135" cy="288191"/>
                </a:xfrm>
                <a:prstGeom prst="rect">
                  <a:avLst/>
                </a:prstGeom>
                <a:noFill/>
                <a:ln w="25400">
                  <a:noFill/>
                  <a:round/>
                  <a:headEnd/>
                  <a:tailEnd/>
                </a:ln>
              </xdr:spPr>
              <xdr:txBody>
                <a:bodyPr vertOverflow="clip" wrap="square" lIns="27432" tIns="22860" rIns="27432" bIns="0" anchor="t" upright="1"/>
                <a:lstStyle/>
                <a:p>
                  <a:pPr marL="0" indent="0" algn="r" rtl="0">
                    <a:defRPr sz="1000"/>
                  </a:pPr>
                  <a:r>
                    <a:rPr lang="nl-NL" sz="1000" b="1" i="0" u="none" strike="noStrike" baseline="0">
                      <a:solidFill>
                        <a:srgbClr val="000000"/>
                      </a:solidFill>
                      <a:latin typeface="Arial"/>
                      <a:ea typeface="+mn-ea"/>
                      <a:cs typeface="Arial"/>
                    </a:rPr>
                    <a:t>MO</a:t>
                  </a:r>
                </a:p>
              </xdr:txBody>
            </xdr:sp>
            <xdr:sp macro="" textlink="">
              <xdr:nvSpPr>
                <xdr:cNvPr id="42" name="Text Box 253"/>
                <xdr:cNvSpPr txBox="1">
                  <a:spLocks noChangeArrowheads="1"/>
                </xdr:cNvSpPr>
              </xdr:nvSpPr>
              <xdr:spPr bwMode="auto">
                <a:xfrm>
                  <a:off x="1455692" y="48427416"/>
                  <a:ext cx="572965" cy="327136"/>
                </a:xfrm>
                <a:prstGeom prst="rect">
                  <a:avLst/>
                </a:prstGeom>
                <a:noFill/>
                <a:ln w="25400">
                  <a:noFill/>
                  <a:round/>
                  <a:headEnd/>
                  <a:tailEnd/>
                </a:ln>
              </xdr:spPr>
              <xdr:txBody>
                <a:bodyPr vertOverflow="clip" wrap="square" lIns="27432" tIns="22860" rIns="27432" bIns="0" anchor="t" upright="1"/>
                <a:lstStyle/>
                <a:p>
                  <a:pPr marL="0" indent="0" algn="ctr" rtl="0">
                    <a:defRPr sz="1000"/>
                  </a:pPr>
                  <a:r>
                    <a:rPr lang="nl-NL" sz="1000" b="1" i="0" u="none" strike="noStrike" baseline="0">
                      <a:solidFill>
                        <a:srgbClr val="000000"/>
                      </a:solidFill>
                      <a:latin typeface="Arial"/>
                      <a:ea typeface="+mn-ea"/>
                      <a:cs typeface="Arial"/>
                    </a:rPr>
                    <a:t>vraag</a:t>
                  </a:r>
                </a:p>
              </xdr:txBody>
            </xdr:sp>
          </xdr:grpSp>
          <xdr:sp macro="" textlink="">
            <xdr:nvSpPr>
              <xdr:cNvPr id="59837391" name="Line 241"/>
              <xdr:cNvSpPr>
                <a:spLocks noChangeShapeType="1"/>
              </xdr:cNvSpPr>
            </xdr:nvSpPr>
            <xdr:spPr bwMode="auto">
              <a:xfrm flipH="1" flipV="1">
                <a:off x="1275139" y="32483745"/>
                <a:ext cx="961455" cy="2165570"/>
              </a:xfrm>
              <a:prstGeom prst="line">
                <a:avLst/>
              </a:prstGeom>
              <a:noFill/>
              <a:ln w="25400">
                <a:solidFill>
                  <a:srgbClr val="000000"/>
                </a:solidFill>
                <a:round/>
                <a:headEnd/>
                <a:tailEnd/>
              </a:ln>
            </xdr:spPr>
          </xdr:sp>
        </xdr:grpSp>
        <xdr:sp macro="" textlink="">
          <xdr:nvSpPr>
            <xdr:cNvPr id="59837387" name="Line 243"/>
            <xdr:cNvSpPr>
              <a:spLocks noChangeShapeType="1"/>
            </xdr:cNvSpPr>
          </xdr:nvSpPr>
          <xdr:spPr bwMode="auto">
            <a:xfrm flipH="1" flipV="1">
              <a:off x="1990535" y="75228550"/>
              <a:ext cx="2276" cy="1361973"/>
            </a:xfrm>
            <a:prstGeom prst="line">
              <a:avLst/>
            </a:prstGeom>
            <a:noFill/>
            <a:ln w="25400">
              <a:solidFill>
                <a:srgbClr val="000000"/>
              </a:solidFill>
              <a:prstDash val="sysDash"/>
              <a:round/>
              <a:headEnd/>
              <a:tailEnd/>
            </a:ln>
          </xdr:spPr>
        </xdr:sp>
        <xdr:sp macro="" textlink="">
          <xdr:nvSpPr>
            <xdr:cNvPr id="59837388" name="Line 243"/>
            <xdr:cNvSpPr>
              <a:spLocks noChangeShapeType="1"/>
            </xdr:cNvSpPr>
          </xdr:nvSpPr>
          <xdr:spPr bwMode="auto">
            <a:xfrm flipH="1" flipV="1">
              <a:off x="2719601" y="76034779"/>
              <a:ext cx="2192" cy="537145"/>
            </a:xfrm>
            <a:prstGeom prst="line">
              <a:avLst/>
            </a:prstGeom>
            <a:noFill/>
            <a:ln w="25400">
              <a:solidFill>
                <a:srgbClr val="000000"/>
              </a:solidFill>
              <a:prstDash val="sysDash"/>
              <a:round/>
              <a:headEnd/>
              <a:tailEnd/>
            </a:ln>
          </xdr:spPr>
        </xdr:sp>
        <xdr:sp macro="" textlink="">
          <xdr:nvSpPr>
            <xdr:cNvPr id="37" name="Text Box 253"/>
            <xdr:cNvSpPr txBox="1">
              <a:spLocks noChangeArrowheads="1"/>
            </xdr:cNvSpPr>
          </xdr:nvSpPr>
          <xdr:spPr bwMode="auto">
            <a:xfrm>
              <a:off x="2706707" y="75801262"/>
              <a:ext cx="833698" cy="241409"/>
            </a:xfrm>
            <a:prstGeom prst="rect">
              <a:avLst/>
            </a:prstGeom>
            <a:noFill/>
            <a:ln w="25400">
              <a:noFill/>
              <a:round/>
              <a:headEnd/>
              <a:tailEnd/>
            </a:ln>
          </xdr:spPr>
          <xdr:txBody>
            <a:bodyPr vertOverflow="clip" wrap="square" lIns="27432" tIns="22860" rIns="27432" bIns="0" anchor="t" upright="1"/>
            <a:lstStyle/>
            <a:p>
              <a:pPr marL="0" indent="0" algn="r" rtl="0">
                <a:defRPr sz="1000"/>
              </a:pPr>
              <a:r>
                <a:rPr lang="nl-NL" sz="1000" b="1" i="0" u="none" strike="noStrike" baseline="0">
                  <a:solidFill>
                    <a:srgbClr val="000000"/>
                  </a:solidFill>
                  <a:latin typeface="Arial"/>
                  <a:ea typeface="+mn-ea"/>
                  <a:cs typeface="Arial"/>
                </a:rPr>
                <a:t>aanbod = MK = GVK </a:t>
              </a:r>
            </a:p>
          </xdr:txBody>
        </xdr:sp>
      </xdr:grpSp>
      <xdr:sp macro="" textlink="">
        <xdr:nvSpPr>
          <xdr:cNvPr id="56" name="Text Box 253"/>
          <xdr:cNvSpPr txBox="1">
            <a:spLocks noChangeArrowheads="1"/>
          </xdr:cNvSpPr>
        </xdr:nvSpPr>
        <xdr:spPr bwMode="auto">
          <a:xfrm>
            <a:off x="999917" y="32392620"/>
            <a:ext cx="1096958" cy="251460"/>
          </a:xfrm>
          <a:prstGeom prst="rect">
            <a:avLst/>
          </a:prstGeom>
          <a:noFill/>
          <a:ln w="25400">
            <a:noFill/>
            <a:round/>
            <a:headEnd/>
            <a:tailEnd/>
          </a:ln>
        </xdr:spPr>
        <xdr:txBody>
          <a:bodyPr vertOverflow="clip" wrap="square" lIns="27432" tIns="22860" rIns="27432" bIns="0" anchor="t" upright="1"/>
          <a:lstStyle/>
          <a:p>
            <a:pPr marL="0" indent="0" algn="r" rtl="0">
              <a:defRPr sz="1000"/>
            </a:pPr>
            <a:r>
              <a:rPr lang="nl-NL" sz="1000" b="1" i="0" u="none" strike="noStrike" baseline="0">
                <a:solidFill>
                  <a:srgbClr val="000000"/>
                </a:solidFill>
                <a:latin typeface="Arial"/>
                <a:ea typeface="+mn-ea"/>
                <a:cs typeface="Arial"/>
              </a:rPr>
              <a:t>P monopolie</a:t>
            </a:r>
          </a:p>
        </xdr:txBody>
      </xdr:sp>
      <xdr:sp macro="" textlink="">
        <xdr:nvSpPr>
          <xdr:cNvPr id="57" name="Text Box 253"/>
          <xdr:cNvSpPr txBox="1">
            <a:spLocks noChangeArrowheads="1"/>
          </xdr:cNvSpPr>
        </xdr:nvSpPr>
        <xdr:spPr bwMode="auto">
          <a:xfrm>
            <a:off x="367643" y="33177480"/>
            <a:ext cx="1759704" cy="259080"/>
          </a:xfrm>
          <a:prstGeom prst="rect">
            <a:avLst/>
          </a:prstGeom>
          <a:noFill/>
          <a:ln w="25400">
            <a:noFill/>
            <a:round/>
            <a:headEnd/>
            <a:tailEnd/>
          </a:ln>
        </xdr:spPr>
        <xdr:txBody>
          <a:bodyPr vertOverflow="clip" wrap="square" lIns="27432" tIns="22860" rIns="27432" bIns="0" anchor="t" upright="1"/>
          <a:lstStyle/>
          <a:p>
            <a:pPr marL="0" indent="0" algn="r" rtl="0">
              <a:defRPr sz="1000"/>
            </a:pPr>
            <a:r>
              <a:rPr lang="nl-NL" sz="1000" b="1" i="0" u="none" strike="noStrike" baseline="0">
                <a:solidFill>
                  <a:srgbClr val="000000"/>
                </a:solidFill>
                <a:latin typeface="Arial"/>
                <a:ea typeface="+mn-ea"/>
                <a:cs typeface="Arial"/>
              </a:rPr>
              <a:t>P volkomen concurrentie</a:t>
            </a:r>
          </a:p>
        </xdr:txBody>
      </xdr:sp>
      <xdr:sp macro="" textlink="">
        <xdr:nvSpPr>
          <xdr:cNvPr id="59837384" name="Linkeraccolade 234"/>
          <xdr:cNvSpPr>
            <a:spLocks/>
          </xdr:cNvSpPr>
        </xdr:nvSpPr>
        <xdr:spPr bwMode="auto">
          <a:xfrm>
            <a:off x="1927860" y="32575500"/>
            <a:ext cx="213360" cy="632460"/>
          </a:xfrm>
          <a:prstGeom prst="leftBrace">
            <a:avLst>
              <a:gd name="adj1" fmla="val 40169"/>
              <a:gd name="adj2" fmla="val 50000"/>
            </a:avLst>
          </a:prstGeom>
          <a:noFill/>
          <a:ln w="22225" algn="ctr">
            <a:solidFill>
              <a:srgbClr val="000000"/>
            </a:solidFill>
            <a:round/>
            <a:headEnd/>
            <a:tailEnd/>
          </a:ln>
        </xdr:spPr>
      </xdr:sp>
      <xdr:sp macro="" textlink="">
        <xdr:nvSpPr>
          <xdr:cNvPr id="59" name="Text Box 253"/>
          <xdr:cNvSpPr txBox="1">
            <a:spLocks noChangeArrowheads="1"/>
          </xdr:cNvSpPr>
        </xdr:nvSpPr>
        <xdr:spPr bwMode="auto">
          <a:xfrm>
            <a:off x="291465" y="32788860"/>
            <a:ext cx="1759704" cy="251460"/>
          </a:xfrm>
          <a:prstGeom prst="rect">
            <a:avLst/>
          </a:prstGeom>
          <a:noFill/>
          <a:ln w="25400">
            <a:noFill/>
            <a:round/>
            <a:headEnd/>
            <a:tailEnd/>
          </a:ln>
        </xdr:spPr>
        <xdr:txBody>
          <a:bodyPr vertOverflow="clip" wrap="square" lIns="27432" tIns="22860" rIns="27432" bIns="0" anchor="t" upright="1"/>
          <a:lstStyle/>
          <a:p>
            <a:pPr marL="0" indent="0" algn="ctr" rtl="0">
              <a:defRPr sz="1000"/>
            </a:pPr>
            <a:r>
              <a:rPr lang="nl-NL" sz="1000" b="1" i="0" u="none" strike="noStrike" baseline="0">
                <a:solidFill>
                  <a:srgbClr val="000000"/>
                </a:solidFill>
                <a:latin typeface="Arial"/>
                <a:ea typeface="+mn-ea"/>
                <a:cs typeface="Arial"/>
              </a:rPr>
              <a:t>P homogeen oligopolie</a:t>
            </a:r>
          </a:p>
        </xdr:txBody>
      </xdr:sp>
    </xdr:grpSp>
    <xdr:clientData/>
  </xdr:twoCellAnchor>
  <xdr:twoCellAnchor>
    <xdr:from>
      <xdr:col>14</xdr:col>
      <xdr:colOff>0</xdr:colOff>
      <xdr:row>297</xdr:row>
      <xdr:rowOff>167640</xdr:rowOff>
    </xdr:from>
    <xdr:to>
      <xdr:col>137</xdr:col>
      <xdr:colOff>30480</xdr:colOff>
      <xdr:row>306</xdr:row>
      <xdr:rowOff>137160</xdr:rowOff>
    </xdr:to>
    <xdr:grpSp>
      <xdr:nvGrpSpPr>
        <xdr:cNvPr id="59837070" name="Groep 369"/>
        <xdr:cNvGrpSpPr>
          <a:grpSpLocks/>
        </xdr:cNvGrpSpPr>
      </xdr:nvGrpSpPr>
      <xdr:grpSpPr bwMode="auto">
        <a:xfrm>
          <a:off x="822960" y="43715940"/>
          <a:ext cx="5676900" cy="1821180"/>
          <a:chOff x="822960" y="43715940"/>
          <a:chExt cx="5676900" cy="1821183"/>
        </a:xfrm>
      </xdr:grpSpPr>
      <xdr:grpSp>
        <xdr:nvGrpSpPr>
          <xdr:cNvPr id="59837328" name="Groep 368"/>
          <xdr:cNvGrpSpPr>
            <a:grpSpLocks/>
          </xdr:cNvGrpSpPr>
        </xdr:nvGrpSpPr>
        <xdr:grpSpPr bwMode="auto">
          <a:xfrm>
            <a:off x="822960" y="43715945"/>
            <a:ext cx="1783080" cy="1805932"/>
            <a:chOff x="838200" y="34442408"/>
            <a:chExt cx="1726480" cy="1838317"/>
          </a:xfrm>
        </xdr:grpSpPr>
        <xdr:sp macro="" textlink="">
          <xdr:nvSpPr>
            <xdr:cNvPr id="61" name="Tekstvak 60"/>
            <xdr:cNvSpPr txBox="1"/>
          </xdr:nvSpPr>
          <xdr:spPr bwMode="auto">
            <a:xfrm flipH="1">
              <a:off x="1398937" y="36009248"/>
              <a:ext cx="280369" cy="271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sp macro="" textlink="">
          <xdr:nvSpPr>
            <xdr:cNvPr id="59837364" name="Rechthoek 351"/>
            <xdr:cNvSpPr>
              <a:spLocks noChangeArrowheads="1"/>
            </xdr:cNvSpPr>
          </xdr:nvSpPr>
          <xdr:spPr bwMode="auto">
            <a:xfrm>
              <a:off x="1079517" y="35156776"/>
              <a:ext cx="463533" cy="428624"/>
            </a:xfrm>
            <a:prstGeom prst="rect">
              <a:avLst/>
            </a:prstGeom>
            <a:solidFill>
              <a:srgbClr val="FFC000">
                <a:alpha val="50195"/>
              </a:srgbClr>
            </a:solidFill>
            <a:ln w="22225" algn="ctr">
              <a:noFill/>
              <a:round/>
              <a:headEnd/>
              <a:tailEnd/>
            </a:ln>
          </xdr:spPr>
        </xdr:sp>
        <xdr:cxnSp macro="">
          <xdr:nvCxnSpPr>
            <xdr:cNvPr id="59837365" name="Rechte verbindingslijn 464"/>
            <xdr:cNvCxnSpPr>
              <a:cxnSpLocks noChangeShapeType="1"/>
            </xdr:cNvCxnSpPr>
          </xdr:nvCxnSpPr>
          <xdr:spPr bwMode="auto">
            <a:xfrm>
              <a:off x="1533525" y="35147250"/>
              <a:ext cx="1" cy="438150"/>
            </a:xfrm>
            <a:prstGeom prst="line">
              <a:avLst/>
            </a:prstGeom>
            <a:noFill/>
            <a:ln w="22225" algn="ctr">
              <a:solidFill>
                <a:srgbClr val="000000"/>
              </a:solidFill>
              <a:round/>
              <a:headEnd/>
              <a:tailEnd/>
            </a:ln>
          </xdr:spPr>
        </xdr:cxnSp>
        <xdr:grpSp>
          <xdr:nvGrpSpPr>
            <xdr:cNvPr id="59837366" name="Groep 367"/>
            <xdr:cNvGrpSpPr>
              <a:grpSpLocks/>
            </xdr:cNvGrpSpPr>
          </xdr:nvGrpSpPr>
          <xdr:grpSpPr bwMode="auto">
            <a:xfrm>
              <a:off x="838200" y="34442408"/>
              <a:ext cx="1726480" cy="1830569"/>
              <a:chOff x="838200" y="34442408"/>
              <a:chExt cx="1726480" cy="1830569"/>
            </a:xfrm>
          </xdr:grpSpPr>
          <xdr:cxnSp macro="">
            <xdr:nvCxnSpPr>
              <xdr:cNvPr id="59837367" name="Rechte verbindingslijn 464"/>
              <xdr:cNvCxnSpPr>
                <a:cxnSpLocks noChangeShapeType="1"/>
              </xdr:cNvCxnSpPr>
            </xdr:nvCxnSpPr>
            <xdr:spPr bwMode="auto">
              <a:xfrm>
                <a:off x="1533525" y="35594925"/>
                <a:ext cx="3112" cy="471795"/>
              </a:xfrm>
              <a:prstGeom prst="line">
                <a:avLst/>
              </a:prstGeom>
              <a:noFill/>
              <a:ln w="22225" algn="ctr">
                <a:solidFill>
                  <a:srgbClr val="000000"/>
                </a:solidFill>
                <a:prstDash val="sysDash"/>
                <a:round/>
                <a:headEnd/>
                <a:tailEnd/>
              </a:ln>
            </xdr:spPr>
          </xdr:cxnSp>
          <xdr:grpSp>
            <xdr:nvGrpSpPr>
              <xdr:cNvPr id="59837368" name="Groep 420"/>
              <xdr:cNvGrpSpPr>
                <a:grpSpLocks/>
              </xdr:cNvGrpSpPr>
            </xdr:nvGrpSpPr>
            <xdr:grpSpPr bwMode="auto">
              <a:xfrm>
                <a:off x="838200" y="34442408"/>
                <a:ext cx="1726480" cy="1830569"/>
                <a:chOff x="705858" y="41395650"/>
                <a:chExt cx="1620937" cy="1922566"/>
              </a:xfrm>
            </xdr:grpSpPr>
            <xdr:sp macro="" textlink="">
              <xdr:nvSpPr>
                <xdr:cNvPr id="59837370" name="Rechthoekige driehoek 342"/>
                <xdr:cNvSpPr>
                  <a:spLocks noChangeArrowheads="1"/>
                </xdr:cNvSpPr>
              </xdr:nvSpPr>
              <xdr:spPr bwMode="auto">
                <a:xfrm>
                  <a:off x="941366" y="41675743"/>
                  <a:ext cx="435196" cy="490181"/>
                </a:xfrm>
                <a:prstGeom prst="rtTriangle">
                  <a:avLst/>
                </a:prstGeom>
                <a:solidFill>
                  <a:srgbClr val="92D050">
                    <a:alpha val="50195"/>
                  </a:srgbClr>
                </a:solidFill>
                <a:ln w="22225" algn="ctr">
                  <a:noFill/>
                  <a:round/>
                  <a:headEnd/>
                  <a:tailEnd/>
                </a:ln>
              </xdr:spPr>
            </xdr:sp>
            <xdr:grpSp>
              <xdr:nvGrpSpPr>
                <xdr:cNvPr id="59837371" name="Groep 284"/>
                <xdr:cNvGrpSpPr>
                  <a:grpSpLocks/>
                </xdr:cNvGrpSpPr>
              </xdr:nvGrpSpPr>
              <xdr:grpSpPr bwMode="auto">
                <a:xfrm>
                  <a:off x="705858" y="41395650"/>
                  <a:ext cx="1620937" cy="1922566"/>
                  <a:chOff x="473747" y="55330722"/>
                  <a:chExt cx="1620937" cy="1922567"/>
                </a:xfrm>
              </xdr:grpSpPr>
              <xdr:cxnSp macro="">
                <xdr:nvCxnSpPr>
                  <xdr:cNvPr id="59837374" name="Rechte verbindingslijn 175"/>
                  <xdr:cNvCxnSpPr>
                    <a:cxnSpLocks noChangeShapeType="1"/>
                  </xdr:cNvCxnSpPr>
                </xdr:nvCxnSpPr>
                <xdr:spPr bwMode="auto">
                  <a:xfrm rot="5400000">
                    <a:off x="-64466" y="56175387"/>
                    <a:ext cx="1543140" cy="0"/>
                  </a:xfrm>
                  <a:prstGeom prst="line">
                    <a:avLst/>
                  </a:prstGeom>
                  <a:noFill/>
                  <a:ln w="22225" algn="ctr">
                    <a:solidFill>
                      <a:srgbClr val="000000"/>
                    </a:solidFill>
                    <a:round/>
                    <a:headEnd/>
                    <a:tailEnd/>
                  </a:ln>
                </xdr:spPr>
              </xdr:cxnSp>
              <xdr:cxnSp macro="">
                <xdr:nvCxnSpPr>
                  <xdr:cNvPr id="59837375" name="Rechte verbindingslijn 182"/>
                  <xdr:cNvCxnSpPr>
                    <a:cxnSpLocks noChangeShapeType="1"/>
                  </xdr:cNvCxnSpPr>
                </xdr:nvCxnSpPr>
                <xdr:spPr bwMode="auto">
                  <a:xfrm flipV="1">
                    <a:off x="707102" y="56941306"/>
                    <a:ext cx="1387582" cy="5649"/>
                  </a:xfrm>
                  <a:prstGeom prst="line">
                    <a:avLst/>
                  </a:prstGeom>
                  <a:noFill/>
                  <a:ln w="22225" algn="ctr">
                    <a:solidFill>
                      <a:srgbClr val="000000"/>
                    </a:solidFill>
                    <a:round/>
                    <a:headEnd/>
                    <a:tailEnd/>
                  </a:ln>
                </xdr:spPr>
              </xdr:cxnSp>
              <xdr:sp macro="" textlink="">
                <xdr:nvSpPr>
                  <xdr:cNvPr id="75" name="Tekstvak 74"/>
                  <xdr:cNvSpPr txBox="1"/>
                </xdr:nvSpPr>
                <xdr:spPr>
                  <a:xfrm flipH="1">
                    <a:off x="480674" y="55330717"/>
                    <a:ext cx="152396" cy="252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a:t>
                    </a:r>
                  </a:p>
                </xdr:txBody>
              </xdr:sp>
              <xdr:sp macro="" textlink="">
                <xdr:nvSpPr>
                  <xdr:cNvPr id="76" name="Tekstvak 75"/>
                  <xdr:cNvSpPr txBox="1"/>
                </xdr:nvSpPr>
                <xdr:spPr>
                  <a:xfrm flipH="1">
                    <a:off x="1852236" y="56960013"/>
                    <a:ext cx="200885" cy="285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Q</a:t>
                    </a:r>
                  </a:p>
                </xdr:txBody>
              </xdr:sp>
              <xdr:cxnSp macro="">
                <xdr:nvCxnSpPr>
                  <xdr:cNvPr id="59837378" name="Rechte verbindingslijn 187"/>
                  <xdr:cNvCxnSpPr>
                    <a:cxnSpLocks noChangeShapeType="1"/>
                    <a:endCxn id="76" idx="0"/>
                  </xdr:cNvCxnSpPr>
                </xdr:nvCxnSpPr>
                <xdr:spPr bwMode="auto">
                  <a:xfrm>
                    <a:off x="707105" y="55614984"/>
                    <a:ext cx="1247305" cy="1346340"/>
                  </a:xfrm>
                  <a:prstGeom prst="line">
                    <a:avLst/>
                  </a:prstGeom>
                  <a:noFill/>
                  <a:ln w="22225" algn="ctr">
                    <a:solidFill>
                      <a:srgbClr val="000000"/>
                    </a:solidFill>
                    <a:round/>
                    <a:headEnd/>
                    <a:tailEnd/>
                  </a:ln>
                </xdr:spPr>
              </xdr:cxnSp>
              <xdr:cxnSp macro="">
                <xdr:nvCxnSpPr>
                  <xdr:cNvPr id="59837379" name="Rechte verbindingslijn 229"/>
                  <xdr:cNvCxnSpPr>
                    <a:cxnSpLocks noChangeShapeType="1"/>
                  </xdr:cNvCxnSpPr>
                </xdr:nvCxnSpPr>
                <xdr:spPr bwMode="auto">
                  <a:xfrm flipH="1">
                    <a:off x="706257" y="56521155"/>
                    <a:ext cx="1197240" cy="5"/>
                  </a:xfrm>
                  <a:prstGeom prst="line">
                    <a:avLst/>
                  </a:prstGeom>
                  <a:noFill/>
                  <a:ln w="22225" algn="ctr">
                    <a:solidFill>
                      <a:srgbClr val="000000"/>
                    </a:solidFill>
                    <a:round/>
                    <a:headEnd/>
                    <a:tailEnd/>
                  </a:ln>
                </xdr:spPr>
              </xdr:cxnSp>
              <xdr:sp macro="" textlink="">
                <xdr:nvSpPr>
                  <xdr:cNvPr id="79" name="Tekstvak 78"/>
                  <xdr:cNvSpPr txBox="1"/>
                </xdr:nvSpPr>
                <xdr:spPr>
                  <a:xfrm flipH="1">
                    <a:off x="473747" y="55900970"/>
                    <a:ext cx="214740" cy="2606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p</a:t>
                    </a:r>
                  </a:p>
                </xdr:txBody>
              </xdr:sp>
            </xdr:grpSp>
            <xdr:sp macro="" textlink="">
              <xdr:nvSpPr>
                <xdr:cNvPr id="71" name="Tekstvak 70"/>
                <xdr:cNvSpPr txBox="1"/>
              </xdr:nvSpPr>
              <xdr:spPr>
                <a:xfrm>
                  <a:off x="1447056" y="41468963"/>
                  <a:ext cx="304792" cy="317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A</a:t>
                  </a:r>
                </a:p>
              </xdr:txBody>
            </xdr:sp>
            <xdr:cxnSp macro="">
              <xdr:nvCxnSpPr>
                <xdr:cNvPr id="59837373" name="Rechte verbindingslijn 229"/>
                <xdr:cNvCxnSpPr>
                  <a:cxnSpLocks noChangeShapeType="1"/>
                </xdr:cNvCxnSpPr>
              </xdr:nvCxnSpPr>
              <xdr:spPr bwMode="auto">
                <a:xfrm flipH="1" flipV="1">
                  <a:off x="942983" y="41700454"/>
                  <a:ext cx="612433" cy="1365801"/>
                </a:xfrm>
                <a:prstGeom prst="line">
                  <a:avLst/>
                </a:prstGeom>
                <a:noFill/>
                <a:ln w="22225" algn="ctr">
                  <a:solidFill>
                    <a:srgbClr val="000000"/>
                  </a:solidFill>
                  <a:round/>
                  <a:headEnd/>
                  <a:tailEnd/>
                </a:ln>
              </xdr:spPr>
            </xdr:cxnSp>
          </xdr:grpSp>
          <xdr:cxnSp macro="">
            <xdr:nvCxnSpPr>
              <xdr:cNvPr id="59837369" name="Rechte verbindingslijn 464"/>
              <xdr:cNvCxnSpPr>
                <a:cxnSpLocks noChangeShapeType="1"/>
              </xdr:cNvCxnSpPr>
            </xdr:nvCxnSpPr>
            <xdr:spPr bwMode="auto">
              <a:xfrm>
                <a:off x="1085850" y="35156775"/>
                <a:ext cx="457200" cy="0"/>
              </a:xfrm>
              <a:prstGeom prst="line">
                <a:avLst/>
              </a:prstGeom>
              <a:noFill/>
              <a:ln w="22225" algn="ctr">
                <a:solidFill>
                  <a:srgbClr val="000000"/>
                </a:solidFill>
                <a:round/>
                <a:headEnd/>
                <a:tailEnd/>
              </a:ln>
            </xdr:spPr>
          </xdr:cxnSp>
        </xdr:grpSp>
      </xdr:grpSp>
      <xdr:grpSp>
        <xdr:nvGrpSpPr>
          <xdr:cNvPr id="59837329" name="Groep 912"/>
          <xdr:cNvGrpSpPr>
            <a:grpSpLocks/>
          </xdr:cNvGrpSpPr>
        </xdr:nvGrpSpPr>
        <xdr:grpSpPr bwMode="auto">
          <a:xfrm>
            <a:off x="2659380" y="43715940"/>
            <a:ext cx="1935480" cy="1790700"/>
            <a:chOff x="1281889" y="81095851"/>
            <a:chExt cx="1706496" cy="1819283"/>
          </a:xfrm>
        </xdr:grpSpPr>
        <xdr:grpSp>
          <xdr:nvGrpSpPr>
            <xdr:cNvPr id="59837349" name="Groep 420"/>
            <xdr:cNvGrpSpPr>
              <a:grpSpLocks/>
            </xdr:cNvGrpSpPr>
          </xdr:nvGrpSpPr>
          <xdr:grpSpPr bwMode="auto">
            <a:xfrm>
              <a:off x="1281889" y="81095851"/>
              <a:ext cx="1706496" cy="1819283"/>
              <a:chOff x="713468" y="41395642"/>
              <a:chExt cx="1606295" cy="1910704"/>
            </a:xfrm>
          </xdr:grpSpPr>
          <xdr:sp macro="" textlink="">
            <xdr:nvSpPr>
              <xdr:cNvPr id="59837352" name="Rechthoekige driehoek 342"/>
              <xdr:cNvSpPr>
                <a:spLocks noChangeArrowheads="1"/>
              </xdr:cNvSpPr>
            </xdr:nvSpPr>
            <xdr:spPr bwMode="auto">
              <a:xfrm>
                <a:off x="941365" y="41675744"/>
                <a:ext cx="738925" cy="880326"/>
              </a:xfrm>
              <a:prstGeom prst="rtTriangle">
                <a:avLst/>
              </a:prstGeom>
              <a:solidFill>
                <a:srgbClr val="92D050">
                  <a:alpha val="50195"/>
                </a:srgbClr>
              </a:solidFill>
              <a:ln w="22225" algn="ctr">
                <a:noFill/>
                <a:round/>
                <a:headEnd/>
                <a:tailEnd/>
              </a:ln>
            </xdr:spPr>
          </xdr:sp>
          <xdr:grpSp>
            <xdr:nvGrpSpPr>
              <xdr:cNvPr id="59837353" name="Groep 284"/>
              <xdr:cNvGrpSpPr>
                <a:grpSpLocks/>
              </xdr:cNvGrpSpPr>
            </xdr:nvGrpSpPr>
            <xdr:grpSpPr bwMode="auto">
              <a:xfrm>
                <a:off x="713468" y="41395642"/>
                <a:ext cx="1606295" cy="1910704"/>
                <a:chOff x="481357" y="55330715"/>
                <a:chExt cx="1606295" cy="1910705"/>
              </a:xfrm>
            </xdr:grpSpPr>
            <xdr:cxnSp macro="">
              <xdr:nvCxnSpPr>
                <xdr:cNvPr id="59837356" name="Rechte verbindingslijn 175"/>
                <xdr:cNvCxnSpPr>
                  <a:cxnSpLocks noChangeShapeType="1"/>
                </xdr:cNvCxnSpPr>
              </xdr:nvCxnSpPr>
              <xdr:spPr bwMode="auto">
                <a:xfrm rot="5400000">
                  <a:off x="-64466" y="56175387"/>
                  <a:ext cx="1543140" cy="0"/>
                </a:xfrm>
                <a:prstGeom prst="line">
                  <a:avLst/>
                </a:prstGeom>
                <a:noFill/>
                <a:ln w="22225" algn="ctr">
                  <a:solidFill>
                    <a:srgbClr val="000000"/>
                  </a:solidFill>
                  <a:round/>
                  <a:headEnd/>
                  <a:tailEnd/>
                </a:ln>
              </xdr:spPr>
            </xdr:cxnSp>
            <xdr:cxnSp macro="">
              <xdr:nvCxnSpPr>
                <xdr:cNvPr id="59837357" name="Rechte verbindingslijn 182"/>
                <xdr:cNvCxnSpPr>
                  <a:cxnSpLocks noChangeShapeType="1"/>
                </xdr:cNvCxnSpPr>
              </xdr:nvCxnSpPr>
              <xdr:spPr bwMode="auto">
                <a:xfrm>
                  <a:off x="707102" y="56946955"/>
                  <a:ext cx="1287305" cy="0"/>
                </a:xfrm>
                <a:prstGeom prst="line">
                  <a:avLst/>
                </a:prstGeom>
                <a:noFill/>
                <a:ln w="22225" algn="ctr">
                  <a:solidFill>
                    <a:srgbClr val="000000"/>
                  </a:solidFill>
                  <a:round/>
                  <a:headEnd/>
                  <a:tailEnd/>
                </a:ln>
              </xdr:spPr>
            </xdr:cxnSp>
            <xdr:sp macro="" textlink="">
              <xdr:nvSpPr>
                <xdr:cNvPr id="93" name="Tekstvak 92"/>
                <xdr:cNvSpPr txBox="1"/>
              </xdr:nvSpPr>
              <xdr:spPr>
                <a:xfrm flipH="1">
                  <a:off x="487681" y="55330715"/>
                  <a:ext cx="158100" cy="260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a:t>
                  </a:r>
                </a:p>
              </xdr:txBody>
            </xdr:sp>
            <xdr:sp macro="" textlink="">
              <xdr:nvSpPr>
                <xdr:cNvPr id="94" name="Tekstvak 93"/>
                <xdr:cNvSpPr txBox="1"/>
              </xdr:nvSpPr>
              <xdr:spPr>
                <a:xfrm flipH="1">
                  <a:off x="1853664" y="56964980"/>
                  <a:ext cx="233988" cy="276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Q</a:t>
                  </a:r>
                </a:p>
              </xdr:txBody>
            </xdr:sp>
            <xdr:cxnSp macro="">
              <xdr:nvCxnSpPr>
                <xdr:cNvPr id="59837360" name="Rechte verbindingslijn 187"/>
                <xdr:cNvCxnSpPr>
                  <a:cxnSpLocks noChangeShapeType="1"/>
                </xdr:cNvCxnSpPr>
              </xdr:nvCxnSpPr>
              <xdr:spPr bwMode="auto">
                <a:xfrm rot="16200000" flipH="1">
                  <a:off x="606224" y="55715865"/>
                  <a:ext cx="1323847" cy="1122088"/>
                </a:xfrm>
                <a:prstGeom prst="line">
                  <a:avLst/>
                </a:prstGeom>
                <a:noFill/>
                <a:ln w="22225" algn="ctr">
                  <a:solidFill>
                    <a:srgbClr val="000000"/>
                  </a:solidFill>
                  <a:round/>
                  <a:headEnd/>
                  <a:tailEnd/>
                </a:ln>
              </xdr:spPr>
            </xdr:cxnSp>
            <xdr:cxnSp macro="">
              <xdr:nvCxnSpPr>
                <xdr:cNvPr id="59837361" name="Rechte verbindingslijn 229"/>
                <xdr:cNvCxnSpPr>
                  <a:cxnSpLocks noChangeShapeType="1"/>
                </xdr:cNvCxnSpPr>
              </xdr:nvCxnSpPr>
              <xdr:spPr bwMode="auto">
                <a:xfrm flipH="1">
                  <a:off x="702127" y="56501147"/>
                  <a:ext cx="1294171" cy="0"/>
                </a:xfrm>
                <a:prstGeom prst="line">
                  <a:avLst/>
                </a:prstGeom>
                <a:noFill/>
                <a:ln w="22225" algn="ctr">
                  <a:solidFill>
                    <a:srgbClr val="000000"/>
                  </a:solidFill>
                  <a:round/>
                  <a:headEnd/>
                  <a:tailEnd/>
                </a:ln>
              </xdr:spPr>
            </xdr:cxnSp>
            <xdr:sp macro="" textlink="">
              <xdr:nvSpPr>
                <xdr:cNvPr id="97" name="Tekstvak 96"/>
                <xdr:cNvSpPr txBox="1"/>
              </xdr:nvSpPr>
              <xdr:spPr>
                <a:xfrm flipH="1">
                  <a:off x="500329" y="56363310"/>
                  <a:ext cx="221340" cy="292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p</a:t>
                  </a:r>
                </a:p>
              </xdr:txBody>
            </xdr:sp>
          </xdr:grpSp>
          <xdr:sp macro="" textlink="">
            <xdr:nvSpPr>
              <xdr:cNvPr id="89" name="Tekstvak 88"/>
              <xdr:cNvSpPr txBox="1"/>
            </xdr:nvSpPr>
            <xdr:spPr>
              <a:xfrm>
                <a:off x="1440728" y="41468818"/>
                <a:ext cx="316200" cy="3170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B</a:t>
                </a:r>
              </a:p>
            </xdr:txBody>
          </xdr:sp>
          <xdr:cxnSp macro="">
            <xdr:nvCxnSpPr>
              <xdr:cNvPr id="59837355" name="Rechte verbindingslijn 229"/>
              <xdr:cNvCxnSpPr>
                <a:cxnSpLocks noChangeShapeType="1"/>
              </xdr:cNvCxnSpPr>
            </xdr:nvCxnSpPr>
            <xdr:spPr bwMode="auto">
              <a:xfrm rot="10800000">
                <a:off x="942983" y="41700454"/>
                <a:ext cx="587164" cy="1410822"/>
              </a:xfrm>
              <a:prstGeom prst="line">
                <a:avLst/>
              </a:prstGeom>
              <a:noFill/>
              <a:ln w="22225" algn="ctr">
                <a:solidFill>
                  <a:srgbClr val="000000"/>
                </a:solidFill>
                <a:round/>
                <a:headEnd/>
                <a:tailEnd/>
              </a:ln>
            </xdr:spPr>
          </xdr:cxnSp>
        </xdr:grpSp>
        <xdr:cxnSp macro="">
          <xdr:nvCxnSpPr>
            <xdr:cNvPr id="59837350" name="Rechte verbindingslijn 464"/>
            <xdr:cNvCxnSpPr>
              <a:cxnSpLocks noChangeShapeType="1"/>
            </xdr:cNvCxnSpPr>
          </xdr:nvCxnSpPr>
          <xdr:spPr bwMode="auto">
            <a:xfrm>
              <a:off x="2318874" y="82211007"/>
              <a:ext cx="6754" cy="456466"/>
            </a:xfrm>
            <a:prstGeom prst="line">
              <a:avLst/>
            </a:prstGeom>
            <a:noFill/>
            <a:ln w="22225" algn="ctr">
              <a:solidFill>
                <a:srgbClr val="000000"/>
              </a:solidFill>
              <a:prstDash val="sysDash"/>
              <a:round/>
              <a:headEnd/>
              <a:tailEnd/>
            </a:ln>
          </xdr:spPr>
        </xdr:cxnSp>
        <xdr:sp macro="" textlink="">
          <xdr:nvSpPr>
            <xdr:cNvPr id="86" name="Tekstvak 85"/>
            <xdr:cNvSpPr txBox="1"/>
          </xdr:nvSpPr>
          <xdr:spPr bwMode="auto">
            <a:xfrm flipH="1">
              <a:off x="2182166" y="82651921"/>
              <a:ext cx="282177" cy="263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grpSp>
      <xdr:grpSp>
        <xdr:nvGrpSpPr>
          <xdr:cNvPr id="59837330" name="Groep 376"/>
          <xdr:cNvGrpSpPr>
            <a:grpSpLocks/>
          </xdr:cNvGrpSpPr>
        </xdr:nvGrpSpPr>
        <xdr:grpSpPr bwMode="auto">
          <a:xfrm>
            <a:off x="4655820" y="43731175"/>
            <a:ext cx="1844040" cy="1805948"/>
            <a:chOff x="838200" y="34442400"/>
            <a:chExt cx="1914525" cy="1838325"/>
          </a:xfrm>
        </xdr:grpSpPr>
        <xdr:sp macro="" textlink="">
          <xdr:nvSpPr>
            <xdr:cNvPr id="99" name="Tekstvak 98"/>
            <xdr:cNvSpPr txBox="1"/>
          </xdr:nvSpPr>
          <xdr:spPr bwMode="auto">
            <a:xfrm flipH="1">
              <a:off x="1629326" y="36017000"/>
              <a:ext cx="276894" cy="263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sp macro="" textlink="">
          <xdr:nvSpPr>
            <xdr:cNvPr id="59837332" name="Rechthoek 351"/>
            <xdr:cNvSpPr>
              <a:spLocks noChangeArrowheads="1"/>
            </xdr:cNvSpPr>
          </xdr:nvSpPr>
          <xdr:spPr bwMode="auto">
            <a:xfrm>
              <a:off x="1079516" y="35337762"/>
              <a:ext cx="711183" cy="221598"/>
            </a:xfrm>
            <a:prstGeom prst="rect">
              <a:avLst/>
            </a:prstGeom>
            <a:solidFill>
              <a:srgbClr val="FFC000">
                <a:alpha val="50195"/>
              </a:srgbClr>
            </a:solidFill>
            <a:ln w="22225" algn="ctr">
              <a:noFill/>
              <a:round/>
              <a:headEnd/>
              <a:tailEnd/>
            </a:ln>
          </xdr:spPr>
        </xdr:sp>
        <xdr:cxnSp macro="">
          <xdr:nvCxnSpPr>
            <xdr:cNvPr id="59837333" name="Rechte verbindingslijn 464"/>
            <xdr:cNvCxnSpPr>
              <a:cxnSpLocks noChangeShapeType="1"/>
            </xdr:cNvCxnSpPr>
          </xdr:nvCxnSpPr>
          <xdr:spPr bwMode="auto">
            <a:xfrm>
              <a:off x="1790700" y="35337760"/>
              <a:ext cx="1" cy="200015"/>
            </a:xfrm>
            <a:prstGeom prst="line">
              <a:avLst/>
            </a:prstGeom>
            <a:noFill/>
            <a:ln w="22225" algn="ctr">
              <a:solidFill>
                <a:srgbClr val="000000"/>
              </a:solidFill>
              <a:round/>
              <a:headEnd/>
              <a:tailEnd/>
            </a:ln>
          </xdr:spPr>
        </xdr:cxnSp>
        <xdr:grpSp>
          <xdr:nvGrpSpPr>
            <xdr:cNvPr id="59837334" name="Groep 367"/>
            <xdr:cNvGrpSpPr>
              <a:grpSpLocks/>
            </xdr:cNvGrpSpPr>
          </xdr:nvGrpSpPr>
          <xdr:grpSpPr bwMode="auto">
            <a:xfrm>
              <a:off x="838200" y="34442400"/>
              <a:ext cx="1914525" cy="1830561"/>
              <a:chOff x="838200" y="34442400"/>
              <a:chExt cx="1914525" cy="1830561"/>
            </a:xfrm>
          </xdr:grpSpPr>
          <xdr:cxnSp macro="">
            <xdr:nvCxnSpPr>
              <xdr:cNvPr id="59837335" name="Rechte verbindingslijn 464"/>
              <xdr:cNvCxnSpPr>
                <a:cxnSpLocks noChangeShapeType="1"/>
              </xdr:cNvCxnSpPr>
            </xdr:nvCxnSpPr>
            <xdr:spPr bwMode="auto">
              <a:xfrm>
                <a:off x="1790700" y="35528250"/>
                <a:ext cx="3112" cy="471795"/>
              </a:xfrm>
              <a:prstGeom prst="line">
                <a:avLst/>
              </a:prstGeom>
              <a:noFill/>
              <a:ln w="22225" algn="ctr">
                <a:solidFill>
                  <a:srgbClr val="000000"/>
                </a:solidFill>
                <a:prstDash val="sysDash"/>
                <a:round/>
                <a:headEnd/>
                <a:tailEnd/>
              </a:ln>
            </xdr:spPr>
          </xdr:cxnSp>
          <xdr:grpSp>
            <xdr:nvGrpSpPr>
              <xdr:cNvPr id="59837336" name="Groep 420"/>
              <xdr:cNvGrpSpPr>
                <a:grpSpLocks/>
              </xdr:cNvGrpSpPr>
            </xdr:nvGrpSpPr>
            <xdr:grpSpPr bwMode="auto">
              <a:xfrm>
                <a:off x="838200" y="34442400"/>
                <a:ext cx="1914525" cy="1830561"/>
                <a:chOff x="705858" y="41395650"/>
                <a:chExt cx="1797486" cy="1922558"/>
              </a:xfrm>
            </xdr:grpSpPr>
            <xdr:sp macro="" textlink="">
              <xdr:nvSpPr>
                <xdr:cNvPr id="59837338" name="Rechthoekige driehoek 342"/>
                <xdr:cNvSpPr>
                  <a:spLocks noChangeArrowheads="1"/>
                </xdr:cNvSpPr>
              </xdr:nvSpPr>
              <xdr:spPr bwMode="auto">
                <a:xfrm>
                  <a:off x="941366" y="41675743"/>
                  <a:ext cx="658763" cy="640247"/>
                </a:xfrm>
                <a:prstGeom prst="rtTriangle">
                  <a:avLst/>
                </a:prstGeom>
                <a:solidFill>
                  <a:srgbClr val="92D050">
                    <a:alpha val="50195"/>
                  </a:srgbClr>
                </a:solidFill>
                <a:ln w="22225" algn="ctr">
                  <a:noFill/>
                  <a:round/>
                  <a:headEnd/>
                  <a:tailEnd/>
                </a:ln>
              </xdr:spPr>
            </xdr:sp>
            <xdr:grpSp>
              <xdr:nvGrpSpPr>
                <xdr:cNvPr id="59837339" name="Groep 284"/>
                <xdr:cNvGrpSpPr>
                  <a:grpSpLocks/>
                </xdr:cNvGrpSpPr>
              </xdr:nvGrpSpPr>
              <xdr:grpSpPr bwMode="auto">
                <a:xfrm>
                  <a:off x="705858" y="41395650"/>
                  <a:ext cx="1797486" cy="1922558"/>
                  <a:chOff x="473747" y="55330722"/>
                  <a:chExt cx="1797486" cy="1922559"/>
                </a:xfrm>
              </xdr:grpSpPr>
              <xdr:cxnSp macro="">
                <xdr:nvCxnSpPr>
                  <xdr:cNvPr id="59837342" name="Rechte verbindingslijn 175"/>
                  <xdr:cNvCxnSpPr>
                    <a:cxnSpLocks noChangeShapeType="1"/>
                  </xdr:cNvCxnSpPr>
                </xdr:nvCxnSpPr>
                <xdr:spPr bwMode="auto">
                  <a:xfrm rot="5400000">
                    <a:off x="-64466" y="56175387"/>
                    <a:ext cx="1543140" cy="0"/>
                  </a:xfrm>
                  <a:prstGeom prst="line">
                    <a:avLst/>
                  </a:prstGeom>
                  <a:noFill/>
                  <a:ln w="22225" algn="ctr">
                    <a:solidFill>
                      <a:srgbClr val="000000"/>
                    </a:solidFill>
                    <a:round/>
                    <a:headEnd/>
                    <a:tailEnd/>
                  </a:ln>
                </xdr:spPr>
              </xdr:cxnSp>
              <xdr:cxnSp macro="">
                <xdr:nvCxnSpPr>
                  <xdr:cNvPr id="59837343" name="Rechte verbindingslijn 182"/>
                  <xdr:cNvCxnSpPr>
                    <a:cxnSpLocks noChangeShapeType="1"/>
                  </xdr:cNvCxnSpPr>
                </xdr:nvCxnSpPr>
                <xdr:spPr bwMode="auto">
                  <a:xfrm flipV="1">
                    <a:off x="707102" y="56931313"/>
                    <a:ext cx="1564131" cy="15645"/>
                  </a:xfrm>
                  <a:prstGeom prst="line">
                    <a:avLst/>
                  </a:prstGeom>
                  <a:noFill/>
                  <a:ln w="22225" algn="ctr">
                    <a:solidFill>
                      <a:srgbClr val="000000"/>
                    </a:solidFill>
                    <a:round/>
                    <a:headEnd/>
                    <a:tailEnd/>
                  </a:ln>
                </xdr:spPr>
              </xdr:cxnSp>
              <xdr:sp macro="" textlink="">
                <xdr:nvSpPr>
                  <xdr:cNvPr id="113" name="Tekstvak 112"/>
                  <xdr:cNvSpPr txBox="1"/>
                </xdr:nvSpPr>
                <xdr:spPr>
                  <a:xfrm flipH="1">
                    <a:off x="488602" y="55330727"/>
                    <a:ext cx="148553" cy="252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a:t>
                    </a:r>
                  </a:p>
                </xdr:txBody>
              </xdr:sp>
              <xdr:sp macro="" textlink="">
                <xdr:nvSpPr>
                  <xdr:cNvPr id="114" name="Tekstvak 113"/>
                  <xdr:cNvSpPr txBox="1"/>
                </xdr:nvSpPr>
                <xdr:spPr>
                  <a:xfrm flipH="1">
                    <a:off x="1907279" y="56960016"/>
                    <a:ext cx="193118" cy="293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Q</a:t>
                    </a:r>
                  </a:p>
                </xdr:txBody>
              </xdr:sp>
              <xdr:cxnSp macro="">
                <xdr:nvCxnSpPr>
                  <xdr:cNvPr id="59837346" name="Rechte verbindingslijn 187"/>
                  <xdr:cNvCxnSpPr>
                    <a:cxnSpLocks noChangeShapeType="1"/>
                  </xdr:cNvCxnSpPr>
                </xdr:nvCxnSpPr>
                <xdr:spPr bwMode="auto">
                  <a:xfrm>
                    <a:off x="707105" y="55614984"/>
                    <a:ext cx="1376331" cy="1316328"/>
                  </a:xfrm>
                  <a:prstGeom prst="line">
                    <a:avLst/>
                  </a:prstGeom>
                  <a:noFill/>
                  <a:ln w="22225" algn="ctr">
                    <a:solidFill>
                      <a:srgbClr val="000000"/>
                    </a:solidFill>
                    <a:round/>
                    <a:headEnd/>
                    <a:tailEnd/>
                  </a:ln>
                </xdr:spPr>
              </xdr:cxnSp>
              <xdr:cxnSp macro="">
                <xdr:nvCxnSpPr>
                  <xdr:cNvPr id="59837347" name="Rechte verbindingslijn 229"/>
                  <xdr:cNvCxnSpPr>
                    <a:cxnSpLocks noChangeShapeType="1"/>
                  </xdr:cNvCxnSpPr>
                </xdr:nvCxnSpPr>
                <xdr:spPr bwMode="auto">
                  <a:xfrm flipH="1">
                    <a:off x="700348" y="56495662"/>
                    <a:ext cx="1385194" cy="5482"/>
                  </a:xfrm>
                  <a:prstGeom prst="line">
                    <a:avLst/>
                  </a:prstGeom>
                  <a:noFill/>
                  <a:ln w="22225" algn="ctr">
                    <a:solidFill>
                      <a:srgbClr val="000000"/>
                    </a:solidFill>
                    <a:round/>
                    <a:headEnd/>
                    <a:tailEnd/>
                  </a:ln>
                </xdr:spPr>
              </xdr:cxnSp>
              <xdr:sp macro="" textlink="">
                <xdr:nvSpPr>
                  <xdr:cNvPr id="117" name="Tekstvak 116"/>
                  <xdr:cNvSpPr txBox="1"/>
                </xdr:nvSpPr>
                <xdr:spPr>
                  <a:xfrm flipH="1">
                    <a:off x="473747" y="56120933"/>
                    <a:ext cx="215401" cy="260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p</a:t>
                    </a:r>
                  </a:p>
                </xdr:txBody>
              </xdr:sp>
            </xdr:grpSp>
            <xdr:sp macro="" textlink="">
              <xdr:nvSpPr>
                <xdr:cNvPr id="109" name="Tekstvak 108"/>
                <xdr:cNvSpPr txBox="1"/>
              </xdr:nvSpPr>
              <xdr:spPr>
                <a:xfrm>
                  <a:off x="1441193" y="41468973"/>
                  <a:ext cx="311960" cy="325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C</a:t>
                  </a:r>
                </a:p>
              </xdr:txBody>
            </xdr:sp>
            <xdr:cxnSp macro="">
              <xdr:nvCxnSpPr>
                <xdr:cNvPr id="59837341" name="Rechte verbindingslijn 229"/>
                <xdr:cNvCxnSpPr>
                  <a:cxnSpLocks noChangeShapeType="1"/>
                </xdr:cNvCxnSpPr>
              </xdr:nvCxnSpPr>
              <xdr:spPr bwMode="auto">
                <a:xfrm flipH="1" flipV="1">
                  <a:off x="942983" y="41700455"/>
                  <a:ext cx="683975" cy="1375814"/>
                </a:xfrm>
                <a:prstGeom prst="line">
                  <a:avLst/>
                </a:prstGeom>
                <a:noFill/>
                <a:ln w="22225" algn="ctr">
                  <a:solidFill>
                    <a:srgbClr val="000000"/>
                  </a:solidFill>
                  <a:round/>
                  <a:headEnd/>
                  <a:tailEnd/>
                </a:ln>
              </xdr:spPr>
            </xdr:cxnSp>
          </xdr:grpSp>
          <xdr:cxnSp macro="">
            <xdr:nvCxnSpPr>
              <xdr:cNvPr id="59837337" name="Rechte verbindingslijn 464"/>
              <xdr:cNvCxnSpPr>
                <a:cxnSpLocks noChangeShapeType="1"/>
              </xdr:cNvCxnSpPr>
            </xdr:nvCxnSpPr>
            <xdr:spPr bwMode="auto">
              <a:xfrm>
                <a:off x="1076325" y="35328226"/>
                <a:ext cx="723900" cy="9"/>
              </a:xfrm>
              <a:prstGeom prst="line">
                <a:avLst/>
              </a:prstGeom>
              <a:noFill/>
              <a:ln w="22225" algn="ctr">
                <a:solidFill>
                  <a:srgbClr val="000000"/>
                </a:solidFill>
                <a:round/>
                <a:headEnd/>
                <a:tailEnd/>
              </a:ln>
            </xdr:spPr>
          </xdr:cxnSp>
        </xdr:grpSp>
      </xdr:grpSp>
    </xdr:grpSp>
    <xdr:clientData/>
  </xdr:twoCellAnchor>
  <xdr:twoCellAnchor>
    <xdr:from>
      <xdr:col>10</xdr:col>
      <xdr:colOff>7620</xdr:colOff>
      <xdr:row>339</xdr:row>
      <xdr:rowOff>76200</xdr:rowOff>
    </xdr:from>
    <xdr:to>
      <xdr:col>91</xdr:col>
      <xdr:colOff>30480</xdr:colOff>
      <xdr:row>352</xdr:row>
      <xdr:rowOff>0</xdr:rowOff>
    </xdr:to>
    <xdr:grpSp>
      <xdr:nvGrpSpPr>
        <xdr:cNvPr id="59837071" name="Groep 288"/>
        <xdr:cNvGrpSpPr>
          <a:grpSpLocks/>
        </xdr:cNvGrpSpPr>
      </xdr:nvGrpSpPr>
      <xdr:grpSpPr bwMode="auto">
        <a:xfrm>
          <a:off x="647700" y="51130200"/>
          <a:ext cx="3749040" cy="2689860"/>
          <a:chOff x="883922" y="64756953"/>
          <a:chExt cx="3747014" cy="2780905"/>
        </a:xfrm>
      </xdr:grpSpPr>
      <xdr:grpSp>
        <xdr:nvGrpSpPr>
          <xdr:cNvPr id="59837308" name="Groep 287"/>
          <xdr:cNvGrpSpPr>
            <a:grpSpLocks/>
          </xdr:cNvGrpSpPr>
        </xdr:nvGrpSpPr>
        <xdr:grpSpPr bwMode="auto">
          <a:xfrm>
            <a:off x="1264916" y="65044320"/>
            <a:ext cx="1736221" cy="1762116"/>
            <a:chOff x="1264916" y="65044320"/>
            <a:chExt cx="1736221" cy="1762116"/>
          </a:xfrm>
        </xdr:grpSpPr>
        <xdr:sp macro="" textlink="">
          <xdr:nvSpPr>
            <xdr:cNvPr id="59837326" name="Rechthoekige driehoek 279"/>
            <xdr:cNvSpPr>
              <a:spLocks noChangeArrowheads="1"/>
            </xdr:cNvSpPr>
          </xdr:nvSpPr>
          <xdr:spPr bwMode="auto">
            <a:xfrm>
              <a:off x="1272540" y="65044320"/>
              <a:ext cx="1728597" cy="1762116"/>
            </a:xfrm>
            <a:prstGeom prst="rtTriangle">
              <a:avLst/>
            </a:prstGeom>
            <a:solidFill>
              <a:srgbClr val="FFC000"/>
            </a:solidFill>
            <a:ln w="22225" algn="ctr">
              <a:noFill/>
              <a:round/>
              <a:headEnd/>
              <a:tailEnd/>
            </a:ln>
          </xdr:spPr>
        </xdr:sp>
        <xdr:sp macro="" textlink="">
          <xdr:nvSpPr>
            <xdr:cNvPr id="59837327" name="Rechthoek 286"/>
            <xdr:cNvSpPr>
              <a:spLocks noChangeArrowheads="1"/>
            </xdr:cNvSpPr>
          </xdr:nvSpPr>
          <xdr:spPr bwMode="auto">
            <a:xfrm>
              <a:off x="1264916" y="65899777"/>
              <a:ext cx="837547" cy="897153"/>
            </a:xfrm>
            <a:prstGeom prst="rect">
              <a:avLst/>
            </a:prstGeom>
            <a:solidFill>
              <a:srgbClr val="FFFFFF">
                <a:alpha val="63921"/>
              </a:srgbClr>
            </a:solidFill>
            <a:ln w="22225" algn="ctr">
              <a:noFill/>
              <a:round/>
              <a:headEnd/>
              <a:tailEnd/>
            </a:ln>
          </xdr:spPr>
        </xdr:sp>
      </xdr:grpSp>
      <xdr:grpSp>
        <xdr:nvGrpSpPr>
          <xdr:cNvPr id="59837309" name="Groep 147"/>
          <xdr:cNvGrpSpPr>
            <a:grpSpLocks/>
          </xdr:cNvGrpSpPr>
        </xdr:nvGrpSpPr>
        <xdr:grpSpPr bwMode="auto">
          <a:xfrm>
            <a:off x="883922" y="64756953"/>
            <a:ext cx="2924499" cy="2780905"/>
            <a:chOff x="830582" y="61084113"/>
            <a:chExt cx="2924499" cy="2780905"/>
          </a:xfrm>
        </xdr:grpSpPr>
        <xdr:grpSp>
          <xdr:nvGrpSpPr>
            <xdr:cNvPr id="59837312" name="Groep 144"/>
            <xdr:cNvGrpSpPr>
              <a:grpSpLocks/>
            </xdr:cNvGrpSpPr>
          </xdr:nvGrpSpPr>
          <xdr:grpSpPr bwMode="auto">
            <a:xfrm>
              <a:off x="830582" y="61084113"/>
              <a:ext cx="2793931" cy="2438053"/>
              <a:chOff x="830582" y="61084113"/>
              <a:chExt cx="2793931" cy="2438053"/>
            </a:xfrm>
          </xdr:grpSpPr>
          <xdr:grpSp>
            <xdr:nvGrpSpPr>
              <xdr:cNvPr id="59837314" name="Groep 507"/>
              <xdr:cNvGrpSpPr>
                <a:grpSpLocks/>
              </xdr:cNvGrpSpPr>
            </xdr:nvGrpSpPr>
            <xdr:grpSpPr bwMode="auto">
              <a:xfrm>
                <a:off x="830582" y="61084113"/>
                <a:ext cx="2793931" cy="2430431"/>
                <a:chOff x="1080277" y="32198418"/>
                <a:chExt cx="1389869" cy="2483824"/>
              </a:xfrm>
            </xdr:grpSpPr>
            <xdr:grpSp>
              <xdr:nvGrpSpPr>
                <xdr:cNvPr id="59837317" name="Groep 247"/>
                <xdr:cNvGrpSpPr>
                  <a:grpSpLocks/>
                </xdr:cNvGrpSpPr>
              </xdr:nvGrpSpPr>
              <xdr:grpSpPr bwMode="auto">
                <a:xfrm>
                  <a:off x="1080277" y="32198418"/>
                  <a:ext cx="1389869" cy="2483824"/>
                  <a:chOff x="1052757" y="47962292"/>
                  <a:chExt cx="1391678" cy="2484317"/>
                </a:xfrm>
              </xdr:grpSpPr>
              <xdr:grpSp>
                <xdr:nvGrpSpPr>
                  <xdr:cNvPr id="59837319" name="Group 420"/>
                  <xdr:cNvGrpSpPr>
                    <a:grpSpLocks/>
                  </xdr:cNvGrpSpPr>
                </xdr:nvGrpSpPr>
                <xdr:grpSpPr bwMode="auto">
                  <a:xfrm>
                    <a:off x="1052757" y="47962292"/>
                    <a:ext cx="1391678" cy="2466385"/>
                    <a:chOff x="212" y="6697"/>
                    <a:chExt cx="82" cy="154"/>
                  </a:xfrm>
                </xdr:grpSpPr>
                <xdr:grpSp>
                  <xdr:nvGrpSpPr>
                    <xdr:cNvPr id="59837322" name="Group 240"/>
                    <xdr:cNvGrpSpPr>
                      <a:grpSpLocks/>
                    </xdr:cNvGrpSpPr>
                  </xdr:nvGrpSpPr>
                  <xdr:grpSpPr bwMode="auto">
                    <a:xfrm>
                      <a:off x="223" y="6697"/>
                      <a:ext cx="71" cy="154"/>
                      <a:chOff x="246" y="4654"/>
                      <a:chExt cx="71" cy="154"/>
                    </a:xfrm>
                  </xdr:grpSpPr>
                  <xdr:sp macro="" textlink="">
                    <xdr:nvSpPr>
                      <xdr:cNvPr id="59837324" name="Line 238"/>
                      <xdr:cNvSpPr>
                        <a:spLocks noChangeShapeType="1"/>
                      </xdr:cNvSpPr>
                    </xdr:nvSpPr>
                    <xdr:spPr bwMode="auto">
                      <a:xfrm flipH="1">
                        <a:off x="246" y="4654"/>
                        <a:ext cx="0" cy="154"/>
                      </a:xfrm>
                      <a:prstGeom prst="line">
                        <a:avLst/>
                      </a:prstGeom>
                      <a:noFill/>
                      <a:ln w="25400">
                        <a:solidFill>
                          <a:srgbClr val="000000"/>
                        </a:solidFill>
                        <a:round/>
                        <a:headEnd/>
                        <a:tailEnd/>
                      </a:ln>
                    </xdr:spPr>
                  </xdr:sp>
                  <xdr:sp macro="" textlink="">
                    <xdr:nvSpPr>
                      <xdr:cNvPr id="59837325" name="Line 239"/>
                      <xdr:cNvSpPr>
                        <a:spLocks noChangeShapeType="1"/>
                      </xdr:cNvSpPr>
                    </xdr:nvSpPr>
                    <xdr:spPr bwMode="auto">
                      <a:xfrm>
                        <a:off x="246" y="4807"/>
                        <a:ext cx="71" cy="0"/>
                      </a:xfrm>
                      <a:prstGeom prst="line">
                        <a:avLst/>
                      </a:prstGeom>
                      <a:noFill/>
                      <a:ln w="25400">
                        <a:solidFill>
                          <a:srgbClr val="000000"/>
                        </a:solidFill>
                        <a:round/>
                        <a:headEnd/>
                        <a:tailEnd/>
                      </a:ln>
                    </xdr:spPr>
                  </xdr:sp>
                </xdr:grpSp>
                <xdr:sp macro="" textlink="">
                  <xdr:nvSpPr>
                    <xdr:cNvPr id="346" name="Text Box 256"/>
                    <xdr:cNvSpPr txBox="1">
                      <a:spLocks noChangeArrowheads="1"/>
                    </xdr:cNvSpPr>
                  </xdr:nvSpPr>
                  <xdr:spPr bwMode="auto">
                    <a:xfrm>
                      <a:off x="212" y="6697"/>
                      <a:ext cx="12" cy="22"/>
                    </a:xfrm>
                    <a:prstGeom prst="rect">
                      <a:avLst/>
                    </a:prstGeom>
                    <a:noFill/>
                    <a:ln w="25400">
                      <a:noFill/>
                      <a:round/>
                      <a:headEnd/>
                      <a:tailEnd/>
                    </a:ln>
                  </xdr:spPr>
                  <xdr:txBody>
                    <a:bodyPr vertOverflow="clip" wrap="square" lIns="27432" tIns="22860" rIns="27432" bIns="0" anchor="t" upright="1"/>
                    <a:lstStyle/>
                    <a:p>
                      <a:pPr algn="ctr" rtl="0">
                        <a:defRPr sz="1000"/>
                      </a:pPr>
                      <a:r>
                        <a:rPr lang="nl-NL" sz="1000" b="1" i="0" u="none" strike="noStrike" baseline="0">
                          <a:solidFill>
                            <a:srgbClr val="000000"/>
                          </a:solidFill>
                          <a:latin typeface="Arial"/>
                          <a:cs typeface="Arial"/>
                        </a:rPr>
                        <a:t>€ </a:t>
                      </a:r>
                    </a:p>
                  </xdr:txBody>
                </xdr:sp>
              </xdr:grpSp>
              <xdr:sp macro="" textlink="">
                <xdr:nvSpPr>
                  <xdr:cNvPr id="338" name="Text Box 253"/>
                  <xdr:cNvSpPr txBox="1">
                    <a:spLocks noChangeArrowheads="1"/>
                  </xdr:cNvSpPr>
                </xdr:nvSpPr>
                <xdr:spPr bwMode="auto">
                  <a:xfrm>
                    <a:off x="1276575" y="50144541"/>
                    <a:ext cx="466604" cy="233525"/>
                  </a:xfrm>
                  <a:prstGeom prst="rect">
                    <a:avLst/>
                  </a:prstGeom>
                  <a:noFill/>
                  <a:ln w="25400">
                    <a:noFill/>
                    <a:round/>
                    <a:headEnd/>
                    <a:tailEnd/>
                  </a:ln>
                </xdr:spPr>
                <xdr:txBody>
                  <a:bodyPr vertOverflow="clip" wrap="square" lIns="27432" tIns="22860" rIns="27432" bIns="0" anchor="t" upright="1"/>
                  <a:lstStyle/>
                  <a:p>
                    <a:pPr marL="0" indent="0" algn="l" rtl="0">
                      <a:defRPr sz="1000"/>
                    </a:pPr>
                    <a:r>
                      <a:rPr lang="nl-NL" sz="1000" b="1" i="0" u="none" strike="noStrike" baseline="0">
                        <a:solidFill>
                          <a:srgbClr val="000000"/>
                        </a:solidFill>
                        <a:latin typeface="Arial"/>
                        <a:ea typeface="+mn-ea"/>
                        <a:cs typeface="Arial"/>
                      </a:rPr>
                      <a:t>MO géén pd</a:t>
                    </a:r>
                  </a:p>
                </xdr:txBody>
              </xdr:sp>
              <xdr:sp macro="" textlink="">
                <xdr:nvSpPr>
                  <xdr:cNvPr id="339" name="Text Box 253"/>
                  <xdr:cNvSpPr txBox="1">
                    <a:spLocks noChangeArrowheads="1"/>
                  </xdr:cNvSpPr>
                </xdr:nvSpPr>
                <xdr:spPr bwMode="auto">
                  <a:xfrm>
                    <a:off x="1697657" y="49250705"/>
                    <a:ext cx="569029" cy="322103"/>
                  </a:xfrm>
                  <a:prstGeom prst="rect">
                    <a:avLst/>
                  </a:prstGeom>
                  <a:noFill/>
                  <a:ln w="25400">
                    <a:noFill/>
                    <a:round/>
                    <a:headEnd/>
                    <a:tailEnd/>
                  </a:ln>
                </xdr:spPr>
                <xdr:txBody>
                  <a:bodyPr vertOverflow="clip" wrap="square" lIns="27432" tIns="22860" rIns="27432" bIns="0" anchor="t" upright="1"/>
                  <a:lstStyle/>
                  <a:p>
                    <a:pPr marL="0" indent="0" algn="ctr" rtl="0">
                      <a:defRPr sz="1000"/>
                    </a:pPr>
                    <a:r>
                      <a:rPr lang="nl-NL" sz="1000" b="1" i="0" u="none" strike="noStrike" baseline="0">
                        <a:solidFill>
                          <a:srgbClr val="000000"/>
                        </a:solidFill>
                        <a:latin typeface="Arial"/>
                        <a:ea typeface="+mn-ea"/>
                        <a:cs typeface="Arial"/>
                      </a:rPr>
                      <a:t>vraaglijn</a:t>
                    </a:r>
                  </a:p>
                </xdr:txBody>
              </xdr:sp>
            </xdr:grpSp>
            <xdr:sp macro="" textlink="">
              <xdr:nvSpPr>
                <xdr:cNvPr id="59837318" name="Line 241"/>
                <xdr:cNvSpPr>
                  <a:spLocks noChangeShapeType="1"/>
                </xdr:cNvSpPr>
              </xdr:nvSpPr>
              <xdr:spPr bwMode="auto">
                <a:xfrm flipH="1" flipV="1">
                  <a:off x="1275139" y="32483745"/>
                  <a:ext cx="1029515" cy="2157683"/>
                </a:xfrm>
                <a:prstGeom prst="line">
                  <a:avLst/>
                </a:prstGeom>
                <a:noFill/>
                <a:ln w="25400">
                  <a:solidFill>
                    <a:srgbClr val="000000"/>
                  </a:solidFill>
                  <a:round/>
                  <a:headEnd/>
                  <a:tailEnd/>
                </a:ln>
              </xdr:spPr>
            </xdr:sp>
          </xdr:grpSp>
          <xdr:sp macro="" textlink="">
            <xdr:nvSpPr>
              <xdr:cNvPr id="59837315" name="Line 241"/>
              <xdr:cNvSpPr>
                <a:spLocks noChangeShapeType="1"/>
              </xdr:cNvSpPr>
            </xdr:nvSpPr>
            <xdr:spPr bwMode="auto">
              <a:xfrm flipH="1" flipV="1">
                <a:off x="1226820" y="61363860"/>
                <a:ext cx="998220" cy="2118360"/>
              </a:xfrm>
              <a:prstGeom prst="line">
                <a:avLst/>
              </a:prstGeom>
              <a:noFill/>
              <a:ln w="25400">
                <a:solidFill>
                  <a:srgbClr val="000000"/>
                </a:solidFill>
                <a:round/>
                <a:headEnd/>
                <a:tailEnd/>
              </a:ln>
            </xdr:spPr>
          </xdr:sp>
          <xdr:sp macro="" textlink="">
            <xdr:nvSpPr>
              <xdr:cNvPr id="333" name="Text Box 253"/>
              <xdr:cNvSpPr txBox="1">
                <a:spLocks noChangeArrowheads="1"/>
              </xdr:cNvSpPr>
            </xdr:nvSpPr>
            <xdr:spPr bwMode="auto">
              <a:xfrm>
                <a:off x="2300448" y="63234784"/>
                <a:ext cx="936754" cy="283605"/>
              </a:xfrm>
              <a:prstGeom prst="rect">
                <a:avLst/>
              </a:prstGeom>
              <a:noFill/>
              <a:ln w="25400">
                <a:noFill/>
                <a:round/>
                <a:headEnd/>
                <a:tailEnd/>
              </a:ln>
            </xdr:spPr>
            <xdr:txBody>
              <a:bodyPr vertOverflow="clip" wrap="square" lIns="27432" tIns="22860" rIns="27432" bIns="0" anchor="t" upright="1"/>
              <a:lstStyle/>
              <a:p>
                <a:pPr marL="0" indent="0" algn="l" rtl="0">
                  <a:defRPr sz="1000"/>
                </a:pPr>
                <a:r>
                  <a:rPr lang="nl-NL" sz="1000" b="1" i="0" u="none" strike="noStrike" baseline="0">
                    <a:solidFill>
                      <a:srgbClr val="000000"/>
                    </a:solidFill>
                    <a:latin typeface="Arial"/>
                    <a:ea typeface="+mn-ea"/>
                    <a:cs typeface="Arial"/>
                  </a:rPr>
                  <a:t>GO géén pd</a:t>
                </a:r>
              </a:p>
            </xdr:txBody>
          </xdr:sp>
        </xdr:grpSp>
        <xdr:sp macro="" textlink="">
          <xdr:nvSpPr>
            <xdr:cNvPr id="329" name="Text Box 256"/>
            <xdr:cNvSpPr txBox="1">
              <a:spLocks noChangeArrowheads="1"/>
            </xdr:cNvSpPr>
          </xdr:nvSpPr>
          <xdr:spPr bwMode="auto">
            <a:xfrm>
              <a:off x="3343823" y="63518390"/>
              <a:ext cx="411258" cy="346628"/>
            </a:xfrm>
            <a:prstGeom prst="rect">
              <a:avLst/>
            </a:prstGeom>
            <a:noFill/>
            <a:ln w="25400">
              <a:noFill/>
              <a:round/>
              <a:headEnd/>
              <a:tailEnd/>
            </a:ln>
          </xdr:spPr>
          <xdr:txBody>
            <a:bodyPr vertOverflow="clip" wrap="square" lIns="27432" tIns="22860" rIns="27432" bIns="0" anchor="t" upright="1"/>
            <a:lstStyle/>
            <a:p>
              <a:pPr algn="ctr" rtl="0">
                <a:defRPr sz="1000"/>
              </a:pPr>
              <a:r>
                <a:rPr lang="nl-NL" sz="1000" b="1" i="0" u="none" strike="noStrike" baseline="0">
                  <a:solidFill>
                    <a:srgbClr val="000000"/>
                  </a:solidFill>
                  <a:latin typeface="Arial"/>
                  <a:cs typeface="Arial"/>
                </a:rPr>
                <a:t>q</a:t>
              </a:r>
            </a:p>
          </xdr:txBody>
        </xdr:sp>
      </xdr:grpSp>
      <xdr:cxnSp macro="">
        <xdr:nvCxnSpPr>
          <xdr:cNvPr id="59837310" name="Rechte verbindingslijn 274"/>
          <xdr:cNvCxnSpPr>
            <a:cxnSpLocks noChangeShapeType="1"/>
          </xdr:cNvCxnSpPr>
        </xdr:nvCxnSpPr>
        <xdr:spPr bwMode="auto">
          <a:xfrm>
            <a:off x="1249484" y="66791198"/>
            <a:ext cx="2254301" cy="0"/>
          </a:xfrm>
          <a:prstGeom prst="line">
            <a:avLst/>
          </a:prstGeom>
          <a:noFill/>
          <a:ln w="22225" algn="ctr">
            <a:solidFill>
              <a:srgbClr val="0000CC"/>
            </a:solidFill>
            <a:round/>
            <a:headEnd/>
            <a:tailEnd/>
          </a:ln>
        </xdr:spPr>
      </xdr:cxnSp>
      <xdr:sp macro="" textlink="">
        <xdr:nvSpPr>
          <xdr:cNvPr id="327" name="Text Box 253"/>
          <xdr:cNvSpPr txBox="1">
            <a:spLocks noChangeArrowheads="1"/>
          </xdr:cNvSpPr>
        </xdr:nvSpPr>
        <xdr:spPr bwMode="auto">
          <a:xfrm>
            <a:off x="3305773" y="66584630"/>
            <a:ext cx="1325163" cy="330873"/>
          </a:xfrm>
          <a:prstGeom prst="rect">
            <a:avLst/>
          </a:prstGeom>
          <a:noFill/>
          <a:ln w="25400">
            <a:noFill/>
            <a:round/>
            <a:headEnd/>
            <a:tailEnd/>
          </a:ln>
        </xdr:spPr>
        <xdr:txBody>
          <a:bodyPr vertOverflow="clip" wrap="square" lIns="27432" tIns="22860" rIns="27432" bIns="0" anchor="t" upright="1"/>
          <a:lstStyle/>
          <a:p>
            <a:pPr marL="0" indent="0" algn="l" rtl="0">
              <a:defRPr sz="1000"/>
            </a:pPr>
            <a:r>
              <a:rPr lang="nl-NL" sz="1000" b="1" i="0" u="none" strike="noStrike" baseline="0">
                <a:solidFill>
                  <a:srgbClr val="0000CC"/>
                </a:solidFill>
                <a:latin typeface="Arial"/>
                <a:ea typeface="+mn-ea"/>
                <a:cs typeface="Arial"/>
              </a:rPr>
              <a:t>MK-lijn = aanbodlijn</a:t>
            </a:r>
          </a:p>
        </xdr:txBody>
      </xdr:sp>
    </xdr:grpSp>
    <xdr:clientData/>
  </xdr:twoCellAnchor>
  <xdr:twoCellAnchor>
    <xdr:from>
      <xdr:col>10</xdr:col>
      <xdr:colOff>0</xdr:colOff>
      <xdr:row>353</xdr:row>
      <xdr:rowOff>144780</xdr:rowOff>
    </xdr:from>
    <xdr:to>
      <xdr:col>167</xdr:col>
      <xdr:colOff>647700</xdr:colOff>
      <xdr:row>363</xdr:row>
      <xdr:rowOff>160020</xdr:rowOff>
    </xdr:to>
    <xdr:grpSp>
      <xdr:nvGrpSpPr>
        <xdr:cNvPr id="59837073" name="Groep 448"/>
        <xdr:cNvGrpSpPr>
          <a:grpSpLocks/>
        </xdr:cNvGrpSpPr>
      </xdr:nvGrpSpPr>
      <xdr:grpSpPr bwMode="auto">
        <a:xfrm>
          <a:off x="640080" y="54178200"/>
          <a:ext cx="7848600" cy="2148840"/>
          <a:chOff x="640080" y="84848700"/>
          <a:chExt cx="7840980" cy="2156460"/>
        </a:xfrm>
      </xdr:grpSpPr>
      <xdr:grpSp>
        <xdr:nvGrpSpPr>
          <xdr:cNvPr id="59837219" name="Groep 312"/>
          <xdr:cNvGrpSpPr>
            <a:grpSpLocks/>
          </xdr:cNvGrpSpPr>
        </xdr:nvGrpSpPr>
        <xdr:grpSpPr bwMode="auto">
          <a:xfrm>
            <a:off x="640080" y="84848700"/>
            <a:ext cx="2560320" cy="2156460"/>
            <a:chOff x="3630716" y="8587740"/>
            <a:chExt cx="2876764" cy="2156460"/>
          </a:xfrm>
        </xdr:grpSpPr>
        <xdr:grpSp>
          <xdr:nvGrpSpPr>
            <xdr:cNvPr id="59837250" name="Groep 211"/>
            <xdr:cNvGrpSpPr>
              <a:grpSpLocks/>
            </xdr:cNvGrpSpPr>
          </xdr:nvGrpSpPr>
          <xdr:grpSpPr bwMode="auto">
            <a:xfrm>
              <a:off x="3630716" y="8587740"/>
              <a:ext cx="2876764" cy="2156460"/>
              <a:chOff x="3630716" y="18265140"/>
              <a:chExt cx="2876764" cy="2156460"/>
            </a:xfrm>
          </xdr:grpSpPr>
          <xdr:grpSp>
            <xdr:nvGrpSpPr>
              <xdr:cNvPr id="59837252" name="Groep 128"/>
              <xdr:cNvGrpSpPr>
                <a:grpSpLocks/>
              </xdr:cNvGrpSpPr>
            </xdr:nvGrpSpPr>
            <xdr:grpSpPr bwMode="auto">
              <a:xfrm>
                <a:off x="3630716" y="18265140"/>
                <a:ext cx="2876764" cy="2156460"/>
                <a:chOff x="3760256" y="16885920"/>
                <a:chExt cx="2876764" cy="2156460"/>
              </a:xfrm>
            </xdr:grpSpPr>
            <xdr:grpSp>
              <xdr:nvGrpSpPr>
                <xdr:cNvPr id="59837254" name="Groep 126"/>
                <xdr:cNvGrpSpPr>
                  <a:grpSpLocks/>
                </xdr:cNvGrpSpPr>
              </xdr:nvGrpSpPr>
              <xdr:grpSpPr bwMode="auto">
                <a:xfrm>
                  <a:off x="4030980" y="17053560"/>
                  <a:ext cx="2606040" cy="1988820"/>
                  <a:chOff x="3886200" y="17419320"/>
                  <a:chExt cx="2606040" cy="1988820"/>
                </a:xfrm>
              </xdr:grpSpPr>
              <xdr:cxnSp macro="">
                <xdr:nvCxnSpPr>
                  <xdr:cNvPr id="59837256" name="Rechte verbindingslijn 94"/>
                  <xdr:cNvCxnSpPr>
                    <a:cxnSpLocks noChangeShapeType="1"/>
                  </xdr:cNvCxnSpPr>
                </xdr:nvCxnSpPr>
                <xdr:spPr bwMode="auto">
                  <a:xfrm flipV="1">
                    <a:off x="4015740" y="18318480"/>
                    <a:ext cx="1699260" cy="708660"/>
                  </a:xfrm>
                  <a:prstGeom prst="line">
                    <a:avLst/>
                  </a:prstGeom>
                  <a:noFill/>
                  <a:ln w="22225" algn="ctr">
                    <a:solidFill>
                      <a:srgbClr val="000000"/>
                    </a:solidFill>
                    <a:round/>
                    <a:headEnd/>
                    <a:tailEnd/>
                  </a:ln>
                </xdr:spPr>
              </xdr:cxnSp>
              <xdr:sp macro="" textlink="">
                <xdr:nvSpPr>
                  <xdr:cNvPr id="499" name="Tekstvak 498"/>
                  <xdr:cNvSpPr txBox="1"/>
                </xdr:nvSpPr>
                <xdr:spPr>
                  <a:xfrm>
                    <a:off x="5155103" y="17565208"/>
                    <a:ext cx="419121" cy="39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TO</a:t>
                    </a:r>
                  </a:p>
                </xdr:txBody>
              </xdr:sp>
              <xdr:sp macro="" textlink="">
                <xdr:nvSpPr>
                  <xdr:cNvPr id="500" name="Tekstvak 79"/>
                  <xdr:cNvSpPr txBox="1"/>
                </xdr:nvSpPr>
                <xdr:spPr>
                  <a:xfrm>
                    <a:off x="5001140" y="18536379"/>
                    <a:ext cx="504656" cy="39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TVK</a:t>
                    </a:r>
                  </a:p>
                </xdr:txBody>
              </xdr:sp>
              <xdr:grpSp>
                <xdr:nvGrpSpPr>
                  <xdr:cNvPr id="59837259" name="Groep 124"/>
                  <xdr:cNvGrpSpPr>
                    <a:grpSpLocks/>
                  </xdr:cNvGrpSpPr>
                </xdr:nvGrpSpPr>
                <xdr:grpSpPr bwMode="auto">
                  <a:xfrm>
                    <a:off x="3886200" y="17419320"/>
                    <a:ext cx="2606040" cy="1988820"/>
                    <a:chOff x="3886200" y="17419320"/>
                    <a:chExt cx="2606040" cy="1988820"/>
                  </a:xfrm>
                </xdr:grpSpPr>
                <xdr:sp macro="" textlink="">
                  <xdr:nvSpPr>
                    <xdr:cNvPr id="502" name="Tekstvak 501"/>
                    <xdr:cNvSpPr txBox="1"/>
                  </xdr:nvSpPr>
                  <xdr:spPr>
                    <a:xfrm>
                      <a:off x="3889187" y="19010495"/>
                      <a:ext cx="2608814" cy="39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                                            afzet</a:t>
                      </a:r>
                    </a:p>
                  </xdr:txBody>
                </xdr:sp>
                <xdr:grpSp>
                  <xdr:nvGrpSpPr>
                    <xdr:cNvPr id="59837261" name="Groep 123"/>
                    <xdr:cNvGrpSpPr>
                      <a:grpSpLocks/>
                    </xdr:cNvGrpSpPr>
                  </xdr:nvGrpSpPr>
                  <xdr:grpSpPr bwMode="auto">
                    <a:xfrm>
                      <a:off x="4000500" y="17419320"/>
                      <a:ext cx="1775460" cy="1623060"/>
                      <a:chOff x="4023360" y="17411700"/>
                      <a:chExt cx="1775460" cy="1623060"/>
                    </a:xfrm>
                  </xdr:grpSpPr>
                  <xdr:cxnSp macro="">
                    <xdr:nvCxnSpPr>
                      <xdr:cNvPr id="59837262" name="Rechte verbindingslijn 113"/>
                      <xdr:cNvCxnSpPr>
                        <a:cxnSpLocks noChangeShapeType="1"/>
                      </xdr:cNvCxnSpPr>
                    </xdr:nvCxnSpPr>
                    <xdr:spPr bwMode="auto">
                      <a:xfrm flipV="1">
                        <a:off x="4030980" y="17411700"/>
                        <a:ext cx="0" cy="1623060"/>
                      </a:xfrm>
                      <a:prstGeom prst="line">
                        <a:avLst/>
                      </a:prstGeom>
                      <a:noFill/>
                      <a:ln w="22225" algn="ctr">
                        <a:solidFill>
                          <a:srgbClr val="000000"/>
                        </a:solidFill>
                        <a:round/>
                        <a:headEnd/>
                        <a:tailEnd/>
                      </a:ln>
                    </xdr:spPr>
                  </xdr:cxnSp>
                  <xdr:cxnSp macro="">
                    <xdr:nvCxnSpPr>
                      <xdr:cNvPr id="59837263" name="Rechte verbindingslijn 119"/>
                      <xdr:cNvCxnSpPr>
                        <a:cxnSpLocks noChangeShapeType="1"/>
                      </xdr:cNvCxnSpPr>
                    </xdr:nvCxnSpPr>
                    <xdr:spPr bwMode="auto">
                      <a:xfrm>
                        <a:off x="4023360" y="19034760"/>
                        <a:ext cx="1775460" cy="0"/>
                      </a:xfrm>
                      <a:prstGeom prst="line">
                        <a:avLst/>
                      </a:prstGeom>
                      <a:noFill/>
                      <a:ln w="22225" algn="ctr">
                        <a:solidFill>
                          <a:srgbClr val="000000"/>
                        </a:solidFill>
                        <a:round/>
                        <a:headEnd/>
                        <a:tailEnd/>
                      </a:ln>
                    </xdr:spPr>
                  </xdr:cxnSp>
                </xdr:grpSp>
              </xdr:grpSp>
            </xdr:grpSp>
            <xdr:sp macro="" textlink="">
              <xdr:nvSpPr>
                <xdr:cNvPr id="59837255" name="Rechthoek 127"/>
                <xdr:cNvSpPr>
                  <a:spLocks noChangeArrowheads="1"/>
                </xdr:cNvSpPr>
              </xdr:nvSpPr>
              <xdr:spPr bwMode="auto">
                <a:xfrm>
                  <a:off x="3760256" y="16885920"/>
                  <a:ext cx="2663404" cy="2133600"/>
                </a:xfrm>
                <a:prstGeom prst="rect">
                  <a:avLst/>
                </a:prstGeom>
                <a:noFill/>
                <a:ln w="22225" algn="ctr">
                  <a:solidFill>
                    <a:srgbClr val="000000"/>
                  </a:solidFill>
                  <a:round/>
                  <a:headEnd/>
                  <a:tailEnd/>
                </a:ln>
              </xdr:spPr>
            </xdr:sp>
          </xdr:grpSp>
          <xdr:sp macro="" textlink="">
            <xdr:nvSpPr>
              <xdr:cNvPr id="59837253" name="Vrije vorm 203"/>
              <xdr:cNvSpPr>
                <a:spLocks/>
              </xdr:cNvSpPr>
            </xdr:nvSpPr>
            <xdr:spPr bwMode="auto">
              <a:xfrm>
                <a:off x="4030980" y="18547080"/>
                <a:ext cx="1691640" cy="1516380"/>
              </a:xfrm>
              <a:custGeom>
                <a:avLst/>
                <a:gdLst>
                  <a:gd name="T0" fmla="*/ 0 w 1790700"/>
                  <a:gd name="T1" fmla="*/ 2 h 1889760"/>
                  <a:gd name="T2" fmla="*/ 7606 w 1790700"/>
                  <a:gd name="T3" fmla="*/ 2 h 1889760"/>
                  <a:gd name="T4" fmla="*/ 16554 w 1790700"/>
                  <a:gd name="T5" fmla="*/ 2 h 1889760"/>
                  <a:gd name="T6" fmla="*/ 26618 w 1790700"/>
                  <a:gd name="T7" fmla="*/ 0 h 1889760"/>
                  <a:gd name="T8" fmla="*/ 36237 w 1790700"/>
                  <a:gd name="T9" fmla="*/ 2 h 1889760"/>
                  <a:gd name="T10" fmla="*/ 45407 w 1790700"/>
                  <a:gd name="T11" fmla="*/ 2 h 1889760"/>
                  <a:gd name="T12" fmla="*/ 52567 w 1790700"/>
                  <a:gd name="T13" fmla="*/ 2 h 1889760"/>
                  <a:gd name="T14" fmla="*/ 0 60000 65536"/>
                  <a:gd name="T15" fmla="*/ 0 60000 65536"/>
                  <a:gd name="T16" fmla="*/ 0 60000 65536"/>
                  <a:gd name="T17" fmla="*/ 0 60000 65536"/>
                  <a:gd name="T18" fmla="*/ 0 60000 65536"/>
                  <a:gd name="T19" fmla="*/ 0 60000 65536"/>
                  <a:gd name="T20" fmla="*/ 0 60000 65536"/>
                  <a:gd name="T21" fmla="*/ 0 w 1790700"/>
                  <a:gd name="T22" fmla="*/ 0 h 1889760"/>
                  <a:gd name="T23" fmla="*/ 1790700 w 1790700"/>
                  <a:gd name="T24" fmla="*/ 1889760 h 188976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790700" h="1889760">
                    <a:moveTo>
                      <a:pt x="0" y="1882140"/>
                    </a:moveTo>
                    <a:cubicBezTo>
                      <a:pt x="82550" y="1546860"/>
                      <a:pt x="165100" y="1211580"/>
                      <a:pt x="259080" y="944880"/>
                    </a:cubicBezTo>
                    <a:cubicBezTo>
                      <a:pt x="353060" y="678180"/>
                      <a:pt x="455930" y="439420"/>
                      <a:pt x="563880" y="281940"/>
                    </a:cubicBezTo>
                    <a:cubicBezTo>
                      <a:pt x="671830" y="124460"/>
                      <a:pt x="795020" y="0"/>
                      <a:pt x="906780" y="0"/>
                    </a:cubicBezTo>
                    <a:cubicBezTo>
                      <a:pt x="1018540" y="0"/>
                      <a:pt x="1127760" y="124460"/>
                      <a:pt x="1234440" y="281940"/>
                    </a:cubicBezTo>
                    <a:cubicBezTo>
                      <a:pt x="1341120" y="439420"/>
                      <a:pt x="1454150" y="676910"/>
                      <a:pt x="1546860" y="944880"/>
                    </a:cubicBezTo>
                    <a:cubicBezTo>
                      <a:pt x="1639570" y="1212850"/>
                      <a:pt x="1715135" y="1551305"/>
                      <a:pt x="1790700" y="1889760"/>
                    </a:cubicBezTo>
                  </a:path>
                </a:pathLst>
              </a:custGeom>
              <a:noFill/>
              <a:ln w="22225" cap="flat" cmpd="sng" algn="ctr">
                <a:solidFill>
                  <a:srgbClr val="000000"/>
                </a:solidFill>
                <a:prstDash val="solid"/>
                <a:round/>
                <a:headEnd type="none" w="med" len="med"/>
                <a:tailEnd type="none" w="med" len="med"/>
              </a:ln>
            </xdr:spPr>
          </xdr:sp>
        </xdr:grpSp>
        <xdr:sp macro="" textlink="">
          <xdr:nvSpPr>
            <xdr:cNvPr id="493" name="Tekstvak 492"/>
            <xdr:cNvSpPr txBox="1"/>
          </xdr:nvSpPr>
          <xdr:spPr bwMode="auto">
            <a:xfrm flipH="1">
              <a:off x="3690590" y="8778916"/>
              <a:ext cx="376353" cy="321175"/>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ysClr val="windowText" lastClr="000000"/>
                  </a:solidFill>
                </a:rPr>
                <a:t>€</a:t>
              </a:r>
            </a:p>
          </xdr:txBody>
        </xdr:sp>
      </xdr:grpSp>
      <xdr:grpSp>
        <xdr:nvGrpSpPr>
          <xdr:cNvPr id="59837220" name="Groep 519"/>
          <xdr:cNvGrpSpPr>
            <a:grpSpLocks/>
          </xdr:cNvGrpSpPr>
        </xdr:nvGrpSpPr>
        <xdr:grpSpPr bwMode="auto">
          <a:xfrm>
            <a:off x="3291841" y="84848700"/>
            <a:ext cx="2545080" cy="2156460"/>
            <a:chOff x="3291841" y="84848700"/>
            <a:chExt cx="2545080" cy="2156460"/>
          </a:xfrm>
        </xdr:grpSpPr>
        <xdr:grpSp>
          <xdr:nvGrpSpPr>
            <xdr:cNvPr id="59837236" name="Groep 312"/>
            <xdr:cNvGrpSpPr>
              <a:grpSpLocks/>
            </xdr:cNvGrpSpPr>
          </xdr:nvGrpSpPr>
          <xdr:grpSpPr bwMode="auto">
            <a:xfrm>
              <a:off x="3291841" y="84848700"/>
              <a:ext cx="2545080" cy="2156460"/>
              <a:chOff x="3647840" y="8587740"/>
              <a:chExt cx="2859640" cy="2156460"/>
            </a:xfrm>
          </xdr:grpSpPr>
          <xdr:grpSp>
            <xdr:nvGrpSpPr>
              <xdr:cNvPr id="59837238" name="Groep 128"/>
              <xdr:cNvGrpSpPr>
                <a:grpSpLocks/>
              </xdr:cNvGrpSpPr>
            </xdr:nvGrpSpPr>
            <xdr:grpSpPr bwMode="auto">
              <a:xfrm>
                <a:off x="3647840" y="8587740"/>
                <a:ext cx="2859640" cy="2156460"/>
                <a:chOff x="3777380" y="16885920"/>
                <a:chExt cx="2859640" cy="2156460"/>
              </a:xfrm>
            </xdr:grpSpPr>
            <xdr:grpSp>
              <xdr:nvGrpSpPr>
                <xdr:cNvPr id="59837240" name="Groep 126"/>
                <xdr:cNvGrpSpPr>
                  <a:grpSpLocks/>
                </xdr:cNvGrpSpPr>
              </xdr:nvGrpSpPr>
              <xdr:grpSpPr bwMode="auto">
                <a:xfrm>
                  <a:off x="4030980" y="17053560"/>
                  <a:ext cx="2606040" cy="1988820"/>
                  <a:chOff x="3886200" y="17419320"/>
                  <a:chExt cx="2606040" cy="1988820"/>
                </a:xfrm>
              </xdr:grpSpPr>
              <xdr:cxnSp macro="">
                <xdr:nvCxnSpPr>
                  <xdr:cNvPr id="59837242" name="Rechte verbindingslijn 94"/>
                  <xdr:cNvCxnSpPr>
                    <a:cxnSpLocks noChangeShapeType="1"/>
                  </xdr:cNvCxnSpPr>
                </xdr:nvCxnSpPr>
                <xdr:spPr bwMode="auto">
                  <a:xfrm flipV="1">
                    <a:off x="4015740" y="18318480"/>
                    <a:ext cx="1699260" cy="708660"/>
                  </a:xfrm>
                  <a:prstGeom prst="line">
                    <a:avLst/>
                  </a:prstGeom>
                  <a:noFill/>
                  <a:ln w="22225" algn="ctr">
                    <a:solidFill>
                      <a:srgbClr val="000000"/>
                    </a:solidFill>
                    <a:round/>
                    <a:headEnd/>
                    <a:tailEnd/>
                  </a:ln>
                </xdr:spPr>
              </xdr:cxnSp>
              <xdr:sp macro="" textlink="">
                <xdr:nvSpPr>
                  <xdr:cNvPr id="481" name="Tekstvak 480"/>
                  <xdr:cNvSpPr txBox="1"/>
                </xdr:nvSpPr>
                <xdr:spPr>
                  <a:xfrm>
                    <a:off x="4946943" y="17672266"/>
                    <a:ext cx="427674" cy="39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TO</a:t>
                    </a:r>
                  </a:p>
                </xdr:txBody>
              </xdr:sp>
              <xdr:sp macro="" textlink="">
                <xdr:nvSpPr>
                  <xdr:cNvPr id="482" name="Tekstvak 79"/>
                  <xdr:cNvSpPr txBox="1"/>
                </xdr:nvSpPr>
                <xdr:spPr>
                  <a:xfrm>
                    <a:off x="5006818" y="18536379"/>
                    <a:ext cx="496102" cy="39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TVK</a:t>
                    </a:r>
                  </a:p>
                </xdr:txBody>
              </xdr:sp>
              <xdr:grpSp>
                <xdr:nvGrpSpPr>
                  <xdr:cNvPr id="59837245" name="Groep 124"/>
                  <xdr:cNvGrpSpPr>
                    <a:grpSpLocks/>
                  </xdr:cNvGrpSpPr>
                </xdr:nvGrpSpPr>
                <xdr:grpSpPr bwMode="auto">
                  <a:xfrm>
                    <a:off x="3886200" y="17419320"/>
                    <a:ext cx="2606040" cy="1988820"/>
                    <a:chOff x="3886200" y="17419320"/>
                    <a:chExt cx="2606040" cy="1988820"/>
                  </a:xfrm>
                </xdr:grpSpPr>
                <xdr:sp macro="" textlink="">
                  <xdr:nvSpPr>
                    <xdr:cNvPr id="484" name="Tekstvak 483"/>
                    <xdr:cNvSpPr txBox="1"/>
                  </xdr:nvSpPr>
                  <xdr:spPr>
                    <a:xfrm>
                      <a:off x="3886311" y="19010495"/>
                      <a:ext cx="2608813" cy="39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                                            afzet</a:t>
                      </a:r>
                    </a:p>
                  </xdr:txBody>
                </xdr:sp>
                <xdr:grpSp>
                  <xdr:nvGrpSpPr>
                    <xdr:cNvPr id="59837247" name="Groep 123"/>
                    <xdr:cNvGrpSpPr>
                      <a:grpSpLocks/>
                    </xdr:cNvGrpSpPr>
                  </xdr:nvGrpSpPr>
                  <xdr:grpSpPr bwMode="auto">
                    <a:xfrm>
                      <a:off x="4000500" y="17419320"/>
                      <a:ext cx="1775460" cy="1623060"/>
                      <a:chOff x="4023360" y="17411700"/>
                      <a:chExt cx="1775460" cy="1623060"/>
                    </a:xfrm>
                  </xdr:grpSpPr>
                  <xdr:cxnSp macro="">
                    <xdr:nvCxnSpPr>
                      <xdr:cNvPr id="59837248" name="Rechte verbindingslijn 113"/>
                      <xdr:cNvCxnSpPr>
                        <a:cxnSpLocks noChangeShapeType="1"/>
                      </xdr:cNvCxnSpPr>
                    </xdr:nvCxnSpPr>
                    <xdr:spPr bwMode="auto">
                      <a:xfrm flipV="1">
                        <a:off x="4030980" y="17411700"/>
                        <a:ext cx="0" cy="1623060"/>
                      </a:xfrm>
                      <a:prstGeom prst="line">
                        <a:avLst/>
                      </a:prstGeom>
                      <a:noFill/>
                      <a:ln w="22225" algn="ctr">
                        <a:solidFill>
                          <a:srgbClr val="000000"/>
                        </a:solidFill>
                        <a:round/>
                        <a:headEnd/>
                        <a:tailEnd/>
                      </a:ln>
                    </xdr:spPr>
                  </xdr:cxnSp>
                  <xdr:cxnSp macro="">
                    <xdr:nvCxnSpPr>
                      <xdr:cNvPr id="59837249" name="Rechte verbindingslijn 119"/>
                      <xdr:cNvCxnSpPr>
                        <a:cxnSpLocks noChangeShapeType="1"/>
                      </xdr:cNvCxnSpPr>
                    </xdr:nvCxnSpPr>
                    <xdr:spPr bwMode="auto">
                      <a:xfrm>
                        <a:off x="4023360" y="19034760"/>
                        <a:ext cx="1775460" cy="0"/>
                      </a:xfrm>
                      <a:prstGeom prst="line">
                        <a:avLst/>
                      </a:prstGeom>
                      <a:noFill/>
                      <a:ln w="22225" algn="ctr">
                        <a:solidFill>
                          <a:srgbClr val="000000"/>
                        </a:solidFill>
                        <a:round/>
                        <a:headEnd/>
                        <a:tailEnd/>
                      </a:ln>
                    </xdr:spPr>
                  </xdr:cxnSp>
                </xdr:grpSp>
              </xdr:grpSp>
            </xdr:grpSp>
            <xdr:sp macro="" textlink="">
              <xdr:nvSpPr>
                <xdr:cNvPr id="59837241" name="Rechthoek 127"/>
                <xdr:cNvSpPr>
                  <a:spLocks noChangeArrowheads="1"/>
                </xdr:cNvSpPr>
              </xdr:nvSpPr>
              <xdr:spPr bwMode="auto">
                <a:xfrm>
                  <a:off x="3777380" y="16885920"/>
                  <a:ext cx="2646281" cy="2133600"/>
                </a:xfrm>
                <a:prstGeom prst="rect">
                  <a:avLst/>
                </a:prstGeom>
                <a:noFill/>
                <a:ln w="22225" algn="ctr">
                  <a:solidFill>
                    <a:srgbClr val="000000"/>
                  </a:solidFill>
                  <a:round/>
                  <a:headEnd/>
                  <a:tailEnd/>
                </a:ln>
              </xdr:spPr>
            </xdr:sp>
          </xdr:grpSp>
          <xdr:sp macro="" textlink="">
            <xdr:nvSpPr>
              <xdr:cNvPr id="477" name="Tekstvak 476"/>
              <xdr:cNvSpPr txBox="1"/>
            </xdr:nvSpPr>
            <xdr:spPr bwMode="auto">
              <a:xfrm flipH="1">
                <a:off x="3713374" y="8778916"/>
                <a:ext cx="350693" cy="321175"/>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ysClr val="windowText" lastClr="000000"/>
                    </a:solidFill>
                  </a:rPr>
                  <a:t>€ </a:t>
                </a:r>
              </a:p>
            </xdr:txBody>
          </xdr:sp>
        </xdr:grpSp>
        <xdr:sp macro="" textlink="">
          <xdr:nvSpPr>
            <xdr:cNvPr id="59837237" name="Vrije vorm 470"/>
            <xdr:cNvSpPr>
              <a:spLocks/>
            </xdr:cNvSpPr>
          </xdr:nvSpPr>
          <xdr:spPr bwMode="auto">
            <a:xfrm>
              <a:off x="3627120" y="85168740"/>
              <a:ext cx="1539240" cy="1463040"/>
            </a:xfrm>
            <a:custGeom>
              <a:avLst/>
              <a:gdLst>
                <a:gd name="T0" fmla="*/ 0 w 1508760"/>
                <a:gd name="T1" fmla="*/ 699070 h 1508760"/>
                <a:gd name="T2" fmla="*/ 489974 w 1508760"/>
                <a:gd name="T3" fmla="*/ 384841 h 1508760"/>
                <a:gd name="T4" fmla="*/ 1118151 w 1508760"/>
                <a:gd name="T5" fmla="*/ 148288 h 1508760"/>
                <a:gd name="T6" fmla="*/ 1733758 w 1508760"/>
                <a:gd name="T7" fmla="*/ 35307 h 1508760"/>
                <a:gd name="T8" fmla="*/ 2487563 w 1508760"/>
                <a:gd name="T9" fmla="*/ 0 h 1508760"/>
                <a:gd name="T10" fmla="*/ 0 60000 65536"/>
                <a:gd name="T11" fmla="*/ 0 60000 65536"/>
                <a:gd name="T12" fmla="*/ 0 60000 65536"/>
                <a:gd name="T13" fmla="*/ 0 60000 65536"/>
                <a:gd name="T14" fmla="*/ 0 60000 65536"/>
                <a:gd name="T15" fmla="*/ 0 w 1508760"/>
                <a:gd name="T16" fmla="*/ 0 h 1508760"/>
                <a:gd name="T17" fmla="*/ 1508760 w 1508760"/>
                <a:gd name="T18" fmla="*/ 1508760 h 1508760"/>
              </a:gdLst>
              <a:ahLst/>
              <a:cxnLst>
                <a:cxn ang="T10">
                  <a:pos x="T0" y="T1"/>
                </a:cxn>
                <a:cxn ang="T11">
                  <a:pos x="T2" y="T3"/>
                </a:cxn>
                <a:cxn ang="T12">
                  <a:pos x="T4" y="T5"/>
                </a:cxn>
                <a:cxn ang="T13">
                  <a:pos x="T6" y="T7"/>
                </a:cxn>
                <a:cxn ang="T14">
                  <a:pos x="T8" y="T9"/>
                </a:cxn>
              </a:cxnLst>
              <a:rect l="T15" t="T16" r="T17" b="T18"/>
              <a:pathLst>
                <a:path w="1508760" h="1508760">
                  <a:moveTo>
                    <a:pt x="0" y="1508760"/>
                  </a:moveTo>
                  <a:cubicBezTo>
                    <a:pt x="92075" y="1268730"/>
                    <a:pt x="184150" y="1028700"/>
                    <a:pt x="297180" y="830580"/>
                  </a:cubicBezTo>
                  <a:cubicBezTo>
                    <a:pt x="410210" y="632460"/>
                    <a:pt x="552450" y="445770"/>
                    <a:pt x="678180" y="320040"/>
                  </a:cubicBezTo>
                  <a:cubicBezTo>
                    <a:pt x="803910" y="194310"/>
                    <a:pt x="913130" y="129540"/>
                    <a:pt x="1051560" y="76200"/>
                  </a:cubicBezTo>
                  <a:cubicBezTo>
                    <a:pt x="1189990" y="22860"/>
                    <a:pt x="1349375" y="11430"/>
                    <a:pt x="1508760" y="0"/>
                  </a:cubicBezTo>
                </a:path>
              </a:pathLst>
            </a:custGeom>
            <a:noFill/>
            <a:ln w="22225" cap="flat" cmpd="sng" algn="ctr">
              <a:solidFill>
                <a:srgbClr val="000000"/>
              </a:solidFill>
              <a:prstDash val="solid"/>
              <a:round/>
              <a:headEnd type="none" w="med" len="med"/>
              <a:tailEnd type="none" w="med" len="med"/>
            </a:ln>
          </xdr:spPr>
        </xdr:sp>
      </xdr:grpSp>
      <xdr:grpSp>
        <xdr:nvGrpSpPr>
          <xdr:cNvPr id="59837221" name="Groep 312"/>
          <xdr:cNvGrpSpPr>
            <a:grpSpLocks/>
          </xdr:cNvGrpSpPr>
        </xdr:nvGrpSpPr>
        <xdr:grpSpPr bwMode="auto">
          <a:xfrm>
            <a:off x="5905500" y="84848700"/>
            <a:ext cx="2575560" cy="2156460"/>
            <a:chOff x="3613592" y="8587740"/>
            <a:chExt cx="2893888" cy="2156460"/>
          </a:xfrm>
        </xdr:grpSpPr>
        <xdr:grpSp>
          <xdr:nvGrpSpPr>
            <xdr:cNvPr id="59837222" name="Groep 211"/>
            <xdr:cNvGrpSpPr>
              <a:grpSpLocks/>
            </xdr:cNvGrpSpPr>
          </xdr:nvGrpSpPr>
          <xdr:grpSpPr bwMode="auto">
            <a:xfrm>
              <a:off x="3613592" y="8587740"/>
              <a:ext cx="2893888" cy="2156460"/>
              <a:chOff x="3613592" y="18265140"/>
              <a:chExt cx="2893888" cy="2156460"/>
            </a:xfrm>
          </xdr:grpSpPr>
          <xdr:grpSp>
            <xdr:nvGrpSpPr>
              <xdr:cNvPr id="59837224" name="Groep 128"/>
              <xdr:cNvGrpSpPr>
                <a:grpSpLocks/>
              </xdr:cNvGrpSpPr>
            </xdr:nvGrpSpPr>
            <xdr:grpSpPr bwMode="auto">
              <a:xfrm>
                <a:off x="3613592" y="18265140"/>
                <a:ext cx="2893888" cy="2156460"/>
                <a:chOff x="3743132" y="16885920"/>
                <a:chExt cx="2893888" cy="2156460"/>
              </a:xfrm>
            </xdr:grpSpPr>
            <xdr:grpSp>
              <xdr:nvGrpSpPr>
                <xdr:cNvPr id="59837226" name="Groep 126"/>
                <xdr:cNvGrpSpPr>
                  <a:grpSpLocks/>
                </xdr:cNvGrpSpPr>
              </xdr:nvGrpSpPr>
              <xdr:grpSpPr bwMode="auto">
                <a:xfrm>
                  <a:off x="4030980" y="17053560"/>
                  <a:ext cx="2606040" cy="1988820"/>
                  <a:chOff x="3886200" y="17419320"/>
                  <a:chExt cx="2606040" cy="1988820"/>
                </a:xfrm>
              </xdr:grpSpPr>
              <xdr:cxnSp macro="">
                <xdr:nvCxnSpPr>
                  <xdr:cNvPr id="59837228" name="Rechte verbindingslijn 94"/>
                  <xdr:cNvCxnSpPr>
                    <a:cxnSpLocks noChangeShapeType="1"/>
                  </xdr:cNvCxnSpPr>
                </xdr:nvCxnSpPr>
                <xdr:spPr bwMode="auto">
                  <a:xfrm>
                    <a:off x="3992195" y="18813780"/>
                    <a:ext cx="1797977" cy="0"/>
                  </a:xfrm>
                  <a:prstGeom prst="line">
                    <a:avLst/>
                  </a:prstGeom>
                  <a:noFill/>
                  <a:ln w="22225" algn="ctr">
                    <a:solidFill>
                      <a:srgbClr val="000000"/>
                    </a:solidFill>
                    <a:round/>
                    <a:headEnd/>
                    <a:tailEnd/>
                  </a:ln>
                </xdr:spPr>
              </xdr:cxnSp>
              <xdr:sp macro="" textlink="">
                <xdr:nvSpPr>
                  <xdr:cNvPr id="463" name="Tekstvak 462"/>
                  <xdr:cNvSpPr txBox="1"/>
                </xdr:nvSpPr>
                <xdr:spPr>
                  <a:xfrm>
                    <a:off x="5175003" y="17580502"/>
                    <a:ext cx="419121" cy="39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TO</a:t>
                    </a:r>
                  </a:p>
                </xdr:txBody>
              </xdr:sp>
              <xdr:sp macro="" textlink="">
                <xdr:nvSpPr>
                  <xdr:cNvPr id="464" name="Tekstvak 79"/>
                  <xdr:cNvSpPr txBox="1"/>
                </xdr:nvSpPr>
                <xdr:spPr>
                  <a:xfrm>
                    <a:off x="4884184" y="18574615"/>
                    <a:ext cx="496102" cy="389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TVK</a:t>
                    </a:r>
                  </a:p>
                </xdr:txBody>
              </xdr:sp>
              <xdr:grpSp>
                <xdr:nvGrpSpPr>
                  <xdr:cNvPr id="59837231" name="Groep 124"/>
                  <xdr:cNvGrpSpPr>
                    <a:grpSpLocks/>
                  </xdr:cNvGrpSpPr>
                </xdr:nvGrpSpPr>
                <xdr:grpSpPr bwMode="auto">
                  <a:xfrm>
                    <a:off x="3886200" y="17419320"/>
                    <a:ext cx="2606040" cy="1988820"/>
                    <a:chOff x="3886200" y="17419320"/>
                    <a:chExt cx="2606040" cy="1988820"/>
                  </a:xfrm>
                </xdr:grpSpPr>
                <xdr:sp macro="" textlink="">
                  <xdr:nvSpPr>
                    <xdr:cNvPr id="466" name="Tekstvak 465"/>
                    <xdr:cNvSpPr txBox="1"/>
                  </xdr:nvSpPr>
                  <xdr:spPr>
                    <a:xfrm>
                      <a:off x="4011729" y="19010495"/>
                      <a:ext cx="2480511" cy="397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                                            afzet</a:t>
                      </a:r>
                    </a:p>
                  </xdr:txBody>
                </xdr:sp>
                <xdr:grpSp>
                  <xdr:nvGrpSpPr>
                    <xdr:cNvPr id="59837233" name="Groep 123"/>
                    <xdr:cNvGrpSpPr>
                      <a:grpSpLocks/>
                    </xdr:cNvGrpSpPr>
                  </xdr:nvGrpSpPr>
                  <xdr:grpSpPr bwMode="auto">
                    <a:xfrm>
                      <a:off x="4000500" y="17419320"/>
                      <a:ext cx="1775460" cy="1623060"/>
                      <a:chOff x="4023360" y="17411700"/>
                      <a:chExt cx="1775460" cy="1623060"/>
                    </a:xfrm>
                  </xdr:grpSpPr>
                  <xdr:cxnSp macro="">
                    <xdr:nvCxnSpPr>
                      <xdr:cNvPr id="59837234" name="Rechte verbindingslijn 113"/>
                      <xdr:cNvCxnSpPr>
                        <a:cxnSpLocks noChangeShapeType="1"/>
                      </xdr:cNvCxnSpPr>
                    </xdr:nvCxnSpPr>
                    <xdr:spPr bwMode="auto">
                      <a:xfrm flipV="1">
                        <a:off x="4030980" y="17411700"/>
                        <a:ext cx="0" cy="1623060"/>
                      </a:xfrm>
                      <a:prstGeom prst="line">
                        <a:avLst/>
                      </a:prstGeom>
                      <a:noFill/>
                      <a:ln w="22225" algn="ctr">
                        <a:solidFill>
                          <a:srgbClr val="000000"/>
                        </a:solidFill>
                        <a:round/>
                        <a:headEnd/>
                        <a:tailEnd/>
                      </a:ln>
                    </xdr:spPr>
                  </xdr:cxnSp>
                  <xdr:cxnSp macro="">
                    <xdr:nvCxnSpPr>
                      <xdr:cNvPr id="59837235" name="Rechte verbindingslijn 119"/>
                      <xdr:cNvCxnSpPr>
                        <a:cxnSpLocks noChangeShapeType="1"/>
                      </xdr:cNvCxnSpPr>
                    </xdr:nvCxnSpPr>
                    <xdr:spPr bwMode="auto">
                      <a:xfrm>
                        <a:off x="4023360" y="19034760"/>
                        <a:ext cx="1775460" cy="0"/>
                      </a:xfrm>
                      <a:prstGeom prst="line">
                        <a:avLst/>
                      </a:prstGeom>
                      <a:noFill/>
                      <a:ln w="22225" algn="ctr">
                        <a:solidFill>
                          <a:srgbClr val="000000"/>
                        </a:solidFill>
                        <a:round/>
                        <a:headEnd/>
                        <a:tailEnd/>
                      </a:ln>
                    </xdr:spPr>
                  </xdr:cxnSp>
                </xdr:grpSp>
              </xdr:grpSp>
            </xdr:grpSp>
            <xdr:sp macro="" textlink="">
              <xdr:nvSpPr>
                <xdr:cNvPr id="59837227" name="Rechthoek 127"/>
                <xdr:cNvSpPr>
                  <a:spLocks noChangeArrowheads="1"/>
                </xdr:cNvSpPr>
              </xdr:nvSpPr>
              <xdr:spPr bwMode="auto">
                <a:xfrm>
                  <a:off x="3743132" y="16885920"/>
                  <a:ext cx="2680528" cy="2133600"/>
                </a:xfrm>
                <a:prstGeom prst="rect">
                  <a:avLst/>
                </a:prstGeom>
                <a:noFill/>
                <a:ln w="22225" algn="ctr">
                  <a:solidFill>
                    <a:srgbClr val="000000"/>
                  </a:solidFill>
                  <a:round/>
                  <a:headEnd/>
                  <a:tailEnd/>
                </a:ln>
              </xdr:spPr>
            </xdr:sp>
          </xdr:grpSp>
          <xdr:sp macro="" textlink="">
            <xdr:nvSpPr>
              <xdr:cNvPr id="59837225" name="Vrije vorm 203"/>
              <xdr:cNvSpPr>
                <a:spLocks/>
              </xdr:cNvSpPr>
            </xdr:nvSpPr>
            <xdr:spPr bwMode="auto">
              <a:xfrm>
                <a:off x="4030980" y="18547080"/>
                <a:ext cx="1691640" cy="1516380"/>
              </a:xfrm>
              <a:custGeom>
                <a:avLst/>
                <a:gdLst>
                  <a:gd name="T0" fmla="*/ 0 w 1790700"/>
                  <a:gd name="T1" fmla="*/ 2 h 1889760"/>
                  <a:gd name="T2" fmla="*/ 7606 w 1790700"/>
                  <a:gd name="T3" fmla="*/ 2 h 1889760"/>
                  <a:gd name="T4" fmla="*/ 16554 w 1790700"/>
                  <a:gd name="T5" fmla="*/ 2 h 1889760"/>
                  <a:gd name="T6" fmla="*/ 26618 w 1790700"/>
                  <a:gd name="T7" fmla="*/ 0 h 1889760"/>
                  <a:gd name="T8" fmla="*/ 36237 w 1790700"/>
                  <a:gd name="T9" fmla="*/ 2 h 1889760"/>
                  <a:gd name="T10" fmla="*/ 45407 w 1790700"/>
                  <a:gd name="T11" fmla="*/ 2 h 1889760"/>
                  <a:gd name="T12" fmla="*/ 52567 w 1790700"/>
                  <a:gd name="T13" fmla="*/ 2 h 1889760"/>
                  <a:gd name="T14" fmla="*/ 0 60000 65536"/>
                  <a:gd name="T15" fmla="*/ 0 60000 65536"/>
                  <a:gd name="T16" fmla="*/ 0 60000 65536"/>
                  <a:gd name="T17" fmla="*/ 0 60000 65536"/>
                  <a:gd name="T18" fmla="*/ 0 60000 65536"/>
                  <a:gd name="T19" fmla="*/ 0 60000 65536"/>
                  <a:gd name="T20" fmla="*/ 0 60000 65536"/>
                  <a:gd name="T21" fmla="*/ 0 w 1790700"/>
                  <a:gd name="T22" fmla="*/ 0 h 1889760"/>
                  <a:gd name="T23" fmla="*/ 1790700 w 1790700"/>
                  <a:gd name="T24" fmla="*/ 1889760 h 188976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790700" h="1889760">
                    <a:moveTo>
                      <a:pt x="0" y="1882140"/>
                    </a:moveTo>
                    <a:cubicBezTo>
                      <a:pt x="82550" y="1546860"/>
                      <a:pt x="165100" y="1211580"/>
                      <a:pt x="259080" y="944880"/>
                    </a:cubicBezTo>
                    <a:cubicBezTo>
                      <a:pt x="353060" y="678180"/>
                      <a:pt x="455930" y="439420"/>
                      <a:pt x="563880" y="281940"/>
                    </a:cubicBezTo>
                    <a:cubicBezTo>
                      <a:pt x="671830" y="124460"/>
                      <a:pt x="795020" y="0"/>
                      <a:pt x="906780" y="0"/>
                    </a:cubicBezTo>
                    <a:cubicBezTo>
                      <a:pt x="1018540" y="0"/>
                      <a:pt x="1127760" y="124460"/>
                      <a:pt x="1234440" y="281940"/>
                    </a:cubicBezTo>
                    <a:cubicBezTo>
                      <a:pt x="1341120" y="439420"/>
                      <a:pt x="1454150" y="676910"/>
                      <a:pt x="1546860" y="944880"/>
                    </a:cubicBezTo>
                    <a:cubicBezTo>
                      <a:pt x="1639570" y="1212850"/>
                      <a:pt x="1715135" y="1551305"/>
                      <a:pt x="1790700" y="1889760"/>
                    </a:cubicBezTo>
                  </a:path>
                </a:pathLst>
              </a:custGeom>
              <a:noFill/>
              <a:ln w="22225" cap="flat" cmpd="sng" algn="ctr">
                <a:solidFill>
                  <a:srgbClr val="000000"/>
                </a:solidFill>
                <a:prstDash val="solid"/>
                <a:round/>
                <a:headEnd type="none" w="med" len="med"/>
                <a:tailEnd type="none" w="med" len="med"/>
              </a:ln>
            </xdr:spPr>
          </xdr:sp>
        </xdr:grpSp>
        <xdr:sp macro="" textlink="">
          <xdr:nvSpPr>
            <xdr:cNvPr id="457" name="Tekstvak 456"/>
            <xdr:cNvSpPr txBox="1"/>
          </xdr:nvSpPr>
          <xdr:spPr bwMode="auto">
            <a:xfrm flipH="1">
              <a:off x="3693383" y="8778916"/>
              <a:ext cx="376353" cy="321175"/>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ysClr val="windowText" lastClr="000000"/>
                  </a:solidFill>
                </a:rPr>
                <a:t>€ </a:t>
              </a:r>
            </a:p>
          </xdr:txBody>
        </xdr:sp>
      </xdr:grpSp>
    </xdr:grpSp>
    <xdr:clientData/>
  </xdr:twoCellAnchor>
  <xdr:twoCellAnchor>
    <xdr:from>
      <xdr:col>50</xdr:col>
      <xdr:colOff>7618</xdr:colOff>
      <xdr:row>353</xdr:row>
      <xdr:rowOff>129540</xdr:rowOff>
    </xdr:from>
    <xdr:to>
      <xdr:col>61</xdr:col>
      <xdr:colOff>7731</xdr:colOff>
      <xdr:row>356</xdr:row>
      <xdr:rowOff>0</xdr:rowOff>
    </xdr:to>
    <xdr:sp macro="" textlink="">
      <xdr:nvSpPr>
        <xdr:cNvPr id="506" name="Tekstvak 505"/>
        <xdr:cNvSpPr txBox="1"/>
      </xdr:nvSpPr>
      <xdr:spPr bwMode="auto">
        <a:xfrm flipH="1">
          <a:off x="2476498" y="84841080"/>
          <a:ext cx="510541" cy="510540"/>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nl-NL" sz="2400" b="1">
              <a:solidFill>
                <a:sysClr val="windowText" lastClr="000000"/>
              </a:solidFill>
            </a:rPr>
            <a:t>A</a:t>
          </a:r>
        </a:p>
      </xdr:txBody>
    </xdr:sp>
    <xdr:clientData/>
  </xdr:twoCellAnchor>
  <xdr:twoCellAnchor>
    <xdr:from>
      <xdr:col>108</xdr:col>
      <xdr:colOff>7620</xdr:colOff>
      <xdr:row>353</xdr:row>
      <xdr:rowOff>129540</xdr:rowOff>
    </xdr:from>
    <xdr:to>
      <xdr:col>119</xdr:col>
      <xdr:colOff>7733</xdr:colOff>
      <xdr:row>356</xdr:row>
      <xdr:rowOff>0</xdr:rowOff>
    </xdr:to>
    <xdr:sp macro="" textlink="">
      <xdr:nvSpPr>
        <xdr:cNvPr id="507" name="Tekstvak 506"/>
        <xdr:cNvSpPr txBox="1"/>
      </xdr:nvSpPr>
      <xdr:spPr bwMode="auto">
        <a:xfrm flipH="1">
          <a:off x="5151120" y="84841080"/>
          <a:ext cx="510541" cy="510540"/>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nl-NL" sz="2400" b="1">
              <a:solidFill>
                <a:sysClr val="windowText" lastClr="000000"/>
              </a:solidFill>
            </a:rPr>
            <a:t>B</a:t>
          </a:r>
        </a:p>
      </xdr:txBody>
    </xdr:sp>
    <xdr:clientData/>
  </xdr:twoCellAnchor>
  <xdr:twoCellAnchor>
    <xdr:from>
      <xdr:col>165</xdr:col>
      <xdr:colOff>32385</xdr:colOff>
      <xdr:row>353</xdr:row>
      <xdr:rowOff>144780</xdr:rowOff>
    </xdr:from>
    <xdr:to>
      <xdr:col>167</xdr:col>
      <xdr:colOff>447795</xdr:colOff>
      <xdr:row>356</xdr:row>
      <xdr:rowOff>15240</xdr:rowOff>
    </xdr:to>
    <xdr:sp macro="" textlink="">
      <xdr:nvSpPr>
        <xdr:cNvPr id="508" name="Tekstvak 507"/>
        <xdr:cNvSpPr txBox="1"/>
      </xdr:nvSpPr>
      <xdr:spPr bwMode="auto">
        <a:xfrm flipH="1">
          <a:off x="7772400" y="84856320"/>
          <a:ext cx="510541" cy="510540"/>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nl-NL" sz="2400" b="1">
              <a:solidFill>
                <a:sysClr val="windowText" lastClr="000000"/>
              </a:solidFill>
            </a:rPr>
            <a:t>C</a:t>
          </a:r>
        </a:p>
      </xdr:txBody>
    </xdr:sp>
    <xdr:clientData/>
  </xdr:twoCellAnchor>
  <xdr:twoCellAnchor>
    <xdr:from>
      <xdr:col>7</xdr:col>
      <xdr:colOff>7620</xdr:colOff>
      <xdr:row>382</xdr:row>
      <xdr:rowOff>22860</xdr:rowOff>
    </xdr:from>
    <xdr:to>
      <xdr:col>167</xdr:col>
      <xdr:colOff>647700</xdr:colOff>
      <xdr:row>391</xdr:row>
      <xdr:rowOff>182880</xdr:rowOff>
    </xdr:to>
    <xdr:grpSp>
      <xdr:nvGrpSpPr>
        <xdr:cNvPr id="59837077" name="Groep 390"/>
        <xdr:cNvGrpSpPr>
          <a:grpSpLocks/>
        </xdr:cNvGrpSpPr>
      </xdr:nvGrpSpPr>
      <xdr:grpSpPr bwMode="auto">
        <a:xfrm>
          <a:off x="510540" y="59900820"/>
          <a:ext cx="7978140" cy="1988820"/>
          <a:chOff x="510540" y="60106560"/>
          <a:chExt cx="7978140" cy="1996440"/>
        </a:xfrm>
      </xdr:grpSpPr>
      <xdr:grpSp>
        <xdr:nvGrpSpPr>
          <xdr:cNvPr id="59837078" name="Groep 508"/>
          <xdr:cNvGrpSpPr>
            <a:grpSpLocks/>
          </xdr:cNvGrpSpPr>
        </xdr:nvGrpSpPr>
        <xdr:grpSpPr bwMode="auto">
          <a:xfrm>
            <a:off x="510540" y="60106560"/>
            <a:ext cx="7978140" cy="1996440"/>
            <a:chOff x="510540" y="98077020"/>
            <a:chExt cx="7978140" cy="1996440"/>
          </a:xfrm>
        </xdr:grpSpPr>
        <xdr:sp macro="" textlink="">
          <xdr:nvSpPr>
            <xdr:cNvPr id="510" name="Text Box 256"/>
            <xdr:cNvSpPr txBox="1">
              <a:spLocks noChangeArrowheads="1"/>
            </xdr:cNvSpPr>
          </xdr:nvSpPr>
          <xdr:spPr bwMode="auto">
            <a:xfrm>
              <a:off x="1623060" y="98230004"/>
              <a:ext cx="1264920" cy="535444"/>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1" i="0" u="none" strike="noStrike" baseline="0">
                  <a:solidFill>
                    <a:srgbClr val="000000"/>
                  </a:solidFill>
                  <a:latin typeface="Arial"/>
                  <a:cs typeface="Arial"/>
                </a:rPr>
                <a:t>geen prijs-discriminatie</a:t>
              </a:r>
            </a:p>
          </xdr:txBody>
        </xdr:sp>
        <xdr:grpSp>
          <xdr:nvGrpSpPr>
            <xdr:cNvPr id="59837089" name="Groep 433"/>
            <xdr:cNvGrpSpPr>
              <a:grpSpLocks/>
            </xdr:cNvGrpSpPr>
          </xdr:nvGrpSpPr>
          <xdr:grpSpPr bwMode="auto">
            <a:xfrm>
              <a:off x="510540" y="98221800"/>
              <a:ext cx="7848600" cy="1851660"/>
              <a:chOff x="510540" y="94724220"/>
              <a:chExt cx="7848600" cy="1851660"/>
            </a:xfrm>
          </xdr:grpSpPr>
          <xdr:sp macro="" textlink="">
            <xdr:nvSpPr>
              <xdr:cNvPr id="59837096" name="Gelijkbenige driehoek 435"/>
              <xdr:cNvSpPr>
                <a:spLocks noChangeArrowheads="1"/>
              </xdr:cNvSpPr>
            </xdr:nvSpPr>
            <xdr:spPr bwMode="auto">
              <a:xfrm>
                <a:off x="4008120" y="95349060"/>
                <a:ext cx="585544" cy="677986"/>
              </a:xfrm>
              <a:prstGeom prst="triangle">
                <a:avLst>
                  <a:gd name="adj" fmla="val 0"/>
                </a:avLst>
              </a:prstGeom>
              <a:solidFill>
                <a:srgbClr val="00B050"/>
              </a:solidFill>
              <a:ln w="22225" algn="ctr">
                <a:noFill/>
                <a:round/>
                <a:headEnd/>
                <a:tailEnd/>
              </a:ln>
            </xdr:spPr>
          </xdr:sp>
          <xdr:grpSp>
            <xdr:nvGrpSpPr>
              <xdr:cNvPr id="59837097" name="Groep 534"/>
              <xdr:cNvGrpSpPr>
                <a:grpSpLocks/>
              </xdr:cNvGrpSpPr>
            </xdr:nvGrpSpPr>
            <xdr:grpSpPr bwMode="auto">
              <a:xfrm>
                <a:off x="510540" y="94724220"/>
                <a:ext cx="7848600" cy="1851660"/>
                <a:chOff x="510540" y="79248000"/>
                <a:chExt cx="7846436" cy="1850564"/>
              </a:xfrm>
            </xdr:grpSpPr>
            <xdr:cxnSp macro="">
              <xdr:nvCxnSpPr>
                <xdr:cNvPr id="59837098" name="Rechte verbindingslijn met pijl 494"/>
                <xdr:cNvCxnSpPr>
                  <a:cxnSpLocks noChangeShapeType="1"/>
                </xdr:cNvCxnSpPr>
              </xdr:nvCxnSpPr>
              <xdr:spPr bwMode="auto">
                <a:xfrm>
                  <a:off x="2819400" y="79446120"/>
                  <a:ext cx="4381500" cy="0"/>
                </a:xfrm>
                <a:prstGeom prst="straightConnector1">
                  <a:avLst/>
                </a:prstGeom>
                <a:noFill/>
                <a:ln w="41275" algn="ctr">
                  <a:solidFill>
                    <a:srgbClr val="000000"/>
                  </a:solidFill>
                  <a:round/>
                  <a:headEnd/>
                  <a:tailEnd type="stealth" w="med" len="med"/>
                </a:ln>
              </xdr:spPr>
            </xdr:cxnSp>
            <xdr:grpSp>
              <xdr:nvGrpSpPr>
                <xdr:cNvPr id="59837099" name="Groep 531"/>
                <xdr:cNvGrpSpPr>
                  <a:grpSpLocks/>
                </xdr:cNvGrpSpPr>
              </xdr:nvGrpSpPr>
              <xdr:grpSpPr bwMode="auto">
                <a:xfrm>
                  <a:off x="510540" y="79560197"/>
                  <a:ext cx="7846436" cy="1538367"/>
                  <a:chOff x="510540" y="79133477"/>
                  <a:chExt cx="7846436" cy="1538367"/>
                </a:xfrm>
              </xdr:grpSpPr>
              <xdr:sp macro="" textlink="">
                <xdr:nvSpPr>
                  <xdr:cNvPr id="59837101" name="Gelijkbenige driehoek 435"/>
                  <xdr:cNvSpPr>
                    <a:spLocks noChangeArrowheads="1"/>
                  </xdr:cNvSpPr>
                </xdr:nvSpPr>
                <xdr:spPr bwMode="auto">
                  <a:xfrm>
                    <a:off x="723900" y="79476600"/>
                    <a:ext cx="677934" cy="738315"/>
                  </a:xfrm>
                  <a:prstGeom prst="triangle">
                    <a:avLst>
                      <a:gd name="adj" fmla="val 0"/>
                    </a:avLst>
                  </a:prstGeom>
                  <a:solidFill>
                    <a:srgbClr val="00B050"/>
                  </a:solidFill>
                  <a:ln w="22225" algn="ctr">
                    <a:noFill/>
                    <a:round/>
                    <a:headEnd/>
                    <a:tailEnd/>
                  </a:ln>
                </xdr:spPr>
              </xdr:sp>
              <xdr:grpSp>
                <xdr:nvGrpSpPr>
                  <xdr:cNvPr id="59837102" name="Groep 522"/>
                  <xdr:cNvGrpSpPr>
                    <a:grpSpLocks/>
                  </xdr:cNvGrpSpPr>
                </xdr:nvGrpSpPr>
                <xdr:grpSpPr bwMode="auto">
                  <a:xfrm>
                    <a:off x="510540" y="79133477"/>
                    <a:ext cx="7846436" cy="1538367"/>
                    <a:chOff x="327660" y="79087757"/>
                    <a:chExt cx="7846436" cy="1538367"/>
                  </a:xfrm>
                </xdr:grpSpPr>
                <xdr:grpSp>
                  <xdr:nvGrpSpPr>
                    <xdr:cNvPr id="59837103" name="Groep 364"/>
                    <xdr:cNvGrpSpPr>
                      <a:grpSpLocks/>
                    </xdr:cNvGrpSpPr>
                  </xdr:nvGrpSpPr>
                  <xdr:grpSpPr bwMode="auto">
                    <a:xfrm>
                      <a:off x="1440181" y="79087772"/>
                      <a:ext cx="1302410" cy="1523358"/>
                      <a:chOff x="563880" y="78905100"/>
                      <a:chExt cx="1346821" cy="1561273"/>
                    </a:xfrm>
                  </xdr:grpSpPr>
                  <xdr:grpSp>
                    <xdr:nvGrpSpPr>
                      <xdr:cNvPr id="59837206" name="Groep 295"/>
                      <xdr:cNvGrpSpPr>
                        <a:grpSpLocks/>
                      </xdr:cNvGrpSpPr>
                    </xdr:nvGrpSpPr>
                    <xdr:grpSpPr bwMode="auto">
                      <a:xfrm>
                        <a:off x="563880" y="78905100"/>
                        <a:ext cx="1346821" cy="1561273"/>
                        <a:chOff x="1334290" y="78889860"/>
                        <a:chExt cx="1664154" cy="1561283"/>
                      </a:xfrm>
                    </xdr:grpSpPr>
                    <xdr:grpSp>
                      <xdr:nvGrpSpPr>
                        <xdr:cNvPr id="59837208" name="Groep 298"/>
                        <xdr:cNvGrpSpPr>
                          <a:grpSpLocks/>
                        </xdr:cNvGrpSpPr>
                      </xdr:nvGrpSpPr>
                      <xdr:grpSpPr bwMode="auto">
                        <a:xfrm>
                          <a:off x="1334290" y="78889860"/>
                          <a:ext cx="1664154" cy="1561283"/>
                          <a:chOff x="1927860" y="20314931"/>
                          <a:chExt cx="1656108" cy="1704162"/>
                        </a:xfrm>
                      </xdr:grpSpPr>
                      <xdr:grpSp>
                        <xdr:nvGrpSpPr>
                          <xdr:cNvPr id="59837211" name="Groep 270"/>
                          <xdr:cNvGrpSpPr>
                            <a:grpSpLocks/>
                          </xdr:cNvGrpSpPr>
                        </xdr:nvGrpSpPr>
                        <xdr:grpSpPr bwMode="auto">
                          <a:xfrm>
                            <a:off x="1927860" y="20314931"/>
                            <a:ext cx="1656108" cy="1704162"/>
                            <a:chOff x="373380" y="20307322"/>
                            <a:chExt cx="1656108" cy="1704162"/>
                          </a:xfrm>
                        </xdr:grpSpPr>
                        <xdr:sp macro="" textlink="">
                          <xdr:nvSpPr>
                            <xdr:cNvPr id="59837213" name="Gelijkbenige driehoek 435"/>
                            <xdr:cNvSpPr>
                              <a:spLocks noChangeArrowheads="1"/>
                            </xdr:cNvSpPr>
                          </xdr:nvSpPr>
                          <xdr:spPr bwMode="auto">
                            <a:xfrm>
                              <a:off x="632459" y="20665416"/>
                              <a:ext cx="428286" cy="408649"/>
                            </a:xfrm>
                            <a:prstGeom prst="triangle">
                              <a:avLst>
                                <a:gd name="adj" fmla="val 0"/>
                              </a:avLst>
                            </a:prstGeom>
                            <a:solidFill>
                              <a:srgbClr val="00B050"/>
                            </a:solidFill>
                            <a:ln w="22225" algn="ctr">
                              <a:noFill/>
                              <a:round/>
                              <a:headEnd/>
                              <a:tailEnd/>
                            </a:ln>
                          </xdr:spPr>
                        </xdr:sp>
                        <xdr:grpSp>
                          <xdr:nvGrpSpPr>
                            <xdr:cNvPr id="59837214" name="Group 418"/>
                            <xdr:cNvGrpSpPr>
                              <a:grpSpLocks/>
                            </xdr:cNvGrpSpPr>
                          </xdr:nvGrpSpPr>
                          <xdr:grpSpPr bwMode="auto">
                            <a:xfrm>
                              <a:off x="373380" y="20307322"/>
                              <a:ext cx="1656108" cy="1704162"/>
                              <a:chOff x="194" y="6676"/>
                              <a:chExt cx="178" cy="207"/>
                            </a:xfrm>
                          </xdr:grpSpPr>
                          <xdr:sp macro="" textlink="">
                            <xdr:nvSpPr>
                              <xdr:cNvPr id="655" name="Text Box 256"/>
                              <xdr:cNvSpPr txBox="1">
                                <a:spLocks noChangeArrowheads="1"/>
                              </xdr:cNvSpPr>
                            </xdr:nvSpPr>
                            <xdr:spPr bwMode="auto">
                              <a:xfrm>
                                <a:off x="194" y="6676"/>
                                <a:ext cx="31" cy="3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656" name="Text Box 257"/>
                              <xdr:cNvSpPr txBox="1">
                                <a:spLocks noChangeArrowheads="1"/>
                              </xdr:cNvSpPr>
                            </xdr:nvSpPr>
                            <xdr:spPr bwMode="auto">
                              <a:xfrm>
                                <a:off x="333" y="6853"/>
                                <a:ext cx="40"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37215" name="Rechthoek 437"/>
                            <xdr:cNvSpPr>
                              <a:spLocks noChangeArrowheads="1"/>
                            </xdr:cNvSpPr>
                          </xdr:nvSpPr>
                          <xdr:spPr bwMode="auto">
                            <a:xfrm>
                              <a:off x="625304" y="21063575"/>
                              <a:ext cx="416068" cy="444977"/>
                            </a:xfrm>
                            <a:prstGeom prst="rect">
                              <a:avLst/>
                            </a:prstGeom>
                            <a:solidFill>
                              <a:srgbClr val="FFC000"/>
                            </a:solidFill>
                            <a:ln w="9525" algn="ctr">
                              <a:solidFill>
                                <a:srgbClr val="000000"/>
                              </a:solidFill>
                              <a:round/>
                              <a:headEnd/>
                              <a:tailEnd/>
                            </a:ln>
                          </xdr:spPr>
                        </xdr:sp>
                        <xdr:sp macro="" textlink="">
                          <xdr:nvSpPr>
                            <xdr:cNvPr id="59837216"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37212" name="Line 238"/>
                          <xdr:cNvSpPr>
                            <a:spLocks noChangeShapeType="1"/>
                          </xdr:cNvSpPr>
                        </xdr:nvSpPr>
                        <xdr:spPr bwMode="auto">
                          <a:xfrm>
                            <a:off x="2186940" y="20665440"/>
                            <a:ext cx="1097280" cy="1082040"/>
                          </a:xfrm>
                          <a:prstGeom prst="line">
                            <a:avLst/>
                          </a:prstGeom>
                          <a:noFill/>
                          <a:ln w="19050">
                            <a:solidFill>
                              <a:srgbClr val="000000"/>
                            </a:solidFill>
                            <a:round/>
                            <a:headEnd/>
                            <a:tailEnd/>
                          </a:ln>
                        </xdr:spPr>
                      </xdr:sp>
                    </xdr:grpSp>
                    <xdr:sp macro="" textlink="">
                      <xdr:nvSpPr>
                        <xdr:cNvPr id="59837209" name="Rechthoek 447"/>
                        <xdr:cNvSpPr>
                          <a:spLocks noChangeArrowheads="1"/>
                        </xdr:cNvSpPr>
                      </xdr:nvSpPr>
                      <xdr:spPr bwMode="auto">
                        <a:xfrm>
                          <a:off x="1594630" y="79982573"/>
                          <a:ext cx="401163" cy="212736"/>
                        </a:xfrm>
                        <a:prstGeom prst="rect">
                          <a:avLst/>
                        </a:prstGeom>
                        <a:solidFill>
                          <a:srgbClr val="FFFFFF"/>
                        </a:solidFill>
                        <a:ln w="9525" algn="ctr">
                          <a:solidFill>
                            <a:srgbClr val="000000"/>
                          </a:solidFill>
                          <a:round/>
                          <a:headEnd/>
                          <a:tailEnd/>
                        </a:ln>
                      </xdr:spPr>
                    </xdr:sp>
                    <xdr:sp macro="" textlink="">
                      <xdr:nvSpPr>
                        <xdr:cNvPr id="59837210" name="Line 238"/>
                        <xdr:cNvSpPr>
                          <a:spLocks noChangeShapeType="1"/>
                        </xdr:cNvSpPr>
                      </xdr:nvSpPr>
                      <xdr:spPr bwMode="auto">
                        <a:xfrm>
                          <a:off x="1586972" y="78903822"/>
                          <a:ext cx="0" cy="1289755"/>
                        </a:xfrm>
                        <a:prstGeom prst="line">
                          <a:avLst/>
                        </a:prstGeom>
                        <a:noFill/>
                        <a:ln w="19050">
                          <a:solidFill>
                            <a:srgbClr val="000000"/>
                          </a:solidFill>
                          <a:round/>
                          <a:headEnd/>
                          <a:tailEnd/>
                        </a:ln>
                      </xdr:spPr>
                    </xdr:sp>
                  </xdr:grpSp>
                  <xdr:cxnSp macro="">
                    <xdr:nvCxnSpPr>
                      <xdr:cNvPr id="59837207" name="Rechte verbindingslijn 318"/>
                      <xdr:cNvCxnSpPr>
                        <a:cxnSpLocks noChangeShapeType="1"/>
                      </xdr:cNvCxnSpPr>
                    </xdr:nvCxnSpPr>
                    <xdr:spPr bwMode="auto">
                      <a:xfrm>
                        <a:off x="777240" y="79232738"/>
                        <a:ext cx="471679" cy="1108489"/>
                      </a:xfrm>
                      <a:prstGeom prst="line">
                        <a:avLst/>
                      </a:prstGeom>
                      <a:noFill/>
                      <a:ln w="22225" algn="ctr">
                        <a:solidFill>
                          <a:srgbClr val="000000"/>
                        </a:solidFill>
                        <a:round/>
                        <a:headEnd/>
                        <a:tailEnd/>
                      </a:ln>
                    </xdr:spPr>
                  </xdr:cxnSp>
                </xdr:grpSp>
                <xdr:grpSp>
                  <xdr:nvGrpSpPr>
                    <xdr:cNvPr id="59837104" name="Groep 387"/>
                    <xdr:cNvGrpSpPr>
                      <a:grpSpLocks/>
                    </xdr:cNvGrpSpPr>
                  </xdr:nvGrpSpPr>
                  <xdr:grpSpPr bwMode="auto">
                    <a:xfrm>
                      <a:off x="2533348" y="79087757"/>
                      <a:ext cx="1287776" cy="1515998"/>
                      <a:chOff x="1844040" y="78912705"/>
                      <a:chExt cx="1331688" cy="1553730"/>
                    </a:xfrm>
                  </xdr:grpSpPr>
                  <xdr:grpSp>
                    <xdr:nvGrpSpPr>
                      <xdr:cNvPr id="59837190" name="Groep 386"/>
                      <xdr:cNvGrpSpPr>
                        <a:grpSpLocks/>
                      </xdr:cNvGrpSpPr>
                    </xdr:nvGrpSpPr>
                    <xdr:grpSpPr bwMode="auto">
                      <a:xfrm>
                        <a:off x="2057399" y="79225140"/>
                        <a:ext cx="467743" cy="1006984"/>
                        <a:chOff x="3749039" y="79087980"/>
                        <a:chExt cx="467743" cy="1006984"/>
                      </a:xfrm>
                    </xdr:grpSpPr>
                    <xdr:sp macro="" textlink="">
                      <xdr:nvSpPr>
                        <xdr:cNvPr id="59837204" name="Gelijkbenige driehoek 435"/>
                        <xdr:cNvSpPr>
                          <a:spLocks noChangeArrowheads="1"/>
                        </xdr:cNvSpPr>
                      </xdr:nvSpPr>
                      <xdr:spPr bwMode="auto">
                        <a:xfrm>
                          <a:off x="3749040" y="79087980"/>
                          <a:ext cx="467742" cy="546157"/>
                        </a:xfrm>
                        <a:prstGeom prst="triangle">
                          <a:avLst>
                            <a:gd name="adj" fmla="val 0"/>
                          </a:avLst>
                        </a:prstGeom>
                        <a:solidFill>
                          <a:srgbClr val="00B050"/>
                        </a:solidFill>
                        <a:ln w="22225" algn="ctr">
                          <a:noFill/>
                          <a:round/>
                          <a:headEnd/>
                          <a:tailEnd/>
                        </a:ln>
                      </xdr:spPr>
                    </xdr:sp>
                    <xdr:sp macro="" textlink="">
                      <xdr:nvSpPr>
                        <xdr:cNvPr id="59837205" name="Rechthoek 437"/>
                        <xdr:cNvSpPr>
                          <a:spLocks noChangeArrowheads="1"/>
                        </xdr:cNvSpPr>
                      </xdr:nvSpPr>
                      <xdr:spPr bwMode="auto">
                        <a:xfrm>
                          <a:off x="3749039" y="79634137"/>
                          <a:ext cx="459864" cy="460827"/>
                        </a:xfrm>
                        <a:prstGeom prst="rect">
                          <a:avLst/>
                        </a:prstGeom>
                        <a:solidFill>
                          <a:srgbClr val="FFC000"/>
                        </a:solidFill>
                        <a:ln w="9525" algn="ctr">
                          <a:solidFill>
                            <a:srgbClr val="000000"/>
                          </a:solidFill>
                          <a:round/>
                          <a:headEnd/>
                          <a:tailEnd/>
                        </a:ln>
                      </xdr:spPr>
                    </xdr:sp>
                  </xdr:grpSp>
                  <xdr:sp macro="" textlink="">
                    <xdr:nvSpPr>
                      <xdr:cNvPr id="59837191" name="Rechthoek 437"/>
                      <xdr:cNvSpPr>
                        <a:spLocks noChangeArrowheads="1"/>
                      </xdr:cNvSpPr>
                    </xdr:nvSpPr>
                    <xdr:spPr bwMode="auto">
                      <a:xfrm>
                        <a:off x="2045289" y="79513730"/>
                        <a:ext cx="243522" cy="656290"/>
                      </a:xfrm>
                      <a:prstGeom prst="rect">
                        <a:avLst/>
                      </a:prstGeom>
                      <a:solidFill>
                        <a:srgbClr val="FFC000"/>
                      </a:solidFill>
                      <a:ln w="9525" algn="ctr">
                        <a:solidFill>
                          <a:srgbClr val="000000"/>
                        </a:solidFill>
                        <a:round/>
                        <a:headEnd/>
                        <a:tailEnd/>
                      </a:ln>
                    </xdr:spPr>
                  </xdr:sp>
                  <xdr:grpSp>
                    <xdr:nvGrpSpPr>
                      <xdr:cNvPr id="59837192" name="Groep 365"/>
                      <xdr:cNvGrpSpPr>
                        <a:grpSpLocks/>
                      </xdr:cNvGrpSpPr>
                    </xdr:nvGrpSpPr>
                    <xdr:grpSpPr bwMode="auto">
                      <a:xfrm>
                        <a:off x="1844040" y="78912705"/>
                        <a:ext cx="1331688" cy="1553730"/>
                        <a:chOff x="563880" y="78905085"/>
                        <a:chExt cx="1331688" cy="1553730"/>
                      </a:xfrm>
                    </xdr:grpSpPr>
                    <xdr:grpSp>
                      <xdr:nvGrpSpPr>
                        <xdr:cNvPr id="59837193" name="Groep 295"/>
                        <xdr:cNvGrpSpPr>
                          <a:grpSpLocks/>
                        </xdr:cNvGrpSpPr>
                      </xdr:nvGrpSpPr>
                      <xdr:grpSpPr bwMode="auto">
                        <a:xfrm>
                          <a:off x="563880" y="78905085"/>
                          <a:ext cx="1331688" cy="1553730"/>
                          <a:chOff x="1334290" y="78889847"/>
                          <a:chExt cx="1645456" cy="1553740"/>
                        </a:xfrm>
                      </xdr:grpSpPr>
                      <xdr:grpSp>
                        <xdr:nvGrpSpPr>
                          <xdr:cNvPr id="59837195" name="Groep 298"/>
                          <xdr:cNvGrpSpPr>
                            <a:grpSpLocks/>
                          </xdr:cNvGrpSpPr>
                        </xdr:nvGrpSpPr>
                        <xdr:grpSpPr bwMode="auto">
                          <a:xfrm>
                            <a:off x="1334290" y="78889847"/>
                            <a:ext cx="1645456" cy="1553740"/>
                            <a:chOff x="1927860" y="20314920"/>
                            <a:chExt cx="1637500" cy="1695929"/>
                          </a:xfrm>
                        </xdr:grpSpPr>
                        <xdr:grpSp>
                          <xdr:nvGrpSpPr>
                            <xdr:cNvPr id="59837198" name="Groep 270"/>
                            <xdr:cNvGrpSpPr>
                              <a:grpSpLocks/>
                            </xdr:cNvGrpSpPr>
                          </xdr:nvGrpSpPr>
                          <xdr:grpSpPr bwMode="auto">
                            <a:xfrm>
                              <a:off x="1927860" y="20314920"/>
                              <a:ext cx="1637500" cy="1695929"/>
                              <a:chOff x="373380" y="20307311"/>
                              <a:chExt cx="1637500" cy="1695929"/>
                            </a:xfrm>
                          </xdr:grpSpPr>
                          <xdr:grpSp>
                            <xdr:nvGrpSpPr>
                              <xdr:cNvPr id="59837200" name="Group 418"/>
                              <xdr:cNvGrpSpPr>
                                <a:grpSpLocks/>
                              </xdr:cNvGrpSpPr>
                            </xdr:nvGrpSpPr>
                            <xdr:grpSpPr bwMode="auto">
                              <a:xfrm>
                                <a:off x="373380" y="20307311"/>
                                <a:ext cx="1637500" cy="1695929"/>
                                <a:chOff x="194" y="6676"/>
                                <a:chExt cx="176" cy="206"/>
                              </a:xfrm>
                            </xdr:grpSpPr>
                            <xdr:sp macro="" textlink="">
                              <xdr:nvSpPr>
                                <xdr:cNvPr id="638" name="Text Box 256"/>
                                <xdr:cNvSpPr txBox="1">
                                  <a:spLocks noChangeArrowheads="1"/>
                                </xdr:cNvSpPr>
                              </xdr:nvSpPr>
                              <xdr:spPr bwMode="auto">
                                <a:xfrm>
                                  <a:off x="194" y="6676"/>
                                  <a:ext cx="31" cy="36"/>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639" name="Text Box 257"/>
                                <xdr:cNvSpPr txBox="1">
                                  <a:spLocks noChangeArrowheads="1"/>
                                </xdr:cNvSpPr>
                              </xdr:nvSpPr>
                              <xdr:spPr bwMode="auto">
                                <a:xfrm>
                                  <a:off x="334" y="6853"/>
                                  <a:ext cx="36"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37201"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37199" name="Line 238"/>
                            <xdr:cNvSpPr>
                              <a:spLocks noChangeShapeType="1"/>
                            </xdr:cNvSpPr>
                          </xdr:nvSpPr>
                          <xdr:spPr bwMode="auto">
                            <a:xfrm>
                              <a:off x="2186939" y="20665440"/>
                              <a:ext cx="1097280" cy="1082040"/>
                            </a:xfrm>
                            <a:prstGeom prst="line">
                              <a:avLst/>
                            </a:prstGeom>
                            <a:noFill/>
                            <a:ln w="19050">
                              <a:solidFill>
                                <a:srgbClr val="000000"/>
                              </a:solidFill>
                              <a:round/>
                              <a:headEnd/>
                              <a:tailEnd/>
                            </a:ln>
                          </xdr:spPr>
                        </xdr:sp>
                      </xdr:grpSp>
                      <xdr:sp macro="" textlink="">
                        <xdr:nvSpPr>
                          <xdr:cNvPr id="59837196" name="Rechthoek 447"/>
                          <xdr:cNvSpPr>
                            <a:spLocks noChangeArrowheads="1"/>
                          </xdr:cNvSpPr>
                        </xdr:nvSpPr>
                        <xdr:spPr bwMode="auto">
                          <a:xfrm>
                            <a:off x="1594629" y="79998187"/>
                            <a:ext cx="571508" cy="197145"/>
                          </a:xfrm>
                          <a:prstGeom prst="rect">
                            <a:avLst/>
                          </a:prstGeom>
                          <a:solidFill>
                            <a:srgbClr val="FFFFFF"/>
                          </a:solidFill>
                          <a:ln w="9525" algn="ctr">
                            <a:solidFill>
                              <a:srgbClr val="000000"/>
                            </a:solidFill>
                            <a:round/>
                            <a:headEnd/>
                            <a:tailEnd/>
                          </a:ln>
                        </xdr:spPr>
                      </xdr:sp>
                      <xdr:sp macro="" textlink="">
                        <xdr:nvSpPr>
                          <xdr:cNvPr id="59837197" name="Line 238"/>
                          <xdr:cNvSpPr>
                            <a:spLocks noChangeShapeType="1"/>
                          </xdr:cNvSpPr>
                        </xdr:nvSpPr>
                        <xdr:spPr bwMode="auto">
                          <a:xfrm>
                            <a:off x="1586972" y="78903822"/>
                            <a:ext cx="0" cy="1289755"/>
                          </a:xfrm>
                          <a:prstGeom prst="line">
                            <a:avLst/>
                          </a:prstGeom>
                          <a:noFill/>
                          <a:ln w="19050">
                            <a:solidFill>
                              <a:srgbClr val="000000"/>
                            </a:solidFill>
                            <a:round/>
                            <a:headEnd/>
                            <a:tailEnd/>
                          </a:ln>
                        </xdr:spPr>
                      </xdr:sp>
                    </xdr:grpSp>
                    <xdr:cxnSp macro="">
                      <xdr:nvCxnSpPr>
                        <xdr:cNvPr id="59837194" name="Rechte verbindingslijn 367"/>
                        <xdr:cNvCxnSpPr>
                          <a:cxnSpLocks noChangeShapeType="1"/>
                        </xdr:cNvCxnSpPr>
                      </xdr:nvCxnSpPr>
                      <xdr:spPr bwMode="auto">
                        <a:xfrm>
                          <a:off x="777240" y="79232760"/>
                          <a:ext cx="472440" cy="1143000"/>
                        </a:xfrm>
                        <a:prstGeom prst="line">
                          <a:avLst/>
                        </a:prstGeom>
                        <a:noFill/>
                        <a:ln w="22225" algn="ctr">
                          <a:solidFill>
                            <a:srgbClr val="000000"/>
                          </a:solidFill>
                          <a:round/>
                          <a:headEnd/>
                          <a:tailEnd/>
                        </a:ln>
                      </xdr:spPr>
                    </xdr:cxnSp>
                  </xdr:grpSp>
                </xdr:grpSp>
                <xdr:grpSp>
                  <xdr:nvGrpSpPr>
                    <xdr:cNvPr id="59837105" name="Groep 407"/>
                    <xdr:cNvGrpSpPr>
                      <a:grpSpLocks/>
                    </xdr:cNvGrpSpPr>
                  </xdr:nvGrpSpPr>
                  <xdr:grpSpPr bwMode="auto">
                    <a:xfrm>
                      <a:off x="3626766" y="79095392"/>
                      <a:ext cx="1302410" cy="1508639"/>
                      <a:chOff x="3124200" y="78927960"/>
                      <a:chExt cx="1346821" cy="1546188"/>
                    </a:xfrm>
                  </xdr:grpSpPr>
                  <xdr:sp macro="" textlink="">
                    <xdr:nvSpPr>
                      <xdr:cNvPr id="59837174" name="Rechthoek 439"/>
                      <xdr:cNvSpPr>
                        <a:spLocks noChangeArrowheads="1"/>
                      </xdr:cNvSpPr>
                    </xdr:nvSpPr>
                    <xdr:spPr bwMode="auto">
                      <a:xfrm>
                        <a:off x="3753998" y="79927023"/>
                        <a:ext cx="196782" cy="136674"/>
                      </a:xfrm>
                      <a:prstGeom prst="rect">
                        <a:avLst/>
                      </a:prstGeom>
                      <a:solidFill>
                        <a:srgbClr val="FFC000"/>
                      </a:solidFill>
                      <a:ln w="9525" algn="ctr">
                        <a:solidFill>
                          <a:srgbClr val="000000"/>
                        </a:solidFill>
                        <a:round/>
                        <a:headEnd/>
                        <a:tailEnd/>
                      </a:ln>
                    </xdr:spPr>
                  </xdr:sp>
                  <xdr:grpSp>
                    <xdr:nvGrpSpPr>
                      <xdr:cNvPr id="59837175" name="Groep 388"/>
                      <xdr:cNvGrpSpPr>
                        <a:grpSpLocks/>
                      </xdr:cNvGrpSpPr>
                    </xdr:nvGrpSpPr>
                    <xdr:grpSpPr bwMode="auto">
                      <a:xfrm>
                        <a:off x="3124200" y="78927960"/>
                        <a:ext cx="1346821" cy="1546188"/>
                        <a:chOff x="1844040" y="78912720"/>
                        <a:chExt cx="1346821" cy="1546188"/>
                      </a:xfrm>
                    </xdr:grpSpPr>
                    <xdr:sp macro="" textlink="">
                      <xdr:nvSpPr>
                        <xdr:cNvPr id="59837176" name="Rechthoek 437"/>
                        <xdr:cNvSpPr>
                          <a:spLocks noChangeArrowheads="1"/>
                        </xdr:cNvSpPr>
                      </xdr:nvSpPr>
                      <xdr:spPr bwMode="auto">
                        <a:xfrm>
                          <a:off x="2057400" y="79720440"/>
                          <a:ext cx="419100" cy="511684"/>
                        </a:xfrm>
                        <a:prstGeom prst="rect">
                          <a:avLst/>
                        </a:prstGeom>
                        <a:solidFill>
                          <a:srgbClr val="FFC000"/>
                        </a:solidFill>
                        <a:ln w="9525" algn="ctr">
                          <a:solidFill>
                            <a:srgbClr val="000000"/>
                          </a:solidFill>
                          <a:round/>
                          <a:headEnd/>
                          <a:tailEnd/>
                        </a:ln>
                      </xdr:spPr>
                    </xdr:sp>
                    <xdr:sp macro="" textlink="">
                      <xdr:nvSpPr>
                        <xdr:cNvPr id="59837177" name="Rechthoek 437"/>
                        <xdr:cNvSpPr>
                          <a:spLocks noChangeArrowheads="1"/>
                        </xdr:cNvSpPr>
                      </xdr:nvSpPr>
                      <xdr:spPr bwMode="auto">
                        <a:xfrm>
                          <a:off x="2057400" y="79474701"/>
                          <a:ext cx="203582" cy="695319"/>
                        </a:xfrm>
                        <a:prstGeom prst="rect">
                          <a:avLst/>
                        </a:prstGeom>
                        <a:solidFill>
                          <a:srgbClr val="FFC000"/>
                        </a:solidFill>
                        <a:ln w="9525" algn="ctr">
                          <a:solidFill>
                            <a:srgbClr val="000000"/>
                          </a:solidFill>
                          <a:round/>
                          <a:headEnd/>
                          <a:tailEnd/>
                        </a:ln>
                      </xdr:spPr>
                    </xdr:sp>
                    <xdr:grpSp>
                      <xdr:nvGrpSpPr>
                        <xdr:cNvPr id="59837178" name="Groep 365"/>
                        <xdr:cNvGrpSpPr>
                          <a:grpSpLocks/>
                        </xdr:cNvGrpSpPr>
                      </xdr:nvGrpSpPr>
                      <xdr:grpSpPr bwMode="auto">
                        <a:xfrm>
                          <a:off x="1844040" y="78912720"/>
                          <a:ext cx="1346821" cy="1546188"/>
                          <a:chOff x="563880" y="78905100"/>
                          <a:chExt cx="1346821" cy="1546188"/>
                        </a:xfrm>
                      </xdr:grpSpPr>
                      <xdr:grpSp>
                        <xdr:nvGrpSpPr>
                          <xdr:cNvPr id="59837179" name="Groep 295"/>
                          <xdr:cNvGrpSpPr>
                            <a:grpSpLocks/>
                          </xdr:cNvGrpSpPr>
                        </xdr:nvGrpSpPr>
                        <xdr:grpSpPr bwMode="auto">
                          <a:xfrm>
                            <a:off x="563880" y="78905100"/>
                            <a:ext cx="1346821" cy="1546188"/>
                            <a:chOff x="1334290" y="78889865"/>
                            <a:chExt cx="1664154" cy="1546198"/>
                          </a:xfrm>
                        </xdr:grpSpPr>
                        <xdr:grpSp>
                          <xdr:nvGrpSpPr>
                            <xdr:cNvPr id="59837181" name="Groep 298"/>
                            <xdr:cNvGrpSpPr>
                              <a:grpSpLocks/>
                            </xdr:cNvGrpSpPr>
                          </xdr:nvGrpSpPr>
                          <xdr:grpSpPr bwMode="auto">
                            <a:xfrm>
                              <a:off x="1334290" y="78889865"/>
                              <a:ext cx="1664154" cy="1546198"/>
                              <a:chOff x="1927860" y="20314942"/>
                              <a:chExt cx="1656108" cy="1687697"/>
                            </a:xfrm>
                          </xdr:grpSpPr>
                          <xdr:grpSp>
                            <xdr:nvGrpSpPr>
                              <xdr:cNvPr id="59837184" name="Groep 270"/>
                              <xdr:cNvGrpSpPr>
                                <a:grpSpLocks/>
                              </xdr:cNvGrpSpPr>
                            </xdr:nvGrpSpPr>
                            <xdr:grpSpPr bwMode="auto">
                              <a:xfrm>
                                <a:off x="1927860" y="20314942"/>
                                <a:ext cx="1656108" cy="1687697"/>
                                <a:chOff x="373380" y="20307333"/>
                                <a:chExt cx="1656108" cy="1687697"/>
                              </a:xfrm>
                            </xdr:grpSpPr>
                            <xdr:grpSp>
                              <xdr:nvGrpSpPr>
                                <xdr:cNvPr id="59837186" name="Group 418"/>
                                <xdr:cNvGrpSpPr>
                                  <a:grpSpLocks/>
                                </xdr:cNvGrpSpPr>
                              </xdr:nvGrpSpPr>
                              <xdr:grpSpPr bwMode="auto">
                                <a:xfrm>
                                  <a:off x="373380" y="20307333"/>
                                  <a:ext cx="1656108" cy="1687697"/>
                                  <a:chOff x="194" y="6676"/>
                                  <a:chExt cx="178" cy="205"/>
                                </a:xfrm>
                              </xdr:grpSpPr>
                              <xdr:sp macro="" textlink="">
                                <xdr:nvSpPr>
                                  <xdr:cNvPr id="622" name="Text Box 256"/>
                                  <xdr:cNvSpPr txBox="1">
                                    <a:spLocks noChangeArrowheads="1"/>
                                  </xdr:cNvSpPr>
                                </xdr:nvSpPr>
                                <xdr:spPr bwMode="auto">
                                  <a:xfrm>
                                    <a:off x="194" y="6676"/>
                                    <a:ext cx="31" cy="33"/>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623" name="Text Box 257"/>
                                  <xdr:cNvSpPr txBox="1">
                                    <a:spLocks noChangeArrowheads="1"/>
                                  </xdr:cNvSpPr>
                                </xdr:nvSpPr>
                                <xdr:spPr bwMode="auto">
                                  <a:xfrm>
                                    <a:off x="333" y="6852"/>
                                    <a:ext cx="39"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37187"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37185" name="Line 238"/>
                              <xdr:cNvSpPr>
                                <a:spLocks noChangeShapeType="1"/>
                              </xdr:cNvSpPr>
                            </xdr:nvSpPr>
                            <xdr:spPr bwMode="auto">
                              <a:xfrm>
                                <a:off x="2186939" y="20665440"/>
                                <a:ext cx="1097280" cy="1082040"/>
                              </a:xfrm>
                              <a:prstGeom prst="line">
                                <a:avLst/>
                              </a:prstGeom>
                              <a:noFill/>
                              <a:ln w="19050">
                                <a:solidFill>
                                  <a:srgbClr val="000000"/>
                                </a:solidFill>
                                <a:round/>
                                <a:headEnd/>
                                <a:tailEnd/>
                              </a:ln>
                            </xdr:spPr>
                          </xdr:sp>
                        </xdr:grpSp>
                        <xdr:sp macro="" textlink="">
                          <xdr:nvSpPr>
                            <xdr:cNvPr id="59837182" name="Rechthoek 447"/>
                            <xdr:cNvSpPr>
                              <a:spLocks noChangeArrowheads="1"/>
                            </xdr:cNvSpPr>
                          </xdr:nvSpPr>
                          <xdr:spPr bwMode="auto">
                            <a:xfrm>
                              <a:off x="1594630" y="80005990"/>
                              <a:ext cx="760997" cy="189342"/>
                            </a:xfrm>
                            <a:prstGeom prst="rect">
                              <a:avLst/>
                            </a:prstGeom>
                            <a:solidFill>
                              <a:srgbClr val="FFFFFF"/>
                            </a:solidFill>
                            <a:ln w="9525" algn="ctr">
                              <a:solidFill>
                                <a:srgbClr val="000000"/>
                              </a:solidFill>
                              <a:round/>
                              <a:headEnd/>
                              <a:tailEnd/>
                            </a:ln>
                          </xdr:spPr>
                        </xdr:sp>
                        <xdr:sp macro="" textlink="">
                          <xdr:nvSpPr>
                            <xdr:cNvPr id="59837183" name="Line 238"/>
                            <xdr:cNvSpPr>
                              <a:spLocks noChangeShapeType="1"/>
                            </xdr:cNvSpPr>
                          </xdr:nvSpPr>
                          <xdr:spPr bwMode="auto">
                            <a:xfrm>
                              <a:off x="1586972" y="78903822"/>
                              <a:ext cx="0" cy="1289755"/>
                            </a:xfrm>
                            <a:prstGeom prst="line">
                              <a:avLst/>
                            </a:prstGeom>
                            <a:noFill/>
                            <a:ln w="19050">
                              <a:solidFill>
                                <a:srgbClr val="000000"/>
                              </a:solidFill>
                              <a:round/>
                              <a:headEnd/>
                              <a:tailEnd/>
                            </a:ln>
                          </xdr:spPr>
                        </xdr:sp>
                      </xdr:grpSp>
                      <xdr:cxnSp macro="">
                        <xdr:nvCxnSpPr>
                          <xdr:cNvPr id="59837180" name="Rechte verbindingslijn 393"/>
                          <xdr:cNvCxnSpPr>
                            <a:cxnSpLocks noChangeShapeType="1"/>
                          </xdr:cNvCxnSpPr>
                        </xdr:nvCxnSpPr>
                        <xdr:spPr bwMode="auto">
                          <a:xfrm>
                            <a:off x="777240" y="79232760"/>
                            <a:ext cx="472440" cy="1143000"/>
                          </a:xfrm>
                          <a:prstGeom prst="line">
                            <a:avLst/>
                          </a:prstGeom>
                          <a:noFill/>
                          <a:ln w="22225" algn="ctr">
                            <a:solidFill>
                              <a:srgbClr val="000000"/>
                            </a:solidFill>
                            <a:round/>
                            <a:headEnd/>
                            <a:tailEnd/>
                          </a:ln>
                        </xdr:spPr>
                      </xdr:cxnSp>
                    </xdr:grpSp>
                  </xdr:grpSp>
                </xdr:grpSp>
                <xdr:grpSp>
                  <xdr:nvGrpSpPr>
                    <xdr:cNvPr id="59837106" name="Groep 459"/>
                    <xdr:cNvGrpSpPr>
                      <a:grpSpLocks/>
                    </xdr:cNvGrpSpPr>
                  </xdr:nvGrpSpPr>
                  <xdr:grpSpPr bwMode="auto">
                    <a:xfrm>
                      <a:off x="4696874" y="79095407"/>
                      <a:ext cx="1221924" cy="1530717"/>
                      <a:chOff x="4404412" y="78912735"/>
                      <a:chExt cx="1263590" cy="1568816"/>
                    </a:xfrm>
                  </xdr:grpSpPr>
                  <xdr:sp macro="" textlink="">
                    <xdr:nvSpPr>
                      <xdr:cNvPr id="59837155" name="Gelijkbenige driehoek 435"/>
                      <xdr:cNvSpPr>
                        <a:spLocks noChangeArrowheads="1"/>
                      </xdr:cNvSpPr>
                    </xdr:nvSpPr>
                    <xdr:spPr bwMode="auto">
                      <a:xfrm>
                        <a:off x="4612811" y="79232760"/>
                        <a:ext cx="598702" cy="647700"/>
                      </a:xfrm>
                      <a:prstGeom prst="triangle">
                        <a:avLst>
                          <a:gd name="adj" fmla="val 0"/>
                        </a:avLst>
                      </a:prstGeom>
                      <a:solidFill>
                        <a:srgbClr val="00B050"/>
                      </a:solidFill>
                      <a:ln w="22225" algn="ctr">
                        <a:noFill/>
                        <a:round/>
                        <a:headEnd/>
                        <a:tailEnd/>
                      </a:ln>
                    </xdr:spPr>
                  </xdr:sp>
                  <xdr:sp macro="" textlink="">
                    <xdr:nvSpPr>
                      <xdr:cNvPr id="59837156" name="Rechthoek 439"/>
                      <xdr:cNvSpPr>
                        <a:spLocks noChangeArrowheads="1"/>
                      </xdr:cNvSpPr>
                    </xdr:nvSpPr>
                    <xdr:spPr bwMode="auto">
                      <a:xfrm>
                        <a:off x="5044440" y="79872840"/>
                        <a:ext cx="152399" cy="190857"/>
                      </a:xfrm>
                      <a:prstGeom prst="rect">
                        <a:avLst/>
                      </a:prstGeom>
                      <a:solidFill>
                        <a:srgbClr val="FFC000"/>
                      </a:solidFill>
                      <a:ln w="9525" algn="ctr">
                        <a:solidFill>
                          <a:srgbClr val="000000"/>
                        </a:solidFill>
                        <a:round/>
                        <a:headEnd/>
                        <a:tailEnd/>
                      </a:ln>
                    </xdr:spPr>
                  </xdr:sp>
                  <xdr:grpSp>
                    <xdr:nvGrpSpPr>
                      <xdr:cNvPr id="59837157" name="Groep 408"/>
                      <xdr:cNvGrpSpPr>
                        <a:grpSpLocks/>
                      </xdr:cNvGrpSpPr>
                    </xdr:nvGrpSpPr>
                    <xdr:grpSpPr bwMode="auto">
                      <a:xfrm>
                        <a:off x="4404412" y="78912735"/>
                        <a:ext cx="1263590" cy="1568816"/>
                        <a:chOff x="3116632" y="78927975"/>
                        <a:chExt cx="1263590" cy="1568816"/>
                      </a:xfrm>
                    </xdr:grpSpPr>
                    <xdr:sp macro="" textlink="">
                      <xdr:nvSpPr>
                        <xdr:cNvPr id="59837158" name="Rechthoek 439"/>
                        <xdr:cNvSpPr>
                          <a:spLocks noChangeArrowheads="1"/>
                        </xdr:cNvSpPr>
                      </xdr:nvSpPr>
                      <xdr:spPr bwMode="auto">
                        <a:xfrm>
                          <a:off x="3609217" y="79735680"/>
                          <a:ext cx="147443" cy="366117"/>
                        </a:xfrm>
                        <a:prstGeom prst="rect">
                          <a:avLst/>
                        </a:prstGeom>
                        <a:solidFill>
                          <a:srgbClr val="FFC000"/>
                        </a:solidFill>
                        <a:ln w="9525" algn="ctr">
                          <a:solidFill>
                            <a:srgbClr val="000000"/>
                          </a:solidFill>
                          <a:round/>
                          <a:headEnd/>
                          <a:tailEnd/>
                        </a:ln>
                      </xdr:spPr>
                    </xdr:sp>
                    <xdr:grpSp>
                      <xdr:nvGrpSpPr>
                        <xdr:cNvPr id="59837159" name="Groep 388"/>
                        <xdr:cNvGrpSpPr>
                          <a:grpSpLocks/>
                        </xdr:cNvGrpSpPr>
                      </xdr:nvGrpSpPr>
                      <xdr:grpSpPr bwMode="auto">
                        <a:xfrm>
                          <a:off x="3116632" y="78927975"/>
                          <a:ext cx="1263590" cy="1568816"/>
                          <a:chOff x="1836472" y="78912735"/>
                          <a:chExt cx="1263590" cy="1568816"/>
                        </a:xfrm>
                      </xdr:grpSpPr>
                      <xdr:sp macro="" textlink="">
                        <xdr:nvSpPr>
                          <xdr:cNvPr id="59837160" name="Rechthoek 437"/>
                          <xdr:cNvSpPr>
                            <a:spLocks noChangeArrowheads="1"/>
                          </xdr:cNvSpPr>
                        </xdr:nvSpPr>
                        <xdr:spPr bwMode="auto">
                          <a:xfrm>
                            <a:off x="2057400" y="79552800"/>
                            <a:ext cx="274320" cy="679324"/>
                          </a:xfrm>
                          <a:prstGeom prst="rect">
                            <a:avLst/>
                          </a:prstGeom>
                          <a:solidFill>
                            <a:srgbClr val="FFC000"/>
                          </a:solidFill>
                          <a:ln w="9525" algn="ctr">
                            <a:solidFill>
                              <a:srgbClr val="000000"/>
                            </a:solidFill>
                            <a:round/>
                            <a:headEnd/>
                            <a:tailEnd/>
                          </a:ln>
                        </xdr:spPr>
                      </xdr:sp>
                      <xdr:sp macro="" textlink="">
                        <xdr:nvSpPr>
                          <xdr:cNvPr id="59837161" name="Rechthoek 437"/>
                          <xdr:cNvSpPr>
                            <a:spLocks noChangeArrowheads="1"/>
                          </xdr:cNvSpPr>
                        </xdr:nvSpPr>
                        <xdr:spPr bwMode="auto">
                          <a:xfrm>
                            <a:off x="2057400" y="79400400"/>
                            <a:ext cx="137160" cy="769620"/>
                          </a:xfrm>
                          <a:prstGeom prst="rect">
                            <a:avLst/>
                          </a:prstGeom>
                          <a:solidFill>
                            <a:srgbClr val="FFC000"/>
                          </a:solidFill>
                          <a:ln w="9525" algn="ctr">
                            <a:solidFill>
                              <a:srgbClr val="000000"/>
                            </a:solidFill>
                            <a:round/>
                            <a:headEnd/>
                            <a:tailEnd/>
                          </a:ln>
                        </xdr:spPr>
                      </xdr:sp>
                      <xdr:grpSp>
                        <xdr:nvGrpSpPr>
                          <xdr:cNvPr id="59837162" name="Groep 365"/>
                          <xdr:cNvGrpSpPr>
                            <a:grpSpLocks/>
                          </xdr:cNvGrpSpPr>
                        </xdr:nvGrpSpPr>
                        <xdr:grpSpPr bwMode="auto">
                          <a:xfrm>
                            <a:off x="1836472" y="78912735"/>
                            <a:ext cx="1263590" cy="1568816"/>
                            <a:chOff x="556312" y="78905115"/>
                            <a:chExt cx="1263590" cy="1568816"/>
                          </a:xfrm>
                        </xdr:grpSpPr>
                        <xdr:grpSp>
                          <xdr:nvGrpSpPr>
                            <xdr:cNvPr id="59837163" name="Groep 295"/>
                            <xdr:cNvGrpSpPr>
                              <a:grpSpLocks/>
                            </xdr:cNvGrpSpPr>
                          </xdr:nvGrpSpPr>
                          <xdr:grpSpPr bwMode="auto">
                            <a:xfrm>
                              <a:off x="556312" y="78905115"/>
                              <a:ext cx="1263590" cy="1568816"/>
                              <a:chOff x="1324940" y="78889873"/>
                              <a:chExt cx="1561313" cy="1568826"/>
                            </a:xfrm>
                          </xdr:grpSpPr>
                          <xdr:grpSp>
                            <xdr:nvGrpSpPr>
                              <xdr:cNvPr id="59837165" name="Groep 298"/>
                              <xdr:cNvGrpSpPr>
                                <a:grpSpLocks/>
                              </xdr:cNvGrpSpPr>
                            </xdr:nvGrpSpPr>
                            <xdr:grpSpPr bwMode="auto">
                              <a:xfrm>
                                <a:off x="1324940" y="78889873"/>
                                <a:ext cx="1561313" cy="1568826"/>
                                <a:chOff x="1918555" y="20314942"/>
                                <a:chExt cx="1553764" cy="1712395"/>
                              </a:xfrm>
                            </xdr:grpSpPr>
                            <xdr:grpSp>
                              <xdr:nvGrpSpPr>
                                <xdr:cNvPr id="59837168" name="Groep 270"/>
                                <xdr:cNvGrpSpPr>
                                  <a:grpSpLocks/>
                                </xdr:cNvGrpSpPr>
                              </xdr:nvGrpSpPr>
                              <xdr:grpSpPr bwMode="auto">
                                <a:xfrm>
                                  <a:off x="1918555" y="20314942"/>
                                  <a:ext cx="1553764" cy="1712395"/>
                                  <a:chOff x="364075" y="20307333"/>
                                  <a:chExt cx="1553764" cy="1712395"/>
                                </a:xfrm>
                              </xdr:grpSpPr>
                              <xdr:grpSp>
                                <xdr:nvGrpSpPr>
                                  <xdr:cNvPr id="59837170" name="Group 418"/>
                                  <xdr:cNvGrpSpPr>
                                    <a:grpSpLocks/>
                                  </xdr:cNvGrpSpPr>
                                </xdr:nvGrpSpPr>
                                <xdr:grpSpPr bwMode="auto">
                                  <a:xfrm>
                                    <a:off x="364075" y="20307333"/>
                                    <a:ext cx="1553764" cy="1712395"/>
                                    <a:chOff x="193" y="6676"/>
                                    <a:chExt cx="167" cy="208"/>
                                  </a:xfrm>
                                </xdr:grpSpPr>
                                <xdr:sp macro="" textlink="">
                                  <xdr:nvSpPr>
                                    <xdr:cNvPr id="604" name="Text Box 256"/>
                                    <xdr:cNvSpPr txBox="1">
                                      <a:spLocks noChangeArrowheads="1"/>
                                    </xdr:cNvSpPr>
                                  </xdr:nvSpPr>
                                  <xdr:spPr bwMode="auto">
                                    <a:xfrm>
                                      <a:off x="193" y="6676"/>
                                      <a:ext cx="29" cy="34"/>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605" name="Text Box 257"/>
                                    <xdr:cNvSpPr txBox="1">
                                      <a:spLocks noChangeArrowheads="1"/>
                                    </xdr:cNvSpPr>
                                  </xdr:nvSpPr>
                                  <xdr:spPr bwMode="auto">
                                    <a:xfrm>
                                      <a:off x="334" y="6855"/>
                                      <a:ext cx="26"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37171"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37169" name="Line 238"/>
                                <xdr:cNvSpPr>
                                  <a:spLocks noChangeShapeType="1"/>
                                </xdr:cNvSpPr>
                              </xdr:nvSpPr>
                              <xdr:spPr bwMode="auto">
                                <a:xfrm>
                                  <a:off x="2186939" y="20656921"/>
                                  <a:ext cx="1097280" cy="1082041"/>
                                </a:xfrm>
                                <a:prstGeom prst="line">
                                  <a:avLst/>
                                </a:prstGeom>
                                <a:noFill/>
                                <a:ln w="19050">
                                  <a:solidFill>
                                    <a:srgbClr val="000000"/>
                                  </a:solidFill>
                                  <a:round/>
                                  <a:headEnd/>
                                  <a:tailEnd/>
                                </a:ln>
                              </xdr:spPr>
                            </xdr:sp>
                          </xdr:grpSp>
                          <xdr:sp macro="" textlink="">
                            <xdr:nvSpPr>
                              <xdr:cNvPr id="59837166" name="Rechthoek 447"/>
                              <xdr:cNvSpPr>
                                <a:spLocks noChangeArrowheads="1"/>
                              </xdr:cNvSpPr>
                            </xdr:nvSpPr>
                            <xdr:spPr bwMode="auto">
                              <a:xfrm>
                                <a:off x="1594629" y="80013787"/>
                                <a:ext cx="708109" cy="181544"/>
                              </a:xfrm>
                              <a:prstGeom prst="rect">
                                <a:avLst/>
                              </a:prstGeom>
                              <a:solidFill>
                                <a:srgbClr val="FFFFFF"/>
                              </a:solidFill>
                              <a:ln w="9525" algn="ctr">
                                <a:solidFill>
                                  <a:srgbClr val="000000"/>
                                </a:solidFill>
                                <a:round/>
                                <a:headEnd/>
                                <a:tailEnd/>
                              </a:ln>
                            </xdr:spPr>
                          </xdr:sp>
                          <xdr:sp macro="" textlink="">
                            <xdr:nvSpPr>
                              <xdr:cNvPr id="59837167" name="Line 238"/>
                              <xdr:cNvSpPr>
                                <a:spLocks noChangeShapeType="1"/>
                              </xdr:cNvSpPr>
                            </xdr:nvSpPr>
                            <xdr:spPr bwMode="auto">
                              <a:xfrm>
                                <a:off x="1586972" y="78903822"/>
                                <a:ext cx="0" cy="1289755"/>
                              </a:xfrm>
                              <a:prstGeom prst="line">
                                <a:avLst/>
                              </a:prstGeom>
                              <a:noFill/>
                              <a:ln w="19050">
                                <a:solidFill>
                                  <a:srgbClr val="000000"/>
                                </a:solidFill>
                                <a:round/>
                                <a:headEnd/>
                                <a:tailEnd/>
                              </a:ln>
                            </xdr:spPr>
                          </xdr:sp>
                        </xdr:grpSp>
                        <xdr:cxnSp macro="">
                          <xdr:nvCxnSpPr>
                            <xdr:cNvPr id="59837164" name="Rechte verbindingslijn 415"/>
                            <xdr:cNvCxnSpPr>
                              <a:cxnSpLocks noChangeShapeType="1"/>
                            </xdr:cNvCxnSpPr>
                          </xdr:nvCxnSpPr>
                          <xdr:spPr bwMode="auto">
                            <a:xfrm>
                              <a:off x="777240" y="79232760"/>
                              <a:ext cx="472440" cy="1143000"/>
                            </a:xfrm>
                            <a:prstGeom prst="line">
                              <a:avLst/>
                            </a:prstGeom>
                            <a:noFill/>
                            <a:ln w="22225" algn="ctr">
                              <a:solidFill>
                                <a:srgbClr val="000000"/>
                              </a:solidFill>
                              <a:round/>
                              <a:headEnd/>
                              <a:tailEnd/>
                            </a:ln>
                          </xdr:spPr>
                        </xdr:cxnSp>
                      </xdr:grpSp>
                    </xdr:grpSp>
                  </xdr:grpSp>
                </xdr:grpSp>
                <xdr:grpSp>
                  <xdr:nvGrpSpPr>
                    <xdr:cNvPr id="59837107" name="Groep 463"/>
                    <xdr:cNvGrpSpPr>
                      <a:grpSpLocks/>
                    </xdr:cNvGrpSpPr>
                  </xdr:nvGrpSpPr>
                  <xdr:grpSpPr bwMode="auto">
                    <a:xfrm>
                      <a:off x="6842417" y="79095577"/>
                      <a:ext cx="1331679" cy="1523358"/>
                      <a:chOff x="5600914" y="78912720"/>
                      <a:chExt cx="1377088" cy="1561273"/>
                    </a:xfrm>
                  </xdr:grpSpPr>
                  <xdr:sp macro="" textlink="">
                    <xdr:nvSpPr>
                      <xdr:cNvPr id="59837142" name="Gelijkbenige driehoek 435"/>
                      <xdr:cNvSpPr>
                        <a:spLocks noChangeArrowheads="1"/>
                      </xdr:cNvSpPr>
                    </xdr:nvSpPr>
                    <xdr:spPr bwMode="auto">
                      <a:xfrm>
                        <a:off x="5844539" y="79248000"/>
                        <a:ext cx="739580" cy="780668"/>
                      </a:xfrm>
                      <a:prstGeom prst="triangle">
                        <a:avLst>
                          <a:gd name="adj" fmla="val 0"/>
                        </a:avLst>
                      </a:prstGeom>
                      <a:solidFill>
                        <a:srgbClr val="FFC000"/>
                      </a:solidFill>
                      <a:ln w="9525" algn="ctr">
                        <a:noFill/>
                        <a:round/>
                        <a:headEnd/>
                        <a:tailEnd/>
                      </a:ln>
                    </xdr:spPr>
                  </xdr:sp>
                  <xdr:grpSp>
                    <xdr:nvGrpSpPr>
                      <xdr:cNvPr id="59837143" name="Groep 365"/>
                      <xdr:cNvGrpSpPr>
                        <a:grpSpLocks/>
                      </xdr:cNvGrpSpPr>
                    </xdr:nvGrpSpPr>
                    <xdr:grpSpPr bwMode="auto">
                      <a:xfrm>
                        <a:off x="5600914" y="78912720"/>
                        <a:ext cx="1377088" cy="1561273"/>
                        <a:chOff x="533614" y="78905100"/>
                        <a:chExt cx="1377088" cy="1561273"/>
                      </a:xfrm>
                    </xdr:grpSpPr>
                    <xdr:grpSp>
                      <xdr:nvGrpSpPr>
                        <xdr:cNvPr id="59837144" name="Groep 295"/>
                        <xdr:cNvGrpSpPr>
                          <a:grpSpLocks/>
                        </xdr:cNvGrpSpPr>
                      </xdr:nvGrpSpPr>
                      <xdr:grpSpPr bwMode="auto">
                        <a:xfrm>
                          <a:off x="533614" y="78905100"/>
                          <a:ext cx="1377088" cy="1561273"/>
                          <a:chOff x="1296893" y="78889860"/>
                          <a:chExt cx="1701552" cy="1561283"/>
                        </a:xfrm>
                      </xdr:grpSpPr>
                      <xdr:grpSp>
                        <xdr:nvGrpSpPr>
                          <xdr:cNvPr id="59837146" name="Groep 298"/>
                          <xdr:cNvGrpSpPr>
                            <a:grpSpLocks/>
                          </xdr:cNvGrpSpPr>
                        </xdr:nvGrpSpPr>
                        <xdr:grpSpPr bwMode="auto">
                          <a:xfrm>
                            <a:off x="1296893" y="78889860"/>
                            <a:ext cx="1701552" cy="1561283"/>
                            <a:chOff x="1890644" y="20314931"/>
                            <a:chExt cx="1693324" cy="1704162"/>
                          </a:xfrm>
                        </xdr:grpSpPr>
                        <xdr:grpSp>
                          <xdr:nvGrpSpPr>
                            <xdr:cNvPr id="59837149" name="Groep 270"/>
                            <xdr:cNvGrpSpPr>
                              <a:grpSpLocks/>
                            </xdr:cNvGrpSpPr>
                          </xdr:nvGrpSpPr>
                          <xdr:grpSpPr bwMode="auto">
                            <a:xfrm>
                              <a:off x="1890644" y="20314931"/>
                              <a:ext cx="1693324" cy="1704162"/>
                              <a:chOff x="336164" y="20307322"/>
                              <a:chExt cx="1693324" cy="1704162"/>
                            </a:xfrm>
                          </xdr:grpSpPr>
                          <xdr:grpSp>
                            <xdr:nvGrpSpPr>
                              <xdr:cNvPr id="59837151" name="Group 418"/>
                              <xdr:cNvGrpSpPr>
                                <a:grpSpLocks/>
                              </xdr:cNvGrpSpPr>
                            </xdr:nvGrpSpPr>
                            <xdr:grpSpPr bwMode="auto">
                              <a:xfrm>
                                <a:off x="336164" y="20307322"/>
                                <a:ext cx="1693324" cy="1704162"/>
                                <a:chOff x="190" y="6676"/>
                                <a:chExt cx="182" cy="207"/>
                              </a:xfrm>
                            </xdr:grpSpPr>
                            <xdr:sp macro="" textlink="">
                              <xdr:nvSpPr>
                                <xdr:cNvPr id="581" name="Text Box 256"/>
                                <xdr:cNvSpPr txBox="1">
                                  <a:spLocks noChangeArrowheads="1"/>
                                </xdr:cNvSpPr>
                              </xdr:nvSpPr>
                              <xdr:spPr bwMode="auto">
                                <a:xfrm>
                                  <a:off x="190" y="6676"/>
                                  <a:ext cx="35" cy="37"/>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582" name="Text Box 257"/>
                                <xdr:cNvSpPr txBox="1">
                                  <a:spLocks noChangeArrowheads="1"/>
                                </xdr:cNvSpPr>
                              </xdr:nvSpPr>
                              <xdr:spPr bwMode="auto">
                                <a:xfrm>
                                  <a:off x="333" y="6854"/>
                                  <a:ext cx="39"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37152"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37150" name="Line 238"/>
                            <xdr:cNvSpPr>
                              <a:spLocks noChangeShapeType="1"/>
                            </xdr:cNvSpPr>
                          </xdr:nvSpPr>
                          <xdr:spPr bwMode="auto">
                            <a:xfrm>
                              <a:off x="2186939" y="20665440"/>
                              <a:ext cx="1097280" cy="1082040"/>
                            </a:xfrm>
                            <a:prstGeom prst="line">
                              <a:avLst/>
                            </a:prstGeom>
                            <a:noFill/>
                            <a:ln w="19050">
                              <a:solidFill>
                                <a:srgbClr val="000000"/>
                              </a:solidFill>
                              <a:round/>
                              <a:headEnd/>
                              <a:tailEnd/>
                            </a:ln>
                          </xdr:spPr>
                        </xdr:sp>
                      </xdr:grpSp>
                      <xdr:sp macro="" textlink="">
                        <xdr:nvSpPr>
                          <xdr:cNvPr id="59837147" name="Rechthoek 447"/>
                          <xdr:cNvSpPr>
                            <a:spLocks noChangeArrowheads="1"/>
                          </xdr:cNvSpPr>
                        </xdr:nvSpPr>
                        <xdr:spPr bwMode="auto">
                          <a:xfrm>
                            <a:off x="1594630" y="80021404"/>
                            <a:ext cx="878193" cy="173905"/>
                          </a:xfrm>
                          <a:prstGeom prst="rect">
                            <a:avLst/>
                          </a:prstGeom>
                          <a:solidFill>
                            <a:srgbClr val="FFFFFF"/>
                          </a:solidFill>
                          <a:ln w="9525" algn="ctr">
                            <a:solidFill>
                              <a:srgbClr val="000000"/>
                            </a:solidFill>
                            <a:round/>
                            <a:headEnd/>
                            <a:tailEnd/>
                          </a:ln>
                        </xdr:spPr>
                      </xdr:sp>
                      <xdr:sp macro="" textlink="">
                        <xdr:nvSpPr>
                          <xdr:cNvPr id="59837148" name="Line 238"/>
                          <xdr:cNvSpPr>
                            <a:spLocks noChangeShapeType="1"/>
                          </xdr:cNvSpPr>
                        </xdr:nvSpPr>
                        <xdr:spPr bwMode="auto">
                          <a:xfrm>
                            <a:off x="1586972" y="78903822"/>
                            <a:ext cx="0" cy="1289755"/>
                          </a:xfrm>
                          <a:prstGeom prst="line">
                            <a:avLst/>
                          </a:prstGeom>
                          <a:noFill/>
                          <a:ln w="19050">
                            <a:solidFill>
                              <a:srgbClr val="000000"/>
                            </a:solidFill>
                            <a:round/>
                            <a:headEnd/>
                            <a:tailEnd/>
                          </a:ln>
                        </xdr:spPr>
                      </xdr:sp>
                    </xdr:grpSp>
                    <xdr:cxnSp macro="">
                      <xdr:nvCxnSpPr>
                        <xdr:cNvPr id="59837145" name="Rechte verbindingslijn 443"/>
                        <xdr:cNvCxnSpPr>
                          <a:cxnSpLocks noChangeShapeType="1"/>
                        </xdr:cNvCxnSpPr>
                      </xdr:nvCxnSpPr>
                      <xdr:spPr bwMode="auto">
                        <a:xfrm>
                          <a:off x="777240" y="79232760"/>
                          <a:ext cx="472440" cy="1143000"/>
                        </a:xfrm>
                        <a:prstGeom prst="line">
                          <a:avLst/>
                        </a:prstGeom>
                        <a:noFill/>
                        <a:ln w="22225" algn="ctr">
                          <a:solidFill>
                            <a:srgbClr val="000000"/>
                          </a:solidFill>
                          <a:round/>
                          <a:headEnd/>
                          <a:tailEnd/>
                        </a:ln>
                      </xdr:spPr>
                    </xdr:cxnSp>
                  </xdr:grpSp>
                </xdr:grpSp>
                <xdr:grpSp>
                  <xdr:nvGrpSpPr>
                    <xdr:cNvPr id="59837108" name="Groep 491"/>
                    <xdr:cNvGrpSpPr>
                      <a:grpSpLocks/>
                    </xdr:cNvGrpSpPr>
                  </xdr:nvGrpSpPr>
                  <xdr:grpSpPr bwMode="auto">
                    <a:xfrm>
                      <a:off x="5777417" y="79095392"/>
                      <a:ext cx="1324361" cy="1523358"/>
                      <a:chOff x="5608482" y="78912720"/>
                      <a:chExt cx="1369521" cy="1561273"/>
                    </a:xfrm>
                  </xdr:grpSpPr>
                  <xdr:sp macro="" textlink="">
                    <xdr:nvSpPr>
                      <xdr:cNvPr id="59837121" name="Gelijkbenige driehoek 435"/>
                      <xdr:cNvSpPr>
                        <a:spLocks noChangeArrowheads="1"/>
                      </xdr:cNvSpPr>
                    </xdr:nvSpPr>
                    <xdr:spPr bwMode="auto">
                      <a:xfrm>
                        <a:off x="5852160" y="79232760"/>
                        <a:ext cx="609600" cy="685800"/>
                      </a:xfrm>
                      <a:prstGeom prst="triangle">
                        <a:avLst>
                          <a:gd name="adj" fmla="val 0"/>
                        </a:avLst>
                      </a:prstGeom>
                      <a:solidFill>
                        <a:srgbClr val="00B050"/>
                      </a:solidFill>
                      <a:ln w="22225" algn="ctr">
                        <a:noFill/>
                        <a:round/>
                        <a:headEnd/>
                        <a:tailEnd/>
                      </a:ln>
                    </xdr:spPr>
                  </xdr:sp>
                  <xdr:sp macro="" textlink="">
                    <xdr:nvSpPr>
                      <xdr:cNvPr id="59837122" name="Rechthoek 439"/>
                      <xdr:cNvSpPr>
                        <a:spLocks noChangeArrowheads="1"/>
                      </xdr:cNvSpPr>
                    </xdr:nvSpPr>
                    <xdr:spPr bwMode="auto">
                      <a:xfrm>
                        <a:off x="6314410" y="79919566"/>
                        <a:ext cx="157555" cy="117075"/>
                      </a:xfrm>
                      <a:prstGeom prst="rect">
                        <a:avLst/>
                      </a:prstGeom>
                      <a:solidFill>
                        <a:srgbClr val="FFC000"/>
                      </a:solidFill>
                      <a:ln w="9525" algn="ctr">
                        <a:solidFill>
                          <a:srgbClr val="000000"/>
                        </a:solidFill>
                        <a:round/>
                        <a:headEnd/>
                        <a:tailEnd/>
                      </a:ln>
                    </xdr:spPr>
                  </xdr:sp>
                  <xdr:grpSp>
                    <xdr:nvGrpSpPr>
                      <xdr:cNvPr id="59837123" name="Groep 467"/>
                      <xdr:cNvGrpSpPr>
                        <a:grpSpLocks/>
                      </xdr:cNvGrpSpPr>
                    </xdr:nvGrpSpPr>
                    <xdr:grpSpPr bwMode="auto">
                      <a:xfrm>
                        <a:off x="5608482" y="78912720"/>
                        <a:ext cx="1369521" cy="1561273"/>
                        <a:chOff x="4389282" y="78912720"/>
                        <a:chExt cx="1369521" cy="1561273"/>
                      </a:xfrm>
                    </xdr:grpSpPr>
                    <xdr:sp macro="" textlink="">
                      <xdr:nvSpPr>
                        <xdr:cNvPr id="59837124" name="Rechthoek 439"/>
                        <xdr:cNvSpPr>
                          <a:spLocks noChangeArrowheads="1"/>
                        </xdr:cNvSpPr>
                      </xdr:nvSpPr>
                      <xdr:spPr bwMode="auto">
                        <a:xfrm>
                          <a:off x="4983481" y="79794685"/>
                          <a:ext cx="143241" cy="283873"/>
                        </a:xfrm>
                        <a:prstGeom prst="rect">
                          <a:avLst/>
                        </a:prstGeom>
                        <a:solidFill>
                          <a:srgbClr val="FFC000"/>
                        </a:solidFill>
                        <a:ln w="9525" algn="ctr">
                          <a:solidFill>
                            <a:srgbClr val="000000"/>
                          </a:solidFill>
                          <a:round/>
                          <a:headEnd/>
                          <a:tailEnd/>
                        </a:ln>
                      </xdr:spPr>
                    </xdr:sp>
                    <xdr:grpSp>
                      <xdr:nvGrpSpPr>
                        <xdr:cNvPr id="59837125" name="Groep 408"/>
                        <xdr:cNvGrpSpPr>
                          <a:grpSpLocks/>
                        </xdr:cNvGrpSpPr>
                      </xdr:nvGrpSpPr>
                      <xdr:grpSpPr bwMode="auto">
                        <a:xfrm>
                          <a:off x="4389282" y="78912720"/>
                          <a:ext cx="1369521" cy="1561273"/>
                          <a:chOff x="3101502" y="78927960"/>
                          <a:chExt cx="1369521" cy="1561273"/>
                        </a:xfrm>
                      </xdr:grpSpPr>
                      <xdr:sp macro="" textlink="">
                        <xdr:nvSpPr>
                          <xdr:cNvPr id="59837126" name="Rechthoek 439"/>
                          <xdr:cNvSpPr>
                            <a:spLocks noChangeArrowheads="1"/>
                          </xdr:cNvSpPr>
                        </xdr:nvSpPr>
                        <xdr:spPr bwMode="auto">
                          <a:xfrm>
                            <a:off x="3578737" y="79685067"/>
                            <a:ext cx="142039" cy="416373"/>
                          </a:xfrm>
                          <a:prstGeom prst="rect">
                            <a:avLst/>
                          </a:prstGeom>
                          <a:solidFill>
                            <a:srgbClr val="FFC000"/>
                          </a:solidFill>
                          <a:ln w="9525" algn="ctr">
                            <a:solidFill>
                              <a:srgbClr val="000000"/>
                            </a:solidFill>
                            <a:round/>
                            <a:headEnd/>
                            <a:tailEnd/>
                          </a:ln>
                        </xdr:spPr>
                      </xdr:sp>
                      <xdr:grpSp>
                        <xdr:nvGrpSpPr>
                          <xdr:cNvPr id="59837127" name="Groep 388"/>
                          <xdr:cNvGrpSpPr>
                            <a:grpSpLocks/>
                          </xdr:cNvGrpSpPr>
                        </xdr:nvGrpSpPr>
                        <xdr:grpSpPr bwMode="auto">
                          <a:xfrm>
                            <a:off x="3101502" y="78927960"/>
                            <a:ext cx="1369521" cy="1561273"/>
                            <a:chOff x="1821342" y="78912720"/>
                            <a:chExt cx="1369521" cy="1561273"/>
                          </a:xfrm>
                        </xdr:grpSpPr>
                        <xdr:sp macro="" textlink="">
                          <xdr:nvSpPr>
                            <xdr:cNvPr id="59837128" name="Rechthoek 437"/>
                            <xdr:cNvSpPr>
                              <a:spLocks noChangeArrowheads="1"/>
                            </xdr:cNvSpPr>
                          </xdr:nvSpPr>
                          <xdr:spPr bwMode="auto">
                            <a:xfrm>
                              <a:off x="2057400" y="79537141"/>
                              <a:ext cx="257174" cy="694983"/>
                            </a:xfrm>
                            <a:prstGeom prst="rect">
                              <a:avLst/>
                            </a:prstGeom>
                            <a:solidFill>
                              <a:srgbClr val="FFC000"/>
                            </a:solidFill>
                            <a:ln w="9525" algn="ctr">
                              <a:solidFill>
                                <a:srgbClr val="000000"/>
                              </a:solidFill>
                              <a:round/>
                              <a:headEnd/>
                              <a:tailEnd/>
                            </a:ln>
                          </xdr:spPr>
                        </xdr:sp>
                        <xdr:sp macro="" textlink="">
                          <xdr:nvSpPr>
                            <xdr:cNvPr id="59837129" name="Rechthoek 437"/>
                            <xdr:cNvSpPr>
                              <a:spLocks noChangeArrowheads="1"/>
                            </xdr:cNvSpPr>
                          </xdr:nvSpPr>
                          <xdr:spPr bwMode="auto">
                            <a:xfrm>
                              <a:off x="2057400" y="79381040"/>
                              <a:ext cx="123253" cy="788979"/>
                            </a:xfrm>
                            <a:prstGeom prst="rect">
                              <a:avLst/>
                            </a:prstGeom>
                            <a:solidFill>
                              <a:srgbClr val="FFC000"/>
                            </a:solidFill>
                            <a:ln w="9525" algn="ctr">
                              <a:solidFill>
                                <a:srgbClr val="000000"/>
                              </a:solidFill>
                              <a:round/>
                              <a:headEnd/>
                              <a:tailEnd/>
                            </a:ln>
                          </xdr:spPr>
                        </xdr:sp>
                        <xdr:grpSp>
                          <xdr:nvGrpSpPr>
                            <xdr:cNvPr id="59837130" name="Groep 365"/>
                            <xdr:cNvGrpSpPr>
                              <a:grpSpLocks/>
                            </xdr:cNvGrpSpPr>
                          </xdr:nvGrpSpPr>
                          <xdr:grpSpPr bwMode="auto">
                            <a:xfrm>
                              <a:off x="1821342" y="78912720"/>
                              <a:ext cx="1369521" cy="1561273"/>
                              <a:chOff x="541182" y="78905100"/>
                              <a:chExt cx="1369521" cy="1561273"/>
                            </a:xfrm>
                          </xdr:grpSpPr>
                          <xdr:grpSp>
                            <xdr:nvGrpSpPr>
                              <xdr:cNvPr id="59837131" name="Groep 295"/>
                              <xdr:cNvGrpSpPr>
                                <a:grpSpLocks/>
                              </xdr:cNvGrpSpPr>
                            </xdr:nvGrpSpPr>
                            <xdr:grpSpPr bwMode="auto">
                              <a:xfrm>
                                <a:off x="541182" y="78905100"/>
                                <a:ext cx="1369521" cy="1561273"/>
                                <a:chOff x="1306243" y="78889860"/>
                                <a:chExt cx="1692202" cy="1561283"/>
                              </a:xfrm>
                            </xdr:grpSpPr>
                            <xdr:grpSp>
                              <xdr:nvGrpSpPr>
                                <xdr:cNvPr id="59837133" name="Groep 298"/>
                                <xdr:cNvGrpSpPr>
                                  <a:grpSpLocks/>
                                </xdr:cNvGrpSpPr>
                              </xdr:nvGrpSpPr>
                              <xdr:grpSpPr bwMode="auto">
                                <a:xfrm>
                                  <a:off x="1306243" y="78889860"/>
                                  <a:ext cx="1692202" cy="1561283"/>
                                  <a:chOff x="1899948" y="20314931"/>
                                  <a:chExt cx="1684020" cy="1704162"/>
                                </a:xfrm>
                              </xdr:grpSpPr>
                              <xdr:grpSp>
                                <xdr:nvGrpSpPr>
                                  <xdr:cNvPr id="59837136" name="Groep 270"/>
                                  <xdr:cNvGrpSpPr>
                                    <a:grpSpLocks/>
                                  </xdr:cNvGrpSpPr>
                                </xdr:nvGrpSpPr>
                                <xdr:grpSpPr bwMode="auto">
                                  <a:xfrm>
                                    <a:off x="1899948" y="20314931"/>
                                    <a:ext cx="1684020" cy="1704162"/>
                                    <a:chOff x="345468" y="20307322"/>
                                    <a:chExt cx="1684020" cy="1704162"/>
                                  </a:xfrm>
                                </xdr:grpSpPr>
                                <xdr:grpSp>
                                  <xdr:nvGrpSpPr>
                                    <xdr:cNvPr id="59837138" name="Group 418"/>
                                    <xdr:cNvGrpSpPr>
                                      <a:grpSpLocks/>
                                    </xdr:cNvGrpSpPr>
                                  </xdr:nvGrpSpPr>
                                  <xdr:grpSpPr bwMode="auto">
                                    <a:xfrm>
                                      <a:off x="345468" y="20307322"/>
                                      <a:ext cx="1684020" cy="1704162"/>
                                      <a:chOff x="191" y="6676"/>
                                      <a:chExt cx="181" cy="207"/>
                                    </a:xfrm>
                                  </xdr:grpSpPr>
                                  <xdr:sp macro="" textlink="">
                                    <xdr:nvSpPr>
                                      <xdr:cNvPr id="566" name="Text Box 256"/>
                                      <xdr:cNvSpPr txBox="1">
                                        <a:spLocks noChangeArrowheads="1"/>
                                      </xdr:cNvSpPr>
                                    </xdr:nvSpPr>
                                    <xdr:spPr bwMode="auto">
                                      <a:xfrm>
                                        <a:off x="190" y="6676"/>
                                        <a:ext cx="34" cy="32"/>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567" name="Text Box 257"/>
                                      <xdr:cNvSpPr txBox="1">
                                        <a:spLocks noChangeArrowheads="1"/>
                                      </xdr:cNvSpPr>
                                    </xdr:nvSpPr>
                                    <xdr:spPr bwMode="auto">
                                      <a:xfrm>
                                        <a:off x="333" y="6854"/>
                                        <a:ext cx="39"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37139"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37137" name="Line 238"/>
                                  <xdr:cNvSpPr>
                                    <a:spLocks noChangeShapeType="1"/>
                                  </xdr:cNvSpPr>
                                </xdr:nvSpPr>
                                <xdr:spPr bwMode="auto">
                                  <a:xfrm>
                                    <a:off x="2186939" y="20665440"/>
                                    <a:ext cx="1097280" cy="1082040"/>
                                  </a:xfrm>
                                  <a:prstGeom prst="line">
                                    <a:avLst/>
                                  </a:prstGeom>
                                  <a:noFill/>
                                  <a:ln w="19050">
                                    <a:solidFill>
                                      <a:srgbClr val="000000"/>
                                    </a:solidFill>
                                    <a:round/>
                                    <a:headEnd/>
                                    <a:tailEnd/>
                                  </a:ln>
                                </xdr:spPr>
                              </xdr:sp>
                            </xdr:grpSp>
                            <xdr:sp macro="" textlink="">
                              <xdr:nvSpPr>
                                <xdr:cNvPr id="59837134" name="Rechthoek 447"/>
                                <xdr:cNvSpPr>
                                  <a:spLocks noChangeArrowheads="1"/>
                                </xdr:cNvSpPr>
                              </xdr:nvSpPr>
                              <xdr:spPr bwMode="auto">
                                <a:xfrm>
                                  <a:off x="1594630" y="80013789"/>
                                  <a:ext cx="778547" cy="179516"/>
                                </a:xfrm>
                                <a:prstGeom prst="rect">
                                  <a:avLst/>
                                </a:prstGeom>
                                <a:solidFill>
                                  <a:srgbClr val="FFFFFF"/>
                                </a:solidFill>
                                <a:ln w="9525" algn="ctr">
                                  <a:solidFill>
                                    <a:srgbClr val="000000"/>
                                  </a:solidFill>
                                  <a:round/>
                                  <a:headEnd/>
                                  <a:tailEnd/>
                                </a:ln>
                              </xdr:spPr>
                            </xdr:sp>
                            <xdr:sp macro="" textlink="">
                              <xdr:nvSpPr>
                                <xdr:cNvPr id="59837135" name="Line 238"/>
                                <xdr:cNvSpPr>
                                  <a:spLocks noChangeShapeType="1"/>
                                </xdr:cNvSpPr>
                              </xdr:nvSpPr>
                              <xdr:spPr bwMode="auto">
                                <a:xfrm>
                                  <a:off x="1586972" y="78903822"/>
                                  <a:ext cx="0" cy="1289755"/>
                                </a:xfrm>
                                <a:prstGeom prst="line">
                                  <a:avLst/>
                                </a:prstGeom>
                                <a:noFill/>
                                <a:ln w="19050">
                                  <a:solidFill>
                                    <a:srgbClr val="000000"/>
                                  </a:solidFill>
                                  <a:round/>
                                  <a:headEnd/>
                                  <a:tailEnd/>
                                </a:ln>
                              </xdr:spPr>
                            </xdr:sp>
                          </xdr:grpSp>
                          <xdr:cxnSp macro="">
                            <xdr:nvCxnSpPr>
                              <xdr:cNvPr id="59837132" name="Rechte verbindingslijn 477"/>
                              <xdr:cNvCxnSpPr>
                                <a:cxnSpLocks noChangeShapeType="1"/>
                              </xdr:cNvCxnSpPr>
                            </xdr:nvCxnSpPr>
                            <xdr:spPr bwMode="auto">
                              <a:xfrm>
                                <a:off x="777240" y="79225140"/>
                                <a:ext cx="472440" cy="1143000"/>
                              </a:xfrm>
                              <a:prstGeom prst="line">
                                <a:avLst/>
                              </a:prstGeom>
                              <a:noFill/>
                              <a:ln w="22225" algn="ctr">
                                <a:solidFill>
                                  <a:srgbClr val="000000"/>
                                </a:solidFill>
                                <a:round/>
                                <a:headEnd/>
                                <a:tailEnd/>
                              </a:ln>
                            </xdr:spPr>
                          </xdr:cxnSp>
                        </xdr:grpSp>
                      </xdr:grpSp>
                    </xdr:grpSp>
                  </xdr:grpSp>
                </xdr:grpSp>
                <xdr:grpSp>
                  <xdr:nvGrpSpPr>
                    <xdr:cNvPr id="59837109" name="Groep 365"/>
                    <xdr:cNvGrpSpPr>
                      <a:grpSpLocks/>
                    </xdr:cNvGrpSpPr>
                  </xdr:nvGrpSpPr>
                  <xdr:grpSpPr bwMode="auto">
                    <a:xfrm>
                      <a:off x="327660" y="79087980"/>
                      <a:ext cx="1397531" cy="1523358"/>
                      <a:chOff x="563880" y="78905100"/>
                      <a:chExt cx="1445186" cy="1561273"/>
                    </a:xfrm>
                  </xdr:grpSpPr>
                  <xdr:grpSp>
                    <xdr:nvGrpSpPr>
                      <xdr:cNvPr id="59837110" name="Groep 295"/>
                      <xdr:cNvGrpSpPr>
                        <a:grpSpLocks/>
                      </xdr:cNvGrpSpPr>
                    </xdr:nvGrpSpPr>
                    <xdr:grpSpPr bwMode="auto">
                      <a:xfrm>
                        <a:off x="563880" y="78905100"/>
                        <a:ext cx="1445186" cy="1561273"/>
                        <a:chOff x="1334290" y="78889860"/>
                        <a:chExt cx="1785695" cy="1561283"/>
                      </a:xfrm>
                    </xdr:grpSpPr>
                    <xdr:sp macro="" textlink="">
                      <xdr:nvSpPr>
                        <xdr:cNvPr id="59837112" name="Rechthoek 447"/>
                        <xdr:cNvSpPr>
                          <a:spLocks noChangeArrowheads="1"/>
                        </xdr:cNvSpPr>
                      </xdr:nvSpPr>
                      <xdr:spPr bwMode="auto">
                        <a:xfrm flipV="1">
                          <a:off x="1575161" y="79982376"/>
                          <a:ext cx="868779" cy="210737"/>
                        </a:xfrm>
                        <a:prstGeom prst="rect">
                          <a:avLst/>
                        </a:prstGeom>
                        <a:solidFill>
                          <a:srgbClr val="FFFFFF"/>
                        </a:solidFill>
                        <a:ln w="9525" algn="ctr">
                          <a:solidFill>
                            <a:srgbClr val="000000"/>
                          </a:solidFill>
                          <a:round/>
                          <a:headEnd/>
                          <a:tailEnd/>
                        </a:ln>
                      </xdr:spPr>
                    </xdr:sp>
                    <xdr:grpSp>
                      <xdr:nvGrpSpPr>
                        <xdr:cNvPr id="59837113" name="Groep 298"/>
                        <xdr:cNvGrpSpPr>
                          <a:grpSpLocks/>
                        </xdr:cNvGrpSpPr>
                      </xdr:nvGrpSpPr>
                      <xdr:grpSpPr bwMode="auto">
                        <a:xfrm>
                          <a:off x="1334290" y="78889860"/>
                          <a:ext cx="1785695" cy="1561283"/>
                          <a:chOff x="1927860" y="20314931"/>
                          <a:chExt cx="1777060" cy="1704162"/>
                        </a:xfrm>
                      </xdr:grpSpPr>
                      <xdr:grpSp>
                        <xdr:nvGrpSpPr>
                          <xdr:cNvPr id="59837115" name="Groep 270"/>
                          <xdr:cNvGrpSpPr>
                            <a:grpSpLocks/>
                          </xdr:cNvGrpSpPr>
                        </xdr:nvGrpSpPr>
                        <xdr:grpSpPr bwMode="auto">
                          <a:xfrm>
                            <a:off x="1927860" y="20314931"/>
                            <a:ext cx="1777060" cy="1704162"/>
                            <a:chOff x="373380" y="20307322"/>
                            <a:chExt cx="1777060" cy="1704162"/>
                          </a:xfrm>
                        </xdr:grpSpPr>
                        <xdr:grpSp>
                          <xdr:nvGrpSpPr>
                            <xdr:cNvPr id="59837117" name="Group 418"/>
                            <xdr:cNvGrpSpPr>
                              <a:grpSpLocks/>
                            </xdr:cNvGrpSpPr>
                          </xdr:nvGrpSpPr>
                          <xdr:grpSpPr bwMode="auto">
                            <a:xfrm>
                              <a:off x="373380" y="20307322"/>
                              <a:ext cx="1777060" cy="1704162"/>
                              <a:chOff x="194" y="6676"/>
                              <a:chExt cx="191" cy="207"/>
                            </a:xfrm>
                          </xdr:grpSpPr>
                          <xdr:sp macro="" textlink="">
                            <xdr:nvSpPr>
                              <xdr:cNvPr id="543" name="Text Box 256"/>
                              <xdr:cNvSpPr txBox="1">
                                <a:spLocks noChangeArrowheads="1"/>
                              </xdr:cNvSpPr>
                            </xdr:nvSpPr>
                            <xdr:spPr bwMode="auto">
                              <a:xfrm>
                                <a:off x="194" y="6676"/>
                                <a:ext cx="31" cy="2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544" name="Text Box 257"/>
                              <xdr:cNvSpPr txBox="1">
                                <a:spLocks noChangeArrowheads="1"/>
                              </xdr:cNvSpPr>
                            </xdr:nvSpPr>
                            <xdr:spPr bwMode="auto">
                              <a:xfrm>
                                <a:off x="334" y="6853"/>
                                <a:ext cx="52"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37118"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37116" name="Line 238"/>
                          <xdr:cNvSpPr>
                            <a:spLocks noChangeShapeType="1"/>
                          </xdr:cNvSpPr>
                        </xdr:nvSpPr>
                        <xdr:spPr bwMode="auto">
                          <a:xfrm>
                            <a:off x="2186939" y="20665440"/>
                            <a:ext cx="1097280" cy="1082040"/>
                          </a:xfrm>
                          <a:prstGeom prst="line">
                            <a:avLst/>
                          </a:prstGeom>
                          <a:noFill/>
                          <a:ln w="19050">
                            <a:solidFill>
                              <a:srgbClr val="000000"/>
                            </a:solidFill>
                            <a:round/>
                            <a:headEnd/>
                            <a:tailEnd/>
                          </a:ln>
                        </xdr:spPr>
                      </xdr:sp>
                    </xdr:grpSp>
                    <xdr:sp macro="" textlink="">
                      <xdr:nvSpPr>
                        <xdr:cNvPr id="59837114" name="Line 238"/>
                        <xdr:cNvSpPr>
                          <a:spLocks noChangeShapeType="1"/>
                        </xdr:cNvSpPr>
                      </xdr:nvSpPr>
                      <xdr:spPr bwMode="auto">
                        <a:xfrm>
                          <a:off x="1586972" y="78903822"/>
                          <a:ext cx="0" cy="1289755"/>
                        </a:xfrm>
                        <a:prstGeom prst="line">
                          <a:avLst/>
                        </a:prstGeom>
                        <a:noFill/>
                        <a:ln w="19050">
                          <a:solidFill>
                            <a:srgbClr val="000000"/>
                          </a:solidFill>
                          <a:round/>
                          <a:headEnd/>
                          <a:tailEnd/>
                        </a:ln>
                      </xdr:spPr>
                    </xdr:sp>
                  </xdr:grpSp>
                  <xdr:cxnSp macro="">
                    <xdr:nvCxnSpPr>
                      <xdr:cNvPr id="59837111" name="Rechte verbindingslijn 502"/>
                      <xdr:cNvCxnSpPr>
                        <a:cxnSpLocks noChangeShapeType="1"/>
                      </xdr:cNvCxnSpPr>
                    </xdr:nvCxnSpPr>
                    <xdr:spPr bwMode="auto">
                      <a:xfrm>
                        <a:off x="777240" y="79232760"/>
                        <a:ext cx="472440" cy="1143000"/>
                      </a:xfrm>
                      <a:prstGeom prst="line">
                        <a:avLst/>
                      </a:prstGeom>
                      <a:noFill/>
                      <a:ln w="22225" algn="ctr">
                        <a:solidFill>
                          <a:srgbClr val="000000"/>
                        </a:solidFill>
                        <a:round/>
                        <a:headEnd/>
                        <a:tailEnd/>
                      </a:ln>
                    </xdr:spPr>
                  </xdr:cxnSp>
                </xdr:grpSp>
              </xdr:grpSp>
            </xdr:grpSp>
            <xdr:cxnSp macro="">
              <xdr:nvCxnSpPr>
                <xdr:cNvPr id="59837100" name="Rechte verbindingslijn 533"/>
                <xdr:cNvCxnSpPr>
                  <a:cxnSpLocks noChangeShapeType="1"/>
                </xdr:cNvCxnSpPr>
              </xdr:nvCxnSpPr>
              <xdr:spPr bwMode="auto">
                <a:xfrm flipH="1">
                  <a:off x="1690753" y="79248000"/>
                  <a:ext cx="214247" cy="342692"/>
                </a:xfrm>
                <a:prstGeom prst="line">
                  <a:avLst/>
                </a:prstGeom>
                <a:noFill/>
                <a:ln w="22225" algn="ctr">
                  <a:solidFill>
                    <a:srgbClr val="000000"/>
                  </a:solidFill>
                  <a:round/>
                  <a:headEnd/>
                  <a:tailEnd/>
                </a:ln>
              </xdr:spPr>
            </xdr:cxnSp>
          </xdr:grpSp>
        </xdr:grpSp>
        <xdr:sp macro="" textlink="">
          <xdr:nvSpPr>
            <xdr:cNvPr id="512" name="Text Box 256"/>
            <xdr:cNvSpPr txBox="1">
              <a:spLocks noChangeArrowheads="1"/>
            </xdr:cNvSpPr>
          </xdr:nvSpPr>
          <xdr:spPr bwMode="auto">
            <a:xfrm>
              <a:off x="7231380" y="98222355"/>
              <a:ext cx="1257300" cy="48954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1" i="0" u="none" strike="noStrike" baseline="0">
                  <a:solidFill>
                    <a:srgbClr val="000000"/>
                  </a:solidFill>
                  <a:latin typeface="Arial"/>
                  <a:cs typeface="Arial"/>
                </a:rPr>
                <a:t>volkomen prijsdiscriminatie</a:t>
              </a:r>
            </a:p>
          </xdr:txBody>
        </xdr:sp>
        <xdr:grpSp>
          <xdr:nvGrpSpPr>
            <xdr:cNvPr id="59837091" name="Groep 579"/>
            <xdr:cNvGrpSpPr>
              <a:grpSpLocks/>
            </xdr:cNvGrpSpPr>
          </xdr:nvGrpSpPr>
          <xdr:grpSpPr bwMode="auto">
            <a:xfrm>
              <a:off x="3794760" y="98077020"/>
              <a:ext cx="2057400" cy="487680"/>
              <a:chOff x="3794760" y="98077020"/>
              <a:chExt cx="2057400" cy="487680"/>
            </a:xfrm>
          </xdr:grpSpPr>
          <xdr:sp macro="" textlink="">
            <xdr:nvSpPr>
              <xdr:cNvPr id="515" name="Text Box 256"/>
              <xdr:cNvSpPr txBox="1">
                <a:spLocks noChangeArrowheads="1"/>
              </xdr:cNvSpPr>
            </xdr:nvSpPr>
            <xdr:spPr bwMode="auto">
              <a:xfrm>
                <a:off x="4175760" y="98077020"/>
                <a:ext cx="1257300" cy="48954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1" i="0" u="none" strike="noStrike" baseline="0">
                    <a:solidFill>
                      <a:srgbClr val="000000"/>
                    </a:solidFill>
                    <a:latin typeface="Arial"/>
                    <a:cs typeface="Arial"/>
                  </a:rPr>
                  <a:t>monopolie (met winstmaximalisatie)</a:t>
                </a:r>
              </a:p>
            </xdr:txBody>
          </xdr:sp>
          <xdr:cxnSp macro="">
            <xdr:nvCxnSpPr>
              <xdr:cNvPr id="59837094" name="Rechte verbindingslijn met pijl 515"/>
              <xdr:cNvCxnSpPr>
                <a:cxnSpLocks noChangeShapeType="1"/>
              </xdr:cNvCxnSpPr>
            </xdr:nvCxnSpPr>
            <xdr:spPr bwMode="auto">
              <a:xfrm>
                <a:off x="5425440" y="98252280"/>
                <a:ext cx="426720" cy="0"/>
              </a:xfrm>
              <a:prstGeom prst="straightConnector1">
                <a:avLst/>
              </a:prstGeom>
              <a:noFill/>
              <a:ln w="9525" algn="ctr">
                <a:solidFill>
                  <a:srgbClr val="000000"/>
                </a:solidFill>
                <a:round/>
                <a:headEnd/>
                <a:tailEnd type="arrow" w="med" len="med"/>
              </a:ln>
            </xdr:spPr>
          </xdr:cxnSp>
          <xdr:cxnSp macro="">
            <xdr:nvCxnSpPr>
              <xdr:cNvPr id="59837095" name="Rechte verbindingslijn met pijl 516"/>
              <xdr:cNvCxnSpPr>
                <a:cxnSpLocks noChangeShapeType="1"/>
              </xdr:cNvCxnSpPr>
            </xdr:nvCxnSpPr>
            <xdr:spPr bwMode="auto">
              <a:xfrm flipH="1">
                <a:off x="3794760" y="98252280"/>
                <a:ext cx="381000" cy="0"/>
              </a:xfrm>
              <a:prstGeom prst="straightConnector1">
                <a:avLst/>
              </a:prstGeom>
              <a:noFill/>
              <a:ln w="9525" algn="ctr">
                <a:solidFill>
                  <a:srgbClr val="000000"/>
                </a:solidFill>
                <a:round/>
                <a:headEnd/>
                <a:tailEnd type="arrow" w="med" len="med"/>
              </a:ln>
            </xdr:spPr>
          </xdr:cxnSp>
        </xdr:grpSp>
        <xdr:sp macro="" textlink="">
          <xdr:nvSpPr>
            <xdr:cNvPr id="514" name="Text Box 256"/>
            <xdr:cNvSpPr txBox="1">
              <a:spLocks noChangeArrowheads="1"/>
            </xdr:cNvSpPr>
          </xdr:nvSpPr>
          <xdr:spPr bwMode="auto">
            <a:xfrm>
              <a:off x="556260" y="98207056"/>
              <a:ext cx="1257300" cy="543093"/>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1" i="0" u="none" strike="noStrike" baseline="0">
                  <a:solidFill>
                    <a:srgbClr val="000000"/>
                  </a:solidFill>
                  <a:latin typeface="Arial"/>
                  <a:cs typeface="Arial"/>
                </a:rPr>
                <a:t>volkomen concurrentie</a:t>
              </a:r>
            </a:p>
          </xdr:txBody>
        </xdr:sp>
      </xdr:grpSp>
      <xdr:grpSp>
        <xdr:nvGrpSpPr>
          <xdr:cNvPr id="59837079" name="Groep 382"/>
          <xdr:cNvGrpSpPr>
            <a:grpSpLocks/>
          </xdr:cNvGrpSpPr>
        </xdr:nvGrpSpPr>
        <xdr:grpSpPr bwMode="auto">
          <a:xfrm>
            <a:off x="723900" y="61630354"/>
            <a:ext cx="3086100" cy="7826"/>
            <a:chOff x="723900" y="61630354"/>
            <a:chExt cx="3086100" cy="7826"/>
          </a:xfrm>
        </xdr:grpSpPr>
        <xdr:cxnSp macro="">
          <xdr:nvCxnSpPr>
            <xdr:cNvPr id="59837085" name="Rechte verbindingslijn 538"/>
            <xdr:cNvCxnSpPr>
              <a:cxnSpLocks noChangeShapeType="1"/>
            </xdr:cNvCxnSpPr>
          </xdr:nvCxnSpPr>
          <xdr:spPr bwMode="auto">
            <a:xfrm flipH="1" flipV="1">
              <a:off x="723900" y="61630354"/>
              <a:ext cx="899160" cy="206"/>
            </a:xfrm>
            <a:prstGeom prst="line">
              <a:avLst/>
            </a:prstGeom>
            <a:noFill/>
            <a:ln w="22225" algn="ctr">
              <a:solidFill>
                <a:srgbClr val="000000"/>
              </a:solidFill>
              <a:round/>
              <a:headEnd/>
              <a:tailEnd/>
            </a:ln>
          </xdr:spPr>
        </xdr:cxnSp>
        <xdr:cxnSp macro="">
          <xdr:nvCxnSpPr>
            <xdr:cNvPr id="59837086" name="Rechte verbindingslijn 538"/>
            <xdr:cNvCxnSpPr>
              <a:cxnSpLocks noChangeShapeType="1"/>
            </xdr:cNvCxnSpPr>
          </xdr:nvCxnSpPr>
          <xdr:spPr bwMode="auto">
            <a:xfrm flipH="1" flipV="1">
              <a:off x="1821180" y="61637974"/>
              <a:ext cx="899160" cy="206"/>
            </a:xfrm>
            <a:prstGeom prst="line">
              <a:avLst/>
            </a:prstGeom>
            <a:noFill/>
            <a:ln w="22225" algn="ctr">
              <a:solidFill>
                <a:srgbClr val="000000"/>
              </a:solidFill>
              <a:round/>
              <a:headEnd/>
              <a:tailEnd/>
            </a:ln>
          </xdr:spPr>
        </xdr:cxnSp>
        <xdr:cxnSp macro="">
          <xdr:nvCxnSpPr>
            <xdr:cNvPr id="59837087" name="Rechte verbindingslijn 538"/>
            <xdr:cNvCxnSpPr>
              <a:cxnSpLocks noChangeShapeType="1"/>
            </xdr:cNvCxnSpPr>
          </xdr:nvCxnSpPr>
          <xdr:spPr bwMode="auto">
            <a:xfrm flipH="1" flipV="1">
              <a:off x="2910840" y="61637974"/>
              <a:ext cx="899160" cy="206"/>
            </a:xfrm>
            <a:prstGeom prst="line">
              <a:avLst/>
            </a:prstGeom>
            <a:noFill/>
            <a:ln w="22225" algn="ctr">
              <a:solidFill>
                <a:srgbClr val="000000"/>
              </a:solidFill>
              <a:round/>
              <a:headEnd/>
              <a:tailEnd/>
            </a:ln>
          </xdr:spPr>
        </xdr:cxnSp>
      </xdr:grpSp>
      <xdr:grpSp>
        <xdr:nvGrpSpPr>
          <xdr:cNvPr id="59837080" name="Groep 383"/>
          <xdr:cNvGrpSpPr>
            <a:grpSpLocks/>
          </xdr:cNvGrpSpPr>
        </xdr:nvGrpSpPr>
        <xdr:grpSpPr bwMode="auto">
          <a:xfrm>
            <a:off x="4000500" y="61645594"/>
            <a:ext cx="3086100" cy="7826"/>
            <a:chOff x="723900" y="61630354"/>
            <a:chExt cx="3086100" cy="7826"/>
          </a:xfrm>
        </xdr:grpSpPr>
        <xdr:cxnSp macro="">
          <xdr:nvCxnSpPr>
            <xdr:cNvPr id="59837082" name="Rechte verbindingslijn 538"/>
            <xdr:cNvCxnSpPr>
              <a:cxnSpLocks noChangeShapeType="1"/>
            </xdr:cNvCxnSpPr>
          </xdr:nvCxnSpPr>
          <xdr:spPr bwMode="auto">
            <a:xfrm flipH="1" flipV="1">
              <a:off x="723900" y="61630354"/>
              <a:ext cx="899160" cy="206"/>
            </a:xfrm>
            <a:prstGeom prst="line">
              <a:avLst/>
            </a:prstGeom>
            <a:noFill/>
            <a:ln w="22225" algn="ctr">
              <a:solidFill>
                <a:srgbClr val="000000"/>
              </a:solidFill>
              <a:round/>
              <a:headEnd/>
              <a:tailEnd/>
            </a:ln>
          </xdr:spPr>
        </xdr:cxnSp>
        <xdr:cxnSp macro="">
          <xdr:nvCxnSpPr>
            <xdr:cNvPr id="59837083" name="Rechte verbindingslijn 538"/>
            <xdr:cNvCxnSpPr>
              <a:cxnSpLocks noChangeShapeType="1"/>
            </xdr:cNvCxnSpPr>
          </xdr:nvCxnSpPr>
          <xdr:spPr bwMode="auto">
            <a:xfrm flipH="1" flipV="1">
              <a:off x="1821180" y="61637974"/>
              <a:ext cx="899160" cy="206"/>
            </a:xfrm>
            <a:prstGeom prst="line">
              <a:avLst/>
            </a:prstGeom>
            <a:noFill/>
            <a:ln w="22225" algn="ctr">
              <a:solidFill>
                <a:srgbClr val="000000"/>
              </a:solidFill>
              <a:round/>
              <a:headEnd/>
              <a:tailEnd/>
            </a:ln>
          </xdr:spPr>
        </xdr:cxnSp>
        <xdr:cxnSp macro="">
          <xdr:nvCxnSpPr>
            <xdr:cNvPr id="59837084" name="Rechte verbindingslijn 538"/>
            <xdr:cNvCxnSpPr>
              <a:cxnSpLocks noChangeShapeType="1"/>
            </xdr:cNvCxnSpPr>
          </xdr:nvCxnSpPr>
          <xdr:spPr bwMode="auto">
            <a:xfrm flipH="1" flipV="1">
              <a:off x="2910840" y="61637974"/>
              <a:ext cx="899160" cy="206"/>
            </a:xfrm>
            <a:prstGeom prst="line">
              <a:avLst/>
            </a:prstGeom>
            <a:noFill/>
            <a:ln w="22225" algn="ctr">
              <a:solidFill>
                <a:srgbClr val="000000"/>
              </a:solidFill>
              <a:round/>
              <a:headEnd/>
              <a:tailEnd/>
            </a:ln>
          </xdr:spPr>
        </xdr:cxnSp>
      </xdr:grpSp>
      <xdr:cxnSp macro="">
        <xdr:nvCxnSpPr>
          <xdr:cNvPr id="59837081" name="Rechte verbindingslijn 538"/>
          <xdr:cNvCxnSpPr>
            <a:cxnSpLocks noChangeShapeType="1"/>
          </xdr:cNvCxnSpPr>
        </xdr:nvCxnSpPr>
        <xdr:spPr bwMode="auto">
          <a:xfrm flipH="1" flipV="1">
            <a:off x="7261860" y="61668660"/>
            <a:ext cx="899160" cy="206"/>
          </a:xfrm>
          <a:prstGeom prst="line">
            <a:avLst/>
          </a:prstGeom>
          <a:noFill/>
          <a:ln w="22225" algn="ctr">
            <a:solidFill>
              <a:srgbClr val="000000"/>
            </a:solidFill>
            <a:round/>
            <a:headEnd/>
            <a:tailEnd/>
          </a:ln>
        </xdr:spPr>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127</xdr:col>
      <xdr:colOff>0</xdr:colOff>
      <xdr:row>1</xdr:row>
      <xdr:rowOff>38100</xdr:rowOff>
    </xdr:from>
    <xdr:to>
      <xdr:col>141</xdr:col>
      <xdr:colOff>15240</xdr:colOff>
      <xdr:row>4</xdr:row>
      <xdr:rowOff>198120</xdr:rowOff>
    </xdr:to>
    <xdr:sp macro="" textlink="">
      <xdr:nvSpPr>
        <xdr:cNvPr id="59450242" name="AutoShape 11">
          <a:hlinkClick xmlns:r="http://schemas.openxmlformats.org/officeDocument/2006/relationships" r:id="rId1"/>
        </xdr:cNvPr>
        <xdr:cNvSpPr>
          <a:spLocks noChangeArrowheads="1"/>
        </xdr:cNvSpPr>
      </xdr:nvSpPr>
      <xdr:spPr bwMode="auto">
        <a:xfrm>
          <a:off x="5989320" y="342900"/>
          <a:ext cx="655320" cy="678180"/>
        </a:xfrm>
        <a:prstGeom prst="bevel">
          <a:avLst>
            <a:gd name="adj" fmla="val 12500"/>
          </a:avLst>
        </a:prstGeom>
        <a:solidFill>
          <a:srgbClr val="800080"/>
        </a:solidFill>
        <a:ln w="9525">
          <a:solidFill>
            <a:srgbClr val="000000"/>
          </a:solidFill>
          <a:miter lim="800000"/>
          <a:headEnd/>
          <a:tailEnd/>
        </a:ln>
      </xdr:spPr>
    </xdr:sp>
    <xdr:clientData/>
  </xdr:twoCellAnchor>
  <xdr:twoCellAnchor>
    <xdr:from>
      <xdr:col>0</xdr:col>
      <xdr:colOff>-609600</xdr:colOff>
      <xdr:row>16</xdr:row>
      <xdr:rowOff>0</xdr:rowOff>
    </xdr:from>
    <xdr:to>
      <xdr:col>0</xdr:col>
      <xdr:colOff>-609600</xdr:colOff>
      <xdr:row>16</xdr:row>
      <xdr:rowOff>0</xdr:rowOff>
    </xdr:to>
    <xdr:grpSp>
      <xdr:nvGrpSpPr>
        <xdr:cNvPr id="59450243" name="Group 106"/>
        <xdr:cNvGrpSpPr>
          <a:grpSpLocks/>
        </xdr:cNvGrpSpPr>
      </xdr:nvGrpSpPr>
      <xdr:grpSpPr bwMode="auto">
        <a:xfrm>
          <a:off x="-609600" y="3268980"/>
          <a:ext cx="0" cy="0"/>
          <a:chOff x="941" y="2969"/>
          <a:chExt cx="69" cy="136"/>
        </a:xfrm>
      </xdr:grpSpPr>
      <xdr:sp macro="" textlink="">
        <xdr:nvSpPr>
          <xdr:cNvPr id="59450270"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450271" name="Group 88"/>
          <xdr:cNvGrpSpPr>
            <a:grpSpLocks/>
          </xdr:cNvGrpSpPr>
        </xdr:nvGrpSpPr>
        <xdr:grpSpPr bwMode="auto">
          <a:xfrm>
            <a:off x="941" y="2969"/>
            <a:ext cx="69" cy="56"/>
            <a:chOff x="1904895" y="419519"/>
            <a:chExt cx="652165" cy="538250"/>
          </a:xfrm>
        </xdr:grpSpPr>
        <xdr:sp macro="" textlink="">
          <xdr:nvSpPr>
            <xdr:cNvPr id="59450272"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450273" name="Group 90"/>
            <xdr:cNvGrpSpPr>
              <a:grpSpLocks/>
            </xdr:cNvGrpSpPr>
          </xdr:nvGrpSpPr>
          <xdr:grpSpPr bwMode="auto">
            <a:xfrm>
              <a:off x="1904895" y="754676"/>
              <a:ext cx="646538" cy="203093"/>
              <a:chOff x="3868" y="3810"/>
              <a:chExt cx="2793" cy="828"/>
            </a:xfrm>
          </xdr:grpSpPr>
          <xdr:sp macro="" textlink="">
            <xdr:nvSpPr>
              <xdr:cNvPr id="59450275"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450276" name="Group 92"/>
              <xdr:cNvGrpSpPr>
                <a:grpSpLocks/>
              </xdr:cNvGrpSpPr>
            </xdr:nvGrpSpPr>
            <xdr:grpSpPr bwMode="auto">
              <a:xfrm rot="-900000">
                <a:off x="4551" y="3810"/>
                <a:ext cx="1221" cy="461"/>
                <a:chOff x="4723" y="5578"/>
                <a:chExt cx="1254" cy="456"/>
              </a:xfrm>
            </xdr:grpSpPr>
            <xdr:sp macro="" textlink="">
              <xdr:nvSpPr>
                <xdr:cNvPr id="59450277"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450278"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450279"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450280"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8" name="Text Box 97"/>
            <xdr:cNvSpPr txBox="1">
              <a:spLocks noChangeArrowheads="1"/>
            </xdr:cNvSpPr>
          </xdr:nvSpPr>
          <xdr:spPr bwMode="auto">
            <a:xfrm>
              <a:off x="-609600" y="3268980"/>
              <a:ext cx="0" cy="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nl-NL" sz="900" b="0" i="0" u="none" strike="noStrike" baseline="0">
                  <a:solidFill>
                    <a:srgbClr val="000000"/>
                  </a:solidFill>
                  <a:latin typeface="Times New Roman"/>
                  <a:cs typeface="Times New Roman"/>
                </a:rPr>
                <a:t>+ 2</a:t>
              </a:r>
            </a:p>
            <a:p>
              <a:pPr algn="l" rtl="0">
                <a:defRPr sz="1000"/>
              </a:pPr>
              <a:endParaRPr lang="nl-NL" sz="900" b="0" i="0" u="none" strike="noStrike" baseline="0">
                <a:solidFill>
                  <a:srgbClr val="000000"/>
                </a:solidFill>
                <a:latin typeface="Times New Roman"/>
                <a:cs typeface="Times New Roman"/>
              </a:endParaRPr>
            </a:p>
          </xdr:txBody>
        </xdr:sp>
      </xdr:grpSp>
    </xdr:grpSp>
    <xdr:clientData/>
  </xdr:twoCellAnchor>
  <xdr:twoCellAnchor>
    <xdr:from>
      <xdr:col>0</xdr:col>
      <xdr:colOff>-350520</xdr:colOff>
      <xdr:row>16</xdr:row>
      <xdr:rowOff>0</xdr:rowOff>
    </xdr:from>
    <xdr:to>
      <xdr:col>0</xdr:col>
      <xdr:colOff>-350520</xdr:colOff>
      <xdr:row>16</xdr:row>
      <xdr:rowOff>0</xdr:rowOff>
    </xdr:to>
    <xdr:grpSp>
      <xdr:nvGrpSpPr>
        <xdr:cNvPr id="59450244" name="Group 106"/>
        <xdr:cNvGrpSpPr>
          <a:grpSpLocks/>
        </xdr:cNvGrpSpPr>
      </xdr:nvGrpSpPr>
      <xdr:grpSpPr bwMode="auto">
        <a:xfrm>
          <a:off x="-350520" y="3268980"/>
          <a:ext cx="0" cy="0"/>
          <a:chOff x="941" y="2969"/>
          <a:chExt cx="69" cy="136"/>
        </a:xfrm>
      </xdr:grpSpPr>
      <xdr:sp macro="" textlink="">
        <xdr:nvSpPr>
          <xdr:cNvPr id="59450259"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450260" name="Group 88"/>
          <xdr:cNvGrpSpPr>
            <a:grpSpLocks/>
          </xdr:cNvGrpSpPr>
        </xdr:nvGrpSpPr>
        <xdr:grpSpPr bwMode="auto">
          <a:xfrm>
            <a:off x="941" y="2969"/>
            <a:ext cx="69" cy="56"/>
            <a:chOff x="1904895" y="419519"/>
            <a:chExt cx="652165" cy="538250"/>
          </a:xfrm>
        </xdr:grpSpPr>
        <xdr:sp macro="" textlink="">
          <xdr:nvSpPr>
            <xdr:cNvPr id="59450261"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450262" name="Group 90"/>
            <xdr:cNvGrpSpPr>
              <a:grpSpLocks/>
            </xdr:cNvGrpSpPr>
          </xdr:nvGrpSpPr>
          <xdr:grpSpPr bwMode="auto">
            <a:xfrm>
              <a:off x="1904895" y="754676"/>
              <a:ext cx="646538" cy="203093"/>
              <a:chOff x="3868" y="3810"/>
              <a:chExt cx="2793" cy="828"/>
            </a:xfrm>
          </xdr:grpSpPr>
          <xdr:sp macro="" textlink="">
            <xdr:nvSpPr>
              <xdr:cNvPr id="59450264"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450265" name="Group 92"/>
              <xdr:cNvGrpSpPr>
                <a:grpSpLocks/>
              </xdr:cNvGrpSpPr>
            </xdr:nvGrpSpPr>
            <xdr:grpSpPr bwMode="auto">
              <a:xfrm rot="-900000">
                <a:off x="4549" y="3810"/>
                <a:ext cx="1221" cy="461"/>
                <a:chOff x="4723" y="5578"/>
                <a:chExt cx="1254" cy="456"/>
              </a:xfrm>
            </xdr:grpSpPr>
            <xdr:sp macro="" textlink="">
              <xdr:nvSpPr>
                <xdr:cNvPr id="59450266"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450267"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450268"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450269"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20" name="Text Box 97"/>
            <xdr:cNvSpPr txBox="1">
              <a:spLocks noChangeArrowheads="1"/>
            </xdr:cNvSpPr>
          </xdr:nvSpPr>
          <xdr:spPr bwMode="auto">
            <a:xfrm>
              <a:off x="-350520" y="3268980"/>
              <a:ext cx="0" cy="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nl-NL" sz="900" b="0" i="0" u="none" strike="noStrike" baseline="0">
                  <a:solidFill>
                    <a:srgbClr val="000000"/>
                  </a:solidFill>
                  <a:latin typeface="Times New Roman"/>
                  <a:cs typeface="Times New Roman"/>
                </a:rPr>
                <a:t>+ 2</a:t>
              </a:r>
            </a:p>
            <a:p>
              <a:pPr algn="l" rtl="0">
                <a:defRPr sz="1000"/>
              </a:pPr>
              <a:endParaRPr lang="nl-NL" sz="900" b="0" i="0" u="none" strike="noStrike" baseline="0">
                <a:solidFill>
                  <a:srgbClr val="000000"/>
                </a:solidFill>
                <a:latin typeface="Times New Roman"/>
                <a:cs typeface="Times New Roman"/>
              </a:endParaRPr>
            </a:p>
          </xdr:txBody>
        </xdr:sp>
      </xdr:grpSp>
    </xdr:grpSp>
    <xdr:clientData/>
  </xdr:twoCellAnchor>
  <xdr:twoCellAnchor>
    <xdr:from>
      <xdr:col>0</xdr:col>
      <xdr:colOff>-1181100</xdr:colOff>
      <xdr:row>16</xdr:row>
      <xdr:rowOff>0</xdr:rowOff>
    </xdr:from>
    <xdr:to>
      <xdr:col>0</xdr:col>
      <xdr:colOff>-1181100</xdr:colOff>
      <xdr:row>16</xdr:row>
      <xdr:rowOff>0</xdr:rowOff>
    </xdr:to>
    <xdr:grpSp>
      <xdr:nvGrpSpPr>
        <xdr:cNvPr id="59450245" name="Group 106"/>
        <xdr:cNvGrpSpPr>
          <a:grpSpLocks/>
        </xdr:cNvGrpSpPr>
      </xdr:nvGrpSpPr>
      <xdr:grpSpPr bwMode="auto">
        <a:xfrm>
          <a:off x="-1181100" y="3268980"/>
          <a:ext cx="0" cy="0"/>
          <a:chOff x="940" y="2969"/>
          <a:chExt cx="68" cy="136"/>
        </a:xfrm>
      </xdr:grpSpPr>
      <xdr:sp macro="" textlink="">
        <xdr:nvSpPr>
          <xdr:cNvPr id="59450248"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450249" name="Group 88"/>
          <xdr:cNvGrpSpPr>
            <a:grpSpLocks/>
          </xdr:cNvGrpSpPr>
        </xdr:nvGrpSpPr>
        <xdr:grpSpPr bwMode="auto">
          <a:xfrm>
            <a:off x="940" y="2969"/>
            <a:ext cx="68" cy="56"/>
            <a:chOff x="1904895" y="419519"/>
            <a:chExt cx="646538" cy="538250"/>
          </a:xfrm>
        </xdr:grpSpPr>
        <xdr:sp macro="" textlink="">
          <xdr:nvSpPr>
            <xdr:cNvPr id="59450250"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450251" name="Group 90"/>
            <xdr:cNvGrpSpPr>
              <a:grpSpLocks/>
            </xdr:cNvGrpSpPr>
          </xdr:nvGrpSpPr>
          <xdr:grpSpPr bwMode="auto">
            <a:xfrm>
              <a:off x="1904895" y="754676"/>
              <a:ext cx="646538" cy="203093"/>
              <a:chOff x="3868" y="3810"/>
              <a:chExt cx="2793" cy="828"/>
            </a:xfrm>
          </xdr:grpSpPr>
          <xdr:sp macro="" textlink="">
            <xdr:nvSpPr>
              <xdr:cNvPr id="59450253"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450254" name="Group 92"/>
              <xdr:cNvGrpSpPr>
                <a:grpSpLocks/>
              </xdr:cNvGrpSpPr>
            </xdr:nvGrpSpPr>
            <xdr:grpSpPr bwMode="auto">
              <a:xfrm rot="-900000">
                <a:off x="4545" y="3810"/>
                <a:ext cx="1221" cy="461"/>
                <a:chOff x="4723" y="5578"/>
                <a:chExt cx="1254" cy="456"/>
              </a:xfrm>
            </xdr:grpSpPr>
            <xdr:sp macro="" textlink="">
              <xdr:nvSpPr>
                <xdr:cNvPr id="59450255"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450256"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450257"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450258"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32" name="Text Box 97"/>
            <xdr:cNvSpPr txBox="1">
              <a:spLocks noChangeArrowheads="1"/>
            </xdr:cNvSpPr>
          </xdr:nvSpPr>
          <xdr:spPr bwMode="auto">
            <a:xfrm>
              <a:off x="-1181100" y="3268980"/>
              <a:ext cx="0" cy="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nl-NL" sz="900" b="0" i="0" u="none" strike="noStrike" baseline="0">
                  <a:solidFill>
                    <a:srgbClr val="000000"/>
                  </a:solidFill>
                  <a:latin typeface="Times New Roman"/>
                  <a:cs typeface="Times New Roman"/>
                </a:rPr>
                <a:t>+ 0,5</a:t>
              </a:r>
            </a:p>
            <a:p>
              <a:pPr algn="l" rtl="0">
                <a:defRPr sz="1000"/>
              </a:pPr>
              <a:endParaRPr lang="nl-NL" sz="900" b="0" i="0" u="none" strike="noStrike" baseline="0">
                <a:solidFill>
                  <a:srgbClr val="000000"/>
                </a:solidFill>
                <a:latin typeface="Times New Roman"/>
                <a:cs typeface="Times New Roman"/>
              </a:endParaRPr>
            </a:p>
          </xdr:txBody>
        </xdr:sp>
      </xdr:grpSp>
    </xdr:grpSp>
    <xdr:clientData/>
  </xdr:twoCellAnchor>
  <xdr:twoCellAnchor>
    <xdr:from>
      <xdr:col>10</xdr:col>
      <xdr:colOff>0</xdr:colOff>
      <xdr:row>39</xdr:row>
      <xdr:rowOff>83820</xdr:rowOff>
    </xdr:from>
    <xdr:to>
      <xdr:col>83</xdr:col>
      <xdr:colOff>15240</xdr:colOff>
      <xdr:row>53</xdr:row>
      <xdr:rowOff>167640</xdr:rowOff>
    </xdr:to>
    <xdr:graphicFrame macro="">
      <xdr:nvGraphicFramePr>
        <xdr:cNvPr id="59450246"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86</xdr:col>
      <xdr:colOff>0</xdr:colOff>
      <xdr:row>39</xdr:row>
      <xdr:rowOff>83820</xdr:rowOff>
    </xdr:from>
    <xdr:to>
      <xdr:col>163</xdr:col>
      <xdr:colOff>7620</xdr:colOff>
      <xdr:row>53</xdr:row>
      <xdr:rowOff>167640</xdr:rowOff>
    </xdr:to>
    <xdr:graphicFrame macro="">
      <xdr:nvGraphicFramePr>
        <xdr:cNvPr id="5945024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127</xdr:col>
      <xdr:colOff>30480</xdr:colOff>
      <xdr:row>2</xdr:row>
      <xdr:rowOff>45720</xdr:rowOff>
    </xdr:from>
    <xdr:to>
      <xdr:col>142</xdr:col>
      <xdr:colOff>7620</xdr:colOff>
      <xdr:row>4</xdr:row>
      <xdr:rowOff>251460</xdr:rowOff>
    </xdr:to>
    <xdr:sp macro="" textlink="">
      <xdr:nvSpPr>
        <xdr:cNvPr id="59820482" name="AutoShape 11">
          <a:hlinkClick xmlns:r="http://schemas.openxmlformats.org/officeDocument/2006/relationships" r:id="rId1"/>
        </xdr:cNvPr>
        <xdr:cNvSpPr>
          <a:spLocks noChangeArrowheads="1"/>
        </xdr:cNvSpPr>
      </xdr:nvSpPr>
      <xdr:spPr bwMode="auto">
        <a:xfrm>
          <a:off x="6156960" y="411480"/>
          <a:ext cx="662940" cy="662940"/>
        </a:xfrm>
        <a:prstGeom prst="bevel">
          <a:avLst>
            <a:gd name="adj" fmla="val 12500"/>
          </a:avLst>
        </a:prstGeom>
        <a:solidFill>
          <a:srgbClr val="800080"/>
        </a:solidFill>
        <a:ln w="9525">
          <a:solidFill>
            <a:srgbClr val="000000"/>
          </a:solidFill>
          <a:miter lim="800000"/>
          <a:headEnd/>
          <a:tailEnd/>
        </a:ln>
      </xdr:spPr>
    </xdr:sp>
    <xdr:clientData/>
  </xdr:twoCellAnchor>
  <xdr:twoCellAnchor>
    <xdr:from>
      <xdr:col>21</xdr:col>
      <xdr:colOff>30480</xdr:colOff>
      <xdr:row>226</xdr:row>
      <xdr:rowOff>152400</xdr:rowOff>
    </xdr:from>
    <xdr:to>
      <xdr:col>100</xdr:col>
      <xdr:colOff>0</xdr:colOff>
      <xdr:row>240</xdr:row>
      <xdr:rowOff>7620</xdr:rowOff>
    </xdr:to>
    <xdr:grpSp>
      <xdr:nvGrpSpPr>
        <xdr:cNvPr id="59820483" name="Groep 200"/>
        <xdr:cNvGrpSpPr>
          <a:grpSpLocks/>
        </xdr:cNvGrpSpPr>
      </xdr:nvGrpSpPr>
      <xdr:grpSpPr bwMode="auto">
        <a:xfrm>
          <a:off x="1310640" y="37764720"/>
          <a:ext cx="3581400" cy="2735580"/>
          <a:chOff x="1676400" y="26334720"/>
          <a:chExt cx="3581400" cy="2736487"/>
        </a:xfrm>
      </xdr:grpSpPr>
      <xdr:grpSp>
        <xdr:nvGrpSpPr>
          <xdr:cNvPr id="59820878" name="Groep 145"/>
          <xdr:cNvGrpSpPr>
            <a:grpSpLocks/>
          </xdr:cNvGrpSpPr>
        </xdr:nvGrpSpPr>
        <xdr:grpSpPr bwMode="auto">
          <a:xfrm>
            <a:off x="1729740" y="26479501"/>
            <a:ext cx="3528060" cy="2591706"/>
            <a:chOff x="1584960" y="38275261"/>
            <a:chExt cx="3528060" cy="2591706"/>
          </a:xfrm>
        </xdr:grpSpPr>
        <xdr:grpSp>
          <xdr:nvGrpSpPr>
            <xdr:cNvPr id="59820880" name="Groep 1"/>
            <xdr:cNvGrpSpPr>
              <a:grpSpLocks/>
            </xdr:cNvGrpSpPr>
          </xdr:nvGrpSpPr>
          <xdr:grpSpPr bwMode="auto">
            <a:xfrm>
              <a:off x="1584960" y="38275261"/>
              <a:ext cx="3528060" cy="2591706"/>
              <a:chOff x="1628775" y="39147751"/>
              <a:chExt cx="3676650" cy="2641108"/>
            </a:xfrm>
          </xdr:grpSpPr>
          <xdr:grpSp>
            <xdr:nvGrpSpPr>
              <xdr:cNvPr id="59820882" name="Groep 97"/>
              <xdr:cNvGrpSpPr>
                <a:grpSpLocks/>
              </xdr:cNvGrpSpPr>
            </xdr:nvGrpSpPr>
            <xdr:grpSpPr bwMode="auto">
              <a:xfrm>
                <a:off x="1628775" y="39147751"/>
                <a:ext cx="3676650" cy="2641108"/>
                <a:chOff x="1628976" y="38452430"/>
                <a:chExt cx="3676448" cy="2637614"/>
              </a:xfrm>
            </xdr:grpSpPr>
            <xdr:cxnSp macro="">
              <xdr:nvCxnSpPr>
                <xdr:cNvPr id="59820884" name="Rechte verbindingslijn 187"/>
                <xdr:cNvCxnSpPr>
                  <a:cxnSpLocks noChangeShapeType="1"/>
                </xdr:cNvCxnSpPr>
              </xdr:nvCxnSpPr>
              <xdr:spPr bwMode="auto">
                <a:xfrm>
                  <a:off x="1914525" y="38623875"/>
                  <a:ext cx="1333500" cy="2124075"/>
                </a:xfrm>
                <a:prstGeom prst="line">
                  <a:avLst/>
                </a:prstGeom>
                <a:noFill/>
                <a:ln w="31750" algn="ctr">
                  <a:solidFill>
                    <a:srgbClr val="000000"/>
                  </a:solidFill>
                  <a:round/>
                  <a:headEnd/>
                  <a:tailEnd/>
                </a:ln>
              </xdr:spPr>
            </xdr:cxnSp>
            <xdr:grpSp>
              <xdr:nvGrpSpPr>
                <xdr:cNvPr id="59820885" name="Groep 96"/>
                <xdr:cNvGrpSpPr>
                  <a:grpSpLocks/>
                </xdr:cNvGrpSpPr>
              </xdr:nvGrpSpPr>
              <xdr:grpSpPr bwMode="auto">
                <a:xfrm>
                  <a:off x="1628976" y="38452430"/>
                  <a:ext cx="3676448" cy="2637614"/>
                  <a:chOff x="1628976" y="38452430"/>
                  <a:chExt cx="3676448" cy="2637614"/>
                </a:xfrm>
              </xdr:grpSpPr>
              <xdr:grpSp>
                <xdr:nvGrpSpPr>
                  <xdr:cNvPr id="59820886" name="Groep 41"/>
                  <xdr:cNvGrpSpPr>
                    <a:grpSpLocks/>
                  </xdr:cNvGrpSpPr>
                </xdr:nvGrpSpPr>
                <xdr:grpSpPr bwMode="auto">
                  <a:xfrm>
                    <a:off x="1628976" y="38452430"/>
                    <a:ext cx="3676448" cy="2637614"/>
                    <a:chOff x="2229051" y="46034328"/>
                    <a:chExt cx="3676448" cy="2675427"/>
                  </a:xfrm>
                </xdr:grpSpPr>
                <xdr:grpSp>
                  <xdr:nvGrpSpPr>
                    <xdr:cNvPr id="59820899" name="Groep 60"/>
                    <xdr:cNvGrpSpPr>
                      <a:grpSpLocks/>
                    </xdr:cNvGrpSpPr>
                  </xdr:nvGrpSpPr>
                  <xdr:grpSpPr bwMode="auto">
                    <a:xfrm>
                      <a:off x="2229051" y="46034328"/>
                      <a:ext cx="3676448" cy="2675427"/>
                      <a:chOff x="2105226" y="45558078"/>
                      <a:chExt cx="3676448" cy="2589702"/>
                    </a:xfrm>
                  </xdr:grpSpPr>
                  <xdr:grpSp>
                    <xdr:nvGrpSpPr>
                      <xdr:cNvPr id="59820904" name="Groep 284"/>
                      <xdr:cNvGrpSpPr>
                        <a:grpSpLocks/>
                      </xdr:cNvGrpSpPr>
                    </xdr:nvGrpSpPr>
                    <xdr:grpSpPr bwMode="auto">
                      <a:xfrm>
                        <a:off x="2105226" y="45558078"/>
                        <a:ext cx="3676448" cy="2589702"/>
                        <a:chOff x="592385" y="55170818"/>
                        <a:chExt cx="1577879" cy="2044033"/>
                      </a:xfrm>
                    </xdr:grpSpPr>
                    <xdr:cxnSp macro="">
                      <xdr:nvCxnSpPr>
                        <xdr:cNvPr id="59820907" name="Rechte verbindingslijn 175"/>
                        <xdr:cNvCxnSpPr>
                          <a:cxnSpLocks noChangeShapeType="1"/>
                        </xdr:cNvCxnSpPr>
                      </xdr:nvCxnSpPr>
                      <xdr:spPr bwMode="auto">
                        <a:xfrm>
                          <a:off x="706763" y="55245983"/>
                          <a:ext cx="342" cy="1700974"/>
                        </a:xfrm>
                        <a:prstGeom prst="line">
                          <a:avLst/>
                        </a:prstGeom>
                        <a:noFill/>
                        <a:ln w="31750" algn="ctr">
                          <a:solidFill>
                            <a:srgbClr val="000000"/>
                          </a:solidFill>
                          <a:round/>
                          <a:headEnd/>
                          <a:tailEnd/>
                        </a:ln>
                      </xdr:spPr>
                    </xdr:cxnSp>
                    <xdr:cxnSp macro="">
                      <xdr:nvCxnSpPr>
                        <xdr:cNvPr id="59820908" name="Rechte verbindingslijn 182"/>
                        <xdr:cNvCxnSpPr>
                          <a:cxnSpLocks noChangeShapeType="1"/>
                        </xdr:cNvCxnSpPr>
                      </xdr:nvCxnSpPr>
                      <xdr:spPr bwMode="auto">
                        <a:xfrm>
                          <a:off x="707102" y="56946955"/>
                          <a:ext cx="1287305" cy="0"/>
                        </a:xfrm>
                        <a:prstGeom prst="line">
                          <a:avLst/>
                        </a:prstGeom>
                        <a:noFill/>
                        <a:ln w="31750" algn="ctr">
                          <a:solidFill>
                            <a:srgbClr val="000000"/>
                          </a:solidFill>
                          <a:round/>
                          <a:headEnd/>
                          <a:tailEnd/>
                        </a:ln>
                      </xdr:spPr>
                    </xdr:cxnSp>
                    <xdr:sp macro="" textlink="">
                      <xdr:nvSpPr>
                        <xdr:cNvPr id="194" name="Tekstvak 193"/>
                        <xdr:cNvSpPr txBox="1"/>
                      </xdr:nvSpPr>
                      <xdr:spPr>
                        <a:xfrm flipH="1">
                          <a:off x="592385" y="55176867"/>
                          <a:ext cx="156766" cy="246482"/>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ysClr val="windowText" lastClr="000000"/>
                              </a:solidFill>
                            </a:rPr>
                            <a:t>€</a:t>
                          </a:r>
                        </a:p>
                      </xdr:txBody>
                    </xdr:sp>
                    <xdr:sp macro="" textlink="">
                      <xdr:nvSpPr>
                        <xdr:cNvPr id="196" name="Tekstvak 195"/>
                        <xdr:cNvSpPr txBox="1"/>
                      </xdr:nvSpPr>
                      <xdr:spPr>
                        <a:xfrm flipH="1">
                          <a:off x="1969195" y="56962357"/>
                          <a:ext cx="201069" cy="252494"/>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ysClr val="windowText" lastClr="000000"/>
                              </a:solidFill>
                            </a:rPr>
                            <a:t>Q</a:t>
                          </a:r>
                        </a:p>
                      </xdr:txBody>
                    </xdr:sp>
                    <xdr:cxnSp macro="">
                      <xdr:nvCxnSpPr>
                        <xdr:cNvPr id="59820911" name="Rechte verbindingslijn 187"/>
                        <xdr:cNvCxnSpPr>
                          <a:cxnSpLocks noChangeShapeType="1"/>
                        </xdr:cNvCxnSpPr>
                      </xdr:nvCxnSpPr>
                      <xdr:spPr bwMode="auto">
                        <a:xfrm>
                          <a:off x="702675" y="55281540"/>
                          <a:ext cx="1169166" cy="1675589"/>
                        </a:xfrm>
                        <a:prstGeom prst="line">
                          <a:avLst/>
                        </a:prstGeom>
                        <a:noFill/>
                        <a:ln w="31750" algn="ctr">
                          <a:solidFill>
                            <a:srgbClr val="000000"/>
                          </a:solidFill>
                          <a:round/>
                          <a:headEnd/>
                          <a:tailEnd/>
                        </a:ln>
                      </xdr:spPr>
                    </xdr:cxnSp>
                  </xdr:grpSp>
                  <xdr:sp macro="" textlink="">
                    <xdr:nvSpPr>
                      <xdr:cNvPr id="59820905" name="Vrije vorm 50"/>
                      <xdr:cNvSpPr>
                        <a:spLocks/>
                      </xdr:cNvSpPr>
                    </xdr:nvSpPr>
                    <xdr:spPr bwMode="auto">
                      <a:xfrm>
                        <a:off x="2533649" y="45643799"/>
                        <a:ext cx="2676526" cy="1812731"/>
                      </a:xfrm>
                      <a:custGeom>
                        <a:avLst/>
                        <a:gdLst>
                          <a:gd name="T0" fmla="*/ 0 w 1790700"/>
                          <a:gd name="T1" fmla="*/ 0 h 1295400"/>
                          <a:gd name="T2" fmla="*/ 2147483647 w 1790700"/>
                          <a:gd name="T3" fmla="*/ 2147483647 h 1295400"/>
                          <a:gd name="T4" fmla="*/ 2147483647 w 1790700"/>
                          <a:gd name="T5" fmla="*/ 2147483647 h 1295400"/>
                          <a:gd name="T6" fmla="*/ 2147483647 w 1790700"/>
                          <a:gd name="T7" fmla="*/ 2147483647 h 1295400"/>
                          <a:gd name="T8" fmla="*/ 2147483647 w 1790700"/>
                          <a:gd name="T9" fmla="*/ 2147483647 h 1295400"/>
                          <a:gd name="T10" fmla="*/ 0 60000 65536"/>
                          <a:gd name="T11" fmla="*/ 0 60000 65536"/>
                          <a:gd name="T12" fmla="*/ 0 60000 65536"/>
                          <a:gd name="T13" fmla="*/ 0 60000 65536"/>
                          <a:gd name="T14" fmla="*/ 0 60000 65536"/>
                          <a:gd name="T15" fmla="*/ 0 w 1790700"/>
                          <a:gd name="T16" fmla="*/ 0 h 1295400"/>
                          <a:gd name="T17" fmla="*/ 1790700 w 1790700"/>
                          <a:gd name="T18" fmla="*/ 1295400 h 1295400"/>
                        </a:gdLst>
                        <a:ahLst/>
                        <a:cxnLst>
                          <a:cxn ang="T10">
                            <a:pos x="T0" y="T1"/>
                          </a:cxn>
                          <a:cxn ang="T11">
                            <a:pos x="T2" y="T3"/>
                          </a:cxn>
                          <a:cxn ang="T12">
                            <a:pos x="T4" y="T5"/>
                          </a:cxn>
                          <a:cxn ang="T13">
                            <a:pos x="T6" y="T7"/>
                          </a:cxn>
                          <a:cxn ang="T14">
                            <a:pos x="T8" y="T9"/>
                          </a:cxn>
                        </a:cxnLst>
                        <a:rect l="T15" t="T16" r="T17" b="T18"/>
                        <a:pathLst>
                          <a:path w="1790700" h="1295400">
                            <a:moveTo>
                              <a:pt x="0" y="0"/>
                            </a:moveTo>
                            <a:cubicBezTo>
                              <a:pt x="37306" y="212725"/>
                              <a:pt x="74613" y="425450"/>
                              <a:pt x="152400" y="590550"/>
                            </a:cubicBezTo>
                            <a:cubicBezTo>
                              <a:pt x="230187" y="755650"/>
                              <a:pt x="323850" y="890587"/>
                              <a:pt x="466725" y="990600"/>
                            </a:cubicBezTo>
                            <a:cubicBezTo>
                              <a:pt x="609600" y="1090613"/>
                              <a:pt x="788988" y="1139825"/>
                              <a:pt x="1009650" y="1190625"/>
                            </a:cubicBezTo>
                            <a:cubicBezTo>
                              <a:pt x="1230312" y="1241425"/>
                              <a:pt x="1510506" y="1268412"/>
                              <a:pt x="1790700" y="1295400"/>
                            </a:cubicBezTo>
                          </a:path>
                        </a:pathLst>
                      </a:custGeom>
                      <a:noFill/>
                      <a:ln w="31750" cap="flat" cmpd="sng" algn="ctr">
                        <a:solidFill>
                          <a:srgbClr val="000000"/>
                        </a:solidFill>
                        <a:prstDash val="solid"/>
                        <a:round/>
                        <a:headEnd type="none" w="med" len="med"/>
                        <a:tailEnd type="none" w="med" len="med"/>
                      </a:ln>
                    </xdr:spPr>
                  </xdr:sp>
                  <xdr:cxnSp macro="">
                    <xdr:nvCxnSpPr>
                      <xdr:cNvPr id="59820906" name="Rechte verbindingslijn 187"/>
                      <xdr:cNvCxnSpPr>
                        <a:cxnSpLocks noChangeShapeType="1"/>
                      </xdr:cNvCxnSpPr>
                    </xdr:nvCxnSpPr>
                    <xdr:spPr bwMode="auto">
                      <a:xfrm flipV="1">
                        <a:off x="2381250" y="47555208"/>
                        <a:ext cx="2835464" cy="2059"/>
                      </a:xfrm>
                      <a:prstGeom prst="line">
                        <a:avLst/>
                      </a:prstGeom>
                      <a:noFill/>
                      <a:ln w="31750" algn="ctr">
                        <a:solidFill>
                          <a:srgbClr val="000000"/>
                        </a:solidFill>
                        <a:round/>
                        <a:headEnd/>
                        <a:tailEnd/>
                      </a:ln>
                    </xdr:spPr>
                  </xdr:cxnSp>
                </xdr:grpSp>
                <xdr:sp macro="" textlink="">
                  <xdr:nvSpPr>
                    <xdr:cNvPr id="180" name="Tekstvak 179"/>
                    <xdr:cNvSpPr txBox="1"/>
                  </xdr:nvSpPr>
                  <xdr:spPr bwMode="auto">
                    <a:xfrm flipH="1">
                      <a:off x="2427563" y="48355661"/>
                      <a:ext cx="460549" cy="299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nl-NL" sz="1100" b="1">
                          <a:solidFill>
                            <a:srgbClr val="FF0000"/>
                          </a:solidFill>
                        </a:rPr>
                        <a:t>A</a:t>
                      </a:r>
                    </a:p>
                  </xdr:txBody>
                </xdr:sp>
                <xdr:sp macro="" textlink="">
                  <xdr:nvSpPr>
                    <xdr:cNvPr id="181" name="Tekstvak 180"/>
                    <xdr:cNvSpPr txBox="1"/>
                  </xdr:nvSpPr>
                  <xdr:spPr bwMode="auto">
                    <a:xfrm flipH="1">
                      <a:off x="2641957" y="48363530"/>
                      <a:ext cx="452608" cy="314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rgbClr val="FF0000"/>
                          </a:solidFill>
                        </a:rPr>
                        <a:t>B</a:t>
                      </a:r>
                    </a:p>
                  </xdr:txBody>
                </xdr:sp>
                <xdr:sp macro="" textlink="">
                  <xdr:nvSpPr>
                    <xdr:cNvPr id="182" name="Tekstvak 181"/>
                    <xdr:cNvSpPr txBox="1"/>
                  </xdr:nvSpPr>
                  <xdr:spPr bwMode="auto">
                    <a:xfrm flipH="1">
                      <a:off x="3181910" y="48363530"/>
                      <a:ext cx="460549" cy="330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rgbClr val="FF0000"/>
                          </a:solidFill>
                        </a:rPr>
                        <a:t>C</a:t>
                      </a:r>
                    </a:p>
                  </xdr:txBody>
                </xdr:sp>
                <xdr:sp macro="" textlink="">
                  <xdr:nvSpPr>
                    <xdr:cNvPr id="185" name="Tekstvak 184"/>
                    <xdr:cNvSpPr txBox="1"/>
                  </xdr:nvSpPr>
                  <xdr:spPr bwMode="auto">
                    <a:xfrm flipH="1">
                      <a:off x="3547173" y="48371398"/>
                      <a:ext cx="452608" cy="322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rgbClr val="FF0000"/>
                          </a:solidFill>
                        </a:rPr>
                        <a:t>D</a:t>
                      </a:r>
                    </a:p>
                  </xdr:txBody>
                </xdr:sp>
              </xdr:grpSp>
              <xdr:cxnSp macro="">
                <xdr:nvCxnSpPr>
                  <xdr:cNvPr id="59820887" name="Rechte verbindingslijn 464"/>
                  <xdr:cNvCxnSpPr>
                    <a:cxnSpLocks noChangeShapeType="1"/>
                  </xdr:cNvCxnSpPr>
                </xdr:nvCxnSpPr>
                <xdr:spPr bwMode="auto">
                  <a:xfrm>
                    <a:off x="4271953" y="38501819"/>
                    <a:ext cx="0" cy="2228850"/>
                  </a:xfrm>
                  <a:prstGeom prst="line">
                    <a:avLst/>
                  </a:prstGeom>
                  <a:noFill/>
                  <a:ln w="22225" algn="ctr">
                    <a:solidFill>
                      <a:srgbClr val="FF0000"/>
                    </a:solidFill>
                    <a:prstDash val="sysDash"/>
                    <a:round/>
                    <a:headEnd/>
                    <a:tailEnd/>
                  </a:ln>
                </xdr:spPr>
              </xdr:cxnSp>
              <xdr:cxnSp macro="">
                <xdr:nvCxnSpPr>
                  <xdr:cNvPr id="59820888" name="Rechte verbindingslijn 464"/>
                  <xdr:cNvCxnSpPr>
                    <a:cxnSpLocks noChangeShapeType="1"/>
                  </xdr:cNvCxnSpPr>
                </xdr:nvCxnSpPr>
                <xdr:spPr bwMode="auto">
                  <a:xfrm>
                    <a:off x="4591050" y="38528625"/>
                    <a:ext cx="0" cy="2228850"/>
                  </a:xfrm>
                  <a:prstGeom prst="line">
                    <a:avLst/>
                  </a:prstGeom>
                  <a:noFill/>
                  <a:ln w="22225" algn="ctr">
                    <a:solidFill>
                      <a:srgbClr val="FF0000"/>
                    </a:solidFill>
                    <a:prstDash val="sysDash"/>
                    <a:round/>
                    <a:headEnd/>
                    <a:tailEnd/>
                  </a:ln>
                </xdr:spPr>
              </xdr:cxnSp>
              <xdr:cxnSp macro="">
                <xdr:nvCxnSpPr>
                  <xdr:cNvPr id="59820889" name="Rechte verbindingslijn 464"/>
                  <xdr:cNvCxnSpPr>
                    <a:cxnSpLocks noChangeShapeType="1"/>
                  </xdr:cNvCxnSpPr>
                </xdr:nvCxnSpPr>
                <xdr:spPr bwMode="auto">
                  <a:xfrm>
                    <a:off x="4048125" y="38519100"/>
                    <a:ext cx="0" cy="2228850"/>
                  </a:xfrm>
                  <a:prstGeom prst="line">
                    <a:avLst/>
                  </a:prstGeom>
                  <a:noFill/>
                  <a:ln w="22225" algn="ctr">
                    <a:solidFill>
                      <a:srgbClr val="FF0000"/>
                    </a:solidFill>
                    <a:prstDash val="sysDash"/>
                    <a:round/>
                    <a:headEnd/>
                    <a:tailEnd/>
                  </a:ln>
                </xdr:spPr>
              </xdr:cxnSp>
              <xdr:cxnSp macro="">
                <xdr:nvCxnSpPr>
                  <xdr:cNvPr id="59820890" name="Rechte verbindingslijn 464"/>
                  <xdr:cNvCxnSpPr>
                    <a:cxnSpLocks noChangeShapeType="1"/>
                  </xdr:cNvCxnSpPr>
                </xdr:nvCxnSpPr>
                <xdr:spPr bwMode="auto">
                  <a:xfrm>
                    <a:off x="2743200" y="38519100"/>
                    <a:ext cx="0" cy="2228850"/>
                  </a:xfrm>
                  <a:prstGeom prst="line">
                    <a:avLst/>
                  </a:prstGeom>
                  <a:noFill/>
                  <a:ln w="22225" algn="ctr">
                    <a:solidFill>
                      <a:srgbClr val="FF0000"/>
                    </a:solidFill>
                    <a:prstDash val="sysDash"/>
                    <a:round/>
                    <a:headEnd/>
                    <a:tailEnd/>
                  </a:ln>
                </xdr:spPr>
              </xdr:cxnSp>
              <xdr:cxnSp macro="">
                <xdr:nvCxnSpPr>
                  <xdr:cNvPr id="59820891" name="Rechte verbindingslijn 464"/>
                  <xdr:cNvCxnSpPr>
                    <a:cxnSpLocks noChangeShapeType="1"/>
                  </xdr:cNvCxnSpPr>
                </xdr:nvCxnSpPr>
                <xdr:spPr bwMode="auto">
                  <a:xfrm>
                    <a:off x="3071803" y="38509574"/>
                    <a:ext cx="0" cy="2228850"/>
                  </a:xfrm>
                  <a:prstGeom prst="line">
                    <a:avLst/>
                  </a:prstGeom>
                  <a:noFill/>
                  <a:ln w="22225" algn="ctr">
                    <a:solidFill>
                      <a:srgbClr val="FF0000"/>
                    </a:solidFill>
                    <a:prstDash val="sysDash"/>
                    <a:round/>
                    <a:headEnd/>
                    <a:tailEnd/>
                  </a:ln>
                </xdr:spPr>
              </xdr:cxnSp>
              <xdr:cxnSp macro="">
                <xdr:nvCxnSpPr>
                  <xdr:cNvPr id="59820892" name="Rechte verbindingslijn 464"/>
                  <xdr:cNvCxnSpPr>
                    <a:cxnSpLocks noChangeShapeType="1"/>
                  </xdr:cNvCxnSpPr>
                </xdr:nvCxnSpPr>
                <xdr:spPr bwMode="auto">
                  <a:xfrm>
                    <a:off x="2162175" y="38519100"/>
                    <a:ext cx="0" cy="2228850"/>
                  </a:xfrm>
                  <a:prstGeom prst="line">
                    <a:avLst/>
                  </a:prstGeom>
                  <a:noFill/>
                  <a:ln w="22225" algn="ctr">
                    <a:solidFill>
                      <a:srgbClr val="FF0000"/>
                    </a:solidFill>
                    <a:prstDash val="sysDash"/>
                    <a:round/>
                    <a:headEnd/>
                    <a:tailEnd/>
                  </a:ln>
                </xdr:spPr>
              </xdr:cxnSp>
              <xdr:cxnSp macro="">
                <xdr:nvCxnSpPr>
                  <xdr:cNvPr id="59820893" name="Rechte verbindingslijn 464"/>
                  <xdr:cNvCxnSpPr>
                    <a:cxnSpLocks noChangeShapeType="1"/>
                  </xdr:cNvCxnSpPr>
                </xdr:nvCxnSpPr>
                <xdr:spPr bwMode="auto">
                  <a:xfrm>
                    <a:off x="2105025" y="38509575"/>
                    <a:ext cx="0" cy="2228850"/>
                  </a:xfrm>
                  <a:prstGeom prst="line">
                    <a:avLst/>
                  </a:prstGeom>
                  <a:noFill/>
                  <a:ln w="22225" algn="ctr">
                    <a:solidFill>
                      <a:srgbClr val="FF0000"/>
                    </a:solidFill>
                    <a:prstDash val="sysDash"/>
                    <a:round/>
                    <a:headEnd/>
                    <a:tailEnd/>
                  </a:ln>
                </xdr:spPr>
              </xdr:cxnSp>
              <xdr:cxnSp macro="">
                <xdr:nvCxnSpPr>
                  <xdr:cNvPr id="59820894" name="Rechte verbindingslijn 464"/>
                  <xdr:cNvCxnSpPr>
                    <a:cxnSpLocks noChangeShapeType="1"/>
                  </xdr:cNvCxnSpPr>
                </xdr:nvCxnSpPr>
                <xdr:spPr bwMode="auto">
                  <a:xfrm>
                    <a:off x="3259134" y="38517329"/>
                    <a:ext cx="0" cy="2228850"/>
                  </a:xfrm>
                  <a:prstGeom prst="line">
                    <a:avLst/>
                  </a:prstGeom>
                  <a:noFill/>
                  <a:ln w="22225" algn="ctr">
                    <a:solidFill>
                      <a:srgbClr val="FF0000"/>
                    </a:solidFill>
                    <a:prstDash val="sysDash"/>
                    <a:round/>
                    <a:headEnd/>
                    <a:tailEnd/>
                  </a:ln>
                </xdr:spPr>
              </xdr:cxnSp>
              <xdr:sp macro="" textlink="">
                <xdr:nvSpPr>
                  <xdr:cNvPr id="172" name="Tekstvak 171"/>
                  <xdr:cNvSpPr txBox="1"/>
                </xdr:nvSpPr>
                <xdr:spPr bwMode="auto">
                  <a:xfrm flipH="1">
                    <a:off x="3145610" y="40748712"/>
                    <a:ext cx="468489" cy="28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nl-NL" sz="1100" b="1">
                        <a:solidFill>
                          <a:srgbClr val="FF0000"/>
                        </a:solidFill>
                      </a:rPr>
                      <a:t>E</a:t>
                    </a:r>
                  </a:p>
                </xdr:txBody>
              </xdr:sp>
              <xdr:sp macro="" textlink="">
                <xdr:nvSpPr>
                  <xdr:cNvPr id="174" name="Tekstvak 173"/>
                  <xdr:cNvSpPr txBox="1"/>
                </xdr:nvSpPr>
                <xdr:spPr bwMode="auto">
                  <a:xfrm flipH="1">
                    <a:off x="3915838" y="40725439"/>
                    <a:ext cx="468489" cy="325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nl-NL" sz="1100" b="1">
                        <a:solidFill>
                          <a:srgbClr val="FF0000"/>
                        </a:solidFill>
                      </a:rPr>
                      <a:t>F</a:t>
                    </a:r>
                  </a:p>
                </xdr:txBody>
              </xdr:sp>
              <xdr:sp macro="" textlink="">
                <xdr:nvSpPr>
                  <xdr:cNvPr id="175" name="Tekstvak 174"/>
                  <xdr:cNvSpPr txBox="1"/>
                </xdr:nvSpPr>
                <xdr:spPr bwMode="auto">
                  <a:xfrm flipH="1">
                    <a:off x="4169934" y="40748712"/>
                    <a:ext cx="468489" cy="271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nl-NL" sz="1100" b="1">
                        <a:solidFill>
                          <a:srgbClr val="FF0000"/>
                        </a:solidFill>
                      </a:rPr>
                      <a:t>G</a:t>
                    </a:r>
                  </a:p>
                </xdr:txBody>
              </xdr:sp>
              <xdr:sp macro="" textlink="">
                <xdr:nvSpPr>
                  <xdr:cNvPr id="177" name="Tekstvak 176"/>
                  <xdr:cNvSpPr txBox="1"/>
                </xdr:nvSpPr>
                <xdr:spPr bwMode="auto">
                  <a:xfrm flipH="1">
                    <a:off x="4447851" y="40787500"/>
                    <a:ext cx="381144" cy="201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nl-NL" sz="1100" b="1">
                        <a:solidFill>
                          <a:srgbClr val="FF0000"/>
                        </a:solidFill>
                      </a:rPr>
                      <a:t>H</a:t>
                    </a:r>
                  </a:p>
                </xdr:txBody>
              </xdr:sp>
            </xdr:grpSp>
          </xdr:grpSp>
          <xdr:cxnSp macro="">
            <xdr:nvCxnSpPr>
              <xdr:cNvPr id="59820883" name="Rechte verbindingslijn 464"/>
              <xdr:cNvCxnSpPr>
                <a:cxnSpLocks noChangeShapeType="1"/>
              </xdr:cNvCxnSpPr>
            </xdr:nvCxnSpPr>
            <xdr:spPr bwMode="auto">
              <a:xfrm>
                <a:off x="4743450" y="39204900"/>
                <a:ext cx="0" cy="2231802"/>
              </a:xfrm>
              <a:prstGeom prst="line">
                <a:avLst/>
              </a:prstGeom>
              <a:noFill/>
              <a:ln w="22225" algn="ctr">
                <a:solidFill>
                  <a:srgbClr val="FF0000"/>
                </a:solidFill>
                <a:prstDash val="sysDash"/>
                <a:round/>
                <a:headEnd/>
                <a:tailEnd/>
              </a:ln>
            </xdr:spPr>
          </xdr:cxnSp>
        </xdr:grpSp>
        <xdr:sp macro="" textlink="">
          <xdr:nvSpPr>
            <xdr:cNvPr id="149" name="Tekstvak 148"/>
            <xdr:cNvSpPr txBox="1"/>
          </xdr:nvSpPr>
          <xdr:spPr bwMode="auto">
            <a:xfrm flipH="1">
              <a:off x="4472940" y="40562066"/>
              <a:ext cx="335280" cy="213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nl-NL" sz="1100" b="1">
                  <a:solidFill>
                    <a:srgbClr val="FF0000"/>
                  </a:solidFill>
                </a:rPr>
                <a:t>I</a:t>
              </a:r>
            </a:p>
          </xdr:txBody>
        </xdr:sp>
      </xdr:grpSp>
      <xdr:sp macro="" textlink="">
        <xdr:nvSpPr>
          <xdr:cNvPr id="59820879" name="Rechthoek 197"/>
          <xdr:cNvSpPr>
            <a:spLocks noChangeArrowheads="1"/>
          </xdr:cNvSpPr>
        </xdr:nvSpPr>
        <xdr:spPr bwMode="auto">
          <a:xfrm>
            <a:off x="1676400" y="26334720"/>
            <a:ext cx="3505200" cy="2712720"/>
          </a:xfrm>
          <a:prstGeom prst="rect">
            <a:avLst/>
          </a:prstGeom>
          <a:noFill/>
          <a:ln w="22225" algn="ctr">
            <a:solidFill>
              <a:srgbClr val="000000"/>
            </a:solidFill>
            <a:round/>
            <a:headEnd/>
            <a:tailEnd/>
          </a:ln>
        </xdr:spPr>
      </xdr:sp>
    </xdr:grpSp>
    <xdr:clientData/>
  </xdr:twoCellAnchor>
  <xdr:twoCellAnchor>
    <xdr:from>
      <xdr:col>120</xdr:col>
      <xdr:colOff>7620</xdr:colOff>
      <xdr:row>97</xdr:row>
      <xdr:rowOff>45720</xdr:rowOff>
    </xdr:from>
    <xdr:to>
      <xdr:col>133</xdr:col>
      <xdr:colOff>102</xdr:colOff>
      <xdr:row>99</xdr:row>
      <xdr:rowOff>88047</xdr:rowOff>
    </xdr:to>
    <xdr:sp macro="" textlink="">
      <xdr:nvSpPr>
        <xdr:cNvPr id="243" name="Tekstvak 242"/>
        <xdr:cNvSpPr txBox="1"/>
      </xdr:nvSpPr>
      <xdr:spPr bwMode="auto">
        <a:xfrm>
          <a:off x="5829300" y="10439400"/>
          <a:ext cx="579120" cy="469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            </a:t>
          </a:r>
          <a:r>
            <a:rPr lang="nl-NL" sz="1200"/>
            <a:t> </a:t>
          </a:r>
          <a:r>
            <a:rPr lang="nl-NL" sz="1200" b="1"/>
            <a:t>                                                   afzet</a:t>
          </a:r>
        </a:p>
      </xdr:txBody>
    </xdr:sp>
    <xdr:clientData/>
  </xdr:twoCellAnchor>
  <xdr:twoCellAnchor>
    <xdr:from>
      <xdr:col>84</xdr:col>
      <xdr:colOff>0</xdr:colOff>
      <xdr:row>91</xdr:row>
      <xdr:rowOff>106680</xdr:rowOff>
    </xdr:from>
    <xdr:to>
      <xdr:col>84</xdr:col>
      <xdr:colOff>0</xdr:colOff>
      <xdr:row>98</xdr:row>
      <xdr:rowOff>22860</xdr:rowOff>
    </xdr:to>
    <xdr:cxnSp macro="">
      <xdr:nvCxnSpPr>
        <xdr:cNvPr id="59820485" name="Rechte verbindingslijn 464"/>
        <xdr:cNvCxnSpPr>
          <a:cxnSpLocks noChangeShapeType="1"/>
        </xdr:cNvCxnSpPr>
      </xdr:nvCxnSpPr>
      <xdr:spPr bwMode="auto">
        <a:xfrm>
          <a:off x="4160520" y="14912340"/>
          <a:ext cx="0" cy="1409700"/>
        </a:xfrm>
        <a:prstGeom prst="line">
          <a:avLst/>
        </a:prstGeom>
        <a:noFill/>
        <a:ln w="22225" algn="ctr">
          <a:solidFill>
            <a:srgbClr val="FF0000"/>
          </a:solidFill>
          <a:prstDash val="sysDash"/>
          <a:round/>
          <a:headEnd/>
          <a:tailEnd/>
        </a:ln>
      </xdr:spPr>
    </xdr:cxnSp>
    <xdr:clientData/>
  </xdr:twoCellAnchor>
  <xdr:twoCellAnchor>
    <xdr:from>
      <xdr:col>73</xdr:col>
      <xdr:colOff>30480</xdr:colOff>
      <xdr:row>91</xdr:row>
      <xdr:rowOff>114300</xdr:rowOff>
    </xdr:from>
    <xdr:to>
      <xdr:col>84</xdr:col>
      <xdr:colOff>7620</xdr:colOff>
      <xdr:row>91</xdr:row>
      <xdr:rowOff>114300</xdr:rowOff>
    </xdr:to>
    <xdr:cxnSp macro="">
      <xdr:nvCxnSpPr>
        <xdr:cNvPr id="59820486" name="Rechte verbindingslijn 464"/>
        <xdr:cNvCxnSpPr>
          <a:cxnSpLocks noChangeShapeType="1"/>
        </xdr:cNvCxnSpPr>
      </xdr:nvCxnSpPr>
      <xdr:spPr bwMode="auto">
        <a:xfrm>
          <a:off x="3688080" y="14919960"/>
          <a:ext cx="480060" cy="0"/>
        </a:xfrm>
        <a:prstGeom prst="line">
          <a:avLst/>
        </a:prstGeom>
        <a:noFill/>
        <a:ln w="22225" algn="ctr">
          <a:solidFill>
            <a:srgbClr val="FF0000"/>
          </a:solidFill>
          <a:prstDash val="sysDash"/>
          <a:round/>
          <a:headEnd/>
          <a:tailEnd/>
        </a:ln>
      </xdr:spPr>
    </xdr:cxnSp>
    <xdr:clientData/>
  </xdr:twoCellAnchor>
  <xdr:twoCellAnchor>
    <xdr:from>
      <xdr:col>73</xdr:col>
      <xdr:colOff>30480</xdr:colOff>
      <xdr:row>94</xdr:row>
      <xdr:rowOff>121920</xdr:rowOff>
    </xdr:from>
    <xdr:to>
      <xdr:col>84</xdr:col>
      <xdr:colOff>0</xdr:colOff>
      <xdr:row>94</xdr:row>
      <xdr:rowOff>121920</xdr:rowOff>
    </xdr:to>
    <xdr:cxnSp macro="">
      <xdr:nvCxnSpPr>
        <xdr:cNvPr id="59820487" name="Rechte verbindingslijn 464"/>
        <xdr:cNvCxnSpPr>
          <a:cxnSpLocks noChangeShapeType="1"/>
        </xdr:cNvCxnSpPr>
      </xdr:nvCxnSpPr>
      <xdr:spPr bwMode="auto">
        <a:xfrm>
          <a:off x="3688080" y="15567660"/>
          <a:ext cx="472440" cy="0"/>
        </a:xfrm>
        <a:prstGeom prst="line">
          <a:avLst/>
        </a:prstGeom>
        <a:noFill/>
        <a:ln w="22225" algn="ctr">
          <a:solidFill>
            <a:srgbClr val="FF0000"/>
          </a:solidFill>
          <a:prstDash val="sysDash"/>
          <a:round/>
          <a:headEnd/>
          <a:tailEnd/>
        </a:ln>
      </xdr:spPr>
    </xdr:cxnSp>
    <xdr:clientData/>
  </xdr:twoCellAnchor>
  <xdr:twoCellAnchor>
    <xdr:from>
      <xdr:col>71</xdr:col>
      <xdr:colOff>7620</xdr:colOff>
      <xdr:row>154</xdr:row>
      <xdr:rowOff>0</xdr:rowOff>
    </xdr:from>
    <xdr:to>
      <xdr:col>132</xdr:col>
      <xdr:colOff>7620</xdr:colOff>
      <xdr:row>166</xdr:row>
      <xdr:rowOff>0</xdr:rowOff>
    </xdr:to>
    <xdr:grpSp>
      <xdr:nvGrpSpPr>
        <xdr:cNvPr id="59820488" name="Groep 285"/>
        <xdr:cNvGrpSpPr>
          <a:grpSpLocks/>
        </xdr:cNvGrpSpPr>
      </xdr:nvGrpSpPr>
      <xdr:grpSpPr bwMode="auto">
        <a:xfrm>
          <a:off x="3573780" y="26167080"/>
          <a:ext cx="2788920" cy="2560320"/>
          <a:chOff x="3581399" y="24726900"/>
          <a:chExt cx="2788921" cy="2560320"/>
        </a:xfrm>
      </xdr:grpSpPr>
      <xdr:grpSp>
        <xdr:nvGrpSpPr>
          <xdr:cNvPr id="59820859" name="Groep 283"/>
          <xdr:cNvGrpSpPr>
            <a:grpSpLocks/>
          </xdr:cNvGrpSpPr>
        </xdr:nvGrpSpPr>
        <xdr:grpSpPr bwMode="auto">
          <a:xfrm>
            <a:off x="3581399" y="24726900"/>
            <a:ext cx="2788921" cy="2560320"/>
            <a:chOff x="3581399" y="24726900"/>
            <a:chExt cx="2788921" cy="2560320"/>
          </a:xfrm>
        </xdr:grpSpPr>
        <xdr:grpSp>
          <xdr:nvGrpSpPr>
            <xdr:cNvPr id="59820861" name="Groep 162"/>
            <xdr:cNvGrpSpPr>
              <a:grpSpLocks/>
            </xdr:cNvGrpSpPr>
          </xdr:nvGrpSpPr>
          <xdr:grpSpPr bwMode="auto">
            <a:xfrm>
              <a:off x="3581399" y="24726900"/>
              <a:ext cx="2766059" cy="2560320"/>
              <a:chOff x="3611879" y="9235440"/>
              <a:chExt cx="2766059" cy="2545085"/>
            </a:xfrm>
          </xdr:grpSpPr>
          <xdr:grpSp>
            <xdr:nvGrpSpPr>
              <xdr:cNvPr id="59820865" name="Groep 159"/>
              <xdr:cNvGrpSpPr>
                <a:grpSpLocks/>
              </xdr:cNvGrpSpPr>
            </xdr:nvGrpSpPr>
            <xdr:grpSpPr bwMode="auto">
              <a:xfrm>
                <a:off x="3611879" y="9235440"/>
                <a:ext cx="2766059" cy="2545085"/>
                <a:chOff x="6233159" y="9090660"/>
                <a:chExt cx="2766059" cy="2545085"/>
              </a:xfrm>
            </xdr:grpSpPr>
            <xdr:grpSp>
              <xdr:nvGrpSpPr>
                <xdr:cNvPr id="59820867" name="Groep 140"/>
                <xdr:cNvGrpSpPr>
                  <a:grpSpLocks/>
                </xdr:cNvGrpSpPr>
              </xdr:nvGrpSpPr>
              <xdr:grpSpPr bwMode="auto">
                <a:xfrm>
                  <a:off x="6233159" y="9090660"/>
                  <a:ext cx="2766059" cy="2545085"/>
                  <a:chOff x="5638799" y="8679177"/>
                  <a:chExt cx="2766059" cy="2545085"/>
                </a:xfrm>
              </xdr:grpSpPr>
              <xdr:grpSp>
                <xdr:nvGrpSpPr>
                  <xdr:cNvPr id="59820870" name="Groep 157"/>
                  <xdr:cNvGrpSpPr>
                    <a:grpSpLocks/>
                  </xdr:cNvGrpSpPr>
                </xdr:nvGrpSpPr>
                <xdr:grpSpPr bwMode="auto">
                  <a:xfrm>
                    <a:off x="6134100" y="8883674"/>
                    <a:ext cx="1889760" cy="1913866"/>
                    <a:chOff x="4015740" y="9249434"/>
                    <a:chExt cx="1889760" cy="1913866"/>
                  </a:xfrm>
                </xdr:grpSpPr>
                <xdr:cxnSp macro="">
                  <xdr:nvCxnSpPr>
                    <xdr:cNvPr id="59820874" name="Rechte verbindingslijn 11"/>
                    <xdr:cNvCxnSpPr>
                      <a:cxnSpLocks noChangeShapeType="1"/>
                    </xdr:cNvCxnSpPr>
                  </xdr:nvCxnSpPr>
                  <xdr:spPr bwMode="auto">
                    <a:xfrm>
                      <a:off x="4023360" y="10851702"/>
                      <a:ext cx="1742554" cy="0"/>
                    </a:xfrm>
                    <a:prstGeom prst="line">
                      <a:avLst/>
                    </a:prstGeom>
                    <a:noFill/>
                    <a:ln w="22225" algn="ctr">
                      <a:solidFill>
                        <a:srgbClr val="000000"/>
                      </a:solidFill>
                      <a:round/>
                      <a:headEnd/>
                      <a:tailEnd/>
                    </a:ln>
                  </xdr:spPr>
                </xdr:cxnSp>
                <xdr:sp macro="" textlink="">
                  <xdr:nvSpPr>
                    <xdr:cNvPr id="59820875" name="Vrije vorm 21"/>
                    <xdr:cNvSpPr>
                      <a:spLocks/>
                    </xdr:cNvSpPr>
                  </xdr:nvSpPr>
                  <xdr:spPr bwMode="auto">
                    <a:xfrm>
                      <a:off x="4104264" y="9249434"/>
                      <a:ext cx="1661650" cy="1518306"/>
                    </a:xfrm>
                    <a:custGeom>
                      <a:avLst/>
                      <a:gdLst>
                        <a:gd name="T0" fmla="*/ 0 w 2057400"/>
                        <a:gd name="T1" fmla="*/ 0 h 1653540"/>
                        <a:gd name="T2" fmla="*/ 2 w 2057400"/>
                        <a:gd name="T3" fmla="*/ 6224 h 1653540"/>
                        <a:gd name="T4" fmla="*/ 3 w 2057400"/>
                        <a:gd name="T5" fmla="*/ 8336 h 1653540"/>
                        <a:gd name="T6" fmla="*/ 0 60000 65536"/>
                        <a:gd name="T7" fmla="*/ 0 60000 65536"/>
                        <a:gd name="T8" fmla="*/ 0 60000 65536"/>
                        <a:gd name="T9" fmla="*/ 0 w 2057400"/>
                        <a:gd name="T10" fmla="*/ 0 h 1653540"/>
                        <a:gd name="T11" fmla="*/ 2057400 w 2057400"/>
                        <a:gd name="T12" fmla="*/ 1653540 h 1653540"/>
                      </a:gdLst>
                      <a:ahLst/>
                      <a:cxnLst>
                        <a:cxn ang="T6">
                          <a:pos x="T0" y="T1"/>
                        </a:cxn>
                        <a:cxn ang="T7">
                          <a:pos x="T2" y="T3"/>
                        </a:cxn>
                        <a:cxn ang="T8">
                          <a:pos x="T4" y="T5"/>
                        </a:cxn>
                      </a:cxnLst>
                      <a:rect l="T9" t="T10" r="T11" b="T12"/>
                      <a:pathLst>
                        <a:path w="2057400" h="1653540">
                          <a:moveTo>
                            <a:pt x="0" y="0"/>
                          </a:moveTo>
                          <a:cubicBezTo>
                            <a:pt x="64770" y="479425"/>
                            <a:pt x="129540" y="958850"/>
                            <a:pt x="472440" y="1234440"/>
                          </a:cubicBezTo>
                          <a:cubicBezTo>
                            <a:pt x="815340" y="1510030"/>
                            <a:pt x="1436370" y="1581785"/>
                            <a:pt x="2057400" y="1653540"/>
                          </a:cubicBezTo>
                        </a:path>
                      </a:pathLst>
                    </a:custGeom>
                    <a:noFill/>
                    <a:ln w="34925" cap="flat" cmpd="sng" algn="ctr">
                      <a:solidFill>
                        <a:srgbClr val="000000"/>
                      </a:solidFill>
                      <a:prstDash val="solid"/>
                      <a:round/>
                      <a:headEnd type="none" w="med" len="med"/>
                      <a:tailEnd type="none" w="med" len="med"/>
                    </a:ln>
                  </xdr:spPr>
                </xdr:sp>
                <xdr:cxnSp macro="">
                  <xdr:nvCxnSpPr>
                    <xdr:cNvPr id="59820876" name="Rechte verbindingslijn 148"/>
                    <xdr:cNvCxnSpPr>
                      <a:cxnSpLocks noChangeShapeType="1"/>
                    </xdr:cNvCxnSpPr>
                  </xdr:nvCxnSpPr>
                  <xdr:spPr bwMode="auto">
                    <a:xfrm>
                      <a:off x="4015740" y="9250680"/>
                      <a:ext cx="0" cy="1912620"/>
                    </a:xfrm>
                    <a:prstGeom prst="line">
                      <a:avLst/>
                    </a:prstGeom>
                    <a:noFill/>
                    <a:ln w="22225" algn="ctr">
                      <a:solidFill>
                        <a:srgbClr val="000000"/>
                      </a:solidFill>
                      <a:round/>
                      <a:headEnd/>
                      <a:tailEnd/>
                    </a:ln>
                  </xdr:spPr>
                </xdr:cxnSp>
                <xdr:cxnSp macro="">
                  <xdr:nvCxnSpPr>
                    <xdr:cNvPr id="59820877" name="Rechte verbindingslijn 149"/>
                    <xdr:cNvCxnSpPr>
                      <a:cxnSpLocks noChangeShapeType="1"/>
                    </xdr:cNvCxnSpPr>
                  </xdr:nvCxnSpPr>
                  <xdr:spPr bwMode="auto">
                    <a:xfrm>
                      <a:off x="4023360" y="11155680"/>
                      <a:ext cx="1882140" cy="0"/>
                    </a:xfrm>
                    <a:prstGeom prst="line">
                      <a:avLst/>
                    </a:prstGeom>
                    <a:noFill/>
                    <a:ln w="22225" algn="ctr">
                      <a:solidFill>
                        <a:srgbClr val="000000"/>
                      </a:solidFill>
                      <a:round/>
                      <a:headEnd/>
                      <a:tailEnd/>
                    </a:ln>
                  </xdr:spPr>
                </xdr:cxnSp>
              </xdr:grpSp>
              <xdr:grpSp>
                <xdr:nvGrpSpPr>
                  <xdr:cNvPr id="59820871" name="Groep 128"/>
                  <xdr:cNvGrpSpPr>
                    <a:grpSpLocks/>
                  </xdr:cNvGrpSpPr>
                </xdr:nvGrpSpPr>
                <xdr:grpSpPr bwMode="auto">
                  <a:xfrm>
                    <a:off x="5638799" y="8679177"/>
                    <a:ext cx="2766059" cy="2545085"/>
                    <a:chOff x="3686464" y="16898752"/>
                    <a:chExt cx="2781911" cy="2143628"/>
                  </a:xfrm>
                </xdr:grpSpPr>
                <xdr:sp macro="" textlink="">
                  <xdr:nvSpPr>
                    <xdr:cNvPr id="260" name="Tekstvak 259"/>
                    <xdr:cNvSpPr txBox="1"/>
                  </xdr:nvSpPr>
                  <xdr:spPr bwMode="auto">
                    <a:xfrm>
                      <a:off x="4038993" y="18646830"/>
                      <a:ext cx="337202" cy="3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a:t>
                      </a:r>
                    </a:p>
                  </xdr:txBody>
                </xdr:sp>
                <xdr:sp macro="" textlink="">
                  <xdr:nvSpPr>
                    <xdr:cNvPr id="59820873" name="Rechthoek 127"/>
                    <xdr:cNvSpPr>
                      <a:spLocks noChangeArrowheads="1"/>
                    </xdr:cNvSpPr>
                  </xdr:nvSpPr>
                  <xdr:spPr bwMode="auto">
                    <a:xfrm>
                      <a:off x="3686464" y="16898752"/>
                      <a:ext cx="2781911" cy="2069419"/>
                    </a:xfrm>
                    <a:prstGeom prst="rect">
                      <a:avLst/>
                    </a:prstGeom>
                    <a:noFill/>
                    <a:ln w="22225" algn="ctr">
                      <a:solidFill>
                        <a:srgbClr val="000000"/>
                      </a:solidFill>
                      <a:round/>
                      <a:headEnd/>
                      <a:tailEnd/>
                    </a:ln>
                  </xdr:spPr>
                </xdr:sp>
              </xdr:grpSp>
            </xdr:grpSp>
            <xdr:cxnSp macro="">
              <xdr:nvCxnSpPr>
                <xdr:cNvPr id="59820868" name="Rechte verbindingslijn 12"/>
                <xdr:cNvCxnSpPr>
                  <a:cxnSpLocks noChangeShapeType="1"/>
                </xdr:cNvCxnSpPr>
              </xdr:nvCxnSpPr>
              <xdr:spPr bwMode="auto">
                <a:xfrm>
                  <a:off x="6728460" y="9364980"/>
                  <a:ext cx="1653540" cy="1828800"/>
                </a:xfrm>
                <a:prstGeom prst="line">
                  <a:avLst/>
                </a:prstGeom>
                <a:noFill/>
                <a:ln w="22225" algn="ctr">
                  <a:solidFill>
                    <a:srgbClr val="000000"/>
                  </a:solidFill>
                  <a:round/>
                  <a:headEnd/>
                  <a:tailEnd/>
                </a:ln>
              </xdr:spPr>
            </xdr:cxnSp>
            <xdr:cxnSp macro="">
              <xdr:nvCxnSpPr>
                <xdr:cNvPr id="59820869" name="Rechte verbindingslijn 12"/>
                <xdr:cNvCxnSpPr>
                  <a:cxnSpLocks noChangeShapeType="1"/>
                </xdr:cNvCxnSpPr>
              </xdr:nvCxnSpPr>
              <xdr:spPr bwMode="auto">
                <a:xfrm>
                  <a:off x="6736080" y="9372600"/>
                  <a:ext cx="929640" cy="2072640"/>
                </a:xfrm>
                <a:prstGeom prst="line">
                  <a:avLst/>
                </a:prstGeom>
                <a:noFill/>
                <a:ln w="22225" algn="ctr">
                  <a:solidFill>
                    <a:srgbClr val="000000"/>
                  </a:solidFill>
                  <a:round/>
                  <a:headEnd/>
                  <a:tailEnd/>
                </a:ln>
              </xdr:spPr>
            </xdr:cxnSp>
          </xdr:grpSp>
          <xdr:cxnSp macro="">
            <xdr:nvCxnSpPr>
              <xdr:cNvPr id="59820866" name="Rechte verbindingslijn 161"/>
              <xdr:cNvCxnSpPr>
                <a:cxnSpLocks noChangeShapeType="1"/>
              </xdr:cNvCxnSpPr>
            </xdr:nvCxnSpPr>
            <xdr:spPr bwMode="auto">
              <a:xfrm flipV="1">
                <a:off x="5143500" y="10674625"/>
                <a:ext cx="0" cy="656407"/>
              </a:xfrm>
              <a:prstGeom prst="line">
                <a:avLst/>
              </a:prstGeom>
              <a:noFill/>
              <a:ln w="22225" algn="ctr">
                <a:solidFill>
                  <a:srgbClr val="FF0000"/>
                </a:solidFill>
                <a:prstDash val="sysDot"/>
                <a:round/>
                <a:headEnd/>
                <a:tailEnd/>
              </a:ln>
            </xdr:spPr>
          </xdr:cxnSp>
        </xdr:grpSp>
        <xdr:cxnSp macro="">
          <xdr:nvCxnSpPr>
            <xdr:cNvPr id="59820862" name="Rechte verbindingslijn 161"/>
            <xdr:cNvCxnSpPr>
              <a:cxnSpLocks noChangeShapeType="1"/>
            </xdr:cNvCxnSpPr>
          </xdr:nvCxnSpPr>
          <xdr:spPr bwMode="auto">
            <a:xfrm flipH="1" flipV="1">
              <a:off x="4076700" y="26334720"/>
              <a:ext cx="1028700" cy="7620"/>
            </a:xfrm>
            <a:prstGeom prst="line">
              <a:avLst/>
            </a:prstGeom>
            <a:noFill/>
            <a:ln w="22225" algn="ctr">
              <a:solidFill>
                <a:srgbClr val="FF0000"/>
              </a:solidFill>
              <a:prstDash val="sysDot"/>
              <a:round/>
              <a:headEnd/>
              <a:tailEnd/>
            </a:ln>
          </xdr:spPr>
        </xdr:cxnSp>
        <xdr:sp macro="" textlink="">
          <xdr:nvSpPr>
            <xdr:cNvPr id="280" name="Tekstvak 279"/>
            <xdr:cNvSpPr txBox="1"/>
          </xdr:nvSpPr>
          <xdr:spPr bwMode="auto">
            <a:xfrm>
              <a:off x="5501640" y="26830020"/>
              <a:ext cx="86868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afzet x 100</a:t>
              </a:r>
            </a:p>
          </xdr:txBody>
        </xdr:sp>
        <xdr:cxnSp macro="">
          <xdr:nvCxnSpPr>
            <xdr:cNvPr id="59820864" name="Rechte verbindingslijn 161"/>
            <xdr:cNvCxnSpPr>
              <a:cxnSpLocks noChangeShapeType="1"/>
            </xdr:cNvCxnSpPr>
          </xdr:nvCxnSpPr>
          <xdr:spPr bwMode="auto">
            <a:xfrm flipH="1" flipV="1">
              <a:off x="4069080" y="26136600"/>
              <a:ext cx="1043940" cy="15240"/>
            </a:xfrm>
            <a:prstGeom prst="line">
              <a:avLst/>
            </a:prstGeom>
            <a:noFill/>
            <a:ln w="22225" algn="ctr">
              <a:solidFill>
                <a:srgbClr val="FF0000"/>
              </a:solidFill>
              <a:prstDash val="sysDot"/>
              <a:round/>
              <a:headEnd/>
              <a:tailEnd/>
            </a:ln>
          </xdr:spPr>
        </xdr:cxnSp>
      </xdr:grpSp>
      <xdr:sp macro="" textlink="">
        <xdr:nvSpPr>
          <xdr:cNvPr id="285" name="Tekstvak 284"/>
          <xdr:cNvSpPr txBox="1"/>
        </xdr:nvSpPr>
        <xdr:spPr bwMode="auto">
          <a:xfrm>
            <a:off x="3779519" y="24825960"/>
            <a:ext cx="39624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a:t>
            </a:r>
          </a:p>
        </xdr:txBody>
      </xdr:sp>
    </xdr:grpSp>
    <xdr:clientData/>
  </xdr:twoCellAnchor>
  <xdr:twoCellAnchor>
    <xdr:from>
      <xdr:col>28</xdr:col>
      <xdr:colOff>15240</xdr:colOff>
      <xdr:row>280</xdr:row>
      <xdr:rowOff>0</xdr:rowOff>
    </xdr:from>
    <xdr:to>
      <xdr:col>143</xdr:col>
      <xdr:colOff>38100</xdr:colOff>
      <xdr:row>294</xdr:row>
      <xdr:rowOff>0</xdr:rowOff>
    </xdr:to>
    <xdr:grpSp>
      <xdr:nvGrpSpPr>
        <xdr:cNvPr id="59820489" name="Groep 383"/>
        <xdr:cNvGrpSpPr>
          <a:grpSpLocks/>
        </xdr:cNvGrpSpPr>
      </xdr:nvGrpSpPr>
      <xdr:grpSpPr bwMode="auto">
        <a:xfrm>
          <a:off x="1615440" y="46832520"/>
          <a:ext cx="5280660" cy="2788920"/>
          <a:chOff x="1080276" y="74056884"/>
          <a:chExt cx="2637109" cy="2850189"/>
        </a:xfrm>
      </xdr:grpSpPr>
      <xdr:grpSp>
        <xdr:nvGrpSpPr>
          <xdr:cNvPr id="59820830" name="Groep 507"/>
          <xdr:cNvGrpSpPr>
            <a:grpSpLocks/>
          </xdr:cNvGrpSpPr>
        </xdr:nvGrpSpPr>
        <xdr:grpSpPr bwMode="auto">
          <a:xfrm>
            <a:off x="1080276" y="74056884"/>
            <a:ext cx="2372944" cy="2850189"/>
            <a:chOff x="1080276" y="32118309"/>
            <a:chExt cx="2372944" cy="2850189"/>
          </a:xfrm>
        </xdr:grpSpPr>
        <xdr:grpSp>
          <xdr:nvGrpSpPr>
            <xdr:cNvPr id="59820834" name="Groep 247"/>
            <xdr:cNvGrpSpPr>
              <a:grpSpLocks/>
            </xdr:cNvGrpSpPr>
          </xdr:nvGrpSpPr>
          <xdr:grpSpPr bwMode="auto">
            <a:xfrm>
              <a:off x="1080276" y="32118309"/>
              <a:ext cx="2372944" cy="2850189"/>
              <a:chOff x="1052756" y="47882189"/>
              <a:chExt cx="2376034" cy="2850756"/>
            </a:xfrm>
          </xdr:grpSpPr>
          <xdr:grpSp>
            <xdr:nvGrpSpPr>
              <xdr:cNvPr id="59820837" name="Groep 127"/>
              <xdr:cNvGrpSpPr>
                <a:grpSpLocks/>
              </xdr:cNvGrpSpPr>
            </xdr:nvGrpSpPr>
            <xdr:grpSpPr bwMode="auto">
              <a:xfrm>
                <a:off x="1052756" y="47882189"/>
                <a:ext cx="2376034" cy="2850756"/>
                <a:chOff x="1951429" y="43489807"/>
                <a:chExt cx="2376034" cy="2850756"/>
              </a:xfrm>
            </xdr:grpSpPr>
            <xdr:sp macro="" textlink="">
              <xdr:nvSpPr>
                <xdr:cNvPr id="59820840" name="Line 241"/>
                <xdr:cNvSpPr>
                  <a:spLocks noChangeShapeType="1"/>
                </xdr:cNvSpPr>
              </xdr:nvSpPr>
              <xdr:spPr bwMode="auto">
                <a:xfrm>
                  <a:off x="2122411" y="45458636"/>
                  <a:ext cx="2068178" cy="85"/>
                </a:xfrm>
                <a:prstGeom prst="line">
                  <a:avLst/>
                </a:prstGeom>
                <a:noFill/>
                <a:ln w="25400">
                  <a:solidFill>
                    <a:srgbClr val="000000"/>
                  </a:solidFill>
                  <a:round/>
                  <a:headEnd/>
                  <a:tailEnd/>
                </a:ln>
              </xdr:spPr>
            </xdr:sp>
            <xdr:grpSp>
              <xdr:nvGrpSpPr>
                <xdr:cNvPr id="59820841" name="Group 420"/>
                <xdr:cNvGrpSpPr>
                  <a:grpSpLocks/>
                </xdr:cNvGrpSpPr>
              </xdr:nvGrpSpPr>
              <xdr:grpSpPr bwMode="auto">
                <a:xfrm>
                  <a:off x="1951429" y="43489807"/>
                  <a:ext cx="2376034" cy="2850756"/>
                  <a:chOff x="212" y="6692"/>
                  <a:chExt cx="140" cy="178"/>
                </a:xfrm>
              </xdr:grpSpPr>
              <xdr:grpSp>
                <xdr:nvGrpSpPr>
                  <xdr:cNvPr id="59820851" name="Group 419"/>
                  <xdr:cNvGrpSpPr>
                    <a:grpSpLocks/>
                  </xdr:cNvGrpSpPr>
                </xdr:nvGrpSpPr>
                <xdr:grpSpPr bwMode="auto">
                  <a:xfrm>
                    <a:off x="222" y="6696"/>
                    <a:ext cx="130" cy="154"/>
                    <a:chOff x="222" y="6696"/>
                    <a:chExt cx="130" cy="154"/>
                  </a:xfrm>
                </xdr:grpSpPr>
                <xdr:grpSp>
                  <xdr:nvGrpSpPr>
                    <xdr:cNvPr id="59820855" name="Group 240"/>
                    <xdr:cNvGrpSpPr>
                      <a:grpSpLocks/>
                    </xdr:cNvGrpSpPr>
                  </xdr:nvGrpSpPr>
                  <xdr:grpSpPr bwMode="auto">
                    <a:xfrm>
                      <a:off x="222" y="6696"/>
                      <a:ext cx="130" cy="154"/>
                      <a:chOff x="245" y="4653"/>
                      <a:chExt cx="130" cy="154"/>
                    </a:xfrm>
                  </xdr:grpSpPr>
                  <xdr:sp macro="" textlink="">
                    <xdr:nvSpPr>
                      <xdr:cNvPr id="59820857" name="Line 238"/>
                      <xdr:cNvSpPr>
                        <a:spLocks noChangeShapeType="1"/>
                      </xdr:cNvSpPr>
                    </xdr:nvSpPr>
                    <xdr:spPr bwMode="auto">
                      <a:xfrm flipH="1">
                        <a:off x="245" y="4653"/>
                        <a:ext cx="1" cy="154"/>
                      </a:xfrm>
                      <a:prstGeom prst="line">
                        <a:avLst/>
                      </a:prstGeom>
                      <a:noFill/>
                      <a:ln w="25400">
                        <a:solidFill>
                          <a:srgbClr val="000000"/>
                        </a:solidFill>
                        <a:round/>
                        <a:headEnd/>
                        <a:tailEnd/>
                      </a:ln>
                    </xdr:spPr>
                  </xdr:sp>
                  <xdr:sp macro="" textlink="">
                    <xdr:nvSpPr>
                      <xdr:cNvPr id="59820858" name="Line 239"/>
                      <xdr:cNvSpPr>
                        <a:spLocks noChangeShapeType="1"/>
                      </xdr:cNvSpPr>
                    </xdr:nvSpPr>
                    <xdr:spPr bwMode="auto">
                      <a:xfrm flipV="1">
                        <a:off x="245" y="4807"/>
                        <a:ext cx="130" cy="0"/>
                      </a:xfrm>
                      <a:prstGeom prst="line">
                        <a:avLst/>
                      </a:prstGeom>
                      <a:noFill/>
                      <a:ln w="25400">
                        <a:solidFill>
                          <a:srgbClr val="000000"/>
                        </a:solidFill>
                        <a:round/>
                        <a:headEnd/>
                        <a:tailEnd/>
                      </a:ln>
                    </xdr:spPr>
                  </xdr:sp>
                </xdr:grpSp>
                <xdr:sp macro="" textlink="">
                  <xdr:nvSpPr>
                    <xdr:cNvPr id="59820856" name="Line 243"/>
                    <xdr:cNvSpPr>
                      <a:spLocks noChangeShapeType="1"/>
                    </xdr:cNvSpPr>
                  </xdr:nvSpPr>
                  <xdr:spPr bwMode="auto">
                    <a:xfrm flipH="1">
                      <a:off x="222" y="6765"/>
                      <a:ext cx="44" cy="0"/>
                    </a:xfrm>
                    <a:prstGeom prst="line">
                      <a:avLst/>
                    </a:prstGeom>
                    <a:noFill/>
                    <a:ln w="25400">
                      <a:solidFill>
                        <a:srgbClr val="000000"/>
                      </a:solidFill>
                      <a:prstDash val="sysDash"/>
                      <a:round/>
                      <a:headEnd/>
                      <a:tailEnd/>
                    </a:ln>
                  </xdr:spPr>
                </xdr:sp>
              </xdr:grpSp>
              <xdr:grpSp>
                <xdr:nvGrpSpPr>
                  <xdr:cNvPr id="59820852" name="Group 418"/>
                  <xdr:cNvGrpSpPr>
                    <a:grpSpLocks/>
                  </xdr:cNvGrpSpPr>
                </xdr:nvGrpSpPr>
                <xdr:grpSpPr bwMode="auto">
                  <a:xfrm>
                    <a:off x="212" y="6692"/>
                    <a:ext cx="140" cy="178"/>
                    <a:chOff x="212" y="6692"/>
                    <a:chExt cx="140" cy="178"/>
                  </a:xfrm>
                </xdr:grpSpPr>
                <xdr:sp macro="" textlink="">
                  <xdr:nvSpPr>
                    <xdr:cNvPr id="311" name="Text Box 256"/>
                    <xdr:cNvSpPr txBox="1">
                      <a:spLocks noChangeArrowheads="1"/>
                    </xdr:cNvSpPr>
                  </xdr:nvSpPr>
                  <xdr:spPr bwMode="auto">
                    <a:xfrm>
                      <a:off x="212" y="6692"/>
                      <a:ext cx="12" cy="22"/>
                    </a:xfrm>
                    <a:prstGeom prst="rect">
                      <a:avLst/>
                    </a:prstGeom>
                    <a:noFill/>
                    <a:ln w="25400">
                      <a:noFill/>
                      <a:round/>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a:t>
                      </a:r>
                    </a:p>
                  </xdr:txBody>
                </xdr:sp>
                <xdr:sp macro="" textlink="">
                  <xdr:nvSpPr>
                    <xdr:cNvPr id="312" name="Text Box 257"/>
                    <xdr:cNvSpPr txBox="1">
                      <a:spLocks noChangeArrowheads="1"/>
                    </xdr:cNvSpPr>
                  </xdr:nvSpPr>
                  <xdr:spPr bwMode="auto">
                    <a:xfrm>
                      <a:off x="330" y="6852"/>
                      <a:ext cx="22" cy="18"/>
                    </a:xfrm>
                    <a:prstGeom prst="rect">
                      <a:avLst/>
                    </a:prstGeom>
                    <a:noFill/>
                    <a:ln w="25400">
                      <a:noFill/>
                      <a:round/>
                      <a:headEnd/>
                      <a:tailEnd/>
                    </a:ln>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grpSp>
            <xdr:sp macro="" textlink="">
              <xdr:nvSpPr>
                <xdr:cNvPr id="300" name="Text Box 256"/>
                <xdr:cNvSpPr txBox="1">
                  <a:spLocks noChangeArrowheads="1"/>
                </xdr:cNvSpPr>
              </xdr:nvSpPr>
              <xdr:spPr bwMode="auto">
                <a:xfrm>
                  <a:off x="2111462" y="44331014"/>
                  <a:ext cx="301014" cy="194724"/>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a</a:t>
                  </a:r>
                </a:p>
              </xdr:txBody>
            </xdr:sp>
            <xdr:sp macro="" textlink="">
              <xdr:nvSpPr>
                <xdr:cNvPr id="301" name="Text Box 256"/>
                <xdr:cNvSpPr txBox="1">
                  <a:spLocks noChangeArrowheads="1"/>
                </xdr:cNvSpPr>
              </xdr:nvSpPr>
              <xdr:spPr bwMode="auto">
                <a:xfrm>
                  <a:off x="2218150" y="44993075"/>
                  <a:ext cx="297204" cy="171357"/>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b</a:t>
                  </a:r>
                </a:p>
              </xdr:txBody>
            </xdr:sp>
            <xdr:sp macro="" textlink="">
              <xdr:nvSpPr>
                <xdr:cNvPr id="302" name="Text Box 256"/>
                <xdr:cNvSpPr txBox="1">
                  <a:spLocks noChangeArrowheads="1"/>
                </xdr:cNvSpPr>
              </xdr:nvSpPr>
              <xdr:spPr bwMode="auto">
                <a:xfrm>
                  <a:off x="2328649" y="45662924"/>
                  <a:ext cx="297204" cy="186935"/>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c</a:t>
                  </a:r>
                </a:p>
              </xdr:txBody>
            </xdr:sp>
            <xdr:sp macro="" textlink="">
              <xdr:nvSpPr>
                <xdr:cNvPr id="303" name="Text Box 256"/>
                <xdr:cNvSpPr txBox="1">
                  <a:spLocks noChangeArrowheads="1"/>
                </xdr:cNvSpPr>
              </xdr:nvSpPr>
              <xdr:spPr bwMode="auto">
                <a:xfrm>
                  <a:off x="2408666" y="44385536"/>
                  <a:ext cx="304825" cy="186935"/>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d</a:t>
                  </a:r>
                </a:p>
              </xdr:txBody>
            </xdr:sp>
            <xdr:sp macro="" textlink="">
              <xdr:nvSpPr>
                <xdr:cNvPr id="304" name="Text Box 256"/>
                <xdr:cNvSpPr txBox="1">
                  <a:spLocks noChangeArrowheads="1"/>
                </xdr:cNvSpPr>
              </xdr:nvSpPr>
              <xdr:spPr bwMode="auto">
                <a:xfrm>
                  <a:off x="2602992" y="44790562"/>
                  <a:ext cx="301014" cy="179146"/>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e</a:t>
                  </a:r>
                </a:p>
              </xdr:txBody>
            </xdr:sp>
            <xdr:sp macro="" textlink="">
              <xdr:nvSpPr>
                <xdr:cNvPr id="305" name="Text Box 256"/>
                <xdr:cNvSpPr txBox="1">
                  <a:spLocks noChangeArrowheads="1"/>
                </xdr:cNvSpPr>
              </xdr:nvSpPr>
              <xdr:spPr bwMode="auto">
                <a:xfrm>
                  <a:off x="2797317" y="45756392"/>
                  <a:ext cx="312445" cy="179146"/>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f</a:t>
                  </a:r>
                </a:p>
              </xdr:txBody>
            </xdr:sp>
            <xdr:sp macro="" textlink="">
              <xdr:nvSpPr>
                <xdr:cNvPr id="306" name="Text Box 256"/>
                <xdr:cNvSpPr txBox="1">
                  <a:spLocks noChangeArrowheads="1"/>
                </xdr:cNvSpPr>
              </xdr:nvSpPr>
              <xdr:spPr bwMode="auto">
                <a:xfrm>
                  <a:off x="2949729" y="45109909"/>
                  <a:ext cx="301014" cy="257035"/>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g</a:t>
                  </a:r>
                </a:p>
              </xdr:txBody>
            </xdr:sp>
            <xdr:sp macro="" textlink="">
              <xdr:nvSpPr>
                <xdr:cNvPr id="307" name="Text Box 256"/>
                <xdr:cNvSpPr txBox="1">
                  <a:spLocks noChangeArrowheads="1"/>
                </xdr:cNvSpPr>
              </xdr:nvSpPr>
              <xdr:spPr bwMode="auto">
                <a:xfrm>
                  <a:off x="3178348" y="45678502"/>
                  <a:ext cx="312445" cy="194724"/>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h</a:t>
                  </a:r>
                </a:p>
              </xdr:txBody>
            </xdr:sp>
            <xdr:sp macro="" textlink="">
              <xdr:nvSpPr>
                <xdr:cNvPr id="59820850" name="Line 241"/>
                <xdr:cNvSpPr>
                  <a:spLocks noChangeShapeType="1"/>
                </xdr:cNvSpPr>
              </xdr:nvSpPr>
              <xdr:spPr bwMode="auto">
                <a:xfrm>
                  <a:off x="2147759" y="43842306"/>
                  <a:ext cx="1937890" cy="2169637"/>
                </a:xfrm>
                <a:prstGeom prst="line">
                  <a:avLst/>
                </a:prstGeom>
                <a:noFill/>
                <a:ln w="25400">
                  <a:solidFill>
                    <a:srgbClr val="000000"/>
                  </a:solidFill>
                  <a:round/>
                  <a:headEnd/>
                  <a:tailEnd/>
                </a:ln>
              </xdr:spPr>
            </xdr:sp>
          </xdr:grpSp>
          <xdr:sp macro="" textlink="">
            <xdr:nvSpPr>
              <xdr:cNvPr id="296" name="Text Box 253"/>
              <xdr:cNvSpPr txBox="1">
                <a:spLocks noChangeArrowheads="1"/>
              </xdr:cNvSpPr>
            </xdr:nvSpPr>
            <xdr:spPr bwMode="auto">
              <a:xfrm>
                <a:off x="1574768" y="49447768"/>
                <a:ext cx="182895" cy="288191"/>
              </a:xfrm>
              <a:prstGeom prst="rect">
                <a:avLst/>
              </a:prstGeom>
              <a:noFill/>
              <a:ln w="25400">
                <a:noFill/>
                <a:round/>
                <a:headEnd/>
                <a:tailEnd/>
              </a:ln>
            </xdr:spPr>
            <xdr:txBody>
              <a:bodyPr vertOverflow="clip" wrap="square" lIns="27432" tIns="22860" rIns="27432" bIns="0" anchor="t" upright="1"/>
              <a:lstStyle/>
              <a:p>
                <a:pPr marL="0" indent="0" algn="r" rtl="0">
                  <a:defRPr sz="1000"/>
                </a:pPr>
                <a:r>
                  <a:rPr lang="nl-NL" sz="1000" b="1" i="0" u="none" strike="noStrike" baseline="0">
                    <a:solidFill>
                      <a:srgbClr val="000000"/>
                    </a:solidFill>
                    <a:latin typeface="Arial"/>
                    <a:ea typeface="+mn-ea"/>
                    <a:cs typeface="Arial"/>
                  </a:rPr>
                  <a:t>MO</a:t>
                </a:r>
              </a:p>
            </xdr:txBody>
          </xdr:sp>
          <xdr:sp macro="" textlink="">
            <xdr:nvSpPr>
              <xdr:cNvPr id="297" name="Text Box 253"/>
              <xdr:cNvSpPr txBox="1">
                <a:spLocks noChangeArrowheads="1"/>
              </xdr:cNvSpPr>
            </xdr:nvSpPr>
            <xdr:spPr bwMode="auto">
              <a:xfrm>
                <a:off x="2066298" y="49143999"/>
                <a:ext cx="567736" cy="327136"/>
              </a:xfrm>
              <a:prstGeom prst="rect">
                <a:avLst/>
              </a:prstGeom>
              <a:noFill/>
              <a:ln w="25400">
                <a:noFill/>
                <a:round/>
                <a:headEnd/>
                <a:tailEnd/>
              </a:ln>
            </xdr:spPr>
            <xdr:txBody>
              <a:bodyPr vertOverflow="clip" wrap="square" lIns="27432" tIns="22860" rIns="27432" bIns="0" anchor="t" upright="1"/>
              <a:lstStyle/>
              <a:p>
                <a:pPr marL="0" indent="0" algn="ctr" rtl="0">
                  <a:defRPr sz="1000"/>
                </a:pPr>
                <a:r>
                  <a:rPr lang="nl-NL" sz="1000" b="1" i="0" u="none" strike="noStrike" baseline="0">
                    <a:solidFill>
                      <a:srgbClr val="000000"/>
                    </a:solidFill>
                    <a:latin typeface="Arial"/>
                    <a:ea typeface="+mn-ea"/>
                    <a:cs typeface="Arial"/>
                  </a:rPr>
                  <a:t>vraaglijn</a:t>
                </a:r>
              </a:p>
            </xdr:txBody>
          </xdr:sp>
        </xdr:grpSp>
        <xdr:sp macro="" textlink="">
          <xdr:nvSpPr>
            <xdr:cNvPr id="59820835" name="Line 241"/>
            <xdr:cNvSpPr>
              <a:spLocks noChangeShapeType="1"/>
            </xdr:cNvSpPr>
          </xdr:nvSpPr>
          <xdr:spPr bwMode="auto">
            <a:xfrm flipH="1" flipV="1">
              <a:off x="1275139" y="32483745"/>
              <a:ext cx="961455" cy="2165570"/>
            </a:xfrm>
            <a:prstGeom prst="line">
              <a:avLst/>
            </a:prstGeom>
            <a:noFill/>
            <a:ln w="25400">
              <a:solidFill>
                <a:srgbClr val="000000"/>
              </a:solidFill>
              <a:round/>
              <a:headEnd/>
              <a:tailEnd/>
            </a:ln>
          </xdr:spPr>
        </xdr:sp>
        <xdr:sp macro="" textlink="">
          <xdr:nvSpPr>
            <xdr:cNvPr id="294" name="Text Box 256"/>
            <xdr:cNvSpPr txBox="1">
              <a:spLocks noChangeArrowheads="1"/>
            </xdr:cNvSpPr>
          </xdr:nvSpPr>
          <xdr:spPr bwMode="auto">
            <a:xfrm>
              <a:off x="2705161" y="34376655"/>
              <a:ext cx="304428" cy="179110"/>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i</a:t>
              </a:r>
            </a:p>
          </xdr:txBody>
        </xdr:sp>
      </xdr:grpSp>
      <xdr:sp macro="" textlink="">
        <xdr:nvSpPr>
          <xdr:cNvPr id="59820831" name="Line 243"/>
          <xdr:cNvSpPr>
            <a:spLocks noChangeShapeType="1"/>
          </xdr:cNvSpPr>
        </xdr:nvSpPr>
        <xdr:spPr bwMode="auto">
          <a:xfrm flipH="1" flipV="1">
            <a:off x="1990535" y="75228550"/>
            <a:ext cx="2276" cy="1361973"/>
          </a:xfrm>
          <a:prstGeom prst="line">
            <a:avLst/>
          </a:prstGeom>
          <a:noFill/>
          <a:ln w="25400">
            <a:solidFill>
              <a:srgbClr val="000000"/>
            </a:solidFill>
            <a:prstDash val="sysDash"/>
            <a:round/>
            <a:headEnd/>
            <a:tailEnd/>
          </a:ln>
        </xdr:spPr>
      </xdr:sp>
      <xdr:sp macro="" textlink="">
        <xdr:nvSpPr>
          <xdr:cNvPr id="59820832" name="Line 243"/>
          <xdr:cNvSpPr>
            <a:spLocks noChangeShapeType="1"/>
          </xdr:cNvSpPr>
        </xdr:nvSpPr>
        <xdr:spPr bwMode="auto">
          <a:xfrm flipH="1" flipV="1">
            <a:off x="2719601" y="76034779"/>
            <a:ext cx="2192" cy="537145"/>
          </a:xfrm>
          <a:prstGeom prst="line">
            <a:avLst/>
          </a:prstGeom>
          <a:noFill/>
          <a:ln w="25400">
            <a:solidFill>
              <a:srgbClr val="000000"/>
            </a:solidFill>
            <a:prstDash val="sysDash"/>
            <a:round/>
            <a:headEnd/>
            <a:tailEnd/>
          </a:ln>
        </xdr:spPr>
      </xdr:sp>
      <xdr:sp macro="" textlink="">
        <xdr:nvSpPr>
          <xdr:cNvPr id="291" name="Text Box 253"/>
          <xdr:cNvSpPr txBox="1">
            <a:spLocks noChangeArrowheads="1"/>
          </xdr:cNvSpPr>
        </xdr:nvSpPr>
        <xdr:spPr bwMode="auto">
          <a:xfrm>
            <a:off x="2880208" y="75801262"/>
            <a:ext cx="837177" cy="225835"/>
          </a:xfrm>
          <a:prstGeom prst="rect">
            <a:avLst/>
          </a:prstGeom>
          <a:noFill/>
          <a:ln w="25400">
            <a:noFill/>
            <a:round/>
            <a:headEnd/>
            <a:tailEnd/>
          </a:ln>
        </xdr:spPr>
        <xdr:txBody>
          <a:bodyPr vertOverflow="clip" wrap="square" lIns="27432" tIns="22860" rIns="27432" bIns="0" anchor="t" upright="1"/>
          <a:lstStyle/>
          <a:p>
            <a:pPr marL="0" indent="0" algn="l" rtl="0">
              <a:defRPr sz="1000"/>
            </a:pPr>
            <a:r>
              <a:rPr lang="nl-NL" sz="1000" b="1" i="0" u="none" strike="noStrike" baseline="0">
                <a:solidFill>
                  <a:srgbClr val="000000"/>
                </a:solidFill>
                <a:latin typeface="Arial" pitchFamily="34" charset="0"/>
                <a:ea typeface="+mn-ea"/>
                <a:cs typeface="Arial" pitchFamily="34" charset="0"/>
              </a:rPr>
              <a:t>MK = GVK = </a:t>
            </a:r>
            <a:r>
              <a:rPr lang="nl-NL" sz="1000" b="1" i="0" baseline="0">
                <a:latin typeface="Arial" pitchFamily="34" charset="0"/>
                <a:ea typeface="+mn-ea"/>
                <a:cs typeface="Arial" pitchFamily="34" charset="0"/>
              </a:rPr>
              <a:t>aanbodlijn</a:t>
            </a:r>
            <a:endParaRPr lang="nl-NL" sz="1000" b="1" i="0" u="none" strike="noStrike" baseline="0">
              <a:solidFill>
                <a:srgbClr val="FF0000"/>
              </a:solidFill>
              <a:latin typeface="Arial" pitchFamily="34" charset="0"/>
              <a:ea typeface="+mn-ea"/>
              <a:cs typeface="Arial" pitchFamily="34" charset="0"/>
            </a:endParaRPr>
          </a:p>
        </xdr:txBody>
      </xdr:sp>
    </xdr:grpSp>
    <xdr:clientData/>
  </xdr:twoCellAnchor>
  <xdr:twoCellAnchor>
    <xdr:from>
      <xdr:col>73</xdr:col>
      <xdr:colOff>30480</xdr:colOff>
      <xdr:row>309</xdr:row>
      <xdr:rowOff>68580</xdr:rowOff>
    </xdr:from>
    <xdr:to>
      <xdr:col>134</xdr:col>
      <xdr:colOff>30480</xdr:colOff>
      <xdr:row>323</xdr:row>
      <xdr:rowOff>83820</xdr:rowOff>
    </xdr:to>
    <xdr:grpSp>
      <xdr:nvGrpSpPr>
        <xdr:cNvPr id="59820490" name="Groep 315"/>
        <xdr:cNvGrpSpPr>
          <a:grpSpLocks/>
        </xdr:cNvGrpSpPr>
      </xdr:nvGrpSpPr>
      <xdr:grpSpPr bwMode="auto">
        <a:xfrm>
          <a:off x="3688080" y="51480720"/>
          <a:ext cx="2788920" cy="3002280"/>
          <a:chOff x="3581400" y="47884080"/>
          <a:chExt cx="2788920" cy="2560320"/>
        </a:xfrm>
      </xdr:grpSpPr>
      <xdr:grpSp>
        <xdr:nvGrpSpPr>
          <xdr:cNvPr id="59820808" name="Groep 309"/>
          <xdr:cNvGrpSpPr>
            <a:grpSpLocks/>
          </xdr:cNvGrpSpPr>
        </xdr:nvGrpSpPr>
        <xdr:grpSpPr bwMode="auto">
          <a:xfrm>
            <a:off x="3581400" y="47884080"/>
            <a:ext cx="2788920" cy="2560320"/>
            <a:chOff x="3581400" y="47884080"/>
            <a:chExt cx="2788920" cy="2560320"/>
          </a:xfrm>
        </xdr:grpSpPr>
        <xdr:grpSp>
          <xdr:nvGrpSpPr>
            <xdr:cNvPr id="59820810" name="Groep 285"/>
            <xdr:cNvGrpSpPr>
              <a:grpSpLocks/>
            </xdr:cNvGrpSpPr>
          </xdr:nvGrpSpPr>
          <xdr:grpSpPr bwMode="auto">
            <a:xfrm>
              <a:off x="3581400" y="47884080"/>
              <a:ext cx="2788920" cy="2560320"/>
              <a:chOff x="3581399" y="24726900"/>
              <a:chExt cx="2788921" cy="2560320"/>
            </a:xfrm>
          </xdr:grpSpPr>
          <xdr:grpSp>
            <xdr:nvGrpSpPr>
              <xdr:cNvPr id="59820816" name="Groep 283"/>
              <xdr:cNvGrpSpPr>
                <a:grpSpLocks/>
              </xdr:cNvGrpSpPr>
            </xdr:nvGrpSpPr>
            <xdr:grpSpPr bwMode="auto">
              <a:xfrm>
                <a:off x="3581399" y="24726900"/>
                <a:ext cx="2788921" cy="2560320"/>
                <a:chOff x="3581399" y="24726900"/>
                <a:chExt cx="2788921" cy="2560320"/>
              </a:xfrm>
            </xdr:grpSpPr>
            <xdr:grpSp>
              <xdr:nvGrpSpPr>
                <xdr:cNvPr id="59820818" name="Groep 159"/>
                <xdr:cNvGrpSpPr>
                  <a:grpSpLocks/>
                </xdr:cNvGrpSpPr>
              </xdr:nvGrpSpPr>
              <xdr:grpSpPr bwMode="auto">
                <a:xfrm>
                  <a:off x="3581399" y="24726900"/>
                  <a:ext cx="2766059" cy="2560320"/>
                  <a:chOff x="6233159" y="9090660"/>
                  <a:chExt cx="2766059" cy="2545085"/>
                </a:xfrm>
              </xdr:grpSpPr>
              <xdr:grpSp>
                <xdr:nvGrpSpPr>
                  <xdr:cNvPr id="59820820" name="Groep 140"/>
                  <xdr:cNvGrpSpPr>
                    <a:grpSpLocks/>
                  </xdr:cNvGrpSpPr>
                </xdr:nvGrpSpPr>
                <xdr:grpSpPr bwMode="auto">
                  <a:xfrm>
                    <a:off x="6233159" y="9090660"/>
                    <a:ext cx="2766059" cy="2545085"/>
                    <a:chOff x="5638799" y="8679177"/>
                    <a:chExt cx="2766059" cy="2545085"/>
                  </a:xfrm>
                </xdr:grpSpPr>
                <xdr:grpSp>
                  <xdr:nvGrpSpPr>
                    <xdr:cNvPr id="59820823" name="Groep 157"/>
                    <xdr:cNvGrpSpPr>
                      <a:grpSpLocks/>
                    </xdr:cNvGrpSpPr>
                  </xdr:nvGrpSpPr>
                  <xdr:grpSpPr bwMode="auto">
                    <a:xfrm>
                      <a:off x="6134100" y="8884920"/>
                      <a:ext cx="1889760" cy="1912620"/>
                      <a:chOff x="4015740" y="9250680"/>
                      <a:chExt cx="1889760" cy="1912620"/>
                    </a:xfrm>
                  </xdr:grpSpPr>
                  <xdr:cxnSp macro="">
                    <xdr:nvCxnSpPr>
                      <xdr:cNvPr id="59820827" name="Rechte verbindingslijn 11"/>
                      <xdr:cNvCxnSpPr>
                        <a:cxnSpLocks noChangeShapeType="1"/>
                      </xdr:cNvCxnSpPr>
                    </xdr:nvCxnSpPr>
                    <xdr:spPr bwMode="auto">
                      <a:xfrm>
                        <a:off x="4023360" y="10851702"/>
                        <a:ext cx="1742554" cy="0"/>
                      </a:xfrm>
                      <a:prstGeom prst="line">
                        <a:avLst/>
                      </a:prstGeom>
                      <a:noFill/>
                      <a:ln w="22225" algn="ctr">
                        <a:solidFill>
                          <a:srgbClr val="000000"/>
                        </a:solidFill>
                        <a:round/>
                        <a:headEnd/>
                        <a:tailEnd/>
                      </a:ln>
                    </xdr:spPr>
                  </xdr:cxnSp>
                  <xdr:cxnSp macro="">
                    <xdr:nvCxnSpPr>
                      <xdr:cNvPr id="59820828" name="Rechte verbindingslijn 148"/>
                      <xdr:cNvCxnSpPr>
                        <a:cxnSpLocks noChangeShapeType="1"/>
                      </xdr:cNvCxnSpPr>
                    </xdr:nvCxnSpPr>
                    <xdr:spPr bwMode="auto">
                      <a:xfrm>
                        <a:off x="4015740" y="9250680"/>
                        <a:ext cx="0" cy="1912620"/>
                      </a:xfrm>
                      <a:prstGeom prst="line">
                        <a:avLst/>
                      </a:prstGeom>
                      <a:noFill/>
                      <a:ln w="22225" algn="ctr">
                        <a:solidFill>
                          <a:srgbClr val="000000"/>
                        </a:solidFill>
                        <a:round/>
                        <a:headEnd/>
                        <a:tailEnd/>
                      </a:ln>
                    </xdr:spPr>
                  </xdr:cxnSp>
                  <xdr:cxnSp macro="">
                    <xdr:nvCxnSpPr>
                      <xdr:cNvPr id="59820829" name="Rechte verbindingslijn 149"/>
                      <xdr:cNvCxnSpPr>
                        <a:cxnSpLocks noChangeShapeType="1"/>
                      </xdr:cNvCxnSpPr>
                    </xdr:nvCxnSpPr>
                    <xdr:spPr bwMode="auto">
                      <a:xfrm>
                        <a:off x="4023360" y="11155680"/>
                        <a:ext cx="1882140" cy="0"/>
                      </a:xfrm>
                      <a:prstGeom prst="line">
                        <a:avLst/>
                      </a:prstGeom>
                      <a:noFill/>
                      <a:ln w="22225" algn="ctr">
                        <a:solidFill>
                          <a:srgbClr val="000000"/>
                        </a:solidFill>
                        <a:round/>
                        <a:headEnd/>
                        <a:tailEnd/>
                      </a:ln>
                    </xdr:spPr>
                  </xdr:cxnSp>
                </xdr:grpSp>
                <xdr:grpSp>
                  <xdr:nvGrpSpPr>
                    <xdr:cNvPr id="59820824" name="Groep 128"/>
                    <xdr:cNvGrpSpPr>
                      <a:grpSpLocks/>
                    </xdr:cNvGrpSpPr>
                  </xdr:nvGrpSpPr>
                  <xdr:grpSpPr bwMode="auto">
                    <a:xfrm>
                      <a:off x="5638799" y="8679177"/>
                      <a:ext cx="2766059" cy="2545085"/>
                      <a:chOff x="3686464" y="16898752"/>
                      <a:chExt cx="2781911" cy="2143628"/>
                    </a:xfrm>
                  </xdr:grpSpPr>
                  <xdr:sp macro="" textlink="">
                    <xdr:nvSpPr>
                      <xdr:cNvPr id="281" name="Tekstvak 280"/>
                      <xdr:cNvSpPr txBox="1"/>
                    </xdr:nvSpPr>
                    <xdr:spPr bwMode="auto">
                      <a:xfrm>
                        <a:off x="4038993" y="18650651"/>
                        <a:ext cx="337202" cy="391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a:t>
                        </a:r>
                      </a:p>
                    </xdr:txBody>
                  </xdr:sp>
                  <xdr:sp macro="" textlink="">
                    <xdr:nvSpPr>
                      <xdr:cNvPr id="59820826" name="Rechthoek 127"/>
                      <xdr:cNvSpPr>
                        <a:spLocks noChangeArrowheads="1"/>
                      </xdr:cNvSpPr>
                    </xdr:nvSpPr>
                    <xdr:spPr bwMode="auto">
                      <a:xfrm>
                        <a:off x="3686464" y="16898752"/>
                        <a:ext cx="2781911" cy="2069419"/>
                      </a:xfrm>
                      <a:prstGeom prst="rect">
                        <a:avLst/>
                      </a:prstGeom>
                      <a:noFill/>
                      <a:ln w="22225" algn="ctr">
                        <a:solidFill>
                          <a:srgbClr val="000000"/>
                        </a:solidFill>
                        <a:round/>
                        <a:headEnd/>
                        <a:tailEnd/>
                      </a:ln>
                    </xdr:spPr>
                  </xdr:sp>
                </xdr:grpSp>
              </xdr:grpSp>
              <xdr:cxnSp macro="">
                <xdr:nvCxnSpPr>
                  <xdr:cNvPr id="59820821" name="Rechte verbindingslijn 12"/>
                  <xdr:cNvCxnSpPr>
                    <a:cxnSpLocks noChangeShapeType="1"/>
                  </xdr:cNvCxnSpPr>
                </xdr:nvCxnSpPr>
                <xdr:spPr bwMode="auto">
                  <a:xfrm>
                    <a:off x="6728460" y="9364980"/>
                    <a:ext cx="1653540" cy="1828800"/>
                  </a:xfrm>
                  <a:prstGeom prst="line">
                    <a:avLst/>
                  </a:prstGeom>
                  <a:noFill/>
                  <a:ln w="22225" algn="ctr">
                    <a:solidFill>
                      <a:srgbClr val="000000"/>
                    </a:solidFill>
                    <a:round/>
                    <a:headEnd/>
                    <a:tailEnd/>
                  </a:ln>
                </xdr:spPr>
              </xdr:cxnSp>
              <xdr:cxnSp macro="">
                <xdr:nvCxnSpPr>
                  <xdr:cNvPr id="59820822" name="Rechte verbindingslijn 12"/>
                  <xdr:cNvCxnSpPr>
                    <a:cxnSpLocks noChangeShapeType="1"/>
                  </xdr:cNvCxnSpPr>
                </xdr:nvCxnSpPr>
                <xdr:spPr bwMode="auto">
                  <a:xfrm>
                    <a:off x="6736080" y="9372600"/>
                    <a:ext cx="929640" cy="2072640"/>
                  </a:xfrm>
                  <a:prstGeom prst="line">
                    <a:avLst/>
                  </a:prstGeom>
                  <a:noFill/>
                  <a:ln w="22225" algn="ctr">
                    <a:solidFill>
                      <a:srgbClr val="000000"/>
                    </a:solidFill>
                    <a:round/>
                    <a:headEnd/>
                    <a:tailEnd/>
                  </a:ln>
                </xdr:spPr>
              </xdr:cxnSp>
            </xdr:grpSp>
            <xdr:sp macro="" textlink="">
              <xdr:nvSpPr>
                <xdr:cNvPr id="271" name="Tekstvak 270"/>
                <xdr:cNvSpPr txBox="1"/>
              </xdr:nvSpPr>
              <xdr:spPr bwMode="auto">
                <a:xfrm>
                  <a:off x="5836920" y="26832341"/>
                  <a:ext cx="533400" cy="311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afzet</a:t>
                  </a:r>
                </a:p>
              </xdr:txBody>
            </xdr:sp>
          </xdr:grpSp>
          <xdr:sp macro="" textlink="">
            <xdr:nvSpPr>
              <xdr:cNvPr id="268" name="Tekstvak 267"/>
              <xdr:cNvSpPr txBox="1"/>
            </xdr:nvSpPr>
            <xdr:spPr bwMode="auto">
              <a:xfrm>
                <a:off x="3779519" y="24824374"/>
                <a:ext cx="396240" cy="318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a:t>
                </a:r>
              </a:p>
            </xdr:txBody>
          </xdr:sp>
        </xdr:grpSp>
        <xdr:cxnSp macro="">
          <xdr:nvCxnSpPr>
            <xdr:cNvPr id="59820811" name="Rechte verbindingslijn 464"/>
            <xdr:cNvCxnSpPr>
              <a:cxnSpLocks noChangeShapeType="1"/>
            </xdr:cNvCxnSpPr>
          </xdr:nvCxnSpPr>
          <xdr:spPr bwMode="auto">
            <a:xfrm>
              <a:off x="4754880" y="48935640"/>
              <a:ext cx="0" cy="1074420"/>
            </a:xfrm>
            <a:prstGeom prst="line">
              <a:avLst/>
            </a:prstGeom>
            <a:noFill/>
            <a:ln w="22225" algn="ctr">
              <a:solidFill>
                <a:srgbClr val="FF0000"/>
              </a:solidFill>
              <a:prstDash val="sysDash"/>
              <a:round/>
              <a:headEnd/>
              <a:tailEnd/>
            </a:ln>
          </xdr:spPr>
        </xdr:cxnSp>
        <xdr:cxnSp macro="">
          <xdr:nvCxnSpPr>
            <xdr:cNvPr id="59820812" name="Rechte verbindingslijn 464"/>
            <xdr:cNvCxnSpPr>
              <a:cxnSpLocks noChangeShapeType="1"/>
            </xdr:cNvCxnSpPr>
          </xdr:nvCxnSpPr>
          <xdr:spPr bwMode="auto">
            <a:xfrm flipH="1">
              <a:off x="5189220" y="49392840"/>
              <a:ext cx="7620" cy="609600"/>
            </a:xfrm>
            <a:prstGeom prst="line">
              <a:avLst/>
            </a:prstGeom>
            <a:noFill/>
            <a:ln w="22225" algn="ctr">
              <a:solidFill>
                <a:srgbClr val="FF0000"/>
              </a:solidFill>
              <a:prstDash val="sysDash"/>
              <a:round/>
              <a:headEnd/>
              <a:tailEnd/>
            </a:ln>
          </xdr:spPr>
        </xdr:cxnSp>
        <xdr:cxnSp macro="">
          <xdr:nvCxnSpPr>
            <xdr:cNvPr id="59820813" name="Rechte verbindingslijn 464"/>
            <xdr:cNvCxnSpPr>
              <a:cxnSpLocks noChangeShapeType="1"/>
            </xdr:cNvCxnSpPr>
          </xdr:nvCxnSpPr>
          <xdr:spPr bwMode="auto">
            <a:xfrm flipH="1">
              <a:off x="5455920" y="49705260"/>
              <a:ext cx="7620" cy="312420"/>
            </a:xfrm>
            <a:prstGeom prst="line">
              <a:avLst/>
            </a:prstGeom>
            <a:noFill/>
            <a:ln w="22225" algn="ctr">
              <a:solidFill>
                <a:srgbClr val="FF0000"/>
              </a:solidFill>
              <a:prstDash val="sysDash"/>
              <a:round/>
              <a:headEnd/>
              <a:tailEnd/>
            </a:ln>
          </xdr:spPr>
        </xdr:cxnSp>
        <xdr:cxnSp macro="">
          <xdr:nvCxnSpPr>
            <xdr:cNvPr id="59820814" name="Rechte verbindingslijn 464"/>
            <xdr:cNvCxnSpPr>
              <a:cxnSpLocks noChangeShapeType="1"/>
            </xdr:cNvCxnSpPr>
          </xdr:nvCxnSpPr>
          <xdr:spPr bwMode="auto">
            <a:xfrm>
              <a:off x="4419600" y="48547020"/>
              <a:ext cx="0" cy="1455420"/>
            </a:xfrm>
            <a:prstGeom prst="line">
              <a:avLst/>
            </a:prstGeom>
            <a:noFill/>
            <a:ln w="22225" algn="ctr">
              <a:solidFill>
                <a:srgbClr val="FF0000"/>
              </a:solidFill>
              <a:prstDash val="sysDash"/>
              <a:round/>
              <a:headEnd/>
              <a:tailEnd/>
            </a:ln>
          </xdr:spPr>
        </xdr:cxnSp>
        <xdr:sp macro="" textlink="">
          <xdr:nvSpPr>
            <xdr:cNvPr id="309" name="Tekstvak 308"/>
            <xdr:cNvSpPr txBox="1"/>
          </xdr:nvSpPr>
          <xdr:spPr bwMode="auto">
            <a:xfrm flipH="1">
              <a:off x="4297680" y="50028510"/>
              <a:ext cx="1645920" cy="3054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rgbClr val="FF0000"/>
                  </a:solidFill>
                </a:rPr>
                <a:t>A   </a:t>
              </a:r>
              <a:r>
                <a:rPr lang="nl-NL" sz="1100" b="1" baseline="0">
                  <a:solidFill>
                    <a:srgbClr val="FF0000"/>
                  </a:solidFill>
                </a:rPr>
                <a:t>    </a:t>
              </a:r>
              <a:r>
                <a:rPr lang="nl-NL" sz="1100" b="1">
                  <a:solidFill>
                    <a:srgbClr val="FF0000"/>
                  </a:solidFill>
                </a:rPr>
                <a:t> B   C      D      E      F</a:t>
              </a:r>
            </a:p>
          </xdr:txBody>
        </xdr:sp>
      </xdr:grpSp>
      <xdr:cxnSp macro="">
        <xdr:nvCxnSpPr>
          <xdr:cNvPr id="59820809" name="Rechte verbindingslijn 464"/>
          <xdr:cNvCxnSpPr>
            <a:cxnSpLocks noChangeShapeType="1"/>
          </xdr:cNvCxnSpPr>
        </xdr:nvCxnSpPr>
        <xdr:spPr bwMode="auto">
          <a:xfrm flipH="1">
            <a:off x="4914900" y="49126140"/>
            <a:ext cx="7620" cy="883920"/>
          </a:xfrm>
          <a:prstGeom prst="line">
            <a:avLst/>
          </a:prstGeom>
          <a:noFill/>
          <a:ln w="22225" algn="ctr">
            <a:solidFill>
              <a:srgbClr val="FF0000"/>
            </a:solidFill>
            <a:prstDash val="sysDash"/>
            <a:round/>
            <a:headEnd/>
            <a:tailEnd/>
          </a:ln>
        </xdr:spPr>
      </xdr:cxnSp>
    </xdr:grpSp>
    <xdr:clientData/>
  </xdr:twoCellAnchor>
  <xdr:twoCellAnchor>
    <xdr:from>
      <xdr:col>3</xdr:col>
      <xdr:colOff>144780</xdr:colOff>
      <xdr:row>418</xdr:row>
      <xdr:rowOff>137160</xdr:rowOff>
    </xdr:from>
    <xdr:to>
      <xdr:col>65</xdr:col>
      <xdr:colOff>7620</xdr:colOff>
      <xdr:row>428</xdr:row>
      <xdr:rowOff>137160</xdr:rowOff>
    </xdr:to>
    <xdr:grpSp>
      <xdr:nvGrpSpPr>
        <xdr:cNvPr id="59820491" name="Groep 377"/>
        <xdr:cNvGrpSpPr>
          <a:grpSpLocks/>
        </xdr:cNvGrpSpPr>
      </xdr:nvGrpSpPr>
      <xdr:grpSpPr bwMode="auto">
        <a:xfrm>
          <a:off x="464820" y="68320920"/>
          <a:ext cx="2834640" cy="2133600"/>
          <a:chOff x="472440" y="54978300"/>
          <a:chExt cx="2834640" cy="2133600"/>
        </a:xfrm>
      </xdr:grpSpPr>
      <xdr:grpSp>
        <xdr:nvGrpSpPr>
          <xdr:cNvPr id="59820794" name="Groep 330"/>
          <xdr:cNvGrpSpPr>
            <a:grpSpLocks/>
          </xdr:cNvGrpSpPr>
        </xdr:nvGrpSpPr>
        <xdr:grpSpPr bwMode="auto">
          <a:xfrm>
            <a:off x="472440" y="54978300"/>
            <a:ext cx="2834640" cy="2133600"/>
            <a:chOff x="6126480" y="55717440"/>
            <a:chExt cx="2834640" cy="2133600"/>
          </a:xfrm>
        </xdr:grpSpPr>
        <xdr:sp macro="" textlink="">
          <xdr:nvSpPr>
            <xdr:cNvPr id="108" name="Tekstvak 107"/>
            <xdr:cNvSpPr txBox="1"/>
          </xdr:nvSpPr>
          <xdr:spPr bwMode="auto">
            <a:xfrm>
              <a:off x="6126480" y="55824120"/>
              <a:ext cx="403860" cy="28194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nl-NL" sz="1200" b="1"/>
                <a:t>€ </a:t>
              </a:r>
            </a:p>
          </xdr:txBody>
        </xdr:sp>
        <xdr:grpSp>
          <xdr:nvGrpSpPr>
            <xdr:cNvPr id="59820797" name="Groep 329"/>
            <xdr:cNvGrpSpPr>
              <a:grpSpLocks/>
            </xdr:cNvGrpSpPr>
          </xdr:nvGrpSpPr>
          <xdr:grpSpPr bwMode="auto">
            <a:xfrm>
              <a:off x="6179820" y="55717440"/>
              <a:ext cx="2781300" cy="2133600"/>
              <a:chOff x="6179820" y="55717440"/>
              <a:chExt cx="2781300" cy="2133600"/>
            </a:xfrm>
          </xdr:grpSpPr>
          <xdr:cxnSp macro="">
            <xdr:nvCxnSpPr>
              <xdr:cNvPr id="59820798" name="Rechte verbindingslijn 94"/>
              <xdr:cNvCxnSpPr>
                <a:cxnSpLocks noChangeShapeType="1"/>
              </xdr:cNvCxnSpPr>
            </xdr:nvCxnSpPr>
            <xdr:spPr bwMode="auto">
              <a:xfrm>
                <a:off x="6477000" y="56479440"/>
                <a:ext cx="1203960" cy="1013460"/>
              </a:xfrm>
              <a:prstGeom prst="line">
                <a:avLst/>
              </a:prstGeom>
              <a:noFill/>
              <a:ln w="22225" algn="ctr">
                <a:solidFill>
                  <a:srgbClr val="000000"/>
                </a:solidFill>
                <a:round/>
                <a:headEnd/>
                <a:tailEnd/>
              </a:ln>
            </xdr:spPr>
          </xdr:cxnSp>
          <xdr:sp macro="" textlink="">
            <xdr:nvSpPr>
              <xdr:cNvPr id="59820799" name="Vrije vorm 118"/>
              <xdr:cNvSpPr>
                <a:spLocks/>
              </xdr:cNvSpPr>
            </xdr:nvSpPr>
            <xdr:spPr bwMode="auto">
              <a:xfrm>
                <a:off x="6629400" y="56113680"/>
                <a:ext cx="1524000" cy="1066800"/>
              </a:xfrm>
              <a:custGeom>
                <a:avLst/>
                <a:gdLst>
                  <a:gd name="T0" fmla="*/ 0 w 1762125"/>
                  <a:gd name="T1" fmla="*/ 0 h 1285875"/>
                  <a:gd name="T2" fmla="*/ 1 w 1762125"/>
                  <a:gd name="T3" fmla="*/ 1 h 1285875"/>
                  <a:gd name="T4" fmla="*/ 1 w 1762125"/>
                  <a:gd name="T5" fmla="*/ 1 h 1285875"/>
                  <a:gd name="T6" fmla="*/ 0 60000 65536"/>
                  <a:gd name="T7" fmla="*/ 0 60000 65536"/>
                  <a:gd name="T8" fmla="*/ 0 60000 65536"/>
                  <a:gd name="T9" fmla="*/ 0 w 1762125"/>
                  <a:gd name="T10" fmla="*/ 0 h 1285875"/>
                  <a:gd name="T11" fmla="*/ 1762125 w 1762125"/>
                  <a:gd name="T12" fmla="*/ 1285875 h 1285875"/>
                </a:gdLst>
                <a:ahLst/>
                <a:cxnLst>
                  <a:cxn ang="T6">
                    <a:pos x="T0" y="T1"/>
                  </a:cxn>
                  <a:cxn ang="T7">
                    <a:pos x="T2" y="T3"/>
                  </a:cxn>
                  <a:cxn ang="T8">
                    <a:pos x="T4" y="T5"/>
                  </a:cxn>
                </a:cxnLst>
                <a:rect l="T9" t="T10" r="T11" b="T12"/>
                <a:pathLst>
                  <a:path w="1762125" h="1285875">
                    <a:moveTo>
                      <a:pt x="0" y="0"/>
                    </a:moveTo>
                    <a:cubicBezTo>
                      <a:pt x="48419" y="354806"/>
                      <a:pt x="96838" y="709613"/>
                      <a:pt x="390525" y="923925"/>
                    </a:cubicBezTo>
                    <a:cubicBezTo>
                      <a:pt x="684212" y="1138237"/>
                      <a:pt x="1223168" y="1212056"/>
                      <a:pt x="1762125" y="1285875"/>
                    </a:cubicBezTo>
                  </a:path>
                </a:pathLst>
              </a:custGeom>
              <a:noFill/>
              <a:ln w="22225" cap="flat" cmpd="sng" algn="ctr">
                <a:solidFill>
                  <a:srgbClr val="000000"/>
                </a:solidFill>
                <a:prstDash val="solid"/>
                <a:round/>
                <a:headEnd type="none" w="med" len="med"/>
                <a:tailEnd type="none" w="med" len="med"/>
              </a:ln>
            </xdr:spPr>
          </xdr:sp>
          <xdr:cxnSp macro="">
            <xdr:nvCxnSpPr>
              <xdr:cNvPr id="59820800" name="Rechte verbindingslijn 94"/>
              <xdr:cNvCxnSpPr>
                <a:cxnSpLocks noChangeShapeType="1"/>
              </xdr:cNvCxnSpPr>
            </xdr:nvCxnSpPr>
            <xdr:spPr bwMode="auto">
              <a:xfrm>
                <a:off x="6461760" y="57256680"/>
                <a:ext cx="1676400" cy="0"/>
              </a:xfrm>
              <a:prstGeom prst="line">
                <a:avLst/>
              </a:prstGeom>
              <a:noFill/>
              <a:ln w="22225" algn="ctr">
                <a:solidFill>
                  <a:srgbClr val="000000"/>
                </a:solidFill>
                <a:round/>
                <a:headEnd/>
                <a:tailEnd/>
              </a:ln>
            </xdr:spPr>
          </xdr:cxnSp>
          <xdr:grpSp>
            <xdr:nvGrpSpPr>
              <xdr:cNvPr id="59820801" name="Groep 124"/>
              <xdr:cNvGrpSpPr>
                <a:grpSpLocks/>
              </xdr:cNvGrpSpPr>
            </xdr:nvGrpSpPr>
            <xdr:grpSpPr bwMode="auto">
              <a:xfrm>
                <a:off x="6355080" y="55862220"/>
                <a:ext cx="2606040" cy="1988820"/>
                <a:chOff x="3893820" y="17419320"/>
                <a:chExt cx="2606040" cy="1988820"/>
              </a:xfrm>
            </xdr:grpSpPr>
            <xdr:sp macro="" textlink="">
              <xdr:nvSpPr>
                <xdr:cNvPr id="114" name="Tekstvak 113"/>
                <xdr:cNvSpPr txBox="1"/>
              </xdr:nvSpPr>
              <xdr:spPr>
                <a:xfrm>
                  <a:off x="3893820" y="19011900"/>
                  <a:ext cx="260604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                                         afzet</a:t>
                  </a:r>
                </a:p>
              </xdr:txBody>
            </xdr:sp>
            <xdr:grpSp>
              <xdr:nvGrpSpPr>
                <xdr:cNvPr id="59820805" name="Groep 123"/>
                <xdr:cNvGrpSpPr>
                  <a:grpSpLocks/>
                </xdr:cNvGrpSpPr>
              </xdr:nvGrpSpPr>
              <xdr:grpSpPr bwMode="auto">
                <a:xfrm>
                  <a:off x="4000500" y="17419320"/>
                  <a:ext cx="1775460" cy="1623060"/>
                  <a:chOff x="4023360" y="17411700"/>
                  <a:chExt cx="1775460" cy="1623060"/>
                </a:xfrm>
              </xdr:grpSpPr>
              <xdr:cxnSp macro="">
                <xdr:nvCxnSpPr>
                  <xdr:cNvPr id="59820806" name="Rechte verbindingslijn 119"/>
                  <xdr:cNvCxnSpPr>
                    <a:cxnSpLocks noChangeShapeType="1"/>
                  </xdr:cNvCxnSpPr>
                </xdr:nvCxnSpPr>
                <xdr:spPr bwMode="auto">
                  <a:xfrm>
                    <a:off x="4023360" y="19034760"/>
                    <a:ext cx="1775460" cy="0"/>
                  </a:xfrm>
                  <a:prstGeom prst="line">
                    <a:avLst/>
                  </a:prstGeom>
                  <a:noFill/>
                  <a:ln w="22225" algn="ctr">
                    <a:solidFill>
                      <a:srgbClr val="000000"/>
                    </a:solidFill>
                    <a:round/>
                    <a:headEnd/>
                    <a:tailEnd/>
                  </a:ln>
                </xdr:spPr>
              </xdr:cxnSp>
              <xdr:cxnSp macro="">
                <xdr:nvCxnSpPr>
                  <xdr:cNvPr id="59820807" name="Rechte verbindingslijn 113"/>
                  <xdr:cNvCxnSpPr>
                    <a:cxnSpLocks noChangeShapeType="1"/>
                  </xdr:cNvCxnSpPr>
                </xdr:nvCxnSpPr>
                <xdr:spPr bwMode="auto">
                  <a:xfrm flipV="1">
                    <a:off x="4030980" y="17411700"/>
                    <a:ext cx="0" cy="1623060"/>
                  </a:xfrm>
                  <a:prstGeom prst="line">
                    <a:avLst/>
                  </a:prstGeom>
                  <a:noFill/>
                  <a:ln w="22225" algn="ctr">
                    <a:solidFill>
                      <a:srgbClr val="000000"/>
                    </a:solidFill>
                    <a:round/>
                    <a:headEnd/>
                    <a:tailEnd/>
                  </a:ln>
                </xdr:spPr>
              </xdr:cxnSp>
            </xdr:grpSp>
          </xdr:grpSp>
          <xdr:sp macro="" textlink="">
            <xdr:nvSpPr>
              <xdr:cNvPr id="59820802" name="Rechthoek 127"/>
              <xdr:cNvSpPr>
                <a:spLocks noChangeArrowheads="1"/>
              </xdr:cNvSpPr>
            </xdr:nvSpPr>
            <xdr:spPr bwMode="auto">
              <a:xfrm>
                <a:off x="6179820" y="55717440"/>
                <a:ext cx="2232660" cy="2133600"/>
              </a:xfrm>
              <a:prstGeom prst="rect">
                <a:avLst/>
              </a:prstGeom>
              <a:noFill/>
              <a:ln w="22225" algn="ctr">
                <a:solidFill>
                  <a:srgbClr val="000000"/>
                </a:solidFill>
                <a:round/>
                <a:headEnd/>
                <a:tailEnd/>
              </a:ln>
            </xdr:spPr>
          </xdr:sp>
          <xdr:cxnSp macro="">
            <xdr:nvCxnSpPr>
              <xdr:cNvPr id="59820803" name="Rechte verbindingslijn 94"/>
              <xdr:cNvCxnSpPr>
                <a:cxnSpLocks noChangeShapeType="1"/>
              </xdr:cNvCxnSpPr>
            </xdr:nvCxnSpPr>
            <xdr:spPr bwMode="auto">
              <a:xfrm>
                <a:off x="6469380" y="56479440"/>
                <a:ext cx="609600" cy="1021080"/>
              </a:xfrm>
              <a:prstGeom prst="line">
                <a:avLst/>
              </a:prstGeom>
              <a:noFill/>
              <a:ln w="22225" algn="ctr">
                <a:solidFill>
                  <a:srgbClr val="000000"/>
                </a:solidFill>
                <a:round/>
                <a:headEnd/>
                <a:tailEnd/>
              </a:ln>
            </xdr:spPr>
          </xdr:cxnSp>
        </xdr:grpSp>
      </xdr:grpSp>
      <xdr:sp macro="" textlink="">
        <xdr:nvSpPr>
          <xdr:cNvPr id="373" name="Tekstvak 372"/>
          <xdr:cNvSpPr txBox="1"/>
        </xdr:nvSpPr>
        <xdr:spPr bwMode="auto">
          <a:xfrm>
            <a:off x="2286000" y="55039260"/>
            <a:ext cx="411480" cy="3657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nl-NL" sz="2000" b="1">
                <a:solidFill>
                  <a:srgbClr val="FF0000"/>
                </a:solidFill>
              </a:rPr>
              <a:t>A </a:t>
            </a:r>
          </a:p>
        </xdr:txBody>
      </xdr:sp>
    </xdr:grpSp>
    <xdr:clientData/>
  </xdr:twoCellAnchor>
  <xdr:twoCellAnchor>
    <xdr:from>
      <xdr:col>57</xdr:col>
      <xdr:colOff>0</xdr:colOff>
      <xdr:row>418</xdr:row>
      <xdr:rowOff>137160</xdr:rowOff>
    </xdr:from>
    <xdr:to>
      <xdr:col>119</xdr:col>
      <xdr:colOff>0</xdr:colOff>
      <xdr:row>428</xdr:row>
      <xdr:rowOff>137160</xdr:rowOff>
    </xdr:to>
    <xdr:grpSp>
      <xdr:nvGrpSpPr>
        <xdr:cNvPr id="59820492" name="Groep 375"/>
        <xdr:cNvGrpSpPr>
          <a:grpSpLocks/>
        </xdr:cNvGrpSpPr>
      </xdr:nvGrpSpPr>
      <xdr:grpSpPr bwMode="auto">
        <a:xfrm>
          <a:off x="2926080" y="68320920"/>
          <a:ext cx="2834640" cy="2133600"/>
          <a:chOff x="3291840" y="54963060"/>
          <a:chExt cx="2834640" cy="2133600"/>
        </a:xfrm>
      </xdr:grpSpPr>
      <xdr:grpSp>
        <xdr:nvGrpSpPr>
          <xdr:cNvPr id="59820780" name="Groep 331"/>
          <xdr:cNvGrpSpPr>
            <a:grpSpLocks/>
          </xdr:cNvGrpSpPr>
        </xdr:nvGrpSpPr>
        <xdr:grpSpPr bwMode="auto">
          <a:xfrm>
            <a:off x="3291840" y="54963060"/>
            <a:ext cx="2834640" cy="2133600"/>
            <a:chOff x="6126480" y="55717440"/>
            <a:chExt cx="2834640" cy="2133600"/>
          </a:xfrm>
        </xdr:grpSpPr>
        <xdr:sp macro="" textlink="">
          <xdr:nvSpPr>
            <xdr:cNvPr id="333" name="Tekstvak 332"/>
            <xdr:cNvSpPr txBox="1"/>
          </xdr:nvSpPr>
          <xdr:spPr bwMode="auto">
            <a:xfrm>
              <a:off x="6126480" y="55824120"/>
              <a:ext cx="403860" cy="28194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nl-NL" sz="1200" b="1"/>
                <a:t>€ </a:t>
              </a:r>
            </a:p>
          </xdr:txBody>
        </xdr:sp>
        <xdr:grpSp>
          <xdr:nvGrpSpPr>
            <xdr:cNvPr id="59820783" name="Groep 329"/>
            <xdr:cNvGrpSpPr>
              <a:grpSpLocks/>
            </xdr:cNvGrpSpPr>
          </xdr:nvGrpSpPr>
          <xdr:grpSpPr bwMode="auto">
            <a:xfrm>
              <a:off x="6179820" y="55717440"/>
              <a:ext cx="2781300" cy="2133600"/>
              <a:chOff x="6179820" y="55717440"/>
              <a:chExt cx="2781300" cy="2133600"/>
            </a:xfrm>
          </xdr:grpSpPr>
          <xdr:cxnSp macro="">
            <xdr:nvCxnSpPr>
              <xdr:cNvPr id="59820784" name="Rechte verbindingslijn 94"/>
              <xdr:cNvCxnSpPr>
                <a:cxnSpLocks noChangeShapeType="1"/>
              </xdr:cNvCxnSpPr>
            </xdr:nvCxnSpPr>
            <xdr:spPr bwMode="auto">
              <a:xfrm>
                <a:off x="6484620" y="56197500"/>
                <a:ext cx="792480" cy="1295400"/>
              </a:xfrm>
              <a:prstGeom prst="line">
                <a:avLst/>
              </a:prstGeom>
              <a:noFill/>
              <a:ln w="22225" algn="ctr">
                <a:solidFill>
                  <a:srgbClr val="000000"/>
                </a:solidFill>
                <a:round/>
                <a:headEnd/>
                <a:tailEnd/>
              </a:ln>
            </xdr:spPr>
          </xdr:cxnSp>
          <xdr:sp macro="" textlink="">
            <xdr:nvSpPr>
              <xdr:cNvPr id="59820785" name="Vrije vorm 118"/>
              <xdr:cNvSpPr>
                <a:spLocks/>
              </xdr:cNvSpPr>
            </xdr:nvSpPr>
            <xdr:spPr bwMode="auto">
              <a:xfrm>
                <a:off x="6629400" y="56113680"/>
                <a:ext cx="1524000" cy="1066800"/>
              </a:xfrm>
              <a:custGeom>
                <a:avLst/>
                <a:gdLst>
                  <a:gd name="T0" fmla="*/ 0 w 1762125"/>
                  <a:gd name="T1" fmla="*/ 0 h 1285875"/>
                  <a:gd name="T2" fmla="*/ 1 w 1762125"/>
                  <a:gd name="T3" fmla="*/ 1 h 1285875"/>
                  <a:gd name="T4" fmla="*/ 1 w 1762125"/>
                  <a:gd name="T5" fmla="*/ 1 h 1285875"/>
                  <a:gd name="T6" fmla="*/ 0 60000 65536"/>
                  <a:gd name="T7" fmla="*/ 0 60000 65536"/>
                  <a:gd name="T8" fmla="*/ 0 60000 65536"/>
                  <a:gd name="T9" fmla="*/ 0 w 1762125"/>
                  <a:gd name="T10" fmla="*/ 0 h 1285875"/>
                  <a:gd name="T11" fmla="*/ 1762125 w 1762125"/>
                  <a:gd name="T12" fmla="*/ 1285875 h 1285875"/>
                </a:gdLst>
                <a:ahLst/>
                <a:cxnLst>
                  <a:cxn ang="T6">
                    <a:pos x="T0" y="T1"/>
                  </a:cxn>
                  <a:cxn ang="T7">
                    <a:pos x="T2" y="T3"/>
                  </a:cxn>
                  <a:cxn ang="T8">
                    <a:pos x="T4" y="T5"/>
                  </a:cxn>
                </a:cxnLst>
                <a:rect l="T9" t="T10" r="T11" b="T12"/>
                <a:pathLst>
                  <a:path w="1762125" h="1285875">
                    <a:moveTo>
                      <a:pt x="0" y="0"/>
                    </a:moveTo>
                    <a:cubicBezTo>
                      <a:pt x="48419" y="354806"/>
                      <a:pt x="96838" y="709613"/>
                      <a:pt x="390525" y="923925"/>
                    </a:cubicBezTo>
                    <a:cubicBezTo>
                      <a:pt x="684212" y="1138237"/>
                      <a:pt x="1223168" y="1212056"/>
                      <a:pt x="1762125" y="1285875"/>
                    </a:cubicBezTo>
                  </a:path>
                </a:pathLst>
              </a:custGeom>
              <a:noFill/>
              <a:ln w="22225" cap="flat" cmpd="sng" algn="ctr">
                <a:solidFill>
                  <a:srgbClr val="000000"/>
                </a:solidFill>
                <a:prstDash val="solid"/>
                <a:round/>
                <a:headEnd type="none" w="med" len="med"/>
                <a:tailEnd type="none" w="med" len="med"/>
              </a:ln>
            </xdr:spPr>
          </xdr:sp>
          <xdr:cxnSp macro="">
            <xdr:nvCxnSpPr>
              <xdr:cNvPr id="59820786" name="Rechte verbindingslijn 94"/>
              <xdr:cNvCxnSpPr>
                <a:cxnSpLocks noChangeShapeType="1"/>
              </xdr:cNvCxnSpPr>
            </xdr:nvCxnSpPr>
            <xdr:spPr bwMode="auto">
              <a:xfrm>
                <a:off x="6461760" y="57256680"/>
                <a:ext cx="1676400" cy="0"/>
              </a:xfrm>
              <a:prstGeom prst="line">
                <a:avLst/>
              </a:prstGeom>
              <a:noFill/>
              <a:ln w="22225" algn="ctr">
                <a:solidFill>
                  <a:srgbClr val="000000"/>
                </a:solidFill>
                <a:round/>
                <a:headEnd/>
                <a:tailEnd/>
              </a:ln>
            </xdr:spPr>
          </xdr:cxnSp>
          <xdr:grpSp>
            <xdr:nvGrpSpPr>
              <xdr:cNvPr id="59820787" name="Groep 124"/>
              <xdr:cNvGrpSpPr>
                <a:grpSpLocks/>
              </xdr:cNvGrpSpPr>
            </xdr:nvGrpSpPr>
            <xdr:grpSpPr bwMode="auto">
              <a:xfrm>
                <a:off x="6355080" y="55862220"/>
                <a:ext cx="2606040" cy="1988820"/>
                <a:chOff x="3893820" y="17419320"/>
                <a:chExt cx="2606040" cy="1988820"/>
              </a:xfrm>
            </xdr:grpSpPr>
            <xdr:sp macro="" textlink="">
              <xdr:nvSpPr>
                <xdr:cNvPr id="341" name="Tekstvak 340"/>
                <xdr:cNvSpPr txBox="1"/>
              </xdr:nvSpPr>
              <xdr:spPr>
                <a:xfrm>
                  <a:off x="3893820" y="19011900"/>
                  <a:ext cx="260604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                                         afzet</a:t>
                  </a:r>
                </a:p>
              </xdr:txBody>
            </xdr:sp>
            <xdr:grpSp>
              <xdr:nvGrpSpPr>
                <xdr:cNvPr id="59820791" name="Groep 123"/>
                <xdr:cNvGrpSpPr>
                  <a:grpSpLocks/>
                </xdr:cNvGrpSpPr>
              </xdr:nvGrpSpPr>
              <xdr:grpSpPr bwMode="auto">
                <a:xfrm>
                  <a:off x="4000500" y="17419320"/>
                  <a:ext cx="1775460" cy="1623060"/>
                  <a:chOff x="4023360" y="17411700"/>
                  <a:chExt cx="1775460" cy="1623060"/>
                </a:xfrm>
              </xdr:grpSpPr>
              <xdr:cxnSp macro="">
                <xdr:nvCxnSpPr>
                  <xdr:cNvPr id="59820792" name="Rechte verbindingslijn 119"/>
                  <xdr:cNvCxnSpPr>
                    <a:cxnSpLocks noChangeShapeType="1"/>
                  </xdr:cNvCxnSpPr>
                </xdr:nvCxnSpPr>
                <xdr:spPr bwMode="auto">
                  <a:xfrm>
                    <a:off x="4023360" y="19034760"/>
                    <a:ext cx="1775460" cy="0"/>
                  </a:xfrm>
                  <a:prstGeom prst="line">
                    <a:avLst/>
                  </a:prstGeom>
                  <a:noFill/>
                  <a:ln w="22225" algn="ctr">
                    <a:solidFill>
                      <a:srgbClr val="000000"/>
                    </a:solidFill>
                    <a:round/>
                    <a:headEnd/>
                    <a:tailEnd/>
                  </a:ln>
                </xdr:spPr>
              </xdr:cxnSp>
              <xdr:cxnSp macro="">
                <xdr:nvCxnSpPr>
                  <xdr:cNvPr id="59820793" name="Rechte verbindingslijn 113"/>
                  <xdr:cNvCxnSpPr>
                    <a:cxnSpLocks noChangeShapeType="1"/>
                  </xdr:cNvCxnSpPr>
                </xdr:nvCxnSpPr>
                <xdr:spPr bwMode="auto">
                  <a:xfrm flipV="1">
                    <a:off x="4030980" y="17411700"/>
                    <a:ext cx="0" cy="1623060"/>
                  </a:xfrm>
                  <a:prstGeom prst="line">
                    <a:avLst/>
                  </a:prstGeom>
                  <a:noFill/>
                  <a:ln w="22225" algn="ctr">
                    <a:solidFill>
                      <a:srgbClr val="000000"/>
                    </a:solidFill>
                    <a:round/>
                    <a:headEnd/>
                    <a:tailEnd/>
                  </a:ln>
                </xdr:spPr>
              </xdr:cxnSp>
            </xdr:grpSp>
          </xdr:grpSp>
          <xdr:sp macro="" textlink="">
            <xdr:nvSpPr>
              <xdr:cNvPr id="59820788" name="Rechthoek 127"/>
              <xdr:cNvSpPr>
                <a:spLocks noChangeArrowheads="1"/>
              </xdr:cNvSpPr>
            </xdr:nvSpPr>
            <xdr:spPr bwMode="auto">
              <a:xfrm>
                <a:off x="6179820" y="55717440"/>
                <a:ext cx="2225040" cy="2133600"/>
              </a:xfrm>
              <a:prstGeom prst="rect">
                <a:avLst/>
              </a:prstGeom>
              <a:noFill/>
              <a:ln w="22225" algn="ctr">
                <a:solidFill>
                  <a:srgbClr val="000000"/>
                </a:solidFill>
                <a:round/>
                <a:headEnd/>
                <a:tailEnd/>
              </a:ln>
            </xdr:spPr>
          </xdr:sp>
          <xdr:cxnSp macro="">
            <xdr:nvCxnSpPr>
              <xdr:cNvPr id="59820789" name="Rechte verbindingslijn 94"/>
              <xdr:cNvCxnSpPr>
                <a:cxnSpLocks noChangeShapeType="1"/>
              </xdr:cNvCxnSpPr>
            </xdr:nvCxnSpPr>
            <xdr:spPr bwMode="auto">
              <a:xfrm>
                <a:off x="6469380" y="56174640"/>
                <a:ext cx="1615440" cy="1318260"/>
              </a:xfrm>
              <a:prstGeom prst="line">
                <a:avLst/>
              </a:prstGeom>
              <a:noFill/>
              <a:ln w="22225" algn="ctr">
                <a:solidFill>
                  <a:srgbClr val="000000"/>
                </a:solidFill>
                <a:round/>
                <a:headEnd/>
                <a:tailEnd/>
              </a:ln>
            </xdr:spPr>
          </xdr:cxnSp>
        </xdr:grpSp>
      </xdr:grpSp>
      <xdr:sp macro="" textlink="">
        <xdr:nvSpPr>
          <xdr:cNvPr id="374" name="Tekstvak 373"/>
          <xdr:cNvSpPr txBox="1"/>
        </xdr:nvSpPr>
        <xdr:spPr bwMode="auto">
          <a:xfrm>
            <a:off x="5059680" y="55024020"/>
            <a:ext cx="396240" cy="3657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nl-NL" sz="2000" b="1">
                <a:solidFill>
                  <a:srgbClr val="FF0000"/>
                </a:solidFill>
              </a:rPr>
              <a:t>B </a:t>
            </a:r>
          </a:p>
        </xdr:txBody>
      </xdr:sp>
    </xdr:grpSp>
    <xdr:clientData/>
  </xdr:twoCellAnchor>
  <xdr:twoCellAnchor>
    <xdr:from>
      <xdr:col>110</xdr:col>
      <xdr:colOff>38100</xdr:colOff>
      <xdr:row>418</xdr:row>
      <xdr:rowOff>121920</xdr:rowOff>
    </xdr:from>
    <xdr:to>
      <xdr:col>162</xdr:col>
      <xdr:colOff>175260</xdr:colOff>
      <xdr:row>428</xdr:row>
      <xdr:rowOff>121920</xdr:rowOff>
    </xdr:to>
    <xdr:grpSp>
      <xdr:nvGrpSpPr>
        <xdr:cNvPr id="59820493" name="Groep 376"/>
        <xdr:cNvGrpSpPr>
          <a:grpSpLocks/>
        </xdr:cNvGrpSpPr>
      </xdr:nvGrpSpPr>
      <xdr:grpSpPr bwMode="auto">
        <a:xfrm>
          <a:off x="5387340" y="68305680"/>
          <a:ext cx="2834640" cy="2133600"/>
          <a:chOff x="6073140" y="54963060"/>
          <a:chExt cx="2834640" cy="2133600"/>
        </a:xfrm>
      </xdr:grpSpPr>
      <xdr:grpSp>
        <xdr:nvGrpSpPr>
          <xdr:cNvPr id="59820766" name="Groep 346"/>
          <xdr:cNvGrpSpPr>
            <a:grpSpLocks/>
          </xdr:cNvGrpSpPr>
        </xdr:nvGrpSpPr>
        <xdr:grpSpPr bwMode="auto">
          <a:xfrm>
            <a:off x="6073140" y="54963060"/>
            <a:ext cx="2834640" cy="2133600"/>
            <a:chOff x="6126480" y="55717440"/>
            <a:chExt cx="2834640" cy="2133600"/>
          </a:xfrm>
        </xdr:grpSpPr>
        <xdr:sp macro="" textlink="">
          <xdr:nvSpPr>
            <xdr:cNvPr id="348" name="Tekstvak 347"/>
            <xdr:cNvSpPr txBox="1"/>
          </xdr:nvSpPr>
          <xdr:spPr bwMode="auto">
            <a:xfrm>
              <a:off x="6126480" y="55824120"/>
              <a:ext cx="403860" cy="28194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nl-NL" sz="1200" b="1"/>
                <a:t>€ </a:t>
              </a:r>
            </a:p>
          </xdr:txBody>
        </xdr:sp>
        <xdr:grpSp>
          <xdr:nvGrpSpPr>
            <xdr:cNvPr id="59820769" name="Groep 329"/>
            <xdr:cNvGrpSpPr>
              <a:grpSpLocks/>
            </xdr:cNvGrpSpPr>
          </xdr:nvGrpSpPr>
          <xdr:grpSpPr bwMode="auto">
            <a:xfrm>
              <a:off x="6179820" y="55717440"/>
              <a:ext cx="2781300" cy="2133600"/>
              <a:chOff x="6179820" y="55717440"/>
              <a:chExt cx="2781300" cy="2133600"/>
            </a:xfrm>
          </xdr:grpSpPr>
          <xdr:cxnSp macro="">
            <xdr:nvCxnSpPr>
              <xdr:cNvPr id="59820770" name="Rechte verbindingslijn 94"/>
              <xdr:cNvCxnSpPr>
                <a:cxnSpLocks noChangeShapeType="1"/>
              </xdr:cNvCxnSpPr>
            </xdr:nvCxnSpPr>
            <xdr:spPr bwMode="auto">
              <a:xfrm>
                <a:off x="6469380" y="56212740"/>
                <a:ext cx="594360" cy="1272540"/>
              </a:xfrm>
              <a:prstGeom prst="line">
                <a:avLst/>
              </a:prstGeom>
              <a:noFill/>
              <a:ln w="22225" algn="ctr">
                <a:solidFill>
                  <a:srgbClr val="000000"/>
                </a:solidFill>
                <a:round/>
                <a:headEnd/>
                <a:tailEnd/>
              </a:ln>
            </xdr:spPr>
          </xdr:cxnSp>
          <xdr:sp macro="" textlink="">
            <xdr:nvSpPr>
              <xdr:cNvPr id="59820771" name="Vrije vorm 118"/>
              <xdr:cNvSpPr>
                <a:spLocks/>
              </xdr:cNvSpPr>
            </xdr:nvSpPr>
            <xdr:spPr bwMode="auto">
              <a:xfrm>
                <a:off x="6629400" y="56113680"/>
                <a:ext cx="1524000" cy="1066800"/>
              </a:xfrm>
              <a:custGeom>
                <a:avLst/>
                <a:gdLst>
                  <a:gd name="T0" fmla="*/ 0 w 1762125"/>
                  <a:gd name="T1" fmla="*/ 0 h 1285875"/>
                  <a:gd name="T2" fmla="*/ 1 w 1762125"/>
                  <a:gd name="T3" fmla="*/ 1 h 1285875"/>
                  <a:gd name="T4" fmla="*/ 1 w 1762125"/>
                  <a:gd name="T5" fmla="*/ 1 h 1285875"/>
                  <a:gd name="T6" fmla="*/ 0 60000 65536"/>
                  <a:gd name="T7" fmla="*/ 0 60000 65536"/>
                  <a:gd name="T8" fmla="*/ 0 60000 65536"/>
                  <a:gd name="T9" fmla="*/ 0 w 1762125"/>
                  <a:gd name="T10" fmla="*/ 0 h 1285875"/>
                  <a:gd name="T11" fmla="*/ 1762125 w 1762125"/>
                  <a:gd name="T12" fmla="*/ 1285875 h 1285875"/>
                </a:gdLst>
                <a:ahLst/>
                <a:cxnLst>
                  <a:cxn ang="T6">
                    <a:pos x="T0" y="T1"/>
                  </a:cxn>
                  <a:cxn ang="T7">
                    <a:pos x="T2" y="T3"/>
                  </a:cxn>
                  <a:cxn ang="T8">
                    <a:pos x="T4" y="T5"/>
                  </a:cxn>
                </a:cxnLst>
                <a:rect l="T9" t="T10" r="T11" b="T12"/>
                <a:pathLst>
                  <a:path w="1762125" h="1285875">
                    <a:moveTo>
                      <a:pt x="0" y="0"/>
                    </a:moveTo>
                    <a:cubicBezTo>
                      <a:pt x="48419" y="354806"/>
                      <a:pt x="96838" y="709613"/>
                      <a:pt x="390525" y="923925"/>
                    </a:cubicBezTo>
                    <a:cubicBezTo>
                      <a:pt x="684212" y="1138237"/>
                      <a:pt x="1223168" y="1212056"/>
                      <a:pt x="1762125" y="1285875"/>
                    </a:cubicBezTo>
                  </a:path>
                </a:pathLst>
              </a:custGeom>
              <a:noFill/>
              <a:ln w="22225" cap="flat" cmpd="sng" algn="ctr">
                <a:solidFill>
                  <a:srgbClr val="000000"/>
                </a:solidFill>
                <a:prstDash val="solid"/>
                <a:round/>
                <a:headEnd type="none" w="med" len="med"/>
                <a:tailEnd type="none" w="med" len="med"/>
              </a:ln>
            </xdr:spPr>
          </xdr:sp>
          <xdr:cxnSp macro="">
            <xdr:nvCxnSpPr>
              <xdr:cNvPr id="59820772" name="Rechte verbindingslijn 94"/>
              <xdr:cNvCxnSpPr>
                <a:cxnSpLocks noChangeShapeType="1"/>
              </xdr:cNvCxnSpPr>
            </xdr:nvCxnSpPr>
            <xdr:spPr bwMode="auto">
              <a:xfrm>
                <a:off x="6461760" y="57256680"/>
                <a:ext cx="1676400" cy="0"/>
              </a:xfrm>
              <a:prstGeom prst="line">
                <a:avLst/>
              </a:prstGeom>
              <a:noFill/>
              <a:ln w="22225" algn="ctr">
                <a:solidFill>
                  <a:srgbClr val="000000"/>
                </a:solidFill>
                <a:round/>
                <a:headEnd/>
                <a:tailEnd/>
              </a:ln>
            </xdr:spPr>
          </xdr:cxnSp>
          <xdr:grpSp>
            <xdr:nvGrpSpPr>
              <xdr:cNvPr id="59820773" name="Groep 124"/>
              <xdr:cNvGrpSpPr>
                <a:grpSpLocks/>
              </xdr:cNvGrpSpPr>
            </xdr:nvGrpSpPr>
            <xdr:grpSpPr bwMode="auto">
              <a:xfrm>
                <a:off x="6355080" y="55862220"/>
                <a:ext cx="2606040" cy="1988820"/>
                <a:chOff x="3893820" y="17419320"/>
                <a:chExt cx="2606040" cy="1988820"/>
              </a:xfrm>
            </xdr:grpSpPr>
            <xdr:sp macro="" textlink="">
              <xdr:nvSpPr>
                <xdr:cNvPr id="356" name="Tekstvak 355"/>
                <xdr:cNvSpPr txBox="1"/>
              </xdr:nvSpPr>
              <xdr:spPr>
                <a:xfrm>
                  <a:off x="3893820" y="19011900"/>
                  <a:ext cx="260604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                                         afzet</a:t>
                  </a:r>
                </a:p>
              </xdr:txBody>
            </xdr:sp>
            <xdr:grpSp>
              <xdr:nvGrpSpPr>
                <xdr:cNvPr id="59820777" name="Groep 123"/>
                <xdr:cNvGrpSpPr>
                  <a:grpSpLocks/>
                </xdr:cNvGrpSpPr>
              </xdr:nvGrpSpPr>
              <xdr:grpSpPr bwMode="auto">
                <a:xfrm>
                  <a:off x="4000500" y="17419320"/>
                  <a:ext cx="1775460" cy="1623060"/>
                  <a:chOff x="4023360" y="17411700"/>
                  <a:chExt cx="1775460" cy="1623060"/>
                </a:xfrm>
              </xdr:grpSpPr>
              <xdr:cxnSp macro="">
                <xdr:nvCxnSpPr>
                  <xdr:cNvPr id="59820778" name="Rechte verbindingslijn 119"/>
                  <xdr:cNvCxnSpPr>
                    <a:cxnSpLocks noChangeShapeType="1"/>
                  </xdr:cNvCxnSpPr>
                </xdr:nvCxnSpPr>
                <xdr:spPr bwMode="auto">
                  <a:xfrm>
                    <a:off x="4023360" y="19034760"/>
                    <a:ext cx="1775460" cy="0"/>
                  </a:xfrm>
                  <a:prstGeom prst="line">
                    <a:avLst/>
                  </a:prstGeom>
                  <a:noFill/>
                  <a:ln w="22225" algn="ctr">
                    <a:solidFill>
                      <a:srgbClr val="000000"/>
                    </a:solidFill>
                    <a:round/>
                    <a:headEnd/>
                    <a:tailEnd/>
                  </a:ln>
                </xdr:spPr>
              </xdr:cxnSp>
              <xdr:cxnSp macro="">
                <xdr:nvCxnSpPr>
                  <xdr:cNvPr id="59820779" name="Rechte verbindingslijn 113"/>
                  <xdr:cNvCxnSpPr>
                    <a:cxnSpLocks noChangeShapeType="1"/>
                  </xdr:cNvCxnSpPr>
                </xdr:nvCxnSpPr>
                <xdr:spPr bwMode="auto">
                  <a:xfrm flipV="1">
                    <a:off x="4030980" y="17411700"/>
                    <a:ext cx="0" cy="1623060"/>
                  </a:xfrm>
                  <a:prstGeom prst="line">
                    <a:avLst/>
                  </a:prstGeom>
                  <a:noFill/>
                  <a:ln w="22225" algn="ctr">
                    <a:solidFill>
                      <a:srgbClr val="000000"/>
                    </a:solidFill>
                    <a:round/>
                    <a:headEnd/>
                    <a:tailEnd/>
                  </a:ln>
                </xdr:spPr>
              </xdr:cxnSp>
            </xdr:grpSp>
          </xdr:grpSp>
          <xdr:sp macro="" textlink="">
            <xdr:nvSpPr>
              <xdr:cNvPr id="59820774" name="Rechthoek 127"/>
              <xdr:cNvSpPr>
                <a:spLocks noChangeArrowheads="1"/>
              </xdr:cNvSpPr>
            </xdr:nvSpPr>
            <xdr:spPr bwMode="auto">
              <a:xfrm>
                <a:off x="6179820" y="55717440"/>
                <a:ext cx="2217420" cy="2133600"/>
              </a:xfrm>
              <a:prstGeom prst="rect">
                <a:avLst/>
              </a:prstGeom>
              <a:noFill/>
              <a:ln w="22225" algn="ctr">
                <a:solidFill>
                  <a:srgbClr val="000000"/>
                </a:solidFill>
                <a:round/>
                <a:headEnd/>
                <a:tailEnd/>
              </a:ln>
            </xdr:spPr>
          </xdr:sp>
          <xdr:cxnSp macro="">
            <xdr:nvCxnSpPr>
              <xdr:cNvPr id="59820775" name="Rechte verbindingslijn 94"/>
              <xdr:cNvCxnSpPr>
                <a:cxnSpLocks noChangeShapeType="1"/>
              </xdr:cNvCxnSpPr>
            </xdr:nvCxnSpPr>
            <xdr:spPr bwMode="auto">
              <a:xfrm>
                <a:off x="6469380" y="56205120"/>
                <a:ext cx="1188720" cy="1280160"/>
              </a:xfrm>
              <a:prstGeom prst="line">
                <a:avLst/>
              </a:prstGeom>
              <a:noFill/>
              <a:ln w="22225" algn="ctr">
                <a:solidFill>
                  <a:srgbClr val="000000"/>
                </a:solidFill>
                <a:round/>
                <a:headEnd/>
                <a:tailEnd/>
              </a:ln>
            </xdr:spPr>
          </xdr:cxnSp>
        </xdr:grpSp>
      </xdr:grpSp>
      <xdr:sp macro="" textlink="">
        <xdr:nvSpPr>
          <xdr:cNvPr id="375" name="Tekstvak 374"/>
          <xdr:cNvSpPr txBox="1"/>
        </xdr:nvSpPr>
        <xdr:spPr bwMode="auto">
          <a:xfrm>
            <a:off x="7833360" y="55031640"/>
            <a:ext cx="403860" cy="3657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nl-NL" sz="2000" b="1">
                <a:solidFill>
                  <a:srgbClr val="FF0000"/>
                </a:solidFill>
              </a:rPr>
              <a:t>C </a:t>
            </a:r>
          </a:p>
        </xdr:txBody>
      </xdr:sp>
    </xdr:grpSp>
    <xdr:clientData/>
  </xdr:twoCellAnchor>
  <xdr:twoCellAnchor>
    <xdr:from>
      <xdr:col>71</xdr:col>
      <xdr:colOff>7620</xdr:colOff>
      <xdr:row>434</xdr:row>
      <xdr:rowOff>0</xdr:rowOff>
    </xdr:from>
    <xdr:to>
      <xdr:col>132</xdr:col>
      <xdr:colOff>7620</xdr:colOff>
      <xdr:row>446</xdr:row>
      <xdr:rowOff>0</xdr:rowOff>
    </xdr:to>
    <xdr:grpSp>
      <xdr:nvGrpSpPr>
        <xdr:cNvPr id="59820494" name="Groep 285"/>
        <xdr:cNvGrpSpPr>
          <a:grpSpLocks/>
        </xdr:cNvGrpSpPr>
      </xdr:nvGrpSpPr>
      <xdr:grpSpPr bwMode="auto">
        <a:xfrm>
          <a:off x="3573780" y="71254620"/>
          <a:ext cx="2788920" cy="2560320"/>
          <a:chOff x="3581399" y="24726900"/>
          <a:chExt cx="2788921" cy="2560320"/>
        </a:xfrm>
      </xdr:grpSpPr>
      <xdr:grpSp>
        <xdr:nvGrpSpPr>
          <xdr:cNvPr id="59820748" name="Groep 283"/>
          <xdr:cNvGrpSpPr>
            <a:grpSpLocks/>
          </xdr:cNvGrpSpPr>
        </xdr:nvGrpSpPr>
        <xdr:grpSpPr bwMode="auto">
          <a:xfrm>
            <a:off x="3581399" y="24726900"/>
            <a:ext cx="2788921" cy="2560320"/>
            <a:chOff x="3581399" y="24726900"/>
            <a:chExt cx="2788921" cy="2560320"/>
          </a:xfrm>
        </xdr:grpSpPr>
        <xdr:grpSp>
          <xdr:nvGrpSpPr>
            <xdr:cNvPr id="59820750" name="Groep 162"/>
            <xdr:cNvGrpSpPr>
              <a:grpSpLocks/>
            </xdr:cNvGrpSpPr>
          </xdr:nvGrpSpPr>
          <xdr:grpSpPr bwMode="auto">
            <a:xfrm>
              <a:off x="3581399" y="24726900"/>
              <a:ext cx="2766059" cy="2560320"/>
              <a:chOff x="3611879" y="9235440"/>
              <a:chExt cx="2766059" cy="2545085"/>
            </a:xfrm>
          </xdr:grpSpPr>
          <xdr:grpSp>
            <xdr:nvGrpSpPr>
              <xdr:cNvPr id="59820753" name="Groep 159"/>
              <xdr:cNvGrpSpPr>
                <a:grpSpLocks/>
              </xdr:cNvGrpSpPr>
            </xdr:nvGrpSpPr>
            <xdr:grpSpPr bwMode="auto">
              <a:xfrm>
                <a:off x="3611879" y="9235440"/>
                <a:ext cx="2766059" cy="2545085"/>
                <a:chOff x="6233159" y="9090660"/>
                <a:chExt cx="2766059" cy="2545085"/>
              </a:xfrm>
            </xdr:grpSpPr>
            <xdr:grpSp>
              <xdr:nvGrpSpPr>
                <xdr:cNvPr id="59820755" name="Groep 140"/>
                <xdr:cNvGrpSpPr>
                  <a:grpSpLocks/>
                </xdr:cNvGrpSpPr>
              </xdr:nvGrpSpPr>
              <xdr:grpSpPr bwMode="auto">
                <a:xfrm>
                  <a:off x="6233159" y="9090660"/>
                  <a:ext cx="2766059" cy="2545085"/>
                  <a:chOff x="5638799" y="8679177"/>
                  <a:chExt cx="2766059" cy="2545085"/>
                </a:xfrm>
              </xdr:grpSpPr>
              <xdr:grpSp>
                <xdr:nvGrpSpPr>
                  <xdr:cNvPr id="59820758" name="Groep 157"/>
                  <xdr:cNvGrpSpPr>
                    <a:grpSpLocks/>
                  </xdr:cNvGrpSpPr>
                </xdr:nvGrpSpPr>
                <xdr:grpSpPr bwMode="auto">
                  <a:xfrm>
                    <a:off x="6134100" y="8883674"/>
                    <a:ext cx="1889760" cy="1913866"/>
                    <a:chOff x="4015740" y="9249434"/>
                    <a:chExt cx="1889760" cy="1913866"/>
                  </a:xfrm>
                </xdr:grpSpPr>
                <xdr:cxnSp macro="">
                  <xdr:nvCxnSpPr>
                    <xdr:cNvPr id="59820762" name="Rechte verbindingslijn 11"/>
                    <xdr:cNvCxnSpPr>
                      <a:cxnSpLocks noChangeShapeType="1"/>
                    </xdr:cNvCxnSpPr>
                  </xdr:nvCxnSpPr>
                  <xdr:spPr bwMode="auto">
                    <a:xfrm>
                      <a:off x="4023360" y="10851702"/>
                      <a:ext cx="1742554" cy="0"/>
                    </a:xfrm>
                    <a:prstGeom prst="line">
                      <a:avLst/>
                    </a:prstGeom>
                    <a:noFill/>
                    <a:ln w="22225" algn="ctr">
                      <a:solidFill>
                        <a:srgbClr val="000000"/>
                      </a:solidFill>
                      <a:round/>
                      <a:headEnd/>
                      <a:tailEnd/>
                    </a:ln>
                  </xdr:spPr>
                </xdr:cxnSp>
                <xdr:sp macro="" textlink="">
                  <xdr:nvSpPr>
                    <xdr:cNvPr id="59820763" name="Vrije vorm 21"/>
                    <xdr:cNvSpPr>
                      <a:spLocks/>
                    </xdr:cNvSpPr>
                  </xdr:nvSpPr>
                  <xdr:spPr bwMode="auto">
                    <a:xfrm>
                      <a:off x="4104264" y="9249434"/>
                      <a:ext cx="1661650" cy="1518306"/>
                    </a:xfrm>
                    <a:custGeom>
                      <a:avLst/>
                      <a:gdLst>
                        <a:gd name="T0" fmla="*/ 0 w 2057400"/>
                        <a:gd name="T1" fmla="*/ 0 h 1653540"/>
                        <a:gd name="T2" fmla="*/ 2 w 2057400"/>
                        <a:gd name="T3" fmla="*/ 6224 h 1653540"/>
                        <a:gd name="T4" fmla="*/ 3 w 2057400"/>
                        <a:gd name="T5" fmla="*/ 8336 h 1653540"/>
                        <a:gd name="T6" fmla="*/ 0 60000 65536"/>
                        <a:gd name="T7" fmla="*/ 0 60000 65536"/>
                        <a:gd name="T8" fmla="*/ 0 60000 65536"/>
                        <a:gd name="T9" fmla="*/ 0 w 2057400"/>
                        <a:gd name="T10" fmla="*/ 0 h 1653540"/>
                        <a:gd name="T11" fmla="*/ 2057400 w 2057400"/>
                        <a:gd name="T12" fmla="*/ 1653540 h 1653540"/>
                      </a:gdLst>
                      <a:ahLst/>
                      <a:cxnLst>
                        <a:cxn ang="T6">
                          <a:pos x="T0" y="T1"/>
                        </a:cxn>
                        <a:cxn ang="T7">
                          <a:pos x="T2" y="T3"/>
                        </a:cxn>
                        <a:cxn ang="T8">
                          <a:pos x="T4" y="T5"/>
                        </a:cxn>
                      </a:cxnLst>
                      <a:rect l="T9" t="T10" r="T11" b="T12"/>
                      <a:pathLst>
                        <a:path w="2057400" h="1653540">
                          <a:moveTo>
                            <a:pt x="0" y="0"/>
                          </a:moveTo>
                          <a:cubicBezTo>
                            <a:pt x="64770" y="479425"/>
                            <a:pt x="129540" y="958850"/>
                            <a:pt x="472440" y="1234440"/>
                          </a:cubicBezTo>
                          <a:cubicBezTo>
                            <a:pt x="815340" y="1510030"/>
                            <a:pt x="1436370" y="1581785"/>
                            <a:pt x="2057400" y="1653540"/>
                          </a:cubicBezTo>
                        </a:path>
                      </a:pathLst>
                    </a:custGeom>
                    <a:noFill/>
                    <a:ln w="34925" cap="flat" cmpd="sng" algn="ctr">
                      <a:solidFill>
                        <a:srgbClr val="000000"/>
                      </a:solidFill>
                      <a:prstDash val="solid"/>
                      <a:round/>
                      <a:headEnd type="none" w="med" len="med"/>
                      <a:tailEnd type="none" w="med" len="med"/>
                    </a:ln>
                  </xdr:spPr>
                </xdr:sp>
                <xdr:cxnSp macro="">
                  <xdr:nvCxnSpPr>
                    <xdr:cNvPr id="59820764" name="Rechte verbindingslijn 148"/>
                    <xdr:cNvCxnSpPr>
                      <a:cxnSpLocks noChangeShapeType="1"/>
                    </xdr:cNvCxnSpPr>
                  </xdr:nvCxnSpPr>
                  <xdr:spPr bwMode="auto">
                    <a:xfrm>
                      <a:off x="4015740" y="9250680"/>
                      <a:ext cx="0" cy="1912620"/>
                    </a:xfrm>
                    <a:prstGeom prst="line">
                      <a:avLst/>
                    </a:prstGeom>
                    <a:noFill/>
                    <a:ln w="22225" algn="ctr">
                      <a:solidFill>
                        <a:srgbClr val="000000"/>
                      </a:solidFill>
                      <a:round/>
                      <a:headEnd/>
                      <a:tailEnd/>
                    </a:ln>
                  </xdr:spPr>
                </xdr:cxnSp>
                <xdr:cxnSp macro="">
                  <xdr:nvCxnSpPr>
                    <xdr:cNvPr id="59820765" name="Rechte verbindingslijn 149"/>
                    <xdr:cNvCxnSpPr>
                      <a:cxnSpLocks noChangeShapeType="1"/>
                    </xdr:cNvCxnSpPr>
                  </xdr:nvCxnSpPr>
                  <xdr:spPr bwMode="auto">
                    <a:xfrm>
                      <a:off x="4023360" y="11155680"/>
                      <a:ext cx="1882140" cy="0"/>
                    </a:xfrm>
                    <a:prstGeom prst="line">
                      <a:avLst/>
                    </a:prstGeom>
                    <a:noFill/>
                    <a:ln w="22225" algn="ctr">
                      <a:solidFill>
                        <a:srgbClr val="000000"/>
                      </a:solidFill>
                      <a:round/>
                      <a:headEnd/>
                      <a:tailEnd/>
                    </a:ln>
                  </xdr:spPr>
                </xdr:cxnSp>
              </xdr:grpSp>
              <xdr:grpSp>
                <xdr:nvGrpSpPr>
                  <xdr:cNvPr id="59820759" name="Groep 128"/>
                  <xdr:cNvGrpSpPr>
                    <a:grpSpLocks/>
                  </xdr:cNvGrpSpPr>
                </xdr:nvGrpSpPr>
                <xdr:grpSpPr bwMode="auto">
                  <a:xfrm>
                    <a:off x="5638799" y="8679177"/>
                    <a:ext cx="2766059" cy="2545085"/>
                    <a:chOff x="3686464" y="16898752"/>
                    <a:chExt cx="2781911" cy="2143628"/>
                  </a:xfrm>
                </xdr:grpSpPr>
                <xdr:sp macro="" textlink="">
                  <xdr:nvSpPr>
                    <xdr:cNvPr id="393" name="Tekstvak 392"/>
                    <xdr:cNvSpPr txBox="1"/>
                  </xdr:nvSpPr>
                  <xdr:spPr bwMode="auto">
                    <a:xfrm>
                      <a:off x="4038993" y="18646830"/>
                      <a:ext cx="337202" cy="3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a:t>
                      </a:r>
                    </a:p>
                  </xdr:txBody>
                </xdr:sp>
                <xdr:sp macro="" textlink="">
                  <xdr:nvSpPr>
                    <xdr:cNvPr id="59820761" name="Rechthoek 127"/>
                    <xdr:cNvSpPr>
                      <a:spLocks noChangeArrowheads="1"/>
                    </xdr:cNvSpPr>
                  </xdr:nvSpPr>
                  <xdr:spPr bwMode="auto">
                    <a:xfrm>
                      <a:off x="3686464" y="16898752"/>
                      <a:ext cx="2781911" cy="2069419"/>
                    </a:xfrm>
                    <a:prstGeom prst="rect">
                      <a:avLst/>
                    </a:prstGeom>
                    <a:noFill/>
                    <a:ln w="22225" algn="ctr">
                      <a:solidFill>
                        <a:srgbClr val="000000"/>
                      </a:solidFill>
                      <a:round/>
                      <a:headEnd/>
                      <a:tailEnd/>
                    </a:ln>
                  </xdr:spPr>
                </xdr:sp>
              </xdr:grpSp>
            </xdr:grpSp>
            <xdr:cxnSp macro="">
              <xdr:nvCxnSpPr>
                <xdr:cNvPr id="59820756" name="Rechte verbindingslijn 12"/>
                <xdr:cNvCxnSpPr>
                  <a:cxnSpLocks noChangeShapeType="1"/>
                </xdr:cNvCxnSpPr>
              </xdr:nvCxnSpPr>
              <xdr:spPr bwMode="auto">
                <a:xfrm>
                  <a:off x="6720839" y="10143537"/>
                  <a:ext cx="1661161" cy="1050242"/>
                </a:xfrm>
                <a:prstGeom prst="line">
                  <a:avLst/>
                </a:prstGeom>
                <a:noFill/>
                <a:ln w="22225" algn="ctr">
                  <a:solidFill>
                    <a:srgbClr val="000000"/>
                  </a:solidFill>
                  <a:round/>
                  <a:headEnd/>
                  <a:tailEnd/>
                </a:ln>
              </xdr:spPr>
            </xdr:cxnSp>
            <xdr:cxnSp macro="">
              <xdr:nvCxnSpPr>
                <xdr:cNvPr id="59820757" name="Rechte verbindingslijn 12"/>
                <xdr:cNvCxnSpPr>
                  <a:cxnSpLocks noChangeShapeType="1"/>
                </xdr:cNvCxnSpPr>
              </xdr:nvCxnSpPr>
              <xdr:spPr bwMode="auto">
                <a:xfrm>
                  <a:off x="6728460" y="10145214"/>
                  <a:ext cx="792479" cy="1051199"/>
                </a:xfrm>
                <a:prstGeom prst="line">
                  <a:avLst/>
                </a:prstGeom>
                <a:noFill/>
                <a:ln w="22225" algn="ctr">
                  <a:solidFill>
                    <a:srgbClr val="000000"/>
                  </a:solidFill>
                  <a:round/>
                  <a:headEnd/>
                  <a:tailEnd/>
                </a:ln>
              </xdr:spPr>
            </xdr:cxnSp>
          </xdr:grpSp>
          <xdr:cxnSp macro="">
            <xdr:nvCxnSpPr>
              <xdr:cNvPr id="59820754" name="Rechte verbindingslijn 161"/>
              <xdr:cNvCxnSpPr>
                <a:cxnSpLocks noChangeShapeType="1"/>
              </xdr:cNvCxnSpPr>
            </xdr:nvCxnSpPr>
            <xdr:spPr bwMode="auto">
              <a:xfrm flipV="1">
                <a:off x="4686299" y="10651901"/>
                <a:ext cx="0" cy="656407"/>
              </a:xfrm>
              <a:prstGeom prst="line">
                <a:avLst/>
              </a:prstGeom>
              <a:noFill/>
              <a:ln w="22225" algn="ctr">
                <a:solidFill>
                  <a:srgbClr val="FF0000"/>
                </a:solidFill>
                <a:prstDash val="sysDot"/>
                <a:round/>
                <a:headEnd/>
                <a:tailEnd/>
              </a:ln>
            </xdr:spPr>
          </xdr:cxnSp>
        </xdr:grpSp>
        <xdr:sp macro="" textlink="">
          <xdr:nvSpPr>
            <xdr:cNvPr id="384" name="Tekstvak 383"/>
            <xdr:cNvSpPr txBox="1"/>
          </xdr:nvSpPr>
          <xdr:spPr bwMode="auto">
            <a:xfrm>
              <a:off x="5318760" y="26830020"/>
              <a:ext cx="105156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afzet  in stuks</a:t>
              </a:r>
            </a:p>
          </xdr:txBody>
        </xdr:sp>
        <xdr:cxnSp macro="">
          <xdr:nvCxnSpPr>
            <xdr:cNvPr id="59820752" name="Rechte verbindingslijn 161"/>
            <xdr:cNvCxnSpPr>
              <a:cxnSpLocks noChangeShapeType="1"/>
            </xdr:cNvCxnSpPr>
          </xdr:nvCxnSpPr>
          <xdr:spPr bwMode="auto">
            <a:xfrm flipH="1" flipV="1">
              <a:off x="4069081" y="26136600"/>
              <a:ext cx="586738" cy="15240"/>
            </a:xfrm>
            <a:prstGeom prst="line">
              <a:avLst/>
            </a:prstGeom>
            <a:noFill/>
            <a:ln w="22225" algn="ctr">
              <a:solidFill>
                <a:srgbClr val="FF0000"/>
              </a:solidFill>
              <a:prstDash val="sysDot"/>
              <a:round/>
              <a:headEnd/>
              <a:tailEnd/>
            </a:ln>
          </xdr:spPr>
        </xdr:cxnSp>
      </xdr:grpSp>
      <xdr:sp macro="" textlink="">
        <xdr:nvSpPr>
          <xdr:cNvPr id="381" name="Tekstvak 380"/>
          <xdr:cNvSpPr txBox="1"/>
        </xdr:nvSpPr>
        <xdr:spPr bwMode="auto">
          <a:xfrm>
            <a:off x="3779519" y="24825960"/>
            <a:ext cx="39624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a:t>
            </a:r>
          </a:p>
        </xdr:txBody>
      </xdr:sp>
    </xdr:grpSp>
    <xdr:clientData/>
  </xdr:twoCellAnchor>
  <xdr:twoCellAnchor>
    <xdr:from>
      <xdr:col>74</xdr:col>
      <xdr:colOff>15240</xdr:colOff>
      <xdr:row>54</xdr:row>
      <xdr:rowOff>60960</xdr:rowOff>
    </xdr:from>
    <xdr:to>
      <xdr:col>135</xdr:col>
      <xdr:colOff>15240</xdr:colOff>
      <xdr:row>64</xdr:row>
      <xdr:rowOff>83820</xdr:rowOff>
    </xdr:to>
    <xdr:grpSp>
      <xdr:nvGrpSpPr>
        <xdr:cNvPr id="59820495" name="Groep 312"/>
        <xdr:cNvGrpSpPr>
          <a:grpSpLocks/>
        </xdr:cNvGrpSpPr>
      </xdr:nvGrpSpPr>
      <xdr:grpSpPr bwMode="auto">
        <a:xfrm>
          <a:off x="3718560" y="8587740"/>
          <a:ext cx="2788920" cy="2156460"/>
          <a:chOff x="3726180" y="8587740"/>
          <a:chExt cx="2788920" cy="2156460"/>
        </a:xfrm>
      </xdr:grpSpPr>
      <xdr:grpSp>
        <xdr:nvGrpSpPr>
          <xdr:cNvPr id="59820731" name="Groep 211"/>
          <xdr:cNvGrpSpPr>
            <a:grpSpLocks/>
          </xdr:cNvGrpSpPr>
        </xdr:nvGrpSpPr>
        <xdr:grpSpPr bwMode="auto">
          <a:xfrm>
            <a:off x="3726180" y="8587740"/>
            <a:ext cx="2788920" cy="2156460"/>
            <a:chOff x="3726180" y="18265140"/>
            <a:chExt cx="2788920" cy="2156460"/>
          </a:xfrm>
        </xdr:grpSpPr>
        <xdr:grpSp>
          <xdr:nvGrpSpPr>
            <xdr:cNvPr id="59820733" name="Groep 128"/>
            <xdr:cNvGrpSpPr>
              <a:grpSpLocks/>
            </xdr:cNvGrpSpPr>
          </xdr:nvGrpSpPr>
          <xdr:grpSpPr bwMode="auto">
            <a:xfrm>
              <a:off x="3726180" y="18265140"/>
              <a:ext cx="2788920" cy="2156460"/>
              <a:chOff x="3855720" y="16885920"/>
              <a:chExt cx="2788920" cy="2156460"/>
            </a:xfrm>
          </xdr:grpSpPr>
          <xdr:grpSp>
            <xdr:nvGrpSpPr>
              <xdr:cNvPr id="59820735" name="Groep 126"/>
              <xdr:cNvGrpSpPr>
                <a:grpSpLocks/>
              </xdr:cNvGrpSpPr>
            </xdr:nvGrpSpPr>
            <xdr:grpSpPr bwMode="auto">
              <a:xfrm>
                <a:off x="4038600" y="17030700"/>
                <a:ext cx="2606040" cy="2011680"/>
                <a:chOff x="3893820" y="17396460"/>
                <a:chExt cx="2606040" cy="2011680"/>
              </a:xfrm>
            </xdr:grpSpPr>
            <xdr:cxnSp macro="">
              <xdr:nvCxnSpPr>
                <xdr:cNvPr id="59820737" name="Rechte verbindingslijn 94"/>
                <xdr:cNvCxnSpPr>
                  <a:cxnSpLocks noChangeShapeType="1"/>
                </xdr:cNvCxnSpPr>
              </xdr:nvCxnSpPr>
              <xdr:spPr bwMode="auto">
                <a:xfrm>
                  <a:off x="4008120" y="18707100"/>
                  <a:ext cx="1783080" cy="0"/>
                </a:xfrm>
                <a:prstGeom prst="line">
                  <a:avLst/>
                </a:prstGeom>
                <a:noFill/>
                <a:ln w="22225" algn="ctr">
                  <a:solidFill>
                    <a:srgbClr val="000000"/>
                  </a:solidFill>
                  <a:round/>
                  <a:headEnd/>
                  <a:tailEnd/>
                </a:ln>
              </xdr:spPr>
            </xdr:cxnSp>
            <xdr:sp macro="" textlink="">
              <xdr:nvSpPr>
                <xdr:cNvPr id="78" name="Tekstvak 77"/>
                <xdr:cNvSpPr txBox="1"/>
              </xdr:nvSpPr>
              <xdr:spPr>
                <a:xfrm>
                  <a:off x="4389120" y="17396460"/>
                  <a:ext cx="42672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TO</a:t>
                  </a:r>
                </a:p>
              </xdr:txBody>
            </xdr:sp>
            <xdr:sp macro="" textlink="">
              <xdr:nvSpPr>
                <xdr:cNvPr id="79" name="Tekstvak 78"/>
                <xdr:cNvSpPr txBox="1"/>
              </xdr:nvSpPr>
              <xdr:spPr>
                <a:xfrm>
                  <a:off x="5394960" y="17526000"/>
                  <a:ext cx="42672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TK</a:t>
                  </a:r>
                </a:p>
              </xdr:txBody>
            </xdr:sp>
            <xdr:sp macro="" textlink="">
              <xdr:nvSpPr>
                <xdr:cNvPr id="80" name="Tekstvak 79"/>
                <xdr:cNvSpPr txBox="1"/>
              </xdr:nvSpPr>
              <xdr:spPr>
                <a:xfrm>
                  <a:off x="5646420" y="18463260"/>
                  <a:ext cx="49530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TVK</a:t>
                  </a:r>
                </a:p>
              </xdr:txBody>
            </xdr:sp>
            <xdr:grpSp>
              <xdr:nvGrpSpPr>
                <xdr:cNvPr id="59820741" name="Groep 125"/>
                <xdr:cNvGrpSpPr>
                  <a:grpSpLocks/>
                </xdr:cNvGrpSpPr>
              </xdr:nvGrpSpPr>
              <xdr:grpSpPr bwMode="auto">
                <a:xfrm>
                  <a:off x="3893820" y="17419320"/>
                  <a:ext cx="2606040" cy="1988820"/>
                  <a:chOff x="3893820" y="17419320"/>
                  <a:chExt cx="2606040" cy="1988820"/>
                </a:xfrm>
              </xdr:grpSpPr>
              <xdr:cxnSp macro="">
                <xdr:nvCxnSpPr>
                  <xdr:cNvPr id="59820742" name="Rechte verbindingslijn 89"/>
                  <xdr:cNvCxnSpPr>
                    <a:cxnSpLocks noChangeShapeType="1"/>
                  </xdr:cNvCxnSpPr>
                </xdr:nvCxnSpPr>
                <xdr:spPr bwMode="auto">
                  <a:xfrm flipV="1">
                    <a:off x="4008120" y="17632680"/>
                    <a:ext cx="1844040" cy="1066800"/>
                  </a:xfrm>
                  <a:prstGeom prst="line">
                    <a:avLst/>
                  </a:prstGeom>
                  <a:noFill/>
                  <a:ln w="22225" algn="ctr">
                    <a:solidFill>
                      <a:srgbClr val="000000"/>
                    </a:solidFill>
                    <a:round/>
                    <a:headEnd/>
                    <a:tailEnd/>
                  </a:ln>
                </xdr:spPr>
              </xdr:cxnSp>
              <xdr:grpSp>
                <xdr:nvGrpSpPr>
                  <xdr:cNvPr id="59820743" name="Groep 124"/>
                  <xdr:cNvGrpSpPr>
                    <a:grpSpLocks/>
                  </xdr:cNvGrpSpPr>
                </xdr:nvGrpSpPr>
                <xdr:grpSpPr bwMode="auto">
                  <a:xfrm>
                    <a:off x="3893820" y="17419320"/>
                    <a:ext cx="2606040" cy="1988820"/>
                    <a:chOff x="3893820" y="17419320"/>
                    <a:chExt cx="2606040" cy="1988820"/>
                  </a:xfrm>
                </xdr:grpSpPr>
                <xdr:sp macro="" textlink="">
                  <xdr:nvSpPr>
                    <xdr:cNvPr id="84" name="Tekstvak 83"/>
                    <xdr:cNvSpPr txBox="1"/>
                  </xdr:nvSpPr>
                  <xdr:spPr>
                    <a:xfrm>
                      <a:off x="3893820" y="19011900"/>
                      <a:ext cx="2606040"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                                                    afzet</a:t>
                      </a:r>
                    </a:p>
                  </xdr:txBody>
                </xdr:sp>
                <xdr:grpSp>
                  <xdr:nvGrpSpPr>
                    <xdr:cNvPr id="59820745" name="Groep 123"/>
                    <xdr:cNvGrpSpPr>
                      <a:grpSpLocks/>
                    </xdr:cNvGrpSpPr>
                  </xdr:nvGrpSpPr>
                  <xdr:grpSpPr bwMode="auto">
                    <a:xfrm>
                      <a:off x="4000500" y="17419320"/>
                      <a:ext cx="1775460" cy="1623060"/>
                      <a:chOff x="4023360" y="17411700"/>
                      <a:chExt cx="1775460" cy="1623060"/>
                    </a:xfrm>
                  </xdr:grpSpPr>
                  <xdr:cxnSp macro="">
                    <xdr:nvCxnSpPr>
                      <xdr:cNvPr id="59820746" name="Rechte verbindingslijn 113"/>
                      <xdr:cNvCxnSpPr>
                        <a:cxnSpLocks noChangeShapeType="1"/>
                      </xdr:cNvCxnSpPr>
                    </xdr:nvCxnSpPr>
                    <xdr:spPr bwMode="auto">
                      <a:xfrm flipV="1">
                        <a:off x="4030980" y="17411700"/>
                        <a:ext cx="0" cy="1623060"/>
                      </a:xfrm>
                      <a:prstGeom prst="line">
                        <a:avLst/>
                      </a:prstGeom>
                      <a:noFill/>
                      <a:ln w="22225" algn="ctr">
                        <a:solidFill>
                          <a:srgbClr val="000000"/>
                        </a:solidFill>
                        <a:round/>
                        <a:headEnd/>
                        <a:tailEnd/>
                      </a:ln>
                    </xdr:spPr>
                  </xdr:cxnSp>
                  <xdr:cxnSp macro="">
                    <xdr:nvCxnSpPr>
                      <xdr:cNvPr id="59820747" name="Rechte verbindingslijn 119"/>
                      <xdr:cNvCxnSpPr>
                        <a:cxnSpLocks noChangeShapeType="1"/>
                      </xdr:cNvCxnSpPr>
                    </xdr:nvCxnSpPr>
                    <xdr:spPr bwMode="auto">
                      <a:xfrm>
                        <a:off x="4023360" y="19034760"/>
                        <a:ext cx="1775460" cy="0"/>
                      </a:xfrm>
                      <a:prstGeom prst="line">
                        <a:avLst/>
                      </a:prstGeom>
                      <a:noFill/>
                      <a:ln w="22225" algn="ctr">
                        <a:solidFill>
                          <a:srgbClr val="000000"/>
                        </a:solidFill>
                        <a:round/>
                        <a:headEnd/>
                        <a:tailEnd/>
                      </a:ln>
                    </xdr:spPr>
                  </xdr:cxnSp>
                </xdr:grpSp>
              </xdr:grpSp>
            </xdr:grpSp>
          </xdr:grpSp>
          <xdr:sp macro="" textlink="">
            <xdr:nvSpPr>
              <xdr:cNvPr id="59820736" name="Rechthoek 127"/>
              <xdr:cNvSpPr>
                <a:spLocks noChangeArrowheads="1"/>
              </xdr:cNvSpPr>
            </xdr:nvSpPr>
            <xdr:spPr bwMode="auto">
              <a:xfrm>
                <a:off x="3855720" y="16885920"/>
                <a:ext cx="2567940" cy="2133600"/>
              </a:xfrm>
              <a:prstGeom prst="rect">
                <a:avLst/>
              </a:prstGeom>
              <a:noFill/>
              <a:ln w="22225" algn="ctr">
                <a:solidFill>
                  <a:srgbClr val="000000"/>
                </a:solidFill>
                <a:round/>
                <a:headEnd/>
                <a:tailEnd/>
              </a:ln>
            </xdr:spPr>
          </xdr:sp>
        </xdr:grpSp>
        <xdr:sp macro="" textlink="">
          <xdr:nvSpPr>
            <xdr:cNvPr id="59820734" name="Vrije vorm 203"/>
            <xdr:cNvSpPr>
              <a:spLocks/>
            </xdr:cNvSpPr>
          </xdr:nvSpPr>
          <xdr:spPr bwMode="auto">
            <a:xfrm>
              <a:off x="4030980" y="18547080"/>
              <a:ext cx="1691640" cy="1516380"/>
            </a:xfrm>
            <a:custGeom>
              <a:avLst/>
              <a:gdLst>
                <a:gd name="T0" fmla="*/ 0 w 1790700"/>
                <a:gd name="T1" fmla="*/ 2 h 1889760"/>
                <a:gd name="T2" fmla="*/ 8051 w 1790700"/>
                <a:gd name="T3" fmla="*/ 2 h 1889760"/>
                <a:gd name="T4" fmla="*/ 17523 w 1790700"/>
                <a:gd name="T5" fmla="*/ 2 h 1889760"/>
                <a:gd name="T6" fmla="*/ 28177 w 1790700"/>
                <a:gd name="T7" fmla="*/ 0 h 1889760"/>
                <a:gd name="T8" fmla="*/ 38359 w 1790700"/>
                <a:gd name="T9" fmla="*/ 2 h 1889760"/>
                <a:gd name="T10" fmla="*/ 48066 w 1790700"/>
                <a:gd name="T11" fmla="*/ 2 h 1889760"/>
                <a:gd name="T12" fmla="*/ 55645 w 1790700"/>
                <a:gd name="T13" fmla="*/ 2 h 1889760"/>
                <a:gd name="T14" fmla="*/ 0 60000 65536"/>
                <a:gd name="T15" fmla="*/ 0 60000 65536"/>
                <a:gd name="T16" fmla="*/ 0 60000 65536"/>
                <a:gd name="T17" fmla="*/ 0 60000 65536"/>
                <a:gd name="T18" fmla="*/ 0 60000 65536"/>
                <a:gd name="T19" fmla="*/ 0 60000 65536"/>
                <a:gd name="T20" fmla="*/ 0 60000 65536"/>
                <a:gd name="T21" fmla="*/ 0 w 1790700"/>
                <a:gd name="T22" fmla="*/ 0 h 1889760"/>
                <a:gd name="T23" fmla="*/ 1790700 w 1790700"/>
                <a:gd name="T24" fmla="*/ 1889760 h 188976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790700" h="1889760">
                  <a:moveTo>
                    <a:pt x="0" y="1882140"/>
                  </a:moveTo>
                  <a:cubicBezTo>
                    <a:pt x="82550" y="1546860"/>
                    <a:pt x="165100" y="1211580"/>
                    <a:pt x="259080" y="944880"/>
                  </a:cubicBezTo>
                  <a:cubicBezTo>
                    <a:pt x="353060" y="678180"/>
                    <a:pt x="455930" y="439420"/>
                    <a:pt x="563880" y="281940"/>
                  </a:cubicBezTo>
                  <a:cubicBezTo>
                    <a:pt x="671830" y="124460"/>
                    <a:pt x="795020" y="0"/>
                    <a:pt x="906780" y="0"/>
                  </a:cubicBezTo>
                  <a:cubicBezTo>
                    <a:pt x="1018540" y="0"/>
                    <a:pt x="1127760" y="124460"/>
                    <a:pt x="1234440" y="281940"/>
                  </a:cubicBezTo>
                  <a:cubicBezTo>
                    <a:pt x="1341120" y="439420"/>
                    <a:pt x="1454150" y="676910"/>
                    <a:pt x="1546860" y="944880"/>
                  </a:cubicBezTo>
                  <a:cubicBezTo>
                    <a:pt x="1639570" y="1212850"/>
                    <a:pt x="1715135" y="1551305"/>
                    <a:pt x="1790700" y="1889760"/>
                  </a:cubicBezTo>
                </a:path>
              </a:pathLst>
            </a:custGeom>
            <a:noFill/>
            <a:ln w="22225" cap="flat" cmpd="sng" algn="ctr">
              <a:solidFill>
                <a:srgbClr val="000000"/>
              </a:solidFill>
              <a:prstDash val="solid"/>
              <a:round/>
              <a:headEnd type="none" w="med" len="med"/>
              <a:tailEnd type="none" w="med" len="med"/>
            </a:ln>
          </xdr:spPr>
        </xdr:sp>
      </xdr:grpSp>
      <xdr:sp macro="" textlink="">
        <xdr:nvSpPr>
          <xdr:cNvPr id="310" name="Tekstvak 309"/>
          <xdr:cNvSpPr txBox="1"/>
        </xdr:nvSpPr>
        <xdr:spPr bwMode="auto">
          <a:xfrm flipH="1">
            <a:off x="3779520" y="8694420"/>
            <a:ext cx="350520" cy="320040"/>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ysClr val="windowText" lastClr="000000"/>
                </a:solidFill>
              </a:rPr>
              <a:t>€</a:t>
            </a:r>
          </a:p>
        </xdr:txBody>
      </xdr:sp>
    </xdr:grpSp>
    <xdr:clientData/>
  </xdr:twoCellAnchor>
  <xdr:twoCellAnchor>
    <xdr:from>
      <xdr:col>60</xdr:col>
      <xdr:colOff>7620</xdr:colOff>
      <xdr:row>87</xdr:row>
      <xdr:rowOff>137160</xdr:rowOff>
    </xdr:from>
    <xdr:to>
      <xdr:col>133</xdr:col>
      <xdr:colOff>30480</xdr:colOff>
      <xdr:row>99</xdr:row>
      <xdr:rowOff>175260</xdr:rowOff>
    </xdr:to>
    <xdr:grpSp>
      <xdr:nvGrpSpPr>
        <xdr:cNvPr id="59820496" name="Groep 314"/>
        <xdr:cNvGrpSpPr>
          <a:grpSpLocks/>
        </xdr:cNvGrpSpPr>
      </xdr:nvGrpSpPr>
      <xdr:grpSpPr bwMode="auto">
        <a:xfrm>
          <a:off x="3070860" y="14089380"/>
          <a:ext cx="3360420" cy="2598420"/>
          <a:chOff x="3078480" y="14081760"/>
          <a:chExt cx="3352800" cy="2606040"/>
        </a:xfrm>
      </xdr:grpSpPr>
      <xdr:grpSp>
        <xdr:nvGrpSpPr>
          <xdr:cNvPr id="59820719" name="Groep 210"/>
          <xdr:cNvGrpSpPr>
            <a:grpSpLocks/>
          </xdr:cNvGrpSpPr>
        </xdr:nvGrpSpPr>
        <xdr:grpSpPr bwMode="auto">
          <a:xfrm>
            <a:off x="3078480" y="14081760"/>
            <a:ext cx="3352800" cy="2606040"/>
            <a:chOff x="3556192" y="31965228"/>
            <a:chExt cx="2552784" cy="2133600"/>
          </a:xfrm>
        </xdr:grpSpPr>
        <xdr:grpSp>
          <xdr:nvGrpSpPr>
            <xdr:cNvPr id="59820721" name="Groep 128"/>
            <xdr:cNvGrpSpPr>
              <a:grpSpLocks/>
            </xdr:cNvGrpSpPr>
          </xdr:nvGrpSpPr>
          <xdr:grpSpPr bwMode="auto">
            <a:xfrm>
              <a:off x="3556192" y="31965228"/>
              <a:ext cx="2552784" cy="2133600"/>
              <a:chOff x="3685732" y="16854768"/>
              <a:chExt cx="2552784" cy="2133600"/>
            </a:xfrm>
          </xdr:grpSpPr>
          <xdr:grpSp>
            <xdr:nvGrpSpPr>
              <xdr:cNvPr id="59820723" name="Groep 125"/>
              <xdr:cNvGrpSpPr>
                <a:grpSpLocks/>
              </xdr:cNvGrpSpPr>
            </xdr:nvGrpSpPr>
            <xdr:grpSpPr bwMode="auto">
              <a:xfrm>
                <a:off x="4038601" y="17053560"/>
                <a:ext cx="1882139" cy="1853639"/>
                <a:chOff x="3893821" y="17419320"/>
                <a:chExt cx="1882139" cy="1853639"/>
              </a:xfrm>
            </xdr:grpSpPr>
            <xdr:cxnSp macro="">
              <xdr:nvCxnSpPr>
                <xdr:cNvPr id="59820725" name="Rechte verbindingslijn 89"/>
                <xdr:cNvCxnSpPr>
                  <a:cxnSpLocks noChangeShapeType="1"/>
                </xdr:cNvCxnSpPr>
              </xdr:nvCxnSpPr>
              <xdr:spPr bwMode="auto">
                <a:xfrm flipV="1">
                  <a:off x="4008120" y="17579977"/>
                  <a:ext cx="1517041" cy="1119503"/>
                </a:xfrm>
                <a:prstGeom prst="line">
                  <a:avLst/>
                </a:prstGeom>
                <a:noFill/>
                <a:ln w="22225" algn="ctr">
                  <a:solidFill>
                    <a:srgbClr val="000000"/>
                  </a:solidFill>
                  <a:round/>
                  <a:headEnd/>
                  <a:tailEnd/>
                </a:ln>
              </xdr:spPr>
            </xdr:cxnSp>
            <xdr:grpSp>
              <xdr:nvGrpSpPr>
                <xdr:cNvPr id="59820726" name="Groep 124"/>
                <xdr:cNvGrpSpPr>
                  <a:grpSpLocks/>
                </xdr:cNvGrpSpPr>
              </xdr:nvGrpSpPr>
              <xdr:grpSpPr bwMode="auto">
                <a:xfrm>
                  <a:off x="3893821" y="17419320"/>
                  <a:ext cx="1882139" cy="1853639"/>
                  <a:chOff x="3893821" y="17419320"/>
                  <a:chExt cx="1882139" cy="1853639"/>
                </a:xfrm>
              </xdr:grpSpPr>
              <xdr:sp macro="" textlink="">
                <xdr:nvSpPr>
                  <xdr:cNvPr id="238" name="Tekstvak 237"/>
                  <xdr:cNvSpPr txBox="1"/>
                </xdr:nvSpPr>
                <xdr:spPr>
                  <a:xfrm>
                    <a:off x="3894058" y="19010000"/>
                    <a:ext cx="266277" cy="262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a:t>
                    </a:r>
                  </a:p>
                </xdr:txBody>
              </xdr:sp>
              <xdr:grpSp>
                <xdr:nvGrpSpPr>
                  <xdr:cNvPr id="59820728" name="Groep 123"/>
                  <xdr:cNvGrpSpPr>
                    <a:grpSpLocks/>
                  </xdr:cNvGrpSpPr>
                </xdr:nvGrpSpPr>
                <xdr:grpSpPr bwMode="auto">
                  <a:xfrm>
                    <a:off x="4000500" y="17419320"/>
                    <a:ext cx="1775460" cy="1623060"/>
                    <a:chOff x="4023360" y="17411700"/>
                    <a:chExt cx="1775460" cy="1623060"/>
                  </a:xfrm>
                </xdr:grpSpPr>
                <xdr:cxnSp macro="">
                  <xdr:nvCxnSpPr>
                    <xdr:cNvPr id="59820729" name="Rechte verbindingslijn 113"/>
                    <xdr:cNvCxnSpPr>
                      <a:cxnSpLocks noChangeShapeType="1"/>
                    </xdr:cNvCxnSpPr>
                  </xdr:nvCxnSpPr>
                  <xdr:spPr bwMode="auto">
                    <a:xfrm flipV="1">
                      <a:off x="4030980" y="17411700"/>
                      <a:ext cx="0" cy="1623060"/>
                    </a:xfrm>
                    <a:prstGeom prst="line">
                      <a:avLst/>
                    </a:prstGeom>
                    <a:noFill/>
                    <a:ln w="22225" algn="ctr">
                      <a:solidFill>
                        <a:srgbClr val="000000"/>
                      </a:solidFill>
                      <a:round/>
                      <a:headEnd/>
                      <a:tailEnd/>
                    </a:ln>
                  </xdr:spPr>
                </xdr:cxnSp>
                <xdr:cxnSp macro="">
                  <xdr:nvCxnSpPr>
                    <xdr:cNvPr id="59820730" name="Rechte verbindingslijn 119"/>
                    <xdr:cNvCxnSpPr>
                      <a:cxnSpLocks noChangeShapeType="1"/>
                    </xdr:cNvCxnSpPr>
                  </xdr:nvCxnSpPr>
                  <xdr:spPr bwMode="auto">
                    <a:xfrm>
                      <a:off x="4023360" y="19034760"/>
                      <a:ext cx="1775460" cy="0"/>
                    </a:xfrm>
                    <a:prstGeom prst="line">
                      <a:avLst/>
                    </a:prstGeom>
                    <a:noFill/>
                    <a:ln w="22225" algn="ctr">
                      <a:solidFill>
                        <a:srgbClr val="000000"/>
                      </a:solidFill>
                      <a:round/>
                      <a:headEnd/>
                      <a:tailEnd/>
                    </a:ln>
                  </xdr:spPr>
                </xdr:cxnSp>
              </xdr:grpSp>
            </xdr:grpSp>
          </xdr:grpSp>
          <xdr:sp macro="" textlink="">
            <xdr:nvSpPr>
              <xdr:cNvPr id="59820724" name="Rechthoek 127"/>
              <xdr:cNvSpPr>
                <a:spLocks noChangeArrowheads="1"/>
              </xdr:cNvSpPr>
            </xdr:nvSpPr>
            <xdr:spPr bwMode="auto">
              <a:xfrm>
                <a:off x="3685732" y="16854768"/>
                <a:ext cx="2552784" cy="2133600"/>
              </a:xfrm>
              <a:prstGeom prst="rect">
                <a:avLst/>
              </a:prstGeom>
              <a:noFill/>
              <a:ln w="22225" algn="ctr">
                <a:solidFill>
                  <a:srgbClr val="000000"/>
                </a:solidFill>
                <a:round/>
                <a:headEnd/>
                <a:tailEnd/>
              </a:ln>
            </xdr:spPr>
          </xdr:sp>
        </xdr:grpSp>
        <xdr:sp macro="" textlink="">
          <xdr:nvSpPr>
            <xdr:cNvPr id="59820722" name="Vrije vorm 203"/>
            <xdr:cNvSpPr>
              <a:spLocks/>
            </xdr:cNvSpPr>
          </xdr:nvSpPr>
          <xdr:spPr bwMode="auto">
            <a:xfrm>
              <a:off x="4030980" y="32057340"/>
              <a:ext cx="1691640" cy="1729740"/>
            </a:xfrm>
            <a:custGeom>
              <a:avLst/>
              <a:gdLst>
                <a:gd name="T0" fmla="*/ 0 w 1790700"/>
                <a:gd name="T1" fmla="*/ 6553 h 1889760"/>
                <a:gd name="T2" fmla="*/ 8051 w 1790700"/>
                <a:gd name="T3" fmla="*/ 3290 h 1889760"/>
                <a:gd name="T4" fmla="*/ 17523 w 1790700"/>
                <a:gd name="T5" fmla="*/ 983 h 1889760"/>
                <a:gd name="T6" fmla="*/ 28177 w 1790700"/>
                <a:gd name="T7" fmla="*/ 0 h 1889760"/>
                <a:gd name="T8" fmla="*/ 38359 w 1790700"/>
                <a:gd name="T9" fmla="*/ 983 h 1889760"/>
                <a:gd name="T10" fmla="*/ 48066 w 1790700"/>
                <a:gd name="T11" fmla="*/ 3290 h 1889760"/>
                <a:gd name="T12" fmla="*/ 55645 w 1790700"/>
                <a:gd name="T13" fmla="*/ 6578 h 1889760"/>
                <a:gd name="T14" fmla="*/ 0 60000 65536"/>
                <a:gd name="T15" fmla="*/ 0 60000 65536"/>
                <a:gd name="T16" fmla="*/ 0 60000 65536"/>
                <a:gd name="T17" fmla="*/ 0 60000 65536"/>
                <a:gd name="T18" fmla="*/ 0 60000 65536"/>
                <a:gd name="T19" fmla="*/ 0 60000 65536"/>
                <a:gd name="T20" fmla="*/ 0 60000 65536"/>
                <a:gd name="T21" fmla="*/ 0 w 1790700"/>
                <a:gd name="T22" fmla="*/ 0 h 1889760"/>
                <a:gd name="T23" fmla="*/ 1790700 w 1790700"/>
                <a:gd name="T24" fmla="*/ 1889760 h 188976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790700" h="1889760">
                  <a:moveTo>
                    <a:pt x="0" y="1882140"/>
                  </a:moveTo>
                  <a:cubicBezTo>
                    <a:pt x="82550" y="1546860"/>
                    <a:pt x="165100" y="1211580"/>
                    <a:pt x="259080" y="944880"/>
                  </a:cubicBezTo>
                  <a:cubicBezTo>
                    <a:pt x="353060" y="678180"/>
                    <a:pt x="455930" y="439420"/>
                    <a:pt x="563880" y="281940"/>
                  </a:cubicBezTo>
                  <a:cubicBezTo>
                    <a:pt x="671830" y="124460"/>
                    <a:pt x="795020" y="0"/>
                    <a:pt x="906780" y="0"/>
                  </a:cubicBezTo>
                  <a:cubicBezTo>
                    <a:pt x="1018540" y="0"/>
                    <a:pt x="1127760" y="124460"/>
                    <a:pt x="1234440" y="281940"/>
                  </a:cubicBezTo>
                  <a:cubicBezTo>
                    <a:pt x="1341120" y="439420"/>
                    <a:pt x="1454150" y="676910"/>
                    <a:pt x="1546860" y="944880"/>
                  </a:cubicBezTo>
                  <a:cubicBezTo>
                    <a:pt x="1639570" y="1212850"/>
                    <a:pt x="1715135" y="1551305"/>
                    <a:pt x="1790700" y="1889760"/>
                  </a:cubicBezTo>
                </a:path>
              </a:pathLst>
            </a:custGeom>
            <a:noFill/>
            <a:ln w="22225" cap="flat" cmpd="sng" algn="ctr">
              <a:solidFill>
                <a:srgbClr val="000000"/>
              </a:solidFill>
              <a:prstDash val="solid"/>
              <a:round/>
              <a:headEnd type="none" w="med" len="med"/>
              <a:tailEnd type="none" w="med" len="med"/>
            </a:ln>
          </xdr:spPr>
        </xdr:sp>
      </xdr:grpSp>
      <xdr:sp macro="" textlink="">
        <xdr:nvSpPr>
          <xdr:cNvPr id="314" name="Tekstvak 313"/>
          <xdr:cNvSpPr txBox="1"/>
        </xdr:nvSpPr>
        <xdr:spPr bwMode="auto">
          <a:xfrm flipH="1">
            <a:off x="3382589" y="14181110"/>
            <a:ext cx="342122" cy="320979"/>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ysClr val="windowText" lastClr="000000"/>
                </a:solidFill>
              </a:rPr>
              <a:t>€</a:t>
            </a:r>
          </a:p>
        </xdr:txBody>
      </xdr:sp>
    </xdr:grpSp>
    <xdr:clientData/>
  </xdr:twoCellAnchor>
  <xdr:twoCellAnchor>
    <xdr:from>
      <xdr:col>75</xdr:col>
      <xdr:colOff>15240</xdr:colOff>
      <xdr:row>106</xdr:row>
      <xdr:rowOff>213360</xdr:rowOff>
    </xdr:from>
    <xdr:to>
      <xdr:col>135</xdr:col>
      <xdr:colOff>30480</xdr:colOff>
      <xdr:row>118</xdr:row>
      <xdr:rowOff>190500</xdr:rowOff>
    </xdr:to>
    <xdr:grpSp>
      <xdr:nvGrpSpPr>
        <xdr:cNvPr id="59820497" name="Groep 316"/>
        <xdr:cNvGrpSpPr>
          <a:grpSpLocks/>
        </xdr:cNvGrpSpPr>
      </xdr:nvGrpSpPr>
      <xdr:grpSpPr bwMode="auto">
        <a:xfrm>
          <a:off x="3764280" y="17830800"/>
          <a:ext cx="2758440" cy="2537460"/>
          <a:chOff x="3771900" y="17823180"/>
          <a:chExt cx="2750820" cy="2545080"/>
        </a:xfrm>
      </xdr:grpSpPr>
      <xdr:grpSp>
        <xdr:nvGrpSpPr>
          <xdr:cNvPr id="59820703" name="Groep 162"/>
          <xdr:cNvGrpSpPr>
            <a:grpSpLocks/>
          </xdr:cNvGrpSpPr>
        </xdr:nvGrpSpPr>
        <xdr:grpSpPr bwMode="auto">
          <a:xfrm>
            <a:off x="3771900" y="17823180"/>
            <a:ext cx="2750820" cy="2545080"/>
            <a:chOff x="3802380" y="9235440"/>
            <a:chExt cx="2750820" cy="2545085"/>
          </a:xfrm>
        </xdr:grpSpPr>
        <xdr:grpSp>
          <xdr:nvGrpSpPr>
            <xdr:cNvPr id="59820705" name="Groep 159"/>
            <xdr:cNvGrpSpPr>
              <a:grpSpLocks/>
            </xdr:cNvGrpSpPr>
          </xdr:nvGrpSpPr>
          <xdr:grpSpPr bwMode="auto">
            <a:xfrm>
              <a:off x="3802380" y="9235440"/>
              <a:ext cx="2750820" cy="2545085"/>
              <a:chOff x="6423660" y="9090660"/>
              <a:chExt cx="2750820" cy="2545085"/>
            </a:xfrm>
          </xdr:grpSpPr>
          <xdr:grpSp>
            <xdr:nvGrpSpPr>
              <xdr:cNvPr id="59820707" name="Groep 140"/>
              <xdr:cNvGrpSpPr>
                <a:grpSpLocks/>
              </xdr:cNvGrpSpPr>
            </xdr:nvGrpSpPr>
            <xdr:grpSpPr bwMode="auto">
              <a:xfrm>
                <a:off x="6423660" y="9090660"/>
                <a:ext cx="2750820" cy="2545085"/>
                <a:chOff x="5829300" y="8679177"/>
                <a:chExt cx="2750820" cy="2545085"/>
              </a:xfrm>
            </xdr:grpSpPr>
            <xdr:grpSp>
              <xdr:nvGrpSpPr>
                <xdr:cNvPr id="59820710" name="Groep 157"/>
                <xdr:cNvGrpSpPr>
                  <a:grpSpLocks/>
                </xdr:cNvGrpSpPr>
              </xdr:nvGrpSpPr>
              <xdr:grpSpPr bwMode="auto">
                <a:xfrm>
                  <a:off x="6132703" y="8883674"/>
                  <a:ext cx="1891157" cy="1913866"/>
                  <a:chOff x="4014343" y="9249434"/>
                  <a:chExt cx="1891157" cy="1913866"/>
                </a:xfrm>
              </xdr:grpSpPr>
              <xdr:sp macro="" textlink="">
                <xdr:nvSpPr>
                  <xdr:cNvPr id="59820714" name="Rectangle 42" descr="Brede diagonaal omhoog"/>
                  <xdr:cNvSpPr>
                    <a:spLocks noChangeArrowheads="1"/>
                  </xdr:cNvSpPr>
                </xdr:nvSpPr>
                <xdr:spPr bwMode="auto">
                  <a:xfrm>
                    <a:off x="4014343" y="10584177"/>
                    <a:ext cx="831977" cy="266701"/>
                  </a:xfrm>
                  <a:prstGeom prst="rect">
                    <a:avLst/>
                  </a:prstGeom>
                  <a:solidFill>
                    <a:srgbClr val="BFBFBF"/>
                  </a:solidFill>
                  <a:ln w="9525">
                    <a:solidFill>
                      <a:srgbClr val="000000"/>
                    </a:solidFill>
                    <a:miter lim="800000"/>
                    <a:headEnd/>
                    <a:tailEnd/>
                  </a:ln>
                </xdr:spPr>
              </xdr:sp>
              <xdr:cxnSp macro="">
                <xdr:nvCxnSpPr>
                  <xdr:cNvPr id="59820715" name="Rechte verbindingslijn 11"/>
                  <xdr:cNvCxnSpPr>
                    <a:cxnSpLocks noChangeShapeType="1"/>
                  </xdr:cNvCxnSpPr>
                </xdr:nvCxnSpPr>
                <xdr:spPr bwMode="auto">
                  <a:xfrm>
                    <a:off x="4023360" y="10851702"/>
                    <a:ext cx="1742554" cy="0"/>
                  </a:xfrm>
                  <a:prstGeom prst="line">
                    <a:avLst/>
                  </a:prstGeom>
                  <a:noFill/>
                  <a:ln w="22225" algn="ctr">
                    <a:solidFill>
                      <a:srgbClr val="000000"/>
                    </a:solidFill>
                    <a:round/>
                    <a:headEnd/>
                    <a:tailEnd/>
                  </a:ln>
                </xdr:spPr>
              </xdr:cxnSp>
              <xdr:sp macro="" textlink="">
                <xdr:nvSpPr>
                  <xdr:cNvPr id="59820716" name="Vrije vorm 21"/>
                  <xdr:cNvSpPr>
                    <a:spLocks/>
                  </xdr:cNvSpPr>
                </xdr:nvSpPr>
                <xdr:spPr bwMode="auto">
                  <a:xfrm>
                    <a:off x="4104264" y="9249434"/>
                    <a:ext cx="1661650" cy="1518306"/>
                  </a:xfrm>
                  <a:custGeom>
                    <a:avLst/>
                    <a:gdLst>
                      <a:gd name="T0" fmla="*/ 0 w 2057400"/>
                      <a:gd name="T1" fmla="*/ 0 h 1653540"/>
                      <a:gd name="T2" fmla="*/ 2 w 2057400"/>
                      <a:gd name="T3" fmla="*/ 6224 h 1653540"/>
                      <a:gd name="T4" fmla="*/ 3 w 2057400"/>
                      <a:gd name="T5" fmla="*/ 8336 h 1653540"/>
                      <a:gd name="T6" fmla="*/ 0 60000 65536"/>
                      <a:gd name="T7" fmla="*/ 0 60000 65536"/>
                      <a:gd name="T8" fmla="*/ 0 60000 65536"/>
                      <a:gd name="T9" fmla="*/ 0 w 2057400"/>
                      <a:gd name="T10" fmla="*/ 0 h 1653540"/>
                      <a:gd name="T11" fmla="*/ 2057400 w 2057400"/>
                      <a:gd name="T12" fmla="*/ 1653540 h 1653540"/>
                    </a:gdLst>
                    <a:ahLst/>
                    <a:cxnLst>
                      <a:cxn ang="T6">
                        <a:pos x="T0" y="T1"/>
                      </a:cxn>
                      <a:cxn ang="T7">
                        <a:pos x="T2" y="T3"/>
                      </a:cxn>
                      <a:cxn ang="T8">
                        <a:pos x="T4" y="T5"/>
                      </a:cxn>
                    </a:cxnLst>
                    <a:rect l="T9" t="T10" r="T11" b="T12"/>
                    <a:pathLst>
                      <a:path w="2057400" h="1653540">
                        <a:moveTo>
                          <a:pt x="0" y="0"/>
                        </a:moveTo>
                        <a:cubicBezTo>
                          <a:pt x="64770" y="479425"/>
                          <a:pt x="129540" y="958850"/>
                          <a:pt x="472440" y="1234440"/>
                        </a:cubicBezTo>
                        <a:cubicBezTo>
                          <a:pt x="815340" y="1510030"/>
                          <a:pt x="1436370" y="1581785"/>
                          <a:pt x="2057400" y="1653540"/>
                        </a:cubicBezTo>
                      </a:path>
                    </a:pathLst>
                  </a:custGeom>
                  <a:noFill/>
                  <a:ln w="34925" cap="flat" cmpd="sng" algn="ctr">
                    <a:solidFill>
                      <a:srgbClr val="000000"/>
                    </a:solidFill>
                    <a:prstDash val="solid"/>
                    <a:round/>
                    <a:headEnd type="none" w="med" len="med"/>
                    <a:tailEnd type="none" w="med" len="med"/>
                  </a:ln>
                </xdr:spPr>
              </xdr:sp>
              <xdr:cxnSp macro="">
                <xdr:nvCxnSpPr>
                  <xdr:cNvPr id="59820717" name="Rechte verbindingslijn 148"/>
                  <xdr:cNvCxnSpPr>
                    <a:cxnSpLocks noChangeShapeType="1"/>
                  </xdr:cNvCxnSpPr>
                </xdr:nvCxnSpPr>
                <xdr:spPr bwMode="auto">
                  <a:xfrm>
                    <a:off x="4015740" y="9250680"/>
                    <a:ext cx="0" cy="1912620"/>
                  </a:xfrm>
                  <a:prstGeom prst="line">
                    <a:avLst/>
                  </a:prstGeom>
                  <a:noFill/>
                  <a:ln w="22225" algn="ctr">
                    <a:solidFill>
                      <a:srgbClr val="000000"/>
                    </a:solidFill>
                    <a:round/>
                    <a:headEnd/>
                    <a:tailEnd/>
                  </a:ln>
                </xdr:spPr>
              </xdr:cxnSp>
              <xdr:cxnSp macro="">
                <xdr:nvCxnSpPr>
                  <xdr:cNvPr id="59820718" name="Rechte verbindingslijn 149"/>
                  <xdr:cNvCxnSpPr>
                    <a:cxnSpLocks noChangeShapeType="1"/>
                  </xdr:cNvCxnSpPr>
                </xdr:nvCxnSpPr>
                <xdr:spPr bwMode="auto">
                  <a:xfrm>
                    <a:off x="4023360" y="11155680"/>
                    <a:ext cx="1882140" cy="0"/>
                  </a:xfrm>
                  <a:prstGeom prst="line">
                    <a:avLst/>
                  </a:prstGeom>
                  <a:noFill/>
                  <a:ln w="22225" algn="ctr">
                    <a:solidFill>
                      <a:srgbClr val="000000"/>
                    </a:solidFill>
                    <a:round/>
                    <a:headEnd/>
                    <a:tailEnd/>
                  </a:ln>
                </xdr:spPr>
              </xdr:cxnSp>
            </xdr:grpSp>
            <xdr:grpSp>
              <xdr:nvGrpSpPr>
                <xdr:cNvPr id="59820711" name="Groep 128"/>
                <xdr:cNvGrpSpPr>
                  <a:grpSpLocks/>
                </xdr:cNvGrpSpPr>
              </xdr:nvGrpSpPr>
              <xdr:grpSpPr bwMode="auto">
                <a:xfrm>
                  <a:off x="5829300" y="8679177"/>
                  <a:ext cx="2750820" cy="2545085"/>
                  <a:chOff x="3878056" y="16898752"/>
                  <a:chExt cx="2766584" cy="2143628"/>
                </a:xfrm>
              </xdr:grpSpPr>
              <xdr:sp macro="" textlink="">
                <xdr:nvSpPr>
                  <xdr:cNvPr id="144" name="Tekstvak 143"/>
                  <xdr:cNvSpPr txBox="1"/>
                </xdr:nvSpPr>
                <xdr:spPr bwMode="auto">
                  <a:xfrm>
                    <a:off x="4046191" y="18643266"/>
                    <a:ext cx="2598449" cy="3991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                                                    afzet</a:t>
                    </a:r>
                  </a:p>
                </xdr:txBody>
              </xdr:sp>
              <xdr:sp macro="" textlink="">
                <xdr:nvSpPr>
                  <xdr:cNvPr id="59820713" name="Rechthoek 127"/>
                  <xdr:cNvSpPr>
                    <a:spLocks noChangeArrowheads="1"/>
                  </xdr:cNvSpPr>
                </xdr:nvSpPr>
                <xdr:spPr bwMode="auto">
                  <a:xfrm>
                    <a:off x="3878056" y="16898752"/>
                    <a:ext cx="2590320" cy="2069419"/>
                  </a:xfrm>
                  <a:prstGeom prst="rect">
                    <a:avLst/>
                  </a:prstGeom>
                  <a:noFill/>
                  <a:ln w="22225" algn="ctr">
                    <a:solidFill>
                      <a:srgbClr val="000000"/>
                    </a:solidFill>
                    <a:round/>
                    <a:headEnd/>
                    <a:tailEnd/>
                  </a:ln>
                </xdr:spPr>
              </xdr:sp>
            </xdr:grpSp>
          </xdr:grpSp>
          <xdr:cxnSp macro="">
            <xdr:nvCxnSpPr>
              <xdr:cNvPr id="59820708" name="Rechte verbindingslijn 12"/>
              <xdr:cNvCxnSpPr>
                <a:cxnSpLocks noChangeShapeType="1"/>
              </xdr:cNvCxnSpPr>
            </xdr:nvCxnSpPr>
            <xdr:spPr bwMode="auto">
              <a:xfrm>
                <a:off x="6728460" y="9364980"/>
                <a:ext cx="1653540" cy="1828800"/>
              </a:xfrm>
              <a:prstGeom prst="line">
                <a:avLst/>
              </a:prstGeom>
              <a:noFill/>
              <a:ln w="22225" algn="ctr">
                <a:solidFill>
                  <a:srgbClr val="000000"/>
                </a:solidFill>
                <a:round/>
                <a:headEnd/>
                <a:tailEnd/>
              </a:ln>
            </xdr:spPr>
          </xdr:cxnSp>
          <xdr:cxnSp macro="">
            <xdr:nvCxnSpPr>
              <xdr:cNvPr id="59820709" name="Rechte verbindingslijn 12"/>
              <xdr:cNvCxnSpPr>
                <a:cxnSpLocks noChangeShapeType="1"/>
              </xdr:cNvCxnSpPr>
            </xdr:nvCxnSpPr>
            <xdr:spPr bwMode="auto">
              <a:xfrm>
                <a:off x="6736080" y="9372600"/>
                <a:ext cx="929640" cy="2072640"/>
              </a:xfrm>
              <a:prstGeom prst="line">
                <a:avLst/>
              </a:prstGeom>
              <a:noFill/>
              <a:ln w="22225" algn="ctr">
                <a:solidFill>
                  <a:srgbClr val="000000"/>
                </a:solidFill>
                <a:round/>
                <a:headEnd/>
                <a:tailEnd/>
              </a:ln>
            </xdr:spPr>
          </xdr:cxnSp>
        </xdr:grpSp>
        <xdr:cxnSp macro="">
          <xdr:nvCxnSpPr>
            <xdr:cNvPr id="59820706" name="Rechte verbindingslijn 161"/>
            <xdr:cNvCxnSpPr>
              <a:cxnSpLocks noChangeShapeType="1"/>
            </xdr:cNvCxnSpPr>
          </xdr:nvCxnSpPr>
          <xdr:spPr bwMode="auto">
            <a:xfrm flipV="1">
              <a:off x="4937760" y="10424160"/>
              <a:ext cx="0" cy="922020"/>
            </a:xfrm>
            <a:prstGeom prst="line">
              <a:avLst/>
            </a:prstGeom>
            <a:noFill/>
            <a:ln w="22225" algn="ctr">
              <a:solidFill>
                <a:srgbClr val="000000"/>
              </a:solidFill>
              <a:prstDash val="sysDot"/>
              <a:round/>
              <a:headEnd/>
              <a:tailEnd/>
            </a:ln>
          </xdr:spPr>
        </xdr:cxnSp>
      </xdr:grpSp>
      <xdr:sp macro="" textlink="">
        <xdr:nvSpPr>
          <xdr:cNvPr id="316" name="Tekstvak 315"/>
          <xdr:cNvSpPr txBox="1"/>
        </xdr:nvSpPr>
        <xdr:spPr bwMode="auto">
          <a:xfrm flipH="1">
            <a:off x="3809895" y="17998966"/>
            <a:ext cx="357151" cy="321001"/>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ysClr val="windowText" lastClr="000000"/>
                </a:solidFill>
              </a:rPr>
              <a:t>€</a:t>
            </a:r>
          </a:p>
        </xdr:txBody>
      </xdr:sp>
    </xdr:grpSp>
    <xdr:clientData/>
  </xdr:twoCellAnchor>
  <xdr:twoCellAnchor>
    <xdr:from>
      <xdr:col>57</xdr:col>
      <xdr:colOff>7620</xdr:colOff>
      <xdr:row>257</xdr:row>
      <xdr:rowOff>99060</xdr:rowOff>
    </xdr:from>
    <xdr:to>
      <xdr:col>135</xdr:col>
      <xdr:colOff>15240</xdr:colOff>
      <xdr:row>269</xdr:row>
      <xdr:rowOff>99060</xdr:rowOff>
    </xdr:to>
    <xdr:grpSp>
      <xdr:nvGrpSpPr>
        <xdr:cNvPr id="59820498" name="Groep 318"/>
        <xdr:cNvGrpSpPr>
          <a:grpSpLocks/>
        </xdr:cNvGrpSpPr>
      </xdr:nvGrpSpPr>
      <xdr:grpSpPr bwMode="auto">
        <a:xfrm>
          <a:off x="2933700" y="42329100"/>
          <a:ext cx="3573780" cy="2560320"/>
          <a:chOff x="2941321" y="41186100"/>
          <a:chExt cx="3573780" cy="2552700"/>
        </a:xfrm>
      </xdr:grpSpPr>
      <xdr:grpSp>
        <xdr:nvGrpSpPr>
          <xdr:cNvPr id="59820683" name="Groep 221"/>
          <xdr:cNvGrpSpPr>
            <a:grpSpLocks/>
          </xdr:cNvGrpSpPr>
        </xdr:nvGrpSpPr>
        <xdr:grpSpPr bwMode="auto">
          <a:xfrm>
            <a:off x="2941321" y="41186100"/>
            <a:ext cx="3573780" cy="2552700"/>
            <a:chOff x="2941321" y="31600140"/>
            <a:chExt cx="3573780" cy="2552700"/>
          </a:xfrm>
        </xdr:grpSpPr>
        <xdr:grpSp>
          <xdr:nvGrpSpPr>
            <xdr:cNvPr id="59820685" name="Groep 219"/>
            <xdr:cNvGrpSpPr>
              <a:grpSpLocks/>
            </xdr:cNvGrpSpPr>
          </xdr:nvGrpSpPr>
          <xdr:grpSpPr bwMode="auto">
            <a:xfrm>
              <a:off x="2941321" y="31600140"/>
              <a:ext cx="3573780" cy="2552700"/>
              <a:chOff x="2941321" y="31600140"/>
              <a:chExt cx="3573780" cy="2552700"/>
            </a:xfrm>
          </xdr:grpSpPr>
          <xdr:cxnSp macro="">
            <xdr:nvCxnSpPr>
              <xdr:cNvPr id="59820687" name="Rechte verbindingslijn 464"/>
              <xdr:cNvCxnSpPr>
                <a:cxnSpLocks noChangeShapeType="1"/>
              </xdr:cNvCxnSpPr>
            </xdr:nvCxnSpPr>
            <xdr:spPr bwMode="auto">
              <a:xfrm>
                <a:off x="5036820" y="31638240"/>
                <a:ext cx="0" cy="2072640"/>
              </a:xfrm>
              <a:prstGeom prst="line">
                <a:avLst/>
              </a:prstGeom>
              <a:noFill/>
              <a:ln w="22225" algn="ctr">
                <a:solidFill>
                  <a:srgbClr val="FF0000"/>
                </a:solidFill>
                <a:prstDash val="sysDash"/>
                <a:round/>
                <a:headEnd/>
                <a:tailEnd/>
              </a:ln>
            </xdr:spPr>
          </xdr:cxnSp>
          <xdr:cxnSp macro="">
            <xdr:nvCxnSpPr>
              <xdr:cNvPr id="59820688" name="Rechte verbindingslijn 464"/>
              <xdr:cNvCxnSpPr>
                <a:cxnSpLocks noChangeShapeType="1"/>
              </xdr:cNvCxnSpPr>
            </xdr:nvCxnSpPr>
            <xdr:spPr bwMode="auto">
              <a:xfrm>
                <a:off x="4373880" y="31645860"/>
                <a:ext cx="0" cy="2072640"/>
              </a:xfrm>
              <a:prstGeom prst="line">
                <a:avLst/>
              </a:prstGeom>
              <a:noFill/>
              <a:ln w="22225" algn="ctr">
                <a:solidFill>
                  <a:srgbClr val="FF0000"/>
                </a:solidFill>
                <a:prstDash val="sysDash"/>
                <a:round/>
                <a:headEnd/>
                <a:tailEnd/>
              </a:ln>
            </xdr:spPr>
          </xdr:cxnSp>
          <xdr:cxnSp macro="">
            <xdr:nvCxnSpPr>
              <xdr:cNvPr id="59820689" name="Rechte verbindingslijn 464"/>
              <xdr:cNvCxnSpPr>
                <a:cxnSpLocks noChangeShapeType="1"/>
              </xdr:cNvCxnSpPr>
            </xdr:nvCxnSpPr>
            <xdr:spPr bwMode="auto">
              <a:xfrm>
                <a:off x="4579620" y="31653480"/>
                <a:ext cx="0" cy="2072640"/>
              </a:xfrm>
              <a:prstGeom prst="line">
                <a:avLst/>
              </a:prstGeom>
              <a:noFill/>
              <a:ln w="22225" algn="ctr">
                <a:solidFill>
                  <a:srgbClr val="FF0000"/>
                </a:solidFill>
                <a:prstDash val="sysDash"/>
                <a:round/>
                <a:headEnd/>
                <a:tailEnd/>
              </a:ln>
            </xdr:spPr>
          </xdr:cxnSp>
          <xdr:cxnSp macro="">
            <xdr:nvCxnSpPr>
              <xdr:cNvPr id="59820690" name="Rechte verbindingslijn 464"/>
              <xdr:cNvCxnSpPr>
                <a:cxnSpLocks noChangeShapeType="1"/>
              </xdr:cNvCxnSpPr>
            </xdr:nvCxnSpPr>
            <xdr:spPr bwMode="auto">
              <a:xfrm>
                <a:off x="4229100" y="31645860"/>
                <a:ext cx="0" cy="2072640"/>
              </a:xfrm>
              <a:prstGeom prst="line">
                <a:avLst/>
              </a:prstGeom>
              <a:noFill/>
              <a:ln w="22225" algn="ctr">
                <a:solidFill>
                  <a:srgbClr val="FF0000"/>
                </a:solidFill>
                <a:prstDash val="sysDash"/>
                <a:round/>
                <a:headEnd/>
                <a:tailEnd/>
              </a:ln>
            </xdr:spPr>
          </xdr:cxnSp>
          <xdr:cxnSp macro="">
            <xdr:nvCxnSpPr>
              <xdr:cNvPr id="59820691" name="Rechte verbindingslijn 464"/>
              <xdr:cNvCxnSpPr>
                <a:cxnSpLocks noChangeShapeType="1"/>
              </xdr:cNvCxnSpPr>
            </xdr:nvCxnSpPr>
            <xdr:spPr bwMode="auto">
              <a:xfrm>
                <a:off x="4015740" y="31638240"/>
                <a:ext cx="0" cy="2072640"/>
              </a:xfrm>
              <a:prstGeom prst="line">
                <a:avLst/>
              </a:prstGeom>
              <a:noFill/>
              <a:ln w="22225" algn="ctr">
                <a:solidFill>
                  <a:srgbClr val="FF0000"/>
                </a:solidFill>
                <a:prstDash val="sysDash"/>
                <a:round/>
                <a:headEnd/>
                <a:tailEnd/>
              </a:ln>
            </xdr:spPr>
          </xdr:cxnSp>
          <xdr:grpSp>
            <xdr:nvGrpSpPr>
              <xdr:cNvPr id="59820692" name="Groep 210"/>
              <xdr:cNvGrpSpPr>
                <a:grpSpLocks/>
              </xdr:cNvGrpSpPr>
            </xdr:nvGrpSpPr>
            <xdr:grpSpPr bwMode="auto">
              <a:xfrm>
                <a:off x="2941321" y="31600140"/>
                <a:ext cx="3573780" cy="2552700"/>
                <a:chOff x="3794066" y="31996380"/>
                <a:chExt cx="2721034" cy="2156460"/>
              </a:xfrm>
            </xdr:grpSpPr>
            <xdr:grpSp>
              <xdr:nvGrpSpPr>
                <xdr:cNvPr id="59820693" name="Groep 128"/>
                <xdr:cNvGrpSpPr>
                  <a:grpSpLocks/>
                </xdr:cNvGrpSpPr>
              </xdr:nvGrpSpPr>
              <xdr:grpSpPr bwMode="auto">
                <a:xfrm>
                  <a:off x="3794066" y="31996380"/>
                  <a:ext cx="2721034" cy="2156460"/>
                  <a:chOff x="3923606" y="16885920"/>
                  <a:chExt cx="2721034" cy="2156460"/>
                </a:xfrm>
              </xdr:grpSpPr>
              <xdr:grpSp>
                <xdr:nvGrpSpPr>
                  <xdr:cNvPr id="59820695" name="Groep 125"/>
                  <xdr:cNvGrpSpPr>
                    <a:grpSpLocks/>
                  </xdr:cNvGrpSpPr>
                </xdr:nvGrpSpPr>
                <xdr:grpSpPr bwMode="auto">
                  <a:xfrm>
                    <a:off x="4038600" y="17053560"/>
                    <a:ext cx="2606040" cy="1988820"/>
                    <a:chOff x="3893820" y="17419320"/>
                    <a:chExt cx="2606040" cy="1988820"/>
                  </a:xfrm>
                </xdr:grpSpPr>
                <xdr:cxnSp macro="">
                  <xdr:nvCxnSpPr>
                    <xdr:cNvPr id="59820697" name="Rechte verbindingslijn 89"/>
                    <xdr:cNvCxnSpPr>
                      <a:cxnSpLocks noChangeShapeType="1"/>
                    </xdr:cNvCxnSpPr>
                  </xdr:nvCxnSpPr>
                  <xdr:spPr bwMode="auto">
                    <a:xfrm flipV="1">
                      <a:off x="4008120" y="17632680"/>
                      <a:ext cx="1844040" cy="1066800"/>
                    </a:xfrm>
                    <a:prstGeom prst="line">
                      <a:avLst/>
                    </a:prstGeom>
                    <a:noFill/>
                    <a:ln w="22225" algn="ctr">
                      <a:solidFill>
                        <a:srgbClr val="000000"/>
                      </a:solidFill>
                      <a:round/>
                      <a:headEnd/>
                      <a:tailEnd/>
                    </a:ln>
                  </xdr:spPr>
                </xdr:cxnSp>
                <xdr:grpSp>
                  <xdr:nvGrpSpPr>
                    <xdr:cNvPr id="59820698" name="Groep 124"/>
                    <xdr:cNvGrpSpPr>
                      <a:grpSpLocks/>
                    </xdr:cNvGrpSpPr>
                  </xdr:nvGrpSpPr>
                  <xdr:grpSpPr bwMode="auto">
                    <a:xfrm>
                      <a:off x="3893820" y="17419320"/>
                      <a:ext cx="2606040" cy="1988820"/>
                      <a:chOff x="3893820" y="17419320"/>
                      <a:chExt cx="2606040" cy="1988820"/>
                    </a:xfrm>
                  </xdr:grpSpPr>
                  <xdr:sp macro="" textlink="">
                    <xdr:nvSpPr>
                      <xdr:cNvPr id="205" name="Tekstvak 204"/>
                      <xdr:cNvSpPr txBox="1"/>
                    </xdr:nvSpPr>
                    <xdr:spPr>
                      <a:xfrm>
                        <a:off x="3900663" y="19010222"/>
                        <a:ext cx="2599197" cy="397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200" b="1"/>
                          <a:t>0                                                                  afzet</a:t>
                        </a:r>
                      </a:p>
                    </xdr:txBody>
                  </xdr:sp>
                  <xdr:grpSp>
                    <xdr:nvGrpSpPr>
                      <xdr:cNvPr id="59820700" name="Groep 123"/>
                      <xdr:cNvGrpSpPr>
                        <a:grpSpLocks/>
                      </xdr:cNvGrpSpPr>
                    </xdr:nvGrpSpPr>
                    <xdr:grpSpPr bwMode="auto">
                      <a:xfrm>
                        <a:off x="4000500" y="17419320"/>
                        <a:ext cx="1775460" cy="1623060"/>
                        <a:chOff x="4023360" y="17411700"/>
                        <a:chExt cx="1775460" cy="1623060"/>
                      </a:xfrm>
                    </xdr:grpSpPr>
                    <xdr:cxnSp macro="">
                      <xdr:nvCxnSpPr>
                        <xdr:cNvPr id="59820701" name="Rechte verbindingslijn 113"/>
                        <xdr:cNvCxnSpPr>
                          <a:cxnSpLocks noChangeShapeType="1"/>
                        </xdr:cNvCxnSpPr>
                      </xdr:nvCxnSpPr>
                      <xdr:spPr bwMode="auto">
                        <a:xfrm flipV="1">
                          <a:off x="4030980" y="17411700"/>
                          <a:ext cx="0" cy="1623060"/>
                        </a:xfrm>
                        <a:prstGeom prst="line">
                          <a:avLst/>
                        </a:prstGeom>
                        <a:noFill/>
                        <a:ln w="22225" algn="ctr">
                          <a:solidFill>
                            <a:srgbClr val="000000"/>
                          </a:solidFill>
                          <a:round/>
                          <a:headEnd/>
                          <a:tailEnd/>
                        </a:ln>
                      </xdr:spPr>
                    </xdr:cxnSp>
                    <xdr:cxnSp macro="">
                      <xdr:nvCxnSpPr>
                        <xdr:cNvPr id="59820702" name="Rechte verbindingslijn 119"/>
                        <xdr:cNvCxnSpPr>
                          <a:cxnSpLocks noChangeShapeType="1"/>
                        </xdr:cNvCxnSpPr>
                      </xdr:nvCxnSpPr>
                      <xdr:spPr bwMode="auto">
                        <a:xfrm>
                          <a:off x="4023360" y="19034760"/>
                          <a:ext cx="1775460" cy="0"/>
                        </a:xfrm>
                        <a:prstGeom prst="line">
                          <a:avLst/>
                        </a:prstGeom>
                        <a:noFill/>
                        <a:ln w="22225" algn="ctr">
                          <a:solidFill>
                            <a:srgbClr val="000000"/>
                          </a:solidFill>
                          <a:round/>
                          <a:headEnd/>
                          <a:tailEnd/>
                        </a:ln>
                      </xdr:spPr>
                    </xdr:cxnSp>
                  </xdr:grpSp>
                </xdr:grpSp>
              </xdr:grpSp>
              <xdr:sp macro="" textlink="">
                <xdr:nvSpPr>
                  <xdr:cNvPr id="59820696" name="Rechthoek 127"/>
                  <xdr:cNvSpPr>
                    <a:spLocks noChangeArrowheads="1"/>
                  </xdr:cNvSpPr>
                </xdr:nvSpPr>
                <xdr:spPr bwMode="auto">
                  <a:xfrm>
                    <a:off x="3923606" y="16885920"/>
                    <a:ext cx="2500054" cy="2133600"/>
                  </a:xfrm>
                  <a:prstGeom prst="rect">
                    <a:avLst/>
                  </a:prstGeom>
                  <a:noFill/>
                  <a:ln w="22225" algn="ctr">
                    <a:solidFill>
                      <a:srgbClr val="000000"/>
                    </a:solidFill>
                    <a:round/>
                    <a:headEnd/>
                    <a:tailEnd/>
                  </a:ln>
                </xdr:spPr>
              </xdr:sp>
            </xdr:grpSp>
            <xdr:sp macro="" textlink="">
              <xdr:nvSpPr>
                <xdr:cNvPr id="59820694" name="Vrije vorm 203"/>
                <xdr:cNvSpPr>
                  <a:spLocks/>
                </xdr:cNvSpPr>
              </xdr:nvSpPr>
              <xdr:spPr bwMode="auto">
                <a:xfrm>
                  <a:off x="4030980" y="32057340"/>
                  <a:ext cx="1691640" cy="1729740"/>
                </a:xfrm>
                <a:custGeom>
                  <a:avLst/>
                  <a:gdLst>
                    <a:gd name="T0" fmla="*/ 0 w 1790700"/>
                    <a:gd name="T1" fmla="*/ 6553 h 1889760"/>
                    <a:gd name="T2" fmla="*/ 8051 w 1790700"/>
                    <a:gd name="T3" fmla="*/ 3290 h 1889760"/>
                    <a:gd name="T4" fmla="*/ 17523 w 1790700"/>
                    <a:gd name="T5" fmla="*/ 983 h 1889760"/>
                    <a:gd name="T6" fmla="*/ 28177 w 1790700"/>
                    <a:gd name="T7" fmla="*/ 0 h 1889760"/>
                    <a:gd name="T8" fmla="*/ 38359 w 1790700"/>
                    <a:gd name="T9" fmla="*/ 983 h 1889760"/>
                    <a:gd name="T10" fmla="*/ 48066 w 1790700"/>
                    <a:gd name="T11" fmla="*/ 3290 h 1889760"/>
                    <a:gd name="T12" fmla="*/ 55645 w 1790700"/>
                    <a:gd name="T13" fmla="*/ 6578 h 1889760"/>
                    <a:gd name="T14" fmla="*/ 0 60000 65536"/>
                    <a:gd name="T15" fmla="*/ 0 60000 65536"/>
                    <a:gd name="T16" fmla="*/ 0 60000 65536"/>
                    <a:gd name="T17" fmla="*/ 0 60000 65536"/>
                    <a:gd name="T18" fmla="*/ 0 60000 65536"/>
                    <a:gd name="T19" fmla="*/ 0 60000 65536"/>
                    <a:gd name="T20" fmla="*/ 0 60000 65536"/>
                    <a:gd name="T21" fmla="*/ 0 w 1790700"/>
                    <a:gd name="T22" fmla="*/ 0 h 1889760"/>
                    <a:gd name="T23" fmla="*/ 1790700 w 1790700"/>
                    <a:gd name="T24" fmla="*/ 1889760 h 188976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790700" h="1889760">
                      <a:moveTo>
                        <a:pt x="0" y="1882140"/>
                      </a:moveTo>
                      <a:cubicBezTo>
                        <a:pt x="82550" y="1546860"/>
                        <a:pt x="165100" y="1211580"/>
                        <a:pt x="259080" y="944880"/>
                      </a:cubicBezTo>
                      <a:cubicBezTo>
                        <a:pt x="353060" y="678180"/>
                        <a:pt x="455930" y="439420"/>
                        <a:pt x="563880" y="281940"/>
                      </a:cubicBezTo>
                      <a:cubicBezTo>
                        <a:pt x="671830" y="124460"/>
                        <a:pt x="795020" y="0"/>
                        <a:pt x="906780" y="0"/>
                      </a:cubicBezTo>
                      <a:cubicBezTo>
                        <a:pt x="1018540" y="0"/>
                        <a:pt x="1127760" y="124460"/>
                        <a:pt x="1234440" y="281940"/>
                      </a:cubicBezTo>
                      <a:cubicBezTo>
                        <a:pt x="1341120" y="439420"/>
                        <a:pt x="1454150" y="676910"/>
                        <a:pt x="1546860" y="944880"/>
                      </a:cubicBezTo>
                      <a:cubicBezTo>
                        <a:pt x="1639570" y="1212850"/>
                        <a:pt x="1715135" y="1551305"/>
                        <a:pt x="1790700" y="1889760"/>
                      </a:cubicBezTo>
                    </a:path>
                  </a:pathLst>
                </a:custGeom>
                <a:noFill/>
                <a:ln w="22225" cap="flat" cmpd="sng" algn="ctr">
                  <a:solidFill>
                    <a:srgbClr val="000000"/>
                  </a:solidFill>
                  <a:prstDash val="solid"/>
                  <a:round/>
                  <a:headEnd type="none" w="med" len="med"/>
                  <a:tailEnd type="none" w="med" len="med"/>
                </a:ln>
              </xdr:spPr>
            </xdr:sp>
          </xdr:grpSp>
        </xdr:grpSp>
        <xdr:sp macro="" textlink="">
          <xdr:nvSpPr>
            <xdr:cNvPr id="221" name="Tekstvak 220"/>
            <xdr:cNvSpPr txBox="1"/>
          </xdr:nvSpPr>
          <xdr:spPr bwMode="auto">
            <a:xfrm flipH="1">
              <a:off x="3886201" y="33704598"/>
              <a:ext cx="1318260" cy="311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rgbClr val="FF0000"/>
                  </a:solidFill>
                </a:rPr>
                <a:t>A    B   C    D           E</a:t>
              </a:r>
            </a:p>
          </xdr:txBody>
        </xdr:sp>
      </xdr:grpSp>
      <xdr:sp macro="" textlink="">
        <xdr:nvSpPr>
          <xdr:cNvPr id="318" name="Tekstvak 317"/>
          <xdr:cNvSpPr txBox="1"/>
        </xdr:nvSpPr>
        <xdr:spPr bwMode="auto">
          <a:xfrm flipH="1">
            <a:off x="2987041" y="41315254"/>
            <a:ext cx="350520" cy="319088"/>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solidFill>
                  <a:sysClr val="windowText" lastClr="000000"/>
                </a:solidFill>
              </a:rPr>
              <a:t>€</a:t>
            </a:r>
          </a:p>
        </xdr:txBody>
      </xdr:sp>
    </xdr:grpSp>
    <xdr:clientData/>
  </xdr:twoCellAnchor>
  <xdr:twoCellAnchor>
    <xdr:from>
      <xdr:col>4</xdr:col>
      <xdr:colOff>0</xdr:colOff>
      <xdr:row>339</xdr:row>
      <xdr:rowOff>60960</xdr:rowOff>
    </xdr:from>
    <xdr:to>
      <xdr:col>162</xdr:col>
      <xdr:colOff>510540</xdr:colOff>
      <xdr:row>347</xdr:row>
      <xdr:rowOff>106680</xdr:rowOff>
    </xdr:to>
    <xdr:grpSp>
      <xdr:nvGrpSpPr>
        <xdr:cNvPr id="59820499" name="Groep 554"/>
        <xdr:cNvGrpSpPr>
          <a:grpSpLocks/>
        </xdr:cNvGrpSpPr>
      </xdr:nvGrpSpPr>
      <xdr:grpSpPr bwMode="auto">
        <a:xfrm>
          <a:off x="502920" y="56647080"/>
          <a:ext cx="8054340" cy="1752600"/>
          <a:chOff x="510540" y="70835520"/>
          <a:chExt cx="8054340" cy="1760220"/>
        </a:xfrm>
      </xdr:grpSpPr>
      <xdr:sp macro="" textlink="">
        <xdr:nvSpPr>
          <xdr:cNvPr id="59820572" name="Gelijkbenige driehoek 435"/>
          <xdr:cNvSpPr>
            <a:spLocks noChangeArrowheads="1"/>
          </xdr:cNvSpPr>
        </xdr:nvSpPr>
        <xdr:spPr bwMode="auto">
          <a:xfrm>
            <a:off x="777240" y="71224140"/>
            <a:ext cx="845820" cy="845820"/>
          </a:xfrm>
          <a:prstGeom prst="triangle">
            <a:avLst>
              <a:gd name="adj" fmla="val 0"/>
            </a:avLst>
          </a:prstGeom>
          <a:solidFill>
            <a:srgbClr val="00B0F0"/>
          </a:solidFill>
          <a:ln w="22225" algn="ctr">
            <a:noFill/>
            <a:round/>
            <a:headEnd/>
            <a:tailEnd/>
          </a:ln>
        </xdr:spPr>
      </xdr:sp>
      <xdr:grpSp>
        <xdr:nvGrpSpPr>
          <xdr:cNvPr id="59820573" name="Groep 553"/>
          <xdr:cNvGrpSpPr>
            <a:grpSpLocks/>
          </xdr:cNvGrpSpPr>
        </xdr:nvGrpSpPr>
        <xdr:grpSpPr bwMode="auto">
          <a:xfrm>
            <a:off x="510540" y="70835520"/>
            <a:ext cx="8054340" cy="1760220"/>
            <a:chOff x="510540" y="70835520"/>
            <a:chExt cx="8054340" cy="1760220"/>
          </a:xfrm>
        </xdr:grpSpPr>
        <xdr:sp macro="" textlink="">
          <xdr:nvSpPr>
            <xdr:cNvPr id="59820574" name="Rechthoek 439"/>
            <xdr:cNvSpPr>
              <a:spLocks noChangeArrowheads="1"/>
            </xdr:cNvSpPr>
          </xdr:nvSpPr>
          <xdr:spPr bwMode="auto">
            <a:xfrm>
              <a:off x="1463040" y="72031860"/>
              <a:ext cx="121920" cy="121922"/>
            </a:xfrm>
            <a:prstGeom prst="rect">
              <a:avLst/>
            </a:prstGeom>
            <a:solidFill>
              <a:srgbClr val="D9D9D9"/>
            </a:solidFill>
            <a:ln w="9525" algn="ctr">
              <a:solidFill>
                <a:srgbClr val="000000"/>
              </a:solidFill>
              <a:round/>
              <a:headEnd/>
              <a:tailEnd/>
            </a:ln>
          </xdr:spPr>
        </xdr:sp>
        <xdr:grpSp>
          <xdr:nvGrpSpPr>
            <xdr:cNvPr id="59820575" name="Groep 517"/>
            <xdr:cNvGrpSpPr>
              <a:grpSpLocks/>
            </xdr:cNvGrpSpPr>
          </xdr:nvGrpSpPr>
          <xdr:grpSpPr bwMode="auto">
            <a:xfrm>
              <a:off x="510540" y="70835520"/>
              <a:ext cx="8054340" cy="1760220"/>
              <a:chOff x="510540" y="75133200"/>
              <a:chExt cx="8054340" cy="1760220"/>
            </a:xfrm>
          </xdr:grpSpPr>
          <xdr:sp macro="" textlink="">
            <xdr:nvSpPr>
              <xdr:cNvPr id="59820576" name="Gelijkbenige driehoek 435"/>
              <xdr:cNvSpPr>
                <a:spLocks noChangeArrowheads="1"/>
              </xdr:cNvSpPr>
            </xdr:nvSpPr>
            <xdr:spPr bwMode="auto">
              <a:xfrm>
                <a:off x="2430780" y="75506580"/>
                <a:ext cx="494765" cy="504916"/>
              </a:xfrm>
              <a:prstGeom prst="triangle">
                <a:avLst>
                  <a:gd name="adj" fmla="val 0"/>
                </a:avLst>
              </a:prstGeom>
              <a:solidFill>
                <a:srgbClr val="00B0F0"/>
              </a:solidFill>
              <a:ln w="22225" algn="ctr">
                <a:noFill/>
                <a:round/>
                <a:headEnd/>
                <a:tailEnd/>
              </a:ln>
            </xdr:spPr>
          </xdr:sp>
          <xdr:sp macro="" textlink="">
            <xdr:nvSpPr>
              <xdr:cNvPr id="59820577" name="Gelijkbenige driehoek 435"/>
              <xdr:cNvSpPr>
                <a:spLocks noChangeArrowheads="1"/>
              </xdr:cNvSpPr>
            </xdr:nvSpPr>
            <xdr:spPr bwMode="auto">
              <a:xfrm>
                <a:off x="4107180" y="75521820"/>
                <a:ext cx="441484" cy="443956"/>
              </a:xfrm>
              <a:prstGeom prst="triangle">
                <a:avLst>
                  <a:gd name="adj" fmla="val 0"/>
                </a:avLst>
              </a:prstGeom>
              <a:solidFill>
                <a:srgbClr val="00B0F0"/>
              </a:solidFill>
              <a:ln w="22225" algn="ctr">
                <a:noFill/>
                <a:round/>
                <a:headEnd/>
                <a:tailEnd/>
              </a:ln>
            </xdr:spPr>
          </xdr:sp>
          <xdr:sp macro="" textlink="">
            <xdr:nvSpPr>
              <xdr:cNvPr id="325" name="Tekstvak 324"/>
              <xdr:cNvSpPr txBox="1"/>
            </xdr:nvSpPr>
            <xdr:spPr bwMode="auto">
              <a:xfrm>
                <a:off x="1249680" y="75263303"/>
                <a:ext cx="320040" cy="298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A</a:t>
                </a:r>
              </a:p>
            </xdr:txBody>
          </xdr:sp>
          <xdr:grpSp>
            <xdr:nvGrpSpPr>
              <xdr:cNvPr id="59820579" name="Groep 752"/>
              <xdr:cNvGrpSpPr>
                <a:grpSpLocks/>
              </xdr:cNvGrpSpPr>
            </xdr:nvGrpSpPr>
            <xdr:grpSpPr bwMode="auto">
              <a:xfrm>
                <a:off x="2171700" y="75148440"/>
                <a:ext cx="1668780" cy="1737360"/>
                <a:chOff x="2171700" y="74721720"/>
                <a:chExt cx="1670586" cy="1737378"/>
              </a:xfrm>
            </xdr:grpSpPr>
            <xdr:grpSp>
              <xdr:nvGrpSpPr>
                <xdr:cNvPr id="59820666" name="Groep 388"/>
                <xdr:cNvGrpSpPr>
                  <a:grpSpLocks/>
                </xdr:cNvGrpSpPr>
              </xdr:nvGrpSpPr>
              <xdr:grpSpPr bwMode="auto">
                <a:xfrm>
                  <a:off x="2171700" y="74721720"/>
                  <a:ext cx="1670586" cy="1737378"/>
                  <a:chOff x="1844040" y="78912720"/>
                  <a:chExt cx="1346821" cy="1561273"/>
                </a:xfrm>
              </xdr:grpSpPr>
              <xdr:sp macro="" textlink="">
                <xdr:nvSpPr>
                  <xdr:cNvPr id="59820669" name="Rechthoek 437"/>
                  <xdr:cNvSpPr>
                    <a:spLocks noChangeArrowheads="1"/>
                  </xdr:cNvSpPr>
                </xdr:nvSpPr>
                <xdr:spPr bwMode="auto">
                  <a:xfrm>
                    <a:off x="2046986" y="79686501"/>
                    <a:ext cx="417520" cy="483519"/>
                  </a:xfrm>
                  <a:prstGeom prst="rect">
                    <a:avLst/>
                  </a:prstGeom>
                  <a:solidFill>
                    <a:srgbClr val="D9D9D9"/>
                  </a:solidFill>
                  <a:ln w="9525" algn="ctr">
                    <a:solidFill>
                      <a:srgbClr val="000000"/>
                    </a:solidFill>
                    <a:round/>
                    <a:headEnd/>
                    <a:tailEnd/>
                  </a:ln>
                </xdr:spPr>
              </xdr:sp>
              <xdr:grpSp>
                <xdr:nvGrpSpPr>
                  <xdr:cNvPr id="59820670" name="Groep 365"/>
                  <xdr:cNvGrpSpPr>
                    <a:grpSpLocks/>
                  </xdr:cNvGrpSpPr>
                </xdr:nvGrpSpPr>
                <xdr:grpSpPr bwMode="auto">
                  <a:xfrm>
                    <a:off x="1844040" y="78912720"/>
                    <a:ext cx="1346821" cy="1561273"/>
                    <a:chOff x="563880" y="78905100"/>
                    <a:chExt cx="1346821" cy="1561273"/>
                  </a:xfrm>
                </xdr:grpSpPr>
                <xdr:grpSp>
                  <xdr:nvGrpSpPr>
                    <xdr:cNvPr id="59820671" name="Groep 295"/>
                    <xdr:cNvGrpSpPr>
                      <a:grpSpLocks/>
                    </xdr:cNvGrpSpPr>
                  </xdr:nvGrpSpPr>
                  <xdr:grpSpPr bwMode="auto">
                    <a:xfrm>
                      <a:off x="563880" y="78905100"/>
                      <a:ext cx="1346821" cy="1561273"/>
                      <a:chOff x="1334290" y="78889860"/>
                      <a:chExt cx="1664154" cy="1561283"/>
                    </a:xfrm>
                  </xdr:grpSpPr>
                  <xdr:grpSp>
                    <xdr:nvGrpSpPr>
                      <xdr:cNvPr id="59820673" name="Groep 298"/>
                      <xdr:cNvGrpSpPr>
                        <a:grpSpLocks/>
                      </xdr:cNvGrpSpPr>
                    </xdr:nvGrpSpPr>
                    <xdr:grpSpPr bwMode="auto">
                      <a:xfrm>
                        <a:off x="1334290" y="78889860"/>
                        <a:ext cx="1664154" cy="1561283"/>
                        <a:chOff x="1927860" y="20314931"/>
                        <a:chExt cx="1656108" cy="1704162"/>
                      </a:xfrm>
                    </xdr:grpSpPr>
                    <xdr:grpSp>
                      <xdr:nvGrpSpPr>
                        <xdr:cNvPr id="59820677" name="Groep 270"/>
                        <xdr:cNvGrpSpPr>
                          <a:grpSpLocks/>
                        </xdr:cNvGrpSpPr>
                      </xdr:nvGrpSpPr>
                      <xdr:grpSpPr bwMode="auto">
                        <a:xfrm>
                          <a:off x="1927860" y="20314931"/>
                          <a:ext cx="1656108" cy="1704162"/>
                          <a:chOff x="373380" y="20307322"/>
                          <a:chExt cx="1656108" cy="1704162"/>
                        </a:xfrm>
                      </xdr:grpSpPr>
                      <xdr:grpSp>
                        <xdr:nvGrpSpPr>
                          <xdr:cNvPr id="59820679" name="Group 418"/>
                          <xdr:cNvGrpSpPr>
                            <a:grpSpLocks/>
                          </xdr:cNvGrpSpPr>
                        </xdr:nvGrpSpPr>
                        <xdr:grpSpPr bwMode="auto">
                          <a:xfrm>
                            <a:off x="373380" y="20307322"/>
                            <a:ext cx="1656108" cy="1704162"/>
                            <a:chOff x="194" y="6676"/>
                            <a:chExt cx="178" cy="207"/>
                          </a:xfrm>
                        </xdr:grpSpPr>
                        <xdr:sp macro="" textlink="">
                          <xdr:nvSpPr>
                            <xdr:cNvPr id="438" name="Text Box 256"/>
                            <xdr:cNvSpPr txBox="1">
                              <a:spLocks noChangeArrowheads="1"/>
                            </xdr:cNvSpPr>
                          </xdr:nvSpPr>
                          <xdr:spPr bwMode="auto">
                            <a:xfrm>
                              <a:off x="194" y="6677"/>
                              <a:ext cx="31" cy="22"/>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439" name="Text Box 257"/>
                            <xdr:cNvSpPr txBox="1">
                              <a:spLocks noChangeArrowheads="1"/>
                            </xdr:cNvSpPr>
                          </xdr:nvSpPr>
                          <xdr:spPr bwMode="auto">
                            <a:xfrm>
                              <a:off x="332" y="6854"/>
                              <a:ext cx="39"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20680"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20678" name="Line 238"/>
                        <xdr:cNvSpPr>
                          <a:spLocks noChangeShapeType="1"/>
                        </xdr:cNvSpPr>
                      </xdr:nvSpPr>
                      <xdr:spPr bwMode="auto">
                        <a:xfrm>
                          <a:off x="2171831" y="20643017"/>
                          <a:ext cx="1097280" cy="1082040"/>
                        </a:xfrm>
                        <a:prstGeom prst="line">
                          <a:avLst/>
                        </a:prstGeom>
                        <a:noFill/>
                        <a:ln w="19050">
                          <a:solidFill>
                            <a:srgbClr val="000000"/>
                          </a:solidFill>
                          <a:round/>
                          <a:headEnd/>
                          <a:tailEnd/>
                        </a:ln>
                      </xdr:spPr>
                    </xdr:sp>
                  </xdr:grpSp>
                  <xdr:sp macro="" textlink="">
                    <xdr:nvSpPr>
                      <xdr:cNvPr id="59820674" name="Rechthoek 447"/>
                      <xdr:cNvSpPr>
                        <a:spLocks noChangeArrowheads="1"/>
                      </xdr:cNvSpPr>
                    </xdr:nvSpPr>
                    <xdr:spPr bwMode="auto">
                      <a:xfrm>
                        <a:off x="1594629" y="80052836"/>
                        <a:ext cx="885618" cy="142496"/>
                      </a:xfrm>
                      <a:prstGeom prst="rect">
                        <a:avLst/>
                      </a:prstGeom>
                      <a:solidFill>
                        <a:srgbClr val="FFFFFF"/>
                      </a:solidFill>
                      <a:ln w="22225" algn="ctr">
                        <a:noFill/>
                        <a:round/>
                        <a:headEnd/>
                        <a:tailEnd/>
                      </a:ln>
                    </xdr:spPr>
                  </xdr:sp>
                  <xdr:sp macro="" textlink="">
                    <xdr:nvSpPr>
                      <xdr:cNvPr id="59820675" name="Line 238"/>
                      <xdr:cNvSpPr>
                        <a:spLocks noChangeShapeType="1"/>
                      </xdr:cNvSpPr>
                    </xdr:nvSpPr>
                    <xdr:spPr bwMode="auto">
                      <a:xfrm>
                        <a:off x="1586972" y="78903822"/>
                        <a:ext cx="0" cy="1289755"/>
                      </a:xfrm>
                      <a:prstGeom prst="line">
                        <a:avLst/>
                      </a:prstGeom>
                      <a:noFill/>
                      <a:ln w="19050">
                        <a:solidFill>
                          <a:srgbClr val="000000"/>
                        </a:solidFill>
                        <a:round/>
                        <a:headEnd/>
                        <a:tailEnd/>
                      </a:ln>
                    </xdr:spPr>
                  </xdr:sp>
                  <xdr:cxnSp macro="">
                    <xdr:nvCxnSpPr>
                      <xdr:cNvPr id="59820676" name="Rechte verbindingslijn 465"/>
                      <xdr:cNvCxnSpPr>
                        <a:cxnSpLocks noChangeShapeType="1"/>
                      </xdr:cNvCxnSpPr>
                    </xdr:nvCxnSpPr>
                    <xdr:spPr bwMode="auto">
                      <a:xfrm flipV="1">
                        <a:off x="1581411" y="80045988"/>
                        <a:ext cx="1129117" cy="1"/>
                      </a:xfrm>
                      <a:prstGeom prst="line">
                        <a:avLst/>
                      </a:prstGeom>
                      <a:noFill/>
                      <a:ln w="22225" algn="ctr">
                        <a:solidFill>
                          <a:srgbClr val="000000"/>
                        </a:solidFill>
                        <a:round/>
                        <a:headEnd/>
                        <a:tailEnd/>
                      </a:ln>
                    </xdr:spPr>
                  </xdr:cxnSp>
                </xdr:grpSp>
                <xdr:cxnSp macro="">
                  <xdr:nvCxnSpPr>
                    <xdr:cNvPr id="59820672" name="Rechte verbindingslijn 477"/>
                    <xdr:cNvCxnSpPr>
                      <a:cxnSpLocks noChangeShapeType="1"/>
                    </xdr:cNvCxnSpPr>
                  </xdr:nvCxnSpPr>
                  <xdr:spPr bwMode="auto">
                    <a:xfrm>
                      <a:off x="772749" y="79213243"/>
                      <a:ext cx="403200" cy="990473"/>
                    </a:xfrm>
                    <a:prstGeom prst="line">
                      <a:avLst/>
                    </a:prstGeom>
                    <a:noFill/>
                    <a:ln w="22225" algn="ctr">
                      <a:solidFill>
                        <a:srgbClr val="000000"/>
                      </a:solidFill>
                      <a:round/>
                      <a:headEnd/>
                      <a:tailEnd/>
                    </a:ln>
                  </xdr:spPr>
                </xdr:cxnSp>
              </xdr:grpSp>
            </xdr:grpSp>
            <xdr:cxnSp macro="">
              <xdr:nvCxnSpPr>
                <xdr:cNvPr id="59820667" name="Rechte verbindingslijn 464"/>
                <xdr:cNvCxnSpPr>
                  <a:cxnSpLocks noChangeShapeType="1"/>
                </xdr:cNvCxnSpPr>
              </xdr:nvCxnSpPr>
              <xdr:spPr bwMode="auto">
                <a:xfrm>
                  <a:off x="2933700" y="76017120"/>
                  <a:ext cx="7620" cy="182880"/>
                </a:xfrm>
                <a:prstGeom prst="line">
                  <a:avLst/>
                </a:prstGeom>
                <a:noFill/>
                <a:ln w="22225" algn="ctr">
                  <a:solidFill>
                    <a:srgbClr val="000000"/>
                  </a:solidFill>
                  <a:prstDash val="sysDash"/>
                  <a:round/>
                  <a:headEnd/>
                  <a:tailEnd/>
                </a:ln>
              </xdr:spPr>
            </xdr:cxnSp>
            <xdr:sp macro="" textlink="">
              <xdr:nvSpPr>
                <xdr:cNvPr id="425" name="Tekstvak 424"/>
                <xdr:cNvSpPr txBox="1"/>
              </xdr:nvSpPr>
              <xdr:spPr bwMode="auto">
                <a:xfrm flipH="1">
                  <a:off x="2804844" y="76152936"/>
                  <a:ext cx="228847" cy="252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grpSp>
          <xdr:grpSp>
            <xdr:nvGrpSpPr>
              <xdr:cNvPr id="59820580" name="Groep 753"/>
              <xdr:cNvGrpSpPr>
                <a:grpSpLocks/>
              </xdr:cNvGrpSpPr>
            </xdr:nvGrpSpPr>
            <xdr:grpSpPr bwMode="auto">
              <a:xfrm>
                <a:off x="3840480" y="75148440"/>
                <a:ext cx="1668780" cy="1737360"/>
                <a:chOff x="3840480" y="74721720"/>
                <a:chExt cx="1670586" cy="1737378"/>
              </a:xfrm>
            </xdr:grpSpPr>
            <xdr:grpSp>
              <xdr:nvGrpSpPr>
                <xdr:cNvPr id="59820649" name="Groep 388"/>
                <xdr:cNvGrpSpPr>
                  <a:grpSpLocks/>
                </xdr:cNvGrpSpPr>
              </xdr:nvGrpSpPr>
              <xdr:grpSpPr bwMode="auto">
                <a:xfrm>
                  <a:off x="3840480" y="74721720"/>
                  <a:ext cx="1670586" cy="1737378"/>
                  <a:chOff x="1844040" y="78912720"/>
                  <a:chExt cx="1346821" cy="1561273"/>
                </a:xfrm>
              </xdr:grpSpPr>
              <xdr:sp macro="" textlink="">
                <xdr:nvSpPr>
                  <xdr:cNvPr id="59820652" name="Rechthoek 437"/>
                  <xdr:cNvSpPr>
                    <a:spLocks noChangeArrowheads="1"/>
                  </xdr:cNvSpPr>
                </xdr:nvSpPr>
                <xdr:spPr bwMode="auto">
                  <a:xfrm>
                    <a:off x="2040836" y="79618025"/>
                    <a:ext cx="356094" cy="551995"/>
                  </a:xfrm>
                  <a:prstGeom prst="rect">
                    <a:avLst/>
                  </a:prstGeom>
                  <a:solidFill>
                    <a:srgbClr val="D9D9D9"/>
                  </a:solidFill>
                  <a:ln w="9525" algn="ctr">
                    <a:solidFill>
                      <a:srgbClr val="000000"/>
                    </a:solidFill>
                    <a:round/>
                    <a:headEnd/>
                    <a:tailEnd/>
                  </a:ln>
                </xdr:spPr>
              </xdr:sp>
              <xdr:grpSp>
                <xdr:nvGrpSpPr>
                  <xdr:cNvPr id="59820653" name="Groep 365"/>
                  <xdr:cNvGrpSpPr>
                    <a:grpSpLocks/>
                  </xdr:cNvGrpSpPr>
                </xdr:nvGrpSpPr>
                <xdr:grpSpPr bwMode="auto">
                  <a:xfrm>
                    <a:off x="1844040" y="78912720"/>
                    <a:ext cx="1346821" cy="1561273"/>
                    <a:chOff x="563880" y="78905100"/>
                    <a:chExt cx="1346821" cy="1561273"/>
                  </a:xfrm>
                </xdr:grpSpPr>
                <xdr:grpSp>
                  <xdr:nvGrpSpPr>
                    <xdr:cNvPr id="59820654" name="Groep 295"/>
                    <xdr:cNvGrpSpPr>
                      <a:grpSpLocks/>
                    </xdr:cNvGrpSpPr>
                  </xdr:nvGrpSpPr>
                  <xdr:grpSpPr bwMode="auto">
                    <a:xfrm>
                      <a:off x="563880" y="78905100"/>
                      <a:ext cx="1346821" cy="1561273"/>
                      <a:chOff x="1334290" y="78889860"/>
                      <a:chExt cx="1664154" cy="1561283"/>
                    </a:xfrm>
                  </xdr:grpSpPr>
                  <xdr:grpSp>
                    <xdr:nvGrpSpPr>
                      <xdr:cNvPr id="59820656" name="Groep 298"/>
                      <xdr:cNvGrpSpPr>
                        <a:grpSpLocks/>
                      </xdr:cNvGrpSpPr>
                    </xdr:nvGrpSpPr>
                    <xdr:grpSpPr bwMode="auto">
                      <a:xfrm>
                        <a:off x="1334290" y="78889860"/>
                        <a:ext cx="1664154" cy="1561283"/>
                        <a:chOff x="1927860" y="20314931"/>
                        <a:chExt cx="1656108" cy="1704162"/>
                      </a:xfrm>
                    </xdr:grpSpPr>
                    <xdr:grpSp>
                      <xdr:nvGrpSpPr>
                        <xdr:cNvPr id="59820660" name="Groep 270"/>
                        <xdr:cNvGrpSpPr>
                          <a:grpSpLocks/>
                        </xdr:cNvGrpSpPr>
                      </xdr:nvGrpSpPr>
                      <xdr:grpSpPr bwMode="auto">
                        <a:xfrm>
                          <a:off x="1927860" y="20314931"/>
                          <a:ext cx="1656108" cy="1704162"/>
                          <a:chOff x="373380" y="20307322"/>
                          <a:chExt cx="1656108" cy="1704162"/>
                        </a:xfrm>
                      </xdr:grpSpPr>
                      <xdr:grpSp>
                        <xdr:nvGrpSpPr>
                          <xdr:cNvPr id="59820662" name="Group 418"/>
                          <xdr:cNvGrpSpPr>
                            <a:grpSpLocks/>
                          </xdr:cNvGrpSpPr>
                        </xdr:nvGrpSpPr>
                        <xdr:grpSpPr bwMode="auto">
                          <a:xfrm>
                            <a:off x="373380" y="20307322"/>
                            <a:ext cx="1656108" cy="1704162"/>
                            <a:chOff x="194" y="6676"/>
                            <a:chExt cx="178" cy="207"/>
                          </a:xfrm>
                        </xdr:grpSpPr>
                        <xdr:sp macro="" textlink="">
                          <xdr:nvSpPr>
                            <xdr:cNvPr id="421" name="Text Box 256"/>
                            <xdr:cNvSpPr txBox="1">
                              <a:spLocks noChangeArrowheads="1"/>
                            </xdr:cNvSpPr>
                          </xdr:nvSpPr>
                          <xdr:spPr bwMode="auto">
                            <a:xfrm>
                              <a:off x="194" y="6677"/>
                              <a:ext cx="31" cy="22"/>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422" name="Text Box 257"/>
                            <xdr:cNvSpPr txBox="1">
                              <a:spLocks noChangeArrowheads="1"/>
                            </xdr:cNvSpPr>
                          </xdr:nvSpPr>
                          <xdr:spPr bwMode="auto">
                            <a:xfrm>
                              <a:off x="332" y="6854"/>
                              <a:ext cx="39"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20663"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20661" name="Line 238"/>
                        <xdr:cNvSpPr>
                          <a:spLocks noChangeShapeType="1"/>
                        </xdr:cNvSpPr>
                      </xdr:nvSpPr>
                      <xdr:spPr bwMode="auto">
                        <a:xfrm>
                          <a:off x="2171831" y="20643017"/>
                          <a:ext cx="1097280" cy="1082040"/>
                        </a:xfrm>
                        <a:prstGeom prst="line">
                          <a:avLst/>
                        </a:prstGeom>
                        <a:noFill/>
                        <a:ln w="19050">
                          <a:solidFill>
                            <a:srgbClr val="000000"/>
                          </a:solidFill>
                          <a:round/>
                          <a:headEnd/>
                          <a:tailEnd/>
                        </a:ln>
                      </xdr:spPr>
                    </xdr:sp>
                  </xdr:grpSp>
                  <xdr:sp macro="" textlink="">
                    <xdr:nvSpPr>
                      <xdr:cNvPr id="59820657" name="Rechthoek 447"/>
                      <xdr:cNvSpPr>
                        <a:spLocks noChangeArrowheads="1"/>
                      </xdr:cNvSpPr>
                    </xdr:nvSpPr>
                    <xdr:spPr bwMode="auto">
                      <a:xfrm>
                        <a:off x="1594629" y="80052836"/>
                        <a:ext cx="885618" cy="142496"/>
                      </a:xfrm>
                      <a:prstGeom prst="rect">
                        <a:avLst/>
                      </a:prstGeom>
                      <a:solidFill>
                        <a:srgbClr val="FFFFFF"/>
                      </a:solidFill>
                      <a:ln w="22225" algn="ctr">
                        <a:noFill/>
                        <a:round/>
                        <a:headEnd/>
                        <a:tailEnd/>
                      </a:ln>
                    </xdr:spPr>
                  </xdr:sp>
                  <xdr:sp macro="" textlink="">
                    <xdr:nvSpPr>
                      <xdr:cNvPr id="59820658" name="Line 238"/>
                      <xdr:cNvSpPr>
                        <a:spLocks noChangeShapeType="1"/>
                      </xdr:cNvSpPr>
                    </xdr:nvSpPr>
                    <xdr:spPr bwMode="auto">
                      <a:xfrm>
                        <a:off x="1586972" y="78903822"/>
                        <a:ext cx="0" cy="1289755"/>
                      </a:xfrm>
                      <a:prstGeom prst="line">
                        <a:avLst/>
                      </a:prstGeom>
                      <a:noFill/>
                      <a:ln w="19050">
                        <a:solidFill>
                          <a:srgbClr val="000000"/>
                        </a:solidFill>
                        <a:round/>
                        <a:headEnd/>
                        <a:tailEnd/>
                      </a:ln>
                    </xdr:spPr>
                  </xdr:sp>
                  <xdr:cxnSp macro="">
                    <xdr:nvCxnSpPr>
                      <xdr:cNvPr id="59820659" name="Rechte verbindingslijn 465"/>
                      <xdr:cNvCxnSpPr>
                        <a:cxnSpLocks noChangeShapeType="1"/>
                      </xdr:cNvCxnSpPr>
                    </xdr:nvCxnSpPr>
                    <xdr:spPr bwMode="auto">
                      <a:xfrm flipV="1">
                        <a:off x="1596609" y="80045988"/>
                        <a:ext cx="1129117" cy="1"/>
                      </a:xfrm>
                      <a:prstGeom prst="line">
                        <a:avLst/>
                      </a:prstGeom>
                      <a:noFill/>
                      <a:ln w="22225" algn="ctr">
                        <a:solidFill>
                          <a:srgbClr val="000000"/>
                        </a:solidFill>
                        <a:round/>
                        <a:headEnd/>
                        <a:tailEnd/>
                      </a:ln>
                    </xdr:spPr>
                  </xdr:cxnSp>
                </xdr:grpSp>
                <xdr:cxnSp macro="">
                  <xdr:nvCxnSpPr>
                    <xdr:cNvPr id="59820655" name="Rechte verbindingslijn 477"/>
                    <xdr:cNvCxnSpPr>
                      <a:cxnSpLocks noChangeShapeType="1"/>
                    </xdr:cNvCxnSpPr>
                  </xdr:nvCxnSpPr>
                  <xdr:spPr bwMode="auto">
                    <a:xfrm>
                      <a:off x="772749" y="79213243"/>
                      <a:ext cx="403200" cy="990473"/>
                    </a:xfrm>
                    <a:prstGeom prst="line">
                      <a:avLst/>
                    </a:prstGeom>
                    <a:noFill/>
                    <a:ln w="22225" algn="ctr">
                      <a:solidFill>
                        <a:srgbClr val="000000"/>
                      </a:solidFill>
                      <a:round/>
                      <a:headEnd/>
                      <a:tailEnd/>
                    </a:ln>
                  </xdr:spPr>
                </xdr:cxnSp>
              </xdr:grpSp>
            </xdr:grpSp>
            <xdr:cxnSp macro="">
              <xdr:nvCxnSpPr>
                <xdr:cNvPr id="59820650" name="Rechte verbindingslijn 464"/>
                <xdr:cNvCxnSpPr>
                  <a:cxnSpLocks noChangeShapeType="1"/>
                </xdr:cNvCxnSpPr>
              </xdr:nvCxnSpPr>
              <xdr:spPr bwMode="auto">
                <a:xfrm>
                  <a:off x="4518660" y="76032360"/>
                  <a:ext cx="3810" cy="182880"/>
                </a:xfrm>
                <a:prstGeom prst="line">
                  <a:avLst/>
                </a:prstGeom>
                <a:noFill/>
                <a:ln w="22225" algn="ctr">
                  <a:solidFill>
                    <a:srgbClr val="000000"/>
                  </a:solidFill>
                  <a:prstDash val="sysDash"/>
                  <a:round/>
                  <a:headEnd/>
                  <a:tailEnd/>
                </a:ln>
              </xdr:spPr>
            </xdr:cxnSp>
            <xdr:sp macro="" textlink="">
              <xdr:nvSpPr>
                <xdr:cNvPr id="408" name="Tekstvak 407"/>
                <xdr:cNvSpPr txBox="1"/>
              </xdr:nvSpPr>
              <xdr:spPr bwMode="auto">
                <a:xfrm flipH="1">
                  <a:off x="4412598" y="76168243"/>
                  <a:ext cx="236476" cy="260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grpSp>
          <xdr:grpSp>
            <xdr:nvGrpSpPr>
              <xdr:cNvPr id="59820581" name="Groep 729"/>
              <xdr:cNvGrpSpPr>
                <a:grpSpLocks/>
              </xdr:cNvGrpSpPr>
            </xdr:nvGrpSpPr>
            <xdr:grpSpPr bwMode="auto">
              <a:xfrm>
                <a:off x="5334000" y="75133200"/>
                <a:ext cx="1668780" cy="1737360"/>
                <a:chOff x="5334000" y="74706480"/>
                <a:chExt cx="1670586" cy="1737378"/>
              </a:xfrm>
            </xdr:grpSpPr>
            <xdr:grpSp>
              <xdr:nvGrpSpPr>
                <xdr:cNvPr id="59820632" name="Groep 491"/>
                <xdr:cNvGrpSpPr>
                  <a:grpSpLocks/>
                </xdr:cNvGrpSpPr>
              </xdr:nvGrpSpPr>
              <xdr:grpSpPr bwMode="auto">
                <a:xfrm>
                  <a:off x="5334000" y="74706480"/>
                  <a:ext cx="1670586" cy="1737378"/>
                  <a:chOff x="5631180" y="78912720"/>
                  <a:chExt cx="1346821" cy="1561273"/>
                </a:xfrm>
              </xdr:grpSpPr>
              <xdr:sp macro="" textlink="">
                <xdr:nvSpPr>
                  <xdr:cNvPr id="59820635" name="Gelijkbenige driehoek 435"/>
                  <xdr:cNvSpPr>
                    <a:spLocks noChangeArrowheads="1"/>
                  </xdr:cNvSpPr>
                </xdr:nvSpPr>
                <xdr:spPr bwMode="auto">
                  <a:xfrm>
                    <a:off x="5840048" y="79232760"/>
                    <a:ext cx="767903" cy="837208"/>
                  </a:xfrm>
                  <a:prstGeom prst="triangle">
                    <a:avLst>
                      <a:gd name="adj" fmla="val 0"/>
                    </a:avLst>
                  </a:prstGeom>
                  <a:solidFill>
                    <a:srgbClr val="00B0F0"/>
                  </a:solidFill>
                  <a:ln w="22225" algn="ctr">
                    <a:noFill/>
                    <a:round/>
                    <a:headEnd/>
                    <a:tailEnd/>
                  </a:ln>
                </xdr:spPr>
              </xdr:sp>
              <xdr:grpSp>
                <xdr:nvGrpSpPr>
                  <xdr:cNvPr id="59820636" name="Groep 365"/>
                  <xdr:cNvGrpSpPr>
                    <a:grpSpLocks/>
                  </xdr:cNvGrpSpPr>
                </xdr:nvGrpSpPr>
                <xdr:grpSpPr bwMode="auto">
                  <a:xfrm>
                    <a:off x="5631180" y="78912720"/>
                    <a:ext cx="1346821" cy="1561273"/>
                    <a:chOff x="563880" y="78905100"/>
                    <a:chExt cx="1346821" cy="1561273"/>
                  </a:xfrm>
                </xdr:grpSpPr>
                <xdr:grpSp>
                  <xdr:nvGrpSpPr>
                    <xdr:cNvPr id="59820637" name="Groep 295"/>
                    <xdr:cNvGrpSpPr>
                      <a:grpSpLocks/>
                    </xdr:cNvGrpSpPr>
                  </xdr:nvGrpSpPr>
                  <xdr:grpSpPr bwMode="auto">
                    <a:xfrm>
                      <a:off x="563880" y="78905100"/>
                      <a:ext cx="1346821" cy="1561273"/>
                      <a:chOff x="1334290" y="78889860"/>
                      <a:chExt cx="1664154" cy="1561283"/>
                    </a:xfrm>
                  </xdr:grpSpPr>
                  <xdr:grpSp>
                    <xdr:nvGrpSpPr>
                      <xdr:cNvPr id="59820639" name="Groep 298"/>
                      <xdr:cNvGrpSpPr>
                        <a:grpSpLocks/>
                      </xdr:cNvGrpSpPr>
                    </xdr:nvGrpSpPr>
                    <xdr:grpSpPr bwMode="auto">
                      <a:xfrm>
                        <a:off x="1334290" y="78889860"/>
                        <a:ext cx="1664154" cy="1561283"/>
                        <a:chOff x="1927860" y="20314931"/>
                        <a:chExt cx="1656108" cy="1704162"/>
                      </a:xfrm>
                    </xdr:grpSpPr>
                    <xdr:grpSp>
                      <xdr:nvGrpSpPr>
                        <xdr:cNvPr id="59820643" name="Groep 270"/>
                        <xdr:cNvGrpSpPr>
                          <a:grpSpLocks/>
                        </xdr:cNvGrpSpPr>
                      </xdr:nvGrpSpPr>
                      <xdr:grpSpPr bwMode="auto">
                        <a:xfrm>
                          <a:off x="1927860" y="20314931"/>
                          <a:ext cx="1656108" cy="1704162"/>
                          <a:chOff x="373380" y="20307322"/>
                          <a:chExt cx="1656108" cy="1704162"/>
                        </a:xfrm>
                      </xdr:grpSpPr>
                      <xdr:grpSp>
                        <xdr:nvGrpSpPr>
                          <xdr:cNvPr id="59820645" name="Group 418"/>
                          <xdr:cNvGrpSpPr>
                            <a:grpSpLocks/>
                          </xdr:cNvGrpSpPr>
                        </xdr:nvGrpSpPr>
                        <xdr:grpSpPr bwMode="auto">
                          <a:xfrm>
                            <a:off x="373380" y="20307322"/>
                            <a:ext cx="1656108" cy="1704162"/>
                            <a:chOff x="194" y="6676"/>
                            <a:chExt cx="178" cy="207"/>
                          </a:xfrm>
                        </xdr:grpSpPr>
                        <xdr:sp macro="" textlink="">
                          <xdr:nvSpPr>
                            <xdr:cNvPr id="404" name="Text Box 256"/>
                            <xdr:cNvSpPr txBox="1">
                              <a:spLocks noChangeArrowheads="1"/>
                            </xdr:cNvSpPr>
                          </xdr:nvSpPr>
                          <xdr:spPr bwMode="auto">
                            <a:xfrm>
                              <a:off x="194" y="6676"/>
                              <a:ext cx="31" cy="22"/>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405" name="Text Box 257"/>
                            <xdr:cNvSpPr txBox="1">
                              <a:spLocks noChangeArrowheads="1"/>
                            </xdr:cNvSpPr>
                          </xdr:nvSpPr>
                          <xdr:spPr bwMode="auto">
                            <a:xfrm>
                              <a:off x="332" y="6854"/>
                              <a:ext cx="39"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20646"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20644" name="Line 238"/>
                        <xdr:cNvSpPr>
                          <a:spLocks noChangeShapeType="1"/>
                        </xdr:cNvSpPr>
                      </xdr:nvSpPr>
                      <xdr:spPr bwMode="auto">
                        <a:xfrm>
                          <a:off x="2171831" y="20643017"/>
                          <a:ext cx="1097280" cy="1082040"/>
                        </a:xfrm>
                        <a:prstGeom prst="line">
                          <a:avLst/>
                        </a:prstGeom>
                        <a:noFill/>
                        <a:ln w="19050">
                          <a:solidFill>
                            <a:srgbClr val="000000"/>
                          </a:solidFill>
                          <a:round/>
                          <a:headEnd/>
                          <a:tailEnd/>
                        </a:ln>
                      </xdr:spPr>
                    </xdr:sp>
                  </xdr:grpSp>
                  <xdr:sp macro="" textlink="">
                    <xdr:nvSpPr>
                      <xdr:cNvPr id="59820640" name="Rechthoek 447"/>
                      <xdr:cNvSpPr>
                        <a:spLocks noChangeArrowheads="1"/>
                      </xdr:cNvSpPr>
                    </xdr:nvSpPr>
                    <xdr:spPr bwMode="auto">
                      <a:xfrm>
                        <a:off x="1594629" y="80052836"/>
                        <a:ext cx="885618" cy="142496"/>
                      </a:xfrm>
                      <a:prstGeom prst="rect">
                        <a:avLst/>
                      </a:prstGeom>
                      <a:solidFill>
                        <a:srgbClr val="FFFFFF"/>
                      </a:solidFill>
                      <a:ln w="22225" algn="ctr">
                        <a:noFill/>
                        <a:round/>
                        <a:headEnd/>
                        <a:tailEnd/>
                      </a:ln>
                    </xdr:spPr>
                  </xdr:sp>
                  <xdr:sp macro="" textlink="">
                    <xdr:nvSpPr>
                      <xdr:cNvPr id="59820641" name="Line 238"/>
                      <xdr:cNvSpPr>
                        <a:spLocks noChangeShapeType="1"/>
                      </xdr:cNvSpPr>
                    </xdr:nvSpPr>
                    <xdr:spPr bwMode="auto">
                      <a:xfrm>
                        <a:off x="1586972" y="78903822"/>
                        <a:ext cx="0" cy="1289755"/>
                      </a:xfrm>
                      <a:prstGeom prst="line">
                        <a:avLst/>
                      </a:prstGeom>
                      <a:noFill/>
                      <a:ln w="19050">
                        <a:solidFill>
                          <a:srgbClr val="000000"/>
                        </a:solidFill>
                        <a:round/>
                        <a:headEnd/>
                        <a:tailEnd/>
                      </a:ln>
                    </xdr:spPr>
                  </xdr:sp>
                  <xdr:cxnSp macro="">
                    <xdr:nvCxnSpPr>
                      <xdr:cNvPr id="59820642" name="Rechte verbindingslijn 465"/>
                      <xdr:cNvCxnSpPr>
                        <a:cxnSpLocks noChangeShapeType="1"/>
                      </xdr:cNvCxnSpPr>
                    </xdr:nvCxnSpPr>
                    <xdr:spPr bwMode="auto">
                      <a:xfrm flipV="1">
                        <a:off x="1589010" y="80052836"/>
                        <a:ext cx="1129117" cy="1"/>
                      </a:xfrm>
                      <a:prstGeom prst="line">
                        <a:avLst/>
                      </a:prstGeom>
                      <a:noFill/>
                      <a:ln w="22225" algn="ctr">
                        <a:solidFill>
                          <a:srgbClr val="000000"/>
                        </a:solidFill>
                        <a:round/>
                        <a:headEnd/>
                        <a:tailEnd/>
                      </a:ln>
                    </xdr:spPr>
                  </xdr:cxnSp>
                </xdr:grpSp>
                <xdr:cxnSp macro="">
                  <xdr:nvCxnSpPr>
                    <xdr:cNvPr id="59820638" name="Rechte verbindingslijn 477"/>
                    <xdr:cNvCxnSpPr>
                      <a:cxnSpLocks noChangeShapeType="1"/>
                    </xdr:cNvCxnSpPr>
                  </xdr:nvCxnSpPr>
                  <xdr:spPr bwMode="auto">
                    <a:xfrm>
                      <a:off x="772749" y="79213243"/>
                      <a:ext cx="403200" cy="990473"/>
                    </a:xfrm>
                    <a:prstGeom prst="line">
                      <a:avLst/>
                    </a:prstGeom>
                    <a:noFill/>
                    <a:ln w="22225" algn="ctr">
                      <a:solidFill>
                        <a:srgbClr val="000000"/>
                      </a:solidFill>
                      <a:round/>
                      <a:headEnd/>
                      <a:tailEnd/>
                    </a:ln>
                  </xdr:spPr>
                </xdr:cxnSp>
              </xdr:grpSp>
            </xdr:grpSp>
            <xdr:cxnSp macro="">
              <xdr:nvCxnSpPr>
                <xdr:cNvPr id="59820633" name="Rechte verbindingslijn 464"/>
                <xdr:cNvCxnSpPr>
                  <a:cxnSpLocks noChangeShapeType="1"/>
                </xdr:cNvCxnSpPr>
              </xdr:nvCxnSpPr>
              <xdr:spPr bwMode="auto">
                <a:xfrm>
                  <a:off x="6530340" y="76017120"/>
                  <a:ext cx="3810" cy="182880"/>
                </a:xfrm>
                <a:prstGeom prst="line">
                  <a:avLst/>
                </a:prstGeom>
                <a:noFill/>
                <a:ln w="22225" algn="ctr">
                  <a:solidFill>
                    <a:srgbClr val="000000"/>
                  </a:solidFill>
                  <a:prstDash val="sysDash"/>
                  <a:round/>
                  <a:headEnd/>
                  <a:tailEnd/>
                </a:ln>
              </xdr:spPr>
            </xdr:cxnSp>
            <xdr:sp macro="" textlink="">
              <xdr:nvSpPr>
                <xdr:cNvPr id="390" name="Tekstvak 389"/>
                <xdr:cNvSpPr txBox="1"/>
              </xdr:nvSpPr>
              <xdr:spPr bwMode="auto">
                <a:xfrm flipH="1">
                  <a:off x="6417211" y="76152937"/>
                  <a:ext cx="244104" cy="26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grpSp>
          <xdr:grpSp>
            <xdr:nvGrpSpPr>
              <xdr:cNvPr id="59820582" name="Groep 750"/>
              <xdr:cNvGrpSpPr>
                <a:grpSpLocks/>
              </xdr:cNvGrpSpPr>
            </xdr:nvGrpSpPr>
            <xdr:grpSpPr bwMode="auto">
              <a:xfrm>
                <a:off x="6896100" y="75133200"/>
                <a:ext cx="1668780" cy="1737360"/>
                <a:chOff x="6896100" y="74706480"/>
                <a:chExt cx="1670586" cy="1737378"/>
              </a:xfrm>
            </xdr:grpSpPr>
            <xdr:sp macro="" textlink="">
              <xdr:nvSpPr>
                <xdr:cNvPr id="59820615" name="Gelijkbenige driehoek 435"/>
                <xdr:cNvSpPr>
                  <a:spLocks noChangeArrowheads="1"/>
                </xdr:cNvSpPr>
              </xdr:nvSpPr>
              <xdr:spPr bwMode="auto">
                <a:xfrm>
                  <a:off x="7162800" y="75072240"/>
                  <a:ext cx="952501" cy="931642"/>
                </a:xfrm>
                <a:prstGeom prst="triangle">
                  <a:avLst>
                    <a:gd name="adj" fmla="val 0"/>
                  </a:avLst>
                </a:prstGeom>
                <a:solidFill>
                  <a:srgbClr val="D9D9D9"/>
                </a:solidFill>
                <a:ln w="9525" algn="ctr">
                  <a:noFill/>
                  <a:round/>
                  <a:headEnd/>
                  <a:tailEnd/>
                </a:ln>
              </xdr:spPr>
            </xdr:sp>
            <xdr:grpSp>
              <xdr:nvGrpSpPr>
                <xdr:cNvPr id="59820616" name="Groep 730"/>
                <xdr:cNvGrpSpPr>
                  <a:grpSpLocks/>
                </xdr:cNvGrpSpPr>
              </xdr:nvGrpSpPr>
              <xdr:grpSpPr bwMode="auto">
                <a:xfrm>
                  <a:off x="6896100" y="74706480"/>
                  <a:ext cx="1670586" cy="1737378"/>
                  <a:chOff x="5334000" y="74706480"/>
                  <a:chExt cx="1670586" cy="1737378"/>
                </a:xfrm>
              </xdr:grpSpPr>
              <xdr:grpSp>
                <xdr:nvGrpSpPr>
                  <xdr:cNvPr id="59820617" name="Groep 365"/>
                  <xdr:cNvGrpSpPr>
                    <a:grpSpLocks/>
                  </xdr:cNvGrpSpPr>
                </xdr:nvGrpSpPr>
                <xdr:grpSpPr bwMode="auto">
                  <a:xfrm>
                    <a:off x="5334000" y="74706480"/>
                    <a:ext cx="1670586" cy="1737378"/>
                    <a:chOff x="563880" y="78905100"/>
                    <a:chExt cx="1346821" cy="1561273"/>
                  </a:xfrm>
                </xdr:grpSpPr>
                <xdr:grpSp>
                  <xdr:nvGrpSpPr>
                    <xdr:cNvPr id="59820620" name="Groep 295"/>
                    <xdr:cNvGrpSpPr>
                      <a:grpSpLocks/>
                    </xdr:cNvGrpSpPr>
                  </xdr:nvGrpSpPr>
                  <xdr:grpSpPr bwMode="auto">
                    <a:xfrm>
                      <a:off x="563880" y="78905100"/>
                      <a:ext cx="1346821" cy="1561273"/>
                      <a:chOff x="1334290" y="78889860"/>
                      <a:chExt cx="1664154" cy="1561283"/>
                    </a:xfrm>
                  </xdr:grpSpPr>
                  <xdr:grpSp>
                    <xdr:nvGrpSpPr>
                      <xdr:cNvPr id="59820622" name="Groep 298"/>
                      <xdr:cNvGrpSpPr>
                        <a:grpSpLocks/>
                      </xdr:cNvGrpSpPr>
                    </xdr:nvGrpSpPr>
                    <xdr:grpSpPr bwMode="auto">
                      <a:xfrm>
                        <a:off x="1334290" y="78889860"/>
                        <a:ext cx="1664154" cy="1561283"/>
                        <a:chOff x="1927860" y="20314931"/>
                        <a:chExt cx="1656108" cy="1704162"/>
                      </a:xfrm>
                    </xdr:grpSpPr>
                    <xdr:grpSp>
                      <xdr:nvGrpSpPr>
                        <xdr:cNvPr id="59820626" name="Groep 270"/>
                        <xdr:cNvGrpSpPr>
                          <a:grpSpLocks/>
                        </xdr:cNvGrpSpPr>
                      </xdr:nvGrpSpPr>
                      <xdr:grpSpPr bwMode="auto">
                        <a:xfrm>
                          <a:off x="1927860" y="20314931"/>
                          <a:ext cx="1656108" cy="1704162"/>
                          <a:chOff x="373380" y="20307322"/>
                          <a:chExt cx="1656108" cy="1704162"/>
                        </a:xfrm>
                      </xdr:grpSpPr>
                      <xdr:grpSp>
                        <xdr:nvGrpSpPr>
                          <xdr:cNvPr id="59820628" name="Group 418"/>
                          <xdr:cNvGrpSpPr>
                            <a:grpSpLocks/>
                          </xdr:cNvGrpSpPr>
                        </xdr:nvGrpSpPr>
                        <xdr:grpSpPr bwMode="auto">
                          <a:xfrm>
                            <a:off x="373380" y="20307322"/>
                            <a:ext cx="1656108" cy="1704162"/>
                            <a:chOff x="194" y="6676"/>
                            <a:chExt cx="178" cy="207"/>
                          </a:xfrm>
                        </xdr:grpSpPr>
                        <xdr:sp macro="" textlink="">
                          <xdr:nvSpPr>
                            <xdr:cNvPr id="386" name="Text Box 256"/>
                            <xdr:cNvSpPr txBox="1">
                              <a:spLocks noChangeArrowheads="1"/>
                            </xdr:cNvSpPr>
                          </xdr:nvSpPr>
                          <xdr:spPr bwMode="auto">
                            <a:xfrm>
                              <a:off x="194" y="6676"/>
                              <a:ext cx="31" cy="22"/>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387" name="Text Box 257"/>
                            <xdr:cNvSpPr txBox="1">
                              <a:spLocks noChangeArrowheads="1"/>
                            </xdr:cNvSpPr>
                          </xdr:nvSpPr>
                          <xdr:spPr bwMode="auto">
                            <a:xfrm>
                              <a:off x="333" y="6854"/>
                              <a:ext cx="39"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20629"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20627" name="Line 238"/>
                        <xdr:cNvSpPr>
                          <a:spLocks noChangeShapeType="1"/>
                        </xdr:cNvSpPr>
                      </xdr:nvSpPr>
                      <xdr:spPr bwMode="auto">
                        <a:xfrm>
                          <a:off x="2171831" y="20643017"/>
                          <a:ext cx="1097280" cy="1082040"/>
                        </a:xfrm>
                        <a:prstGeom prst="line">
                          <a:avLst/>
                        </a:prstGeom>
                        <a:noFill/>
                        <a:ln w="19050">
                          <a:solidFill>
                            <a:srgbClr val="000000"/>
                          </a:solidFill>
                          <a:round/>
                          <a:headEnd/>
                          <a:tailEnd/>
                        </a:ln>
                      </xdr:spPr>
                    </xdr:sp>
                  </xdr:grpSp>
                  <xdr:sp macro="" textlink="">
                    <xdr:nvSpPr>
                      <xdr:cNvPr id="59820623" name="Rechthoek 447"/>
                      <xdr:cNvSpPr>
                        <a:spLocks noChangeArrowheads="1"/>
                      </xdr:cNvSpPr>
                    </xdr:nvSpPr>
                    <xdr:spPr bwMode="auto">
                      <a:xfrm>
                        <a:off x="1594629" y="80052836"/>
                        <a:ext cx="885618" cy="142496"/>
                      </a:xfrm>
                      <a:prstGeom prst="rect">
                        <a:avLst/>
                      </a:prstGeom>
                      <a:solidFill>
                        <a:srgbClr val="FFFFFF"/>
                      </a:solidFill>
                      <a:ln w="22225" algn="ctr">
                        <a:noFill/>
                        <a:round/>
                        <a:headEnd/>
                        <a:tailEnd/>
                      </a:ln>
                    </xdr:spPr>
                  </xdr:sp>
                  <xdr:sp macro="" textlink="">
                    <xdr:nvSpPr>
                      <xdr:cNvPr id="59820624" name="Line 238"/>
                      <xdr:cNvSpPr>
                        <a:spLocks noChangeShapeType="1"/>
                      </xdr:cNvSpPr>
                    </xdr:nvSpPr>
                    <xdr:spPr bwMode="auto">
                      <a:xfrm>
                        <a:off x="1586972" y="78903822"/>
                        <a:ext cx="0" cy="1289755"/>
                      </a:xfrm>
                      <a:prstGeom prst="line">
                        <a:avLst/>
                      </a:prstGeom>
                      <a:noFill/>
                      <a:ln w="19050">
                        <a:solidFill>
                          <a:srgbClr val="000000"/>
                        </a:solidFill>
                        <a:round/>
                        <a:headEnd/>
                        <a:tailEnd/>
                      </a:ln>
                    </xdr:spPr>
                  </xdr:sp>
                  <xdr:cxnSp macro="">
                    <xdr:nvCxnSpPr>
                      <xdr:cNvPr id="59820625" name="Rechte verbindingslijn 465"/>
                      <xdr:cNvCxnSpPr>
                        <a:cxnSpLocks noChangeShapeType="1"/>
                      </xdr:cNvCxnSpPr>
                    </xdr:nvCxnSpPr>
                    <xdr:spPr bwMode="auto">
                      <a:xfrm flipV="1">
                        <a:off x="1573812" y="80059684"/>
                        <a:ext cx="1129117" cy="1"/>
                      </a:xfrm>
                      <a:prstGeom prst="line">
                        <a:avLst/>
                      </a:prstGeom>
                      <a:noFill/>
                      <a:ln w="22225" algn="ctr">
                        <a:solidFill>
                          <a:srgbClr val="000000"/>
                        </a:solidFill>
                        <a:round/>
                        <a:headEnd/>
                        <a:tailEnd/>
                      </a:ln>
                    </xdr:spPr>
                  </xdr:cxnSp>
                </xdr:grpSp>
                <xdr:cxnSp macro="">
                  <xdr:nvCxnSpPr>
                    <xdr:cNvPr id="59820621" name="Rechte verbindingslijn 477"/>
                    <xdr:cNvCxnSpPr>
                      <a:cxnSpLocks noChangeShapeType="1"/>
                    </xdr:cNvCxnSpPr>
                  </xdr:nvCxnSpPr>
                  <xdr:spPr bwMode="auto">
                    <a:xfrm>
                      <a:off x="772749" y="79213243"/>
                      <a:ext cx="403200" cy="990473"/>
                    </a:xfrm>
                    <a:prstGeom prst="line">
                      <a:avLst/>
                    </a:prstGeom>
                    <a:noFill/>
                    <a:ln w="22225" algn="ctr">
                      <a:solidFill>
                        <a:srgbClr val="000000"/>
                      </a:solidFill>
                      <a:round/>
                      <a:headEnd/>
                      <a:tailEnd/>
                    </a:ln>
                  </xdr:spPr>
                </xdr:cxnSp>
              </xdr:grpSp>
              <xdr:cxnSp macro="">
                <xdr:nvCxnSpPr>
                  <xdr:cNvPr id="59820618" name="Rechte verbindingslijn 464"/>
                  <xdr:cNvCxnSpPr>
                    <a:cxnSpLocks noChangeShapeType="1"/>
                  </xdr:cNvCxnSpPr>
                </xdr:nvCxnSpPr>
                <xdr:spPr bwMode="auto">
                  <a:xfrm>
                    <a:off x="6530340" y="76017120"/>
                    <a:ext cx="3810" cy="182880"/>
                  </a:xfrm>
                  <a:prstGeom prst="line">
                    <a:avLst/>
                  </a:prstGeom>
                  <a:noFill/>
                  <a:ln w="22225" algn="ctr">
                    <a:solidFill>
                      <a:srgbClr val="000000"/>
                    </a:solidFill>
                    <a:prstDash val="sysDash"/>
                    <a:round/>
                    <a:headEnd/>
                    <a:tailEnd/>
                  </a:ln>
                </xdr:spPr>
              </xdr:cxnSp>
              <xdr:sp macro="" textlink="">
                <xdr:nvSpPr>
                  <xdr:cNvPr id="370" name="Tekstvak 369"/>
                  <xdr:cNvSpPr txBox="1"/>
                </xdr:nvSpPr>
                <xdr:spPr bwMode="auto">
                  <a:xfrm flipH="1">
                    <a:off x="6424839" y="76152937"/>
                    <a:ext cx="236476" cy="267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grpSp>
          </xdr:grpSp>
          <xdr:sp macro="" textlink="">
            <xdr:nvSpPr>
              <xdr:cNvPr id="330" name="Tekstvak 329"/>
              <xdr:cNvSpPr txBox="1"/>
            </xdr:nvSpPr>
            <xdr:spPr bwMode="auto">
              <a:xfrm>
                <a:off x="2887980" y="75263303"/>
                <a:ext cx="320040" cy="298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B</a:t>
                </a:r>
              </a:p>
            </xdr:txBody>
          </xdr:sp>
          <xdr:sp macro="" textlink="">
            <xdr:nvSpPr>
              <xdr:cNvPr id="331" name="Tekstvak 330"/>
              <xdr:cNvSpPr txBox="1"/>
            </xdr:nvSpPr>
            <xdr:spPr bwMode="auto">
              <a:xfrm>
                <a:off x="4541520" y="75270956"/>
                <a:ext cx="320040" cy="298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C</a:t>
                </a:r>
              </a:p>
            </xdr:txBody>
          </xdr:sp>
          <xdr:sp macro="" textlink="">
            <xdr:nvSpPr>
              <xdr:cNvPr id="332" name="Tekstvak 331"/>
              <xdr:cNvSpPr txBox="1"/>
            </xdr:nvSpPr>
            <xdr:spPr bwMode="auto">
              <a:xfrm>
                <a:off x="6050280" y="75263303"/>
                <a:ext cx="320040" cy="298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D</a:t>
                </a:r>
              </a:p>
            </xdr:txBody>
          </xdr:sp>
          <xdr:sp macro="" textlink="">
            <xdr:nvSpPr>
              <xdr:cNvPr id="334" name="Tekstvak 333"/>
              <xdr:cNvSpPr txBox="1"/>
            </xdr:nvSpPr>
            <xdr:spPr bwMode="auto">
              <a:xfrm>
                <a:off x="7559040" y="75263303"/>
                <a:ext cx="327660" cy="298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E</a:t>
                </a:r>
              </a:p>
            </xdr:txBody>
          </xdr:sp>
          <xdr:grpSp>
            <xdr:nvGrpSpPr>
              <xdr:cNvPr id="59820587" name="Groep 514"/>
              <xdr:cNvGrpSpPr>
                <a:grpSpLocks/>
              </xdr:cNvGrpSpPr>
            </xdr:nvGrpSpPr>
            <xdr:grpSpPr bwMode="auto">
              <a:xfrm>
                <a:off x="510540" y="75156060"/>
                <a:ext cx="1668780" cy="1737360"/>
                <a:chOff x="510540" y="74942700"/>
                <a:chExt cx="1668780" cy="1737360"/>
              </a:xfrm>
            </xdr:grpSpPr>
            <xdr:grpSp>
              <xdr:nvGrpSpPr>
                <xdr:cNvPr id="59820588" name="Groep 751"/>
                <xdr:cNvGrpSpPr>
                  <a:grpSpLocks/>
                </xdr:cNvGrpSpPr>
              </xdr:nvGrpSpPr>
              <xdr:grpSpPr bwMode="auto">
                <a:xfrm>
                  <a:off x="510540" y="74942700"/>
                  <a:ext cx="1668780" cy="1737360"/>
                  <a:chOff x="510541" y="74729322"/>
                  <a:chExt cx="1670586" cy="1737378"/>
                </a:xfrm>
              </xdr:grpSpPr>
              <xdr:grpSp>
                <xdr:nvGrpSpPr>
                  <xdr:cNvPr id="59820596" name="Groep 491"/>
                  <xdr:cNvGrpSpPr>
                    <a:grpSpLocks/>
                  </xdr:cNvGrpSpPr>
                </xdr:nvGrpSpPr>
                <xdr:grpSpPr bwMode="auto">
                  <a:xfrm>
                    <a:off x="510541" y="74729322"/>
                    <a:ext cx="1670586" cy="1737378"/>
                    <a:chOff x="5631180" y="78912720"/>
                    <a:chExt cx="1346821" cy="1561273"/>
                  </a:xfrm>
                </xdr:grpSpPr>
                <xdr:sp macro="" textlink="">
                  <xdr:nvSpPr>
                    <xdr:cNvPr id="59820599" name="Rechthoek 439"/>
                    <xdr:cNvSpPr>
                      <a:spLocks noChangeArrowheads="1"/>
                    </xdr:cNvSpPr>
                  </xdr:nvSpPr>
                  <xdr:spPr bwMode="auto">
                    <a:xfrm>
                      <a:off x="6302981" y="79878244"/>
                      <a:ext cx="103082" cy="246519"/>
                    </a:xfrm>
                    <a:prstGeom prst="rect">
                      <a:avLst/>
                    </a:prstGeom>
                    <a:solidFill>
                      <a:srgbClr val="D9D9D9"/>
                    </a:solidFill>
                    <a:ln w="9525" algn="ctr">
                      <a:solidFill>
                        <a:srgbClr val="000000"/>
                      </a:solidFill>
                      <a:round/>
                      <a:headEnd/>
                      <a:tailEnd/>
                    </a:ln>
                  </xdr:spPr>
                </xdr:sp>
                <xdr:grpSp>
                  <xdr:nvGrpSpPr>
                    <xdr:cNvPr id="59820600" name="Groep 467"/>
                    <xdr:cNvGrpSpPr>
                      <a:grpSpLocks/>
                    </xdr:cNvGrpSpPr>
                  </xdr:nvGrpSpPr>
                  <xdr:grpSpPr bwMode="auto">
                    <a:xfrm>
                      <a:off x="5631180" y="78912720"/>
                      <a:ext cx="1346821" cy="1561273"/>
                      <a:chOff x="4411980" y="78912720"/>
                      <a:chExt cx="1346821" cy="1561273"/>
                    </a:xfrm>
                  </xdr:grpSpPr>
                  <xdr:sp macro="" textlink="">
                    <xdr:nvSpPr>
                      <xdr:cNvPr id="59820601" name="Rechthoek 439"/>
                      <xdr:cNvSpPr>
                        <a:spLocks noChangeArrowheads="1"/>
                      </xdr:cNvSpPr>
                    </xdr:nvSpPr>
                    <xdr:spPr bwMode="auto">
                      <a:xfrm>
                        <a:off x="4971195" y="79761833"/>
                        <a:ext cx="117270" cy="362930"/>
                      </a:xfrm>
                      <a:prstGeom prst="rect">
                        <a:avLst/>
                      </a:prstGeom>
                      <a:solidFill>
                        <a:srgbClr val="D9D9D9"/>
                      </a:solidFill>
                      <a:ln w="9525" algn="ctr">
                        <a:solidFill>
                          <a:srgbClr val="000000"/>
                        </a:solidFill>
                        <a:round/>
                        <a:headEnd/>
                        <a:tailEnd/>
                      </a:ln>
                    </xdr:spPr>
                  </xdr:sp>
                  <xdr:grpSp>
                    <xdr:nvGrpSpPr>
                      <xdr:cNvPr id="59820602" name="Groep 408"/>
                      <xdr:cNvGrpSpPr>
                        <a:grpSpLocks/>
                      </xdr:cNvGrpSpPr>
                    </xdr:nvGrpSpPr>
                    <xdr:grpSpPr bwMode="auto">
                      <a:xfrm>
                        <a:off x="4411980" y="78912720"/>
                        <a:ext cx="1346821" cy="1561273"/>
                        <a:chOff x="3124200" y="78927960"/>
                        <a:chExt cx="1346821" cy="1561273"/>
                      </a:xfrm>
                    </xdr:grpSpPr>
                    <xdr:sp macro="" textlink="">
                      <xdr:nvSpPr>
                        <xdr:cNvPr id="59820603" name="Rechthoek 439"/>
                        <xdr:cNvSpPr>
                          <a:spLocks noChangeArrowheads="1"/>
                        </xdr:cNvSpPr>
                      </xdr:nvSpPr>
                      <xdr:spPr bwMode="auto">
                        <a:xfrm>
                          <a:off x="3579290" y="79653815"/>
                          <a:ext cx="116847" cy="520428"/>
                        </a:xfrm>
                        <a:prstGeom prst="rect">
                          <a:avLst/>
                        </a:prstGeom>
                        <a:solidFill>
                          <a:srgbClr val="D9D9D9"/>
                        </a:solidFill>
                        <a:ln w="9525" algn="ctr">
                          <a:solidFill>
                            <a:srgbClr val="000000"/>
                          </a:solidFill>
                          <a:round/>
                          <a:headEnd/>
                          <a:tailEnd/>
                        </a:ln>
                      </xdr:spPr>
                    </xdr:sp>
                    <xdr:grpSp>
                      <xdr:nvGrpSpPr>
                        <xdr:cNvPr id="59820604" name="Groep 388"/>
                        <xdr:cNvGrpSpPr>
                          <a:grpSpLocks/>
                        </xdr:cNvGrpSpPr>
                      </xdr:nvGrpSpPr>
                      <xdr:grpSpPr bwMode="auto">
                        <a:xfrm>
                          <a:off x="3124200" y="78927960"/>
                          <a:ext cx="1346821" cy="1561273"/>
                          <a:chOff x="1844040" y="78912720"/>
                          <a:chExt cx="1346821" cy="1561273"/>
                        </a:xfrm>
                      </xdr:grpSpPr>
                      <xdr:sp macro="" textlink="">
                        <xdr:nvSpPr>
                          <xdr:cNvPr id="59820605" name="Rechthoek 437"/>
                          <xdr:cNvSpPr>
                            <a:spLocks noChangeArrowheads="1"/>
                          </xdr:cNvSpPr>
                        </xdr:nvSpPr>
                        <xdr:spPr bwMode="auto">
                          <a:xfrm>
                            <a:off x="2051257" y="79509397"/>
                            <a:ext cx="247874" cy="702184"/>
                          </a:xfrm>
                          <a:prstGeom prst="rect">
                            <a:avLst/>
                          </a:prstGeom>
                          <a:solidFill>
                            <a:srgbClr val="D9D9D9"/>
                          </a:solidFill>
                          <a:ln w="9525" algn="ctr">
                            <a:solidFill>
                              <a:srgbClr val="000000"/>
                            </a:solidFill>
                            <a:round/>
                            <a:headEnd/>
                            <a:tailEnd/>
                          </a:ln>
                        </xdr:spPr>
                      </xdr:sp>
                      <xdr:sp macro="" textlink="">
                        <xdr:nvSpPr>
                          <xdr:cNvPr id="59820606" name="Rechthoek 437"/>
                          <xdr:cNvSpPr>
                            <a:spLocks noChangeArrowheads="1"/>
                          </xdr:cNvSpPr>
                        </xdr:nvSpPr>
                        <xdr:spPr bwMode="auto">
                          <a:xfrm>
                            <a:off x="2040836" y="79362300"/>
                            <a:ext cx="130865" cy="807720"/>
                          </a:xfrm>
                          <a:prstGeom prst="rect">
                            <a:avLst/>
                          </a:prstGeom>
                          <a:solidFill>
                            <a:srgbClr val="D9D9D9"/>
                          </a:solidFill>
                          <a:ln w="9525" algn="ctr">
                            <a:solidFill>
                              <a:srgbClr val="000000"/>
                            </a:solidFill>
                            <a:round/>
                            <a:headEnd/>
                            <a:tailEnd/>
                          </a:ln>
                        </xdr:spPr>
                      </xdr:sp>
                      <xdr:grpSp>
                        <xdr:nvGrpSpPr>
                          <xdr:cNvPr id="59820607" name="Groep 295"/>
                          <xdr:cNvGrpSpPr>
                            <a:grpSpLocks/>
                          </xdr:cNvGrpSpPr>
                        </xdr:nvGrpSpPr>
                        <xdr:grpSpPr bwMode="auto">
                          <a:xfrm>
                            <a:off x="1844040" y="78912720"/>
                            <a:ext cx="1346821" cy="1561273"/>
                            <a:chOff x="1334290" y="78889860"/>
                            <a:chExt cx="1664154" cy="1561283"/>
                          </a:xfrm>
                        </xdr:grpSpPr>
                        <xdr:grpSp>
                          <xdr:nvGrpSpPr>
                            <xdr:cNvPr id="59820608" name="Groep 270"/>
                            <xdr:cNvGrpSpPr>
                              <a:grpSpLocks/>
                            </xdr:cNvGrpSpPr>
                          </xdr:nvGrpSpPr>
                          <xdr:grpSpPr bwMode="auto">
                            <a:xfrm>
                              <a:off x="1334290" y="78889860"/>
                              <a:ext cx="1664154" cy="1561283"/>
                              <a:chOff x="373380" y="20307322"/>
                              <a:chExt cx="1656108" cy="1704162"/>
                            </a:xfrm>
                          </xdr:grpSpPr>
                          <xdr:grpSp>
                            <xdr:nvGrpSpPr>
                              <xdr:cNvPr id="59820611" name="Group 418"/>
                              <xdr:cNvGrpSpPr>
                                <a:grpSpLocks/>
                              </xdr:cNvGrpSpPr>
                            </xdr:nvGrpSpPr>
                            <xdr:grpSpPr bwMode="auto">
                              <a:xfrm>
                                <a:off x="373380" y="20307322"/>
                                <a:ext cx="1656108" cy="1704162"/>
                                <a:chOff x="194" y="6676"/>
                                <a:chExt cx="178" cy="207"/>
                              </a:xfrm>
                            </xdr:grpSpPr>
                            <xdr:sp macro="" textlink="">
                              <xdr:nvSpPr>
                                <xdr:cNvPr id="364" name="Text Box 256"/>
                                <xdr:cNvSpPr txBox="1">
                                  <a:spLocks noChangeArrowheads="1"/>
                                </xdr:cNvSpPr>
                              </xdr:nvSpPr>
                              <xdr:spPr bwMode="auto">
                                <a:xfrm>
                                  <a:off x="194" y="6676"/>
                                  <a:ext cx="31" cy="22"/>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p</a:t>
                                  </a:r>
                                </a:p>
                              </xdr:txBody>
                            </xdr:sp>
                            <xdr:sp macro="" textlink="">
                              <xdr:nvSpPr>
                                <xdr:cNvPr id="365" name="Text Box 257"/>
                                <xdr:cNvSpPr txBox="1">
                                  <a:spLocks noChangeArrowheads="1"/>
                                </xdr:cNvSpPr>
                              </xdr:nvSpPr>
                              <xdr:spPr bwMode="auto">
                                <a:xfrm>
                                  <a:off x="333" y="6854"/>
                                  <a:ext cx="39" cy="29"/>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nl-NL" sz="1000" b="0" i="0" u="none" strike="noStrike" baseline="0">
                                      <a:solidFill>
                                        <a:srgbClr val="000000"/>
                                      </a:solidFill>
                                      <a:latin typeface="Arial"/>
                                      <a:cs typeface="Arial"/>
                                    </a:rPr>
                                    <a:t>Q</a:t>
                                  </a:r>
                                </a:p>
                              </xdr:txBody>
                            </xdr:sp>
                          </xdr:grpSp>
                          <xdr:sp macro="" textlink="">
                            <xdr:nvSpPr>
                              <xdr:cNvPr id="59820612" name="Line 239"/>
                              <xdr:cNvSpPr>
                                <a:spLocks noChangeShapeType="1"/>
                              </xdr:cNvSpPr>
                            </xdr:nvSpPr>
                            <xdr:spPr bwMode="auto">
                              <a:xfrm flipV="1">
                                <a:off x="624840" y="21739860"/>
                                <a:ext cx="1218821" cy="0"/>
                              </a:xfrm>
                              <a:prstGeom prst="line">
                                <a:avLst/>
                              </a:prstGeom>
                              <a:noFill/>
                              <a:ln w="19050">
                                <a:solidFill>
                                  <a:srgbClr val="000000"/>
                                </a:solidFill>
                                <a:round/>
                                <a:headEnd/>
                                <a:tailEnd/>
                              </a:ln>
                            </xdr:spPr>
                          </xdr:sp>
                        </xdr:grpSp>
                        <xdr:sp macro="" textlink="">
                          <xdr:nvSpPr>
                            <xdr:cNvPr id="59820609" name="Rechthoek 447"/>
                            <xdr:cNvSpPr>
                              <a:spLocks noChangeArrowheads="1"/>
                            </xdr:cNvSpPr>
                          </xdr:nvSpPr>
                          <xdr:spPr bwMode="auto">
                            <a:xfrm>
                              <a:off x="1594629" y="80052836"/>
                              <a:ext cx="885618" cy="142496"/>
                            </a:xfrm>
                            <a:prstGeom prst="rect">
                              <a:avLst/>
                            </a:prstGeom>
                            <a:solidFill>
                              <a:srgbClr val="FFFFFF"/>
                            </a:solidFill>
                            <a:ln w="22225" algn="ctr">
                              <a:noFill/>
                              <a:round/>
                              <a:headEnd/>
                              <a:tailEnd/>
                            </a:ln>
                          </xdr:spPr>
                        </xdr:sp>
                        <xdr:cxnSp macro="">
                          <xdr:nvCxnSpPr>
                            <xdr:cNvPr id="59820610" name="Rechte verbindingslijn 465"/>
                            <xdr:cNvCxnSpPr>
                              <a:cxnSpLocks noChangeShapeType="1"/>
                            </xdr:cNvCxnSpPr>
                          </xdr:nvCxnSpPr>
                          <xdr:spPr bwMode="auto">
                            <a:xfrm flipV="1">
                              <a:off x="1573812" y="80059684"/>
                              <a:ext cx="1129117" cy="1"/>
                            </a:xfrm>
                            <a:prstGeom prst="line">
                              <a:avLst/>
                            </a:prstGeom>
                            <a:noFill/>
                            <a:ln w="22225" algn="ctr">
                              <a:solidFill>
                                <a:srgbClr val="000000"/>
                              </a:solidFill>
                              <a:round/>
                              <a:headEnd/>
                              <a:tailEnd/>
                            </a:ln>
                          </xdr:spPr>
                        </xdr:cxnSp>
                      </xdr:grpSp>
                    </xdr:grpSp>
                  </xdr:grpSp>
                </xdr:grpSp>
              </xdr:grpSp>
              <xdr:cxnSp macro="">
                <xdr:nvCxnSpPr>
                  <xdr:cNvPr id="59820597" name="Rechte verbindingslijn 464"/>
                  <xdr:cNvCxnSpPr>
                    <a:cxnSpLocks noChangeShapeType="1"/>
                  </xdr:cNvCxnSpPr>
                </xdr:nvCxnSpPr>
                <xdr:spPr bwMode="auto">
                  <a:xfrm>
                    <a:off x="1584869" y="76032361"/>
                    <a:ext cx="3810" cy="182880"/>
                  </a:xfrm>
                  <a:prstGeom prst="line">
                    <a:avLst/>
                  </a:prstGeom>
                  <a:noFill/>
                  <a:ln w="22225" algn="ctr">
                    <a:solidFill>
                      <a:srgbClr val="000000"/>
                    </a:solidFill>
                    <a:prstDash val="sysDash"/>
                    <a:round/>
                    <a:headEnd/>
                    <a:tailEnd/>
                  </a:ln>
                </xdr:spPr>
              </xdr:cxnSp>
              <xdr:sp macro="" textlink="">
                <xdr:nvSpPr>
                  <xdr:cNvPr id="347" name="Tekstvak 346"/>
                  <xdr:cNvSpPr txBox="1"/>
                </xdr:nvSpPr>
                <xdr:spPr bwMode="auto">
                  <a:xfrm flipH="1">
                    <a:off x="1464072" y="76168225"/>
                    <a:ext cx="236476" cy="252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q</a:t>
                    </a:r>
                  </a:p>
                </xdr:txBody>
              </xdr:sp>
            </xdr:grpSp>
            <xdr:grpSp>
              <xdr:nvGrpSpPr>
                <xdr:cNvPr id="59820589" name="Groep 513"/>
                <xdr:cNvGrpSpPr>
                  <a:grpSpLocks/>
                </xdr:cNvGrpSpPr>
              </xdr:nvGrpSpPr>
              <xdr:grpSpPr bwMode="auto">
                <a:xfrm>
                  <a:off x="762000" y="74973180"/>
                  <a:ext cx="1113296" cy="1457427"/>
                  <a:chOff x="762000" y="74973180"/>
                  <a:chExt cx="1113296" cy="1457427"/>
                </a:xfrm>
              </xdr:grpSpPr>
              <xdr:sp macro="" textlink="">
                <xdr:nvSpPr>
                  <xdr:cNvPr id="59820590" name="Rechthoekige driehoek 506"/>
                  <xdr:cNvSpPr>
                    <a:spLocks noChangeArrowheads="1"/>
                  </xdr:cNvSpPr>
                </xdr:nvSpPr>
                <xdr:spPr bwMode="auto">
                  <a:xfrm>
                    <a:off x="762000" y="75430380"/>
                    <a:ext cx="716280" cy="723900"/>
                  </a:xfrm>
                  <a:prstGeom prst="rtTriangle">
                    <a:avLst/>
                  </a:prstGeom>
                  <a:solidFill>
                    <a:srgbClr val="D9D9D9"/>
                  </a:solidFill>
                  <a:ln w="22225" algn="ctr">
                    <a:noFill/>
                    <a:round/>
                    <a:headEnd/>
                    <a:tailEnd/>
                  </a:ln>
                </xdr:spPr>
              </xdr:sp>
              <xdr:grpSp>
                <xdr:nvGrpSpPr>
                  <xdr:cNvPr id="59820591" name="Groep 512"/>
                  <xdr:cNvGrpSpPr>
                    <a:grpSpLocks/>
                  </xdr:cNvGrpSpPr>
                </xdr:nvGrpSpPr>
                <xdr:grpSpPr bwMode="auto">
                  <a:xfrm>
                    <a:off x="762000" y="74973180"/>
                    <a:ext cx="1113296" cy="1457427"/>
                    <a:chOff x="762000" y="74973180"/>
                    <a:chExt cx="1113296" cy="1457427"/>
                  </a:xfrm>
                </xdr:grpSpPr>
                <xdr:sp macro="" textlink="">
                  <xdr:nvSpPr>
                    <xdr:cNvPr id="59820592" name="Rechthoek 507"/>
                    <xdr:cNvSpPr>
                      <a:spLocks noChangeArrowheads="1"/>
                    </xdr:cNvSpPr>
                  </xdr:nvSpPr>
                  <xdr:spPr bwMode="auto">
                    <a:xfrm>
                      <a:off x="777240" y="76123800"/>
                      <a:ext cx="739140" cy="114300"/>
                    </a:xfrm>
                    <a:prstGeom prst="rect">
                      <a:avLst/>
                    </a:prstGeom>
                    <a:solidFill>
                      <a:srgbClr val="D9D9D9"/>
                    </a:solidFill>
                    <a:ln w="22225" algn="ctr">
                      <a:noFill/>
                      <a:round/>
                      <a:headEnd/>
                      <a:tailEnd/>
                    </a:ln>
                  </xdr:spPr>
                </xdr:sp>
                <xdr:cxnSp macro="">
                  <xdr:nvCxnSpPr>
                    <xdr:cNvPr id="59820593" name="Rechte verbindingslijn 477"/>
                    <xdr:cNvCxnSpPr>
                      <a:cxnSpLocks noChangeShapeType="1"/>
                    </xdr:cNvCxnSpPr>
                  </xdr:nvCxnSpPr>
                  <xdr:spPr bwMode="auto">
                    <a:xfrm>
                      <a:off x="777240" y="75308460"/>
                      <a:ext cx="519647" cy="1122147"/>
                    </a:xfrm>
                    <a:prstGeom prst="line">
                      <a:avLst/>
                    </a:prstGeom>
                    <a:noFill/>
                    <a:ln w="22225" algn="ctr">
                      <a:solidFill>
                        <a:srgbClr val="000000"/>
                      </a:solidFill>
                      <a:round/>
                      <a:headEnd/>
                      <a:tailEnd/>
                    </a:ln>
                  </xdr:spPr>
                </xdr:cxnSp>
                <xdr:sp macro="" textlink="">
                  <xdr:nvSpPr>
                    <xdr:cNvPr id="59820594" name="Line 238"/>
                    <xdr:cNvSpPr>
                      <a:spLocks noChangeShapeType="1"/>
                    </xdr:cNvSpPr>
                  </xdr:nvSpPr>
                  <xdr:spPr bwMode="auto">
                    <a:xfrm>
                      <a:off x="769620" y="75293220"/>
                      <a:ext cx="1105676" cy="1103119"/>
                    </a:xfrm>
                    <a:prstGeom prst="line">
                      <a:avLst/>
                    </a:prstGeom>
                    <a:noFill/>
                    <a:ln w="19050">
                      <a:solidFill>
                        <a:srgbClr val="000000"/>
                      </a:solidFill>
                      <a:round/>
                      <a:headEnd/>
                      <a:tailEnd/>
                    </a:ln>
                  </xdr:spPr>
                </xdr:sp>
                <xdr:sp macro="" textlink="">
                  <xdr:nvSpPr>
                    <xdr:cNvPr id="59820595" name="Line 238"/>
                    <xdr:cNvSpPr>
                      <a:spLocks noChangeShapeType="1"/>
                    </xdr:cNvSpPr>
                  </xdr:nvSpPr>
                  <xdr:spPr bwMode="auto">
                    <a:xfrm>
                      <a:off x="762000" y="74973180"/>
                      <a:ext cx="0" cy="1435210"/>
                    </a:xfrm>
                    <a:prstGeom prst="line">
                      <a:avLst/>
                    </a:prstGeom>
                    <a:noFill/>
                    <a:ln w="19050">
                      <a:solidFill>
                        <a:srgbClr val="000000"/>
                      </a:solidFill>
                      <a:round/>
                      <a:headEnd/>
                      <a:tailEnd/>
                    </a:ln>
                  </xdr:spPr>
                </xdr:sp>
              </xdr:grpSp>
            </xdr:grpSp>
          </xdr:grpSp>
        </xdr:grpSp>
      </xdr:grpSp>
    </xdr:grpSp>
    <xdr:clientData/>
  </xdr:twoCellAnchor>
  <xdr:twoCellAnchor>
    <xdr:from>
      <xdr:col>3</xdr:col>
      <xdr:colOff>38100</xdr:colOff>
      <xdr:row>131</xdr:row>
      <xdr:rowOff>68580</xdr:rowOff>
    </xdr:from>
    <xdr:to>
      <xdr:col>161</xdr:col>
      <xdr:colOff>175260</xdr:colOff>
      <xdr:row>144</xdr:row>
      <xdr:rowOff>45720</xdr:rowOff>
    </xdr:to>
    <xdr:grpSp>
      <xdr:nvGrpSpPr>
        <xdr:cNvPr id="59820500" name="Groep 430"/>
        <xdr:cNvGrpSpPr>
          <a:grpSpLocks/>
        </xdr:cNvGrpSpPr>
      </xdr:nvGrpSpPr>
      <xdr:grpSpPr bwMode="auto">
        <a:xfrm>
          <a:off x="358140" y="22235160"/>
          <a:ext cx="7658100" cy="2697480"/>
          <a:chOff x="358140" y="23393400"/>
          <a:chExt cx="7665720" cy="2697480"/>
        </a:xfrm>
      </xdr:grpSpPr>
      <xdr:grpSp>
        <xdr:nvGrpSpPr>
          <xdr:cNvPr id="59820501" name="Groep 1082"/>
          <xdr:cNvGrpSpPr>
            <a:grpSpLocks/>
          </xdr:cNvGrpSpPr>
        </xdr:nvGrpSpPr>
        <xdr:grpSpPr bwMode="auto">
          <a:xfrm>
            <a:off x="358140" y="23393400"/>
            <a:ext cx="7665720" cy="2697480"/>
            <a:chOff x="619127" y="90125550"/>
            <a:chExt cx="7953373" cy="2747759"/>
          </a:xfrm>
        </xdr:grpSpPr>
        <xdr:grpSp>
          <xdr:nvGrpSpPr>
            <xdr:cNvPr id="59820504" name="Groep 1021"/>
            <xdr:cNvGrpSpPr>
              <a:grpSpLocks/>
            </xdr:cNvGrpSpPr>
          </xdr:nvGrpSpPr>
          <xdr:grpSpPr bwMode="auto">
            <a:xfrm>
              <a:off x="619127" y="90125550"/>
              <a:ext cx="2664301" cy="2732237"/>
              <a:chOff x="619127" y="90125548"/>
              <a:chExt cx="2664300" cy="2732237"/>
            </a:xfrm>
          </xdr:grpSpPr>
          <xdr:grpSp>
            <xdr:nvGrpSpPr>
              <xdr:cNvPr id="59820556" name="Groep 911"/>
              <xdr:cNvGrpSpPr>
                <a:grpSpLocks/>
              </xdr:cNvGrpSpPr>
            </xdr:nvGrpSpPr>
            <xdr:grpSpPr bwMode="auto">
              <a:xfrm>
                <a:off x="619127" y="91030469"/>
                <a:ext cx="1678164" cy="1827316"/>
                <a:chOff x="1273805" y="81095894"/>
                <a:chExt cx="1678164" cy="1827316"/>
              </a:xfrm>
            </xdr:grpSpPr>
            <xdr:grpSp>
              <xdr:nvGrpSpPr>
                <xdr:cNvPr id="59820558" name="Groep 420"/>
                <xdr:cNvGrpSpPr>
                  <a:grpSpLocks/>
                </xdr:cNvGrpSpPr>
              </xdr:nvGrpSpPr>
              <xdr:grpSpPr bwMode="auto">
                <a:xfrm>
                  <a:off x="1273805" y="81095894"/>
                  <a:ext cx="1678164" cy="1795716"/>
                  <a:chOff x="705858" y="41395649"/>
                  <a:chExt cx="1579626" cy="1885951"/>
                </a:xfrm>
              </xdr:grpSpPr>
              <xdr:grpSp>
                <xdr:nvGrpSpPr>
                  <xdr:cNvPr id="59820562" name="Groep 284"/>
                  <xdr:cNvGrpSpPr>
                    <a:grpSpLocks/>
                  </xdr:cNvGrpSpPr>
                </xdr:nvGrpSpPr>
                <xdr:grpSpPr bwMode="auto">
                  <a:xfrm>
                    <a:off x="705858" y="41395649"/>
                    <a:ext cx="1579626" cy="1885951"/>
                    <a:chOff x="473747" y="55330722"/>
                    <a:chExt cx="1579626" cy="1885952"/>
                  </a:xfrm>
                </xdr:grpSpPr>
                <xdr:cxnSp macro="">
                  <xdr:nvCxnSpPr>
                    <xdr:cNvPr id="59820565" name="Rechte verbindingslijn 175"/>
                    <xdr:cNvCxnSpPr>
                      <a:cxnSpLocks noChangeShapeType="1"/>
                    </xdr:cNvCxnSpPr>
                  </xdr:nvCxnSpPr>
                  <xdr:spPr bwMode="auto">
                    <a:xfrm rot="5400000">
                      <a:off x="-64466" y="56175387"/>
                      <a:ext cx="1543140" cy="0"/>
                    </a:xfrm>
                    <a:prstGeom prst="line">
                      <a:avLst/>
                    </a:prstGeom>
                    <a:noFill/>
                    <a:ln w="22225" algn="ctr">
                      <a:solidFill>
                        <a:srgbClr val="000000"/>
                      </a:solidFill>
                      <a:round/>
                      <a:headEnd/>
                      <a:tailEnd/>
                    </a:ln>
                  </xdr:spPr>
                </xdr:cxnSp>
                <xdr:cxnSp macro="">
                  <xdr:nvCxnSpPr>
                    <xdr:cNvPr id="59820566" name="Rechte verbindingslijn 182"/>
                    <xdr:cNvCxnSpPr>
                      <a:cxnSpLocks noChangeShapeType="1"/>
                    </xdr:cNvCxnSpPr>
                  </xdr:nvCxnSpPr>
                  <xdr:spPr bwMode="auto">
                    <a:xfrm>
                      <a:off x="707102" y="56946955"/>
                      <a:ext cx="1287305" cy="0"/>
                    </a:xfrm>
                    <a:prstGeom prst="line">
                      <a:avLst/>
                    </a:prstGeom>
                    <a:noFill/>
                    <a:ln w="22225" algn="ctr">
                      <a:solidFill>
                        <a:srgbClr val="000000"/>
                      </a:solidFill>
                      <a:round/>
                      <a:headEnd/>
                      <a:tailEnd/>
                    </a:ln>
                  </xdr:spPr>
                </xdr:cxnSp>
                <xdr:sp macro="" textlink="">
                  <xdr:nvSpPr>
                    <xdr:cNvPr id="199" name="Tekstvak 198"/>
                    <xdr:cNvSpPr txBox="1"/>
                  </xdr:nvSpPr>
                  <xdr:spPr>
                    <a:xfrm flipH="1">
                      <a:off x="481196" y="55334121"/>
                      <a:ext cx="156432" cy="252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a:t>
                      </a:r>
                    </a:p>
                  </xdr:txBody>
                </xdr:sp>
                <xdr:sp macro="" textlink="">
                  <xdr:nvSpPr>
                    <xdr:cNvPr id="200" name="Tekstvak 199"/>
                    <xdr:cNvSpPr txBox="1"/>
                  </xdr:nvSpPr>
                  <xdr:spPr>
                    <a:xfrm flipH="1">
                      <a:off x="1844385" y="56964537"/>
                      <a:ext cx="208575" cy="252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Q</a:t>
                      </a:r>
                    </a:p>
                  </xdr:txBody>
                </xdr:sp>
                <xdr:cxnSp macro="">
                  <xdr:nvCxnSpPr>
                    <xdr:cNvPr id="59820569" name="Rechte verbindingslijn 187"/>
                    <xdr:cNvCxnSpPr>
                      <a:cxnSpLocks noChangeShapeType="1"/>
                    </xdr:cNvCxnSpPr>
                  </xdr:nvCxnSpPr>
                  <xdr:spPr bwMode="auto">
                    <a:xfrm rot="16200000" flipH="1">
                      <a:off x="606224" y="55715865"/>
                      <a:ext cx="1323847" cy="1122088"/>
                    </a:xfrm>
                    <a:prstGeom prst="line">
                      <a:avLst/>
                    </a:prstGeom>
                    <a:noFill/>
                    <a:ln w="22225" algn="ctr">
                      <a:solidFill>
                        <a:srgbClr val="000000"/>
                      </a:solidFill>
                      <a:round/>
                      <a:headEnd/>
                      <a:tailEnd/>
                    </a:ln>
                  </xdr:spPr>
                </xdr:cxnSp>
                <xdr:cxnSp macro="">
                  <xdr:nvCxnSpPr>
                    <xdr:cNvPr id="59820570" name="Rechte verbindingslijn 229"/>
                    <xdr:cNvCxnSpPr>
                      <a:cxnSpLocks noChangeShapeType="1"/>
                    </xdr:cNvCxnSpPr>
                  </xdr:nvCxnSpPr>
                  <xdr:spPr bwMode="auto">
                    <a:xfrm rot="10800000" flipV="1">
                      <a:off x="710703" y="56651162"/>
                      <a:ext cx="1206523" cy="3536"/>
                    </a:xfrm>
                    <a:prstGeom prst="line">
                      <a:avLst/>
                    </a:prstGeom>
                    <a:noFill/>
                    <a:ln w="22225" algn="ctr">
                      <a:solidFill>
                        <a:srgbClr val="000000"/>
                      </a:solidFill>
                      <a:round/>
                      <a:headEnd/>
                      <a:tailEnd/>
                    </a:ln>
                  </xdr:spPr>
                </xdr:cxnSp>
                <xdr:sp macro="" textlink="">
                  <xdr:nvSpPr>
                    <xdr:cNvPr id="203" name="Tekstvak 202"/>
                    <xdr:cNvSpPr txBox="1"/>
                  </xdr:nvSpPr>
                  <xdr:spPr>
                    <a:xfrm flipH="1">
                      <a:off x="473747" y="55978135"/>
                      <a:ext cx="216024" cy="277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p</a:t>
                      </a:r>
                    </a:p>
                  </xdr:txBody>
                </xdr:sp>
              </xdr:grpSp>
              <xdr:sp macro="" textlink="">
                <xdr:nvSpPr>
                  <xdr:cNvPr id="195" name="Tekstvak 194"/>
                  <xdr:cNvSpPr txBox="1"/>
                </xdr:nvSpPr>
                <xdr:spPr>
                  <a:xfrm>
                    <a:off x="1443321" y="41480569"/>
                    <a:ext cx="312863" cy="301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A</a:t>
                    </a:r>
                  </a:p>
                </xdr:txBody>
              </xdr:sp>
              <xdr:cxnSp macro="">
                <xdr:nvCxnSpPr>
                  <xdr:cNvPr id="59820564" name="Rechte verbindingslijn 229"/>
                  <xdr:cNvCxnSpPr>
                    <a:cxnSpLocks noChangeShapeType="1"/>
                  </xdr:cNvCxnSpPr>
                </xdr:nvCxnSpPr>
                <xdr:spPr bwMode="auto">
                  <a:xfrm rot="16200000" flipV="1">
                    <a:off x="555140" y="42088297"/>
                    <a:ext cx="1365805" cy="590120"/>
                  </a:xfrm>
                  <a:prstGeom prst="line">
                    <a:avLst/>
                  </a:prstGeom>
                  <a:noFill/>
                  <a:ln w="22225" algn="ctr">
                    <a:solidFill>
                      <a:srgbClr val="000000"/>
                    </a:solidFill>
                    <a:round/>
                    <a:headEnd/>
                    <a:tailEnd/>
                  </a:ln>
                </xdr:spPr>
              </xdr:cxnSp>
            </xdr:grpSp>
            <xdr:cxnSp macro="">
              <xdr:nvCxnSpPr>
                <xdr:cNvPr id="59820559" name="Rechte verbindingslijn 464"/>
                <xdr:cNvCxnSpPr>
                  <a:cxnSpLocks noChangeShapeType="1"/>
                </xdr:cNvCxnSpPr>
              </xdr:nvCxnSpPr>
              <xdr:spPr bwMode="auto">
                <a:xfrm rot="16200000" flipH="1">
                  <a:off x="1568157" y="82289374"/>
                  <a:ext cx="861582" cy="3"/>
                </a:xfrm>
                <a:prstGeom prst="line">
                  <a:avLst/>
                </a:prstGeom>
                <a:noFill/>
                <a:ln w="22225" algn="ctr">
                  <a:solidFill>
                    <a:srgbClr val="000000"/>
                  </a:solidFill>
                  <a:prstDash val="sysDash"/>
                  <a:round/>
                  <a:headEnd/>
                  <a:tailEnd/>
                </a:ln>
              </xdr:spPr>
            </xdr:cxnSp>
            <xdr:sp macro="" textlink="">
              <xdr:nvSpPr>
                <xdr:cNvPr id="192" name="Tekstvak 191"/>
                <xdr:cNvSpPr txBox="1"/>
              </xdr:nvSpPr>
              <xdr:spPr bwMode="auto">
                <a:xfrm flipH="1">
                  <a:off x="1851512" y="82659299"/>
                  <a:ext cx="276983" cy="263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x</a:t>
                  </a:r>
                </a:p>
              </xdr:txBody>
            </xdr:sp>
            <xdr:sp macro="" textlink="">
              <xdr:nvSpPr>
                <xdr:cNvPr id="59820561" name="Rechthoek 351"/>
                <xdr:cNvSpPr>
                  <a:spLocks noChangeArrowheads="1"/>
                </xdr:cNvSpPr>
              </xdr:nvSpPr>
              <xdr:spPr bwMode="auto">
                <a:xfrm>
                  <a:off x="1524001" y="81879700"/>
                  <a:ext cx="476250" cy="748552"/>
                </a:xfrm>
                <a:prstGeom prst="rect">
                  <a:avLst/>
                </a:prstGeom>
                <a:solidFill>
                  <a:srgbClr val="000000">
                    <a:alpha val="20000"/>
                  </a:srgbClr>
                </a:solidFill>
                <a:ln w="22225" algn="ctr">
                  <a:solidFill>
                    <a:srgbClr val="000000"/>
                  </a:solidFill>
                  <a:round/>
                  <a:headEnd/>
                  <a:tailEnd/>
                </a:ln>
              </xdr:spPr>
            </xdr:sp>
          </xdr:grpSp>
          <xdr:sp macro="" textlink="">
            <xdr:nvSpPr>
              <xdr:cNvPr id="189" name="Boog 188"/>
              <xdr:cNvSpPr/>
            </xdr:nvSpPr>
            <xdr:spPr bwMode="auto">
              <a:xfrm rot="600000" flipH="1" flipV="1">
                <a:off x="951507" y="90125548"/>
                <a:ext cx="2334572" cy="2103510"/>
              </a:xfrm>
              <a:prstGeom prst="arc">
                <a:avLst>
                  <a:gd name="adj1" fmla="val 15457690"/>
                  <a:gd name="adj2" fmla="val 20956569"/>
                </a:avLst>
              </a:prstGeom>
              <a:noFill/>
              <a:ln w="222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grpSp>
          <xdr:nvGrpSpPr>
            <xdr:cNvPr id="59820505" name="Groep 1022"/>
            <xdr:cNvGrpSpPr>
              <a:grpSpLocks/>
            </xdr:cNvGrpSpPr>
          </xdr:nvGrpSpPr>
          <xdr:grpSpPr bwMode="auto">
            <a:xfrm>
              <a:off x="2371727" y="90125551"/>
              <a:ext cx="2666818" cy="2732237"/>
              <a:chOff x="619129" y="90125546"/>
              <a:chExt cx="2666818" cy="2732237"/>
            </a:xfrm>
          </xdr:grpSpPr>
          <xdr:grpSp>
            <xdr:nvGrpSpPr>
              <xdr:cNvPr id="59820540" name="Groep 911"/>
              <xdr:cNvGrpSpPr>
                <a:grpSpLocks/>
              </xdr:cNvGrpSpPr>
            </xdr:nvGrpSpPr>
            <xdr:grpSpPr bwMode="auto">
              <a:xfrm>
                <a:off x="619129" y="91030469"/>
                <a:ext cx="1678164" cy="1827314"/>
                <a:chOff x="1273807" y="81095894"/>
                <a:chExt cx="1678164" cy="1827314"/>
              </a:xfrm>
            </xdr:grpSpPr>
            <xdr:grpSp>
              <xdr:nvGrpSpPr>
                <xdr:cNvPr id="59820542" name="Groep 420"/>
                <xdr:cNvGrpSpPr>
                  <a:grpSpLocks/>
                </xdr:cNvGrpSpPr>
              </xdr:nvGrpSpPr>
              <xdr:grpSpPr bwMode="auto">
                <a:xfrm>
                  <a:off x="1273807" y="81095894"/>
                  <a:ext cx="1678164" cy="1795716"/>
                  <a:chOff x="705858" y="41395649"/>
                  <a:chExt cx="1579626" cy="1885951"/>
                </a:xfrm>
              </xdr:grpSpPr>
              <xdr:grpSp>
                <xdr:nvGrpSpPr>
                  <xdr:cNvPr id="59820546" name="Groep 284"/>
                  <xdr:cNvGrpSpPr>
                    <a:grpSpLocks/>
                  </xdr:cNvGrpSpPr>
                </xdr:nvGrpSpPr>
                <xdr:grpSpPr bwMode="auto">
                  <a:xfrm>
                    <a:off x="705858" y="41395649"/>
                    <a:ext cx="1579626" cy="1885951"/>
                    <a:chOff x="473747" y="55330722"/>
                    <a:chExt cx="1579626" cy="1885952"/>
                  </a:xfrm>
                </xdr:grpSpPr>
                <xdr:cxnSp macro="">
                  <xdr:nvCxnSpPr>
                    <xdr:cNvPr id="59820549" name="Rechte verbindingslijn 175"/>
                    <xdr:cNvCxnSpPr>
                      <a:cxnSpLocks noChangeShapeType="1"/>
                    </xdr:cNvCxnSpPr>
                  </xdr:nvCxnSpPr>
                  <xdr:spPr bwMode="auto">
                    <a:xfrm rot="5400000">
                      <a:off x="-64466" y="56175387"/>
                      <a:ext cx="1543140" cy="0"/>
                    </a:xfrm>
                    <a:prstGeom prst="line">
                      <a:avLst/>
                    </a:prstGeom>
                    <a:noFill/>
                    <a:ln w="22225" algn="ctr">
                      <a:solidFill>
                        <a:srgbClr val="000000"/>
                      </a:solidFill>
                      <a:round/>
                      <a:headEnd/>
                      <a:tailEnd/>
                    </a:ln>
                  </xdr:spPr>
                </xdr:cxnSp>
                <xdr:cxnSp macro="">
                  <xdr:nvCxnSpPr>
                    <xdr:cNvPr id="59820550" name="Rechte verbindingslijn 182"/>
                    <xdr:cNvCxnSpPr>
                      <a:cxnSpLocks noChangeShapeType="1"/>
                    </xdr:cNvCxnSpPr>
                  </xdr:nvCxnSpPr>
                  <xdr:spPr bwMode="auto">
                    <a:xfrm>
                      <a:off x="707102" y="56946955"/>
                      <a:ext cx="1287305" cy="0"/>
                    </a:xfrm>
                    <a:prstGeom prst="line">
                      <a:avLst/>
                    </a:prstGeom>
                    <a:noFill/>
                    <a:ln w="22225" algn="ctr">
                      <a:solidFill>
                        <a:srgbClr val="000000"/>
                      </a:solidFill>
                      <a:round/>
                      <a:headEnd/>
                      <a:tailEnd/>
                    </a:ln>
                  </xdr:spPr>
                </xdr:cxnSp>
                <xdr:sp macro="" textlink="">
                  <xdr:nvSpPr>
                    <xdr:cNvPr id="183" name="Tekstvak 182"/>
                    <xdr:cNvSpPr txBox="1"/>
                  </xdr:nvSpPr>
                  <xdr:spPr>
                    <a:xfrm flipH="1">
                      <a:off x="477761" y="55334118"/>
                      <a:ext cx="163881" cy="252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a:t>
                      </a:r>
                    </a:p>
                  </xdr:txBody>
                </xdr:sp>
                <xdr:sp macro="" textlink="">
                  <xdr:nvSpPr>
                    <xdr:cNvPr id="184" name="Tekstvak 183"/>
                    <xdr:cNvSpPr txBox="1"/>
                  </xdr:nvSpPr>
                  <xdr:spPr>
                    <a:xfrm flipH="1">
                      <a:off x="1751561" y="56964534"/>
                      <a:ext cx="193677" cy="252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Q</a:t>
                      </a:r>
                    </a:p>
                  </xdr:txBody>
                </xdr:sp>
                <xdr:cxnSp macro="">
                  <xdr:nvCxnSpPr>
                    <xdr:cNvPr id="59820553" name="Rechte verbindingslijn 187"/>
                    <xdr:cNvCxnSpPr>
                      <a:cxnSpLocks noChangeShapeType="1"/>
                    </xdr:cNvCxnSpPr>
                  </xdr:nvCxnSpPr>
                  <xdr:spPr bwMode="auto">
                    <a:xfrm rot="16200000" flipH="1">
                      <a:off x="606224" y="55715865"/>
                      <a:ext cx="1323847" cy="1122088"/>
                    </a:xfrm>
                    <a:prstGeom prst="line">
                      <a:avLst/>
                    </a:prstGeom>
                    <a:noFill/>
                    <a:ln w="22225" algn="ctr">
                      <a:solidFill>
                        <a:srgbClr val="000000"/>
                      </a:solidFill>
                      <a:round/>
                      <a:headEnd/>
                      <a:tailEnd/>
                    </a:ln>
                  </xdr:spPr>
                </xdr:cxnSp>
                <xdr:cxnSp macro="">
                  <xdr:nvCxnSpPr>
                    <xdr:cNvPr id="59820554" name="Rechte verbindingslijn 229"/>
                    <xdr:cNvCxnSpPr>
                      <a:cxnSpLocks noChangeShapeType="1"/>
                    </xdr:cNvCxnSpPr>
                  </xdr:nvCxnSpPr>
                  <xdr:spPr bwMode="auto">
                    <a:xfrm rot="10800000" flipV="1">
                      <a:off x="710703" y="56651162"/>
                      <a:ext cx="1206523" cy="3536"/>
                    </a:xfrm>
                    <a:prstGeom prst="line">
                      <a:avLst/>
                    </a:prstGeom>
                    <a:noFill/>
                    <a:ln w="22225" algn="ctr">
                      <a:solidFill>
                        <a:srgbClr val="000000"/>
                      </a:solidFill>
                      <a:round/>
                      <a:headEnd/>
                      <a:tailEnd/>
                    </a:ln>
                  </xdr:spPr>
                </xdr:cxnSp>
                <xdr:sp macro="" textlink="">
                  <xdr:nvSpPr>
                    <xdr:cNvPr id="187" name="Tekstvak 186"/>
                    <xdr:cNvSpPr txBox="1"/>
                  </xdr:nvSpPr>
                  <xdr:spPr>
                    <a:xfrm flipH="1">
                      <a:off x="470312" y="55978132"/>
                      <a:ext cx="216025" cy="277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p</a:t>
                      </a:r>
                    </a:p>
                  </xdr:txBody>
                </xdr:sp>
              </xdr:grpSp>
              <xdr:sp macro="" textlink="">
                <xdr:nvSpPr>
                  <xdr:cNvPr id="179" name="Tekstvak 178"/>
                  <xdr:cNvSpPr txBox="1"/>
                </xdr:nvSpPr>
                <xdr:spPr>
                  <a:xfrm>
                    <a:off x="1439886" y="41480565"/>
                    <a:ext cx="312863" cy="301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B</a:t>
                    </a:r>
                  </a:p>
                </xdr:txBody>
              </xdr:sp>
              <xdr:cxnSp macro="">
                <xdr:nvCxnSpPr>
                  <xdr:cNvPr id="59820548" name="Rechte verbindingslijn 229"/>
                  <xdr:cNvCxnSpPr>
                    <a:cxnSpLocks noChangeShapeType="1"/>
                  </xdr:cNvCxnSpPr>
                </xdr:nvCxnSpPr>
                <xdr:spPr bwMode="auto">
                  <a:xfrm rot="16200000" flipV="1">
                    <a:off x="555140" y="42088297"/>
                    <a:ext cx="1365805" cy="590120"/>
                  </a:xfrm>
                  <a:prstGeom prst="line">
                    <a:avLst/>
                  </a:prstGeom>
                  <a:noFill/>
                  <a:ln w="22225" algn="ctr">
                    <a:solidFill>
                      <a:srgbClr val="000000"/>
                    </a:solidFill>
                    <a:round/>
                    <a:headEnd/>
                    <a:tailEnd/>
                  </a:ln>
                </xdr:spPr>
              </xdr:cxnSp>
            </xdr:grpSp>
            <xdr:cxnSp macro="">
              <xdr:nvCxnSpPr>
                <xdr:cNvPr id="59820543" name="Rechte verbindingslijn 464"/>
                <xdr:cNvCxnSpPr>
                  <a:cxnSpLocks noChangeShapeType="1"/>
                </xdr:cNvCxnSpPr>
              </xdr:nvCxnSpPr>
              <xdr:spPr bwMode="auto">
                <a:xfrm rot="16200000" flipH="1">
                  <a:off x="1566541" y="82289376"/>
                  <a:ext cx="861582" cy="3"/>
                </a:xfrm>
                <a:prstGeom prst="line">
                  <a:avLst/>
                </a:prstGeom>
                <a:noFill/>
                <a:ln w="22225" algn="ctr">
                  <a:solidFill>
                    <a:srgbClr val="000000"/>
                  </a:solidFill>
                  <a:prstDash val="sysDash"/>
                  <a:round/>
                  <a:headEnd/>
                  <a:tailEnd/>
                </a:ln>
              </xdr:spPr>
            </xdr:cxnSp>
            <xdr:sp macro="" textlink="">
              <xdr:nvSpPr>
                <xdr:cNvPr id="176" name="Tekstvak 175"/>
                <xdr:cNvSpPr txBox="1"/>
              </xdr:nvSpPr>
              <xdr:spPr bwMode="auto">
                <a:xfrm flipH="1">
                  <a:off x="1855779" y="82659296"/>
                  <a:ext cx="276983" cy="263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x</a:t>
                  </a:r>
                </a:p>
              </xdr:txBody>
            </xdr:sp>
            <xdr:sp macro="" textlink="">
              <xdr:nvSpPr>
                <xdr:cNvPr id="59820545" name="Rechthoek 351"/>
                <xdr:cNvSpPr>
                  <a:spLocks noChangeArrowheads="1"/>
                </xdr:cNvSpPr>
              </xdr:nvSpPr>
              <xdr:spPr bwMode="auto">
                <a:xfrm>
                  <a:off x="1524001" y="81877271"/>
                  <a:ext cx="471765" cy="153300"/>
                </a:xfrm>
                <a:prstGeom prst="rect">
                  <a:avLst/>
                </a:prstGeom>
                <a:solidFill>
                  <a:srgbClr val="000000">
                    <a:alpha val="20000"/>
                  </a:srgbClr>
                </a:solidFill>
                <a:ln w="22225" algn="ctr">
                  <a:solidFill>
                    <a:srgbClr val="000000"/>
                  </a:solidFill>
                  <a:round/>
                  <a:headEnd/>
                  <a:tailEnd/>
                </a:ln>
              </xdr:spPr>
            </xdr:sp>
          </xdr:grpSp>
          <xdr:sp macro="" textlink="">
            <xdr:nvSpPr>
              <xdr:cNvPr id="173" name="Boog 172"/>
              <xdr:cNvSpPr/>
            </xdr:nvSpPr>
            <xdr:spPr bwMode="auto">
              <a:xfrm rot="600000" flipH="1" flipV="1">
                <a:off x="947859" y="90125545"/>
                <a:ext cx="2326658" cy="2103510"/>
              </a:xfrm>
              <a:prstGeom prst="arc">
                <a:avLst>
                  <a:gd name="adj1" fmla="val 15457690"/>
                  <a:gd name="adj2" fmla="val 20956569"/>
                </a:avLst>
              </a:prstGeom>
              <a:noFill/>
              <a:ln w="222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grpSp>
          <xdr:nvGrpSpPr>
            <xdr:cNvPr id="59820506" name="Groep 1041"/>
            <xdr:cNvGrpSpPr>
              <a:grpSpLocks/>
            </xdr:cNvGrpSpPr>
          </xdr:nvGrpSpPr>
          <xdr:grpSpPr bwMode="auto">
            <a:xfrm>
              <a:off x="4124325" y="90135062"/>
              <a:ext cx="2666998" cy="2728709"/>
              <a:chOff x="619127" y="90125548"/>
              <a:chExt cx="2666997" cy="2728709"/>
            </a:xfrm>
          </xdr:grpSpPr>
          <xdr:grpSp>
            <xdr:nvGrpSpPr>
              <xdr:cNvPr id="59820524" name="Groep 911"/>
              <xdr:cNvGrpSpPr>
                <a:grpSpLocks/>
              </xdr:cNvGrpSpPr>
            </xdr:nvGrpSpPr>
            <xdr:grpSpPr bwMode="auto">
              <a:xfrm>
                <a:off x="619131" y="91030469"/>
                <a:ext cx="1678164" cy="1823788"/>
                <a:chOff x="1273809" y="81095894"/>
                <a:chExt cx="1678164" cy="1823788"/>
              </a:xfrm>
            </xdr:grpSpPr>
            <xdr:grpSp>
              <xdr:nvGrpSpPr>
                <xdr:cNvPr id="59820526" name="Groep 420"/>
                <xdr:cNvGrpSpPr>
                  <a:grpSpLocks/>
                </xdr:cNvGrpSpPr>
              </xdr:nvGrpSpPr>
              <xdr:grpSpPr bwMode="auto">
                <a:xfrm>
                  <a:off x="1273809" y="81095894"/>
                  <a:ext cx="1678164" cy="1795716"/>
                  <a:chOff x="705858" y="41395649"/>
                  <a:chExt cx="1579626" cy="1885951"/>
                </a:xfrm>
              </xdr:grpSpPr>
              <xdr:grpSp>
                <xdr:nvGrpSpPr>
                  <xdr:cNvPr id="59820530" name="Groep 284"/>
                  <xdr:cNvGrpSpPr>
                    <a:grpSpLocks/>
                  </xdr:cNvGrpSpPr>
                </xdr:nvGrpSpPr>
                <xdr:grpSpPr bwMode="auto">
                  <a:xfrm>
                    <a:off x="705858" y="41395649"/>
                    <a:ext cx="1579626" cy="1885951"/>
                    <a:chOff x="473747" y="55330722"/>
                    <a:chExt cx="1579626" cy="1885952"/>
                  </a:xfrm>
                </xdr:grpSpPr>
                <xdr:cxnSp macro="">
                  <xdr:nvCxnSpPr>
                    <xdr:cNvPr id="59820533" name="Rechte verbindingslijn 175"/>
                    <xdr:cNvCxnSpPr>
                      <a:cxnSpLocks noChangeShapeType="1"/>
                    </xdr:cNvCxnSpPr>
                  </xdr:nvCxnSpPr>
                  <xdr:spPr bwMode="auto">
                    <a:xfrm rot="5400000">
                      <a:off x="-64466" y="56175387"/>
                      <a:ext cx="1543140" cy="0"/>
                    </a:xfrm>
                    <a:prstGeom prst="line">
                      <a:avLst/>
                    </a:prstGeom>
                    <a:noFill/>
                    <a:ln w="22225" algn="ctr">
                      <a:solidFill>
                        <a:srgbClr val="000000"/>
                      </a:solidFill>
                      <a:round/>
                      <a:headEnd/>
                      <a:tailEnd/>
                    </a:ln>
                  </xdr:spPr>
                </xdr:cxnSp>
                <xdr:cxnSp macro="">
                  <xdr:nvCxnSpPr>
                    <xdr:cNvPr id="59820534" name="Rechte verbindingslijn 182"/>
                    <xdr:cNvCxnSpPr>
                      <a:cxnSpLocks noChangeShapeType="1"/>
                    </xdr:cNvCxnSpPr>
                  </xdr:nvCxnSpPr>
                  <xdr:spPr bwMode="auto">
                    <a:xfrm>
                      <a:off x="707102" y="56946955"/>
                      <a:ext cx="1287305" cy="0"/>
                    </a:xfrm>
                    <a:prstGeom prst="line">
                      <a:avLst/>
                    </a:prstGeom>
                    <a:noFill/>
                    <a:ln w="22225" algn="ctr">
                      <a:solidFill>
                        <a:srgbClr val="000000"/>
                      </a:solidFill>
                      <a:round/>
                      <a:headEnd/>
                      <a:tailEnd/>
                    </a:ln>
                  </xdr:spPr>
                </xdr:cxnSp>
                <xdr:sp macro="" textlink="">
                  <xdr:nvSpPr>
                    <xdr:cNvPr id="167" name="Tekstvak 166"/>
                    <xdr:cNvSpPr txBox="1"/>
                  </xdr:nvSpPr>
                  <xdr:spPr>
                    <a:xfrm flipH="1">
                      <a:off x="489222" y="55332283"/>
                      <a:ext cx="148982" cy="236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a:t>
                      </a:r>
                    </a:p>
                  </xdr:txBody>
                </xdr:sp>
                <xdr:sp macro="" textlink="">
                  <xdr:nvSpPr>
                    <xdr:cNvPr id="168" name="Tekstvak 167"/>
                    <xdr:cNvSpPr txBox="1"/>
                  </xdr:nvSpPr>
                  <xdr:spPr>
                    <a:xfrm flipH="1">
                      <a:off x="1859860" y="56962698"/>
                      <a:ext cx="201126" cy="252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Q</a:t>
                      </a:r>
                    </a:p>
                  </xdr:txBody>
                </xdr:sp>
                <xdr:cxnSp macro="">
                  <xdr:nvCxnSpPr>
                    <xdr:cNvPr id="59820537" name="Rechte verbindingslijn 187"/>
                    <xdr:cNvCxnSpPr>
                      <a:cxnSpLocks noChangeShapeType="1"/>
                    </xdr:cNvCxnSpPr>
                  </xdr:nvCxnSpPr>
                  <xdr:spPr bwMode="auto">
                    <a:xfrm rot="16200000" flipH="1">
                      <a:off x="606224" y="55715865"/>
                      <a:ext cx="1323847" cy="1122088"/>
                    </a:xfrm>
                    <a:prstGeom prst="line">
                      <a:avLst/>
                    </a:prstGeom>
                    <a:noFill/>
                    <a:ln w="22225" algn="ctr">
                      <a:solidFill>
                        <a:srgbClr val="000000"/>
                      </a:solidFill>
                      <a:round/>
                      <a:headEnd/>
                      <a:tailEnd/>
                    </a:ln>
                  </xdr:spPr>
                </xdr:cxnSp>
                <xdr:cxnSp macro="">
                  <xdr:nvCxnSpPr>
                    <xdr:cNvPr id="59820538" name="Rechte verbindingslijn 229"/>
                    <xdr:cNvCxnSpPr>
                      <a:cxnSpLocks noChangeShapeType="1"/>
                    </xdr:cNvCxnSpPr>
                  </xdr:nvCxnSpPr>
                  <xdr:spPr bwMode="auto">
                    <a:xfrm rot="10800000" flipV="1">
                      <a:off x="710703" y="56651162"/>
                      <a:ext cx="1206523" cy="3536"/>
                    </a:xfrm>
                    <a:prstGeom prst="line">
                      <a:avLst/>
                    </a:prstGeom>
                    <a:noFill/>
                    <a:ln w="22225" algn="ctr">
                      <a:solidFill>
                        <a:srgbClr val="000000"/>
                      </a:solidFill>
                      <a:round/>
                      <a:headEnd/>
                      <a:tailEnd/>
                    </a:ln>
                  </xdr:spPr>
                </xdr:cxnSp>
                <xdr:sp macro="" textlink="">
                  <xdr:nvSpPr>
                    <xdr:cNvPr id="171" name="Tekstvak 170"/>
                    <xdr:cNvSpPr txBox="1"/>
                  </xdr:nvSpPr>
                  <xdr:spPr>
                    <a:xfrm flipH="1">
                      <a:off x="481773" y="55984449"/>
                      <a:ext cx="208575" cy="260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p</a:t>
                      </a:r>
                    </a:p>
                  </xdr:txBody>
                </xdr:sp>
              </xdr:grpSp>
              <xdr:sp macro="" textlink="">
                <xdr:nvSpPr>
                  <xdr:cNvPr id="163" name="Tekstvak 162"/>
                  <xdr:cNvSpPr txBox="1"/>
                </xdr:nvSpPr>
                <xdr:spPr>
                  <a:xfrm>
                    <a:off x="1443898" y="41462426"/>
                    <a:ext cx="312863" cy="317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C</a:t>
                    </a:r>
                  </a:p>
                </xdr:txBody>
              </xdr:sp>
              <xdr:cxnSp macro="">
                <xdr:nvCxnSpPr>
                  <xdr:cNvPr id="59820532" name="Rechte verbindingslijn 229"/>
                  <xdr:cNvCxnSpPr>
                    <a:cxnSpLocks noChangeShapeType="1"/>
                  </xdr:cNvCxnSpPr>
                </xdr:nvCxnSpPr>
                <xdr:spPr bwMode="auto">
                  <a:xfrm rot="16200000" flipV="1">
                    <a:off x="555140" y="42088297"/>
                    <a:ext cx="1365805" cy="590120"/>
                  </a:xfrm>
                  <a:prstGeom prst="line">
                    <a:avLst/>
                  </a:prstGeom>
                  <a:noFill/>
                  <a:ln w="22225" algn="ctr">
                    <a:solidFill>
                      <a:srgbClr val="000000"/>
                    </a:solidFill>
                    <a:round/>
                    <a:headEnd/>
                    <a:tailEnd/>
                  </a:ln>
                </xdr:spPr>
              </xdr:cxnSp>
            </xdr:grpSp>
            <xdr:cxnSp macro="">
              <xdr:nvCxnSpPr>
                <xdr:cNvPr id="59820527" name="Rechte verbindingslijn 464"/>
                <xdr:cNvCxnSpPr>
                  <a:cxnSpLocks noChangeShapeType="1"/>
                </xdr:cNvCxnSpPr>
              </xdr:nvCxnSpPr>
              <xdr:spPr bwMode="auto">
                <a:xfrm rot="16200000" flipH="1">
                  <a:off x="1568157" y="82289374"/>
                  <a:ext cx="861582" cy="3"/>
                </a:xfrm>
                <a:prstGeom prst="line">
                  <a:avLst/>
                </a:prstGeom>
                <a:noFill/>
                <a:ln w="22225" algn="ctr">
                  <a:solidFill>
                    <a:srgbClr val="000000"/>
                  </a:solidFill>
                  <a:prstDash val="sysDash"/>
                  <a:round/>
                  <a:headEnd/>
                  <a:tailEnd/>
                </a:ln>
              </xdr:spPr>
            </xdr:cxnSp>
            <xdr:sp macro="" textlink="">
              <xdr:nvSpPr>
                <xdr:cNvPr id="160" name="Tekstvak 159"/>
                <xdr:cNvSpPr txBox="1"/>
              </xdr:nvSpPr>
              <xdr:spPr bwMode="auto">
                <a:xfrm flipH="1">
                  <a:off x="1860043" y="82665310"/>
                  <a:ext cx="276983" cy="256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x</a:t>
                  </a:r>
                </a:p>
              </xdr:txBody>
            </xdr:sp>
            <xdr:sp macro="" textlink="">
              <xdr:nvSpPr>
                <xdr:cNvPr id="59820529" name="Rechthoek 351"/>
                <xdr:cNvSpPr>
                  <a:spLocks noChangeArrowheads="1"/>
                </xdr:cNvSpPr>
              </xdr:nvSpPr>
              <xdr:spPr bwMode="auto">
                <a:xfrm>
                  <a:off x="1524001" y="82019775"/>
                  <a:ext cx="476250" cy="333373"/>
                </a:xfrm>
                <a:prstGeom prst="rect">
                  <a:avLst/>
                </a:prstGeom>
                <a:solidFill>
                  <a:srgbClr val="000000">
                    <a:alpha val="20000"/>
                  </a:srgbClr>
                </a:solidFill>
                <a:ln w="22225" algn="ctr">
                  <a:solidFill>
                    <a:srgbClr val="000000"/>
                  </a:solidFill>
                  <a:round/>
                  <a:headEnd/>
                  <a:tailEnd/>
                </a:ln>
              </xdr:spPr>
            </xdr:sp>
          </xdr:grpSp>
          <xdr:sp macro="" textlink="">
            <xdr:nvSpPr>
              <xdr:cNvPr id="157" name="Boog 156"/>
              <xdr:cNvSpPr/>
            </xdr:nvSpPr>
            <xdr:spPr bwMode="auto">
              <a:xfrm rot="600000" flipH="1" flipV="1">
                <a:off x="952124" y="90123798"/>
                <a:ext cx="2334572" cy="2119034"/>
              </a:xfrm>
              <a:prstGeom prst="arc">
                <a:avLst>
                  <a:gd name="adj1" fmla="val 15457690"/>
                  <a:gd name="adj2" fmla="val 20956569"/>
                </a:avLst>
              </a:prstGeom>
              <a:noFill/>
              <a:ln w="222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grpSp>
          <xdr:nvGrpSpPr>
            <xdr:cNvPr id="59820507" name="Groep 1062"/>
            <xdr:cNvGrpSpPr>
              <a:grpSpLocks/>
            </xdr:cNvGrpSpPr>
          </xdr:nvGrpSpPr>
          <xdr:grpSpPr bwMode="auto">
            <a:xfrm>
              <a:off x="5838828" y="90144600"/>
              <a:ext cx="2733672" cy="2728709"/>
              <a:chOff x="619127" y="90125548"/>
              <a:chExt cx="2666997" cy="2728709"/>
            </a:xfrm>
          </xdr:grpSpPr>
          <xdr:grpSp>
            <xdr:nvGrpSpPr>
              <xdr:cNvPr id="59820508" name="Groep 911"/>
              <xdr:cNvGrpSpPr>
                <a:grpSpLocks/>
              </xdr:cNvGrpSpPr>
            </xdr:nvGrpSpPr>
            <xdr:grpSpPr bwMode="auto">
              <a:xfrm>
                <a:off x="619133" y="91030469"/>
                <a:ext cx="1678164" cy="1823788"/>
                <a:chOff x="1273811" y="81095894"/>
                <a:chExt cx="1678164" cy="1823788"/>
              </a:xfrm>
            </xdr:grpSpPr>
            <xdr:grpSp>
              <xdr:nvGrpSpPr>
                <xdr:cNvPr id="59820510" name="Groep 420"/>
                <xdr:cNvGrpSpPr>
                  <a:grpSpLocks/>
                </xdr:cNvGrpSpPr>
              </xdr:nvGrpSpPr>
              <xdr:grpSpPr bwMode="auto">
                <a:xfrm>
                  <a:off x="1273811" y="81095894"/>
                  <a:ext cx="1678164" cy="1795716"/>
                  <a:chOff x="705858" y="41395649"/>
                  <a:chExt cx="1579626" cy="1885951"/>
                </a:xfrm>
              </xdr:grpSpPr>
              <xdr:grpSp>
                <xdr:nvGrpSpPr>
                  <xdr:cNvPr id="59820514" name="Groep 284"/>
                  <xdr:cNvGrpSpPr>
                    <a:grpSpLocks/>
                  </xdr:cNvGrpSpPr>
                </xdr:nvGrpSpPr>
                <xdr:grpSpPr bwMode="auto">
                  <a:xfrm>
                    <a:off x="705858" y="41395649"/>
                    <a:ext cx="1579626" cy="1885951"/>
                    <a:chOff x="473747" y="55330722"/>
                    <a:chExt cx="1579626" cy="1885952"/>
                  </a:xfrm>
                </xdr:grpSpPr>
                <xdr:cxnSp macro="">
                  <xdr:nvCxnSpPr>
                    <xdr:cNvPr id="59820517" name="Rechte verbindingslijn 175"/>
                    <xdr:cNvCxnSpPr>
                      <a:cxnSpLocks noChangeShapeType="1"/>
                    </xdr:cNvCxnSpPr>
                  </xdr:nvCxnSpPr>
                  <xdr:spPr bwMode="auto">
                    <a:xfrm rot="5400000">
                      <a:off x="-64466" y="56175387"/>
                      <a:ext cx="1543140" cy="0"/>
                    </a:xfrm>
                    <a:prstGeom prst="line">
                      <a:avLst/>
                    </a:prstGeom>
                    <a:noFill/>
                    <a:ln w="22225" algn="ctr">
                      <a:solidFill>
                        <a:srgbClr val="000000"/>
                      </a:solidFill>
                      <a:round/>
                      <a:headEnd/>
                      <a:tailEnd/>
                    </a:ln>
                  </xdr:spPr>
                </xdr:cxnSp>
                <xdr:cxnSp macro="">
                  <xdr:nvCxnSpPr>
                    <xdr:cNvPr id="59820518" name="Rechte verbindingslijn 182"/>
                    <xdr:cNvCxnSpPr>
                      <a:cxnSpLocks noChangeShapeType="1"/>
                    </xdr:cNvCxnSpPr>
                  </xdr:nvCxnSpPr>
                  <xdr:spPr bwMode="auto">
                    <a:xfrm>
                      <a:off x="707102" y="56946955"/>
                      <a:ext cx="1287305" cy="0"/>
                    </a:xfrm>
                    <a:prstGeom prst="line">
                      <a:avLst/>
                    </a:prstGeom>
                    <a:noFill/>
                    <a:ln w="22225" algn="ctr">
                      <a:solidFill>
                        <a:srgbClr val="000000"/>
                      </a:solidFill>
                      <a:round/>
                      <a:headEnd/>
                      <a:tailEnd/>
                    </a:ln>
                  </xdr:spPr>
                </xdr:cxnSp>
                <xdr:sp macro="" textlink="">
                  <xdr:nvSpPr>
                    <xdr:cNvPr id="151" name="Tekstvak 150"/>
                    <xdr:cNvSpPr txBox="1"/>
                  </xdr:nvSpPr>
                  <xdr:spPr>
                    <a:xfrm flipH="1">
                      <a:off x="484140" y="55330418"/>
                      <a:ext cx="152616" cy="236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a:t>
                      </a:r>
                    </a:p>
                  </xdr:txBody>
                </xdr:sp>
                <xdr:sp macro="" textlink="">
                  <xdr:nvSpPr>
                    <xdr:cNvPr id="152" name="Tekstvak 151"/>
                    <xdr:cNvSpPr txBox="1"/>
                  </xdr:nvSpPr>
                  <xdr:spPr>
                    <a:xfrm flipH="1">
                      <a:off x="1864953" y="56960834"/>
                      <a:ext cx="188953" cy="252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Q</a:t>
                      </a:r>
                    </a:p>
                  </xdr:txBody>
                </xdr:sp>
                <xdr:cxnSp macro="">
                  <xdr:nvCxnSpPr>
                    <xdr:cNvPr id="59820521" name="Rechte verbindingslijn 187"/>
                    <xdr:cNvCxnSpPr>
                      <a:cxnSpLocks noChangeShapeType="1"/>
                    </xdr:cNvCxnSpPr>
                  </xdr:nvCxnSpPr>
                  <xdr:spPr bwMode="auto">
                    <a:xfrm rot="16200000" flipH="1">
                      <a:off x="606224" y="55715865"/>
                      <a:ext cx="1323847" cy="1122088"/>
                    </a:xfrm>
                    <a:prstGeom prst="line">
                      <a:avLst/>
                    </a:prstGeom>
                    <a:noFill/>
                    <a:ln w="22225" algn="ctr">
                      <a:solidFill>
                        <a:srgbClr val="000000"/>
                      </a:solidFill>
                      <a:round/>
                      <a:headEnd/>
                      <a:tailEnd/>
                    </a:ln>
                  </xdr:spPr>
                </xdr:cxnSp>
                <xdr:cxnSp macro="">
                  <xdr:nvCxnSpPr>
                    <xdr:cNvPr id="59820522" name="Rechte verbindingslijn 229"/>
                    <xdr:cNvCxnSpPr>
                      <a:cxnSpLocks noChangeShapeType="1"/>
                    </xdr:cNvCxnSpPr>
                  </xdr:nvCxnSpPr>
                  <xdr:spPr bwMode="auto">
                    <a:xfrm rot="10800000" flipV="1">
                      <a:off x="710703" y="56651162"/>
                      <a:ext cx="1206523" cy="3536"/>
                    </a:xfrm>
                    <a:prstGeom prst="line">
                      <a:avLst/>
                    </a:prstGeom>
                    <a:noFill/>
                    <a:ln w="22225" algn="ctr">
                      <a:solidFill>
                        <a:srgbClr val="000000"/>
                      </a:solidFill>
                      <a:round/>
                      <a:headEnd/>
                      <a:tailEnd/>
                    </a:ln>
                  </xdr:spPr>
                </xdr:cxnSp>
                <xdr:sp macro="" textlink="">
                  <xdr:nvSpPr>
                    <xdr:cNvPr id="155" name="Tekstvak 154"/>
                    <xdr:cNvSpPr txBox="1"/>
                  </xdr:nvSpPr>
                  <xdr:spPr>
                    <a:xfrm flipH="1">
                      <a:off x="476872" y="55982584"/>
                      <a:ext cx="218023" cy="260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a:t>p</a:t>
                      </a:r>
                    </a:p>
                  </xdr:txBody>
                </xdr:sp>
              </xdr:grpSp>
              <xdr:sp macro="" textlink="">
                <xdr:nvSpPr>
                  <xdr:cNvPr id="147" name="Tekstvak 146"/>
                  <xdr:cNvSpPr txBox="1"/>
                </xdr:nvSpPr>
                <xdr:spPr>
                  <a:xfrm>
                    <a:off x="1442994" y="41460562"/>
                    <a:ext cx="312500" cy="317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600" b="1"/>
                      <a:t>D</a:t>
                    </a:r>
                  </a:p>
                </xdr:txBody>
              </xdr:sp>
              <xdr:cxnSp macro="">
                <xdr:nvCxnSpPr>
                  <xdr:cNvPr id="59820516" name="Rechte verbindingslijn 229"/>
                  <xdr:cNvCxnSpPr>
                    <a:cxnSpLocks noChangeShapeType="1"/>
                  </xdr:cNvCxnSpPr>
                </xdr:nvCxnSpPr>
                <xdr:spPr bwMode="auto">
                  <a:xfrm rot="16200000" flipV="1">
                    <a:off x="555140" y="42088297"/>
                    <a:ext cx="1365805" cy="590120"/>
                  </a:xfrm>
                  <a:prstGeom prst="line">
                    <a:avLst/>
                  </a:prstGeom>
                  <a:noFill/>
                  <a:ln w="22225" algn="ctr">
                    <a:solidFill>
                      <a:srgbClr val="000000"/>
                    </a:solidFill>
                    <a:round/>
                    <a:headEnd/>
                    <a:tailEnd/>
                  </a:ln>
                </xdr:spPr>
              </xdr:cxnSp>
            </xdr:grpSp>
            <xdr:cxnSp macro="">
              <xdr:nvCxnSpPr>
                <xdr:cNvPr id="59820511" name="Rechte verbindingslijn 464"/>
                <xdr:cNvCxnSpPr>
                  <a:cxnSpLocks noChangeShapeType="1"/>
                </xdr:cNvCxnSpPr>
              </xdr:nvCxnSpPr>
              <xdr:spPr bwMode="auto">
                <a:xfrm rot="16200000" flipH="1">
                  <a:off x="1568157" y="82289374"/>
                  <a:ext cx="861582" cy="3"/>
                </a:xfrm>
                <a:prstGeom prst="line">
                  <a:avLst/>
                </a:prstGeom>
                <a:noFill/>
                <a:ln w="22225" algn="ctr">
                  <a:solidFill>
                    <a:srgbClr val="000000"/>
                  </a:solidFill>
                  <a:prstDash val="sysDash"/>
                  <a:round/>
                  <a:headEnd/>
                  <a:tailEnd/>
                </a:ln>
              </xdr:spPr>
            </xdr:cxnSp>
            <xdr:sp macro="" textlink="">
              <xdr:nvSpPr>
                <xdr:cNvPr id="143" name="Tekstvak 142"/>
                <xdr:cNvSpPr txBox="1"/>
              </xdr:nvSpPr>
              <xdr:spPr bwMode="auto">
                <a:xfrm flipH="1">
                  <a:off x="1856190" y="82663535"/>
                  <a:ext cx="270227" cy="256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100"/>
                    <a:t>x</a:t>
                  </a:r>
                </a:p>
              </xdr:txBody>
            </xdr:sp>
            <xdr:sp macro="" textlink="">
              <xdr:nvSpPr>
                <xdr:cNvPr id="59820513" name="Rechthoek 351"/>
                <xdr:cNvSpPr>
                  <a:spLocks noChangeArrowheads="1"/>
                </xdr:cNvSpPr>
              </xdr:nvSpPr>
              <xdr:spPr bwMode="auto">
                <a:xfrm>
                  <a:off x="1524001" y="82360816"/>
                  <a:ext cx="476250" cy="278097"/>
                </a:xfrm>
                <a:prstGeom prst="rect">
                  <a:avLst/>
                </a:prstGeom>
                <a:solidFill>
                  <a:srgbClr val="000000">
                    <a:alpha val="20000"/>
                  </a:srgbClr>
                </a:solidFill>
                <a:ln w="22225" algn="ctr">
                  <a:solidFill>
                    <a:srgbClr val="000000"/>
                  </a:solidFill>
                  <a:round/>
                  <a:headEnd/>
                  <a:tailEnd/>
                </a:ln>
              </xdr:spPr>
            </xdr:sp>
          </xdr:grpSp>
          <xdr:sp macro="" textlink="">
            <xdr:nvSpPr>
              <xdr:cNvPr id="140" name="Boog 139"/>
              <xdr:cNvSpPr/>
            </xdr:nvSpPr>
            <xdr:spPr bwMode="auto">
              <a:xfrm rot="600000" flipH="1" flipV="1">
                <a:off x="954447" y="90122022"/>
                <a:ext cx="2331677" cy="2103510"/>
              </a:xfrm>
              <a:prstGeom prst="arc">
                <a:avLst>
                  <a:gd name="adj1" fmla="val 15457690"/>
                  <a:gd name="adj2" fmla="val 20956569"/>
                </a:avLst>
              </a:prstGeom>
              <a:noFill/>
              <a:ln w="222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nl-NL"/>
              </a:p>
            </xdr:txBody>
          </xdr:sp>
        </xdr:grpSp>
      </xdr:grpSp>
      <xdr:cxnSp macro="">
        <xdr:nvCxnSpPr>
          <xdr:cNvPr id="59820502" name="Rechte verbindingslijn 428"/>
          <xdr:cNvCxnSpPr>
            <a:cxnSpLocks noChangeShapeType="1"/>
          </xdr:cNvCxnSpPr>
        </xdr:nvCxnSpPr>
        <xdr:spPr bwMode="auto">
          <a:xfrm flipH="1">
            <a:off x="3985260" y="25046940"/>
            <a:ext cx="449580" cy="0"/>
          </a:xfrm>
          <a:prstGeom prst="line">
            <a:avLst/>
          </a:prstGeom>
          <a:noFill/>
          <a:ln w="22225" algn="ctr">
            <a:solidFill>
              <a:srgbClr val="000000"/>
            </a:solidFill>
            <a:prstDash val="sysDash"/>
            <a:round/>
            <a:headEnd/>
            <a:tailEnd/>
          </a:ln>
        </xdr:spPr>
      </xdr:cxnSp>
      <xdr:cxnSp macro="">
        <xdr:nvCxnSpPr>
          <xdr:cNvPr id="59820503" name="Rechte verbindingslijn 429"/>
          <xdr:cNvCxnSpPr>
            <a:cxnSpLocks noChangeShapeType="1"/>
          </xdr:cNvCxnSpPr>
        </xdr:nvCxnSpPr>
        <xdr:spPr bwMode="auto">
          <a:xfrm flipH="1">
            <a:off x="5623560" y="25046940"/>
            <a:ext cx="449580" cy="0"/>
          </a:xfrm>
          <a:prstGeom prst="line">
            <a:avLst/>
          </a:prstGeom>
          <a:noFill/>
          <a:ln w="22225" algn="ctr">
            <a:solidFill>
              <a:srgbClr val="000000"/>
            </a:solidFill>
            <a:prstDash val="sysDash"/>
            <a:round/>
            <a:headEnd/>
            <a:tailEnd/>
          </a:ln>
        </xdr:spPr>
      </xdr:cxnSp>
    </xdr:grpSp>
    <xdr:clientData/>
  </xdr:twoCellAnchor>
</xdr:wsDr>
</file>

<file path=xl/drawings/drawing20.xml><?xml version="1.0" encoding="utf-8"?>
<c:userShapes xmlns:c="http://schemas.openxmlformats.org/drawingml/2006/chart">
  <cdr:relSizeAnchor xmlns:cdr="http://schemas.openxmlformats.org/drawingml/2006/chartDrawing">
    <cdr:from>
      <cdr:x>0.09975</cdr:x>
      <cdr:y>0.03533</cdr:y>
    </cdr:from>
    <cdr:to>
      <cdr:x>0.93152</cdr:x>
      <cdr:y>0.11314</cdr:y>
    </cdr:to>
    <cdr:sp macro="" textlink="">
      <cdr:nvSpPr>
        <cdr:cNvPr id="95233" name="Text Box 1"/>
        <cdr:cNvSpPr txBox="1">
          <a:spLocks xmlns:a="http://schemas.openxmlformats.org/drawingml/2006/main" noChangeArrowheads="1"/>
        </cdr:cNvSpPr>
      </cdr:nvSpPr>
      <cdr:spPr bwMode="auto">
        <a:xfrm xmlns:a="http://schemas.openxmlformats.org/drawingml/2006/main">
          <a:off x="403884" y="104280"/>
          <a:ext cx="3284315" cy="2290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nl-NL" sz="1000" b="1" i="0" u="none" strike="noStrike" baseline="0">
              <a:solidFill>
                <a:srgbClr val="000000"/>
              </a:solidFill>
              <a:latin typeface="Arial"/>
              <a:cs typeface="Arial"/>
            </a:rPr>
            <a:t>Met proportioneel variabele kosten</a:t>
          </a:r>
        </a:p>
      </cdr:txBody>
    </cdr:sp>
  </cdr:relSizeAnchor>
</c:userShapes>
</file>

<file path=xl/drawings/drawing21.xml><?xml version="1.0" encoding="utf-8"?>
<c:userShapes xmlns:c="http://schemas.openxmlformats.org/drawingml/2006/chart">
  <cdr:relSizeAnchor xmlns:cdr="http://schemas.openxmlformats.org/drawingml/2006/chartDrawing">
    <cdr:from>
      <cdr:x>0.3053</cdr:x>
      <cdr:y>0.03485</cdr:y>
    </cdr:from>
    <cdr:to>
      <cdr:x>0.75303</cdr:x>
      <cdr:y>0.09543</cdr:y>
    </cdr:to>
    <cdr:sp macro="" textlink="">
      <cdr:nvSpPr>
        <cdr:cNvPr id="95233" name="Text Box 1"/>
        <cdr:cNvSpPr txBox="1">
          <a:spLocks xmlns:a="http://schemas.openxmlformats.org/drawingml/2006/main" noChangeArrowheads="1"/>
        </cdr:cNvSpPr>
      </cdr:nvSpPr>
      <cdr:spPr bwMode="auto">
        <a:xfrm xmlns:a="http://schemas.openxmlformats.org/drawingml/2006/main">
          <a:off x="1095374" y="105952"/>
          <a:ext cx="1590661" cy="1843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ctr" rtl="0">
            <a:defRPr sz="1000"/>
          </a:pPr>
          <a:r>
            <a:rPr lang="nl-NL" sz="1000" b="1" i="0" u="none" strike="noStrike" baseline="0">
              <a:solidFill>
                <a:srgbClr val="000000"/>
              </a:solidFill>
              <a:latin typeface="Arial"/>
              <a:cs typeface="Arial"/>
            </a:rPr>
            <a:t>TO-, TK- en TVK-lijn</a:t>
          </a:r>
        </a:p>
      </cdr:txBody>
    </cdr:sp>
  </cdr:relSizeAnchor>
</c:userShapes>
</file>

<file path=xl/drawings/drawing3.xml><?xml version="1.0" encoding="utf-8"?>
<xdr:wsDr xmlns:xdr="http://schemas.openxmlformats.org/drawingml/2006/spreadsheetDrawing" xmlns:a="http://schemas.openxmlformats.org/drawingml/2006/main">
  <xdr:twoCellAnchor>
    <xdr:from>
      <xdr:col>5</xdr:col>
      <xdr:colOff>7620</xdr:colOff>
      <xdr:row>230</xdr:row>
      <xdr:rowOff>83820</xdr:rowOff>
    </xdr:from>
    <xdr:to>
      <xdr:col>153</xdr:col>
      <xdr:colOff>15240</xdr:colOff>
      <xdr:row>239</xdr:row>
      <xdr:rowOff>167640</xdr:rowOff>
    </xdr:to>
    <xdr:grpSp>
      <xdr:nvGrpSpPr>
        <xdr:cNvPr id="59826728" name="Groep 1139"/>
        <xdr:cNvGrpSpPr>
          <a:grpSpLocks/>
        </xdr:cNvGrpSpPr>
      </xdr:nvGrpSpPr>
      <xdr:grpSpPr bwMode="auto">
        <a:xfrm>
          <a:off x="419100" y="43761660"/>
          <a:ext cx="6774180" cy="1935480"/>
          <a:chOff x="523984" y="47109497"/>
          <a:chExt cx="7060393" cy="1971838"/>
        </a:xfrm>
      </xdr:grpSpPr>
      <xdr:grpSp>
        <xdr:nvGrpSpPr>
          <xdr:cNvPr id="59826962" name="Groep 224"/>
          <xdr:cNvGrpSpPr>
            <a:grpSpLocks/>
          </xdr:cNvGrpSpPr>
        </xdr:nvGrpSpPr>
        <xdr:grpSpPr bwMode="auto">
          <a:xfrm>
            <a:off x="523984" y="47109497"/>
            <a:ext cx="2259793" cy="1971838"/>
            <a:chOff x="656635" y="38051222"/>
            <a:chExt cx="2259793" cy="1971838"/>
          </a:xfrm>
        </xdr:grpSpPr>
        <xdr:grpSp>
          <xdr:nvGrpSpPr>
            <xdr:cNvPr id="59827027" name="Group 24"/>
            <xdr:cNvGrpSpPr>
              <a:grpSpLocks/>
            </xdr:cNvGrpSpPr>
          </xdr:nvGrpSpPr>
          <xdr:grpSpPr bwMode="auto">
            <a:xfrm>
              <a:off x="656635" y="38051222"/>
              <a:ext cx="1968707" cy="1971838"/>
              <a:chOff x="1333" y="2037"/>
              <a:chExt cx="2107" cy="1897"/>
            </a:xfrm>
          </xdr:grpSpPr>
          <xdr:sp macro="" textlink="">
            <xdr:nvSpPr>
              <xdr:cNvPr id="83" name="Text Box 25"/>
              <xdr:cNvSpPr txBox="1">
                <a:spLocks noChangeArrowheads="1"/>
              </xdr:cNvSpPr>
            </xdr:nvSpPr>
            <xdr:spPr bwMode="auto">
              <a:xfrm>
                <a:off x="1333" y="2037"/>
                <a:ext cx="263" cy="351"/>
              </a:xfrm>
              <a:prstGeom prst="rect">
                <a:avLst/>
              </a:prstGeom>
              <a:noFill/>
              <a:ln w="9525">
                <a:no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nl-NL" sz="1400"/>
                  <a:t>€</a:t>
                </a:r>
              </a:p>
            </xdr:txBody>
          </xdr:sp>
          <xdr:sp macro="" textlink="">
            <xdr:nvSpPr>
              <xdr:cNvPr id="84" name="Text Box 31"/>
              <xdr:cNvSpPr txBox="1">
                <a:spLocks noChangeArrowheads="1"/>
              </xdr:cNvSpPr>
            </xdr:nvSpPr>
            <xdr:spPr bwMode="auto">
              <a:xfrm>
                <a:off x="1418" y="3605"/>
                <a:ext cx="382" cy="329"/>
              </a:xfrm>
              <a:prstGeom prst="rect">
                <a:avLst/>
              </a:prstGeom>
              <a:noFill/>
              <a:ln w="9525">
                <a:no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nl-NL" sz="1400">
                    <a:cs typeface="Times New Roman" pitchFamily="18" charset="0"/>
                  </a:rPr>
                  <a:t> 0</a:t>
                </a:r>
              </a:p>
            </xdr:txBody>
          </xdr:sp>
          <xdr:grpSp>
            <xdr:nvGrpSpPr>
              <xdr:cNvPr id="59827032" name="Group 43"/>
              <xdr:cNvGrpSpPr>
                <a:grpSpLocks/>
              </xdr:cNvGrpSpPr>
            </xdr:nvGrpSpPr>
            <xdr:grpSpPr bwMode="auto">
              <a:xfrm>
                <a:off x="1651" y="2137"/>
                <a:ext cx="1789" cy="1475"/>
                <a:chOff x="1171" y="2377"/>
                <a:chExt cx="1789" cy="1475"/>
              </a:xfrm>
            </xdr:grpSpPr>
            <xdr:grpSp>
              <xdr:nvGrpSpPr>
                <xdr:cNvPr id="59827033" name="Group 45"/>
                <xdr:cNvGrpSpPr>
                  <a:grpSpLocks/>
                </xdr:cNvGrpSpPr>
              </xdr:nvGrpSpPr>
              <xdr:grpSpPr bwMode="auto">
                <a:xfrm>
                  <a:off x="1180" y="2404"/>
                  <a:ext cx="1750" cy="1156"/>
                  <a:chOff x="1176" y="2404"/>
                  <a:chExt cx="2100" cy="1156"/>
                </a:xfrm>
              </xdr:grpSpPr>
              <xdr:sp macro="" textlink="">
                <xdr:nvSpPr>
                  <xdr:cNvPr id="59827044" name="Line 46"/>
                  <xdr:cNvSpPr>
                    <a:spLocks noChangeShapeType="1"/>
                  </xdr:cNvSpPr>
                </xdr:nvSpPr>
                <xdr:spPr bwMode="auto">
                  <a:xfrm flipV="1">
                    <a:off x="1200" y="2404"/>
                    <a:ext cx="2076" cy="2"/>
                  </a:xfrm>
                  <a:prstGeom prst="line">
                    <a:avLst/>
                  </a:prstGeom>
                  <a:noFill/>
                  <a:ln w="9525">
                    <a:solidFill>
                      <a:srgbClr val="000000"/>
                    </a:solidFill>
                    <a:round/>
                    <a:headEnd/>
                    <a:tailEnd/>
                  </a:ln>
                </xdr:spPr>
              </xdr:sp>
              <xdr:sp macro="" textlink="">
                <xdr:nvSpPr>
                  <xdr:cNvPr id="59827045" name="Line 47"/>
                  <xdr:cNvSpPr>
                    <a:spLocks noChangeShapeType="1"/>
                  </xdr:cNvSpPr>
                </xdr:nvSpPr>
                <xdr:spPr bwMode="auto">
                  <a:xfrm flipV="1">
                    <a:off x="1200" y="2697"/>
                    <a:ext cx="2076" cy="3"/>
                  </a:xfrm>
                  <a:prstGeom prst="line">
                    <a:avLst/>
                  </a:prstGeom>
                  <a:noFill/>
                  <a:ln w="9525">
                    <a:solidFill>
                      <a:srgbClr val="000000"/>
                    </a:solidFill>
                    <a:round/>
                    <a:headEnd/>
                    <a:tailEnd/>
                  </a:ln>
                </xdr:spPr>
              </xdr:sp>
              <xdr:sp macro="" textlink="">
                <xdr:nvSpPr>
                  <xdr:cNvPr id="59827046" name="Line 48"/>
                  <xdr:cNvSpPr>
                    <a:spLocks noChangeShapeType="1"/>
                  </xdr:cNvSpPr>
                </xdr:nvSpPr>
                <xdr:spPr bwMode="auto">
                  <a:xfrm flipV="1">
                    <a:off x="1200" y="2981"/>
                    <a:ext cx="2076" cy="2"/>
                  </a:xfrm>
                  <a:prstGeom prst="line">
                    <a:avLst/>
                  </a:prstGeom>
                  <a:noFill/>
                  <a:ln w="9525">
                    <a:solidFill>
                      <a:srgbClr val="000000"/>
                    </a:solidFill>
                    <a:round/>
                    <a:headEnd/>
                    <a:tailEnd/>
                  </a:ln>
                </xdr:spPr>
              </xdr:sp>
              <xdr:sp macro="" textlink="">
                <xdr:nvSpPr>
                  <xdr:cNvPr id="59827047" name="Line 49"/>
                  <xdr:cNvSpPr>
                    <a:spLocks noChangeShapeType="1"/>
                  </xdr:cNvSpPr>
                </xdr:nvSpPr>
                <xdr:spPr bwMode="auto">
                  <a:xfrm flipV="1">
                    <a:off x="1176" y="3274"/>
                    <a:ext cx="2100" cy="3"/>
                  </a:xfrm>
                  <a:prstGeom prst="line">
                    <a:avLst/>
                  </a:prstGeom>
                  <a:noFill/>
                  <a:ln w="9525">
                    <a:solidFill>
                      <a:srgbClr val="000000"/>
                    </a:solidFill>
                    <a:round/>
                    <a:headEnd/>
                    <a:tailEnd/>
                  </a:ln>
                </xdr:spPr>
              </xdr:sp>
              <xdr:sp macro="" textlink="">
                <xdr:nvSpPr>
                  <xdr:cNvPr id="59827048" name="Line 50"/>
                  <xdr:cNvSpPr>
                    <a:spLocks noChangeShapeType="1"/>
                  </xdr:cNvSpPr>
                </xdr:nvSpPr>
                <xdr:spPr bwMode="auto">
                  <a:xfrm flipV="1">
                    <a:off x="1200" y="3558"/>
                    <a:ext cx="2076" cy="2"/>
                  </a:xfrm>
                  <a:prstGeom prst="line">
                    <a:avLst/>
                  </a:prstGeom>
                  <a:noFill/>
                  <a:ln w="9525">
                    <a:solidFill>
                      <a:srgbClr val="000000"/>
                    </a:solidFill>
                    <a:round/>
                    <a:headEnd/>
                    <a:tailEnd/>
                  </a:ln>
                </xdr:spPr>
              </xdr:sp>
            </xdr:grpSp>
            <xdr:grpSp>
              <xdr:nvGrpSpPr>
                <xdr:cNvPr id="59827034" name="Group 51"/>
                <xdr:cNvGrpSpPr>
                  <a:grpSpLocks/>
                </xdr:cNvGrpSpPr>
              </xdr:nvGrpSpPr>
              <xdr:grpSpPr bwMode="auto">
                <a:xfrm>
                  <a:off x="1171" y="2377"/>
                  <a:ext cx="1789" cy="1475"/>
                  <a:chOff x="1414" y="1040"/>
                  <a:chExt cx="1610" cy="1475"/>
                </a:xfrm>
              </xdr:grpSpPr>
              <xdr:sp macro="" textlink="">
                <xdr:nvSpPr>
                  <xdr:cNvPr id="59827042" name="Line 52"/>
                  <xdr:cNvSpPr>
                    <a:spLocks noChangeShapeType="1"/>
                  </xdr:cNvSpPr>
                </xdr:nvSpPr>
                <xdr:spPr bwMode="auto">
                  <a:xfrm>
                    <a:off x="1414" y="2505"/>
                    <a:ext cx="1610" cy="0"/>
                  </a:xfrm>
                  <a:prstGeom prst="line">
                    <a:avLst/>
                  </a:prstGeom>
                  <a:noFill/>
                  <a:ln w="28575">
                    <a:solidFill>
                      <a:srgbClr val="000000"/>
                    </a:solidFill>
                    <a:round/>
                    <a:headEnd/>
                    <a:tailEnd/>
                  </a:ln>
                </xdr:spPr>
              </xdr:sp>
              <xdr:sp macro="" textlink="">
                <xdr:nvSpPr>
                  <xdr:cNvPr id="59827043" name="Line 53"/>
                  <xdr:cNvSpPr>
                    <a:spLocks noChangeShapeType="1"/>
                  </xdr:cNvSpPr>
                </xdr:nvSpPr>
                <xdr:spPr bwMode="auto">
                  <a:xfrm flipH="1" flipV="1">
                    <a:off x="1424" y="1040"/>
                    <a:ext cx="9" cy="1475"/>
                  </a:xfrm>
                  <a:prstGeom prst="line">
                    <a:avLst/>
                  </a:prstGeom>
                  <a:noFill/>
                  <a:ln w="28575">
                    <a:solidFill>
                      <a:srgbClr val="000000"/>
                    </a:solidFill>
                    <a:round/>
                    <a:headEnd/>
                    <a:tailEnd/>
                  </a:ln>
                </xdr:spPr>
              </xdr:sp>
            </xdr:grpSp>
            <xdr:grpSp>
              <xdr:nvGrpSpPr>
                <xdr:cNvPr id="59827035" name="Group 54"/>
                <xdr:cNvGrpSpPr>
                  <a:grpSpLocks/>
                </xdr:cNvGrpSpPr>
              </xdr:nvGrpSpPr>
              <xdr:grpSpPr bwMode="auto">
                <a:xfrm>
                  <a:off x="1488" y="2400"/>
                  <a:ext cx="1440" cy="1449"/>
                  <a:chOff x="1488" y="1824"/>
                  <a:chExt cx="1440" cy="2025"/>
                </a:xfrm>
              </xdr:grpSpPr>
              <xdr:sp macro="" textlink="">
                <xdr:nvSpPr>
                  <xdr:cNvPr id="59827036" name="Line 55"/>
                  <xdr:cNvSpPr>
                    <a:spLocks noChangeShapeType="1"/>
                  </xdr:cNvSpPr>
                </xdr:nvSpPr>
                <xdr:spPr bwMode="auto">
                  <a:xfrm>
                    <a:off x="1488" y="1829"/>
                    <a:ext cx="0" cy="2020"/>
                  </a:xfrm>
                  <a:prstGeom prst="line">
                    <a:avLst/>
                  </a:prstGeom>
                  <a:noFill/>
                  <a:ln w="9525">
                    <a:solidFill>
                      <a:srgbClr val="000000"/>
                    </a:solidFill>
                    <a:round/>
                    <a:headEnd/>
                    <a:tailEnd/>
                  </a:ln>
                </xdr:spPr>
              </xdr:sp>
              <xdr:sp macro="" textlink="">
                <xdr:nvSpPr>
                  <xdr:cNvPr id="59827037" name="Line 56"/>
                  <xdr:cNvSpPr>
                    <a:spLocks noChangeShapeType="1"/>
                  </xdr:cNvSpPr>
                </xdr:nvSpPr>
                <xdr:spPr bwMode="auto">
                  <a:xfrm>
                    <a:off x="1776" y="1829"/>
                    <a:ext cx="0" cy="2020"/>
                  </a:xfrm>
                  <a:prstGeom prst="line">
                    <a:avLst/>
                  </a:prstGeom>
                  <a:noFill/>
                  <a:ln w="9525">
                    <a:solidFill>
                      <a:srgbClr val="000000"/>
                    </a:solidFill>
                    <a:round/>
                    <a:headEnd/>
                    <a:tailEnd/>
                  </a:ln>
                </xdr:spPr>
              </xdr:sp>
              <xdr:sp macro="" textlink="">
                <xdr:nvSpPr>
                  <xdr:cNvPr id="59827038" name="Line 57"/>
                  <xdr:cNvSpPr>
                    <a:spLocks noChangeShapeType="1"/>
                  </xdr:cNvSpPr>
                </xdr:nvSpPr>
                <xdr:spPr bwMode="auto">
                  <a:xfrm>
                    <a:off x="2064" y="1829"/>
                    <a:ext cx="0" cy="2020"/>
                  </a:xfrm>
                  <a:prstGeom prst="line">
                    <a:avLst/>
                  </a:prstGeom>
                  <a:noFill/>
                  <a:ln w="9525">
                    <a:solidFill>
                      <a:srgbClr val="000000"/>
                    </a:solidFill>
                    <a:round/>
                    <a:headEnd/>
                    <a:tailEnd/>
                  </a:ln>
                </xdr:spPr>
              </xdr:sp>
              <xdr:sp macro="" textlink="">
                <xdr:nvSpPr>
                  <xdr:cNvPr id="59827039" name="Line 58"/>
                  <xdr:cNvSpPr>
                    <a:spLocks noChangeShapeType="1"/>
                  </xdr:cNvSpPr>
                </xdr:nvSpPr>
                <xdr:spPr bwMode="auto">
                  <a:xfrm>
                    <a:off x="2352" y="1829"/>
                    <a:ext cx="0" cy="2020"/>
                  </a:xfrm>
                  <a:prstGeom prst="line">
                    <a:avLst/>
                  </a:prstGeom>
                  <a:noFill/>
                  <a:ln w="9525">
                    <a:solidFill>
                      <a:srgbClr val="000000"/>
                    </a:solidFill>
                    <a:round/>
                    <a:headEnd/>
                    <a:tailEnd/>
                  </a:ln>
                </xdr:spPr>
              </xdr:sp>
              <xdr:sp macro="" textlink="">
                <xdr:nvSpPr>
                  <xdr:cNvPr id="59827040" name="Line 59"/>
                  <xdr:cNvSpPr>
                    <a:spLocks noChangeShapeType="1"/>
                  </xdr:cNvSpPr>
                </xdr:nvSpPr>
                <xdr:spPr bwMode="auto">
                  <a:xfrm>
                    <a:off x="2640" y="1824"/>
                    <a:ext cx="0" cy="2025"/>
                  </a:xfrm>
                  <a:prstGeom prst="line">
                    <a:avLst/>
                  </a:prstGeom>
                  <a:noFill/>
                  <a:ln w="9525">
                    <a:solidFill>
                      <a:srgbClr val="000000"/>
                    </a:solidFill>
                    <a:round/>
                    <a:headEnd/>
                    <a:tailEnd/>
                  </a:ln>
                </xdr:spPr>
              </xdr:sp>
              <xdr:sp macro="" textlink="">
                <xdr:nvSpPr>
                  <xdr:cNvPr id="59827041" name="Line 60"/>
                  <xdr:cNvSpPr>
                    <a:spLocks noChangeShapeType="1"/>
                  </xdr:cNvSpPr>
                </xdr:nvSpPr>
                <xdr:spPr bwMode="auto">
                  <a:xfrm>
                    <a:off x="2928" y="1829"/>
                    <a:ext cx="0" cy="2020"/>
                  </a:xfrm>
                  <a:prstGeom prst="line">
                    <a:avLst/>
                  </a:prstGeom>
                  <a:noFill/>
                  <a:ln w="9525">
                    <a:solidFill>
                      <a:srgbClr val="000000"/>
                    </a:solidFill>
                    <a:round/>
                    <a:headEnd/>
                    <a:tailEnd/>
                  </a:ln>
                </xdr:spPr>
              </xdr:sp>
            </xdr:grpSp>
          </xdr:grpSp>
        </xdr:grpSp>
        <xdr:sp macro="" textlink="">
          <xdr:nvSpPr>
            <xdr:cNvPr id="81" name="Text Box 23"/>
            <xdr:cNvSpPr txBox="1">
              <a:spLocks noChangeArrowheads="1"/>
            </xdr:cNvSpPr>
          </xdr:nvSpPr>
          <xdr:spPr bwMode="auto">
            <a:xfrm>
              <a:off x="2681832" y="39689245"/>
              <a:ext cx="238258" cy="294999"/>
            </a:xfrm>
            <a:prstGeom prst="rect">
              <a:avLst/>
            </a:prstGeom>
            <a:noFill/>
            <a:ln w="9525">
              <a:no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nl-NL" sz="1400"/>
                <a:t>Q</a:t>
              </a:r>
            </a:p>
          </xdr:txBody>
        </xdr:sp>
        <xdr:sp macro="" textlink="">
          <xdr:nvSpPr>
            <xdr:cNvPr id="82" name="Text Box 23"/>
            <xdr:cNvSpPr txBox="1">
              <a:spLocks noChangeArrowheads="1"/>
            </xdr:cNvSpPr>
          </xdr:nvSpPr>
          <xdr:spPr bwMode="auto">
            <a:xfrm>
              <a:off x="2110012" y="38377274"/>
              <a:ext cx="428865" cy="263947"/>
            </a:xfrm>
            <a:prstGeom prst="rect">
              <a:avLst/>
            </a:prstGeom>
            <a:solidFill>
              <a:schemeClr val="lt1"/>
            </a:solidFill>
            <a:ln w="9525">
              <a:solidFill>
                <a:schemeClr val="tx1"/>
              </a:solid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nl-NL" sz="1200"/>
                <a:t>TO </a:t>
              </a:r>
            </a:p>
          </xdr:txBody>
        </xdr:sp>
      </xdr:grpSp>
      <xdr:grpSp>
        <xdr:nvGrpSpPr>
          <xdr:cNvPr id="59826963" name="Groep 226"/>
          <xdr:cNvGrpSpPr>
            <a:grpSpLocks/>
          </xdr:cNvGrpSpPr>
        </xdr:nvGrpSpPr>
        <xdr:grpSpPr bwMode="auto">
          <a:xfrm>
            <a:off x="2886366" y="47118852"/>
            <a:ext cx="2269136" cy="1962483"/>
            <a:chOff x="647292" y="38060577"/>
            <a:chExt cx="2269136" cy="1962483"/>
          </a:xfrm>
        </xdr:grpSpPr>
        <xdr:grpSp>
          <xdr:nvGrpSpPr>
            <xdr:cNvPr id="59827006" name="Group 24"/>
            <xdr:cNvGrpSpPr>
              <a:grpSpLocks/>
            </xdr:cNvGrpSpPr>
          </xdr:nvGrpSpPr>
          <xdr:grpSpPr bwMode="auto">
            <a:xfrm>
              <a:off x="647292" y="38060577"/>
              <a:ext cx="1978051" cy="1962483"/>
              <a:chOff x="1323" y="2046"/>
              <a:chExt cx="2117" cy="1888"/>
            </a:xfrm>
          </xdr:grpSpPr>
          <xdr:sp macro="" textlink="">
            <xdr:nvSpPr>
              <xdr:cNvPr id="61" name="Text Box 25"/>
              <xdr:cNvSpPr txBox="1">
                <a:spLocks noChangeArrowheads="1"/>
              </xdr:cNvSpPr>
            </xdr:nvSpPr>
            <xdr:spPr bwMode="auto">
              <a:xfrm>
                <a:off x="1319" y="2044"/>
                <a:ext cx="255" cy="358"/>
              </a:xfrm>
              <a:prstGeom prst="rect">
                <a:avLst/>
              </a:prstGeom>
              <a:noFill/>
              <a:ln w="9525">
                <a:no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nl-NL" sz="1400"/>
                  <a:t>€</a:t>
                </a:r>
              </a:p>
            </xdr:txBody>
          </xdr:sp>
          <xdr:sp macro="" textlink="">
            <xdr:nvSpPr>
              <xdr:cNvPr id="62" name="Text Box 31"/>
              <xdr:cNvSpPr txBox="1">
                <a:spLocks noChangeArrowheads="1"/>
              </xdr:cNvSpPr>
            </xdr:nvSpPr>
            <xdr:spPr bwMode="auto">
              <a:xfrm>
                <a:off x="1413" y="3605"/>
                <a:ext cx="374" cy="329"/>
              </a:xfrm>
              <a:prstGeom prst="rect">
                <a:avLst/>
              </a:prstGeom>
              <a:noFill/>
              <a:ln w="9525">
                <a:no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nl-NL" sz="1400">
                    <a:cs typeface="Times New Roman" pitchFamily="18" charset="0"/>
                  </a:rPr>
                  <a:t> 0</a:t>
                </a:r>
              </a:p>
            </xdr:txBody>
          </xdr:sp>
          <xdr:grpSp>
            <xdr:nvGrpSpPr>
              <xdr:cNvPr id="59827010" name="Group 43"/>
              <xdr:cNvGrpSpPr>
                <a:grpSpLocks/>
              </xdr:cNvGrpSpPr>
            </xdr:nvGrpSpPr>
            <xdr:grpSpPr bwMode="auto">
              <a:xfrm>
                <a:off x="1651" y="2137"/>
                <a:ext cx="1789" cy="1475"/>
                <a:chOff x="1171" y="2377"/>
                <a:chExt cx="1789" cy="1475"/>
              </a:xfrm>
            </xdr:grpSpPr>
            <xdr:grpSp>
              <xdr:nvGrpSpPr>
                <xdr:cNvPr id="59827011" name="Group 45"/>
                <xdr:cNvGrpSpPr>
                  <a:grpSpLocks/>
                </xdr:cNvGrpSpPr>
              </xdr:nvGrpSpPr>
              <xdr:grpSpPr bwMode="auto">
                <a:xfrm>
                  <a:off x="1180" y="2404"/>
                  <a:ext cx="1750" cy="1156"/>
                  <a:chOff x="1176" y="2404"/>
                  <a:chExt cx="2100" cy="1156"/>
                </a:xfrm>
              </xdr:grpSpPr>
              <xdr:sp macro="" textlink="">
                <xdr:nvSpPr>
                  <xdr:cNvPr id="59827022" name="Line 46"/>
                  <xdr:cNvSpPr>
                    <a:spLocks noChangeShapeType="1"/>
                  </xdr:cNvSpPr>
                </xdr:nvSpPr>
                <xdr:spPr bwMode="auto">
                  <a:xfrm flipV="1">
                    <a:off x="1200" y="2404"/>
                    <a:ext cx="2076" cy="2"/>
                  </a:xfrm>
                  <a:prstGeom prst="line">
                    <a:avLst/>
                  </a:prstGeom>
                  <a:noFill/>
                  <a:ln w="9525">
                    <a:solidFill>
                      <a:srgbClr val="000000"/>
                    </a:solidFill>
                    <a:round/>
                    <a:headEnd/>
                    <a:tailEnd/>
                  </a:ln>
                </xdr:spPr>
              </xdr:sp>
              <xdr:sp macro="" textlink="">
                <xdr:nvSpPr>
                  <xdr:cNvPr id="59827023" name="Line 47"/>
                  <xdr:cNvSpPr>
                    <a:spLocks noChangeShapeType="1"/>
                  </xdr:cNvSpPr>
                </xdr:nvSpPr>
                <xdr:spPr bwMode="auto">
                  <a:xfrm flipV="1">
                    <a:off x="1200" y="2697"/>
                    <a:ext cx="2076" cy="3"/>
                  </a:xfrm>
                  <a:prstGeom prst="line">
                    <a:avLst/>
                  </a:prstGeom>
                  <a:noFill/>
                  <a:ln w="9525">
                    <a:solidFill>
                      <a:srgbClr val="000000"/>
                    </a:solidFill>
                    <a:round/>
                    <a:headEnd/>
                    <a:tailEnd/>
                  </a:ln>
                </xdr:spPr>
              </xdr:sp>
              <xdr:sp macro="" textlink="">
                <xdr:nvSpPr>
                  <xdr:cNvPr id="59827024" name="Line 48"/>
                  <xdr:cNvSpPr>
                    <a:spLocks noChangeShapeType="1"/>
                  </xdr:cNvSpPr>
                </xdr:nvSpPr>
                <xdr:spPr bwMode="auto">
                  <a:xfrm flipV="1">
                    <a:off x="1200" y="2981"/>
                    <a:ext cx="2076" cy="2"/>
                  </a:xfrm>
                  <a:prstGeom prst="line">
                    <a:avLst/>
                  </a:prstGeom>
                  <a:noFill/>
                  <a:ln w="9525">
                    <a:solidFill>
                      <a:srgbClr val="000000"/>
                    </a:solidFill>
                    <a:round/>
                    <a:headEnd/>
                    <a:tailEnd/>
                  </a:ln>
                </xdr:spPr>
              </xdr:sp>
              <xdr:sp macro="" textlink="">
                <xdr:nvSpPr>
                  <xdr:cNvPr id="59827025" name="Line 49"/>
                  <xdr:cNvSpPr>
                    <a:spLocks noChangeShapeType="1"/>
                  </xdr:cNvSpPr>
                </xdr:nvSpPr>
                <xdr:spPr bwMode="auto">
                  <a:xfrm flipV="1">
                    <a:off x="1176" y="3274"/>
                    <a:ext cx="2100" cy="3"/>
                  </a:xfrm>
                  <a:prstGeom prst="line">
                    <a:avLst/>
                  </a:prstGeom>
                  <a:noFill/>
                  <a:ln w="9525">
                    <a:solidFill>
                      <a:srgbClr val="000000"/>
                    </a:solidFill>
                    <a:round/>
                    <a:headEnd/>
                    <a:tailEnd/>
                  </a:ln>
                </xdr:spPr>
              </xdr:sp>
              <xdr:sp macro="" textlink="">
                <xdr:nvSpPr>
                  <xdr:cNvPr id="59827026" name="Line 50"/>
                  <xdr:cNvSpPr>
                    <a:spLocks noChangeShapeType="1"/>
                  </xdr:cNvSpPr>
                </xdr:nvSpPr>
                <xdr:spPr bwMode="auto">
                  <a:xfrm flipV="1">
                    <a:off x="1200" y="3558"/>
                    <a:ext cx="2076" cy="2"/>
                  </a:xfrm>
                  <a:prstGeom prst="line">
                    <a:avLst/>
                  </a:prstGeom>
                  <a:noFill/>
                  <a:ln w="9525">
                    <a:solidFill>
                      <a:srgbClr val="000000"/>
                    </a:solidFill>
                    <a:round/>
                    <a:headEnd/>
                    <a:tailEnd/>
                  </a:ln>
                </xdr:spPr>
              </xdr:sp>
            </xdr:grpSp>
            <xdr:grpSp>
              <xdr:nvGrpSpPr>
                <xdr:cNvPr id="59827012" name="Group 51"/>
                <xdr:cNvGrpSpPr>
                  <a:grpSpLocks/>
                </xdr:cNvGrpSpPr>
              </xdr:nvGrpSpPr>
              <xdr:grpSpPr bwMode="auto">
                <a:xfrm>
                  <a:off x="1171" y="2377"/>
                  <a:ext cx="1789" cy="1475"/>
                  <a:chOff x="1414" y="1040"/>
                  <a:chExt cx="1610" cy="1475"/>
                </a:xfrm>
              </xdr:grpSpPr>
              <xdr:sp macro="" textlink="">
                <xdr:nvSpPr>
                  <xdr:cNvPr id="59827020" name="Line 52"/>
                  <xdr:cNvSpPr>
                    <a:spLocks noChangeShapeType="1"/>
                  </xdr:cNvSpPr>
                </xdr:nvSpPr>
                <xdr:spPr bwMode="auto">
                  <a:xfrm>
                    <a:off x="1414" y="2505"/>
                    <a:ext cx="1610" cy="0"/>
                  </a:xfrm>
                  <a:prstGeom prst="line">
                    <a:avLst/>
                  </a:prstGeom>
                  <a:noFill/>
                  <a:ln w="28575">
                    <a:solidFill>
                      <a:srgbClr val="000000"/>
                    </a:solidFill>
                    <a:round/>
                    <a:headEnd/>
                    <a:tailEnd/>
                  </a:ln>
                </xdr:spPr>
              </xdr:sp>
              <xdr:sp macro="" textlink="">
                <xdr:nvSpPr>
                  <xdr:cNvPr id="59827021" name="Line 53"/>
                  <xdr:cNvSpPr>
                    <a:spLocks noChangeShapeType="1"/>
                  </xdr:cNvSpPr>
                </xdr:nvSpPr>
                <xdr:spPr bwMode="auto">
                  <a:xfrm flipH="1" flipV="1">
                    <a:off x="1424" y="1040"/>
                    <a:ext cx="9" cy="1475"/>
                  </a:xfrm>
                  <a:prstGeom prst="line">
                    <a:avLst/>
                  </a:prstGeom>
                  <a:noFill/>
                  <a:ln w="28575">
                    <a:solidFill>
                      <a:srgbClr val="000000"/>
                    </a:solidFill>
                    <a:round/>
                    <a:headEnd/>
                    <a:tailEnd/>
                  </a:ln>
                </xdr:spPr>
              </xdr:sp>
            </xdr:grpSp>
            <xdr:grpSp>
              <xdr:nvGrpSpPr>
                <xdr:cNvPr id="59827013" name="Group 54"/>
                <xdr:cNvGrpSpPr>
                  <a:grpSpLocks/>
                </xdr:cNvGrpSpPr>
              </xdr:nvGrpSpPr>
              <xdr:grpSpPr bwMode="auto">
                <a:xfrm>
                  <a:off x="1488" y="2400"/>
                  <a:ext cx="1440" cy="1449"/>
                  <a:chOff x="1488" y="1824"/>
                  <a:chExt cx="1440" cy="2025"/>
                </a:xfrm>
              </xdr:grpSpPr>
              <xdr:sp macro="" textlink="">
                <xdr:nvSpPr>
                  <xdr:cNvPr id="59827014" name="Line 55"/>
                  <xdr:cNvSpPr>
                    <a:spLocks noChangeShapeType="1"/>
                  </xdr:cNvSpPr>
                </xdr:nvSpPr>
                <xdr:spPr bwMode="auto">
                  <a:xfrm>
                    <a:off x="1488" y="1829"/>
                    <a:ext cx="0" cy="2020"/>
                  </a:xfrm>
                  <a:prstGeom prst="line">
                    <a:avLst/>
                  </a:prstGeom>
                  <a:noFill/>
                  <a:ln w="9525">
                    <a:solidFill>
                      <a:srgbClr val="000000"/>
                    </a:solidFill>
                    <a:round/>
                    <a:headEnd/>
                    <a:tailEnd/>
                  </a:ln>
                </xdr:spPr>
              </xdr:sp>
              <xdr:sp macro="" textlink="">
                <xdr:nvSpPr>
                  <xdr:cNvPr id="59827015" name="Line 56"/>
                  <xdr:cNvSpPr>
                    <a:spLocks noChangeShapeType="1"/>
                  </xdr:cNvSpPr>
                </xdr:nvSpPr>
                <xdr:spPr bwMode="auto">
                  <a:xfrm>
                    <a:off x="1776" y="1829"/>
                    <a:ext cx="0" cy="2020"/>
                  </a:xfrm>
                  <a:prstGeom prst="line">
                    <a:avLst/>
                  </a:prstGeom>
                  <a:noFill/>
                  <a:ln w="9525">
                    <a:solidFill>
                      <a:srgbClr val="000000"/>
                    </a:solidFill>
                    <a:round/>
                    <a:headEnd/>
                    <a:tailEnd/>
                  </a:ln>
                </xdr:spPr>
              </xdr:sp>
              <xdr:sp macro="" textlink="">
                <xdr:nvSpPr>
                  <xdr:cNvPr id="59827016" name="Line 57"/>
                  <xdr:cNvSpPr>
                    <a:spLocks noChangeShapeType="1"/>
                  </xdr:cNvSpPr>
                </xdr:nvSpPr>
                <xdr:spPr bwMode="auto">
                  <a:xfrm>
                    <a:off x="2064" y="1829"/>
                    <a:ext cx="0" cy="2020"/>
                  </a:xfrm>
                  <a:prstGeom prst="line">
                    <a:avLst/>
                  </a:prstGeom>
                  <a:noFill/>
                  <a:ln w="9525">
                    <a:solidFill>
                      <a:srgbClr val="000000"/>
                    </a:solidFill>
                    <a:round/>
                    <a:headEnd/>
                    <a:tailEnd/>
                  </a:ln>
                </xdr:spPr>
              </xdr:sp>
              <xdr:sp macro="" textlink="">
                <xdr:nvSpPr>
                  <xdr:cNvPr id="59827017" name="Line 58"/>
                  <xdr:cNvSpPr>
                    <a:spLocks noChangeShapeType="1"/>
                  </xdr:cNvSpPr>
                </xdr:nvSpPr>
                <xdr:spPr bwMode="auto">
                  <a:xfrm>
                    <a:off x="2352" y="1829"/>
                    <a:ext cx="0" cy="2020"/>
                  </a:xfrm>
                  <a:prstGeom prst="line">
                    <a:avLst/>
                  </a:prstGeom>
                  <a:noFill/>
                  <a:ln w="9525">
                    <a:solidFill>
                      <a:srgbClr val="000000"/>
                    </a:solidFill>
                    <a:round/>
                    <a:headEnd/>
                    <a:tailEnd/>
                  </a:ln>
                </xdr:spPr>
              </xdr:sp>
              <xdr:sp macro="" textlink="">
                <xdr:nvSpPr>
                  <xdr:cNvPr id="59827018" name="Line 59"/>
                  <xdr:cNvSpPr>
                    <a:spLocks noChangeShapeType="1"/>
                  </xdr:cNvSpPr>
                </xdr:nvSpPr>
                <xdr:spPr bwMode="auto">
                  <a:xfrm>
                    <a:off x="2640" y="1824"/>
                    <a:ext cx="0" cy="2025"/>
                  </a:xfrm>
                  <a:prstGeom prst="line">
                    <a:avLst/>
                  </a:prstGeom>
                  <a:noFill/>
                  <a:ln w="9525">
                    <a:solidFill>
                      <a:srgbClr val="000000"/>
                    </a:solidFill>
                    <a:round/>
                    <a:headEnd/>
                    <a:tailEnd/>
                  </a:ln>
                </xdr:spPr>
              </xdr:sp>
              <xdr:sp macro="" textlink="">
                <xdr:nvSpPr>
                  <xdr:cNvPr id="59827019" name="Line 60"/>
                  <xdr:cNvSpPr>
                    <a:spLocks noChangeShapeType="1"/>
                  </xdr:cNvSpPr>
                </xdr:nvSpPr>
                <xdr:spPr bwMode="auto">
                  <a:xfrm>
                    <a:off x="2928" y="1829"/>
                    <a:ext cx="0" cy="2020"/>
                  </a:xfrm>
                  <a:prstGeom prst="line">
                    <a:avLst/>
                  </a:prstGeom>
                  <a:noFill/>
                  <a:ln w="9525">
                    <a:solidFill>
                      <a:srgbClr val="000000"/>
                    </a:solidFill>
                    <a:round/>
                    <a:headEnd/>
                    <a:tailEnd/>
                  </a:ln>
                </xdr:spPr>
              </xdr:sp>
            </xdr:grpSp>
          </xdr:grpSp>
        </xdr:grpSp>
        <xdr:sp macro="" textlink="">
          <xdr:nvSpPr>
            <xdr:cNvPr id="60" name="Text Box 23"/>
            <xdr:cNvSpPr txBox="1">
              <a:spLocks noChangeArrowheads="1"/>
            </xdr:cNvSpPr>
          </xdr:nvSpPr>
          <xdr:spPr bwMode="auto">
            <a:xfrm>
              <a:off x="2676808" y="39689245"/>
              <a:ext cx="238258" cy="294999"/>
            </a:xfrm>
            <a:prstGeom prst="rect">
              <a:avLst/>
            </a:prstGeom>
            <a:noFill/>
            <a:ln w="9525">
              <a:no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nl-NL" sz="1400"/>
                <a:t>Q</a:t>
              </a:r>
            </a:p>
          </xdr:txBody>
        </xdr:sp>
      </xdr:grpSp>
      <xdr:grpSp>
        <xdr:nvGrpSpPr>
          <xdr:cNvPr id="59826964" name="Groep 260"/>
          <xdr:cNvGrpSpPr>
            <a:grpSpLocks/>
          </xdr:cNvGrpSpPr>
        </xdr:nvGrpSpPr>
        <xdr:grpSpPr bwMode="auto">
          <a:xfrm>
            <a:off x="5324585" y="47109497"/>
            <a:ext cx="2259792" cy="1971838"/>
            <a:chOff x="656636" y="38051222"/>
            <a:chExt cx="2259792" cy="1971838"/>
          </a:xfrm>
        </xdr:grpSpPr>
        <xdr:grpSp>
          <xdr:nvGrpSpPr>
            <xdr:cNvPr id="59826985" name="Group 24"/>
            <xdr:cNvGrpSpPr>
              <a:grpSpLocks/>
            </xdr:cNvGrpSpPr>
          </xdr:nvGrpSpPr>
          <xdr:grpSpPr bwMode="auto">
            <a:xfrm>
              <a:off x="656636" y="38051222"/>
              <a:ext cx="1968707" cy="1971838"/>
              <a:chOff x="1333" y="2037"/>
              <a:chExt cx="2107" cy="1897"/>
            </a:xfrm>
          </xdr:grpSpPr>
          <xdr:sp macro="" textlink="">
            <xdr:nvSpPr>
              <xdr:cNvPr id="40" name="Text Box 25"/>
              <xdr:cNvSpPr txBox="1">
                <a:spLocks noChangeArrowheads="1"/>
              </xdr:cNvSpPr>
            </xdr:nvSpPr>
            <xdr:spPr bwMode="auto">
              <a:xfrm>
                <a:off x="1329" y="2037"/>
                <a:ext cx="255" cy="351"/>
              </a:xfrm>
              <a:prstGeom prst="rect">
                <a:avLst/>
              </a:prstGeom>
              <a:noFill/>
              <a:ln w="9525">
                <a:no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nl-NL" sz="1400"/>
                  <a:t>€</a:t>
                </a:r>
              </a:p>
            </xdr:txBody>
          </xdr:sp>
          <xdr:sp macro="" textlink="">
            <xdr:nvSpPr>
              <xdr:cNvPr id="41" name="Text Box 31"/>
              <xdr:cNvSpPr txBox="1">
                <a:spLocks noChangeArrowheads="1"/>
              </xdr:cNvSpPr>
            </xdr:nvSpPr>
            <xdr:spPr bwMode="auto">
              <a:xfrm>
                <a:off x="1414" y="3605"/>
                <a:ext cx="357" cy="329"/>
              </a:xfrm>
              <a:prstGeom prst="rect">
                <a:avLst/>
              </a:prstGeom>
              <a:noFill/>
              <a:ln w="9525">
                <a:no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r>
                  <a:rPr lang="nl-NL" sz="1400">
                    <a:cs typeface="Times New Roman" pitchFamily="18" charset="0"/>
                  </a:rPr>
                  <a:t> 0</a:t>
                </a:r>
              </a:p>
            </xdr:txBody>
          </xdr:sp>
          <xdr:grpSp>
            <xdr:nvGrpSpPr>
              <xdr:cNvPr id="59826989" name="Group 43"/>
              <xdr:cNvGrpSpPr>
                <a:grpSpLocks/>
              </xdr:cNvGrpSpPr>
            </xdr:nvGrpSpPr>
            <xdr:grpSpPr bwMode="auto">
              <a:xfrm>
                <a:off x="1651" y="2137"/>
                <a:ext cx="1789" cy="1475"/>
                <a:chOff x="1171" y="2377"/>
                <a:chExt cx="1789" cy="1475"/>
              </a:xfrm>
            </xdr:grpSpPr>
            <xdr:grpSp>
              <xdr:nvGrpSpPr>
                <xdr:cNvPr id="59826990" name="Group 45"/>
                <xdr:cNvGrpSpPr>
                  <a:grpSpLocks/>
                </xdr:cNvGrpSpPr>
              </xdr:nvGrpSpPr>
              <xdr:grpSpPr bwMode="auto">
                <a:xfrm>
                  <a:off x="1180" y="2404"/>
                  <a:ext cx="1750" cy="1156"/>
                  <a:chOff x="1176" y="2404"/>
                  <a:chExt cx="2100" cy="1156"/>
                </a:xfrm>
              </xdr:grpSpPr>
              <xdr:sp macro="" textlink="">
                <xdr:nvSpPr>
                  <xdr:cNvPr id="59827001" name="Line 46"/>
                  <xdr:cNvSpPr>
                    <a:spLocks noChangeShapeType="1"/>
                  </xdr:cNvSpPr>
                </xdr:nvSpPr>
                <xdr:spPr bwMode="auto">
                  <a:xfrm flipV="1">
                    <a:off x="1200" y="2404"/>
                    <a:ext cx="2076" cy="2"/>
                  </a:xfrm>
                  <a:prstGeom prst="line">
                    <a:avLst/>
                  </a:prstGeom>
                  <a:noFill/>
                  <a:ln w="9525">
                    <a:solidFill>
                      <a:srgbClr val="000000"/>
                    </a:solidFill>
                    <a:round/>
                    <a:headEnd/>
                    <a:tailEnd/>
                  </a:ln>
                </xdr:spPr>
              </xdr:sp>
              <xdr:sp macro="" textlink="">
                <xdr:nvSpPr>
                  <xdr:cNvPr id="59827002" name="Line 47"/>
                  <xdr:cNvSpPr>
                    <a:spLocks noChangeShapeType="1"/>
                  </xdr:cNvSpPr>
                </xdr:nvSpPr>
                <xdr:spPr bwMode="auto">
                  <a:xfrm flipV="1">
                    <a:off x="1200" y="2697"/>
                    <a:ext cx="2076" cy="3"/>
                  </a:xfrm>
                  <a:prstGeom prst="line">
                    <a:avLst/>
                  </a:prstGeom>
                  <a:noFill/>
                  <a:ln w="9525">
                    <a:solidFill>
                      <a:srgbClr val="000000"/>
                    </a:solidFill>
                    <a:round/>
                    <a:headEnd/>
                    <a:tailEnd/>
                  </a:ln>
                </xdr:spPr>
              </xdr:sp>
              <xdr:sp macro="" textlink="">
                <xdr:nvSpPr>
                  <xdr:cNvPr id="59827003" name="Line 48"/>
                  <xdr:cNvSpPr>
                    <a:spLocks noChangeShapeType="1"/>
                  </xdr:cNvSpPr>
                </xdr:nvSpPr>
                <xdr:spPr bwMode="auto">
                  <a:xfrm flipV="1">
                    <a:off x="1200" y="2981"/>
                    <a:ext cx="2076" cy="2"/>
                  </a:xfrm>
                  <a:prstGeom prst="line">
                    <a:avLst/>
                  </a:prstGeom>
                  <a:noFill/>
                  <a:ln w="9525">
                    <a:solidFill>
                      <a:srgbClr val="000000"/>
                    </a:solidFill>
                    <a:round/>
                    <a:headEnd/>
                    <a:tailEnd/>
                  </a:ln>
                </xdr:spPr>
              </xdr:sp>
              <xdr:sp macro="" textlink="">
                <xdr:nvSpPr>
                  <xdr:cNvPr id="59827004" name="Line 49"/>
                  <xdr:cNvSpPr>
                    <a:spLocks noChangeShapeType="1"/>
                  </xdr:cNvSpPr>
                </xdr:nvSpPr>
                <xdr:spPr bwMode="auto">
                  <a:xfrm flipV="1">
                    <a:off x="1176" y="3274"/>
                    <a:ext cx="2100" cy="3"/>
                  </a:xfrm>
                  <a:prstGeom prst="line">
                    <a:avLst/>
                  </a:prstGeom>
                  <a:noFill/>
                  <a:ln w="9525">
                    <a:solidFill>
                      <a:srgbClr val="000000"/>
                    </a:solidFill>
                    <a:round/>
                    <a:headEnd/>
                    <a:tailEnd/>
                  </a:ln>
                </xdr:spPr>
              </xdr:sp>
              <xdr:sp macro="" textlink="">
                <xdr:nvSpPr>
                  <xdr:cNvPr id="59827005" name="Line 50"/>
                  <xdr:cNvSpPr>
                    <a:spLocks noChangeShapeType="1"/>
                  </xdr:cNvSpPr>
                </xdr:nvSpPr>
                <xdr:spPr bwMode="auto">
                  <a:xfrm flipV="1">
                    <a:off x="1200" y="3558"/>
                    <a:ext cx="2076" cy="2"/>
                  </a:xfrm>
                  <a:prstGeom prst="line">
                    <a:avLst/>
                  </a:prstGeom>
                  <a:noFill/>
                  <a:ln w="9525">
                    <a:solidFill>
                      <a:srgbClr val="000000"/>
                    </a:solidFill>
                    <a:round/>
                    <a:headEnd/>
                    <a:tailEnd/>
                  </a:ln>
                </xdr:spPr>
              </xdr:sp>
            </xdr:grpSp>
            <xdr:grpSp>
              <xdr:nvGrpSpPr>
                <xdr:cNvPr id="59826991" name="Group 51"/>
                <xdr:cNvGrpSpPr>
                  <a:grpSpLocks/>
                </xdr:cNvGrpSpPr>
              </xdr:nvGrpSpPr>
              <xdr:grpSpPr bwMode="auto">
                <a:xfrm>
                  <a:off x="1171" y="2377"/>
                  <a:ext cx="1789" cy="1475"/>
                  <a:chOff x="1414" y="1040"/>
                  <a:chExt cx="1610" cy="1475"/>
                </a:xfrm>
              </xdr:grpSpPr>
              <xdr:sp macro="" textlink="">
                <xdr:nvSpPr>
                  <xdr:cNvPr id="59826999" name="Line 52"/>
                  <xdr:cNvSpPr>
                    <a:spLocks noChangeShapeType="1"/>
                  </xdr:cNvSpPr>
                </xdr:nvSpPr>
                <xdr:spPr bwMode="auto">
                  <a:xfrm>
                    <a:off x="1414" y="2505"/>
                    <a:ext cx="1610" cy="0"/>
                  </a:xfrm>
                  <a:prstGeom prst="line">
                    <a:avLst/>
                  </a:prstGeom>
                  <a:noFill/>
                  <a:ln w="28575">
                    <a:solidFill>
                      <a:srgbClr val="000000"/>
                    </a:solidFill>
                    <a:round/>
                    <a:headEnd/>
                    <a:tailEnd/>
                  </a:ln>
                </xdr:spPr>
              </xdr:sp>
              <xdr:sp macro="" textlink="">
                <xdr:nvSpPr>
                  <xdr:cNvPr id="59827000" name="Line 53"/>
                  <xdr:cNvSpPr>
                    <a:spLocks noChangeShapeType="1"/>
                  </xdr:cNvSpPr>
                </xdr:nvSpPr>
                <xdr:spPr bwMode="auto">
                  <a:xfrm flipH="1" flipV="1">
                    <a:off x="1424" y="1040"/>
                    <a:ext cx="9" cy="1475"/>
                  </a:xfrm>
                  <a:prstGeom prst="line">
                    <a:avLst/>
                  </a:prstGeom>
                  <a:noFill/>
                  <a:ln w="28575">
                    <a:solidFill>
                      <a:srgbClr val="000000"/>
                    </a:solidFill>
                    <a:round/>
                    <a:headEnd/>
                    <a:tailEnd/>
                  </a:ln>
                </xdr:spPr>
              </xdr:sp>
            </xdr:grpSp>
            <xdr:grpSp>
              <xdr:nvGrpSpPr>
                <xdr:cNvPr id="59826992" name="Group 54"/>
                <xdr:cNvGrpSpPr>
                  <a:grpSpLocks/>
                </xdr:cNvGrpSpPr>
              </xdr:nvGrpSpPr>
              <xdr:grpSpPr bwMode="auto">
                <a:xfrm>
                  <a:off x="1488" y="2400"/>
                  <a:ext cx="1440" cy="1449"/>
                  <a:chOff x="1488" y="1824"/>
                  <a:chExt cx="1440" cy="2025"/>
                </a:xfrm>
              </xdr:grpSpPr>
              <xdr:sp macro="" textlink="">
                <xdr:nvSpPr>
                  <xdr:cNvPr id="59826993" name="Line 55"/>
                  <xdr:cNvSpPr>
                    <a:spLocks noChangeShapeType="1"/>
                  </xdr:cNvSpPr>
                </xdr:nvSpPr>
                <xdr:spPr bwMode="auto">
                  <a:xfrm>
                    <a:off x="1488" y="1829"/>
                    <a:ext cx="0" cy="2020"/>
                  </a:xfrm>
                  <a:prstGeom prst="line">
                    <a:avLst/>
                  </a:prstGeom>
                  <a:noFill/>
                  <a:ln w="9525">
                    <a:solidFill>
                      <a:srgbClr val="000000"/>
                    </a:solidFill>
                    <a:round/>
                    <a:headEnd/>
                    <a:tailEnd/>
                  </a:ln>
                </xdr:spPr>
              </xdr:sp>
              <xdr:sp macro="" textlink="">
                <xdr:nvSpPr>
                  <xdr:cNvPr id="59826994" name="Line 56"/>
                  <xdr:cNvSpPr>
                    <a:spLocks noChangeShapeType="1"/>
                  </xdr:cNvSpPr>
                </xdr:nvSpPr>
                <xdr:spPr bwMode="auto">
                  <a:xfrm>
                    <a:off x="1776" y="1829"/>
                    <a:ext cx="0" cy="2020"/>
                  </a:xfrm>
                  <a:prstGeom prst="line">
                    <a:avLst/>
                  </a:prstGeom>
                  <a:noFill/>
                  <a:ln w="9525">
                    <a:solidFill>
                      <a:srgbClr val="000000"/>
                    </a:solidFill>
                    <a:round/>
                    <a:headEnd/>
                    <a:tailEnd/>
                  </a:ln>
                </xdr:spPr>
              </xdr:sp>
              <xdr:sp macro="" textlink="">
                <xdr:nvSpPr>
                  <xdr:cNvPr id="59826995" name="Line 57"/>
                  <xdr:cNvSpPr>
                    <a:spLocks noChangeShapeType="1"/>
                  </xdr:cNvSpPr>
                </xdr:nvSpPr>
                <xdr:spPr bwMode="auto">
                  <a:xfrm>
                    <a:off x="2064" y="1829"/>
                    <a:ext cx="0" cy="2020"/>
                  </a:xfrm>
                  <a:prstGeom prst="line">
                    <a:avLst/>
                  </a:prstGeom>
                  <a:noFill/>
                  <a:ln w="9525">
                    <a:solidFill>
                      <a:srgbClr val="000000"/>
                    </a:solidFill>
                    <a:round/>
                    <a:headEnd/>
                    <a:tailEnd/>
                  </a:ln>
                </xdr:spPr>
              </xdr:sp>
              <xdr:sp macro="" textlink="">
                <xdr:nvSpPr>
                  <xdr:cNvPr id="59826996" name="Line 58"/>
                  <xdr:cNvSpPr>
                    <a:spLocks noChangeShapeType="1"/>
                  </xdr:cNvSpPr>
                </xdr:nvSpPr>
                <xdr:spPr bwMode="auto">
                  <a:xfrm>
                    <a:off x="2352" y="1829"/>
                    <a:ext cx="0" cy="2020"/>
                  </a:xfrm>
                  <a:prstGeom prst="line">
                    <a:avLst/>
                  </a:prstGeom>
                  <a:noFill/>
                  <a:ln w="9525">
                    <a:solidFill>
                      <a:srgbClr val="000000"/>
                    </a:solidFill>
                    <a:round/>
                    <a:headEnd/>
                    <a:tailEnd/>
                  </a:ln>
                </xdr:spPr>
              </xdr:sp>
              <xdr:sp macro="" textlink="">
                <xdr:nvSpPr>
                  <xdr:cNvPr id="59826997" name="Line 59"/>
                  <xdr:cNvSpPr>
                    <a:spLocks noChangeShapeType="1"/>
                  </xdr:cNvSpPr>
                </xdr:nvSpPr>
                <xdr:spPr bwMode="auto">
                  <a:xfrm>
                    <a:off x="2640" y="1824"/>
                    <a:ext cx="0" cy="2025"/>
                  </a:xfrm>
                  <a:prstGeom prst="line">
                    <a:avLst/>
                  </a:prstGeom>
                  <a:noFill/>
                  <a:ln w="9525">
                    <a:solidFill>
                      <a:srgbClr val="000000"/>
                    </a:solidFill>
                    <a:round/>
                    <a:headEnd/>
                    <a:tailEnd/>
                  </a:ln>
                </xdr:spPr>
              </xdr:sp>
              <xdr:sp macro="" textlink="">
                <xdr:nvSpPr>
                  <xdr:cNvPr id="59826998" name="Line 60"/>
                  <xdr:cNvSpPr>
                    <a:spLocks noChangeShapeType="1"/>
                  </xdr:cNvSpPr>
                </xdr:nvSpPr>
                <xdr:spPr bwMode="auto">
                  <a:xfrm>
                    <a:off x="2928" y="1829"/>
                    <a:ext cx="0" cy="2020"/>
                  </a:xfrm>
                  <a:prstGeom prst="line">
                    <a:avLst/>
                  </a:prstGeom>
                  <a:noFill/>
                  <a:ln w="9525">
                    <a:solidFill>
                      <a:srgbClr val="000000"/>
                    </a:solidFill>
                    <a:round/>
                    <a:headEnd/>
                    <a:tailEnd/>
                  </a:ln>
                </xdr:spPr>
              </xdr:sp>
            </xdr:grpSp>
          </xdr:grpSp>
        </xdr:grpSp>
        <xdr:sp macro="" textlink="">
          <xdr:nvSpPr>
            <xdr:cNvPr id="39" name="Text Box 23"/>
            <xdr:cNvSpPr txBox="1">
              <a:spLocks noChangeArrowheads="1"/>
            </xdr:cNvSpPr>
          </xdr:nvSpPr>
          <xdr:spPr bwMode="auto">
            <a:xfrm>
              <a:off x="2678170" y="39689245"/>
              <a:ext cx="238258" cy="294999"/>
            </a:xfrm>
            <a:prstGeom prst="rect">
              <a:avLst/>
            </a:prstGeom>
            <a:noFill/>
            <a:ln w="9525">
              <a:no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nl-NL" sz="1400"/>
                <a:t>Q</a:t>
              </a:r>
            </a:p>
          </xdr:txBody>
        </xdr:sp>
      </xdr:grpSp>
      <xdr:cxnSp macro="">
        <xdr:nvCxnSpPr>
          <xdr:cNvPr id="59826965" name="Rechte verbindingslijn 1082"/>
          <xdr:cNvCxnSpPr>
            <a:cxnSpLocks noChangeShapeType="1"/>
          </xdr:cNvCxnSpPr>
        </xdr:nvCxnSpPr>
        <xdr:spPr bwMode="auto">
          <a:xfrm rot="5400000" flipH="1" flipV="1">
            <a:off x="1081088" y="47467838"/>
            <a:ext cx="809624" cy="742950"/>
          </a:xfrm>
          <a:prstGeom prst="line">
            <a:avLst/>
          </a:prstGeom>
          <a:noFill/>
          <a:ln w="31750" algn="ctr">
            <a:solidFill>
              <a:srgbClr val="17375E"/>
            </a:solidFill>
            <a:round/>
            <a:headEnd/>
            <a:tailEnd/>
          </a:ln>
        </xdr:spPr>
      </xdr:cxnSp>
      <xdr:cxnSp macro="">
        <xdr:nvCxnSpPr>
          <xdr:cNvPr id="59826966" name="Rechte verbindingslijn met pijl 1086"/>
          <xdr:cNvCxnSpPr>
            <a:cxnSpLocks noChangeShapeType="1"/>
          </xdr:cNvCxnSpPr>
        </xdr:nvCxnSpPr>
        <xdr:spPr bwMode="auto">
          <a:xfrm rot="5400000" flipH="1" flipV="1">
            <a:off x="1495431" y="47863125"/>
            <a:ext cx="514348" cy="3"/>
          </a:xfrm>
          <a:prstGeom prst="straightConnector1">
            <a:avLst/>
          </a:prstGeom>
          <a:noFill/>
          <a:ln w="22225" algn="ctr">
            <a:solidFill>
              <a:srgbClr val="00B050"/>
            </a:solidFill>
            <a:round/>
            <a:headEnd type="arrow" w="med" len="med"/>
            <a:tailEnd type="arrow" w="med" len="med"/>
          </a:ln>
        </xdr:spPr>
      </xdr:cxnSp>
      <xdr:cxnSp macro="">
        <xdr:nvCxnSpPr>
          <xdr:cNvPr id="59826967" name="Rechte verbindingslijn 1094"/>
          <xdr:cNvCxnSpPr>
            <a:cxnSpLocks noChangeShapeType="1"/>
          </xdr:cNvCxnSpPr>
        </xdr:nvCxnSpPr>
        <xdr:spPr bwMode="auto">
          <a:xfrm flipV="1">
            <a:off x="3476625" y="48044100"/>
            <a:ext cx="838200" cy="561976"/>
          </a:xfrm>
          <a:prstGeom prst="line">
            <a:avLst/>
          </a:prstGeom>
          <a:noFill/>
          <a:ln w="31750" algn="ctr">
            <a:solidFill>
              <a:srgbClr val="FF0000"/>
            </a:solidFill>
            <a:round/>
            <a:headEnd/>
            <a:tailEnd/>
          </a:ln>
        </xdr:spPr>
      </xdr:cxnSp>
      <xdr:cxnSp macro="">
        <xdr:nvCxnSpPr>
          <xdr:cNvPr id="59826968" name="Rechte verbindingslijn 1095"/>
          <xdr:cNvCxnSpPr>
            <a:cxnSpLocks noChangeShapeType="1"/>
          </xdr:cNvCxnSpPr>
        </xdr:nvCxnSpPr>
        <xdr:spPr bwMode="auto">
          <a:xfrm flipV="1">
            <a:off x="3429000" y="47491650"/>
            <a:ext cx="838200" cy="552450"/>
          </a:xfrm>
          <a:prstGeom prst="line">
            <a:avLst/>
          </a:prstGeom>
          <a:noFill/>
          <a:ln w="31750" algn="ctr">
            <a:solidFill>
              <a:srgbClr val="17375E"/>
            </a:solidFill>
            <a:round/>
            <a:headEnd/>
            <a:tailEnd/>
          </a:ln>
        </xdr:spPr>
      </xdr:cxnSp>
      <xdr:cxnSp macro="">
        <xdr:nvCxnSpPr>
          <xdr:cNvPr id="59826969" name="Rechte verbindingslijn met pijl 1096"/>
          <xdr:cNvCxnSpPr>
            <a:cxnSpLocks noChangeShapeType="1"/>
          </xdr:cNvCxnSpPr>
        </xdr:nvCxnSpPr>
        <xdr:spPr bwMode="auto">
          <a:xfrm rot="5400000" flipH="1" flipV="1">
            <a:off x="3876684" y="47872657"/>
            <a:ext cx="514348" cy="3"/>
          </a:xfrm>
          <a:prstGeom prst="straightConnector1">
            <a:avLst/>
          </a:prstGeom>
          <a:noFill/>
          <a:ln w="22225" algn="ctr">
            <a:solidFill>
              <a:srgbClr val="00B050"/>
            </a:solidFill>
            <a:round/>
            <a:headEnd type="arrow" w="med" len="med"/>
            <a:tailEnd type="arrow" w="med" len="med"/>
          </a:ln>
        </xdr:spPr>
      </xdr:cxnSp>
      <xdr:cxnSp macro="">
        <xdr:nvCxnSpPr>
          <xdr:cNvPr id="59826970" name="Rechte verbindingslijn met pijl 1100"/>
          <xdr:cNvCxnSpPr>
            <a:cxnSpLocks noChangeShapeType="1"/>
          </xdr:cNvCxnSpPr>
        </xdr:nvCxnSpPr>
        <xdr:spPr bwMode="auto">
          <a:xfrm rot="5400000" flipH="1" flipV="1">
            <a:off x="3390906" y="48206028"/>
            <a:ext cx="514348" cy="3"/>
          </a:xfrm>
          <a:prstGeom prst="straightConnector1">
            <a:avLst/>
          </a:prstGeom>
          <a:noFill/>
          <a:ln w="22225" algn="ctr">
            <a:solidFill>
              <a:srgbClr val="00B050"/>
            </a:solidFill>
            <a:round/>
            <a:headEnd type="arrow" w="med" len="med"/>
            <a:tailEnd type="arrow" w="med" len="med"/>
          </a:ln>
        </xdr:spPr>
      </xdr:cxnSp>
      <xdr:sp macro="" textlink="">
        <xdr:nvSpPr>
          <xdr:cNvPr id="24" name="Text Box 23"/>
          <xdr:cNvSpPr txBox="1">
            <a:spLocks noChangeArrowheads="1"/>
          </xdr:cNvSpPr>
        </xdr:nvSpPr>
        <xdr:spPr bwMode="auto">
          <a:xfrm>
            <a:off x="4232874" y="47691733"/>
            <a:ext cx="452691" cy="263947"/>
          </a:xfrm>
          <a:prstGeom prst="rect">
            <a:avLst/>
          </a:prstGeom>
          <a:solidFill>
            <a:schemeClr val="lt1"/>
          </a:solidFill>
          <a:ln w="9525">
            <a:solidFill>
              <a:schemeClr val="tx1"/>
            </a:solid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nl-NL" sz="1200"/>
              <a:t>TW </a:t>
            </a:r>
          </a:p>
        </xdr:txBody>
      </xdr:sp>
      <xdr:sp macro="" textlink="">
        <xdr:nvSpPr>
          <xdr:cNvPr id="25" name="Text Box 23"/>
          <xdr:cNvSpPr txBox="1">
            <a:spLocks noChangeArrowheads="1"/>
          </xdr:cNvSpPr>
        </xdr:nvSpPr>
        <xdr:spPr bwMode="auto">
          <a:xfrm>
            <a:off x="4336120" y="47334628"/>
            <a:ext cx="420923" cy="263947"/>
          </a:xfrm>
          <a:prstGeom prst="rect">
            <a:avLst/>
          </a:prstGeom>
          <a:solidFill>
            <a:schemeClr val="lt1"/>
          </a:solidFill>
          <a:ln w="9525">
            <a:solidFill>
              <a:schemeClr val="tx1"/>
            </a:solid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nl-NL" sz="1200"/>
              <a:t>TO </a:t>
            </a:r>
          </a:p>
        </xdr:txBody>
      </xdr:sp>
      <xdr:sp macro="" textlink="">
        <xdr:nvSpPr>
          <xdr:cNvPr id="26" name="Text Box 23"/>
          <xdr:cNvSpPr txBox="1">
            <a:spLocks noChangeArrowheads="1"/>
          </xdr:cNvSpPr>
        </xdr:nvSpPr>
        <xdr:spPr bwMode="auto">
          <a:xfrm>
            <a:off x="4359946" y="48072127"/>
            <a:ext cx="420923" cy="302763"/>
          </a:xfrm>
          <a:prstGeom prst="rect">
            <a:avLst/>
          </a:prstGeom>
          <a:solidFill>
            <a:schemeClr val="lt1"/>
          </a:solidFill>
          <a:ln w="9525">
            <a:solidFill>
              <a:schemeClr val="tx1"/>
            </a:solid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50000"/>
              </a:spcBef>
              <a:spcAft>
                <a:spcPct val="0"/>
              </a:spcAft>
            </a:pPr>
            <a:r>
              <a:rPr lang="nl-NL" sz="1200" kern="1200">
                <a:solidFill>
                  <a:schemeClr val="tx1"/>
                </a:solidFill>
                <a:latin typeface="Times New Roman" pitchFamily="18" charset="0"/>
                <a:ea typeface="+mn-ea"/>
                <a:cs typeface="+mn-cs"/>
              </a:rPr>
              <a:t>TK </a:t>
            </a:r>
          </a:p>
        </xdr:txBody>
      </xdr:sp>
      <xdr:cxnSp macro="">
        <xdr:nvCxnSpPr>
          <xdr:cNvPr id="59826974" name="Rechte verbindingslijn met pijl 1104"/>
          <xdr:cNvCxnSpPr>
            <a:cxnSpLocks noChangeShapeType="1"/>
          </xdr:cNvCxnSpPr>
        </xdr:nvCxnSpPr>
        <xdr:spPr bwMode="auto">
          <a:xfrm rot="16200000" flipV="1">
            <a:off x="1123954" y="48282224"/>
            <a:ext cx="314328" cy="9535"/>
          </a:xfrm>
          <a:prstGeom prst="straightConnector1">
            <a:avLst/>
          </a:prstGeom>
          <a:noFill/>
          <a:ln w="22225" algn="ctr">
            <a:solidFill>
              <a:srgbClr val="00B050"/>
            </a:solidFill>
            <a:round/>
            <a:headEnd type="arrow" w="med" len="med"/>
            <a:tailEnd type="arrow" w="med" len="med"/>
          </a:ln>
        </xdr:spPr>
      </xdr:cxnSp>
      <xdr:cxnSp macro="">
        <xdr:nvCxnSpPr>
          <xdr:cNvPr id="59826975" name="Rechte verbindingslijn 1111"/>
          <xdr:cNvCxnSpPr>
            <a:cxnSpLocks noChangeShapeType="1"/>
          </xdr:cNvCxnSpPr>
        </xdr:nvCxnSpPr>
        <xdr:spPr bwMode="auto">
          <a:xfrm flipV="1">
            <a:off x="5762625" y="47691675"/>
            <a:ext cx="866775" cy="285751"/>
          </a:xfrm>
          <a:prstGeom prst="line">
            <a:avLst/>
          </a:prstGeom>
          <a:noFill/>
          <a:ln w="31750" algn="ctr">
            <a:solidFill>
              <a:srgbClr val="17375E"/>
            </a:solidFill>
            <a:round/>
            <a:headEnd/>
            <a:tailEnd/>
          </a:ln>
        </xdr:spPr>
      </xdr:cxnSp>
      <xdr:cxnSp macro="">
        <xdr:nvCxnSpPr>
          <xdr:cNvPr id="59826976" name="Rechte verbindingslijn 1113"/>
          <xdr:cNvCxnSpPr>
            <a:cxnSpLocks noChangeShapeType="1"/>
          </xdr:cNvCxnSpPr>
        </xdr:nvCxnSpPr>
        <xdr:spPr bwMode="auto">
          <a:xfrm flipV="1">
            <a:off x="5905500" y="48044100"/>
            <a:ext cx="838200" cy="561976"/>
          </a:xfrm>
          <a:prstGeom prst="line">
            <a:avLst/>
          </a:prstGeom>
          <a:noFill/>
          <a:ln w="31750" algn="ctr">
            <a:solidFill>
              <a:srgbClr val="FF0000"/>
            </a:solidFill>
            <a:round/>
            <a:headEnd/>
            <a:tailEnd/>
          </a:ln>
        </xdr:spPr>
      </xdr:cxnSp>
      <xdr:cxnSp macro="">
        <xdr:nvCxnSpPr>
          <xdr:cNvPr id="59826977" name="Rechte verbindingslijn 1114"/>
          <xdr:cNvCxnSpPr>
            <a:cxnSpLocks noChangeShapeType="1"/>
          </xdr:cNvCxnSpPr>
        </xdr:nvCxnSpPr>
        <xdr:spPr bwMode="auto">
          <a:xfrm flipV="1">
            <a:off x="1095375" y="48044100"/>
            <a:ext cx="838200" cy="561976"/>
          </a:xfrm>
          <a:prstGeom prst="line">
            <a:avLst/>
          </a:prstGeom>
          <a:noFill/>
          <a:ln w="31750" algn="ctr">
            <a:solidFill>
              <a:srgbClr val="FF0000"/>
            </a:solidFill>
            <a:round/>
            <a:headEnd/>
            <a:tailEnd/>
          </a:ln>
        </xdr:spPr>
      </xdr:cxnSp>
      <xdr:cxnSp macro="">
        <xdr:nvCxnSpPr>
          <xdr:cNvPr id="59826978" name="Rechte verbindingslijn met pijl 1120"/>
          <xdr:cNvCxnSpPr>
            <a:cxnSpLocks noChangeShapeType="1"/>
          </xdr:cNvCxnSpPr>
        </xdr:nvCxnSpPr>
        <xdr:spPr bwMode="auto">
          <a:xfrm rot="5400000" flipH="1" flipV="1">
            <a:off x="5700716" y="48210788"/>
            <a:ext cx="581025" cy="1"/>
          </a:xfrm>
          <a:prstGeom prst="straightConnector1">
            <a:avLst/>
          </a:prstGeom>
          <a:noFill/>
          <a:ln w="22225" algn="ctr">
            <a:solidFill>
              <a:srgbClr val="00B050"/>
            </a:solidFill>
            <a:round/>
            <a:headEnd type="arrow" w="med" len="med"/>
            <a:tailEnd type="arrow" w="med" len="med"/>
          </a:ln>
        </xdr:spPr>
      </xdr:cxnSp>
      <xdr:cxnSp macro="">
        <xdr:nvCxnSpPr>
          <xdr:cNvPr id="59826979" name="Rechte verbindingslijn met pijl 1121"/>
          <xdr:cNvCxnSpPr>
            <a:cxnSpLocks noChangeShapeType="1"/>
          </xdr:cNvCxnSpPr>
        </xdr:nvCxnSpPr>
        <xdr:spPr bwMode="auto">
          <a:xfrm rot="5400000" flipH="1" flipV="1">
            <a:off x="6372229" y="47939325"/>
            <a:ext cx="342896" cy="4"/>
          </a:xfrm>
          <a:prstGeom prst="straightConnector1">
            <a:avLst/>
          </a:prstGeom>
          <a:noFill/>
          <a:ln w="22225" algn="ctr">
            <a:solidFill>
              <a:srgbClr val="00B050"/>
            </a:solidFill>
            <a:round/>
            <a:headEnd type="arrow" w="med" len="med"/>
            <a:tailEnd type="arrow" w="med" len="med"/>
          </a:ln>
        </xdr:spPr>
      </xdr:cxnSp>
      <xdr:sp macro="" textlink="">
        <xdr:nvSpPr>
          <xdr:cNvPr id="33" name="Text Box 23"/>
          <xdr:cNvSpPr txBox="1">
            <a:spLocks noChangeArrowheads="1"/>
          </xdr:cNvSpPr>
        </xdr:nvSpPr>
        <xdr:spPr bwMode="auto">
          <a:xfrm>
            <a:off x="6694879" y="47396733"/>
            <a:ext cx="420923" cy="256184"/>
          </a:xfrm>
          <a:prstGeom prst="rect">
            <a:avLst/>
          </a:prstGeom>
          <a:solidFill>
            <a:schemeClr val="lt1"/>
          </a:solidFill>
          <a:ln w="9525">
            <a:solidFill>
              <a:schemeClr val="tx1"/>
            </a:solid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nl-NL" sz="1200"/>
              <a:t>TO </a:t>
            </a:r>
          </a:p>
        </xdr:txBody>
      </xdr:sp>
      <xdr:sp macro="" textlink="">
        <xdr:nvSpPr>
          <xdr:cNvPr id="34" name="Text Box 23"/>
          <xdr:cNvSpPr txBox="1">
            <a:spLocks noChangeArrowheads="1"/>
          </xdr:cNvSpPr>
        </xdr:nvSpPr>
        <xdr:spPr bwMode="auto">
          <a:xfrm>
            <a:off x="6639285" y="47746075"/>
            <a:ext cx="460633" cy="271710"/>
          </a:xfrm>
          <a:prstGeom prst="rect">
            <a:avLst/>
          </a:prstGeom>
          <a:solidFill>
            <a:schemeClr val="lt1"/>
          </a:solidFill>
          <a:ln w="9525">
            <a:solidFill>
              <a:schemeClr val="tx1"/>
            </a:solid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nl-NL" sz="1200"/>
              <a:t>TW </a:t>
            </a:r>
          </a:p>
        </xdr:txBody>
      </xdr:sp>
      <xdr:sp macro="" textlink="">
        <xdr:nvSpPr>
          <xdr:cNvPr id="35" name="Text Box 23"/>
          <xdr:cNvSpPr txBox="1">
            <a:spLocks noChangeArrowheads="1"/>
          </xdr:cNvSpPr>
        </xdr:nvSpPr>
        <xdr:spPr bwMode="auto">
          <a:xfrm>
            <a:off x="6790182" y="48103179"/>
            <a:ext cx="420923" cy="263947"/>
          </a:xfrm>
          <a:prstGeom prst="rect">
            <a:avLst/>
          </a:prstGeom>
          <a:solidFill>
            <a:schemeClr val="lt1"/>
          </a:solidFill>
          <a:ln w="9525">
            <a:solidFill>
              <a:schemeClr val="tx1"/>
            </a:solid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algn="ctr"/>
            <a:r>
              <a:rPr lang="nl-NL" sz="1200"/>
              <a:t>TK </a:t>
            </a:r>
          </a:p>
        </xdr:txBody>
      </xdr:sp>
      <xdr:sp macro="" textlink="">
        <xdr:nvSpPr>
          <xdr:cNvPr id="36" name="Text Box 23"/>
          <xdr:cNvSpPr txBox="1">
            <a:spLocks noChangeArrowheads="1"/>
          </xdr:cNvSpPr>
        </xdr:nvSpPr>
        <xdr:spPr bwMode="auto">
          <a:xfrm>
            <a:off x="1993245" y="48079890"/>
            <a:ext cx="420923" cy="302763"/>
          </a:xfrm>
          <a:prstGeom prst="rect">
            <a:avLst/>
          </a:prstGeom>
          <a:solidFill>
            <a:schemeClr val="lt1"/>
          </a:solidFill>
          <a:ln w="9525">
            <a:solidFill>
              <a:schemeClr val="tx1"/>
            </a:solid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50000"/>
              </a:spcBef>
              <a:spcAft>
                <a:spcPct val="0"/>
              </a:spcAft>
            </a:pPr>
            <a:r>
              <a:rPr lang="nl-NL" sz="1200" kern="1200">
                <a:solidFill>
                  <a:schemeClr val="tx1"/>
                </a:solidFill>
                <a:latin typeface="Times New Roman" pitchFamily="18" charset="0"/>
                <a:ea typeface="+mn-ea"/>
                <a:cs typeface="+mn-cs"/>
              </a:rPr>
              <a:t>TK </a:t>
            </a:r>
          </a:p>
        </xdr:txBody>
      </xdr:sp>
      <xdr:sp macro="" textlink="">
        <xdr:nvSpPr>
          <xdr:cNvPr id="37" name="Text Box 23"/>
          <xdr:cNvSpPr txBox="1">
            <a:spLocks noChangeArrowheads="1"/>
          </xdr:cNvSpPr>
        </xdr:nvSpPr>
        <xdr:spPr bwMode="auto">
          <a:xfrm>
            <a:off x="1818522" y="47746075"/>
            <a:ext cx="468575" cy="271710"/>
          </a:xfrm>
          <a:prstGeom prst="rect">
            <a:avLst/>
          </a:prstGeom>
          <a:solidFill>
            <a:schemeClr val="lt1"/>
          </a:solidFill>
          <a:ln w="9525">
            <a:solidFill>
              <a:schemeClr val="tx1"/>
            </a:solidFill>
            <a:miter lim="800000"/>
            <a:headEnd/>
            <a:tailEnd/>
          </a:ln>
          <a:effectLst/>
        </xdr:spPr>
        <xdr:txBody>
          <a:bodyPr wrap="square">
            <a:noAutofit/>
          </a:bodyPr>
          <a:lstStyle>
            <a:defPPr>
              <a:defRPr lang="nl-NL"/>
            </a:defPPr>
            <a:lvl1pPr algn="l" rtl="0" fontAlgn="base">
              <a:spcBef>
                <a:spcPct val="50000"/>
              </a:spcBef>
              <a:spcAft>
                <a:spcPct val="0"/>
              </a:spcAft>
              <a:defRPr sz="2400" kern="1200">
                <a:solidFill>
                  <a:schemeClr val="tx1"/>
                </a:solidFill>
                <a:latin typeface="Times New Roman" pitchFamily="18" charset="0"/>
                <a:ea typeface="+mn-ea"/>
                <a:cs typeface="+mn-cs"/>
              </a:defRPr>
            </a:lvl1pPr>
            <a:lvl2pPr marL="457200" algn="l" rtl="0" fontAlgn="base">
              <a:spcBef>
                <a:spcPct val="50000"/>
              </a:spcBef>
              <a:spcAft>
                <a:spcPct val="0"/>
              </a:spcAft>
              <a:defRPr sz="2400" kern="1200">
                <a:solidFill>
                  <a:schemeClr val="tx1"/>
                </a:solidFill>
                <a:latin typeface="Times New Roman" pitchFamily="18" charset="0"/>
                <a:ea typeface="+mn-ea"/>
                <a:cs typeface="+mn-cs"/>
              </a:defRPr>
            </a:lvl2pPr>
            <a:lvl3pPr marL="914400" algn="l" rtl="0" fontAlgn="base">
              <a:spcBef>
                <a:spcPct val="50000"/>
              </a:spcBef>
              <a:spcAft>
                <a:spcPct val="0"/>
              </a:spcAft>
              <a:defRPr sz="2400" kern="1200">
                <a:solidFill>
                  <a:schemeClr val="tx1"/>
                </a:solidFill>
                <a:latin typeface="Times New Roman" pitchFamily="18" charset="0"/>
                <a:ea typeface="+mn-ea"/>
                <a:cs typeface="+mn-cs"/>
              </a:defRPr>
            </a:lvl3pPr>
            <a:lvl4pPr marL="1371600" algn="l" rtl="0" fontAlgn="base">
              <a:spcBef>
                <a:spcPct val="50000"/>
              </a:spcBef>
              <a:spcAft>
                <a:spcPct val="0"/>
              </a:spcAft>
              <a:defRPr sz="2400" kern="1200">
                <a:solidFill>
                  <a:schemeClr val="tx1"/>
                </a:solidFill>
                <a:latin typeface="Times New Roman" pitchFamily="18" charset="0"/>
                <a:ea typeface="+mn-ea"/>
                <a:cs typeface="+mn-cs"/>
              </a:defRPr>
            </a:lvl4pPr>
            <a:lvl5pPr marL="1828800" algn="l" rtl="0" fontAlgn="base">
              <a:spcBef>
                <a:spcPct val="50000"/>
              </a:spcBef>
              <a:spcAft>
                <a:spcPct val="0"/>
              </a:spcAft>
              <a:defRPr sz="2400" kern="1200">
                <a:solidFill>
                  <a:schemeClr val="tx1"/>
                </a:solidFill>
                <a:latin typeface="Times New Roman" pitchFamily="18" charset="0"/>
                <a:ea typeface="+mn-ea"/>
                <a:cs typeface="+mn-cs"/>
              </a:defRPr>
            </a:lvl5pPr>
            <a:lvl6pPr marL="2286000" algn="l" defTabSz="914400" rtl="0" eaLnBrk="1" latinLnBrk="0" hangingPunct="1">
              <a:defRPr sz="2400" kern="1200">
                <a:solidFill>
                  <a:schemeClr val="tx1"/>
                </a:solidFill>
                <a:latin typeface="Times New Roman" pitchFamily="18" charset="0"/>
                <a:ea typeface="+mn-ea"/>
                <a:cs typeface="+mn-cs"/>
              </a:defRPr>
            </a:lvl6pPr>
            <a:lvl7pPr marL="2743200" algn="l" defTabSz="914400" rtl="0" eaLnBrk="1" latinLnBrk="0" hangingPunct="1">
              <a:defRPr sz="2400" kern="1200">
                <a:solidFill>
                  <a:schemeClr val="tx1"/>
                </a:solidFill>
                <a:latin typeface="Times New Roman" pitchFamily="18" charset="0"/>
                <a:ea typeface="+mn-ea"/>
                <a:cs typeface="+mn-cs"/>
              </a:defRPr>
            </a:lvl7pPr>
            <a:lvl8pPr marL="3200400" algn="l" defTabSz="914400" rtl="0" eaLnBrk="1" latinLnBrk="0" hangingPunct="1">
              <a:defRPr sz="2400" kern="1200">
                <a:solidFill>
                  <a:schemeClr val="tx1"/>
                </a:solidFill>
                <a:latin typeface="Times New Roman" pitchFamily="18" charset="0"/>
                <a:ea typeface="+mn-ea"/>
                <a:cs typeface="+mn-cs"/>
              </a:defRPr>
            </a:lvl8pPr>
            <a:lvl9pPr marL="3657600" algn="l" defTabSz="914400" rtl="0" eaLnBrk="1" latinLnBrk="0" hangingPunct="1">
              <a:defRPr sz="2400" kern="1200">
                <a:solidFill>
                  <a:schemeClr val="tx1"/>
                </a:solidFill>
                <a:latin typeface="Times New Roman" pitchFamily="18" charset="0"/>
                <a:ea typeface="+mn-ea"/>
                <a:cs typeface="+mn-cs"/>
              </a:defRPr>
            </a:lvl9pPr>
          </a:lstStyle>
          <a:p>
            <a:pPr marL="0" indent="0" algn="ctr" rtl="0" fontAlgn="base">
              <a:spcBef>
                <a:spcPct val="50000"/>
              </a:spcBef>
              <a:spcAft>
                <a:spcPct val="0"/>
              </a:spcAft>
            </a:pPr>
            <a:r>
              <a:rPr lang="nl-NL" sz="1200" kern="1200">
                <a:solidFill>
                  <a:schemeClr val="tx1"/>
                </a:solidFill>
                <a:latin typeface="Times New Roman" pitchFamily="18" charset="0"/>
                <a:ea typeface="+mn-ea"/>
                <a:cs typeface="+mn-cs"/>
              </a:rPr>
              <a:t>TW </a:t>
            </a:r>
          </a:p>
        </xdr:txBody>
      </xdr:sp>
    </xdr:grpSp>
    <xdr:clientData/>
  </xdr:twoCellAnchor>
  <xdr:twoCellAnchor>
    <xdr:from>
      <xdr:col>5</xdr:col>
      <xdr:colOff>15240</xdr:colOff>
      <xdr:row>53</xdr:row>
      <xdr:rowOff>30480</xdr:rowOff>
    </xdr:from>
    <xdr:to>
      <xdr:col>78</xdr:col>
      <xdr:colOff>30480</xdr:colOff>
      <xdr:row>65</xdr:row>
      <xdr:rowOff>68580</xdr:rowOff>
    </xdr:to>
    <xdr:graphicFrame macro="">
      <xdr:nvGraphicFramePr>
        <xdr:cNvPr id="59826729"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81</xdr:col>
      <xdr:colOff>0</xdr:colOff>
      <xdr:row>53</xdr:row>
      <xdr:rowOff>30480</xdr:rowOff>
    </xdr:from>
    <xdr:to>
      <xdr:col>157</xdr:col>
      <xdr:colOff>0</xdr:colOff>
      <xdr:row>65</xdr:row>
      <xdr:rowOff>76200</xdr:rowOff>
    </xdr:to>
    <xdr:graphicFrame macro="">
      <xdr:nvGraphicFramePr>
        <xdr:cNvPr id="59826730"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38100</xdr:colOff>
      <xdr:row>177</xdr:row>
      <xdr:rowOff>60960</xdr:rowOff>
    </xdr:from>
    <xdr:to>
      <xdr:col>101</xdr:col>
      <xdr:colOff>7620</xdr:colOff>
      <xdr:row>191</xdr:row>
      <xdr:rowOff>160020</xdr:rowOff>
    </xdr:to>
    <xdr:graphicFrame macro="">
      <xdr:nvGraphicFramePr>
        <xdr:cNvPr id="59826731"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15240</xdr:colOff>
      <xdr:row>339</xdr:row>
      <xdr:rowOff>45720</xdr:rowOff>
    </xdr:from>
    <xdr:to>
      <xdr:col>110</xdr:col>
      <xdr:colOff>38100</xdr:colOff>
      <xdr:row>353</xdr:row>
      <xdr:rowOff>152400</xdr:rowOff>
    </xdr:to>
    <xdr:graphicFrame macro="">
      <xdr:nvGraphicFramePr>
        <xdr:cNvPr id="5982673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38100</xdr:colOff>
      <xdr:row>146</xdr:row>
      <xdr:rowOff>160020</xdr:rowOff>
    </xdr:from>
    <xdr:to>
      <xdr:col>167</xdr:col>
      <xdr:colOff>236220</xdr:colOff>
      <xdr:row>160</xdr:row>
      <xdr:rowOff>137160</xdr:rowOff>
    </xdr:to>
    <xdr:grpSp>
      <xdr:nvGrpSpPr>
        <xdr:cNvPr id="59826733" name="Groep 394"/>
        <xdr:cNvGrpSpPr>
          <a:grpSpLocks/>
        </xdr:cNvGrpSpPr>
      </xdr:nvGrpSpPr>
      <xdr:grpSpPr bwMode="auto">
        <a:xfrm>
          <a:off x="449580" y="27843480"/>
          <a:ext cx="7604760" cy="2857500"/>
          <a:chOff x="9515475" y="14325600"/>
          <a:chExt cx="7905751" cy="2909178"/>
        </a:xfrm>
      </xdr:grpSpPr>
      <xdr:sp macro="" textlink="">
        <xdr:nvSpPr>
          <xdr:cNvPr id="215" name="Tekstvak 214"/>
          <xdr:cNvSpPr txBox="1"/>
        </xdr:nvSpPr>
        <xdr:spPr bwMode="auto">
          <a:xfrm>
            <a:off x="11464187" y="14496272"/>
            <a:ext cx="705022" cy="659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4000" b="1"/>
              <a:t>A</a:t>
            </a:r>
          </a:p>
        </xdr:txBody>
      </xdr:sp>
      <xdr:grpSp>
        <xdr:nvGrpSpPr>
          <xdr:cNvPr id="59826783" name="Groep 215"/>
          <xdr:cNvGrpSpPr>
            <a:grpSpLocks/>
          </xdr:cNvGrpSpPr>
        </xdr:nvGrpSpPr>
        <xdr:grpSpPr bwMode="auto">
          <a:xfrm>
            <a:off x="9515475" y="14325600"/>
            <a:ext cx="2590801" cy="2861553"/>
            <a:chOff x="600074" y="13858875"/>
            <a:chExt cx="2590801" cy="2861553"/>
          </a:xfrm>
        </xdr:grpSpPr>
        <xdr:sp macro="" textlink="">
          <xdr:nvSpPr>
            <xdr:cNvPr id="59826904" name="Vrije vorm 216"/>
            <xdr:cNvSpPr>
              <a:spLocks/>
            </xdr:cNvSpPr>
          </xdr:nvSpPr>
          <xdr:spPr bwMode="auto">
            <a:xfrm>
              <a:off x="1085850" y="15183876"/>
              <a:ext cx="1685924" cy="1284849"/>
            </a:xfrm>
            <a:custGeom>
              <a:avLst/>
              <a:gdLst>
                <a:gd name="T0" fmla="*/ 0 w 1323975"/>
                <a:gd name="T1" fmla="*/ 1095502376 h 1235075"/>
                <a:gd name="T2" fmla="*/ 2147483647 w 1323975"/>
                <a:gd name="T3" fmla="*/ 354764725 h 1235075"/>
                <a:gd name="T4" fmla="*/ 2147483647 w 1323975"/>
                <a:gd name="T5" fmla="*/ 48248596 h 1235075"/>
                <a:gd name="T6" fmla="*/ 2147483647 w 1323975"/>
                <a:gd name="T7" fmla="*/ 65278956 h 1235075"/>
                <a:gd name="T8" fmla="*/ 2147483647 w 1323975"/>
                <a:gd name="T9" fmla="*/ 363279672 h 1235075"/>
                <a:gd name="T10" fmla="*/ 2147483647 w 1323975"/>
                <a:gd name="T11" fmla="*/ 1104017589 h 1235075"/>
                <a:gd name="T12" fmla="*/ 0 60000 65536"/>
                <a:gd name="T13" fmla="*/ 0 60000 65536"/>
                <a:gd name="T14" fmla="*/ 0 60000 65536"/>
                <a:gd name="T15" fmla="*/ 0 60000 65536"/>
                <a:gd name="T16" fmla="*/ 0 60000 65536"/>
                <a:gd name="T17" fmla="*/ 0 60000 65536"/>
                <a:gd name="T18" fmla="*/ 0 w 1323975"/>
                <a:gd name="T19" fmla="*/ 0 h 1235075"/>
                <a:gd name="T20" fmla="*/ 1323975 w 1323975"/>
                <a:gd name="T21" fmla="*/ 1235075 h 1235075"/>
              </a:gdLst>
              <a:ahLst/>
              <a:cxnLst>
                <a:cxn ang="T12">
                  <a:pos x="T0" y="T1"/>
                </a:cxn>
                <a:cxn ang="T13">
                  <a:pos x="T2" y="T3"/>
                </a:cxn>
                <a:cxn ang="T14">
                  <a:pos x="T4" y="T5"/>
                </a:cxn>
                <a:cxn ang="T15">
                  <a:pos x="T6" y="T7"/>
                </a:cxn>
                <a:cxn ang="T16">
                  <a:pos x="T8" y="T9"/>
                </a:cxn>
                <a:cxn ang="T17">
                  <a:pos x="T10" y="T11"/>
                </a:cxn>
              </a:cxnLst>
              <a:rect l="T18" t="T19" r="T20" b="T21"/>
              <a:pathLst>
                <a:path w="1323975" h="1235075">
                  <a:moveTo>
                    <a:pt x="0" y="1225550"/>
                  </a:moveTo>
                  <a:cubicBezTo>
                    <a:pt x="98425" y="908843"/>
                    <a:pt x="196850" y="592137"/>
                    <a:pt x="285750" y="396875"/>
                  </a:cubicBezTo>
                  <a:cubicBezTo>
                    <a:pt x="374650" y="201613"/>
                    <a:pt x="449262" y="107950"/>
                    <a:pt x="533400" y="53975"/>
                  </a:cubicBezTo>
                  <a:cubicBezTo>
                    <a:pt x="617538" y="0"/>
                    <a:pt x="706438" y="14288"/>
                    <a:pt x="790575" y="73025"/>
                  </a:cubicBezTo>
                  <a:cubicBezTo>
                    <a:pt x="874712" y="131762"/>
                    <a:pt x="949325" y="212725"/>
                    <a:pt x="1038225" y="406400"/>
                  </a:cubicBezTo>
                  <a:cubicBezTo>
                    <a:pt x="1127125" y="600075"/>
                    <a:pt x="1225550" y="917575"/>
                    <a:pt x="1323975" y="1235075"/>
                  </a:cubicBezTo>
                </a:path>
              </a:pathLst>
            </a:custGeom>
            <a:noFill/>
            <a:ln w="22225" cap="flat" cmpd="sng" algn="ctr">
              <a:solidFill>
                <a:srgbClr val="000000"/>
              </a:solidFill>
              <a:prstDash val="solid"/>
              <a:round/>
              <a:headEnd type="none" w="med" len="med"/>
              <a:tailEnd type="none" w="med" len="med"/>
            </a:ln>
          </xdr:spPr>
        </xdr:sp>
        <xdr:grpSp>
          <xdr:nvGrpSpPr>
            <xdr:cNvPr id="59826905" name="Groep 396"/>
            <xdr:cNvGrpSpPr>
              <a:grpSpLocks/>
            </xdr:cNvGrpSpPr>
          </xdr:nvGrpSpPr>
          <xdr:grpSpPr bwMode="auto">
            <a:xfrm>
              <a:off x="600074" y="14639925"/>
              <a:ext cx="2590801" cy="2080503"/>
              <a:chOff x="3937362" y="27815578"/>
              <a:chExt cx="3077237" cy="2643575"/>
            </a:xfrm>
          </xdr:grpSpPr>
          <xdr:cxnSp macro="">
            <xdr:nvCxnSpPr>
              <xdr:cNvPr id="59826943" name="Rechte verbindingslijn 178"/>
              <xdr:cNvCxnSpPr>
                <a:cxnSpLocks noChangeShapeType="1"/>
              </xdr:cNvCxnSpPr>
            </xdr:nvCxnSpPr>
            <xdr:spPr bwMode="auto">
              <a:xfrm rot="5400000">
                <a:off x="3381375" y="29041729"/>
                <a:ext cx="2247901" cy="19050"/>
              </a:xfrm>
              <a:prstGeom prst="line">
                <a:avLst/>
              </a:prstGeom>
              <a:noFill/>
              <a:ln w="34925" algn="ctr">
                <a:solidFill>
                  <a:srgbClr val="000000"/>
                </a:solidFill>
                <a:round/>
                <a:headEnd/>
                <a:tailEnd/>
              </a:ln>
            </xdr:spPr>
          </xdr:cxnSp>
          <xdr:cxnSp macro="">
            <xdr:nvCxnSpPr>
              <xdr:cNvPr id="59826944" name="Rechte verbindingslijn 179"/>
              <xdr:cNvCxnSpPr>
                <a:cxnSpLocks noChangeShapeType="1"/>
              </xdr:cNvCxnSpPr>
            </xdr:nvCxnSpPr>
            <xdr:spPr bwMode="auto">
              <a:xfrm rot="10800000">
                <a:off x="4505325" y="30165676"/>
                <a:ext cx="2019301" cy="0"/>
              </a:xfrm>
              <a:prstGeom prst="line">
                <a:avLst/>
              </a:prstGeom>
              <a:noFill/>
              <a:ln w="34925" algn="ctr">
                <a:solidFill>
                  <a:srgbClr val="000000"/>
                </a:solidFill>
                <a:round/>
                <a:headEnd/>
                <a:tailEnd/>
              </a:ln>
            </xdr:spPr>
          </xdr:cxnSp>
          <xdr:sp macro="" textlink="">
            <xdr:nvSpPr>
              <xdr:cNvPr id="258" name="Tekstvak 257"/>
              <xdr:cNvSpPr txBox="1"/>
            </xdr:nvSpPr>
            <xdr:spPr bwMode="auto">
              <a:xfrm>
                <a:off x="6600085" y="30154944"/>
                <a:ext cx="413992" cy="305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Q</a:t>
                </a:r>
              </a:p>
            </xdr:txBody>
          </xdr:sp>
          <xdr:sp macro="" textlink="">
            <xdr:nvSpPr>
              <xdr:cNvPr id="259" name="Tekstvak 258"/>
              <xdr:cNvSpPr txBox="1"/>
            </xdr:nvSpPr>
            <xdr:spPr bwMode="auto">
              <a:xfrm>
                <a:off x="3946771" y="29248063"/>
                <a:ext cx="592762" cy="315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€ 2</a:t>
                </a:r>
              </a:p>
            </xdr:txBody>
          </xdr:sp>
          <xdr:sp macro="" textlink="">
            <xdr:nvSpPr>
              <xdr:cNvPr id="260" name="Tekstvak 259"/>
              <xdr:cNvSpPr txBox="1"/>
            </xdr:nvSpPr>
            <xdr:spPr bwMode="auto">
              <a:xfrm>
                <a:off x="3937362" y="28548187"/>
                <a:ext cx="630397" cy="285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€ 4</a:t>
                </a:r>
              </a:p>
            </xdr:txBody>
          </xdr:sp>
          <xdr:sp macro="" textlink="">
            <xdr:nvSpPr>
              <xdr:cNvPr id="261" name="Tekstvak 260"/>
              <xdr:cNvSpPr txBox="1"/>
            </xdr:nvSpPr>
            <xdr:spPr bwMode="auto">
              <a:xfrm>
                <a:off x="3946771" y="27818740"/>
                <a:ext cx="611579" cy="305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€ 6</a:t>
                </a:r>
              </a:p>
            </xdr:txBody>
          </xdr:sp>
          <xdr:sp macro="" textlink="">
            <xdr:nvSpPr>
              <xdr:cNvPr id="262" name="Tekstvak 261"/>
              <xdr:cNvSpPr txBox="1"/>
            </xdr:nvSpPr>
            <xdr:spPr bwMode="auto">
              <a:xfrm>
                <a:off x="5113476" y="30135229"/>
                <a:ext cx="385765" cy="315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400" b="1"/>
                  <a:t>2</a:t>
                </a:r>
              </a:p>
            </xdr:txBody>
          </xdr:sp>
          <xdr:sp macro="" textlink="">
            <xdr:nvSpPr>
              <xdr:cNvPr id="263" name="Tekstvak 262"/>
              <xdr:cNvSpPr txBox="1"/>
            </xdr:nvSpPr>
            <xdr:spPr>
              <a:xfrm>
                <a:off x="4238447" y="30125371"/>
                <a:ext cx="423401" cy="295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0</a:t>
                </a:r>
              </a:p>
            </xdr:txBody>
          </xdr:sp>
          <xdr:cxnSp macro="">
            <xdr:nvCxnSpPr>
              <xdr:cNvPr id="59826951" name="Rechte verbindingslijn 410"/>
              <xdr:cNvCxnSpPr>
                <a:cxnSpLocks noChangeShapeType="1"/>
              </xdr:cNvCxnSpPr>
            </xdr:nvCxnSpPr>
            <xdr:spPr bwMode="auto">
              <a:xfrm rot="5400000">
                <a:off x="3785588" y="29041724"/>
                <a:ext cx="2228847" cy="4"/>
              </a:xfrm>
              <a:prstGeom prst="line">
                <a:avLst/>
              </a:prstGeom>
              <a:noFill/>
              <a:ln w="9525" algn="ctr">
                <a:solidFill>
                  <a:srgbClr val="000000"/>
                </a:solidFill>
                <a:round/>
                <a:headEnd/>
                <a:tailEnd/>
              </a:ln>
            </xdr:spPr>
          </xdr:cxnSp>
          <xdr:cxnSp macro="">
            <xdr:nvCxnSpPr>
              <xdr:cNvPr id="59826952" name="Rechte verbindingslijn 411"/>
              <xdr:cNvCxnSpPr>
                <a:cxnSpLocks noChangeShapeType="1"/>
              </xdr:cNvCxnSpPr>
            </xdr:nvCxnSpPr>
            <xdr:spPr bwMode="auto">
              <a:xfrm rot="5400000">
                <a:off x="4177901" y="29041724"/>
                <a:ext cx="2228847" cy="4"/>
              </a:xfrm>
              <a:prstGeom prst="line">
                <a:avLst/>
              </a:prstGeom>
              <a:noFill/>
              <a:ln w="9525" algn="ctr">
                <a:solidFill>
                  <a:srgbClr val="000000"/>
                </a:solidFill>
                <a:round/>
                <a:headEnd/>
                <a:tailEnd/>
              </a:ln>
            </xdr:spPr>
          </xdr:cxnSp>
          <xdr:cxnSp macro="">
            <xdr:nvCxnSpPr>
              <xdr:cNvPr id="59826953" name="Rechte verbindingslijn 412"/>
              <xdr:cNvCxnSpPr>
                <a:cxnSpLocks noChangeShapeType="1"/>
              </xdr:cNvCxnSpPr>
            </xdr:nvCxnSpPr>
            <xdr:spPr bwMode="auto">
              <a:xfrm rot="5400000">
                <a:off x="4579740" y="29053828"/>
                <a:ext cx="2228849" cy="4"/>
              </a:xfrm>
              <a:prstGeom prst="line">
                <a:avLst/>
              </a:prstGeom>
              <a:noFill/>
              <a:ln w="9525" algn="ctr">
                <a:solidFill>
                  <a:srgbClr val="000000"/>
                </a:solidFill>
                <a:round/>
                <a:headEnd/>
                <a:tailEnd/>
              </a:ln>
            </xdr:spPr>
          </xdr:cxnSp>
          <xdr:cxnSp macro="">
            <xdr:nvCxnSpPr>
              <xdr:cNvPr id="59826954" name="Rechte verbindingslijn 413"/>
              <xdr:cNvCxnSpPr>
                <a:cxnSpLocks noChangeShapeType="1"/>
              </xdr:cNvCxnSpPr>
            </xdr:nvCxnSpPr>
            <xdr:spPr bwMode="auto">
              <a:xfrm rot="5400000">
                <a:off x="4970264" y="29041725"/>
                <a:ext cx="2228849" cy="4"/>
              </a:xfrm>
              <a:prstGeom prst="line">
                <a:avLst/>
              </a:prstGeom>
              <a:noFill/>
              <a:ln w="9525" algn="ctr">
                <a:solidFill>
                  <a:srgbClr val="000000"/>
                </a:solidFill>
                <a:round/>
                <a:headEnd/>
                <a:tailEnd/>
              </a:ln>
            </xdr:spPr>
          </xdr:cxnSp>
          <xdr:cxnSp macro="">
            <xdr:nvCxnSpPr>
              <xdr:cNvPr id="59826955" name="Rechte verbindingslijn 414"/>
              <xdr:cNvCxnSpPr>
                <a:cxnSpLocks noChangeShapeType="1"/>
              </xdr:cNvCxnSpPr>
            </xdr:nvCxnSpPr>
            <xdr:spPr bwMode="auto">
              <a:xfrm rot="5400000">
                <a:off x="5381628" y="29041724"/>
                <a:ext cx="2228848" cy="4"/>
              </a:xfrm>
              <a:prstGeom prst="line">
                <a:avLst/>
              </a:prstGeom>
              <a:noFill/>
              <a:ln w="9525" algn="ctr">
                <a:solidFill>
                  <a:srgbClr val="000000"/>
                </a:solidFill>
                <a:round/>
                <a:headEnd/>
                <a:tailEnd/>
              </a:ln>
            </xdr:spPr>
          </xdr:cxnSp>
          <xdr:cxnSp macro="">
            <xdr:nvCxnSpPr>
              <xdr:cNvPr id="59826956" name="Rechte verbindingslijn 415"/>
              <xdr:cNvCxnSpPr>
                <a:cxnSpLocks noChangeShapeType="1"/>
              </xdr:cNvCxnSpPr>
            </xdr:nvCxnSpPr>
            <xdr:spPr bwMode="auto">
              <a:xfrm>
                <a:off x="4514853" y="29794199"/>
                <a:ext cx="1981197" cy="1"/>
              </a:xfrm>
              <a:prstGeom prst="line">
                <a:avLst/>
              </a:prstGeom>
              <a:noFill/>
              <a:ln w="9525" algn="ctr">
                <a:solidFill>
                  <a:srgbClr val="000000"/>
                </a:solidFill>
                <a:round/>
                <a:headEnd/>
                <a:tailEnd/>
              </a:ln>
            </xdr:spPr>
          </xdr:cxnSp>
          <xdr:cxnSp macro="">
            <xdr:nvCxnSpPr>
              <xdr:cNvPr id="59826957" name="Rechte verbindingslijn 416"/>
              <xdr:cNvCxnSpPr>
                <a:cxnSpLocks noChangeShapeType="1"/>
              </xdr:cNvCxnSpPr>
            </xdr:nvCxnSpPr>
            <xdr:spPr bwMode="auto">
              <a:xfrm>
                <a:off x="4514853" y="29422724"/>
                <a:ext cx="1981197" cy="1"/>
              </a:xfrm>
              <a:prstGeom prst="line">
                <a:avLst/>
              </a:prstGeom>
              <a:noFill/>
              <a:ln w="9525" algn="ctr">
                <a:solidFill>
                  <a:srgbClr val="000000"/>
                </a:solidFill>
                <a:round/>
                <a:headEnd/>
                <a:tailEnd/>
              </a:ln>
            </xdr:spPr>
          </xdr:cxnSp>
          <xdr:cxnSp macro="">
            <xdr:nvCxnSpPr>
              <xdr:cNvPr id="59826958" name="Rechte verbindingslijn 417"/>
              <xdr:cNvCxnSpPr>
                <a:cxnSpLocks noChangeShapeType="1"/>
              </xdr:cNvCxnSpPr>
            </xdr:nvCxnSpPr>
            <xdr:spPr bwMode="auto">
              <a:xfrm>
                <a:off x="4514853" y="29051249"/>
                <a:ext cx="1981197" cy="1"/>
              </a:xfrm>
              <a:prstGeom prst="line">
                <a:avLst/>
              </a:prstGeom>
              <a:noFill/>
              <a:ln w="9525" algn="ctr">
                <a:solidFill>
                  <a:srgbClr val="000000"/>
                </a:solidFill>
                <a:round/>
                <a:headEnd/>
                <a:tailEnd/>
              </a:ln>
            </xdr:spPr>
          </xdr:cxnSp>
          <xdr:cxnSp macro="">
            <xdr:nvCxnSpPr>
              <xdr:cNvPr id="59826959" name="Rechte verbindingslijn 418"/>
              <xdr:cNvCxnSpPr>
                <a:cxnSpLocks noChangeShapeType="1"/>
              </xdr:cNvCxnSpPr>
            </xdr:nvCxnSpPr>
            <xdr:spPr bwMode="auto">
              <a:xfrm>
                <a:off x="4514853" y="28670249"/>
                <a:ext cx="1981197" cy="1"/>
              </a:xfrm>
              <a:prstGeom prst="line">
                <a:avLst/>
              </a:prstGeom>
              <a:noFill/>
              <a:ln w="9525" algn="ctr">
                <a:solidFill>
                  <a:srgbClr val="000000"/>
                </a:solidFill>
                <a:round/>
                <a:headEnd/>
                <a:tailEnd/>
              </a:ln>
            </xdr:spPr>
          </xdr:cxnSp>
          <xdr:cxnSp macro="">
            <xdr:nvCxnSpPr>
              <xdr:cNvPr id="59826960" name="Rechte verbindingslijn 419"/>
              <xdr:cNvCxnSpPr>
                <a:cxnSpLocks noChangeShapeType="1"/>
              </xdr:cNvCxnSpPr>
            </xdr:nvCxnSpPr>
            <xdr:spPr bwMode="auto">
              <a:xfrm>
                <a:off x="4514853" y="28308299"/>
                <a:ext cx="1981197" cy="1"/>
              </a:xfrm>
              <a:prstGeom prst="line">
                <a:avLst/>
              </a:prstGeom>
              <a:noFill/>
              <a:ln w="9525" algn="ctr">
                <a:solidFill>
                  <a:srgbClr val="000000"/>
                </a:solidFill>
                <a:round/>
                <a:headEnd/>
                <a:tailEnd/>
              </a:ln>
            </xdr:spPr>
          </xdr:cxnSp>
          <xdr:cxnSp macro="">
            <xdr:nvCxnSpPr>
              <xdr:cNvPr id="59826961" name="Rechte verbindingslijn 420"/>
              <xdr:cNvCxnSpPr>
                <a:cxnSpLocks noChangeShapeType="1"/>
              </xdr:cNvCxnSpPr>
            </xdr:nvCxnSpPr>
            <xdr:spPr bwMode="auto">
              <a:xfrm>
                <a:off x="4514853" y="27927299"/>
                <a:ext cx="1981197" cy="1"/>
              </a:xfrm>
              <a:prstGeom prst="line">
                <a:avLst/>
              </a:prstGeom>
              <a:noFill/>
              <a:ln w="9525" algn="ctr">
                <a:solidFill>
                  <a:srgbClr val="000000"/>
                </a:solidFill>
                <a:round/>
                <a:headEnd/>
                <a:tailEnd/>
              </a:ln>
            </xdr:spPr>
          </xdr:cxnSp>
        </xdr:grpSp>
        <xdr:sp macro="" textlink="">
          <xdr:nvSpPr>
            <xdr:cNvPr id="219" name="Tekstvak 218"/>
            <xdr:cNvSpPr txBox="1"/>
          </xdr:nvSpPr>
          <xdr:spPr bwMode="auto">
            <a:xfrm>
              <a:off x="2239844" y="16465498"/>
              <a:ext cx="324785" cy="248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400" b="1"/>
                <a:t>4</a:t>
              </a:r>
            </a:p>
          </xdr:txBody>
        </xdr:sp>
        <xdr:grpSp>
          <xdr:nvGrpSpPr>
            <xdr:cNvPr id="59826907" name="Group 106"/>
            <xdr:cNvGrpSpPr>
              <a:grpSpLocks/>
            </xdr:cNvGrpSpPr>
          </xdr:nvGrpSpPr>
          <xdr:grpSpPr bwMode="auto">
            <a:xfrm>
              <a:off x="2257425" y="14690188"/>
              <a:ext cx="695325" cy="1355114"/>
              <a:chOff x="940" y="2969"/>
              <a:chExt cx="68" cy="136"/>
            </a:xfrm>
          </xdr:grpSpPr>
          <xdr:sp macro="" textlink="">
            <xdr:nvSpPr>
              <xdr:cNvPr id="59826932"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826933" name="Group 88"/>
              <xdr:cNvGrpSpPr>
                <a:grpSpLocks/>
              </xdr:cNvGrpSpPr>
            </xdr:nvGrpSpPr>
            <xdr:grpSpPr bwMode="auto">
              <a:xfrm>
                <a:off x="941" y="2969"/>
                <a:ext cx="69" cy="56"/>
                <a:chOff x="1904895" y="419519"/>
                <a:chExt cx="652165" cy="538250"/>
              </a:xfrm>
            </xdr:grpSpPr>
            <xdr:sp macro="" textlink="">
              <xdr:nvSpPr>
                <xdr:cNvPr id="59826934"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26935" name="Group 90"/>
                <xdr:cNvGrpSpPr>
                  <a:grpSpLocks/>
                </xdr:cNvGrpSpPr>
              </xdr:nvGrpSpPr>
              <xdr:grpSpPr bwMode="auto">
                <a:xfrm>
                  <a:off x="1904895" y="754676"/>
                  <a:ext cx="646538" cy="203093"/>
                  <a:chOff x="3868" y="3810"/>
                  <a:chExt cx="2793" cy="828"/>
                </a:xfrm>
              </xdr:grpSpPr>
              <xdr:sp macro="" textlink="">
                <xdr:nvSpPr>
                  <xdr:cNvPr id="59826937"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26938" name="Group 92"/>
                  <xdr:cNvGrpSpPr>
                    <a:grpSpLocks/>
                  </xdr:cNvGrpSpPr>
                </xdr:nvGrpSpPr>
                <xdr:grpSpPr bwMode="auto">
                  <a:xfrm rot="-900000">
                    <a:off x="4545" y="3810"/>
                    <a:ext cx="1221" cy="461"/>
                    <a:chOff x="4723" y="5578"/>
                    <a:chExt cx="1254" cy="456"/>
                  </a:xfrm>
                </xdr:grpSpPr>
                <xdr:sp macro="" textlink="">
                  <xdr:nvSpPr>
                    <xdr:cNvPr id="59826939"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26940"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26941"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26942"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249" name="Text Box 97"/>
                <xdr:cNvSpPr txBox="1">
                  <a:spLocks noChangeArrowheads="1"/>
                </xdr:cNvSpPr>
              </xdr:nvSpPr>
              <xdr:spPr bwMode="auto">
                <a:xfrm>
                  <a:off x="2054925" y="575486"/>
                  <a:ext cx="505233" cy="202051"/>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nl-NL" sz="900" b="0" i="0" u="none" strike="noStrike" baseline="0">
                      <a:solidFill>
                        <a:srgbClr val="000000"/>
                      </a:solidFill>
                      <a:latin typeface="Times New Roman"/>
                      <a:cs typeface="Times New Roman"/>
                    </a:rPr>
                    <a:t>+ 3</a:t>
                  </a:r>
                </a:p>
                <a:p>
                  <a:pPr algn="l" rtl="0">
                    <a:lnSpc>
                      <a:spcPts val="800"/>
                    </a:lnSpc>
                    <a:defRPr sz="1000"/>
                  </a:pPr>
                  <a:endParaRPr lang="nl-NL" sz="900" b="0" i="0" u="none" strike="noStrike" baseline="0">
                    <a:solidFill>
                      <a:srgbClr val="000000"/>
                    </a:solidFill>
                    <a:latin typeface="Times New Roman"/>
                    <a:cs typeface="Times New Roman"/>
                  </a:endParaRPr>
                </a:p>
              </xdr:txBody>
            </xdr:sp>
          </xdr:grpSp>
        </xdr:grpSp>
        <xdr:grpSp>
          <xdr:nvGrpSpPr>
            <xdr:cNvPr id="59826908" name="Group 106"/>
            <xdr:cNvGrpSpPr>
              <a:grpSpLocks/>
            </xdr:cNvGrpSpPr>
          </xdr:nvGrpSpPr>
          <xdr:grpSpPr bwMode="auto">
            <a:xfrm>
              <a:off x="1000125" y="14469647"/>
              <a:ext cx="704850" cy="1375190"/>
              <a:chOff x="941" y="2969"/>
              <a:chExt cx="69" cy="138"/>
            </a:xfrm>
          </xdr:grpSpPr>
          <xdr:sp macro="" textlink="">
            <xdr:nvSpPr>
              <xdr:cNvPr id="59826921" name="Line 87"/>
              <xdr:cNvSpPr>
                <a:spLocks noChangeShapeType="1"/>
              </xdr:cNvSpPr>
            </xdr:nvSpPr>
            <xdr:spPr bwMode="auto">
              <a:xfrm flipH="1">
                <a:off x="974" y="3021"/>
                <a:ext cx="0" cy="86"/>
              </a:xfrm>
              <a:prstGeom prst="line">
                <a:avLst/>
              </a:prstGeom>
              <a:noFill/>
              <a:ln w="15875">
                <a:solidFill>
                  <a:srgbClr val="000000"/>
                </a:solidFill>
                <a:round/>
                <a:headEnd/>
                <a:tailEnd/>
              </a:ln>
            </xdr:spPr>
          </xdr:sp>
          <xdr:grpSp>
            <xdr:nvGrpSpPr>
              <xdr:cNvPr id="59826922" name="Group 88"/>
              <xdr:cNvGrpSpPr>
                <a:grpSpLocks/>
              </xdr:cNvGrpSpPr>
            </xdr:nvGrpSpPr>
            <xdr:grpSpPr bwMode="auto">
              <a:xfrm>
                <a:off x="941" y="2969"/>
                <a:ext cx="69" cy="56"/>
                <a:chOff x="1904895" y="419519"/>
                <a:chExt cx="652165" cy="538250"/>
              </a:xfrm>
            </xdr:grpSpPr>
            <xdr:sp macro="" textlink="">
              <xdr:nvSpPr>
                <xdr:cNvPr id="59826923"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26924" name="Group 90"/>
                <xdr:cNvGrpSpPr>
                  <a:grpSpLocks/>
                </xdr:cNvGrpSpPr>
              </xdr:nvGrpSpPr>
              <xdr:grpSpPr bwMode="auto">
                <a:xfrm>
                  <a:off x="1904895" y="754676"/>
                  <a:ext cx="646538" cy="203093"/>
                  <a:chOff x="3868" y="3810"/>
                  <a:chExt cx="2793" cy="828"/>
                </a:xfrm>
              </xdr:grpSpPr>
              <xdr:sp macro="" textlink="">
                <xdr:nvSpPr>
                  <xdr:cNvPr id="59826926"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26927" name="Group 92"/>
                  <xdr:cNvGrpSpPr>
                    <a:grpSpLocks/>
                  </xdr:cNvGrpSpPr>
                </xdr:nvGrpSpPr>
                <xdr:grpSpPr bwMode="auto">
                  <a:xfrm rot="-900000">
                    <a:off x="4547" y="3810"/>
                    <a:ext cx="1221" cy="461"/>
                    <a:chOff x="4723" y="5578"/>
                    <a:chExt cx="1254" cy="456"/>
                  </a:xfrm>
                </xdr:grpSpPr>
                <xdr:sp macro="" textlink="">
                  <xdr:nvSpPr>
                    <xdr:cNvPr id="59826928"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26929"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26930"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26931"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238" name="Text Box 97"/>
                <xdr:cNvSpPr txBox="1">
                  <a:spLocks noChangeArrowheads="1"/>
                </xdr:cNvSpPr>
              </xdr:nvSpPr>
              <xdr:spPr bwMode="auto">
                <a:xfrm>
                  <a:off x="2033151" y="571192"/>
                  <a:ext cx="520393" cy="261890"/>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nl-NL" sz="900" b="0" i="0" u="none" strike="noStrike" baseline="0">
                      <a:solidFill>
                        <a:srgbClr val="000000"/>
                      </a:solidFill>
                      <a:latin typeface="Times New Roman"/>
                      <a:cs typeface="Times New Roman"/>
                    </a:rPr>
                    <a:t>+ 1</a:t>
                  </a:r>
                </a:p>
                <a:p>
                  <a:pPr algn="l" rtl="0">
                    <a:lnSpc>
                      <a:spcPts val="800"/>
                    </a:lnSpc>
                    <a:defRPr sz="1000"/>
                  </a:pPr>
                  <a:endParaRPr lang="nl-NL" sz="900" b="0" i="0" u="none" strike="noStrike" baseline="0">
                    <a:solidFill>
                      <a:srgbClr val="000000"/>
                    </a:solidFill>
                    <a:latin typeface="Times New Roman"/>
                    <a:cs typeface="Times New Roman"/>
                  </a:endParaRPr>
                </a:p>
              </xdr:txBody>
            </xdr:sp>
          </xdr:grpSp>
        </xdr:grpSp>
        <xdr:grpSp>
          <xdr:nvGrpSpPr>
            <xdr:cNvPr id="59826909" name="Group 106"/>
            <xdr:cNvGrpSpPr>
              <a:grpSpLocks/>
            </xdr:cNvGrpSpPr>
          </xdr:nvGrpSpPr>
          <xdr:grpSpPr bwMode="auto">
            <a:xfrm>
              <a:off x="1562100" y="13858875"/>
              <a:ext cx="695325" cy="1355114"/>
              <a:chOff x="940" y="2969"/>
              <a:chExt cx="68" cy="136"/>
            </a:xfrm>
          </xdr:grpSpPr>
          <xdr:sp macro="" textlink="">
            <xdr:nvSpPr>
              <xdr:cNvPr id="59826910"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826911" name="Group 88"/>
              <xdr:cNvGrpSpPr>
                <a:grpSpLocks/>
              </xdr:cNvGrpSpPr>
            </xdr:nvGrpSpPr>
            <xdr:grpSpPr bwMode="auto">
              <a:xfrm>
                <a:off x="940" y="2969"/>
                <a:ext cx="68" cy="56"/>
                <a:chOff x="1904895" y="419519"/>
                <a:chExt cx="646538" cy="538250"/>
              </a:xfrm>
            </xdr:grpSpPr>
            <xdr:sp macro="" textlink="">
              <xdr:nvSpPr>
                <xdr:cNvPr id="59826912"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26913" name="Group 90"/>
                <xdr:cNvGrpSpPr>
                  <a:grpSpLocks/>
                </xdr:cNvGrpSpPr>
              </xdr:nvGrpSpPr>
              <xdr:grpSpPr bwMode="auto">
                <a:xfrm>
                  <a:off x="1904895" y="754676"/>
                  <a:ext cx="646538" cy="203093"/>
                  <a:chOff x="3868" y="3810"/>
                  <a:chExt cx="2793" cy="828"/>
                </a:xfrm>
              </xdr:grpSpPr>
              <xdr:sp macro="" textlink="">
                <xdr:nvSpPr>
                  <xdr:cNvPr id="59826915"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26916" name="Group 92"/>
                  <xdr:cNvGrpSpPr>
                    <a:grpSpLocks/>
                  </xdr:cNvGrpSpPr>
                </xdr:nvGrpSpPr>
                <xdr:grpSpPr bwMode="auto">
                  <a:xfrm rot="-900000">
                    <a:off x="4541" y="3810"/>
                    <a:ext cx="1221" cy="461"/>
                    <a:chOff x="4723" y="5578"/>
                    <a:chExt cx="1254" cy="456"/>
                  </a:xfrm>
                </xdr:grpSpPr>
                <xdr:sp macro="" textlink="">
                  <xdr:nvSpPr>
                    <xdr:cNvPr id="59826917"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26918"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26919"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26920"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227" name="Text Box 97"/>
                <xdr:cNvSpPr txBox="1">
                  <a:spLocks noChangeArrowheads="1"/>
                </xdr:cNvSpPr>
              </xdr:nvSpPr>
              <xdr:spPr bwMode="auto">
                <a:xfrm>
                  <a:off x="2078408" y="569187"/>
                  <a:ext cx="441947" cy="254435"/>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nl-NL" sz="900" b="0" i="0" u="none" strike="noStrike" baseline="0">
                      <a:solidFill>
                        <a:srgbClr val="000000"/>
                      </a:solidFill>
                      <a:latin typeface="Times New Roman"/>
                      <a:cs typeface="Times New Roman"/>
                    </a:rPr>
                    <a:t>+ 2</a:t>
                  </a:r>
                </a:p>
                <a:p>
                  <a:pPr algn="l" rtl="0">
                    <a:lnSpc>
                      <a:spcPts val="800"/>
                    </a:lnSpc>
                    <a:defRPr sz="1000"/>
                  </a:pPr>
                  <a:endParaRPr lang="nl-NL" sz="900" b="0" i="0" u="none" strike="noStrike" baseline="0">
                    <a:solidFill>
                      <a:srgbClr val="000000"/>
                    </a:solidFill>
                    <a:latin typeface="Times New Roman"/>
                    <a:cs typeface="Times New Roman"/>
                  </a:endParaRPr>
                </a:p>
              </xdr:txBody>
            </xdr:sp>
          </xdr:grpSp>
        </xdr:grpSp>
      </xdr:grpSp>
      <xdr:grpSp>
        <xdr:nvGrpSpPr>
          <xdr:cNvPr id="59826784" name="Groep 274"/>
          <xdr:cNvGrpSpPr>
            <a:grpSpLocks/>
          </xdr:cNvGrpSpPr>
        </xdr:nvGrpSpPr>
        <xdr:grpSpPr bwMode="auto">
          <a:xfrm>
            <a:off x="14697076" y="14373225"/>
            <a:ext cx="2724150" cy="2861553"/>
            <a:chOff x="5781675" y="13906500"/>
            <a:chExt cx="2724150" cy="2861553"/>
          </a:xfrm>
        </xdr:grpSpPr>
        <xdr:sp macro="" textlink="">
          <xdr:nvSpPr>
            <xdr:cNvPr id="276" name="Tekstvak 275"/>
            <xdr:cNvSpPr txBox="1"/>
          </xdr:nvSpPr>
          <xdr:spPr bwMode="auto">
            <a:xfrm>
              <a:off x="7808725" y="14083851"/>
              <a:ext cx="697100" cy="659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4000" b="1"/>
                <a:t>C</a:t>
              </a:r>
            </a:p>
          </xdr:txBody>
        </xdr:sp>
        <xdr:sp macro="" textlink="">
          <xdr:nvSpPr>
            <xdr:cNvPr id="59826846" name="Vrije vorm 276"/>
            <xdr:cNvSpPr>
              <a:spLocks/>
            </xdr:cNvSpPr>
          </xdr:nvSpPr>
          <xdr:spPr bwMode="auto">
            <a:xfrm>
              <a:off x="6267451" y="15231501"/>
              <a:ext cx="1685923" cy="1284849"/>
            </a:xfrm>
            <a:custGeom>
              <a:avLst/>
              <a:gdLst>
                <a:gd name="T0" fmla="*/ 0 w 1323975"/>
                <a:gd name="T1" fmla="*/ 1095502376 h 1235075"/>
                <a:gd name="T2" fmla="*/ 2147483647 w 1323975"/>
                <a:gd name="T3" fmla="*/ 354764725 h 1235075"/>
                <a:gd name="T4" fmla="*/ 2147483647 w 1323975"/>
                <a:gd name="T5" fmla="*/ 48248596 h 1235075"/>
                <a:gd name="T6" fmla="*/ 2147483647 w 1323975"/>
                <a:gd name="T7" fmla="*/ 65278956 h 1235075"/>
                <a:gd name="T8" fmla="*/ 2147483647 w 1323975"/>
                <a:gd name="T9" fmla="*/ 363279672 h 1235075"/>
                <a:gd name="T10" fmla="*/ 2147483647 w 1323975"/>
                <a:gd name="T11" fmla="*/ 1104017589 h 1235075"/>
                <a:gd name="T12" fmla="*/ 0 60000 65536"/>
                <a:gd name="T13" fmla="*/ 0 60000 65536"/>
                <a:gd name="T14" fmla="*/ 0 60000 65536"/>
                <a:gd name="T15" fmla="*/ 0 60000 65536"/>
                <a:gd name="T16" fmla="*/ 0 60000 65536"/>
                <a:gd name="T17" fmla="*/ 0 60000 65536"/>
                <a:gd name="T18" fmla="*/ 0 w 1323975"/>
                <a:gd name="T19" fmla="*/ 0 h 1235075"/>
                <a:gd name="T20" fmla="*/ 1323975 w 1323975"/>
                <a:gd name="T21" fmla="*/ 1235075 h 1235075"/>
              </a:gdLst>
              <a:ahLst/>
              <a:cxnLst>
                <a:cxn ang="T12">
                  <a:pos x="T0" y="T1"/>
                </a:cxn>
                <a:cxn ang="T13">
                  <a:pos x="T2" y="T3"/>
                </a:cxn>
                <a:cxn ang="T14">
                  <a:pos x="T4" y="T5"/>
                </a:cxn>
                <a:cxn ang="T15">
                  <a:pos x="T6" y="T7"/>
                </a:cxn>
                <a:cxn ang="T16">
                  <a:pos x="T8" y="T9"/>
                </a:cxn>
                <a:cxn ang="T17">
                  <a:pos x="T10" y="T11"/>
                </a:cxn>
              </a:cxnLst>
              <a:rect l="T18" t="T19" r="T20" b="T21"/>
              <a:pathLst>
                <a:path w="1323975" h="1235075">
                  <a:moveTo>
                    <a:pt x="0" y="1225550"/>
                  </a:moveTo>
                  <a:cubicBezTo>
                    <a:pt x="98425" y="908843"/>
                    <a:pt x="196850" y="592137"/>
                    <a:pt x="285750" y="396875"/>
                  </a:cubicBezTo>
                  <a:cubicBezTo>
                    <a:pt x="374650" y="201613"/>
                    <a:pt x="449262" y="107950"/>
                    <a:pt x="533400" y="53975"/>
                  </a:cubicBezTo>
                  <a:cubicBezTo>
                    <a:pt x="617538" y="0"/>
                    <a:pt x="706438" y="14288"/>
                    <a:pt x="790575" y="73025"/>
                  </a:cubicBezTo>
                  <a:cubicBezTo>
                    <a:pt x="874712" y="131762"/>
                    <a:pt x="949325" y="212725"/>
                    <a:pt x="1038225" y="406400"/>
                  </a:cubicBezTo>
                  <a:cubicBezTo>
                    <a:pt x="1127125" y="600075"/>
                    <a:pt x="1225550" y="917575"/>
                    <a:pt x="1323975" y="1235075"/>
                  </a:cubicBezTo>
                </a:path>
              </a:pathLst>
            </a:custGeom>
            <a:noFill/>
            <a:ln w="22225" cap="flat" cmpd="sng" algn="ctr">
              <a:solidFill>
                <a:srgbClr val="000000"/>
              </a:solidFill>
              <a:prstDash val="solid"/>
              <a:round/>
              <a:headEnd type="none" w="med" len="med"/>
              <a:tailEnd type="none" w="med" len="med"/>
            </a:ln>
          </xdr:spPr>
        </xdr:sp>
        <xdr:grpSp>
          <xdr:nvGrpSpPr>
            <xdr:cNvPr id="59826847" name="Groep 396"/>
            <xdr:cNvGrpSpPr>
              <a:grpSpLocks/>
            </xdr:cNvGrpSpPr>
          </xdr:nvGrpSpPr>
          <xdr:grpSpPr bwMode="auto">
            <a:xfrm>
              <a:off x="5781675" y="14687550"/>
              <a:ext cx="2590801" cy="2080503"/>
              <a:chOff x="3937362" y="27815578"/>
              <a:chExt cx="3077237" cy="2643575"/>
            </a:xfrm>
          </xdr:grpSpPr>
          <xdr:cxnSp macro="">
            <xdr:nvCxnSpPr>
              <xdr:cNvPr id="59826885" name="Rechte verbindingslijn 178"/>
              <xdr:cNvCxnSpPr>
                <a:cxnSpLocks noChangeShapeType="1"/>
              </xdr:cNvCxnSpPr>
            </xdr:nvCxnSpPr>
            <xdr:spPr bwMode="auto">
              <a:xfrm rot="5400000">
                <a:off x="3381375" y="29041729"/>
                <a:ext cx="2247901" cy="19050"/>
              </a:xfrm>
              <a:prstGeom prst="line">
                <a:avLst/>
              </a:prstGeom>
              <a:noFill/>
              <a:ln w="34925" algn="ctr">
                <a:solidFill>
                  <a:srgbClr val="000000"/>
                </a:solidFill>
                <a:round/>
                <a:headEnd/>
                <a:tailEnd/>
              </a:ln>
            </xdr:spPr>
          </xdr:cxnSp>
          <xdr:cxnSp macro="">
            <xdr:nvCxnSpPr>
              <xdr:cNvPr id="59826886" name="Rechte verbindingslijn 179"/>
              <xdr:cNvCxnSpPr>
                <a:cxnSpLocks noChangeShapeType="1"/>
              </xdr:cNvCxnSpPr>
            </xdr:nvCxnSpPr>
            <xdr:spPr bwMode="auto">
              <a:xfrm rot="10800000">
                <a:off x="4505325" y="30165676"/>
                <a:ext cx="2019301" cy="0"/>
              </a:xfrm>
              <a:prstGeom prst="line">
                <a:avLst/>
              </a:prstGeom>
              <a:noFill/>
              <a:ln w="34925" algn="ctr">
                <a:solidFill>
                  <a:srgbClr val="000000"/>
                </a:solidFill>
                <a:round/>
                <a:headEnd/>
                <a:tailEnd/>
              </a:ln>
            </xdr:spPr>
          </xdr:cxnSp>
          <xdr:sp macro="" textlink="">
            <xdr:nvSpPr>
              <xdr:cNvPr id="318" name="Tekstvak 317"/>
              <xdr:cNvSpPr txBox="1"/>
            </xdr:nvSpPr>
            <xdr:spPr bwMode="auto">
              <a:xfrm>
                <a:off x="6599041" y="30153574"/>
                <a:ext cx="413992" cy="305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Q</a:t>
                </a:r>
              </a:p>
            </xdr:txBody>
          </xdr:sp>
          <xdr:sp macro="" textlink="">
            <xdr:nvSpPr>
              <xdr:cNvPr id="319" name="Tekstvak 318"/>
              <xdr:cNvSpPr txBox="1"/>
            </xdr:nvSpPr>
            <xdr:spPr bwMode="auto">
              <a:xfrm>
                <a:off x="3945728" y="29246693"/>
                <a:ext cx="592762" cy="315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€ 2</a:t>
                </a:r>
              </a:p>
            </xdr:txBody>
          </xdr:sp>
          <xdr:sp macro="" textlink="">
            <xdr:nvSpPr>
              <xdr:cNvPr id="320" name="Tekstvak 319"/>
              <xdr:cNvSpPr txBox="1"/>
            </xdr:nvSpPr>
            <xdr:spPr bwMode="auto">
              <a:xfrm>
                <a:off x="3936319" y="28536960"/>
                <a:ext cx="630397" cy="295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€ 4</a:t>
                </a:r>
              </a:p>
            </xdr:txBody>
          </xdr:sp>
          <xdr:sp macro="" textlink="">
            <xdr:nvSpPr>
              <xdr:cNvPr id="321" name="Tekstvak 320"/>
              <xdr:cNvSpPr txBox="1"/>
            </xdr:nvSpPr>
            <xdr:spPr bwMode="auto">
              <a:xfrm>
                <a:off x="3945728" y="27817370"/>
                <a:ext cx="611579" cy="305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€ 6</a:t>
                </a:r>
              </a:p>
            </xdr:txBody>
          </xdr:sp>
          <xdr:sp macro="" textlink="">
            <xdr:nvSpPr>
              <xdr:cNvPr id="322" name="Tekstvak 321"/>
              <xdr:cNvSpPr txBox="1"/>
            </xdr:nvSpPr>
            <xdr:spPr bwMode="auto">
              <a:xfrm>
                <a:off x="5112433" y="30133859"/>
                <a:ext cx="385765" cy="315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400" b="1"/>
                  <a:t>2</a:t>
                </a:r>
              </a:p>
            </xdr:txBody>
          </xdr:sp>
          <xdr:sp macro="" textlink="">
            <xdr:nvSpPr>
              <xdr:cNvPr id="323" name="Tekstvak 322"/>
              <xdr:cNvSpPr txBox="1"/>
            </xdr:nvSpPr>
            <xdr:spPr>
              <a:xfrm>
                <a:off x="4237404" y="30124001"/>
                <a:ext cx="423401" cy="2957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0</a:t>
                </a:r>
              </a:p>
            </xdr:txBody>
          </xdr:sp>
          <xdr:cxnSp macro="">
            <xdr:nvCxnSpPr>
              <xdr:cNvPr id="59826893" name="Rechte verbindingslijn 410"/>
              <xdr:cNvCxnSpPr>
                <a:cxnSpLocks noChangeShapeType="1"/>
              </xdr:cNvCxnSpPr>
            </xdr:nvCxnSpPr>
            <xdr:spPr bwMode="auto">
              <a:xfrm rot="5400000">
                <a:off x="3785588" y="29041724"/>
                <a:ext cx="2228847" cy="4"/>
              </a:xfrm>
              <a:prstGeom prst="line">
                <a:avLst/>
              </a:prstGeom>
              <a:noFill/>
              <a:ln w="9525" algn="ctr">
                <a:solidFill>
                  <a:srgbClr val="000000"/>
                </a:solidFill>
                <a:round/>
                <a:headEnd/>
                <a:tailEnd/>
              </a:ln>
            </xdr:spPr>
          </xdr:cxnSp>
          <xdr:cxnSp macro="">
            <xdr:nvCxnSpPr>
              <xdr:cNvPr id="59826894" name="Rechte verbindingslijn 411"/>
              <xdr:cNvCxnSpPr>
                <a:cxnSpLocks noChangeShapeType="1"/>
              </xdr:cNvCxnSpPr>
            </xdr:nvCxnSpPr>
            <xdr:spPr bwMode="auto">
              <a:xfrm rot="5400000">
                <a:off x="4177901" y="29041724"/>
                <a:ext cx="2228847" cy="4"/>
              </a:xfrm>
              <a:prstGeom prst="line">
                <a:avLst/>
              </a:prstGeom>
              <a:noFill/>
              <a:ln w="9525" algn="ctr">
                <a:solidFill>
                  <a:srgbClr val="000000"/>
                </a:solidFill>
                <a:round/>
                <a:headEnd/>
                <a:tailEnd/>
              </a:ln>
            </xdr:spPr>
          </xdr:cxnSp>
          <xdr:cxnSp macro="">
            <xdr:nvCxnSpPr>
              <xdr:cNvPr id="59826895" name="Rechte verbindingslijn 412"/>
              <xdr:cNvCxnSpPr>
                <a:cxnSpLocks noChangeShapeType="1"/>
              </xdr:cNvCxnSpPr>
            </xdr:nvCxnSpPr>
            <xdr:spPr bwMode="auto">
              <a:xfrm rot="5400000">
                <a:off x="4579740" y="29053828"/>
                <a:ext cx="2228849" cy="4"/>
              </a:xfrm>
              <a:prstGeom prst="line">
                <a:avLst/>
              </a:prstGeom>
              <a:noFill/>
              <a:ln w="9525" algn="ctr">
                <a:solidFill>
                  <a:srgbClr val="000000"/>
                </a:solidFill>
                <a:round/>
                <a:headEnd/>
                <a:tailEnd/>
              </a:ln>
            </xdr:spPr>
          </xdr:cxnSp>
          <xdr:cxnSp macro="">
            <xdr:nvCxnSpPr>
              <xdr:cNvPr id="59826896" name="Rechte verbindingslijn 413"/>
              <xdr:cNvCxnSpPr>
                <a:cxnSpLocks noChangeShapeType="1"/>
              </xdr:cNvCxnSpPr>
            </xdr:nvCxnSpPr>
            <xdr:spPr bwMode="auto">
              <a:xfrm rot="5400000">
                <a:off x="4970264" y="29041725"/>
                <a:ext cx="2228849" cy="4"/>
              </a:xfrm>
              <a:prstGeom prst="line">
                <a:avLst/>
              </a:prstGeom>
              <a:noFill/>
              <a:ln w="9525" algn="ctr">
                <a:solidFill>
                  <a:srgbClr val="000000"/>
                </a:solidFill>
                <a:round/>
                <a:headEnd/>
                <a:tailEnd/>
              </a:ln>
            </xdr:spPr>
          </xdr:cxnSp>
          <xdr:cxnSp macro="">
            <xdr:nvCxnSpPr>
              <xdr:cNvPr id="59826897" name="Rechte verbindingslijn 414"/>
              <xdr:cNvCxnSpPr>
                <a:cxnSpLocks noChangeShapeType="1"/>
              </xdr:cNvCxnSpPr>
            </xdr:nvCxnSpPr>
            <xdr:spPr bwMode="auto">
              <a:xfrm rot="5400000">
                <a:off x="5381628" y="29041724"/>
                <a:ext cx="2228848" cy="4"/>
              </a:xfrm>
              <a:prstGeom prst="line">
                <a:avLst/>
              </a:prstGeom>
              <a:noFill/>
              <a:ln w="9525" algn="ctr">
                <a:solidFill>
                  <a:srgbClr val="000000"/>
                </a:solidFill>
                <a:round/>
                <a:headEnd/>
                <a:tailEnd/>
              </a:ln>
            </xdr:spPr>
          </xdr:cxnSp>
          <xdr:cxnSp macro="">
            <xdr:nvCxnSpPr>
              <xdr:cNvPr id="59826898" name="Rechte verbindingslijn 415"/>
              <xdr:cNvCxnSpPr>
                <a:cxnSpLocks noChangeShapeType="1"/>
              </xdr:cNvCxnSpPr>
            </xdr:nvCxnSpPr>
            <xdr:spPr bwMode="auto">
              <a:xfrm>
                <a:off x="4514853" y="29794199"/>
                <a:ext cx="1981197" cy="1"/>
              </a:xfrm>
              <a:prstGeom prst="line">
                <a:avLst/>
              </a:prstGeom>
              <a:noFill/>
              <a:ln w="9525" algn="ctr">
                <a:solidFill>
                  <a:srgbClr val="000000"/>
                </a:solidFill>
                <a:round/>
                <a:headEnd/>
                <a:tailEnd/>
              </a:ln>
            </xdr:spPr>
          </xdr:cxnSp>
          <xdr:cxnSp macro="">
            <xdr:nvCxnSpPr>
              <xdr:cNvPr id="59826899" name="Rechte verbindingslijn 416"/>
              <xdr:cNvCxnSpPr>
                <a:cxnSpLocks noChangeShapeType="1"/>
              </xdr:cNvCxnSpPr>
            </xdr:nvCxnSpPr>
            <xdr:spPr bwMode="auto">
              <a:xfrm>
                <a:off x="4514853" y="29422724"/>
                <a:ext cx="1981197" cy="1"/>
              </a:xfrm>
              <a:prstGeom prst="line">
                <a:avLst/>
              </a:prstGeom>
              <a:noFill/>
              <a:ln w="9525" algn="ctr">
                <a:solidFill>
                  <a:srgbClr val="000000"/>
                </a:solidFill>
                <a:round/>
                <a:headEnd/>
                <a:tailEnd/>
              </a:ln>
            </xdr:spPr>
          </xdr:cxnSp>
          <xdr:cxnSp macro="">
            <xdr:nvCxnSpPr>
              <xdr:cNvPr id="59826900" name="Rechte verbindingslijn 417"/>
              <xdr:cNvCxnSpPr>
                <a:cxnSpLocks noChangeShapeType="1"/>
              </xdr:cNvCxnSpPr>
            </xdr:nvCxnSpPr>
            <xdr:spPr bwMode="auto">
              <a:xfrm>
                <a:off x="4514853" y="29051249"/>
                <a:ext cx="1981197" cy="1"/>
              </a:xfrm>
              <a:prstGeom prst="line">
                <a:avLst/>
              </a:prstGeom>
              <a:noFill/>
              <a:ln w="9525" algn="ctr">
                <a:solidFill>
                  <a:srgbClr val="000000"/>
                </a:solidFill>
                <a:round/>
                <a:headEnd/>
                <a:tailEnd/>
              </a:ln>
            </xdr:spPr>
          </xdr:cxnSp>
          <xdr:cxnSp macro="">
            <xdr:nvCxnSpPr>
              <xdr:cNvPr id="59826901" name="Rechte verbindingslijn 418"/>
              <xdr:cNvCxnSpPr>
                <a:cxnSpLocks noChangeShapeType="1"/>
              </xdr:cNvCxnSpPr>
            </xdr:nvCxnSpPr>
            <xdr:spPr bwMode="auto">
              <a:xfrm>
                <a:off x="4514853" y="28670249"/>
                <a:ext cx="1981197" cy="1"/>
              </a:xfrm>
              <a:prstGeom prst="line">
                <a:avLst/>
              </a:prstGeom>
              <a:noFill/>
              <a:ln w="9525" algn="ctr">
                <a:solidFill>
                  <a:srgbClr val="000000"/>
                </a:solidFill>
                <a:round/>
                <a:headEnd/>
                <a:tailEnd/>
              </a:ln>
            </xdr:spPr>
          </xdr:cxnSp>
          <xdr:cxnSp macro="">
            <xdr:nvCxnSpPr>
              <xdr:cNvPr id="59826902" name="Rechte verbindingslijn 419"/>
              <xdr:cNvCxnSpPr>
                <a:cxnSpLocks noChangeShapeType="1"/>
              </xdr:cNvCxnSpPr>
            </xdr:nvCxnSpPr>
            <xdr:spPr bwMode="auto">
              <a:xfrm>
                <a:off x="4514853" y="28308299"/>
                <a:ext cx="1981197" cy="1"/>
              </a:xfrm>
              <a:prstGeom prst="line">
                <a:avLst/>
              </a:prstGeom>
              <a:noFill/>
              <a:ln w="9525" algn="ctr">
                <a:solidFill>
                  <a:srgbClr val="000000"/>
                </a:solidFill>
                <a:round/>
                <a:headEnd/>
                <a:tailEnd/>
              </a:ln>
            </xdr:spPr>
          </xdr:cxnSp>
          <xdr:cxnSp macro="">
            <xdr:nvCxnSpPr>
              <xdr:cNvPr id="59826903" name="Rechte verbindingslijn 420"/>
              <xdr:cNvCxnSpPr>
                <a:cxnSpLocks noChangeShapeType="1"/>
              </xdr:cNvCxnSpPr>
            </xdr:nvCxnSpPr>
            <xdr:spPr bwMode="auto">
              <a:xfrm>
                <a:off x="4514853" y="27927299"/>
                <a:ext cx="1981197" cy="1"/>
              </a:xfrm>
              <a:prstGeom prst="line">
                <a:avLst/>
              </a:prstGeom>
              <a:noFill/>
              <a:ln w="9525" algn="ctr">
                <a:solidFill>
                  <a:srgbClr val="000000"/>
                </a:solidFill>
                <a:round/>
                <a:headEnd/>
                <a:tailEnd/>
              </a:ln>
            </xdr:spPr>
          </xdr:cxnSp>
        </xdr:grpSp>
        <xdr:sp macro="" textlink="">
          <xdr:nvSpPr>
            <xdr:cNvPr id="279" name="Tekstvak 278"/>
            <xdr:cNvSpPr txBox="1"/>
          </xdr:nvSpPr>
          <xdr:spPr bwMode="auto">
            <a:xfrm>
              <a:off x="7420567" y="16512045"/>
              <a:ext cx="324785" cy="248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400" b="1"/>
                <a:t>4</a:t>
              </a:r>
            </a:p>
          </xdr:txBody>
        </xdr:sp>
        <xdr:grpSp>
          <xdr:nvGrpSpPr>
            <xdr:cNvPr id="59826849" name="Group 106"/>
            <xdr:cNvGrpSpPr>
              <a:grpSpLocks/>
            </xdr:cNvGrpSpPr>
          </xdr:nvGrpSpPr>
          <xdr:grpSpPr bwMode="auto">
            <a:xfrm>
              <a:off x="7439026" y="14737813"/>
              <a:ext cx="695325" cy="1355114"/>
              <a:chOff x="940" y="2969"/>
              <a:chExt cx="68" cy="136"/>
            </a:xfrm>
          </xdr:grpSpPr>
          <xdr:sp macro="" textlink="">
            <xdr:nvSpPr>
              <xdr:cNvPr id="59826874"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826875" name="Group 88"/>
              <xdr:cNvGrpSpPr>
                <a:grpSpLocks/>
              </xdr:cNvGrpSpPr>
            </xdr:nvGrpSpPr>
            <xdr:grpSpPr bwMode="auto">
              <a:xfrm>
                <a:off x="941" y="2969"/>
                <a:ext cx="69" cy="56"/>
                <a:chOff x="1904895" y="419519"/>
                <a:chExt cx="652165" cy="538250"/>
              </a:xfrm>
            </xdr:grpSpPr>
            <xdr:sp macro="" textlink="">
              <xdr:nvSpPr>
                <xdr:cNvPr id="59826876"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26877" name="Group 90"/>
                <xdr:cNvGrpSpPr>
                  <a:grpSpLocks/>
                </xdr:cNvGrpSpPr>
              </xdr:nvGrpSpPr>
              <xdr:grpSpPr bwMode="auto">
                <a:xfrm>
                  <a:off x="1904895" y="754676"/>
                  <a:ext cx="646538" cy="203093"/>
                  <a:chOff x="3868" y="3810"/>
                  <a:chExt cx="2793" cy="828"/>
                </a:xfrm>
              </xdr:grpSpPr>
              <xdr:sp macro="" textlink="">
                <xdr:nvSpPr>
                  <xdr:cNvPr id="59826879"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26880" name="Group 92"/>
                  <xdr:cNvGrpSpPr>
                    <a:grpSpLocks/>
                  </xdr:cNvGrpSpPr>
                </xdr:nvGrpSpPr>
                <xdr:grpSpPr bwMode="auto">
                  <a:xfrm rot="-900000">
                    <a:off x="4545" y="3810"/>
                    <a:ext cx="1221" cy="461"/>
                    <a:chOff x="4723" y="5578"/>
                    <a:chExt cx="1254" cy="456"/>
                  </a:xfrm>
                </xdr:grpSpPr>
                <xdr:sp macro="" textlink="">
                  <xdr:nvSpPr>
                    <xdr:cNvPr id="59826881"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26882"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26883"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26884"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309" name="Text Box 97"/>
                <xdr:cNvSpPr txBox="1">
                  <a:spLocks noChangeArrowheads="1"/>
                </xdr:cNvSpPr>
              </xdr:nvSpPr>
              <xdr:spPr bwMode="auto">
                <a:xfrm>
                  <a:off x="2054113" y="574446"/>
                  <a:ext cx="505233" cy="209535"/>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nl-NL" sz="900" b="0" i="0" u="none" strike="noStrike" baseline="0">
                      <a:solidFill>
                        <a:srgbClr val="000000"/>
                      </a:solidFill>
                      <a:latin typeface="Times New Roman"/>
                      <a:cs typeface="Times New Roman"/>
                    </a:rPr>
                    <a:t>  -3</a:t>
                  </a:r>
                </a:p>
                <a:p>
                  <a:pPr algn="l" rtl="0">
                    <a:lnSpc>
                      <a:spcPts val="800"/>
                    </a:lnSpc>
                    <a:defRPr sz="1000"/>
                  </a:pPr>
                  <a:endParaRPr lang="nl-NL" sz="900" b="0" i="0" u="none" strike="noStrike" baseline="0">
                    <a:solidFill>
                      <a:srgbClr val="000000"/>
                    </a:solidFill>
                    <a:latin typeface="Times New Roman"/>
                    <a:cs typeface="Times New Roman"/>
                  </a:endParaRPr>
                </a:p>
              </xdr:txBody>
            </xdr:sp>
          </xdr:grpSp>
        </xdr:grpSp>
        <xdr:grpSp>
          <xdr:nvGrpSpPr>
            <xdr:cNvPr id="59826850" name="Group 106"/>
            <xdr:cNvGrpSpPr>
              <a:grpSpLocks/>
            </xdr:cNvGrpSpPr>
          </xdr:nvGrpSpPr>
          <xdr:grpSpPr bwMode="auto">
            <a:xfrm>
              <a:off x="6181726" y="14517272"/>
              <a:ext cx="704850" cy="1375190"/>
              <a:chOff x="941" y="2969"/>
              <a:chExt cx="69" cy="138"/>
            </a:xfrm>
          </xdr:grpSpPr>
          <xdr:sp macro="" textlink="">
            <xdr:nvSpPr>
              <xdr:cNvPr id="59826863" name="Line 87"/>
              <xdr:cNvSpPr>
                <a:spLocks noChangeShapeType="1"/>
              </xdr:cNvSpPr>
            </xdr:nvSpPr>
            <xdr:spPr bwMode="auto">
              <a:xfrm flipH="1">
                <a:off x="974" y="3021"/>
                <a:ext cx="0" cy="86"/>
              </a:xfrm>
              <a:prstGeom prst="line">
                <a:avLst/>
              </a:prstGeom>
              <a:noFill/>
              <a:ln w="15875">
                <a:solidFill>
                  <a:srgbClr val="000000"/>
                </a:solidFill>
                <a:round/>
                <a:headEnd/>
                <a:tailEnd/>
              </a:ln>
            </xdr:spPr>
          </xdr:sp>
          <xdr:grpSp>
            <xdr:nvGrpSpPr>
              <xdr:cNvPr id="59826864" name="Group 88"/>
              <xdr:cNvGrpSpPr>
                <a:grpSpLocks/>
              </xdr:cNvGrpSpPr>
            </xdr:nvGrpSpPr>
            <xdr:grpSpPr bwMode="auto">
              <a:xfrm>
                <a:off x="941" y="2969"/>
                <a:ext cx="69" cy="56"/>
                <a:chOff x="1904895" y="419519"/>
                <a:chExt cx="652165" cy="538250"/>
              </a:xfrm>
            </xdr:grpSpPr>
            <xdr:sp macro="" textlink="">
              <xdr:nvSpPr>
                <xdr:cNvPr id="59826865"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26866" name="Group 90"/>
                <xdr:cNvGrpSpPr>
                  <a:grpSpLocks/>
                </xdr:cNvGrpSpPr>
              </xdr:nvGrpSpPr>
              <xdr:grpSpPr bwMode="auto">
                <a:xfrm>
                  <a:off x="1904895" y="754676"/>
                  <a:ext cx="646538" cy="203093"/>
                  <a:chOff x="3868" y="3810"/>
                  <a:chExt cx="2793" cy="828"/>
                </a:xfrm>
              </xdr:grpSpPr>
              <xdr:sp macro="" textlink="">
                <xdr:nvSpPr>
                  <xdr:cNvPr id="59826868"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26869" name="Group 92"/>
                  <xdr:cNvGrpSpPr>
                    <a:grpSpLocks/>
                  </xdr:cNvGrpSpPr>
                </xdr:nvGrpSpPr>
                <xdr:grpSpPr bwMode="auto">
                  <a:xfrm rot="-900000">
                    <a:off x="4547" y="3810"/>
                    <a:ext cx="1221" cy="461"/>
                    <a:chOff x="4723" y="5578"/>
                    <a:chExt cx="1254" cy="456"/>
                  </a:xfrm>
                </xdr:grpSpPr>
                <xdr:sp macro="" textlink="">
                  <xdr:nvSpPr>
                    <xdr:cNvPr id="59826870"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26871"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26872"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26873"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298" name="Text Box 97"/>
                <xdr:cNvSpPr txBox="1">
                  <a:spLocks noChangeArrowheads="1"/>
                </xdr:cNvSpPr>
              </xdr:nvSpPr>
              <xdr:spPr bwMode="auto">
                <a:xfrm>
                  <a:off x="2046997" y="570152"/>
                  <a:ext cx="513064" cy="254408"/>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nl-NL" sz="900" b="0" i="0" u="none" strike="noStrike" baseline="0">
                      <a:solidFill>
                        <a:srgbClr val="000000"/>
                      </a:solidFill>
                      <a:latin typeface="Times New Roman"/>
                      <a:cs typeface="Times New Roman"/>
                    </a:rPr>
                    <a:t> +2</a:t>
                  </a:r>
                </a:p>
                <a:p>
                  <a:pPr algn="l" rtl="0">
                    <a:lnSpc>
                      <a:spcPts val="800"/>
                    </a:lnSpc>
                    <a:defRPr sz="1000"/>
                  </a:pPr>
                  <a:endParaRPr lang="nl-NL" sz="900" b="0" i="0" u="none" strike="noStrike" baseline="0">
                    <a:solidFill>
                      <a:srgbClr val="000000"/>
                    </a:solidFill>
                    <a:latin typeface="Times New Roman"/>
                    <a:cs typeface="Times New Roman"/>
                  </a:endParaRPr>
                </a:p>
              </xdr:txBody>
            </xdr:sp>
          </xdr:grpSp>
        </xdr:grpSp>
        <xdr:grpSp>
          <xdr:nvGrpSpPr>
            <xdr:cNvPr id="59826851" name="Group 106"/>
            <xdr:cNvGrpSpPr>
              <a:grpSpLocks/>
            </xdr:cNvGrpSpPr>
          </xdr:nvGrpSpPr>
          <xdr:grpSpPr bwMode="auto">
            <a:xfrm>
              <a:off x="6743701" y="13906500"/>
              <a:ext cx="695325" cy="1355114"/>
              <a:chOff x="940" y="2969"/>
              <a:chExt cx="68" cy="136"/>
            </a:xfrm>
          </xdr:grpSpPr>
          <xdr:sp macro="" textlink="">
            <xdr:nvSpPr>
              <xdr:cNvPr id="59826852"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826853" name="Group 88"/>
              <xdr:cNvGrpSpPr>
                <a:grpSpLocks/>
              </xdr:cNvGrpSpPr>
            </xdr:nvGrpSpPr>
            <xdr:grpSpPr bwMode="auto">
              <a:xfrm>
                <a:off x="940" y="2969"/>
                <a:ext cx="68" cy="56"/>
                <a:chOff x="1904895" y="419519"/>
                <a:chExt cx="646538" cy="538250"/>
              </a:xfrm>
            </xdr:grpSpPr>
            <xdr:sp macro="" textlink="">
              <xdr:nvSpPr>
                <xdr:cNvPr id="59826854"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26855" name="Group 90"/>
                <xdr:cNvGrpSpPr>
                  <a:grpSpLocks/>
                </xdr:cNvGrpSpPr>
              </xdr:nvGrpSpPr>
              <xdr:grpSpPr bwMode="auto">
                <a:xfrm>
                  <a:off x="1904895" y="754676"/>
                  <a:ext cx="646538" cy="203093"/>
                  <a:chOff x="3868" y="3810"/>
                  <a:chExt cx="2793" cy="828"/>
                </a:xfrm>
              </xdr:grpSpPr>
              <xdr:sp macro="" textlink="">
                <xdr:nvSpPr>
                  <xdr:cNvPr id="59826857"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26858" name="Group 92"/>
                  <xdr:cNvGrpSpPr>
                    <a:grpSpLocks/>
                  </xdr:cNvGrpSpPr>
                </xdr:nvGrpSpPr>
                <xdr:grpSpPr bwMode="auto">
                  <a:xfrm rot="-900000">
                    <a:off x="4541" y="3810"/>
                    <a:ext cx="1221" cy="461"/>
                    <a:chOff x="4723" y="5578"/>
                    <a:chExt cx="1254" cy="456"/>
                  </a:xfrm>
                </xdr:grpSpPr>
                <xdr:sp macro="" textlink="">
                  <xdr:nvSpPr>
                    <xdr:cNvPr id="59826859"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26860"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26861"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26862"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287" name="Text Box 97"/>
                <xdr:cNvSpPr txBox="1">
                  <a:spLocks noChangeArrowheads="1"/>
                </xdr:cNvSpPr>
              </xdr:nvSpPr>
              <xdr:spPr bwMode="auto">
                <a:xfrm>
                  <a:off x="1930275" y="568147"/>
                  <a:ext cx="515605" cy="254435"/>
                </a:xfrm>
                <a:prstGeom prst="rect">
                  <a:avLst/>
                </a:prstGeom>
                <a:noFill/>
                <a:ln w="9525">
                  <a:noFill/>
                  <a:miter lim="800000"/>
                  <a:headEnd/>
                  <a:tailEnd/>
                </a:ln>
                <a:effectLst/>
              </xdr:spPr>
              <xdr:txBody>
                <a:bodyPr vertOverflow="clip" wrap="square" lIns="91440" tIns="45720" rIns="91440" bIns="45720" anchor="t" upright="1"/>
                <a:lstStyle/>
                <a:p>
                  <a:pPr algn="ctr" rtl="0">
                    <a:lnSpc>
                      <a:spcPts val="800"/>
                    </a:lnSpc>
                    <a:defRPr sz="1000"/>
                  </a:pPr>
                  <a:r>
                    <a:rPr lang="nl-NL" sz="900" b="0" i="0" u="none" strike="noStrike" baseline="0">
                      <a:solidFill>
                        <a:srgbClr val="000000"/>
                      </a:solidFill>
                      <a:latin typeface="Times New Roman"/>
                      <a:cs typeface="Times New Roman"/>
                    </a:rPr>
                    <a:t>  0</a:t>
                  </a:r>
                </a:p>
                <a:p>
                  <a:pPr algn="ctr" rtl="0">
                    <a:lnSpc>
                      <a:spcPts val="800"/>
                    </a:lnSpc>
                    <a:defRPr sz="1000"/>
                  </a:pPr>
                  <a:endParaRPr lang="nl-NL" sz="900" b="0" i="0" u="none" strike="noStrike" baseline="0">
                    <a:solidFill>
                      <a:srgbClr val="000000"/>
                    </a:solidFill>
                    <a:latin typeface="Times New Roman"/>
                    <a:cs typeface="Times New Roman"/>
                  </a:endParaRPr>
                </a:p>
              </xdr:txBody>
            </xdr:sp>
          </xdr:grpSp>
        </xdr:grpSp>
      </xdr:grpSp>
      <xdr:grpSp>
        <xdr:nvGrpSpPr>
          <xdr:cNvPr id="59826785" name="Groep 334"/>
          <xdr:cNvGrpSpPr>
            <a:grpSpLocks/>
          </xdr:cNvGrpSpPr>
        </xdr:nvGrpSpPr>
        <xdr:grpSpPr bwMode="auto">
          <a:xfrm>
            <a:off x="12087226" y="14544160"/>
            <a:ext cx="2794927" cy="2671568"/>
            <a:chOff x="3171825" y="14077435"/>
            <a:chExt cx="2794927" cy="2671568"/>
          </a:xfrm>
        </xdr:grpSpPr>
        <xdr:sp macro="" textlink="">
          <xdr:nvSpPr>
            <xdr:cNvPr id="336" name="Tekstvak 335"/>
            <xdr:cNvSpPr txBox="1"/>
          </xdr:nvSpPr>
          <xdr:spPr bwMode="auto">
            <a:xfrm>
              <a:off x="5265894" y="14076093"/>
              <a:ext cx="681257" cy="659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4000" b="1"/>
                <a:t>B</a:t>
              </a:r>
            </a:p>
          </xdr:txBody>
        </xdr:sp>
        <xdr:sp macro="" textlink="">
          <xdr:nvSpPr>
            <xdr:cNvPr id="59826799" name="Vrije vorm 336"/>
            <xdr:cNvSpPr>
              <a:spLocks/>
            </xdr:cNvSpPr>
          </xdr:nvSpPr>
          <xdr:spPr bwMode="auto">
            <a:xfrm>
              <a:off x="3657600" y="15212451"/>
              <a:ext cx="1685923" cy="1284849"/>
            </a:xfrm>
            <a:custGeom>
              <a:avLst/>
              <a:gdLst>
                <a:gd name="T0" fmla="*/ 0 w 1323975"/>
                <a:gd name="T1" fmla="*/ 1095502376 h 1235075"/>
                <a:gd name="T2" fmla="*/ 2147483647 w 1323975"/>
                <a:gd name="T3" fmla="*/ 354764725 h 1235075"/>
                <a:gd name="T4" fmla="*/ 2147483647 w 1323975"/>
                <a:gd name="T5" fmla="*/ 48248596 h 1235075"/>
                <a:gd name="T6" fmla="*/ 2147483647 w 1323975"/>
                <a:gd name="T7" fmla="*/ 65278956 h 1235075"/>
                <a:gd name="T8" fmla="*/ 2147483647 w 1323975"/>
                <a:gd name="T9" fmla="*/ 363279672 h 1235075"/>
                <a:gd name="T10" fmla="*/ 2147483647 w 1323975"/>
                <a:gd name="T11" fmla="*/ 1104017589 h 1235075"/>
                <a:gd name="T12" fmla="*/ 0 60000 65536"/>
                <a:gd name="T13" fmla="*/ 0 60000 65536"/>
                <a:gd name="T14" fmla="*/ 0 60000 65536"/>
                <a:gd name="T15" fmla="*/ 0 60000 65536"/>
                <a:gd name="T16" fmla="*/ 0 60000 65536"/>
                <a:gd name="T17" fmla="*/ 0 60000 65536"/>
                <a:gd name="T18" fmla="*/ 0 w 1323975"/>
                <a:gd name="T19" fmla="*/ 0 h 1235075"/>
                <a:gd name="T20" fmla="*/ 1323975 w 1323975"/>
                <a:gd name="T21" fmla="*/ 1235075 h 1235075"/>
              </a:gdLst>
              <a:ahLst/>
              <a:cxnLst>
                <a:cxn ang="T12">
                  <a:pos x="T0" y="T1"/>
                </a:cxn>
                <a:cxn ang="T13">
                  <a:pos x="T2" y="T3"/>
                </a:cxn>
                <a:cxn ang="T14">
                  <a:pos x="T4" y="T5"/>
                </a:cxn>
                <a:cxn ang="T15">
                  <a:pos x="T6" y="T7"/>
                </a:cxn>
                <a:cxn ang="T16">
                  <a:pos x="T8" y="T9"/>
                </a:cxn>
                <a:cxn ang="T17">
                  <a:pos x="T10" y="T11"/>
                </a:cxn>
              </a:cxnLst>
              <a:rect l="T18" t="T19" r="T20" b="T21"/>
              <a:pathLst>
                <a:path w="1323975" h="1235075">
                  <a:moveTo>
                    <a:pt x="0" y="1225550"/>
                  </a:moveTo>
                  <a:cubicBezTo>
                    <a:pt x="98425" y="908843"/>
                    <a:pt x="196850" y="592137"/>
                    <a:pt x="285750" y="396875"/>
                  </a:cubicBezTo>
                  <a:cubicBezTo>
                    <a:pt x="374650" y="201613"/>
                    <a:pt x="449262" y="107950"/>
                    <a:pt x="533400" y="53975"/>
                  </a:cubicBezTo>
                  <a:cubicBezTo>
                    <a:pt x="617538" y="0"/>
                    <a:pt x="706438" y="14288"/>
                    <a:pt x="790575" y="73025"/>
                  </a:cubicBezTo>
                  <a:cubicBezTo>
                    <a:pt x="874712" y="131762"/>
                    <a:pt x="949325" y="212725"/>
                    <a:pt x="1038225" y="406400"/>
                  </a:cubicBezTo>
                  <a:cubicBezTo>
                    <a:pt x="1127125" y="600075"/>
                    <a:pt x="1225550" y="917575"/>
                    <a:pt x="1323975" y="1235075"/>
                  </a:cubicBezTo>
                </a:path>
              </a:pathLst>
            </a:custGeom>
            <a:noFill/>
            <a:ln w="22225" cap="flat" cmpd="sng" algn="ctr">
              <a:solidFill>
                <a:srgbClr val="000000"/>
              </a:solidFill>
              <a:prstDash val="solid"/>
              <a:round/>
              <a:headEnd type="none" w="med" len="med"/>
              <a:tailEnd type="none" w="med" len="med"/>
            </a:ln>
          </xdr:spPr>
        </xdr:sp>
        <xdr:grpSp>
          <xdr:nvGrpSpPr>
            <xdr:cNvPr id="59826800" name="Groep 396"/>
            <xdr:cNvGrpSpPr>
              <a:grpSpLocks/>
            </xdr:cNvGrpSpPr>
          </xdr:nvGrpSpPr>
          <xdr:grpSpPr bwMode="auto">
            <a:xfrm>
              <a:off x="3171825" y="14668500"/>
              <a:ext cx="2590801" cy="2080503"/>
              <a:chOff x="3937362" y="27815578"/>
              <a:chExt cx="3077237" cy="2643575"/>
            </a:xfrm>
          </xdr:grpSpPr>
          <xdr:cxnSp macro="">
            <xdr:nvCxnSpPr>
              <xdr:cNvPr id="59826826" name="Rechte verbindingslijn 178"/>
              <xdr:cNvCxnSpPr>
                <a:cxnSpLocks noChangeShapeType="1"/>
              </xdr:cNvCxnSpPr>
            </xdr:nvCxnSpPr>
            <xdr:spPr bwMode="auto">
              <a:xfrm rot="5400000">
                <a:off x="3381375" y="29041729"/>
                <a:ext cx="2247901" cy="19050"/>
              </a:xfrm>
              <a:prstGeom prst="line">
                <a:avLst/>
              </a:prstGeom>
              <a:noFill/>
              <a:ln w="34925" algn="ctr">
                <a:solidFill>
                  <a:srgbClr val="000000"/>
                </a:solidFill>
                <a:round/>
                <a:headEnd/>
                <a:tailEnd/>
              </a:ln>
            </xdr:spPr>
          </xdr:cxnSp>
          <xdr:cxnSp macro="">
            <xdr:nvCxnSpPr>
              <xdr:cNvPr id="59826827" name="Rechte verbindingslijn 179"/>
              <xdr:cNvCxnSpPr>
                <a:cxnSpLocks noChangeShapeType="1"/>
              </xdr:cNvCxnSpPr>
            </xdr:nvCxnSpPr>
            <xdr:spPr bwMode="auto">
              <a:xfrm rot="10800000">
                <a:off x="4505325" y="30165676"/>
                <a:ext cx="2019301" cy="0"/>
              </a:xfrm>
              <a:prstGeom prst="line">
                <a:avLst/>
              </a:prstGeom>
              <a:noFill/>
              <a:ln w="34925" algn="ctr">
                <a:solidFill>
                  <a:srgbClr val="000000"/>
                </a:solidFill>
                <a:round/>
                <a:headEnd/>
                <a:tailEnd/>
              </a:ln>
            </xdr:spPr>
          </xdr:cxnSp>
          <xdr:sp macro="" textlink="">
            <xdr:nvSpPr>
              <xdr:cNvPr id="366" name="Tekstvak 365"/>
              <xdr:cNvSpPr txBox="1"/>
            </xdr:nvSpPr>
            <xdr:spPr bwMode="auto">
              <a:xfrm>
                <a:off x="6396375" y="30158064"/>
                <a:ext cx="9409" cy="305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Q</a:t>
                </a:r>
              </a:p>
            </xdr:txBody>
          </xdr:sp>
          <xdr:sp macro="" textlink="">
            <xdr:nvSpPr>
              <xdr:cNvPr id="367" name="Tekstvak 366"/>
              <xdr:cNvSpPr txBox="1"/>
            </xdr:nvSpPr>
            <xdr:spPr bwMode="auto">
              <a:xfrm>
                <a:off x="3950058" y="29251183"/>
                <a:ext cx="602170" cy="315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€ 2</a:t>
                </a:r>
              </a:p>
            </xdr:txBody>
          </xdr:sp>
          <xdr:sp macro="" textlink="">
            <xdr:nvSpPr>
              <xdr:cNvPr id="368" name="Tekstvak 367"/>
              <xdr:cNvSpPr txBox="1"/>
            </xdr:nvSpPr>
            <xdr:spPr bwMode="auto">
              <a:xfrm>
                <a:off x="3940649" y="28531594"/>
                <a:ext cx="630397" cy="305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€ 4</a:t>
                </a:r>
              </a:p>
            </xdr:txBody>
          </xdr:sp>
          <xdr:sp macro="" textlink="">
            <xdr:nvSpPr>
              <xdr:cNvPr id="369" name="Tekstvak 368"/>
              <xdr:cNvSpPr txBox="1"/>
            </xdr:nvSpPr>
            <xdr:spPr bwMode="auto">
              <a:xfrm>
                <a:off x="3950058" y="27812004"/>
                <a:ext cx="611579" cy="305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€ 6</a:t>
                </a:r>
              </a:p>
            </xdr:txBody>
          </xdr:sp>
          <xdr:sp macro="" textlink="">
            <xdr:nvSpPr>
              <xdr:cNvPr id="370" name="Tekstvak 369"/>
              <xdr:cNvSpPr txBox="1"/>
            </xdr:nvSpPr>
            <xdr:spPr bwMode="auto">
              <a:xfrm>
                <a:off x="5116763" y="30148206"/>
                <a:ext cx="376357" cy="315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400" b="1"/>
                  <a:t>2</a:t>
                </a:r>
              </a:p>
            </xdr:txBody>
          </xdr:sp>
          <xdr:sp macro="" textlink="">
            <xdr:nvSpPr>
              <xdr:cNvPr id="371" name="Tekstvak 370"/>
              <xdr:cNvSpPr txBox="1"/>
            </xdr:nvSpPr>
            <xdr:spPr>
              <a:xfrm>
                <a:off x="4241734" y="30118634"/>
                <a:ext cx="423401" cy="305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400" b="1"/>
                  <a:t>0</a:t>
                </a:r>
              </a:p>
            </xdr:txBody>
          </xdr:sp>
          <xdr:cxnSp macro="">
            <xdr:nvCxnSpPr>
              <xdr:cNvPr id="59826834" name="Rechte verbindingslijn 410"/>
              <xdr:cNvCxnSpPr>
                <a:cxnSpLocks noChangeShapeType="1"/>
              </xdr:cNvCxnSpPr>
            </xdr:nvCxnSpPr>
            <xdr:spPr bwMode="auto">
              <a:xfrm rot="5400000">
                <a:off x="3785588" y="29041724"/>
                <a:ext cx="2228847" cy="4"/>
              </a:xfrm>
              <a:prstGeom prst="line">
                <a:avLst/>
              </a:prstGeom>
              <a:noFill/>
              <a:ln w="9525" algn="ctr">
                <a:solidFill>
                  <a:srgbClr val="000000"/>
                </a:solidFill>
                <a:round/>
                <a:headEnd/>
                <a:tailEnd/>
              </a:ln>
            </xdr:spPr>
          </xdr:cxnSp>
          <xdr:cxnSp macro="">
            <xdr:nvCxnSpPr>
              <xdr:cNvPr id="59826835" name="Rechte verbindingslijn 411"/>
              <xdr:cNvCxnSpPr>
                <a:cxnSpLocks noChangeShapeType="1"/>
              </xdr:cNvCxnSpPr>
            </xdr:nvCxnSpPr>
            <xdr:spPr bwMode="auto">
              <a:xfrm rot="5400000">
                <a:off x="4177901" y="29041724"/>
                <a:ext cx="2228847" cy="4"/>
              </a:xfrm>
              <a:prstGeom prst="line">
                <a:avLst/>
              </a:prstGeom>
              <a:noFill/>
              <a:ln w="9525" algn="ctr">
                <a:solidFill>
                  <a:srgbClr val="000000"/>
                </a:solidFill>
                <a:round/>
                <a:headEnd/>
                <a:tailEnd/>
              </a:ln>
            </xdr:spPr>
          </xdr:cxnSp>
          <xdr:cxnSp macro="">
            <xdr:nvCxnSpPr>
              <xdr:cNvPr id="59826836" name="Rechte verbindingslijn 412"/>
              <xdr:cNvCxnSpPr>
                <a:cxnSpLocks noChangeShapeType="1"/>
              </xdr:cNvCxnSpPr>
            </xdr:nvCxnSpPr>
            <xdr:spPr bwMode="auto">
              <a:xfrm rot="5400000">
                <a:off x="4579740" y="29053828"/>
                <a:ext cx="2228849" cy="4"/>
              </a:xfrm>
              <a:prstGeom prst="line">
                <a:avLst/>
              </a:prstGeom>
              <a:noFill/>
              <a:ln w="9525" algn="ctr">
                <a:solidFill>
                  <a:srgbClr val="000000"/>
                </a:solidFill>
                <a:round/>
                <a:headEnd/>
                <a:tailEnd/>
              </a:ln>
            </xdr:spPr>
          </xdr:cxnSp>
          <xdr:cxnSp macro="">
            <xdr:nvCxnSpPr>
              <xdr:cNvPr id="59826837" name="Rechte verbindingslijn 413"/>
              <xdr:cNvCxnSpPr>
                <a:cxnSpLocks noChangeShapeType="1"/>
              </xdr:cNvCxnSpPr>
            </xdr:nvCxnSpPr>
            <xdr:spPr bwMode="auto">
              <a:xfrm rot="5400000">
                <a:off x="4970264" y="29041725"/>
                <a:ext cx="2228849" cy="4"/>
              </a:xfrm>
              <a:prstGeom prst="line">
                <a:avLst/>
              </a:prstGeom>
              <a:noFill/>
              <a:ln w="9525" algn="ctr">
                <a:solidFill>
                  <a:srgbClr val="000000"/>
                </a:solidFill>
                <a:round/>
                <a:headEnd/>
                <a:tailEnd/>
              </a:ln>
            </xdr:spPr>
          </xdr:cxnSp>
          <xdr:cxnSp macro="">
            <xdr:nvCxnSpPr>
              <xdr:cNvPr id="59826838" name="Rechte verbindingslijn 414"/>
              <xdr:cNvCxnSpPr>
                <a:cxnSpLocks noChangeShapeType="1"/>
              </xdr:cNvCxnSpPr>
            </xdr:nvCxnSpPr>
            <xdr:spPr bwMode="auto">
              <a:xfrm rot="5400000">
                <a:off x="5381628" y="29041724"/>
                <a:ext cx="2228848" cy="4"/>
              </a:xfrm>
              <a:prstGeom prst="line">
                <a:avLst/>
              </a:prstGeom>
              <a:noFill/>
              <a:ln w="9525" algn="ctr">
                <a:solidFill>
                  <a:srgbClr val="000000"/>
                </a:solidFill>
                <a:round/>
                <a:headEnd/>
                <a:tailEnd/>
              </a:ln>
            </xdr:spPr>
          </xdr:cxnSp>
          <xdr:cxnSp macro="">
            <xdr:nvCxnSpPr>
              <xdr:cNvPr id="59826839" name="Rechte verbindingslijn 415"/>
              <xdr:cNvCxnSpPr>
                <a:cxnSpLocks noChangeShapeType="1"/>
              </xdr:cNvCxnSpPr>
            </xdr:nvCxnSpPr>
            <xdr:spPr bwMode="auto">
              <a:xfrm>
                <a:off x="4514853" y="29794199"/>
                <a:ext cx="1981197" cy="1"/>
              </a:xfrm>
              <a:prstGeom prst="line">
                <a:avLst/>
              </a:prstGeom>
              <a:noFill/>
              <a:ln w="9525" algn="ctr">
                <a:solidFill>
                  <a:srgbClr val="000000"/>
                </a:solidFill>
                <a:round/>
                <a:headEnd/>
                <a:tailEnd/>
              </a:ln>
            </xdr:spPr>
          </xdr:cxnSp>
          <xdr:cxnSp macro="">
            <xdr:nvCxnSpPr>
              <xdr:cNvPr id="59826840" name="Rechte verbindingslijn 416"/>
              <xdr:cNvCxnSpPr>
                <a:cxnSpLocks noChangeShapeType="1"/>
              </xdr:cNvCxnSpPr>
            </xdr:nvCxnSpPr>
            <xdr:spPr bwMode="auto">
              <a:xfrm>
                <a:off x="4514853" y="29422724"/>
                <a:ext cx="1981197" cy="1"/>
              </a:xfrm>
              <a:prstGeom prst="line">
                <a:avLst/>
              </a:prstGeom>
              <a:noFill/>
              <a:ln w="9525" algn="ctr">
                <a:solidFill>
                  <a:srgbClr val="000000"/>
                </a:solidFill>
                <a:round/>
                <a:headEnd/>
                <a:tailEnd/>
              </a:ln>
            </xdr:spPr>
          </xdr:cxnSp>
          <xdr:cxnSp macro="">
            <xdr:nvCxnSpPr>
              <xdr:cNvPr id="59826841" name="Rechte verbindingslijn 417"/>
              <xdr:cNvCxnSpPr>
                <a:cxnSpLocks noChangeShapeType="1"/>
              </xdr:cNvCxnSpPr>
            </xdr:nvCxnSpPr>
            <xdr:spPr bwMode="auto">
              <a:xfrm>
                <a:off x="4514853" y="29051249"/>
                <a:ext cx="1981197" cy="1"/>
              </a:xfrm>
              <a:prstGeom prst="line">
                <a:avLst/>
              </a:prstGeom>
              <a:noFill/>
              <a:ln w="9525" algn="ctr">
                <a:solidFill>
                  <a:srgbClr val="000000"/>
                </a:solidFill>
                <a:round/>
                <a:headEnd/>
                <a:tailEnd/>
              </a:ln>
            </xdr:spPr>
          </xdr:cxnSp>
          <xdr:cxnSp macro="">
            <xdr:nvCxnSpPr>
              <xdr:cNvPr id="59826842" name="Rechte verbindingslijn 418"/>
              <xdr:cNvCxnSpPr>
                <a:cxnSpLocks noChangeShapeType="1"/>
              </xdr:cNvCxnSpPr>
            </xdr:nvCxnSpPr>
            <xdr:spPr bwMode="auto">
              <a:xfrm>
                <a:off x="4514853" y="28670249"/>
                <a:ext cx="1981197" cy="1"/>
              </a:xfrm>
              <a:prstGeom prst="line">
                <a:avLst/>
              </a:prstGeom>
              <a:noFill/>
              <a:ln w="9525" algn="ctr">
                <a:solidFill>
                  <a:srgbClr val="000000"/>
                </a:solidFill>
                <a:round/>
                <a:headEnd/>
                <a:tailEnd/>
              </a:ln>
            </xdr:spPr>
          </xdr:cxnSp>
          <xdr:cxnSp macro="">
            <xdr:nvCxnSpPr>
              <xdr:cNvPr id="59826843" name="Rechte verbindingslijn 419"/>
              <xdr:cNvCxnSpPr>
                <a:cxnSpLocks noChangeShapeType="1"/>
              </xdr:cNvCxnSpPr>
            </xdr:nvCxnSpPr>
            <xdr:spPr bwMode="auto">
              <a:xfrm>
                <a:off x="4514853" y="28308299"/>
                <a:ext cx="1981197" cy="1"/>
              </a:xfrm>
              <a:prstGeom prst="line">
                <a:avLst/>
              </a:prstGeom>
              <a:noFill/>
              <a:ln w="9525" algn="ctr">
                <a:solidFill>
                  <a:srgbClr val="000000"/>
                </a:solidFill>
                <a:round/>
                <a:headEnd/>
                <a:tailEnd/>
              </a:ln>
            </xdr:spPr>
          </xdr:cxnSp>
          <xdr:cxnSp macro="">
            <xdr:nvCxnSpPr>
              <xdr:cNvPr id="59826844" name="Rechte verbindingslijn 420"/>
              <xdr:cNvCxnSpPr>
                <a:cxnSpLocks noChangeShapeType="1"/>
              </xdr:cNvCxnSpPr>
            </xdr:nvCxnSpPr>
            <xdr:spPr bwMode="auto">
              <a:xfrm>
                <a:off x="4514853" y="27927299"/>
                <a:ext cx="1981197" cy="1"/>
              </a:xfrm>
              <a:prstGeom prst="line">
                <a:avLst/>
              </a:prstGeom>
              <a:noFill/>
              <a:ln w="9525" algn="ctr">
                <a:solidFill>
                  <a:srgbClr val="000000"/>
                </a:solidFill>
                <a:round/>
                <a:headEnd/>
                <a:tailEnd/>
              </a:ln>
            </xdr:spPr>
          </xdr:cxnSp>
        </xdr:grpSp>
        <xdr:sp macro="" textlink="">
          <xdr:nvSpPr>
            <xdr:cNvPr id="339" name="Tekstvak 338"/>
            <xdr:cNvSpPr txBox="1"/>
          </xdr:nvSpPr>
          <xdr:spPr bwMode="auto">
            <a:xfrm>
              <a:off x="4798519" y="16504287"/>
              <a:ext cx="324785" cy="248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nl-NL" sz="1400" b="1"/>
                <a:t>4</a:t>
              </a:r>
            </a:p>
          </xdr:txBody>
        </xdr:sp>
        <xdr:grpSp>
          <xdr:nvGrpSpPr>
            <xdr:cNvPr id="59826802" name="Group 106"/>
            <xdr:cNvGrpSpPr>
              <a:grpSpLocks/>
            </xdr:cNvGrpSpPr>
          </xdr:nvGrpSpPr>
          <xdr:grpSpPr bwMode="auto">
            <a:xfrm>
              <a:off x="4829176" y="14718763"/>
              <a:ext cx="695325" cy="1355114"/>
              <a:chOff x="940" y="2969"/>
              <a:chExt cx="68" cy="136"/>
            </a:xfrm>
          </xdr:grpSpPr>
          <xdr:sp macro="" textlink="">
            <xdr:nvSpPr>
              <xdr:cNvPr id="59826815"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826816" name="Group 88"/>
              <xdr:cNvGrpSpPr>
                <a:grpSpLocks/>
              </xdr:cNvGrpSpPr>
            </xdr:nvGrpSpPr>
            <xdr:grpSpPr bwMode="auto">
              <a:xfrm>
                <a:off x="941" y="2969"/>
                <a:ext cx="69" cy="56"/>
                <a:chOff x="1904895" y="419519"/>
                <a:chExt cx="652165" cy="538250"/>
              </a:xfrm>
            </xdr:grpSpPr>
            <xdr:sp macro="" textlink="">
              <xdr:nvSpPr>
                <xdr:cNvPr id="59826817"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26818" name="Group 90"/>
                <xdr:cNvGrpSpPr>
                  <a:grpSpLocks/>
                </xdr:cNvGrpSpPr>
              </xdr:nvGrpSpPr>
              <xdr:grpSpPr bwMode="auto">
                <a:xfrm>
                  <a:off x="1904895" y="754676"/>
                  <a:ext cx="646538" cy="203093"/>
                  <a:chOff x="3868" y="3810"/>
                  <a:chExt cx="2793" cy="828"/>
                </a:xfrm>
              </xdr:grpSpPr>
              <xdr:sp macro="" textlink="">
                <xdr:nvSpPr>
                  <xdr:cNvPr id="59826820"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26821" name="Group 92"/>
                  <xdr:cNvGrpSpPr>
                    <a:grpSpLocks/>
                  </xdr:cNvGrpSpPr>
                </xdr:nvGrpSpPr>
                <xdr:grpSpPr bwMode="auto">
                  <a:xfrm rot="-900000">
                    <a:off x="4545" y="3810"/>
                    <a:ext cx="1221" cy="461"/>
                    <a:chOff x="4723" y="5578"/>
                    <a:chExt cx="1254" cy="456"/>
                  </a:xfrm>
                </xdr:grpSpPr>
                <xdr:sp macro="" textlink="">
                  <xdr:nvSpPr>
                    <xdr:cNvPr id="59826822"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26823"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26824"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26825"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357" name="Text Box 97"/>
                <xdr:cNvSpPr txBox="1">
                  <a:spLocks noChangeArrowheads="1"/>
                </xdr:cNvSpPr>
              </xdr:nvSpPr>
              <xdr:spPr bwMode="auto">
                <a:xfrm>
                  <a:off x="2042840" y="577855"/>
                  <a:ext cx="512555" cy="209535"/>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nl-NL" sz="900" b="0" i="0" u="none" strike="noStrike" baseline="0">
                      <a:solidFill>
                        <a:srgbClr val="000000"/>
                      </a:solidFill>
                      <a:latin typeface="Times New Roman"/>
                      <a:cs typeface="Times New Roman"/>
                    </a:rPr>
                    <a:t>+ 3</a:t>
                  </a:r>
                </a:p>
                <a:p>
                  <a:pPr algn="l" rtl="0">
                    <a:lnSpc>
                      <a:spcPts val="800"/>
                    </a:lnSpc>
                    <a:defRPr sz="1000"/>
                  </a:pPr>
                  <a:endParaRPr lang="nl-NL" sz="900" b="0" i="0" u="none" strike="noStrike" baseline="0">
                    <a:solidFill>
                      <a:srgbClr val="000000"/>
                    </a:solidFill>
                    <a:latin typeface="Times New Roman"/>
                    <a:cs typeface="Times New Roman"/>
                  </a:endParaRPr>
                </a:p>
              </xdr:txBody>
            </xdr:sp>
          </xdr:grpSp>
        </xdr:grpSp>
        <xdr:grpSp>
          <xdr:nvGrpSpPr>
            <xdr:cNvPr id="59826803" name="Group 106"/>
            <xdr:cNvGrpSpPr>
              <a:grpSpLocks/>
            </xdr:cNvGrpSpPr>
          </xdr:nvGrpSpPr>
          <xdr:grpSpPr bwMode="auto">
            <a:xfrm>
              <a:off x="3571876" y="14498222"/>
              <a:ext cx="704850" cy="1375190"/>
              <a:chOff x="941" y="2969"/>
              <a:chExt cx="69" cy="138"/>
            </a:xfrm>
          </xdr:grpSpPr>
          <xdr:sp macro="" textlink="">
            <xdr:nvSpPr>
              <xdr:cNvPr id="59826804" name="Line 87"/>
              <xdr:cNvSpPr>
                <a:spLocks noChangeShapeType="1"/>
              </xdr:cNvSpPr>
            </xdr:nvSpPr>
            <xdr:spPr bwMode="auto">
              <a:xfrm flipH="1">
                <a:off x="974" y="3021"/>
                <a:ext cx="0" cy="86"/>
              </a:xfrm>
              <a:prstGeom prst="line">
                <a:avLst/>
              </a:prstGeom>
              <a:noFill/>
              <a:ln w="15875">
                <a:solidFill>
                  <a:srgbClr val="000000"/>
                </a:solidFill>
                <a:round/>
                <a:headEnd/>
                <a:tailEnd/>
              </a:ln>
            </xdr:spPr>
          </xdr:sp>
          <xdr:grpSp>
            <xdr:nvGrpSpPr>
              <xdr:cNvPr id="59826805" name="Group 88"/>
              <xdr:cNvGrpSpPr>
                <a:grpSpLocks/>
              </xdr:cNvGrpSpPr>
            </xdr:nvGrpSpPr>
            <xdr:grpSpPr bwMode="auto">
              <a:xfrm>
                <a:off x="941" y="2969"/>
                <a:ext cx="69" cy="56"/>
                <a:chOff x="1904895" y="419519"/>
                <a:chExt cx="652165" cy="538250"/>
              </a:xfrm>
            </xdr:grpSpPr>
            <xdr:sp macro="" textlink="">
              <xdr:nvSpPr>
                <xdr:cNvPr id="59826806"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26807" name="Group 90"/>
                <xdr:cNvGrpSpPr>
                  <a:grpSpLocks/>
                </xdr:cNvGrpSpPr>
              </xdr:nvGrpSpPr>
              <xdr:grpSpPr bwMode="auto">
                <a:xfrm>
                  <a:off x="1904895" y="754676"/>
                  <a:ext cx="646538" cy="203093"/>
                  <a:chOff x="3868" y="3810"/>
                  <a:chExt cx="2793" cy="828"/>
                </a:xfrm>
              </xdr:grpSpPr>
              <xdr:sp macro="" textlink="">
                <xdr:nvSpPr>
                  <xdr:cNvPr id="59826809"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26810" name="Group 92"/>
                  <xdr:cNvGrpSpPr>
                    <a:grpSpLocks/>
                  </xdr:cNvGrpSpPr>
                </xdr:nvGrpSpPr>
                <xdr:grpSpPr bwMode="auto">
                  <a:xfrm rot="-900000">
                    <a:off x="4547" y="3810"/>
                    <a:ext cx="1221" cy="461"/>
                    <a:chOff x="4723" y="5578"/>
                    <a:chExt cx="1254" cy="456"/>
                  </a:xfrm>
                </xdr:grpSpPr>
                <xdr:sp macro="" textlink="">
                  <xdr:nvSpPr>
                    <xdr:cNvPr id="59826811"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26812"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26813"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26814"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346" name="Text Box 97"/>
                <xdr:cNvSpPr txBox="1">
                  <a:spLocks noChangeArrowheads="1"/>
                </xdr:cNvSpPr>
              </xdr:nvSpPr>
              <xdr:spPr bwMode="auto">
                <a:xfrm>
                  <a:off x="2043041" y="566077"/>
                  <a:ext cx="513064" cy="254408"/>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nl-NL" sz="900" b="0" i="0" u="none" strike="noStrike" baseline="0">
                      <a:solidFill>
                        <a:srgbClr val="000000"/>
                      </a:solidFill>
                      <a:latin typeface="Times New Roman"/>
                      <a:cs typeface="Times New Roman"/>
                    </a:rPr>
                    <a:t>  -2</a:t>
                  </a:r>
                </a:p>
                <a:p>
                  <a:pPr algn="l" rtl="0">
                    <a:lnSpc>
                      <a:spcPts val="800"/>
                    </a:lnSpc>
                    <a:defRPr sz="1000"/>
                  </a:pPr>
                  <a:endParaRPr lang="nl-NL" sz="900" b="0" i="0" u="none" strike="noStrike" baseline="0">
                    <a:solidFill>
                      <a:srgbClr val="000000"/>
                    </a:solidFill>
                    <a:latin typeface="Times New Roman"/>
                    <a:cs typeface="Times New Roman"/>
                  </a:endParaRPr>
                </a:p>
              </xdr:txBody>
            </xdr:sp>
          </xdr:grpSp>
        </xdr:grpSp>
      </xdr:grpSp>
      <xdr:grpSp>
        <xdr:nvGrpSpPr>
          <xdr:cNvPr id="59826786" name="Group 106"/>
          <xdr:cNvGrpSpPr>
            <a:grpSpLocks/>
          </xdr:cNvGrpSpPr>
        </xdr:nvGrpSpPr>
        <xdr:grpSpPr bwMode="auto">
          <a:xfrm>
            <a:off x="13049252" y="14354175"/>
            <a:ext cx="695325" cy="1355114"/>
            <a:chOff x="940" y="2969"/>
            <a:chExt cx="68" cy="136"/>
          </a:xfrm>
        </xdr:grpSpPr>
        <xdr:sp macro="" textlink="">
          <xdr:nvSpPr>
            <xdr:cNvPr id="59826787" name="Line 87"/>
            <xdr:cNvSpPr>
              <a:spLocks noChangeShapeType="1"/>
            </xdr:cNvSpPr>
          </xdr:nvSpPr>
          <xdr:spPr bwMode="auto">
            <a:xfrm flipH="1">
              <a:off x="974" y="3025"/>
              <a:ext cx="0" cy="80"/>
            </a:xfrm>
            <a:prstGeom prst="line">
              <a:avLst/>
            </a:prstGeom>
            <a:noFill/>
            <a:ln w="15875">
              <a:solidFill>
                <a:srgbClr val="000000"/>
              </a:solidFill>
              <a:round/>
              <a:headEnd/>
              <a:tailEnd/>
            </a:ln>
          </xdr:spPr>
        </xdr:sp>
        <xdr:grpSp>
          <xdr:nvGrpSpPr>
            <xdr:cNvPr id="59826788" name="Group 88"/>
            <xdr:cNvGrpSpPr>
              <a:grpSpLocks/>
            </xdr:cNvGrpSpPr>
          </xdr:nvGrpSpPr>
          <xdr:grpSpPr bwMode="auto">
            <a:xfrm>
              <a:off x="941" y="2969"/>
              <a:ext cx="69" cy="56"/>
              <a:chOff x="1904895" y="419519"/>
              <a:chExt cx="652165" cy="538250"/>
            </a:xfrm>
          </xdr:grpSpPr>
          <xdr:sp macro="" textlink="">
            <xdr:nvSpPr>
              <xdr:cNvPr id="59826789" name="AutoShape 89"/>
              <xdr:cNvSpPr>
                <a:spLocks noChangeArrowheads="1"/>
              </xdr:cNvSpPr>
            </xdr:nvSpPr>
            <xdr:spPr bwMode="auto">
              <a:xfrm>
                <a:off x="1904895" y="419519"/>
                <a:ext cx="644224" cy="537653"/>
              </a:xfrm>
              <a:prstGeom prst="triangle">
                <a:avLst>
                  <a:gd name="adj" fmla="val 50000"/>
                </a:avLst>
              </a:prstGeom>
              <a:solidFill>
                <a:srgbClr val="FFFFFF"/>
              </a:solidFill>
              <a:ln w="9525">
                <a:solidFill>
                  <a:srgbClr val="000000"/>
                </a:solidFill>
                <a:miter lim="800000"/>
                <a:headEnd/>
                <a:tailEnd/>
              </a:ln>
            </xdr:spPr>
          </xdr:sp>
          <xdr:grpSp>
            <xdr:nvGrpSpPr>
              <xdr:cNvPr id="59826790" name="Group 90"/>
              <xdr:cNvGrpSpPr>
                <a:grpSpLocks/>
              </xdr:cNvGrpSpPr>
            </xdr:nvGrpSpPr>
            <xdr:grpSpPr bwMode="auto">
              <a:xfrm>
                <a:off x="1904895" y="754676"/>
                <a:ext cx="646538" cy="203093"/>
                <a:chOff x="3868" y="3810"/>
                <a:chExt cx="2793" cy="828"/>
              </a:xfrm>
            </xdr:grpSpPr>
            <xdr:sp macro="" textlink="">
              <xdr:nvSpPr>
                <xdr:cNvPr id="59826792" name="AutoShape 91"/>
                <xdr:cNvSpPr>
                  <a:spLocks noChangeArrowheads="1"/>
                </xdr:cNvSpPr>
              </xdr:nvSpPr>
              <xdr:spPr bwMode="auto">
                <a:xfrm>
                  <a:off x="3868" y="4004"/>
                  <a:ext cx="2793" cy="634"/>
                </a:xfrm>
                <a:prstGeom prst="triangle">
                  <a:avLst>
                    <a:gd name="adj" fmla="val 84616"/>
                  </a:avLst>
                </a:prstGeom>
                <a:solidFill>
                  <a:srgbClr val="000000"/>
                </a:solidFill>
                <a:ln w="9525">
                  <a:solidFill>
                    <a:srgbClr val="000000"/>
                  </a:solidFill>
                  <a:miter lim="800000"/>
                  <a:headEnd/>
                  <a:tailEnd/>
                </a:ln>
              </xdr:spPr>
            </xdr:sp>
            <xdr:grpSp>
              <xdr:nvGrpSpPr>
                <xdr:cNvPr id="59826793" name="Group 92"/>
                <xdr:cNvGrpSpPr>
                  <a:grpSpLocks/>
                </xdr:cNvGrpSpPr>
              </xdr:nvGrpSpPr>
              <xdr:grpSpPr bwMode="auto">
                <a:xfrm rot="-900000">
                  <a:off x="4541" y="3810"/>
                  <a:ext cx="1221" cy="461"/>
                  <a:chOff x="4723" y="5578"/>
                  <a:chExt cx="1254" cy="456"/>
                </a:xfrm>
              </xdr:grpSpPr>
              <xdr:sp macro="" textlink="">
                <xdr:nvSpPr>
                  <xdr:cNvPr id="59826794" name="AutoShape 93"/>
                  <xdr:cNvSpPr>
                    <a:spLocks noChangeArrowheads="1"/>
                  </xdr:cNvSpPr>
                </xdr:nvSpPr>
                <xdr:spPr bwMode="auto">
                  <a:xfrm flipV="1">
                    <a:off x="4880" y="5578"/>
                    <a:ext cx="784" cy="182"/>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3554 w 21600"/>
                      <a:gd name="T13" fmla="*/ 3560 h 21600"/>
                      <a:gd name="T14" fmla="*/ 18046 w 21600"/>
                      <a:gd name="T15" fmla="*/ 18040 h 21600"/>
                    </a:gdLst>
                    <a:ahLst/>
                    <a:cxnLst>
                      <a:cxn ang="T8">
                        <a:pos x="T0" y="T1"/>
                      </a:cxn>
                      <a:cxn ang="T9">
                        <a:pos x="T2" y="T3"/>
                      </a:cxn>
                      <a:cxn ang="T10">
                        <a:pos x="T4" y="T5"/>
                      </a:cxn>
                      <a:cxn ang="T11">
                        <a:pos x="T6" y="T7"/>
                      </a:cxn>
                    </a:cxnLst>
                    <a:rect l="T12" t="T13" r="T14" b="T15"/>
                    <a:pathLst>
                      <a:path w="21600" h="21600">
                        <a:moveTo>
                          <a:pt x="0" y="0"/>
                        </a:moveTo>
                        <a:lnTo>
                          <a:pt x="3486" y="21600"/>
                        </a:lnTo>
                        <a:lnTo>
                          <a:pt x="18114" y="21600"/>
                        </a:lnTo>
                        <a:lnTo>
                          <a:pt x="21600" y="0"/>
                        </a:lnTo>
                        <a:lnTo>
                          <a:pt x="0" y="0"/>
                        </a:lnTo>
                        <a:close/>
                      </a:path>
                    </a:pathLst>
                  </a:custGeom>
                  <a:solidFill>
                    <a:srgbClr val="000000"/>
                  </a:solidFill>
                  <a:ln w="9525">
                    <a:solidFill>
                      <a:srgbClr val="000000"/>
                    </a:solidFill>
                    <a:miter lim="800000"/>
                    <a:headEnd/>
                    <a:tailEnd/>
                  </a:ln>
                </xdr:spPr>
              </xdr:sp>
              <xdr:sp macro="" textlink="">
                <xdr:nvSpPr>
                  <xdr:cNvPr id="59826795" name="Oval 94"/>
                  <xdr:cNvSpPr>
                    <a:spLocks noChangeArrowheads="1"/>
                  </xdr:cNvSpPr>
                </xdr:nvSpPr>
                <xdr:spPr bwMode="auto">
                  <a:xfrm>
                    <a:off x="4828" y="5852"/>
                    <a:ext cx="209" cy="182"/>
                  </a:xfrm>
                  <a:prstGeom prst="ellipse">
                    <a:avLst/>
                  </a:prstGeom>
                  <a:solidFill>
                    <a:srgbClr val="000000"/>
                  </a:solidFill>
                  <a:ln w="9525">
                    <a:solidFill>
                      <a:srgbClr val="000000"/>
                    </a:solidFill>
                    <a:round/>
                    <a:headEnd/>
                    <a:tailEnd/>
                  </a:ln>
                </xdr:spPr>
              </xdr:sp>
              <xdr:sp macro="" textlink="">
                <xdr:nvSpPr>
                  <xdr:cNvPr id="59826796" name="Oval 95"/>
                  <xdr:cNvSpPr>
                    <a:spLocks noChangeArrowheads="1"/>
                  </xdr:cNvSpPr>
                </xdr:nvSpPr>
                <xdr:spPr bwMode="auto">
                  <a:xfrm>
                    <a:off x="5611" y="5852"/>
                    <a:ext cx="209" cy="182"/>
                  </a:xfrm>
                  <a:prstGeom prst="ellipse">
                    <a:avLst/>
                  </a:prstGeom>
                  <a:solidFill>
                    <a:srgbClr val="000000"/>
                  </a:solidFill>
                  <a:ln w="9525">
                    <a:solidFill>
                      <a:srgbClr val="000000"/>
                    </a:solidFill>
                    <a:round/>
                    <a:headEnd/>
                    <a:tailEnd/>
                  </a:ln>
                </xdr:spPr>
              </xdr:sp>
              <xdr:sp macro="" textlink="">
                <xdr:nvSpPr>
                  <xdr:cNvPr id="59826797" name="AutoShape 96"/>
                  <xdr:cNvSpPr>
                    <a:spLocks noChangeArrowheads="1"/>
                  </xdr:cNvSpPr>
                </xdr:nvSpPr>
                <xdr:spPr bwMode="auto">
                  <a:xfrm flipV="1">
                    <a:off x="4723" y="5760"/>
                    <a:ext cx="1254" cy="1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2498 w 21600"/>
                      <a:gd name="T13" fmla="*/ 2497 h 21600"/>
                      <a:gd name="T14" fmla="*/ 19102 w 21600"/>
                      <a:gd name="T15" fmla="*/ 19103 h 21600"/>
                    </a:gdLst>
                    <a:ahLst/>
                    <a:cxnLst>
                      <a:cxn ang="T8">
                        <a:pos x="T0" y="T1"/>
                      </a:cxn>
                      <a:cxn ang="T9">
                        <a:pos x="T2" y="T3"/>
                      </a:cxn>
                      <a:cxn ang="T10">
                        <a:pos x="T4" y="T5"/>
                      </a:cxn>
                      <a:cxn ang="T11">
                        <a:pos x="T6" y="T7"/>
                      </a:cxn>
                    </a:cxnLst>
                    <a:rect l="T12" t="T13" r="T14" b="T15"/>
                    <a:pathLst>
                      <a:path w="21600" h="21600">
                        <a:moveTo>
                          <a:pt x="0" y="0"/>
                        </a:moveTo>
                        <a:lnTo>
                          <a:pt x="1389" y="21600"/>
                        </a:lnTo>
                        <a:lnTo>
                          <a:pt x="20211" y="21600"/>
                        </a:lnTo>
                        <a:lnTo>
                          <a:pt x="21600" y="0"/>
                        </a:lnTo>
                        <a:lnTo>
                          <a:pt x="0" y="0"/>
                        </a:lnTo>
                        <a:close/>
                      </a:path>
                    </a:pathLst>
                  </a:custGeom>
                  <a:solidFill>
                    <a:srgbClr val="000000"/>
                  </a:solidFill>
                  <a:ln w="9525">
                    <a:solidFill>
                      <a:srgbClr val="000000"/>
                    </a:solidFill>
                    <a:miter lim="800000"/>
                    <a:headEnd/>
                    <a:tailEnd/>
                  </a:ln>
                </xdr:spPr>
              </xdr:sp>
            </xdr:grpSp>
          </xdr:grpSp>
          <xdr:sp macro="" textlink="">
            <xdr:nvSpPr>
              <xdr:cNvPr id="388" name="Text Box 97"/>
              <xdr:cNvSpPr txBox="1">
                <a:spLocks noChangeArrowheads="1"/>
              </xdr:cNvSpPr>
            </xdr:nvSpPr>
            <xdr:spPr bwMode="auto">
              <a:xfrm>
                <a:off x="2055842" y="571556"/>
                <a:ext cx="1017787" cy="261919"/>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nl-NL" sz="900" b="0" i="0" u="none" strike="noStrike" baseline="0">
                    <a:solidFill>
                      <a:srgbClr val="000000"/>
                    </a:solidFill>
                    <a:latin typeface="Times New Roman"/>
                    <a:cs typeface="Times New Roman"/>
                  </a:rPr>
                  <a:t>+ 1</a:t>
                </a:r>
              </a:p>
              <a:p>
                <a:pPr algn="l" rtl="0">
                  <a:lnSpc>
                    <a:spcPts val="800"/>
                  </a:lnSpc>
                  <a:defRPr sz="1000"/>
                </a:pPr>
                <a:endParaRPr lang="nl-NL" sz="900" b="0" i="0" u="none" strike="noStrike" baseline="0">
                  <a:solidFill>
                    <a:srgbClr val="000000"/>
                  </a:solidFill>
                  <a:latin typeface="Times New Roman"/>
                  <a:cs typeface="Times New Roman"/>
                </a:endParaRPr>
              </a:p>
            </xdr:txBody>
          </xdr:sp>
        </xdr:grpSp>
      </xdr:grpSp>
    </xdr:grpSp>
    <xdr:clientData/>
  </xdr:twoCellAnchor>
  <xdr:twoCellAnchor>
    <xdr:from>
      <xdr:col>127</xdr:col>
      <xdr:colOff>0</xdr:colOff>
      <xdr:row>1</xdr:row>
      <xdr:rowOff>38100</xdr:rowOff>
    </xdr:from>
    <xdr:to>
      <xdr:col>141</xdr:col>
      <xdr:colOff>15240</xdr:colOff>
      <xdr:row>4</xdr:row>
      <xdr:rowOff>198120</xdr:rowOff>
    </xdr:to>
    <xdr:sp macro="" textlink="">
      <xdr:nvSpPr>
        <xdr:cNvPr id="59826734" name="AutoShape 11">
          <a:hlinkClick xmlns:r="http://schemas.openxmlformats.org/officeDocument/2006/relationships" r:id="rId5"/>
        </xdr:cNvPr>
        <xdr:cNvSpPr>
          <a:spLocks noChangeArrowheads="1"/>
        </xdr:cNvSpPr>
      </xdr:nvSpPr>
      <xdr:spPr bwMode="auto">
        <a:xfrm>
          <a:off x="5989320" y="342900"/>
          <a:ext cx="655320" cy="678180"/>
        </a:xfrm>
        <a:prstGeom prst="bevel">
          <a:avLst>
            <a:gd name="adj" fmla="val 12500"/>
          </a:avLst>
        </a:prstGeom>
        <a:solidFill>
          <a:srgbClr val="800080"/>
        </a:solidFill>
        <a:ln w="9525">
          <a:solidFill>
            <a:srgbClr val="000000"/>
          </a:solidFill>
          <a:miter lim="800000"/>
          <a:headEnd/>
          <a:tailEnd/>
        </a:ln>
      </xdr:spPr>
    </xdr:sp>
    <xdr:clientData/>
  </xdr:twoCellAnchor>
  <xdr:twoCellAnchor>
    <xdr:from>
      <xdr:col>22</xdr:col>
      <xdr:colOff>30480</xdr:colOff>
      <xdr:row>70</xdr:row>
      <xdr:rowOff>198120</xdr:rowOff>
    </xdr:from>
    <xdr:to>
      <xdr:col>119</xdr:col>
      <xdr:colOff>7620</xdr:colOff>
      <xdr:row>79</xdr:row>
      <xdr:rowOff>38100</xdr:rowOff>
    </xdr:to>
    <xdr:grpSp>
      <xdr:nvGrpSpPr>
        <xdr:cNvPr id="59826735" name="Groep 276"/>
        <xdr:cNvGrpSpPr>
          <a:grpSpLocks/>
        </xdr:cNvGrpSpPr>
      </xdr:nvGrpSpPr>
      <xdr:grpSpPr bwMode="auto">
        <a:xfrm>
          <a:off x="1219200" y="12961620"/>
          <a:ext cx="4411980" cy="1691640"/>
          <a:chOff x="1409700" y="11849100"/>
          <a:chExt cx="4419600" cy="1691640"/>
        </a:xfrm>
      </xdr:grpSpPr>
      <xdr:grpSp>
        <xdr:nvGrpSpPr>
          <xdr:cNvPr id="59826737" name="Groep 392"/>
          <xdr:cNvGrpSpPr>
            <a:grpSpLocks/>
          </xdr:cNvGrpSpPr>
        </xdr:nvGrpSpPr>
        <xdr:grpSpPr bwMode="auto">
          <a:xfrm>
            <a:off x="1417320" y="11856720"/>
            <a:ext cx="944880" cy="586740"/>
            <a:chOff x="1417320" y="11856720"/>
            <a:chExt cx="944880" cy="586740"/>
          </a:xfrm>
        </xdr:grpSpPr>
        <xdr:sp macro="" textlink="">
          <xdr:nvSpPr>
            <xdr:cNvPr id="59826777" name="Rechthoek 342"/>
            <xdr:cNvSpPr>
              <a:spLocks noChangeArrowheads="1"/>
            </xdr:cNvSpPr>
          </xdr:nvSpPr>
          <xdr:spPr bwMode="auto">
            <a:xfrm>
              <a:off x="1424940" y="12085320"/>
              <a:ext cx="190500" cy="350520"/>
            </a:xfrm>
            <a:prstGeom prst="rect">
              <a:avLst/>
            </a:prstGeom>
            <a:solidFill>
              <a:srgbClr val="FFC000"/>
            </a:solidFill>
            <a:ln w="9525" algn="ctr">
              <a:solidFill>
                <a:srgbClr val="000000"/>
              </a:solidFill>
              <a:round/>
              <a:headEnd/>
              <a:tailEnd/>
            </a:ln>
          </xdr:spPr>
        </xdr:sp>
        <xdr:grpSp>
          <xdr:nvGrpSpPr>
            <xdr:cNvPr id="59826778" name="Groep 285"/>
            <xdr:cNvGrpSpPr>
              <a:grpSpLocks/>
            </xdr:cNvGrpSpPr>
          </xdr:nvGrpSpPr>
          <xdr:grpSpPr bwMode="auto">
            <a:xfrm>
              <a:off x="1417320" y="11856720"/>
              <a:ext cx="944880" cy="586740"/>
              <a:chOff x="1588770" y="12153900"/>
              <a:chExt cx="1516380" cy="1242060"/>
            </a:xfrm>
          </xdr:grpSpPr>
          <xdr:cxnSp macro="">
            <xdr:nvCxnSpPr>
              <xdr:cNvPr id="59826779" name="Rechte verbindingslijn 277"/>
              <xdr:cNvCxnSpPr>
                <a:cxnSpLocks noChangeShapeType="1"/>
              </xdr:cNvCxnSpPr>
            </xdr:nvCxnSpPr>
            <xdr:spPr bwMode="auto">
              <a:xfrm>
                <a:off x="1600200" y="12153900"/>
                <a:ext cx="0" cy="1226820"/>
              </a:xfrm>
              <a:prstGeom prst="line">
                <a:avLst/>
              </a:prstGeom>
              <a:noFill/>
              <a:ln w="22225" algn="ctr">
                <a:solidFill>
                  <a:srgbClr val="000000"/>
                </a:solidFill>
                <a:round/>
                <a:headEnd/>
                <a:tailEnd/>
              </a:ln>
            </xdr:spPr>
          </xdr:cxnSp>
          <xdr:cxnSp macro="">
            <xdr:nvCxnSpPr>
              <xdr:cNvPr id="59826780" name="Rechte verbindingslijn 279"/>
              <xdr:cNvCxnSpPr>
                <a:cxnSpLocks noChangeShapeType="1"/>
              </xdr:cNvCxnSpPr>
            </xdr:nvCxnSpPr>
            <xdr:spPr bwMode="auto">
              <a:xfrm rot="5400000">
                <a:off x="2346960" y="12626340"/>
                <a:ext cx="0" cy="1516380"/>
              </a:xfrm>
              <a:prstGeom prst="line">
                <a:avLst/>
              </a:prstGeom>
              <a:noFill/>
              <a:ln w="22225" algn="ctr">
                <a:solidFill>
                  <a:srgbClr val="000000"/>
                </a:solidFill>
                <a:round/>
                <a:headEnd/>
                <a:tailEnd/>
              </a:ln>
            </xdr:spPr>
          </xdr:cxnSp>
          <xdr:cxnSp macro="">
            <xdr:nvCxnSpPr>
              <xdr:cNvPr id="59826781" name="Rechte verbindingslijn 280"/>
              <xdr:cNvCxnSpPr>
                <a:cxnSpLocks noChangeShapeType="1"/>
              </xdr:cNvCxnSpPr>
            </xdr:nvCxnSpPr>
            <xdr:spPr bwMode="auto">
              <a:xfrm flipH="1" flipV="1">
                <a:off x="1607820" y="12390120"/>
                <a:ext cx="1386840" cy="1005840"/>
              </a:xfrm>
              <a:prstGeom prst="line">
                <a:avLst/>
              </a:prstGeom>
              <a:noFill/>
              <a:ln w="22225" algn="ctr">
                <a:solidFill>
                  <a:srgbClr val="000000"/>
                </a:solidFill>
                <a:round/>
                <a:headEnd/>
                <a:tailEnd/>
              </a:ln>
            </xdr:spPr>
          </xdr:cxnSp>
        </xdr:grpSp>
      </xdr:grpSp>
      <xdr:grpSp>
        <xdr:nvGrpSpPr>
          <xdr:cNvPr id="59826738" name="Groep 379"/>
          <xdr:cNvGrpSpPr>
            <a:grpSpLocks/>
          </xdr:cNvGrpSpPr>
        </xdr:nvGrpSpPr>
        <xdr:grpSpPr bwMode="auto">
          <a:xfrm>
            <a:off x="1409700" y="12885420"/>
            <a:ext cx="944880" cy="586740"/>
            <a:chOff x="1409700" y="12961620"/>
            <a:chExt cx="944880" cy="586740"/>
          </a:xfrm>
        </xdr:grpSpPr>
        <xdr:sp macro="" textlink="">
          <xdr:nvSpPr>
            <xdr:cNvPr id="59826772" name="Rechthoek 340"/>
            <xdr:cNvSpPr>
              <a:spLocks noChangeArrowheads="1"/>
            </xdr:cNvSpPr>
          </xdr:nvSpPr>
          <xdr:spPr bwMode="auto">
            <a:xfrm>
              <a:off x="1424940" y="13136880"/>
              <a:ext cx="106680" cy="396240"/>
            </a:xfrm>
            <a:prstGeom prst="rect">
              <a:avLst/>
            </a:prstGeom>
            <a:solidFill>
              <a:srgbClr val="FFFF00"/>
            </a:solidFill>
            <a:ln w="9525" algn="ctr">
              <a:solidFill>
                <a:srgbClr val="000000"/>
              </a:solidFill>
              <a:round/>
              <a:headEnd/>
              <a:tailEnd/>
            </a:ln>
          </xdr:spPr>
        </xdr:sp>
        <xdr:grpSp>
          <xdr:nvGrpSpPr>
            <xdr:cNvPr id="59826773" name="Groep 287"/>
            <xdr:cNvGrpSpPr>
              <a:grpSpLocks/>
            </xdr:cNvGrpSpPr>
          </xdr:nvGrpSpPr>
          <xdr:grpSpPr bwMode="auto">
            <a:xfrm>
              <a:off x="1409700" y="12961620"/>
              <a:ext cx="944880" cy="586740"/>
              <a:chOff x="1588770" y="12153900"/>
              <a:chExt cx="1516380" cy="1242060"/>
            </a:xfrm>
          </xdr:grpSpPr>
          <xdr:cxnSp macro="">
            <xdr:nvCxnSpPr>
              <xdr:cNvPr id="59826774" name="Rechte verbindingslijn 288"/>
              <xdr:cNvCxnSpPr>
                <a:cxnSpLocks noChangeShapeType="1"/>
              </xdr:cNvCxnSpPr>
            </xdr:nvCxnSpPr>
            <xdr:spPr bwMode="auto">
              <a:xfrm>
                <a:off x="1600200" y="12153900"/>
                <a:ext cx="0" cy="1226820"/>
              </a:xfrm>
              <a:prstGeom prst="line">
                <a:avLst/>
              </a:prstGeom>
              <a:noFill/>
              <a:ln w="22225" algn="ctr">
                <a:solidFill>
                  <a:srgbClr val="000000"/>
                </a:solidFill>
                <a:round/>
                <a:headEnd/>
                <a:tailEnd/>
              </a:ln>
            </xdr:spPr>
          </xdr:cxnSp>
          <xdr:cxnSp macro="">
            <xdr:nvCxnSpPr>
              <xdr:cNvPr id="59826775" name="Rechte verbindingslijn 289"/>
              <xdr:cNvCxnSpPr>
                <a:cxnSpLocks noChangeShapeType="1"/>
              </xdr:cNvCxnSpPr>
            </xdr:nvCxnSpPr>
            <xdr:spPr bwMode="auto">
              <a:xfrm rot="5400000">
                <a:off x="2346960" y="12626340"/>
                <a:ext cx="0" cy="1516380"/>
              </a:xfrm>
              <a:prstGeom prst="line">
                <a:avLst/>
              </a:prstGeom>
              <a:noFill/>
              <a:ln w="22225" algn="ctr">
                <a:solidFill>
                  <a:srgbClr val="000000"/>
                </a:solidFill>
                <a:round/>
                <a:headEnd/>
                <a:tailEnd/>
              </a:ln>
            </xdr:spPr>
          </xdr:cxnSp>
          <xdr:cxnSp macro="">
            <xdr:nvCxnSpPr>
              <xdr:cNvPr id="59826776" name="Rechte verbindingslijn 290"/>
              <xdr:cNvCxnSpPr>
                <a:cxnSpLocks noChangeShapeType="1"/>
              </xdr:cNvCxnSpPr>
            </xdr:nvCxnSpPr>
            <xdr:spPr bwMode="auto">
              <a:xfrm flipH="1" flipV="1">
                <a:off x="1607820" y="12390120"/>
                <a:ext cx="1386840" cy="1005840"/>
              </a:xfrm>
              <a:prstGeom prst="line">
                <a:avLst/>
              </a:prstGeom>
              <a:noFill/>
              <a:ln w="22225" algn="ctr">
                <a:solidFill>
                  <a:srgbClr val="000000"/>
                </a:solidFill>
                <a:round/>
                <a:headEnd/>
                <a:tailEnd/>
              </a:ln>
            </xdr:spPr>
          </xdr:cxnSp>
        </xdr:grpSp>
      </xdr:grpSp>
      <xdr:grpSp>
        <xdr:nvGrpSpPr>
          <xdr:cNvPr id="59826739" name="Groep 394"/>
          <xdr:cNvGrpSpPr>
            <a:grpSpLocks/>
          </xdr:cNvGrpSpPr>
        </xdr:nvGrpSpPr>
        <xdr:grpSpPr bwMode="auto">
          <a:xfrm>
            <a:off x="4884420" y="11856720"/>
            <a:ext cx="944880" cy="586740"/>
            <a:chOff x="4884420" y="11856720"/>
            <a:chExt cx="944880" cy="586740"/>
          </a:xfrm>
        </xdr:grpSpPr>
        <xdr:sp macro="" textlink="">
          <xdr:nvSpPr>
            <xdr:cNvPr id="59826767" name="Rechthoek 347"/>
            <xdr:cNvSpPr>
              <a:spLocks noChangeArrowheads="1"/>
            </xdr:cNvSpPr>
          </xdr:nvSpPr>
          <xdr:spPr bwMode="auto">
            <a:xfrm>
              <a:off x="4892040" y="12260580"/>
              <a:ext cx="518160" cy="182880"/>
            </a:xfrm>
            <a:prstGeom prst="rect">
              <a:avLst/>
            </a:prstGeom>
            <a:solidFill>
              <a:srgbClr val="92D050"/>
            </a:solidFill>
            <a:ln w="9525" algn="ctr">
              <a:solidFill>
                <a:srgbClr val="000000"/>
              </a:solidFill>
              <a:round/>
              <a:headEnd/>
              <a:tailEnd/>
            </a:ln>
          </xdr:spPr>
        </xdr:sp>
        <xdr:grpSp>
          <xdr:nvGrpSpPr>
            <xdr:cNvPr id="59826768" name="Groep 291"/>
            <xdr:cNvGrpSpPr>
              <a:grpSpLocks/>
            </xdr:cNvGrpSpPr>
          </xdr:nvGrpSpPr>
          <xdr:grpSpPr bwMode="auto">
            <a:xfrm>
              <a:off x="4884420" y="11856720"/>
              <a:ext cx="944880" cy="586740"/>
              <a:chOff x="1588770" y="12153900"/>
              <a:chExt cx="1516380" cy="1242060"/>
            </a:xfrm>
          </xdr:grpSpPr>
          <xdr:cxnSp macro="">
            <xdr:nvCxnSpPr>
              <xdr:cNvPr id="59826769" name="Rechte verbindingslijn 292"/>
              <xdr:cNvCxnSpPr>
                <a:cxnSpLocks noChangeShapeType="1"/>
              </xdr:cNvCxnSpPr>
            </xdr:nvCxnSpPr>
            <xdr:spPr bwMode="auto">
              <a:xfrm>
                <a:off x="1600200" y="12153900"/>
                <a:ext cx="0" cy="1226820"/>
              </a:xfrm>
              <a:prstGeom prst="line">
                <a:avLst/>
              </a:prstGeom>
              <a:noFill/>
              <a:ln w="22225" algn="ctr">
                <a:solidFill>
                  <a:srgbClr val="000000"/>
                </a:solidFill>
                <a:round/>
                <a:headEnd/>
                <a:tailEnd/>
              </a:ln>
            </xdr:spPr>
          </xdr:cxnSp>
          <xdr:cxnSp macro="">
            <xdr:nvCxnSpPr>
              <xdr:cNvPr id="59826770" name="Rechte verbindingslijn 293"/>
              <xdr:cNvCxnSpPr>
                <a:cxnSpLocks noChangeShapeType="1"/>
              </xdr:cNvCxnSpPr>
            </xdr:nvCxnSpPr>
            <xdr:spPr bwMode="auto">
              <a:xfrm rot="5400000">
                <a:off x="2346960" y="12626340"/>
                <a:ext cx="0" cy="1516380"/>
              </a:xfrm>
              <a:prstGeom prst="line">
                <a:avLst/>
              </a:prstGeom>
              <a:noFill/>
              <a:ln w="22225" algn="ctr">
                <a:solidFill>
                  <a:srgbClr val="000000"/>
                </a:solidFill>
                <a:round/>
                <a:headEnd/>
                <a:tailEnd/>
              </a:ln>
            </xdr:spPr>
          </xdr:cxnSp>
          <xdr:cxnSp macro="">
            <xdr:nvCxnSpPr>
              <xdr:cNvPr id="59826771" name="Rechte verbindingslijn 294"/>
              <xdr:cNvCxnSpPr>
                <a:cxnSpLocks noChangeShapeType="1"/>
              </xdr:cNvCxnSpPr>
            </xdr:nvCxnSpPr>
            <xdr:spPr bwMode="auto">
              <a:xfrm flipH="1" flipV="1">
                <a:off x="1607820" y="12390120"/>
                <a:ext cx="1386840" cy="1005840"/>
              </a:xfrm>
              <a:prstGeom prst="line">
                <a:avLst/>
              </a:prstGeom>
              <a:noFill/>
              <a:ln w="22225" algn="ctr">
                <a:solidFill>
                  <a:srgbClr val="000000"/>
                </a:solidFill>
                <a:round/>
                <a:headEnd/>
                <a:tailEnd/>
              </a:ln>
            </xdr:spPr>
          </xdr:cxnSp>
        </xdr:grpSp>
      </xdr:grpSp>
      <xdr:grpSp>
        <xdr:nvGrpSpPr>
          <xdr:cNvPr id="59826740" name="Groep 378"/>
          <xdr:cNvGrpSpPr>
            <a:grpSpLocks/>
          </xdr:cNvGrpSpPr>
        </xdr:nvGrpSpPr>
        <xdr:grpSpPr bwMode="auto">
          <a:xfrm>
            <a:off x="4876800" y="12885420"/>
            <a:ext cx="944880" cy="586740"/>
            <a:chOff x="4876800" y="12961620"/>
            <a:chExt cx="944880" cy="586740"/>
          </a:xfrm>
        </xdr:grpSpPr>
        <xdr:sp macro="" textlink="">
          <xdr:nvSpPr>
            <xdr:cNvPr id="59826762" name="Rechthoek 349"/>
            <xdr:cNvSpPr>
              <a:spLocks noChangeArrowheads="1"/>
            </xdr:cNvSpPr>
          </xdr:nvSpPr>
          <xdr:spPr bwMode="auto">
            <a:xfrm>
              <a:off x="4884420" y="13464540"/>
              <a:ext cx="708660" cy="76200"/>
            </a:xfrm>
            <a:prstGeom prst="rect">
              <a:avLst/>
            </a:prstGeom>
            <a:solidFill>
              <a:srgbClr val="00B0F0"/>
            </a:solidFill>
            <a:ln w="9525" algn="ctr">
              <a:solidFill>
                <a:srgbClr val="000000"/>
              </a:solidFill>
              <a:round/>
              <a:headEnd/>
              <a:tailEnd/>
            </a:ln>
          </xdr:spPr>
        </xdr:sp>
        <xdr:grpSp>
          <xdr:nvGrpSpPr>
            <xdr:cNvPr id="59826763" name="Groep 295"/>
            <xdr:cNvGrpSpPr>
              <a:grpSpLocks/>
            </xdr:cNvGrpSpPr>
          </xdr:nvGrpSpPr>
          <xdr:grpSpPr bwMode="auto">
            <a:xfrm>
              <a:off x="4876800" y="12961620"/>
              <a:ext cx="944880" cy="586740"/>
              <a:chOff x="1588770" y="12153900"/>
              <a:chExt cx="1516380" cy="1242060"/>
            </a:xfrm>
          </xdr:grpSpPr>
          <xdr:cxnSp macro="">
            <xdr:nvCxnSpPr>
              <xdr:cNvPr id="59826764" name="Rechte verbindingslijn 296"/>
              <xdr:cNvCxnSpPr>
                <a:cxnSpLocks noChangeShapeType="1"/>
              </xdr:cNvCxnSpPr>
            </xdr:nvCxnSpPr>
            <xdr:spPr bwMode="auto">
              <a:xfrm>
                <a:off x="1600200" y="12153900"/>
                <a:ext cx="0" cy="1226820"/>
              </a:xfrm>
              <a:prstGeom prst="line">
                <a:avLst/>
              </a:prstGeom>
              <a:noFill/>
              <a:ln w="22225" algn="ctr">
                <a:solidFill>
                  <a:srgbClr val="000000"/>
                </a:solidFill>
                <a:round/>
                <a:headEnd/>
                <a:tailEnd/>
              </a:ln>
            </xdr:spPr>
          </xdr:cxnSp>
          <xdr:cxnSp macro="">
            <xdr:nvCxnSpPr>
              <xdr:cNvPr id="59826765" name="Rechte verbindingslijn 298"/>
              <xdr:cNvCxnSpPr>
                <a:cxnSpLocks noChangeShapeType="1"/>
              </xdr:cNvCxnSpPr>
            </xdr:nvCxnSpPr>
            <xdr:spPr bwMode="auto">
              <a:xfrm rot="5400000">
                <a:off x="2346960" y="12626340"/>
                <a:ext cx="0" cy="1516380"/>
              </a:xfrm>
              <a:prstGeom prst="line">
                <a:avLst/>
              </a:prstGeom>
              <a:noFill/>
              <a:ln w="22225" algn="ctr">
                <a:solidFill>
                  <a:srgbClr val="000000"/>
                </a:solidFill>
                <a:round/>
                <a:headEnd/>
                <a:tailEnd/>
              </a:ln>
            </xdr:spPr>
          </xdr:cxnSp>
          <xdr:cxnSp macro="">
            <xdr:nvCxnSpPr>
              <xdr:cNvPr id="59826766" name="Rechte verbindingslijn 299"/>
              <xdr:cNvCxnSpPr>
                <a:cxnSpLocks noChangeShapeType="1"/>
              </xdr:cNvCxnSpPr>
            </xdr:nvCxnSpPr>
            <xdr:spPr bwMode="auto">
              <a:xfrm flipH="1" flipV="1">
                <a:off x="1607820" y="12390120"/>
                <a:ext cx="1386840" cy="1005840"/>
              </a:xfrm>
              <a:prstGeom prst="line">
                <a:avLst/>
              </a:prstGeom>
              <a:noFill/>
              <a:ln w="22225" algn="ctr">
                <a:solidFill>
                  <a:srgbClr val="000000"/>
                </a:solidFill>
                <a:round/>
                <a:headEnd/>
                <a:tailEnd/>
              </a:ln>
            </xdr:spPr>
          </xdr:cxnSp>
        </xdr:grpSp>
      </xdr:grpSp>
      <xdr:grpSp>
        <xdr:nvGrpSpPr>
          <xdr:cNvPr id="59826741" name="Groep 393"/>
          <xdr:cNvGrpSpPr>
            <a:grpSpLocks/>
          </xdr:cNvGrpSpPr>
        </xdr:nvGrpSpPr>
        <xdr:grpSpPr bwMode="auto">
          <a:xfrm>
            <a:off x="3139440" y="11849100"/>
            <a:ext cx="944880" cy="586740"/>
            <a:chOff x="3139440" y="11849100"/>
            <a:chExt cx="944880" cy="586740"/>
          </a:xfrm>
        </xdr:grpSpPr>
        <xdr:sp macro="" textlink="">
          <xdr:nvSpPr>
            <xdr:cNvPr id="59826757" name="Rechthoek 344"/>
            <xdr:cNvSpPr>
              <a:spLocks noChangeArrowheads="1"/>
            </xdr:cNvSpPr>
          </xdr:nvSpPr>
          <xdr:spPr bwMode="auto">
            <a:xfrm>
              <a:off x="3154680" y="12176760"/>
              <a:ext cx="381000" cy="251460"/>
            </a:xfrm>
            <a:prstGeom prst="rect">
              <a:avLst/>
            </a:prstGeom>
            <a:solidFill>
              <a:srgbClr val="FF0000"/>
            </a:solidFill>
            <a:ln w="9525" algn="ctr">
              <a:solidFill>
                <a:srgbClr val="000000"/>
              </a:solidFill>
              <a:round/>
              <a:headEnd/>
              <a:tailEnd/>
            </a:ln>
          </xdr:spPr>
        </xdr:sp>
        <xdr:grpSp>
          <xdr:nvGrpSpPr>
            <xdr:cNvPr id="59826758" name="Groep 316"/>
            <xdr:cNvGrpSpPr>
              <a:grpSpLocks/>
            </xdr:cNvGrpSpPr>
          </xdr:nvGrpSpPr>
          <xdr:grpSpPr bwMode="auto">
            <a:xfrm>
              <a:off x="3139440" y="11849100"/>
              <a:ext cx="944880" cy="586740"/>
              <a:chOff x="1588770" y="12153900"/>
              <a:chExt cx="1516380" cy="1242060"/>
            </a:xfrm>
          </xdr:grpSpPr>
          <xdr:cxnSp macro="">
            <xdr:nvCxnSpPr>
              <xdr:cNvPr id="59826759" name="Rechte verbindingslijn 323"/>
              <xdr:cNvCxnSpPr>
                <a:cxnSpLocks noChangeShapeType="1"/>
              </xdr:cNvCxnSpPr>
            </xdr:nvCxnSpPr>
            <xdr:spPr bwMode="auto">
              <a:xfrm>
                <a:off x="1600200" y="12153900"/>
                <a:ext cx="0" cy="1226820"/>
              </a:xfrm>
              <a:prstGeom prst="line">
                <a:avLst/>
              </a:prstGeom>
              <a:noFill/>
              <a:ln w="22225" algn="ctr">
                <a:solidFill>
                  <a:srgbClr val="000000"/>
                </a:solidFill>
                <a:round/>
                <a:headEnd/>
                <a:tailEnd/>
              </a:ln>
            </xdr:spPr>
          </xdr:cxnSp>
          <xdr:cxnSp macro="">
            <xdr:nvCxnSpPr>
              <xdr:cNvPr id="59826760" name="Rechte verbindingslijn 324"/>
              <xdr:cNvCxnSpPr>
                <a:cxnSpLocks noChangeShapeType="1"/>
              </xdr:cNvCxnSpPr>
            </xdr:nvCxnSpPr>
            <xdr:spPr bwMode="auto">
              <a:xfrm rot="5400000">
                <a:off x="2346960" y="12626340"/>
                <a:ext cx="0" cy="1516380"/>
              </a:xfrm>
              <a:prstGeom prst="line">
                <a:avLst/>
              </a:prstGeom>
              <a:noFill/>
              <a:ln w="22225" algn="ctr">
                <a:solidFill>
                  <a:srgbClr val="000000"/>
                </a:solidFill>
                <a:round/>
                <a:headEnd/>
                <a:tailEnd/>
              </a:ln>
            </xdr:spPr>
          </xdr:cxnSp>
          <xdr:cxnSp macro="">
            <xdr:nvCxnSpPr>
              <xdr:cNvPr id="59826761" name="Rechte verbindingslijn 325"/>
              <xdr:cNvCxnSpPr>
                <a:cxnSpLocks noChangeShapeType="1"/>
              </xdr:cNvCxnSpPr>
            </xdr:nvCxnSpPr>
            <xdr:spPr bwMode="auto">
              <a:xfrm flipH="1" flipV="1">
                <a:off x="1607820" y="12390120"/>
                <a:ext cx="1386840" cy="1005840"/>
              </a:xfrm>
              <a:prstGeom prst="line">
                <a:avLst/>
              </a:prstGeom>
              <a:noFill/>
              <a:ln w="22225" algn="ctr">
                <a:solidFill>
                  <a:srgbClr val="000000"/>
                </a:solidFill>
                <a:round/>
                <a:headEnd/>
                <a:tailEnd/>
              </a:ln>
            </xdr:spPr>
          </xdr:cxnSp>
        </xdr:grpSp>
      </xdr:grpSp>
      <xdr:cxnSp macro="">
        <xdr:nvCxnSpPr>
          <xdr:cNvPr id="59826742" name="Rechte verbindingslijn met pijl 283"/>
          <xdr:cNvCxnSpPr>
            <a:cxnSpLocks noChangeShapeType="1"/>
          </xdr:cNvCxnSpPr>
        </xdr:nvCxnSpPr>
        <xdr:spPr bwMode="auto">
          <a:xfrm>
            <a:off x="1508760" y="12283440"/>
            <a:ext cx="1836420" cy="548640"/>
          </a:xfrm>
          <a:prstGeom prst="straightConnector1">
            <a:avLst/>
          </a:prstGeom>
          <a:noFill/>
          <a:ln w="22225" algn="ctr">
            <a:solidFill>
              <a:srgbClr val="7030A0"/>
            </a:solidFill>
            <a:round/>
            <a:headEnd/>
            <a:tailEnd type="arrow" w="med" len="med"/>
          </a:ln>
        </xdr:spPr>
      </xdr:cxnSp>
      <xdr:cxnSp macro="">
        <xdr:nvCxnSpPr>
          <xdr:cNvPr id="59826743" name="Rechte verbindingslijn met pijl 284"/>
          <xdr:cNvCxnSpPr>
            <a:cxnSpLocks noChangeShapeType="1"/>
          </xdr:cNvCxnSpPr>
        </xdr:nvCxnSpPr>
        <xdr:spPr bwMode="auto">
          <a:xfrm flipV="1">
            <a:off x="1470660" y="13083540"/>
            <a:ext cx="1813560" cy="175260"/>
          </a:xfrm>
          <a:prstGeom prst="straightConnector1">
            <a:avLst/>
          </a:prstGeom>
          <a:noFill/>
          <a:ln w="22225" algn="ctr">
            <a:solidFill>
              <a:srgbClr val="7030A0"/>
            </a:solidFill>
            <a:round/>
            <a:headEnd/>
            <a:tailEnd type="arrow" w="med" len="med"/>
          </a:ln>
        </xdr:spPr>
      </xdr:cxnSp>
      <xdr:cxnSp macro="">
        <xdr:nvCxnSpPr>
          <xdr:cNvPr id="59826744" name="Rechte verbindingslijn met pijl 285"/>
          <xdr:cNvCxnSpPr>
            <a:cxnSpLocks noChangeShapeType="1"/>
          </xdr:cNvCxnSpPr>
        </xdr:nvCxnSpPr>
        <xdr:spPr bwMode="auto">
          <a:xfrm>
            <a:off x="3329940" y="12329160"/>
            <a:ext cx="228600" cy="304800"/>
          </a:xfrm>
          <a:prstGeom prst="straightConnector1">
            <a:avLst/>
          </a:prstGeom>
          <a:noFill/>
          <a:ln w="22225" algn="ctr">
            <a:solidFill>
              <a:srgbClr val="7030A0"/>
            </a:solidFill>
            <a:round/>
            <a:headEnd/>
            <a:tailEnd type="arrow" w="med" len="med"/>
          </a:ln>
        </xdr:spPr>
      </xdr:cxnSp>
      <xdr:cxnSp macro="">
        <xdr:nvCxnSpPr>
          <xdr:cNvPr id="59826745" name="Rechte verbindingslijn met pijl 287"/>
          <xdr:cNvCxnSpPr>
            <a:cxnSpLocks noChangeShapeType="1"/>
          </xdr:cNvCxnSpPr>
        </xdr:nvCxnSpPr>
        <xdr:spPr bwMode="auto">
          <a:xfrm flipH="1">
            <a:off x="3787140" y="12344400"/>
            <a:ext cx="1386840" cy="449580"/>
          </a:xfrm>
          <a:prstGeom prst="straightConnector1">
            <a:avLst/>
          </a:prstGeom>
          <a:noFill/>
          <a:ln w="22225" algn="ctr">
            <a:solidFill>
              <a:srgbClr val="7030A0"/>
            </a:solidFill>
            <a:round/>
            <a:headEnd/>
            <a:tailEnd type="arrow" w="med" len="med"/>
          </a:ln>
        </xdr:spPr>
      </xdr:cxnSp>
      <xdr:cxnSp macro="">
        <xdr:nvCxnSpPr>
          <xdr:cNvPr id="59826746" name="Rechte verbindingslijn met pijl 288"/>
          <xdr:cNvCxnSpPr>
            <a:cxnSpLocks noChangeShapeType="1"/>
          </xdr:cNvCxnSpPr>
        </xdr:nvCxnSpPr>
        <xdr:spPr bwMode="auto">
          <a:xfrm flipH="1" flipV="1">
            <a:off x="3931920" y="13068300"/>
            <a:ext cx="1257300" cy="365760"/>
          </a:xfrm>
          <a:prstGeom prst="straightConnector1">
            <a:avLst/>
          </a:prstGeom>
          <a:noFill/>
          <a:ln w="22225" algn="ctr">
            <a:solidFill>
              <a:srgbClr val="7030A0"/>
            </a:solidFill>
            <a:round/>
            <a:headEnd/>
            <a:tailEnd type="arrow" w="med" len="med"/>
          </a:ln>
        </xdr:spPr>
      </xdr:cxnSp>
      <xdr:grpSp>
        <xdr:nvGrpSpPr>
          <xdr:cNvPr id="59826747" name="Groep 395"/>
          <xdr:cNvGrpSpPr>
            <a:grpSpLocks/>
          </xdr:cNvGrpSpPr>
        </xdr:nvGrpSpPr>
        <xdr:grpSpPr bwMode="auto">
          <a:xfrm>
            <a:off x="3131820" y="12672060"/>
            <a:ext cx="944880" cy="868680"/>
            <a:chOff x="3131820" y="12672060"/>
            <a:chExt cx="944880" cy="868680"/>
          </a:xfrm>
        </xdr:grpSpPr>
        <xdr:cxnSp macro="">
          <xdr:nvCxnSpPr>
            <xdr:cNvPr id="59826748" name="Rechte verbindingslijn 290"/>
            <xdr:cNvCxnSpPr>
              <a:cxnSpLocks noChangeShapeType="1"/>
            </xdr:cNvCxnSpPr>
          </xdr:nvCxnSpPr>
          <xdr:spPr bwMode="auto">
            <a:xfrm>
              <a:off x="3284220" y="13114020"/>
              <a:ext cx="0" cy="411480"/>
            </a:xfrm>
            <a:prstGeom prst="line">
              <a:avLst/>
            </a:prstGeom>
            <a:noFill/>
            <a:ln w="22225" algn="ctr">
              <a:solidFill>
                <a:srgbClr val="FFFF00"/>
              </a:solidFill>
              <a:round/>
              <a:headEnd/>
              <a:tailEnd/>
            </a:ln>
          </xdr:spPr>
        </xdr:cxnSp>
        <xdr:cxnSp macro="">
          <xdr:nvCxnSpPr>
            <xdr:cNvPr id="59826749" name="Rechte verbindingslijn 291"/>
            <xdr:cNvCxnSpPr>
              <a:cxnSpLocks noChangeShapeType="1"/>
            </xdr:cNvCxnSpPr>
          </xdr:nvCxnSpPr>
          <xdr:spPr bwMode="auto">
            <a:xfrm>
              <a:off x="3573780" y="12672060"/>
              <a:ext cx="7620" cy="868680"/>
            </a:xfrm>
            <a:prstGeom prst="line">
              <a:avLst/>
            </a:prstGeom>
            <a:noFill/>
            <a:ln w="22225" algn="ctr">
              <a:solidFill>
                <a:srgbClr val="FF0000"/>
              </a:solidFill>
              <a:round/>
              <a:headEnd/>
              <a:tailEnd/>
            </a:ln>
          </xdr:spPr>
        </xdr:cxnSp>
        <xdr:cxnSp macro="">
          <xdr:nvCxnSpPr>
            <xdr:cNvPr id="59826750" name="Rechte verbindingslijn 292"/>
            <xdr:cNvCxnSpPr>
              <a:cxnSpLocks noChangeShapeType="1"/>
            </xdr:cNvCxnSpPr>
          </xdr:nvCxnSpPr>
          <xdr:spPr bwMode="auto">
            <a:xfrm flipH="1">
              <a:off x="3413760" y="12826118"/>
              <a:ext cx="2288" cy="707002"/>
            </a:xfrm>
            <a:prstGeom prst="line">
              <a:avLst/>
            </a:prstGeom>
            <a:noFill/>
            <a:ln w="22225" algn="ctr">
              <a:solidFill>
                <a:srgbClr val="FFC000"/>
              </a:solidFill>
              <a:round/>
              <a:headEnd/>
              <a:tailEnd/>
            </a:ln>
          </xdr:spPr>
        </xdr:cxnSp>
        <xdr:cxnSp macro="">
          <xdr:nvCxnSpPr>
            <xdr:cNvPr id="59826751" name="Rechte verbindingslijn 293"/>
            <xdr:cNvCxnSpPr>
              <a:cxnSpLocks noChangeShapeType="1"/>
            </xdr:cNvCxnSpPr>
          </xdr:nvCxnSpPr>
          <xdr:spPr bwMode="auto">
            <a:xfrm>
              <a:off x="3741420" y="12778740"/>
              <a:ext cx="0" cy="739140"/>
            </a:xfrm>
            <a:prstGeom prst="line">
              <a:avLst/>
            </a:prstGeom>
            <a:noFill/>
            <a:ln w="22225" algn="ctr">
              <a:solidFill>
                <a:srgbClr val="92D050"/>
              </a:solidFill>
              <a:round/>
              <a:headEnd/>
              <a:tailEnd/>
            </a:ln>
          </xdr:spPr>
        </xdr:cxnSp>
        <xdr:cxnSp macro="">
          <xdr:nvCxnSpPr>
            <xdr:cNvPr id="59826752" name="Rechte verbindingslijn 294"/>
            <xdr:cNvCxnSpPr>
              <a:cxnSpLocks noChangeShapeType="1"/>
            </xdr:cNvCxnSpPr>
          </xdr:nvCxnSpPr>
          <xdr:spPr bwMode="auto">
            <a:xfrm>
              <a:off x="3886200" y="13068300"/>
              <a:ext cx="7620" cy="464820"/>
            </a:xfrm>
            <a:prstGeom prst="line">
              <a:avLst/>
            </a:prstGeom>
            <a:noFill/>
            <a:ln w="22225" algn="ctr">
              <a:solidFill>
                <a:srgbClr val="00B0F0"/>
              </a:solidFill>
              <a:round/>
              <a:headEnd/>
              <a:tailEnd/>
            </a:ln>
          </xdr:spPr>
        </xdr:cxnSp>
        <xdr:sp macro="" textlink="">
          <xdr:nvSpPr>
            <xdr:cNvPr id="59826753" name="Vrije vorm 337"/>
            <xdr:cNvSpPr>
              <a:spLocks/>
            </xdr:cNvSpPr>
          </xdr:nvSpPr>
          <xdr:spPr bwMode="auto">
            <a:xfrm>
              <a:off x="3147060" y="12672060"/>
              <a:ext cx="891540" cy="861060"/>
            </a:xfrm>
            <a:custGeom>
              <a:avLst/>
              <a:gdLst>
                <a:gd name="T0" fmla="*/ 0 w 1874520"/>
                <a:gd name="T1" fmla="*/ 1 h 1657350"/>
                <a:gd name="T2" fmla="*/ 0 w 1874520"/>
                <a:gd name="T3" fmla="*/ 1 h 1657350"/>
                <a:gd name="T4" fmla="*/ 0 w 1874520"/>
                <a:gd name="T5" fmla="*/ 1 h 1657350"/>
                <a:gd name="T6" fmla="*/ 0 w 1874520"/>
                <a:gd name="T7" fmla="*/ 1 h 1657350"/>
                <a:gd name="T8" fmla="*/ 0 w 1874520"/>
                <a:gd name="T9" fmla="*/ 1 h 1657350"/>
                <a:gd name="T10" fmla="*/ 0 60000 65536"/>
                <a:gd name="T11" fmla="*/ 0 60000 65536"/>
                <a:gd name="T12" fmla="*/ 0 60000 65536"/>
                <a:gd name="T13" fmla="*/ 0 60000 65536"/>
                <a:gd name="T14" fmla="*/ 0 60000 65536"/>
                <a:gd name="T15" fmla="*/ 0 w 1874520"/>
                <a:gd name="T16" fmla="*/ 0 h 1657350"/>
                <a:gd name="T17" fmla="*/ 1874520 w 1874520"/>
                <a:gd name="T18" fmla="*/ 1657350 h 1657350"/>
              </a:gdLst>
              <a:ahLst/>
              <a:cxnLst>
                <a:cxn ang="T10">
                  <a:pos x="T0" y="T1"/>
                </a:cxn>
                <a:cxn ang="T11">
                  <a:pos x="T2" y="T3"/>
                </a:cxn>
                <a:cxn ang="T12">
                  <a:pos x="T4" y="T5"/>
                </a:cxn>
                <a:cxn ang="T13">
                  <a:pos x="T6" y="T7"/>
                </a:cxn>
                <a:cxn ang="T14">
                  <a:pos x="T8" y="T9"/>
                </a:cxn>
              </a:cxnLst>
              <a:rect l="T15" t="T16" r="T17" b="T18"/>
              <a:pathLst>
                <a:path w="1874520" h="1657350">
                  <a:moveTo>
                    <a:pt x="0" y="1649730"/>
                  </a:moveTo>
                  <a:cubicBezTo>
                    <a:pt x="167005" y="1153795"/>
                    <a:pt x="334010" y="657860"/>
                    <a:pt x="487680" y="384810"/>
                  </a:cubicBezTo>
                  <a:cubicBezTo>
                    <a:pt x="641350" y="111760"/>
                    <a:pt x="765810" y="0"/>
                    <a:pt x="922020" y="11430"/>
                  </a:cubicBezTo>
                  <a:cubicBezTo>
                    <a:pt x="1078230" y="22860"/>
                    <a:pt x="1266190" y="179070"/>
                    <a:pt x="1424940" y="453390"/>
                  </a:cubicBezTo>
                  <a:cubicBezTo>
                    <a:pt x="1583690" y="727710"/>
                    <a:pt x="1729105" y="1192530"/>
                    <a:pt x="1874520" y="1657350"/>
                  </a:cubicBezTo>
                </a:path>
              </a:pathLst>
            </a:custGeom>
            <a:noFill/>
            <a:ln w="22225" cap="flat" cmpd="sng" algn="ctr">
              <a:solidFill>
                <a:srgbClr val="000000"/>
              </a:solidFill>
              <a:prstDash val="solid"/>
              <a:round/>
              <a:headEnd type="none" w="med" len="med"/>
              <a:tailEnd type="none" w="med" len="med"/>
            </a:ln>
          </xdr:spPr>
        </xdr:sp>
        <xdr:grpSp>
          <xdr:nvGrpSpPr>
            <xdr:cNvPr id="59826754" name="Groep 326"/>
            <xdr:cNvGrpSpPr>
              <a:grpSpLocks/>
            </xdr:cNvGrpSpPr>
          </xdr:nvGrpSpPr>
          <xdr:grpSpPr bwMode="auto">
            <a:xfrm>
              <a:off x="3131820" y="12946380"/>
              <a:ext cx="944880" cy="586740"/>
              <a:chOff x="1588770" y="12153900"/>
              <a:chExt cx="1516380" cy="1230630"/>
            </a:xfrm>
          </xdr:grpSpPr>
          <xdr:cxnSp macro="">
            <xdr:nvCxnSpPr>
              <xdr:cNvPr id="59826755" name="Rechte verbindingslijn 327"/>
              <xdr:cNvCxnSpPr>
                <a:cxnSpLocks noChangeShapeType="1"/>
              </xdr:cNvCxnSpPr>
            </xdr:nvCxnSpPr>
            <xdr:spPr bwMode="auto">
              <a:xfrm>
                <a:off x="1600200" y="12153900"/>
                <a:ext cx="0" cy="1226820"/>
              </a:xfrm>
              <a:prstGeom prst="line">
                <a:avLst/>
              </a:prstGeom>
              <a:noFill/>
              <a:ln w="22225" algn="ctr">
                <a:solidFill>
                  <a:srgbClr val="000000"/>
                </a:solidFill>
                <a:round/>
                <a:headEnd/>
                <a:tailEnd/>
              </a:ln>
            </xdr:spPr>
          </xdr:cxnSp>
          <xdr:cxnSp macro="">
            <xdr:nvCxnSpPr>
              <xdr:cNvPr id="59826756" name="Rechte verbindingslijn 328"/>
              <xdr:cNvCxnSpPr>
                <a:cxnSpLocks noChangeShapeType="1"/>
              </xdr:cNvCxnSpPr>
            </xdr:nvCxnSpPr>
            <xdr:spPr bwMode="auto">
              <a:xfrm rot="5400000">
                <a:off x="2346960" y="12626340"/>
                <a:ext cx="0" cy="1516380"/>
              </a:xfrm>
              <a:prstGeom prst="line">
                <a:avLst/>
              </a:prstGeom>
              <a:noFill/>
              <a:ln w="22225" algn="ctr">
                <a:solidFill>
                  <a:srgbClr val="000000"/>
                </a:solidFill>
                <a:round/>
                <a:headEnd/>
                <a:tailEnd/>
              </a:ln>
            </xdr:spPr>
          </xdr:cxnSp>
        </xdr:grpSp>
      </xdr:grpSp>
    </xdr:grpSp>
    <xdr:clientData/>
  </xdr:twoCellAnchor>
  <xdr:twoCellAnchor>
    <xdr:from>
      <xdr:col>26</xdr:col>
      <xdr:colOff>0</xdr:colOff>
      <xdr:row>301</xdr:row>
      <xdr:rowOff>0</xdr:rowOff>
    </xdr:from>
    <xdr:to>
      <xdr:col>103</xdr:col>
      <xdr:colOff>15240</xdr:colOff>
      <xdr:row>315</xdr:row>
      <xdr:rowOff>83820</xdr:rowOff>
    </xdr:to>
    <xdr:graphicFrame macro="">
      <xdr:nvGraphicFramePr>
        <xdr:cNvPr id="59826736"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22860</xdr:colOff>
      <xdr:row>104</xdr:row>
      <xdr:rowOff>121920</xdr:rowOff>
    </xdr:from>
    <xdr:to>
      <xdr:col>153</xdr:col>
      <xdr:colOff>22860</xdr:colOff>
      <xdr:row>115</xdr:row>
      <xdr:rowOff>99060</xdr:rowOff>
    </xdr:to>
    <xdr:grpSp>
      <xdr:nvGrpSpPr>
        <xdr:cNvPr id="324" name="Groep 323"/>
        <xdr:cNvGrpSpPr/>
      </xdr:nvGrpSpPr>
      <xdr:grpSpPr>
        <a:xfrm>
          <a:off x="480060" y="19880580"/>
          <a:ext cx="6720840" cy="2324100"/>
          <a:chOff x="769620" y="30800040"/>
          <a:chExt cx="6720840" cy="2324100"/>
        </a:xfrm>
      </xdr:grpSpPr>
      <xdr:grpSp>
        <xdr:nvGrpSpPr>
          <xdr:cNvPr id="325" name="Groep 532"/>
          <xdr:cNvGrpSpPr/>
        </xdr:nvGrpSpPr>
        <xdr:grpSpPr>
          <a:xfrm>
            <a:off x="998220" y="30891480"/>
            <a:ext cx="6416040" cy="2072640"/>
            <a:chOff x="998220" y="30891480"/>
            <a:chExt cx="6416040" cy="2072640"/>
          </a:xfrm>
        </xdr:grpSpPr>
        <xdr:grpSp>
          <xdr:nvGrpSpPr>
            <xdr:cNvPr id="333" name="Groep 437"/>
            <xdr:cNvGrpSpPr/>
          </xdr:nvGrpSpPr>
          <xdr:grpSpPr>
            <a:xfrm>
              <a:off x="998220" y="30891480"/>
              <a:ext cx="6416040" cy="1973580"/>
              <a:chOff x="1196340" y="784860"/>
              <a:chExt cx="15895320" cy="4899660"/>
            </a:xfrm>
          </xdr:grpSpPr>
          <xdr:sp macro="" textlink="">
            <xdr:nvSpPr>
              <xdr:cNvPr id="337" name="Rechthoek 336"/>
              <xdr:cNvSpPr/>
            </xdr:nvSpPr>
            <xdr:spPr>
              <a:xfrm>
                <a:off x="7940040" y="3253740"/>
                <a:ext cx="601980" cy="240792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nl-NL" sz="1100">
                  <a:solidFill>
                    <a:schemeClr val="lt1"/>
                  </a:solidFill>
                  <a:latin typeface="+mn-lt"/>
                  <a:ea typeface="+mn-ea"/>
                  <a:cs typeface="+mn-cs"/>
                </a:endParaRPr>
              </a:p>
            </xdr:txBody>
          </xdr:sp>
          <xdr:sp macro="" textlink="">
            <xdr:nvSpPr>
              <xdr:cNvPr id="338" name="Rechthoek 337"/>
              <xdr:cNvSpPr/>
            </xdr:nvSpPr>
            <xdr:spPr>
              <a:xfrm>
                <a:off x="6713220" y="3253740"/>
                <a:ext cx="1226820" cy="240792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nl-NL" sz="1100"/>
              </a:p>
            </xdr:txBody>
          </xdr:sp>
          <xdr:sp macro="" textlink="">
            <xdr:nvSpPr>
              <xdr:cNvPr id="340" name="Rechthoek 339"/>
              <xdr:cNvSpPr/>
            </xdr:nvSpPr>
            <xdr:spPr>
              <a:xfrm>
                <a:off x="1219200" y="3246120"/>
                <a:ext cx="1226820" cy="243078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nl-NL" sz="1100"/>
              </a:p>
            </xdr:txBody>
          </xdr:sp>
          <xdr:grpSp>
            <xdr:nvGrpSpPr>
              <xdr:cNvPr id="341" name="Groep 55"/>
              <xdr:cNvGrpSpPr/>
            </xdr:nvGrpSpPr>
            <xdr:grpSpPr>
              <a:xfrm>
                <a:off x="1196340" y="784860"/>
                <a:ext cx="4907280" cy="4892040"/>
                <a:chOff x="1196340" y="784860"/>
                <a:chExt cx="4907280" cy="4892040"/>
              </a:xfrm>
            </xdr:grpSpPr>
            <xdr:grpSp>
              <xdr:nvGrpSpPr>
                <xdr:cNvPr id="400" name="Groep 47"/>
                <xdr:cNvGrpSpPr/>
              </xdr:nvGrpSpPr>
              <xdr:grpSpPr>
                <a:xfrm>
                  <a:off x="1196340" y="784860"/>
                  <a:ext cx="4907280" cy="4892040"/>
                  <a:chOff x="1196340" y="784860"/>
                  <a:chExt cx="4907280" cy="4892040"/>
                </a:xfrm>
              </xdr:grpSpPr>
              <xdr:grpSp>
                <xdr:nvGrpSpPr>
                  <xdr:cNvPr id="402" name="Groep 36"/>
                  <xdr:cNvGrpSpPr/>
                </xdr:nvGrpSpPr>
                <xdr:grpSpPr>
                  <a:xfrm>
                    <a:off x="1211580" y="784860"/>
                    <a:ext cx="4892040" cy="4892040"/>
                    <a:chOff x="1211580" y="784860"/>
                    <a:chExt cx="4892040" cy="6111240"/>
                  </a:xfrm>
                </xdr:grpSpPr>
                <xdr:cxnSp macro="">
                  <xdr:nvCxnSpPr>
                    <xdr:cNvPr id="413" name="Rechte verbindingslijn 412"/>
                    <xdr:cNvCxnSpPr/>
                  </xdr:nvCxnSpPr>
                  <xdr:spPr>
                    <a:xfrm flipH="1">
                      <a:off x="1211580" y="792480"/>
                      <a:ext cx="7620" cy="6088380"/>
                    </a:xfrm>
                    <a:prstGeom prst="line">
                      <a:avLst/>
                    </a:prstGeom>
                    <a:noFill/>
                    <a:ln w="22225" algn="ctr">
                      <a:solidFill>
                        <a:srgbClr val="000000"/>
                      </a:solidFill>
                      <a:round/>
                      <a:headEnd/>
                      <a:tailEnd/>
                    </a:ln>
                  </xdr:spPr>
                </xdr:cxnSp>
                <xdr:cxnSp macro="">
                  <xdr:nvCxnSpPr>
                    <xdr:cNvPr id="414" name="Rechte verbindingslijn 413"/>
                    <xdr:cNvCxnSpPr/>
                  </xdr:nvCxnSpPr>
                  <xdr:spPr>
                    <a:xfrm flipH="1">
                      <a:off x="1828800" y="800100"/>
                      <a:ext cx="7620" cy="6088380"/>
                    </a:xfrm>
                    <a:prstGeom prst="line">
                      <a:avLst/>
                    </a:prstGeom>
                    <a:noFill/>
                    <a:ln w="22225" algn="ctr">
                      <a:solidFill>
                        <a:srgbClr val="000000"/>
                      </a:solidFill>
                      <a:round/>
                      <a:headEnd/>
                      <a:tailEnd/>
                    </a:ln>
                  </xdr:spPr>
                </xdr:cxnSp>
                <xdr:cxnSp macro="">
                  <xdr:nvCxnSpPr>
                    <xdr:cNvPr id="415" name="Rechte verbindingslijn 414"/>
                    <xdr:cNvCxnSpPr/>
                  </xdr:nvCxnSpPr>
                  <xdr:spPr>
                    <a:xfrm flipH="1">
                      <a:off x="2438400" y="792480"/>
                      <a:ext cx="7620" cy="6088380"/>
                    </a:xfrm>
                    <a:prstGeom prst="line">
                      <a:avLst/>
                    </a:prstGeom>
                    <a:noFill/>
                    <a:ln w="22225" algn="ctr">
                      <a:solidFill>
                        <a:srgbClr val="000000"/>
                      </a:solidFill>
                      <a:round/>
                      <a:headEnd/>
                      <a:tailEnd/>
                    </a:ln>
                  </xdr:spPr>
                </xdr:cxnSp>
                <xdr:cxnSp macro="">
                  <xdr:nvCxnSpPr>
                    <xdr:cNvPr id="416" name="Rechte verbindingslijn 5"/>
                    <xdr:cNvCxnSpPr/>
                  </xdr:nvCxnSpPr>
                  <xdr:spPr>
                    <a:xfrm flipH="1">
                      <a:off x="3040380" y="800100"/>
                      <a:ext cx="7620" cy="6088380"/>
                    </a:xfrm>
                    <a:prstGeom prst="line">
                      <a:avLst/>
                    </a:prstGeom>
                    <a:noFill/>
                    <a:ln w="22225" algn="ctr">
                      <a:solidFill>
                        <a:srgbClr val="000000"/>
                      </a:solidFill>
                      <a:round/>
                      <a:headEnd/>
                      <a:tailEnd/>
                    </a:ln>
                  </xdr:spPr>
                </xdr:cxnSp>
                <xdr:cxnSp macro="">
                  <xdr:nvCxnSpPr>
                    <xdr:cNvPr id="417" name="Rechte verbindingslijn 6"/>
                    <xdr:cNvCxnSpPr/>
                  </xdr:nvCxnSpPr>
                  <xdr:spPr>
                    <a:xfrm flipH="1">
                      <a:off x="3657600" y="807720"/>
                      <a:ext cx="7620" cy="6088380"/>
                    </a:xfrm>
                    <a:prstGeom prst="line">
                      <a:avLst/>
                    </a:prstGeom>
                    <a:noFill/>
                    <a:ln w="22225" algn="ctr">
                      <a:solidFill>
                        <a:srgbClr val="000000"/>
                      </a:solidFill>
                      <a:round/>
                      <a:headEnd/>
                      <a:tailEnd/>
                    </a:ln>
                  </xdr:spPr>
                </xdr:cxnSp>
                <xdr:cxnSp macro="">
                  <xdr:nvCxnSpPr>
                    <xdr:cNvPr id="418" name="Rechte verbindingslijn 417"/>
                    <xdr:cNvCxnSpPr/>
                  </xdr:nvCxnSpPr>
                  <xdr:spPr>
                    <a:xfrm flipH="1">
                      <a:off x="4267200" y="800100"/>
                      <a:ext cx="7620" cy="6088380"/>
                    </a:xfrm>
                    <a:prstGeom prst="line">
                      <a:avLst/>
                    </a:prstGeom>
                    <a:noFill/>
                    <a:ln w="22225" algn="ctr">
                      <a:solidFill>
                        <a:srgbClr val="000000"/>
                      </a:solidFill>
                      <a:round/>
                      <a:headEnd/>
                      <a:tailEnd/>
                    </a:ln>
                  </xdr:spPr>
                </xdr:cxnSp>
                <xdr:cxnSp macro="">
                  <xdr:nvCxnSpPr>
                    <xdr:cNvPr id="419" name="Rechte verbindingslijn 418"/>
                    <xdr:cNvCxnSpPr/>
                  </xdr:nvCxnSpPr>
                  <xdr:spPr>
                    <a:xfrm flipH="1">
                      <a:off x="4884420" y="792480"/>
                      <a:ext cx="7620" cy="6088380"/>
                    </a:xfrm>
                    <a:prstGeom prst="line">
                      <a:avLst/>
                    </a:prstGeom>
                    <a:noFill/>
                    <a:ln w="22225" algn="ctr">
                      <a:solidFill>
                        <a:srgbClr val="000000"/>
                      </a:solidFill>
                      <a:round/>
                      <a:headEnd/>
                      <a:tailEnd/>
                    </a:ln>
                  </xdr:spPr>
                </xdr:cxnSp>
                <xdr:cxnSp macro="">
                  <xdr:nvCxnSpPr>
                    <xdr:cNvPr id="420" name="Rechte verbindingslijn 33"/>
                    <xdr:cNvCxnSpPr/>
                  </xdr:nvCxnSpPr>
                  <xdr:spPr>
                    <a:xfrm flipH="1">
                      <a:off x="5494020" y="800100"/>
                      <a:ext cx="7620" cy="6088380"/>
                    </a:xfrm>
                    <a:prstGeom prst="line">
                      <a:avLst/>
                    </a:prstGeom>
                    <a:noFill/>
                    <a:ln w="22225" algn="ctr">
                      <a:solidFill>
                        <a:srgbClr val="000000"/>
                      </a:solidFill>
                      <a:round/>
                      <a:headEnd/>
                      <a:tailEnd/>
                    </a:ln>
                  </xdr:spPr>
                </xdr:cxnSp>
                <xdr:cxnSp macro="">
                  <xdr:nvCxnSpPr>
                    <xdr:cNvPr id="421" name="Rechte verbindingslijn 420"/>
                    <xdr:cNvCxnSpPr/>
                  </xdr:nvCxnSpPr>
                  <xdr:spPr>
                    <a:xfrm flipH="1">
                      <a:off x="6096000" y="784860"/>
                      <a:ext cx="7620" cy="6088380"/>
                    </a:xfrm>
                    <a:prstGeom prst="line">
                      <a:avLst/>
                    </a:prstGeom>
                    <a:noFill/>
                    <a:ln w="22225" algn="ctr">
                      <a:solidFill>
                        <a:srgbClr val="000000"/>
                      </a:solidFill>
                      <a:round/>
                      <a:headEnd/>
                      <a:tailEnd/>
                    </a:ln>
                  </xdr:spPr>
                </xdr:cxnSp>
              </xdr:grpSp>
              <xdr:grpSp>
                <xdr:nvGrpSpPr>
                  <xdr:cNvPr id="403" name="Groep 37"/>
                  <xdr:cNvGrpSpPr/>
                </xdr:nvGrpSpPr>
                <xdr:grpSpPr>
                  <a:xfrm rot="5400000">
                    <a:off x="1211580" y="777240"/>
                    <a:ext cx="4876800" cy="4907280"/>
                    <a:chOff x="1211580" y="784860"/>
                    <a:chExt cx="4892040" cy="6111240"/>
                  </a:xfrm>
                </xdr:grpSpPr>
                <xdr:cxnSp macro="">
                  <xdr:nvCxnSpPr>
                    <xdr:cNvPr id="404" name="Rechte verbindingslijn 403"/>
                    <xdr:cNvCxnSpPr/>
                  </xdr:nvCxnSpPr>
                  <xdr:spPr>
                    <a:xfrm flipH="1">
                      <a:off x="1211580" y="792480"/>
                      <a:ext cx="7620" cy="6088380"/>
                    </a:xfrm>
                    <a:prstGeom prst="line">
                      <a:avLst/>
                    </a:prstGeom>
                    <a:noFill/>
                    <a:ln w="22225" algn="ctr">
                      <a:solidFill>
                        <a:srgbClr val="000000"/>
                      </a:solidFill>
                      <a:round/>
                      <a:headEnd/>
                      <a:tailEnd/>
                    </a:ln>
                  </xdr:spPr>
                </xdr:cxnSp>
                <xdr:cxnSp macro="">
                  <xdr:nvCxnSpPr>
                    <xdr:cNvPr id="405" name="Rechte verbindingslijn 404"/>
                    <xdr:cNvCxnSpPr/>
                  </xdr:nvCxnSpPr>
                  <xdr:spPr>
                    <a:xfrm flipH="1">
                      <a:off x="1828800" y="800100"/>
                      <a:ext cx="7620" cy="6088380"/>
                    </a:xfrm>
                    <a:prstGeom prst="line">
                      <a:avLst/>
                    </a:prstGeom>
                    <a:noFill/>
                    <a:ln w="22225" algn="ctr">
                      <a:solidFill>
                        <a:srgbClr val="000000"/>
                      </a:solidFill>
                      <a:round/>
                      <a:headEnd/>
                      <a:tailEnd/>
                    </a:ln>
                  </xdr:spPr>
                </xdr:cxnSp>
                <xdr:cxnSp macro="">
                  <xdr:nvCxnSpPr>
                    <xdr:cNvPr id="406" name="Rechte verbindingslijn 405"/>
                    <xdr:cNvCxnSpPr/>
                  </xdr:nvCxnSpPr>
                  <xdr:spPr>
                    <a:xfrm flipH="1">
                      <a:off x="2438400" y="792480"/>
                      <a:ext cx="7620" cy="6088380"/>
                    </a:xfrm>
                    <a:prstGeom prst="line">
                      <a:avLst/>
                    </a:prstGeom>
                    <a:noFill/>
                    <a:ln w="22225" algn="ctr">
                      <a:solidFill>
                        <a:srgbClr val="000000"/>
                      </a:solidFill>
                      <a:round/>
                      <a:headEnd/>
                      <a:tailEnd/>
                    </a:ln>
                  </xdr:spPr>
                </xdr:cxnSp>
                <xdr:cxnSp macro="">
                  <xdr:nvCxnSpPr>
                    <xdr:cNvPr id="407" name="Rechte verbindingslijn 406"/>
                    <xdr:cNvCxnSpPr/>
                  </xdr:nvCxnSpPr>
                  <xdr:spPr>
                    <a:xfrm flipH="1">
                      <a:off x="3040380" y="800100"/>
                      <a:ext cx="7620" cy="6088380"/>
                    </a:xfrm>
                    <a:prstGeom prst="line">
                      <a:avLst/>
                    </a:prstGeom>
                    <a:noFill/>
                    <a:ln w="22225" algn="ctr">
                      <a:solidFill>
                        <a:srgbClr val="000000"/>
                      </a:solidFill>
                      <a:round/>
                      <a:headEnd/>
                      <a:tailEnd/>
                    </a:ln>
                  </xdr:spPr>
                </xdr:cxnSp>
                <xdr:cxnSp macro="">
                  <xdr:nvCxnSpPr>
                    <xdr:cNvPr id="408" name="Rechte verbindingslijn 407"/>
                    <xdr:cNvCxnSpPr/>
                  </xdr:nvCxnSpPr>
                  <xdr:spPr>
                    <a:xfrm flipH="1">
                      <a:off x="3657600" y="807720"/>
                      <a:ext cx="7620" cy="6088380"/>
                    </a:xfrm>
                    <a:prstGeom prst="line">
                      <a:avLst/>
                    </a:prstGeom>
                    <a:noFill/>
                    <a:ln w="22225" algn="ctr">
                      <a:solidFill>
                        <a:srgbClr val="000000"/>
                      </a:solidFill>
                      <a:round/>
                      <a:headEnd/>
                      <a:tailEnd/>
                    </a:ln>
                  </xdr:spPr>
                </xdr:cxnSp>
                <xdr:cxnSp macro="">
                  <xdr:nvCxnSpPr>
                    <xdr:cNvPr id="409" name="Rechte verbindingslijn 408"/>
                    <xdr:cNvCxnSpPr/>
                  </xdr:nvCxnSpPr>
                  <xdr:spPr>
                    <a:xfrm flipH="1">
                      <a:off x="4267200" y="800100"/>
                      <a:ext cx="7620" cy="6088380"/>
                    </a:xfrm>
                    <a:prstGeom prst="line">
                      <a:avLst/>
                    </a:prstGeom>
                    <a:noFill/>
                    <a:ln w="22225" algn="ctr">
                      <a:solidFill>
                        <a:srgbClr val="000000"/>
                      </a:solidFill>
                      <a:round/>
                      <a:headEnd/>
                      <a:tailEnd/>
                    </a:ln>
                  </xdr:spPr>
                </xdr:cxnSp>
                <xdr:cxnSp macro="">
                  <xdr:nvCxnSpPr>
                    <xdr:cNvPr id="410" name="Rechte verbindingslijn 409"/>
                    <xdr:cNvCxnSpPr/>
                  </xdr:nvCxnSpPr>
                  <xdr:spPr>
                    <a:xfrm flipH="1">
                      <a:off x="4884420" y="792480"/>
                      <a:ext cx="7620" cy="6088380"/>
                    </a:xfrm>
                    <a:prstGeom prst="line">
                      <a:avLst/>
                    </a:prstGeom>
                    <a:noFill/>
                    <a:ln w="22225" algn="ctr">
                      <a:solidFill>
                        <a:srgbClr val="000000"/>
                      </a:solidFill>
                      <a:round/>
                      <a:headEnd/>
                      <a:tailEnd/>
                    </a:ln>
                  </xdr:spPr>
                </xdr:cxnSp>
                <xdr:cxnSp macro="">
                  <xdr:nvCxnSpPr>
                    <xdr:cNvPr id="411" name="Rechte verbindingslijn 410"/>
                    <xdr:cNvCxnSpPr/>
                  </xdr:nvCxnSpPr>
                  <xdr:spPr>
                    <a:xfrm flipH="1">
                      <a:off x="5494020" y="800100"/>
                      <a:ext cx="7620" cy="6088380"/>
                    </a:xfrm>
                    <a:prstGeom prst="line">
                      <a:avLst/>
                    </a:prstGeom>
                    <a:noFill/>
                    <a:ln w="22225" algn="ctr">
                      <a:solidFill>
                        <a:srgbClr val="000000"/>
                      </a:solidFill>
                      <a:round/>
                      <a:headEnd/>
                      <a:tailEnd/>
                    </a:ln>
                  </xdr:spPr>
                </xdr:cxnSp>
                <xdr:cxnSp macro="">
                  <xdr:nvCxnSpPr>
                    <xdr:cNvPr id="412" name="Rechte verbindingslijn 411"/>
                    <xdr:cNvCxnSpPr/>
                  </xdr:nvCxnSpPr>
                  <xdr:spPr>
                    <a:xfrm flipH="1">
                      <a:off x="6096000" y="784860"/>
                      <a:ext cx="7620" cy="6088380"/>
                    </a:xfrm>
                    <a:prstGeom prst="line">
                      <a:avLst/>
                    </a:prstGeom>
                    <a:noFill/>
                    <a:ln w="22225" algn="ctr">
                      <a:solidFill>
                        <a:srgbClr val="000000"/>
                      </a:solidFill>
                      <a:round/>
                      <a:headEnd/>
                      <a:tailEnd/>
                    </a:ln>
                  </xdr:spPr>
                </xdr:cxnSp>
              </xdr:grpSp>
            </xdr:grpSp>
            <xdr:cxnSp macro="">
              <xdr:nvCxnSpPr>
                <xdr:cNvPr id="401" name="Rechte verbindingslijn 400"/>
                <xdr:cNvCxnSpPr/>
              </xdr:nvCxnSpPr>
              <xdr:spPr>
                <a:xfrm>
                  <a:off x="1211580" y="807720"/>
                  <a:ext cx="2438400" cy="4846320"/>
                </a:xfrm>
                <a:prstGeom prst="line">
                  <a:avLst/>
                </a:prstGeom>
                <a:ln w="38100">
                  <a:solidFill>
                    <a:srgbClr val="3366FF"/>
                  </a:solidFill>
                </a:ln>
              </xdr:spPr>
              <xdr:style>
                <a:lnRef idx="1">
                  <a:schemeClr val="accent1"/>
                </a:lnRef>
                <a:fillRef idx="0">
                  <a:schemeClr val="accent1"/>
                </a:fillRef>
                <a:effectRef idx="0">
                  <a:schemeClr val="accent1"/>
                </a:effectRef>
                <a:fontRef idx="minor">
                  <a:schemeClr val="tx1"/>
                </a:fontRef>
              </xdr:style>
            </xdr:cxnSp>
          </xdr:grpSp>
          <xdr:grpSp>
            <xdr:nvGrpSpPr>
              <xdr:cNvPr id="342" name="Groep 56"/>
              <xdr:cNvGrpSpPr/>
            </xdr:nvGrpSpPr>
            <xdr:grpSpPr>
              <a:xfrm>
                <a:off x="6682740" y="792480"/>
                <a:ext cx="4907280" cy="4892040"/>
                <a:chOff x="1196340" y="784860"/>
                <a:chExt cx="4907280" cy="4892040"/>
              </a:xfrm>
            </xdr:grpSpPr>
            <xdr:grpSp>
              <xdr:nvGrpSpPr>
                <xdr:cNvPr id="377" name="Groep 47"/>
                <xdr:cNvGrpSpPr/>
              </xdr:nvGrpSpPr>
              <xdr:grpSpPr>
                <a:xfrm>
                  <a:off x="1196340" y="784860"/>
                  <a:ext cx="4907280" cy="4892040"/>
                  <a:chOff x="1196340" y="784860"/>
                  <a:chExt cx="4907280" cy="4892040"/>
                </a:xfrm>
              </xdr:grpSpPr>
              <xdr:grpSp>
                <xdr:nvGrpSpPr>
                  <xdr:cNvPr id="379" name="Groep 36"/>
                  <xdr:cNvGrpSpPr/>
                </xdr:nvGrpSpPr>
                <xdr:grpSpPr>
                  <a:xfrm>
                    <a:off x="1211580" y="784860"/>
                    <a:ext cx="4892040" cy="4892040"/>
                    <a:chOff x="1211580" y="784860"/>
                    <a:chExt cx="4892040" cy="6111240"/>
                  </a:xfrm>
                </xdr:grpSpPr>
                <xdr:cxnSp macro="">
                  <xdr:nvCxnSpPr>
                    <xdr:cNvPr id="391" name="Rechte verbindingslijn 2"/>
                    <xdr:cNvCxnSpPr/>
                  </xdr:nvCxnSpPr>
                  <xdr:spPr>
                    <a:xfrm flipH="1">
                      <a:off x="1211580" y="792480"/>
                      <a:ext cx="7620" cy="6088380"/>
                    </a:xfrm>
                    <a:prstGeom prst="line">
                      <a:avLst/>
                    </a:prstGeom>
                    <a:noFill/>
                    <a:ln w="22225" algn="ctr">
                      <a:solidFill>
                        <a:srgbClr val="000000"/>
                      </a:solidFill>
                      <a:round/>
                      <a:headEnd/>
                      <a:tailEnd/>
                    </a:ln>
                  </xdr:spPr>
                </xdr:cxnSp>
                <xdr:cxnSp macro="">
                  <xdr:nvCxnSpPr>
                    <xdr:cNvPr id="392" name="Rechte verbindingslijn 391"/>
                    <xdr:cNvCxnSpPr/>
                  </xdr:nvCxnSpPr>
                  <xdr:spPr>
                    <a:xfrm flipH="1">
                      <a:off x="1828800" y="800100"/>
                      <a:ext cx="7620" cy="6088380"/>
                    </a:xfrm>
                    <a:prstGeom prst="line">
                      <a:avLst/>
                    </a:prstGeom>
                    <a:noFill/>
                    <a:ln w="22225" algn="ctr">
                      <a:solidFill>
                        <a:srgbClr val="000000"/>
                      </a:solidFill>
                      <a:round/>
                      <a:headEnd/>
                      <a:tailEnd/>
                    </a:ln>
                  </xdr:spPr>
                </xdr:cxnSp>
                <xdr:cxnSp macro="">
                  <xdr:nvCxnSpPr>
                    <xdr:cNvPr id="393" name="Rechte verbindingslijn 4"/>
                    <xdr:cNvCxnSpPr/>
                  </xdr:nvCxnSpPr>
                  <xdr:spPr>
                    <a:xfrm flipH="1">
                      <a:off x="2438400" y="792480"/>
                      <a:ext cx="7620" cy="6088380"/>
                    </a:xfrm>
                    <a:prstGeom prst="line">
                      <a:avLst/>
                    </a:prstGeom>
                    <a:noFill/>
                    <a:ln w="22225" algn="ctr">
                      <a:solidFill>
                        <a:srgbClr val="000000"/>
                      </a:solidFill>
                      <a:round/>
                      <a:headEnd/>
                      <a:tailEnd/>
                    </a:ln>
                  </xdr:spPr>
                </xdr:cxnSp>
                <xdr:cxnSp macro="">
                  <xdr:nvCxnSpPr>
                    <xdr:cNvPr id="394" name="Rechte verbindingslijn 5"/>
                    <xdr:cNvCxnSpPr/>
                  </xdr:nvCxnSpPr>
                  <xdr:spPr>
                    <a:xfrm flipH="1">
                      <a:off x="3040380" y="800100"/>
                      <a:ext cx="7620" cy="6088380"/>
                    </a:xfrm>
                    <a:prstGeom prst="line">
                      <a:avLst/>
                    </a:prstGeom>
                    <a:noFill/>
                    <a:ln w="22225" algn="ctr">
                      <a:solidFill>
                        <a:srgbClr val="000000"/>
                      </a:solidFill>
                      <a:round/>
                      <a:headEnd/>
                      <a:tailEnd/>
                    </a:ln>
                  </xdr:spPr>
                </xdr:cxnSp>
                <xdr:cxnSp macro="">
                  <xdr:nvCxnSpPr>
                    <xdr:cNvPr id="395" name="Rechte verbindingslijn 6"/>
                    <xdr:cNvCxnSpPr/>
                  </xdr:nvCxnSpPr>
                  <xdr:spPr>
                    <a:xfrm flipH="1">
                      <a:off x="3657600" y="807720"/>
                      <a:ext cx="7620" cy="6088380"/>
                    </a:xfrm>
                    <a:prstGeom prst="line">
                      <a:avLst/>
                    </a:prstGeom>
                    <a:noFill/>
                    <a:ln w="22225" algn="ctr">
                      <a:solidFill>
                        <a:srgbClr val="000000"/>
                      </a:solidFill>
                      <a:round/>
                      <a:headEnd/>
                      <a:tailEnd/>
                    </a:ln>
                  </xdr:spPr>
                </xdr:cxnSp>
                <xdr:cxnSp macro="">
                  <xdr:nvCxnSpPr>
                    <xdr:cNvPr id="396" name="Rechte verbindingslijn 395"/>
                    <xdr:cNvCxnSpPr/>
                  </xdr:nvCxnSpPr>
                  <xdr:spPr>
                    <a:xfrm flipH="1">
                      <a:off x="4267200" y="800100"/>
                      <a:ext cx="7620" cy="6088380"/>
                    </a:xfrm>
                    <a:prstGeom prst="line">
                      <a:avLst/>
                    </a:prstGeom>
                    <a:noFill/>
                    <a:ln w="22225" algn="ctr">
                      <a:solidFill>
                        <a:srgbClr val="000000"/>
                      </a:solidFill>
                      <a:round/>
                      <a:headEnd/>
                      <a:tailEnd/>
                    </a:ln>
                  </xdr:spPr>
                </xdr:cxnSp>
                <xdr:cxnSp macro="">
                  <xdr:nvCxnSpPr>
                    <xdr:cNvPr id="397" name="Rechte verbindingslijn 396"/>
                    <xdr:cNvCxnSpPr/>
                  </xdr:nvCxnSpPr>
                  <xdr:spPr>
                    <a:xfrm flipH="1">
                      <a:off x="4884420" y="792480"/>
                      <a:ext cx="7620" cy="6088380"/>
                    </a:xfrm>
                    <a:prstGeom prst="line">
                      <a:avLst/>
                    </a:prstGeom>
                    <a:noFill/>
                    <a:ln w="22225" algn="ctr">
                      <a:solidFill>
                        <a:srgbClr val="000000"/>
                      </a:solidFill>
                      <a:round/>
                      <a:headEnd/>
                      <a:tailEnd/>
                    </a:ln>
                  </xdr:spPr>
                </xdr:cxnSp>
                <xdr:cxnSp macro="">
                  <xdr:nvCxnSpPr>
                    <xdr:cNvPr id="398" name="Rechte verbindingslijn 397"/>
                    <xdr:cNvCxnSpPr/>
                  </xdr:nvCxnSpPr>
                  <xdr:spPr>
                    <a:xfrm flipH="1">
                      <a:off x="5494020" y="800100"/>
                      <a:ext cx="7620" cy="6088380"/>
                    </a:xfrm>
                    <a:prstGeom prst="line">
                      <a:avLst/>
                    </a:prstGeom>
                    <a:noFill/>
                    <a:ln w="22225" algn="ctr">
                      <a:solidFill>
                        <a:srgbClr val="000000"/>
                      </a:solidFill>
                      <a:round/>
                      <a:headEnd/>
                      <a:tailEnd/>
                    </a:ln>
                  </xdr:spPr>
                </xdr:cxnSp>
                <xdr:cxnSp macro="">
                  <xdr:nvCxnSpPr>
                    <xdr:cNvPr id="399" name="Rechte verbindingslijn 398"/>
                    <xdr:cNvCxnSpPr/>
                  </xdr:nvCxnSpPr>
                  <xdr:spPr>
                    <a:xfrm flipH="1">
                      <a:off x="6096000" y="784860"/>
                      <a:ext cx="7620" cy="6088380"/>
                    </a:xfrm>
                    <a:prstGeom prst="line">
                      <a:avLst/>
                    </a:prstGeom>
                    <a:noFill/>
                    <a:ln w="22225" algn="ctr">
                      <a:solidFill>
                        <a:srgbClr val="000000"/>
                      </a:solidFill>
                      <a:round/>
                      <a:headEnd/>
                      <a:tailEnd/>
                    </a:ln>
                  </xdr:spPr>
                </xdr:cxnSp>
              </xdr:grpSp>
              <xdr:grpSp>
                <xdr:nvGrpSpPr>
                  <xdr:cNvPr id="380" name="Groep 37"/>
                  <xdr:cNvGrpSpPr/>
                </xdr:nvGrpSpPr>
                <xdr:grpSpPr>
                  <a:xfrm rot="5400000">
                    <a:off x="1211580" y="777240"/>
                    <a:ext cx="4876800" cy="4907280"/>
                    <a:chOff x="1211580" y="784860"/>
                    <a:chExt cx="4892040" cy="6111240"/>
                  </a:xfrm>
                </xdr:grpSpPr>
                <xdr:cxnSp macro="">
                  <xdr:nvCxnSpPr>
                    <xdr:cNvPr id="381" name="Rechte verbindingslijn 380"/>
                    <xdr:cNvCxnSpPr/>
                  </xdr:nvCxnSpPr>
                  <xdr:spPr>
                    <a:xfrm flipH="1">
                      <a:off x="1211580" y="792480"/>
                      <a:ext cx="7620" cy="6088380"/>
                    </a:xfrm>
                    <a:prstGeom prst="line">
                      <a:avLst/>
                    </a:prstGeom>
                    <a:noFill/>
                    <a:ln w="22225" algn="ctr">
                      <a:solidFill>
                        <a:srgbClr val="000000"/>
                      </a:solidFill>
                      <a:round/>
                      <a:headEnd/>
                      <a:tailEnd/>
                    </a:ln>
                  </xdr:spPr>
                </xdr:cxnSp>
                <xdr:cxnSp macro="">
                  <xdr:nvCxnSpPr>
                    <xdr:cNvPr id="382" name="Rechte verbindingslijn 381"/>
                    <xdr:cNvCxnSpPr/>
                  </xdr:nvCxnSpPr>
                  <xdr:spPr>
                    <a:xfrm flipH="1">
                      <a:off x="1828800" y="800100"/>
                      <a:ext cx="7620" cy="6088380"/>
                    </a:xfrm>
                    <a:prstGeom prst="line">
                      <a:avLst/>
                    </a:prstGeom>
                    <a:noFill/>
                    <a:ln w="22225" algn="ctr">
                      <a:solidFill>
                        <a:srgbClr val="000000"/>
                      </a:solidFill>
                      <a:round/>
                      <a:headEnd/>
                      <a:tailEnd/>
                    </a:ln>
                  </xdr:spPr>
                </xdr:cxnSp>
                <xdr:cxnSp macro="">
                  <xdr:nvCxnSpPr>
                    <xdr:cNvPr id="383" name="Rechte verbindingslijn 382"/>
                    <xdr:cNvCxnSpPr/>
                  </xdr:nvCxnSpPr>
                  <xdr:spPr>
                    <a:xfrm flipH="1">
                      <a:off x="2438400" y="792480"/>
                      <a:ext cx="7620" cy="6088380"/>
                    </a:xfrm>
                    <a:prstGeom prst="line">
                      <a:avLst/>
                    </a:prstGeom>
                    <a:noFill/>
                    <a:ln w="22225" algn="ctr">
                      <a:solidFill>
                        <a:srgbClr val="000000"/>
                      </a:solidFill>
                      <a:round/>
                      <a:headEnd/>
                      <a:tailEnd/>
                    </a:ln>
                  </xdr:spPr>
                </xdr:cxnSp>
                <xdr:cxnSp macro="">
                  <xdr:nvCxnSpPr>
                    <xdr:cNvPr id="384" name="Rechte verbindingslijn 383"/>
                    <xdr:cNvCxnSpPr/>
                  </xdr:nvCxnSpPr>
                  <xdr:spPr>
                    <a:xfrm flipH="1">
                      <a:off x="3040380" y="800100"/>
                      <a:ext cx="7620" cy="6088380"/>
                    </a:xfrm>
                    <a:prstGeom prst="line">
                      <a:avLst/>
                    </a:prstGeom>
                    <a:noFill/>
                    <a:ln w="22225" algn="ctr">
                      <a:solidFill>
                        <a:srgbClr val="000000"/>
                      </a:solidFill>
                      <a:round/>
                      <a:headEnd/>
                      <a:tailEnd/>
                    </a:ln>
                  </xdr:spPr>
                </xdr:cxnSp>
                <xdr:cxnSp macro="">
                  <xdr:nvCxnSpPr>
                    <xdr:cNvPr id="385" name="Rechte verbindingslijn 384"/>
                    <xdr:cNvCxnSpPr/>
                  </xdr:nvCxnSpPr>
                  <xdr:spPr>
                    <a:xfrm flipH="1">
                      <a:off x="3657600" y="807720"/>
                      <a:ext cx="7620" cy="6088380"/>
                    </a:xfrm>
                    <a:prstGeom prst="line">
                      <a:avLst/>
                    </a:prstGeom>
                    <a:noFill/>
                    <a:ln w="22225" algn="ctr">
                      <a:solidFill>
                        <a:srgbClr val="000000"/>
                      </a:solidFill>
                      <a:round/>
                      <a:headEnd/>
                      <a:tailEnd/>
                    </a:ln>
                  </xdr:spPr>
                </xdr:cxnSp>
                <xdr:cxnSp macro="">
                  <xdr:nvCxnSpPr>
                    <xdr:cNvPr id="386" name="Rechte verbindingslijn 385"/>
                    <xdr:cNvCxnSpPr/>
                  </xdr:nvCxnSpPr>
                  <xdr:spPr>
                    <a:xfrm flipH="1">
                      <a:off x="4267200" y="800100"/>
                      <a:ext cx="7620" cy="6088380"/>
                    </a:xfrm>
                    <a:prstGeom prst="line">
                      <a:avLst/>
                    </a:prstGeom>
                    <a:noFill/>
                    <a:ln w="22225" algn="ctr">
                      <a:solidFill>
                        <a:srgbClr val="000000"/>
                      </a:solidFill>
                      <a:round/>
                      <a:headEnd/>
                      <a:tailEnd/>
                    </a:ln>
                  </xdr:spPr>
                </xdr:cxnSp>
                <xdr:cxnSp macro="">
                  <xdr:nvCxnSpPr>
                    <xdr:cNvPr id="387" name="Rechte verbindingslijn 386"/>
                    <xdr:cNvCxnSpPr/>
                  </xdr:nvCxnSpPr>
                  <xdr:spPr>
                    <a:xfrm flipH="1">
                      <a:off x="4884420" y="792480"/>
                      <a:ext cx="7620" cy="6088380"/>
                    </a:xfrm>
                    <a:prstGeom prst="line">
                      <a:avLst/>
                    </a:prstGeom>
                    <a:noFill/>
                    <a:ln w="22225" algn="ctr">
                      <a:solidFill>
                        <a:srgbClr val="000000"/>
                      </a:solidFill>
                      <a:round/>
                      <a:headEnd/>
                      <a:tailEnd/>
                    </a:ln>
                  </xdr:spPr>
                </xdr:cxnSp>
                <xdr:cxnSp macro="">
                  <xdr:nvCxnSpPr>
                    <xdr:cNvPr id="389" name="Rechte verbindingslijn 388"/>
                    <xdr:cNvCxnSpPr/>
                  </xdr:nvCxnSpPr>
                  <xdr:spPr>
                    <a:xfrm flipH="1">
                      <a:off x="5494020" y="800100"/>
                      <a:ext cx="7620" cy="6088380"/>
                    </a:xfrm>
                    <a:prstGeom prst="line">
                      <a:avLst/>
                    </a:prstGeom>
                    <a:noFill/>
                    <a:ln w="22225" algn="ctr">
                      <a:solidFill>
                        <a:srgbClr val="000000"/>
                      </a:solidFill>
                      <a:round/>
                      <a:headEnd/>
                      <a:tailEnd/>
                    </a:ln>
                  </xdr:spPr>
                </xdr:cxnSp>
                <xdr:cxnSp macro="">
                  <xdr:nvCxnSpPr>
                    <xdr:cNvPr id="390" name="Rechte verbindingslijn 389"/>
                    <xdr:cNvCxnSpPr/>
                  </xdr:nvCxnSpPr>
                  <xdr:spPr>
                    <a:xfrm flipH="1">
                      <a:off x="6096000" y="784860"/>
                      <a:ext cx="7620" cy="6088380"/>
                    </a:xfrm>
                    <a:prstGeom prst="line">
                      <a:avLst/>
                    </a:prstGeom>
                    <a:noFill/>
                    <a:ln w="22225" algn="ctr">
                      <a:solidFill>
                        <a:srgbClr val="000000"/>
                      </a:solidFill>
                      <a:round/>
                      <a:headEnd/>
                      <a:tailEnd/>
                    </a:ln>
                  </xdr:spPr>
                </xdr:cxnSp>
              </xdr:grpSp>
            </xdr:grpSp>
            <xdr:cxnSp macro="">
              <xdr:nvCxnSpPr>
                <xdr:cNvPr id="378" name="Rechte verbindingslijn 377"/>
                <xdr:cNvCxnSpPr/>
              </xdr:nvCxnSpPr>
              <xdr:spPr>
                <a:xfrm>
                  <a:off x="1211580" y="807720"/>
                  <a:ext cx="2438400" cy="4846320"/>
                </a:xfrm>
                <a:prstGeom prst="line">
                  <a:avLst/>
                </a:prstGeom>
                <a:ln w="38100">
                  <a:solidFill>
                    <a:srgbClr val="3366FF"/>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43" name="Rechthoek 342"/>
              <xdr:cNvSpPr/>
            </xdr:nvSpPr>
            <xdr:spPr>
              <a:xfrm>
                <a:off x="13441680" y="3246120"/>
                <a:ext cx="601980" cy="2407920"/>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nl-NL" sz="1100">
                  <a:solidFill>
                    <a:schemeClr val="lt1"/>
                  </a:solidFill>
                  <a:latin typeface="+mn-lt"/>
                  <a:ea typeface="+mn-ea"/>
                  <a:cs typeface="+mn-cs"/>
                </a:endParaRPr>
              </a:p>
            </xdr:txBody>
          </xdr:sp>
          <xdr:sp macro="" textlink="">
            <xdr:nvSpPr>
              <xdr:cNvPr id="344" name="Rechthoek 343"/>
              <xdr:cNvSpPr/>
            </xdr:nvSpPr>
            <xdr:spPr>
              <a:xfrm>
                <a:off x="12214860" y="3246120"/>
                <a:ext cx="1226820" cy="240792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nl-NL" sz="1100"/>
              </a:p>
            </xdr:txBody>
          </xdr:sp>
          <xdr:grpSp>
            <xdr:nvGrpSpPr>
              <xdr:cNvPr id="345" name="Groep 84"/>
              <xdr:cNvGrpSpPr/>
            </xdr:nvGrpSpPr>
            <xdr:grpSpPr>
              <a:xfrm>
                <a:off x="12184380" y="784860"/>
                <a:ext cx="4907280" cy="4892040"/>
                <a:chOff x="1196340" y="784860"/>
                <a:chExt cx="4907280" cy="4892040"/>
              </a:xfrm>
            </xdr:grpSpPr>
            <xdr:grpSp>
              <xdr:nvGrpSpPr>
                <xdr:cNvPr id="348" name="Groep 47"/>
                <xdr:cNvGrpSpPr/>
              </xdr:nvGrpSpPr>
              <xdr:grpSpPr>
                <a:xfrm>
                  <a:off x="1196340" y="784860"/>
                  <a:ext cx="4907280" cy="4892040"/>
                  <a:chOff x="1196340" y="784860"/>
                  <a:chExt cx="4907280" cy="4892040"/>
                </a:xfrm>
              </xdr:grpSpPr>
              <xdr:grpSp>
                <xdr:nvGrpSpPr>
                  <xdr:cNvPr id="350" name="Groep 36"/>
                  <xdr:cNvGrpSpPr/>
                </xdr:nvGrpSpPr>
                <xdr:grpSpPr>
                  <a:xfrm>
                    <a:off x="1211580" y="784860"/>
                    <a:ext cx="4892040" cy="4892040"/>
                    <a:chOff x="1211580" y="784860"/>
                    <a:chExt cx="4892040" cy="6111240"/>
                  </a:xfrm>
                </xdr:grpSpPr>
                <xdr:cxnSp macro="">
                  <xdr:nvCxnSpPr>
                    <xdr:cNvPr id="362" name="Rechte verbindingslijn 2"/>
                    <xdr:cNvCxnSpPr/>
                  </xdr:nvCxnSpPr>
                  <xdr:spPr>
                    <a:xfrm flipH="1">
                      <a:off x="1211580" y="792480"/>
                      <a:ext cx="7620" cy="6088380"/>
                    </a:xfrm>
                    <a:prstGeom prst="line">
                      <a:avLst/>
                    </a:prstGeom>
                    <a:noFill/>
                    <a:ln w="22225" algn="ctr">
                      <a:solidFill>
                        <a:srgbClr val="000000"/>
                      </a:solidFill>
                      <a:round/>
                      <a:headEnd/>
                      <a:tailEnd/>
                    </a:ln>
                  </xdr:spPr>
                </xdr:cxnSp>
                <xdr:cxnSp macro="">
                  <xdr:nvCxnSpPr>
                    <xdr:cNvPr id="363" name="Rechte verbindingslijn 362"/>
                    <xdr:cNvCxnSpPr/>
                  </xdr:nvCxnSpPr>
                  <xdr:spPr>
                    <a:xfrm flipH="1">
                      <a:off x="1828800" y="800100"/>
                      <a:ext cx="7620" cy="6088380"/>
                    </a:xfrm>
                    <a:prstGeom prst="line">
                      <a:avLst/>
                    </a:prstGeom>
                    <a:noFill/>
                    <a:ln w="22225" algn="ctr">
                      <a:solidFill>
                        <a:srgbClr val="000000"/>
                      </a:solidFill>
                      <a:round/>
                      <a:headEnd/>
                      <a:tailEnd/>
                    </a:ln>
                  </xdr:spPr>
                </xdr:cxnSp>
                <xdr:cxnSp macro="">
                  <xdr:nvCxnSpPr>
                    <xdr:cNvPr id="364" name="Rechte verbindingslijn 4"/>
                    <xdr:cNvCxnSpPr/>
                  </xdr:nvCxnSpPr>
                  <xdr:spPr>
                    <a:xfrm flipH="1">
                      <a:off x="2438400" y="792480"/>
                      <a:ext cx="7620" cy="6088380"/>
                    </a:xfrm>
                    <a:prstGeom prst="line">
                      <a:avLst/>
                    </a:prstGeom>
                    <a:noFill/>
                    <a:ln w="22225" algn="ctr">
                      <a:solidFill>
                        <a:srgbClr val="000000"/>
                      </a:solidFill>
                      <a:round/>
                      <a:headEnd/>
                      <a:tailEnd/>
                    </a:ln>
                  </xdr:spPr>
                </xdr:cxnSp>
                <xdr:cxnSp macro="">
                  <xdr:nvCxnSpPr>
                    <xdr:cNvPr id="365" name="Rechte verbindingslijn 5"/>
                    <xdr:cNvCxnSpPr/>
                  </xdr:nvCxnSpPr>
                  <xdr:spPr>
                    <a:xfrm flipH="1">
                      <a:off x="3040380" y="800100"/>
                      <a:ext cx="7620" cy="6088380"/>
                    </a:xfrm>
                    <a:prstGeom prst="line">
                      <a:avLst/>
                    </a:prstGeom>
                    <a:noFill/>
                    <a:ln w="22225" algn="ctr">
                      <a:solidFill>
                        <a:srgbClr val="000000"/>
                      </a:solidFill>
                      <a:round/>
                      <a:headEnd/>
                      <a:tailEnd/>
                    </a:ln>
                  </xdr:spPr>
                </xdr:cxnSp>
                <xdr:cxnSp macro="">
                  <xdr:nvCxnSpPr>
                    <xdr:cNvPr id="372" name="Rechte verbindingslijn 6"/>
                    <xdr:cNvCxnSpPr/>
                  </xdr:nvCxnSpPr>
                  <xdr:spPr>
                    <a:xfrm flipH="1">
                      <a:off x="3657600" y="807720"/>
                      <a:ext cx="7620" cy="6088380"/>
                    </a:xfrm>
                    <a:prstGeom prst="line">
                      <a:avLst/>
                    </a:prstGeom>
                    <a:noFill/>
                    <a:ln w="22225" algn="ctr">
                      <a:solidFill>
                        <a:srgbClr val="000000"/>
                      </a:solidFill>
                      <a:round/>
                      <a:headEnd/>
                      <a:tailEnd/>
                    </a:ln>
                  </xdr:spPr>
                </xdr:cxnSp>
                <xdr:cxnSp macro="">
                  <xdr:nvCxnSpPr>
                    <xdr:cNvPr id="373" name="Rechte verbindingslijn 372"/>
                    <xdr:cNvCxnSpPr/>
                  </xdr:nvCxnSpPr>
                  <xdr:spPr>
                    <a:xfrm flipH="1">
                      <a:off x="4267200" y="800100"/>
                      <a:ext cx="7620" cy="6088380"/>
                    </a:xfrm>
                    <a:prstGeom prst="line">
                      <a:avLst/>
                    </a:prstGeom>
                    <a:noFill/>
                    <a:ln w="22225" algn="ctr">
                      <a:solidFill>
                        <a:srgbClr val="000000"/>
                      </a:solidFill>
                      <a:round/>
                      <a:headEnd/>
                      <a:tailEnd/>
                    </a:ln>
                  </xdr:spPr>
                </xdr:cxnSp>
                <xdr:cxnSp macro="">
                  <xdr:nvCxnSpPr>
                    <xdr:cNvPr id="374" name="Rechte verbindingslijn 373"/>
                    <xdr:cNvCxnSpPr/>
                  </xdr:nvCxnSpPr>
                  <xdr:spPr>
                    <a:xfrm flipH="1">
                      <a:off x="4884420" y="792480"/>
                      <a:ext cx="7620" cy="6088380"/>
                    </a:xfrm>
                    <a:prstGeom prst="line">
                      <a:avLst/>
                    </a:prstGeom>
                    <a:noFill/>
                    <a:ln w="22225" algn="ctr">
                      <a:solidFill>
                        <a:srgbClr val="000000"/>
                      </a:solidFill>
                      <a:round/>
                      <a:headEnd/>
                      <a:tailEnd/>
                    </a:ln>
                  </xdr:spPr>
                </xdr:cxnSp>
                <xdr:cxnSp macro="">
                  <xdr:nvCxnSpPr>
                    <xdr:cNvPr id="375" name="Rechte verbindingslijn 374"/>
                    <xdr:cNvCxnSpPr/>
                  </xdr:nvCxnSpPr>
                  <xdr:spPr>
                    <a:xfrm flipH="1">
                      <a:off x="5494020" y="800100"/>
                      <a:ext cx="7620" cy="6088380"/>
                    </a:xfrm>
                    <a:prstGeom prst="line">
                      <a:avLst/>
                    </a:prstGeom>
                    <a:noFill/>
                    <a:ln w="22225" algn="ctr">
                      <a:solidFill>
                        <a:srgbClr val="000000"/>
                      </a:solidFill>
                      <a:round/>
                      <a:headEnd/>
                      <a:tailEnd/>
                    </a:ln>
                  </xdr:spPr>
                </xdr:cxnSp>
                <xdr:cxnSp macro="">
                  <xdr:nvCxnSpPr>
                    <xdr:cNvPr id="376" name="Rechte verbindingslijn 375"/>
                    <xdr:cNvCxnSpPr/>
                  </xdr:nvCxnSpPr>
                  <xdr:spPr>
                    <a:xfrm flipH="1">
                      <a:off x="6096000" y="784860"/>
                      <a:ext cx="7620" cy="6088380"/>
                    </a:xfrm>
                    <a:prstGeom prst="line">
                      <a:avLst/>
                    </a:prstGeom>
                    <a:noFill/>
                    <a:ln w="22225" algn="ctr">
                      <a:solidFill>
                        <a:srgbClr val="000000"/>
                      </a:solidFill>
                      <a:round/>
                      <a:headEnd/>
                      <a:tailEnd/>
                    </a:ln>
                  </xdr:spPr>
                </xdr:cxnSp>
              </xdr:grpSp>
              <xdr:grpSp>
                <xdr:nvGrpSpPr>
                  <xdr:cNvPr id="351" name="Groep 37"/>
                  <xdr:cNvGrpSpPr/>
                </xdr:nvGrpSpPr>
                <xdr:grpSpPr>
                  <a:xfrm rot="5400000">
                    <a:off x="1211580" y="777240"/>
                    <a:ext cx="4876800" cy="4907280"/>
                    <a:chOff x="1211580" y="784860"/>
                    <a:chExt cx="4892040" cy="6111240"/>
                  </a:xfrm>
                </xdr:grpSpPr>
                <xdr:cxnSp macro="">
                  <xdr:nvCxnSpPr>
                    <xdr:cNvPr id="352" name="Rechte verbindingslijn 351"/>
                    <xdr:cNvCxnSpPr/>
                  </xdr:nvCxnSpPr>
                  <xdr:spPr>
                    <a:xfrm flipH="1">
                      <a:off x="1211580" y="792480"/>
                      <a:ext cx="7620" cy="6088380"/>
                    </a:xfrm>
                    <a:prstGeom prst="line">
                      <a:avLst/>
                    </a:prstGeom>
                    <a:noFill/>
                    <a:ln w="22225" algn="ctr">
                      <a:solidFill>
                        <a:srgbClr val="000000"/>
                      </a:solidFill>
                      <a:round/>
                      <a:headEnd/>
                      <a:tailEnd/>
                    </a:ln>
                  </xdr:spPr>
                </xdr:cxnSp>
                <xdr:cxnSp macro="">
                  <xdr:nvCxnSpPr>
                    <xdr:cNvPr id="353" name="Rechte verbindingslijn 352"/>
                    <xdr:cNvCxnSpPr/>
                  </xdr:nvCxnSpPr>
                  <xdr:spPr>
                    <a:xfrm flipH="1">
                      <a:off x="1828800" y="800100"/>
                      <a:ext cx="7620" cy="6088380"/>
                    </a:xfrm>
                    <a:prstGeom prst="line">
                      <a:avLst/>
                    </a:prstGeom>
                    <a:noFill/>
                    <a:ln w="22225" algn="ctr">
                      <a:solidFill>
                        <a:srgbClr val="000000"/>
                      </a:solidFill>
                      <a:round/>
                      <a:headEnd/>
                      <a:tailEnd/>
                    </a:ln>
                  </xdr:spPr>
                </xdr:cxnSp>
                <xdr:cxnSp macro="">
                  <xdr:nvCxnSpPr>
                    <xdr:cNvPr id="354" name="Rechte verbindingslijn 353"/>
                    <xdr:cNvCxnSpPr/>
                  </xdr:nvCxnSpPr>
                  <xdr:spPr>
                    <a:xfrm flipH="1">
                      <a:off x="2438400" y="792480"/>
                      <a:ext cx="7620" cy="6088380"/>
                    </a:xfrm>
                    <a:prstGeom prst="line">
                      <a:avLst/>
                    </a:prstGeom>
                    <a:noFill/>
                    <a:ln w="22225" algn="ctr">
                      <a:solidFill>
                        <a:srgbClr val="000000"/>
                      </a:solidFill>
                      <a:round/>
                      <a:headEnd/>
                      <a:tailEnd/>
                    </a:ln>
                  </xdr:spPr>
                </xdr:cxnSp>
                <xdr:cxnSp macro="">
                  <xdr:nvCxnSpPr>
                    <xdr:cNvPr id="355" name="Rechte verbindingslijn 354"/>
                    <xdr:cNvCxnSpPr/>
                  </xdr:nvCxnSpPr>
                  <xdr:spPr>
                    <a:xfrm flipH="1">
                      <a:off x="3040380" y="800100"/>
                      <a:ext cx="7620" cy="6088380"/>
                    </a:xfrm>
                    <a:prstGeom prst="line">
                      <a:avLst/>
                    </a:prstGeom>
                    <a:noFill/>
                    <a:ln w="22225" algn="ctr">
                      <a:solidFill>
                        <a:srgbClr val="000000"/>
                      </a:solidFill>
                      <a:round/>
                      <a:headEnd/>
                      <a:tailEnd/>
                    </a:ln>
                  </xdr:spPr>
                </xdr:cxnSp>
                <xdr:cxnSp macro="">
                  <xdr:nvCxnSpPr>
                    <xdr:cNvPr id="356" name="Rechte verbindingslijn 355"/>
                    <xdr:cNvCxnSpPr/>
                  </xdr:nvCxnSpPr>
                  <xdr:spPr>
                    <a:xfrm flipH="1">
                      <a:off x="3657600" y="807720"/>
                      <a:ext cx="7620" cy="6088380"/>
                    </a:xfrm>
                    <a:prstGeom prst="line">
                      <a:avLst/>
                    </a:prstGeom>
                    <a:noFill/>
                    <a:ln w="22225" algn="ctr">
                      <a:solidFill>
                        <a:srgbClr val="000000"/>
                      </a:solidFill>
                      <a:round/>
                      <a:headEnd/>
                      <a:tailEnd/>
                    </a:ln>
                  </xdr:spPr>
                </xdr:cxnSp>
                <xdr:cxnSp macro="">
                  <xdr:nvCxnSpPr>
                    <xdr:cNvPr id="358" name="Rechte verbindingslijn 357"/>
                    <xdr:cNvCxnSpPr/>
                  </xdr:nvCxnSpPr>
                  <xdr:spPr>
                    <a:xfrm flipH="1">
                      <a:off x="4267200" y="800100"/>
                      <a:ext cx="7620" cy="6088380"/>
                    </a:xfrm>
                    <a:prstGeom prst="line">
                      <a:avLst/>
                    </a:prstGeom>
                    <a:noFill/>
                    <a:ln w="22225" algn="ctr">
                      <a:solidFill>
                        <a:srgbClr val="000000"/>
                      </a:solidFill>
                      <a:round/>
                      <a:headEnd/>
                      <a:tailEnd/>
                    </a:ln>
                  </xdr:spPr>
                </xdr:cxnSp>
                <xdr:cxnSp macro="">
                  <xdr:nvCxnSpPr>
                    <xdr:cNvPr id="359" name="Rechte verbindingslijn 358"/>
                    <xdr:cNvCxnSpPr/>
                  </xdr:nvCxnSpPr>
                  <xdr:spPr>
                    <a:xfrm flipH="1">
                      <a:off x="4884420" y="792480"/>
                      <a:ext cx="7620" cy="6088380"/>
                    </a:xfrm>
                    <a:prstGeom prst="line">
                      <a:avLst/>
                    </a:prstGeom>
                    <a:noFill/>
                    <a:ln w="22225" algn="ctr">
                      <a:solidFill>
                        <a:srgbClr val="000000"/>
                      </a:solidFill>
                      <a:round/>
                      <a:headEnd/>
                      <a:tailEnd/>
                    </a:ln>
                  </xdr:spPr>
                </xdr:cxnSp>
                <xdr:cxnSp macro="">
                  <xdr:nvCxnSpPr>
                    <xdr:cNvPr id="360" name="Rechte verbindingslijn 359"/>
                    <xdr:cNvCxnSpPr/>
                  </xdr:nvCxnSpPr>
                  <xdr:spPr>
                    <a:xfrm flipH="1">
                      <a:off x="5494020" y="800100"/>
                      <a:ext cx="7620" cy="6088380"/>
                    </a:xfrm>
                    <a:prstGeom prst="line">
                      <a:avLst/>
                    </a:prstGeom>
                    <a:noFill/>
                    <a:ln w="22225" algn="ctr">
                      <a:solidFill>
                        <a:srgbClr val="000000"/>
                      </a:solidFill>
                      <a:round/>
                      <a:headEnd/>
                      <a:tailEnd/>
                    </a:ln>
                  </xdr:spPr>
                </xdr:cxnSp>
                <xdr:cxnSp macro="">
                  <xdr:nvCxnSpPr>
                    <xdr:cNvPr id="361" name="Rechte verbindingslijn 360"/>
                    <xdr:cNvCxnSpPr/>
                  </xdr:nvCxnSpPr>
                  <xdr:spPr>
                    <a:xfrm flipH="1">
                      <a:off x="6096000" y="784860"/>
                      <a:ext cx="7620" cy="6088380"/>
                    </a:xfrm>
                    <a:prstGeom prst="line">
                      <a:avLst/>
                    </a:prstGeom>
                    <a:noFill/>
                    <a:ln w="22225" algn="ctr">
                      <a:solidFill>
                        <a:srgbClr val="000000"/>
                      </a:solidFill>
                      <a:round/>
                      <a:headEnd/>
                      <a:tailEnd/>
                    </a:ln>
                  </xdr:spPr>
                </xdr:cxnSp>
              </xdr:grpSp>
            </xdr:grpSp>
            <xdr:cxnSp macro="">
              <xdr:nvCxnSpPr>
                <xdr:cNvPr id="349" name="Rechte verbindingslijn 348"/>
                <xdr:cNvCxnSpPr/>
              </xdr:nvCxnSpPr>
              <xdr:spPr>
                <a:xfrm>
                  <a:off x="1211580" y="807720"/>
                  <a:ext cx="2438400" cy="4846320"/>
                </a:xfrm>
                <a:prstGeom prst="line">
                  <a:avLst/>
                </a:prstGeom>
                <a:ln w="38100">
                  <a:solidFill>
                    <a:srgbClr val="3366FF"/>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47" name="Rechthoek 346"/>
              <xdr:cNvSpPr/>
            </xdr:nvSpPr>
            <xdr:spPr>
              <a:xfrm>
                <a:off x="12214860" y="3253740"/>
                <a:ext cx="1844040" cy="1203960"/>
              </a:xfrm>
              <a:prstGeom prst="rect">
                <a:avLst/>
              </a:prstGeom>
              <a:solidFill>
                <a:srgbClr val="CC00FF">
                  <a:alpha val="2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nl-NL" sz="1100"/>
              </a:p>
            </xdr:txBody>
          </xdr:sp>
        </xdr:grpSp>
        <xdr:cxnSp macro="">
          <xdr:nvCxnSpPr>
            <xdr:cNvPr id="334" name="Rechte verbindingslijn met pijl 333"/>
            <xdr:cNvCxnSpPr/>
          </xdr:nvCxnSpPr>
          <xdr:spPr bwMode="auto">
            <a:xfrm>
              <a:off x="3710940" y="32964120"/>
              <a:ext cx="243840" cy="0"/>
            </a:xfrm>
            <a:prstGeom prst="straightConnector1">
              <a:avLst/>
            </a:prstGeom>
            <a:solidFill>
              <a:srgbClr val="FFFFFF"/>
            </a:solidFill>
            <a:ln w="22225" cap="flat" cmpd="sng" algn="ctr">
              <a:solidFill>
                <a:srgbClr val="FF0000"/>
              </a:solidFill>
              <a:prstDash val="solid"/>
              <a:round/>
              <a:headEnd type="none" w="med" len="med"/>
              <a:tailEnd type="triangle"/>
            </a:ln>
            <a:effectLst/>
          </xdr:spPr>
        </xdr:cxnSp>
        <xdr:cxnSp macro="">
          <xdr:nvCxnSpPr>
            <xdr:cNvPr id="335" name="Rechte verbindingslijn met pijl 334"/>
            <xdr:cNvCxnSpPr/>
          </xdr:nvCxnSpPr>
          <xdr:spPr bwMode="auto">
            <a:xfrm>
              <a:off x="5356860" y="31897320"/>
              <a:ext cx="0" cy="502920"/>
            </a:xfrm>
            <a:prstGeom prst="straightConnector1">
              <a:avLst/>
            </a:prstGeom>
            <a:solidFill>
              <a:srgbClr val="FFFFFF"/>
            </a:solidFill>
            <a:ln w="22225" cap="flat" cmpd="sng" algn="ctr">
              <a:solidFill>
                <a:srgbClr val="FF0000"/>
              </a:solidFill>
              <a:prstDash val="solid"/>
              <a:round/>
              <a:headEnd type="none" w="med" len="med"/>
              <a:tailEnd type="triangle"/>
            </a:ln>
            <a:effectLst/>
          </xdr:spPr>
        </xdr:cxnSp>
      </xdr:grpSp>
      <xdr:grpSp>
        <xdr:nvGrpSpPr>
          <xdr:cNvPr id="326" name="Groep 542"/>
          <xdr:cNvGrpSpPr/>
        </xdr:nvGrpSpPr>
        <xdr:grpSpPr>
          <a:xfrm>
            <a:off x="769620" y="30800040"/>
            <a:ext cx="6720840" cy="2324100"/>
            <a:chOff x="769620" y="30800040"/>
            <a:chExt cx="6720840" cy="2324100"/>
          </a:xfrm>
        </xdr:grpSpPr>
        <xdr:sp macro="" textlink="">
          <xdr:nvSpPr>
            <xdr:cNvPr id="327" name="Tekstvak 326"/>
            <xdr:cNvSpPr txBox="1"/>
          </xdr:nvSpPr>
          <xdr:spPr>
            <a:xfrm>
              <a:off x="2758440" y="32842200"/>
              <a:ext cx="28956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t>q</a:t>
              </a:r>
            </a:p>
          </xdr:txBody>
        </xdr:sp>
        <xdr:sp macro="" textlink="">
          <xdr:nvSpPr>
            <xdr:cNvPr id="328" name="Tekstvak 327"/>
            <xdr:cNvSpPr txBox="1"/>
          </xdr:nvSpPr>
          <xdr:spPr>
            <a:xfrm>
              <a:off x="4968240" y="32834580"/>
              <a:ext cx="28956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t>q</a:t>
              </a:r>
            </a:p>
          </xdr:txBody>
        </xdr:sp>
        <xdr:sp macro="" textlink="">
          <xdr:nvSpPr>
            <xdr:cNvPr id="329" name="Tekstvak 328"/>
            <xdr:cNvSpPr txBox="1"/>
          </xdr:nvSpPr>
          <xdr:spPr>
            <a:xfrm>
              <a:off x="7200900" y="32842200"/>
              <a:ext cx="28956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t>q</a:t>
              </a:r>
            </a:p>
          </xdr:txBody>
        </xdr:sp>
        <xdr:sp macro="" textlink="">
          <xdr:nvSpPr>
            <xdr:cNvPr id="330" name="Tekstvak 329"/>
            <xdr:cNvSpPr txBox="1"/>
          </xdr:nvSpPr>
          <xdr:spPr>
            <a:xfrm>
              <a:off x="769620" y="30800040"/>
              <a:ext cx="28956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t>p</a:t>
              </a:r>
            </a:p>
          </xdr:txBody>
        </xdr:sp>
        <xdr:sp macro="" textlink="">
          <xdr:nvSpPr>
            <xdr:cNvPr id="331" name="Tekstvak 330"/>
            <xdr:cNvSpPr txBox="1"/>
          </xdr:nvSpPr>
          <xdr:spPr>
            <a:xfrm>
              <a:off x="2987040" y="30800040"/>
              <a:ext cx="28956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t>p</a:t>
              </a:r>
            </a:p>
          </xdr:txBody>
        </xdr:sp>
        <xdr:sp macro="" textlink="">
          <xdr:nvSpPr>
            <xdr:cNvPr id="332" name="Tekstvak 331"/>
            <xdr:cNvSpPr txBox="1"/>
          </xdr:nvSpPr>
          <xdr:spPr>
            <a:xfrm>
              <a:off x="5204460" y="30807660"/>
              <a:ext cx="28956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nl-NL" sz="1100" b="1"/>
                <a:t>p</a:t>
              </a:r>
            </a:p>
          </xdr:txBody>
        </xdr:sp>
      </xdr:grpSp>
    </xdr:grpSp>
    <xdr:clientData/>
  </xdr:twoCellAnchor>
</xdr:wsDr>
</file>

<file path=xl/drawings/drawing4.xml><?xml version="1.0" encoding="utf-8"?>
<c:userShapes xmlns:c="http://schemas.openxmlformats.org/drawingml/2006/chart">
  <cdr:relSizeAnchor xmlns:cdr="http://schemas.openxmlformats.org/drawingml/2006/chartDrawing">
    <cdr:from>
      <cdr:x>0.30749</cdr:x>
      <cdr:y>0.03437</cdr:y>
    </cdr:from>
    <cdr:to>
      <cdr:x>0.75643</cdr:x>
      <cdr:y>0.09253</cdr:y>
    </cdr:to>
    <cdr:sp macro="" textlink="">
      <cdr:nvSpPr>
        <cdr:cNvPr id="95233" name="Text Box 1"/>
        <cdr:cNvSpPr txBox="1">
          <a:spLocks xmlns:a="http://schemas.openxmlformats.org/drawingml/2006/main" noChangeArrowheads="1"/>
        </cdr:cNvSpPr>
      </cdr:nvSpPr>
      <cdr:spPr bwMode="auto">
        <a:xfrm xmlns:a="http://schemas.openxmlformats.org/drawingml/2006/main">
          <a:off x="1095374" y="105952"/>
          <a:ext cx="1590661" cy="1843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ctr" rtl="0">
            <a:defRPr sz="1000"/>
          </a:pPr>
          <a:r>
            <a:rPr lang="nl-NL" sz="1000" b="1" i="0" u="none" strike="noStrike" baseline="0">
              <a:solidFill>
                <a:srgbClr val="000000"/>
              </a:solidFill>
              <a:latin typeface="Arial"/>
              <a:cs typeface="Arial"/>
            </a:rPr>
            <a:t>TO-, TK-lijn</a:t>
          </a:r>
        </a:p>
      </cdr:txBody>
    </cdr:sp>
  </cdr:relSizeAnchor>
</c:userShapes>
</file>

<file path=xl/drawings/drawing5.xml><?xml version="1.0" encoding="utf-8"?>
<c:userShapes xmlns:c="http://schemas.openxmlformats.org/drawingml/2006/chart">
  <cdr:relSizeAnchor xmlns:cdr="http://schemas.openxmlformats.org/drawingml/2006/chartDrawing">
    <cdr:from>
      <cdr:x>0.30652</cdr:x>
      <cdr:y>0.03437</cdr:y>
    </cdr:from>
    <cdr:to>
      <cdr:x>0.75449</cdr:x>
      <cdr:y>0.09374</cdr:y>
    </cdr:to>
    <cdr:sp macro="" textlink="">
      <cdr:nvSpPr>
        <cdr:cNvPr id="95233" name="Text Box 1"/>
        <cdr:cNvSpPr txBox="1">
          <a:spLocks xmlns:a="http://schemas.openxmlformats.org/drawingml/2006/main" noChangeArrowheads="1"/>
        </cdr:cNvSpPr>
      </cdr:nvSpPr>
      <cdr:spPr bwMode="auto">
        <a:xfrm xmlns:a="http://schemas.openxmlformats.org/drawingml/2006/main">
          <a:off x="1095374" y="105952"/>
          <a:ext cx="1590661" cy="1843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ctr" rtl="0"/>
          <a:r>
            <a:rPr lang="nl-NL" sz="1100" b="1" i="0" baseline="0">
              <a:latin typeface="+mn-lt"/>
              <a:ea typeface="+mn-ea"/>
              <a:cs typeface="+mn-cs"/>
            </a:rPr>
            <a:t>TO-, TK-lijn</a:t>
          </a:r>
          <a:endParaRPr lang="nl-NL" sz="1000"/>
        </a:p>
      </cdr:txBody>
    </cdr:sp>
  </cdr:relSizeAnchor>
</c:userShapes>
</file>

<file path=xl/drawings/drawing6.xml><?xml version="1.0" encoding="utf-8"?>
<c:userShapes xmlns:c="http://schemas.openxmlformats.org/drawingml/2006/chart">
  <cdr:relSizeAnchor xmlns:cdr="http://schemas.openxmlformats.org/drawingml/2006/chartDrawing">
    <cdr:from>
      <cdr:x>0.307</cdr:x>
      <cdr:y>0.03413</cdr:y>
    </cdr:from>
    <cdr:to>
      <cdr:x>0.75594</cdr:x>
      <cdr:y>0.09205</cdr:y>
    </cdr:to>
    <cdr:sp macro="" textlink="">
      <cdr:nvSpPr>
        <cdr:cNvPr id="95233" name="Text Box 1"/>
        <cdr:cNvSpPr txBox="1">
          <a:spLocks xmlns:a="http://schemas.openxmlformats.org/drawingml/2006/main" noChangeArrowheads="1"/>
        </cdr:cNvSpPr>
      </cdr:nvSpPr>
      <cdr:spPr bwMode="auto">
        <a:xfrm xmlns:a="http://schemas.openxmlformats.org/drawingml/2006/main">
          <a:off x="1095374" y="105952"/>
          <a:ext cx="1590661" cy="1843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ctr" rtl="0">
            <a:defRPr sz="1000"/>
          </a:pPr>
          <a:r>
            <a:rPr lang="nl-NL" sz="1000" b="1" i="0" u="none" strike="noStrike" baseline="0">
              <a:solidFill>
                <a:srgbClr val="000000"/>
              </a:solidFill>
              <a:latin typeface="Arial"/>
              <a:cs typeface="Arial"/>
            </a:rPr>
            <a:t>TO- en TW-lijn</a:t>
          </a:r>
        </a:p>
      </cdr:txBody>
    </cdr:sp>
  </cdr:relSizeAnchor>
</c:userShapes>
</file>

<file path=xl/drawings/drawing7.xml><?xml version="1.0" encoding="utf-8"?>
<xdr:wsDr xmlns:xdr="http://schemas.openxmlformats.org/drawingml/2006/spreadsheetDrawing" xmlns:a="http://schemas.openxmlformats.org/drawingml/2006/main">
  <xdr:twoCellAnchor>
    <xdr:from>
      <xdr:col>85</xdr:col>
      <xdr:colOff>7620</xdr:colOff>
      <xdr:row>175</xdr:row>
      <xdr:rowOff>137160</xdr:rowOff>
    </xdr:from>
    <xdr:to>
      <xdr:col>158</xdr:col>
      <xdr:colOff>30480</xdr:colOff>
      <xdr:row>190</xdr:row>
      <xdr:rowOff>7620</xdr:rowOff>
    </xdr:to>
    <xdr:graphicFrame macro="">
      <xdr:nvGraphicFramePr>
        <xdr:cNvPr id="5936653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175</xdr:row>
      <xdr:rowOff>137160</xdr:rowOff>
    </xdr:from>
    <xdr:to>
      <xdr:col>83</xdr:col>
      <xdr:colOff>7620</xdr:colOff>
      <xdr:row>190</xdr:row>
      <xdr:rowOff>7620</xdr:rowOff>
    </xdr:to>
    <xdr:graphicFrame macro="">
      <xdr:nvGraphicFramePr>
        <xdr:cNvPr id="59366540"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xdr:colOff>
      <xdr:row>70</xdr:row>
      <xdr:rowOff>167640</xdr:rowOff>
    </xdr:from>
    <xdr:to>
      <xdr:col>80</xdr:col>
      <xdr:colOff>30480</xdr:colOff>
      <xdr:row>85</xdr:row>
      <xdr:rowOff>0</xdr:rowOff>
    </xdr:to>
    <xdr:graphicFrame macro="">
      <xdr:nvGraphicFramePr>
        <xdr:cNvPr id="59366541"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82</xdr:col>
      <xdr:colOff>38100</xdr:colOff>
      <xdr:row>70</xdr:row>
      <xdr:rowOff>167640</xdr:rowOff>
    </xdr:from>
    <xdr:to>
      <xdr:col>150</xdr:col>
      <xdr:colOff>15240</xdr:colOff>
      <xdr:row>85</xdr:row>
      <xdr:rowOff>0</xdr:rowOff>
    </xdr:to>
    <xdr:graphicFrame macro="">
      <xdr:nvGraphicFramePr>
        <xdr:cNvPr id="5936654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127</xdr:col>
      <xdr:colOff>7620</xdr:colOff>
      <xdr:row>1</xdr:row>
      <xdr:rowOff>38100</xdr:rowOff>
    </xdr:from>
    <xdr:to>
      <xdr:col>141</xdr:col>
      <xdr:colOff>30480</xdr:colOff>
      <xdr:row>4</xdr:row>
      <xdr:rowOff>198120</xdr:rowOff>
    </xdr:to>
    <xdr:sp macro="" textlink="">
      <xdr:nvSpPr>
        <xdr:cNvPr id="59366543" name="AutoShape 11">
          <a:hlinkClick xmlns:r="http://schemas.openxmlformats.org/officeDocument/2006/relationships" r:id="rId5"/>
        </xdr:cNvPr>
        <xdr:cNvSpPr>
          <a:spLocks noChangeArrowheads="1"/>
        </xdr:cNvSpPr>
      </xdr:nvSpPr>
      <xdr:spPr bwMode="auto">
        <a:xfrm>
          <a:off x="5996940" y="342900"/>
          <a:ext cx="662940" cy="678180"/>
        </a:xfrm>
        <a:prstGeom prst="bevel">
          <a:avLst>
            <a:gd name="adj" fmla="val 12500"/>
          </a:avLst>
        </a:prstGeom>
        <a:solidFill>
          <a:srgbClr val="800080"/>
        </a:solidFill>
        <a:ln w="9525">
          <a:solidFill>
            <a:srgbClr val="000000"/>
          </a:solidFill>
          <a:miter lim="800000"/>
          <a:headEnd/>
          <a:tailEnd/>
        </a:ln>
      </xdr:spPr>
    </xdr:sp>
    <xdr:clientData/>
  </xdr:twoCellAnchor>
</xdr:wsDr>
</file>

<file path=xl/drawings/drawing8.xml><?xml version="1.0" encoding="utf-8"?>
<c:userShapes xmlns:c="http://schemas.openxmlformats.org/drawingml/2006/chart">
  <cdr:relSizeAnchor xmlns:cdr="http://schemas.openxmlformats.org/drawingml/2006/chartDrawing">
    <cdr:from>
      <cdr:x>0.09975</cdr:x>
      <cdr:y>0.03509</cdr:y>
    </cdr:from>
    <cdr:to>
      <cdr:x>0.93007</cdr:x>
      <cdr:y>0.11314</cdr:y>
    </cdr:to>
    <cdr:sp macro="" textlink="">
      <cdr:nvSpPr>
        <cdr:cNvPr id="95233" name="Text Box 1"/>
        <cdr:cNvSpPr txBox="1">
          <a:spLocks xmlns:a="http://schemas.openxmlformats.org/drawingml/2006/main" noChangeArrowheads="1"/>
        </cdr:cNvSpPr>
      </cdr:nvSpPr>
      <cdr:spPr bwMode="auto">
        <a:xfrm xmlns:a="http://schemas.openxmlformats.org/drawingml/2006/main">
          <a:off x="403884" y="104280"/>
          <a:ext cx="3284315" cy="22909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ctr" rtl="0"/>
          <a:r>
            <a:rPr lang="nl-NL" sz="1100" b="1" i="0" baseline="0">
              <a:latin typeface="+mn-lt"/>
              <a:ea typeface="+mn-ea"/>
              <a:cs typeface="+mn-cs"/>
            </a:rPr>
            <a:t>GO-, MO-, GTK- en MK-lijn</a:t>
          </a:r>
          <a:endParaRPr lang="nl-NL" sz="1000"/>
        </a:p>
      </cdr:txBody>
    </cdr:sp>
  </cdr:relSizeAnchor>
</c:userShapes>
</file>

<file path=xl/drawings/drawing9.xml><?xml version="1.0" encoding="utf-8"?>
<c:userShapes xmlns:c="http://schemas.openxmlformats.org/drawingml/2006/chart">
  <cdr:relSizeAnchor xmlns:cdr="http://schemas.openxmlformats.org/drawingml/2006/chartDrawing">
    <cdr:from>
      <cdr:x>0.30555</cdr:x>
      <cdr:y>0.03413</cdr:y>
    </cdr:from>
    <cdr:to>
      <cdr:x>0.75401</cdr:x>
      <cdr:y>0.09252</cdr:y>
    </cdr:to>
    <cdr:sp macro="" textlink="">
      <cdr:nvSpPr>
        <cdr:cNvPr id="95233" name="Text Box 1"/>
        <cdr:cNvSpPr txBox="1">
          <a:spLocks xmlns:a="http://schemas.openxmlformats.org/drawingml/2006/main" noChangeArrowheads="1"/>
        </cdr:cNvSpPr>
      </cdr:nvSpPr>
      <cdr:spPr bwMode="auto">
        <a:xfrm xmlns:a="http://schemas.openxmlformats.org/drawingml/2006/main">
          <a:off x="1095374" y="105952"/>
          <a:ext cx="1590661" cy="1843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ctr" rtl="0"/>
          <a:r>
            <a:rPr lang="nl-NL" sz="1100" b="1" i="0" baseline="0">
              <a:latin typeface="+mn-lt"/>
              <a:ea typeface="+mn-ea"/>
              <a:cs typeface="+mn-cs"/>
            </a:rPr>
            <a:t>TO-, en TK-lijn</a:t>
          </a:r>
          <a:endParaRPr lang="nl-NL" sz="1100">
            <a:latin typeface="+mn-lt"/>
            <a:ea typeface="+mn-ea"/>
            <a:cs typeface="+mn-cs"/>
          </a:endParaRPr>
        </a:p>
      </cdr:txBody>
    </cdr:sp>
  </cdr:relSizeAnchor>
</c:userShape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222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222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5E&amp;?|%7b@%3e%3c" TargetMode="External"/><Relationship Id="rId13" Type="http://schemas.openxmlformats.org/officeDocument/2006/relationships/printerSettings" Target="../printerSettings/printerSettings10.bin"/><Relationship Id="rId3" Type="http://schemas.openxmlformats.org/officeDocument/2006/relationships/hyperlink" Target="mailto:!#&amp;?|{@&gt;&lt;" TargetMode="External"/><Relationship Id="rId7" Type="http://schemas.openxmlformats.org/officeDocument/2006/relationships/hyperlink" Target="mailto:!#&amp;?|{@&gt;^&lt;" TargetMode="External"/><Relationship Id="rId12" Type="http://schemas.openxmlformats.org/officeDocument/2006/relationships/hyperlink" Target="mailto:!#&amp;^|{@&gt;&lt;" TargetMode="External"/><Relationship Id="rId2" Type="http://schemas.openxmlformats.org/officeDocument/2006/relationships/hyperlink" Target="mailto:!#&amp;?|{@&gt;&lt;" TargetMode="External"/><Relationship Id="rId1" Type="http://schemas.openxmlformats.org/officeDocument/2006/relationships/hyperlink" Target="mailto:!#&amp;?|{@&gt;&lt;" TargetMode="External"/><Relationship Id="rId6" Type="http://schemas.openxmlformats.org/officeDocument/2006/relationships/hyperlink" Target="mailto:!#&amp;?|{@&lt;^" TargetMode="External"/><Relationship Id="rId11" Type="http://schemas.openxmlformats.org/officeDocument/2006/relationships/hyperlink" Target="mailto:!#&amp;?|{@&gt;&lt;" TargetMode="External"/><Relationship Id="rId5" Type="http://schemas.openxmlformats.org/officeDocument/2006/relationships/hyperlink" Target="mailto:!#&amp;?|{@&gt;&lt;" TargetMode="External"/><Relationship Id="rId10" Type="http://schemas.openxmlformats.org/officeDocument/2006/relationships/hyperlink" Target="mailto:!#^?|{@&gt;&lt;" TargetMode="External"/><Relationship Id="rId4" Type="http://schemas.openxmlformats.org/officeDocument/2006/relationships/hyperlink" Target="mailto:!#&amp;?|{@&gt;&lt;" TargetMode="External"/><Relationship Id="rId9" Type="http://schemas.openxmlformats.org/officeDocument/2006/relationships/hyperlink" Target="mailto:%5E#&amp;?|{@&gt;&l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BV500"/>
  <sheetViews>
    <sheetView tabSelected="1" workbookViewId="0">
      <selection activeCell="B1" sqref="B1"/>
    </sheetView>
  </sheetViews>
  <sheetFormatPr defaultRowHeight="13.2"/>
  <cols>
    <col min="1" max="1" width="0.6640625" customWidth="1"/>
    <col min="2" max="2" width="2.5546875" customWidth="1"/>
    <col min="3" max="3" width="0.6640625" customWidth="1"/>
    <col min="4" max="16" width="8.33203125" customWidth="1"/>
    <col min="17" max="17" width="6.88671875" customWidth="1"/>
    <col min="24" max="49" width="8.88671875" hidden="1" customWidth="1"/>
    <col min="50" max="51" width="8.88671875" customWidth="1"/>
  </cols>
  <sheetData>
    <row r="1" spans="1:74" ht="33.75" customHeight="1">
      <c r="A1" s="1"/>
      <c r="B1" s="6" t="s">
        <v>161</v>
      </c>
      <c r="C1" s="4"/>
      <c r="D1" s="18"/>
      <c r="E1" s="7" t="str">
        <f ca="1">IF(AND(Blad1!AY3=0,B5=1,A300="goltsteindocentversie"),"U heeft nog geen licentie maar kunt wel de versies inzien.",IF(AND(Blad1!AY3=0,B5=1),"Om het bestand te laten werken ...",IF(TODAY()&gt;=Blad1!$A$1,"Uw licentie is verlopen.","")))</f>
        <v/>
      </c>
      <c r="F1" s="7"/>
      <c r="G1" s="7"/>
      <c r="H1" s="7"/>
      <c r="I1" s="7"/>
      <c r="J1" s="7"/>
      <c r="K1" s="7"/>
      <c r="L1" s="7"/>
      <c r="M1" s="17"/>
      <c r="N1" s="17"/>
      <c r="O1" s="17"/>
      <c r="P1" s="17"/>
      <c r="Q1" s="17"/>
      <c r="R1" s="17"/>
      <c r="S1" s="17"/>
      <c r="T1" s="17"/>
      <c r="U1" s="17"/>
      <c r="V1" s="17"/>
      <c r="W1" s="17"/>
      <c r="X1" s="192" t="s">
        <v>12</v>
      </c>
      <c r="Y1" s="192" t="s">
        <v>13</v>
      </c>
      <c r="Z1" s="192" t="s">
        <v>14</v>
      </c>
      <c r="AA1" s="192" t="s">
        <v>138</v>
      </c>
      <c r="AB1" s="192" t="s">
        <v>139</v>
      </c>
      <c r="AC1" s="192" t="s">
        <v>141</v>
      </c>
      <c r="AD1" s="192" t="s">
        <v>140</v>
      </c>
      <c r="AE1" s="192" t="s">
        <v>142</v>
      </c>
      <c r="AF1" s="192" t="s">
        <v>143</v>
      </c>
      <c r="AG1" s="192" t="s">
        <v>164</v>
      </c>
      <c r="AH1" s="192" t="s">
        <v>165</v>
      </c>
      <c r="AI1" s="192" t="s">
        <v>166</v>
      </c>
      <c r="AJ1" s="192" t="s">
        <v>167</v>
      </c>
      <c r="AK1" s="192" t="s">
        <v>168</v>
      </c>
      <c r="AL1" s="192" t="s">
        <v>169</v>
      </c>
      <c r="AM1" s="192" t="s">
        <v>170</v>
      </c>
      <c r="AN1" s="192" t="s">
        <v>171</v>
      </c>
      <c r="AO1" s="192" t="s">
        <v>172</v>
      </c>
      <c r="AP1" s="192" t="s">
        <v>173</v>
      </c>
      <c r="AQ1" s="192" t="s">
        <v>149</v>
      </c>
      <c r="AR1" s="192" t="s">
        <v>150</v>
      </c>
      <c r="AS1" s="192" t="s">
        <v>151</v>
      </c>
      <c r="AT1" s="192" t="s">
        <v>152</v>
      </c>
      <c r="AU1" s="192" t="s">
        <v>153</v>
      </c>
      <c r="AV1" s="192" t="s">
        <v>154</v>
      </c>
      <c r="AW1" s="192" t="s">
        <v>155</v>
      </c>
      <c r="AX1" s="32"/>
      <c r="AY1" s="32"/>
      <c r="AZ1" s="32"/>
      <c r="BA1" s="32"/>
      <c r="BB1" s="32"/>
      <c r="BC1" s="32"/>
      <c r="BD1" s="32"/>
      <c r="BE1" s="32"/>
      <c r="BF1" s="32"/>
      <c r="BG1" s="32"/>
      <c r="BH1" s="32"/>
      <c r="BI1" s="32"/>
      <c r="BJ1" s="32"/>
      <c r="BK1" s="32"/>
      <c r="BL1" s="32"/>
      <c r="BM1" s="32"/>
      <c r="BN1" s="32"/>
      <c r="BO1" s="32"/>
      <c r="BP1" s="32"/>
      <c r="BQ1" s="32"/>
      <c r="BR1" s="32"/>
      <c r="BS1" s="32"/>
      <c r="BT1" s="32"/>
      <c r="BU1" s="32"/>
      <c r="BV1" s="32"/>
    </row>
    <row r="2" spans="1:74" ht="13.5" customHeight="1">
      <c r="A2" s="1"/>
      <c r="B2" s="455"/>
      <c r="C2" s="1"/>
      <c r="D2" s="18"/>
      <c r="E2" s="7" t="str">
        <f ca="1">IF(AND(TODAY()&gt;=Blad1!A1-10,TODAY()&lt;Blad1!A1-1),"Uw licentie verloopt binnenkort. Neem contact op met @hotmail.com.",IF(TODAY()=Blad1!A1-1,"Uw licentie is morgen verlopen!",""))</f>
        <v/>
      </c>
      <c r="F2" s="7"/>
      <c r="G2" s="7"/>
      <c r="H2" s="7"/>
      <c r="I2" s="7"/>
      <c r="J2" s="7"/>
      <c r="K2" s="7"/>
      <c r="L2" s="7"/>
      <c r="M2" s="17"/>
      <c r="N2" s="15"/>
      <c r="O2" s="17"/>
      <c r="P2" s="17"/>
      <c r="Q2" s="17"/>
      <c r="R2" s="17"/>
      <c r="S2" s="17"/>
      <c r="T2" s="17"/>
      <c r="U2" s="17"/>
      <c r="V2" s="17"/>
      <c r="W2" s="17"/>
      <c r="X2" s="136"/>
      <c r="Y2" s="136"/>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row>
    <row r="3" spans="1:74" ht="27" customHeight="1">
      <c r="A3" s="1"/>
      <c r="B3" s="1"/>
      <c r="C3" s="1"/>
      <c r="D3" s="18"/>
      <c r="E3" s="291" t="str">
        <f ca="1">IF(TODAY()&gt;=Blad1!A1,"Neem contact op met @hotmail.com",IF(AND(TODAY()&gt;=Blad1!A1-10,TODAY()&lt;Blad1!A1-1),"Neem contact op met @hotmail.com","Module: Resultaat bij prijszetting"))</f>
        <v>Module: Resultaat bij prijszetting</v>
      </c>
      <c r="F3" s="292"/>
      <c r="G3" s="293"/>
      <c r="H3" s="292"/>
      <c r="I3" s="292"/>
      <c r="J3" s="292"/>
      <c r="K3" s="292"/>
      <c r="L3" s="292"/>
      <c r="M3" s="292"/>
      <c r="N3" s="292"/>
      <c r="O3" s="292"/>
      <c r="P3" s="294" t="str">
        <f ca="1">IF(TODAY()&gt;=Blad1!A1,"","versienummer:")</f>
        <v>versienummer:</v>
      </c>
      <c r="Q3" s="241">
        <v>1</v>
      </c>
      <c r="R3" s="17"/>
      <c r="S3" s="17"/>
      <c r="T3" s="37" t="str">
        <f ca="1">IF(TODAY()&lt;Blad1!A1,"HAVO","")</f>
        <v>HAVO</v>
      </c>
      <c r="U3" s="17"/>
      <c r="V3" s="17"/>
      <c r="W3" s="17"/>
      <c r="X3" s="136"/>
      <c r="Y3" s="136"/>
      <c r="Z3" s="136"/>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row>
    <row r="4" spans="1:74" ht="10.5" customHeight="1">
      <c r="A4" s="1"/>
      <c r="B4" s="1"/>
      <c r="C4" s="1"/>
      <c r="D4" s="18"/>
      <c r="E4" s="8"/>
      <c r="F4" s="7"/>
      <c r="G4" s="7"/>
      <c r="H4" s="7"/>
      <c r="I4" s="7"/>
      <c r="J4" s="7"/>
      <c r="K4" s="7"/>
      <c r="L4" s="7"/>
      <c r="M4" s="17"/>
      <c r="N4" s="7"/>
      <c r="O4" s="7"/>
      <c r="P4" s="7"/>
      <c r="Q4" s="17"/>
      <c r="R4" s="17"/>
      <c r="S4" s="17"/>
      <c r="T4" s="17"/>
      <c r="U4" s="17"/>
      <c r="V4" s="17"/>
      <c r="W4" s="17"/>
      <c r="X4" s="136"/>
      <c r="Y4" s="136"/>
      <c r="Z4" s="136"/>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row>
    <row r="5" spans="1:74" ht="27" customHeight="1">
      <c r="A5" s="1"/>
      <c r="B5" s="455"/>
      <c r="C5" s="1"/>
      <c r="D5" s="7"/>
      <c r="E5" s="295" t="str">
        <f>IF(B5=2,"werkversie",IF(B5=1,"docentversie",IF(AND(B5&lt;&gt;1,Blad1!AY3=0),"Zonder licentienummer en toegangscode werkt maar één versie.",IF(A301="","De mogelijkheid om berekeningen op te vragen is uitgeschakeld.",""))))</f>
        <v>Zonder licentienummer en toegangscode werkt maar één versie.</v>
      </c>
      <c r="F5" s="7"/>
      <c r="G5" s="7"/>
      <c r="H5" s="7"/>
      <c r="I5" s="7"/>
      <c r="J5" s="7"/>
      <c r="K5" s="7"/>
      <c r="L5" s="7"/>
      <c r="M5" s="7"/>
      <c r="N5" s="7"/>
      <c r="O5" s="7"/>
      <c r="P5" s="294" t="str">
        <f ca="1">IF(TODAY()&gt;=Blad1!A1,"","serieletter:")</f>
        <v>serieletter:</v>
      </c>
      <c r="Q5" s="296"/>
      <c r="R5" s="17"/>
      <c r="S5" s="481" t="str">
        <f>"© "&amp;Blad1!AX4&amp;", Goltstein"</f>
        <v>© 2021, Goltstein</v>
      </c>
      <c r="T5" s="17"/>
      <c r="U5" s="17"/>
      <c r="V5" s="17"/>
      <c r="W5" s="15"/>
      <c r="X5" s="136"/>
      <c r="Y5" s="136"/>
      <c r="Z5" s="136"/>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row>
    <row r="6" spans="1:74">
      <c r="A6" s="1"/>
      <c r="B6" s="1"/>
      <c r="C6" s="1"/>
      <c r="D6" s="18"/>
      <c r="E6" s="7"/>
      <c r="F6" s="7"/>
      <c r="G6" s="7"/>
      <c r="H6" s="7"/>
      <c r="I6" s="7"/>
      <c r="J6" s="7"/>
      <c r="K6" s="7"/>
      <c r="L6" s="7"/>
      <c r="M6" s="17"/>
      <c r="N6" s="17"/>
      <c r="O6" s="17"/>
      <c r="P6" s="17"/>
      <c r="Q6" s="17"/>
      <c r="R6" s="17"/>
      <c r="S6" s="17"/>
      <c r="T6" s="17"/>
      <c r="U6" s="17"/>
      <c r="V6" s="17"/>
      <c r="W6" s="17"/>
      <c r="X6" s="136"/>
      <c r="Y6" s="136"/>
      <c r="Z6" s="136"/>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row>
    <row r="7" spans="1:74" ht="55.8" customHeight="1">
      <c r="A7" s="1"/>
      <c r="B7" s="1"/>
      <c r="C7" s="1"/>
      <c r="D7" s="2"/>
      <c r="E7" s="518" t="str">
        <f ca="1">IF(TODAY()&gt;=Blad1!A1,"","Sla voordat je begint het bestand op, waarbij je jouw voornaam toevoegt aan de bestandsnaam.")</f>
        <v>Sla voordat je begint het bestand op, waarbij je jouw voornaam toevoegt aan de bestandsnaam.</v>
      </c>
      <c r="F7" s="519"/>
      <c r="G7" s="519"/>
      <c r="H7" s="519"/>
      <c r="I7" s="519"/>
      <c r="J7" s="519"/>
      <c r="K7" s="519"/>
      <c r="L7" s="519"/>
      <c r="M7" s="519"/>
      <c r="N7" s="519"/>
      <c r="O7" s="519"/>
      <c r="P7" s="519"/>
      <c r="Q7" s="519"/>
      <c r="R7" s="519"/>
      <c r="S7" s="519"/>
      <c r="T7" s="2"/>
      <c r="U7" s="2"/>
      <c r="V7" s="2"/>
      <c r="W7" s="2"/>
      <c r="X7" s="136"/>
      <c r="Y7" s="136"/>
      <c r="Z7" s="136"/>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row>
    <row r="8" spans="1:74" ht="22.5" customHeight="1">
      <c r="A8" s="1"/>
      <c r="B8" s="1"/>
      <c r="C8" s="1"/>
      <c r="D8" s="2"/>
      <c r="E8" s="23"/>
      <c r="F8" s="19"/>
      <c r="G8" s="19"/>
      <c r="H8" s="19"/>
      <c r="I8" s="19"/>
      <c r="J8" s="19"/>
      <c r="K8" s="19"/>
      <c r="L8" s="20"/>
      <c r="M8" s="21"/>
      <c r="N8" s="21"/>
      <c r="O8" s="21"/>
      <c r="P8" s="21"/>
      <c r="Q8" s="21"/>
      <c r="R8" s="2"/>
      <c r="S8" s="2"/>
      <c r="T8" s="2"/>
      <c r="U8" s="2"/>
      <c r="V8" s="2"/>
      <c r="W8" s="2"/>
      <c r="X8" s="136"/>
      <c r="Y8" s="136"/>
      <c r="Z8" s="136"/>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row>
    <row r="9" spans="1:74" ht="12.75" customHeight="1">
      <c r="A9" s="1"/>
      <c r="B9" s="1"/>
      <c r="C9" s="1"/>
      <c r="D9" s="2"/>
      <c r="E9" s="23"/>
      <c r="F9" s="19"/>
      <c r="G9" s="19"/>
      <c r="H9" s="19"/>
      <c r="I9" s="19"/>
      <c r="J9" s="19"/>
      <c r="K9" s="19"/>
      <c r="L9" s="20"/>
      <c r="M9" s="21"/>
      <c r="N9" s="21"/>
      <c r="O9" s="21"/>
      <c r="P9" s="21"/>
      <c r="Q9" s="21"/>
      <c r="R9" s="2"/>
      <c r="S9" s="2"/>
      <c r="T9" s="2"/>
      <c r="U9" s="2"/>
      <c r="V9" s="2"/>
      <c r="W9" s="2"/>
      <c r="X9" s="136"/>
      <c r="Y9" s="136"/>
      <c r="Z9" s="136"/>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row>
    <row r="10" spans="1:74" ht="22.5" customHeight="1">
      <c r="A10" s="1"/>
      <c r="B10" s="1"/>
      <c r="C10" s="1"/>
      <c r="D10" s="2"/>
      <c r="E10" s="23" t="str">
        <f ca="1">IF(TODAY()&gt;=Blad1!A1,"","Vul dan in het witte vak hiernaast je naam in.")</f>
        <v>Vul dan in het witte vak hiernaast je naam in.</v>
      </c>
      <c r="F10" s="19"/>
      <c r="G10" s="19"/>
      <c r="H10" s="19"/>
      <c r="I10" s="19"/>
      <c r="J10" s="19"/>
      <c r="K10" s="19"/>
      <c r="L10" s="20"/>
      <c r="M10" s="21"/>
      <c r="N10" s="520"/>
      <c r="O10" s="520"/>
      <c r="P10" s="520"/>
      <c r="Q10" s="520"/>
      <c r="R10" s="520"/>
      <c r="S10" s="520"/>
      <c r="T10" s="2"/>
      <c r="U10" s="2"/>
      <c r="V10" s="2"/>
      <c r="W10" s="2"/>
      <c r="X10" s="136"/>
      <c r="Y10" s="136"/>
      <c r="Z10" s="136"/>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row>
    <row r="11" spans="1:74" ht="11.25" customHeight="1">
      <c r="A11" s="1"/>
      <c r="B11" s="1"/>
      <c r="C11" s="1"/>
      <c r="D11" s="2"/>
      <c r="E11" s="23"/>
      <c r="F11" s="19"/>
      <c r="G11" s="19"/>
      <c r="H11" s="19"/>
      <c r="I11" s="19"/>
      <c r="J11" s="19"/>
      <c r="K11" s="19"/>
      <c r="L11" s="20"/>
      <c r="M11" s="21"/>
      <c r="N11" s="21"/>
      <c r="O11" s="21"/>
      <c r="P11" s="21"/>
      <c r="Q11" s="21"/>
      <c r="R11" s="2"/>
      <c r="S11" s="2"/>
      <c r="T11" s="2"/>
      <c r="U11" s="2"/>
      <c r="V11" s="2"/>
      <c r="W11" s="2"/>
      <c r="X11" s="136"/>
      <c r="Y11" s="136"/>
      <c r="Z11" s="136"/>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row>
    <row r="12" spans="1:74" ht="22.5" customHeight="1">
      <c r="A12" s="1"/>
      <c r="B12" s="1"/>
      <c r="C12" s="1"/>
      <c r="D12" s="2"/>
      <c r="E12" s="23" t="str">
        <f ca="1">IF(TODAY()&gt;=Blad1!A1,"","Vul daarna hiernaast je klas in.")</f>
        <v>Vul daarna hiernaast je klas in.</v>
      </c>
      <c r="F12" s="19"/>
      <c r="G12" s="19"/>
      <c r="H12" s="19"/>
      <c r="I12" s="19"/>
      <c r="J12" s="19"/>
      <c r="K12" s="19"/>
      <c r="L12" s="20"/>
      <c r="M12" s="21"/>
      <c r="N12" s="520"/>
      <c r="O12" s="520"/>
      <c r="P12" s="520"/>
      <c r="Q12" s="520"/>
      <c r="R12" s="520"/>
      <c r="S12" s="520"/>
      <c r="T12" s="2"/>
      <c r="U12" s="2"/>
      <c r="V12" s="2"/>
      <c r="W12" s="2"/>
      <c r="X12" s="136"/>
      <c r="Y12" s="136"/>
      <c r="Z12" s="136"/>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row>
    <row r="13" spans="1:74" ht="11.25" customHeight="1">
      <c r="A13" s="1"/>
      <c r="B13" s="1"/>
      <c r="C13" s="1"/>
      <c r="D13" s="2"/>
      <c r="E13" s="23"/>
      <c r="F13" s="19"/>
      <c r="G13" s="19"/>
      <c r="H13" s="19"/>
      <c r="I13" s="19"/>
      <c r="J13" s="19"/>
      <c r="K13" s="19"/>
      <c r="L13" s="20"/>
      <c r="M13" s="21"/>
      <c r="N13" s="21"/>
      <c r="O13" s="21"/>
      <c r="P13" s="21"/>
      <c r="Q13" s="21"/>
      <c r="R13" s="2"/>
      <c r="S13" s="2"/>
      <c r="T13" s="2"/>
      <c r="U13" s="2"/>
      <c r="V13" s="2"/>
      <c r="W13" s="2"/>
      <c r="X13" s="136"/>
      <c r="Y13" s="136"/>
      <c r="Z13" s="136"/>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row>
    <row r="14" spans="1:74" ht="12.75" customHeight="1">
      <c r="A14" s="1"/>
      <c r="B14" s="1"/>
      <c r="C14" s="1"/>
      <c r="D14" s="2"/>
      <c r="E14" s="53"/>
      <c r="F14" s="19"/>
      <c r="G14" s="19"/>
      <c r="H14" s="19"/>
      <c r="I14" s="19"/>
      <c r="J14" s="19"/>
      <c r="K14" s="19"/>
      <c r="L14" s="20"/>
      <c r="M14" s="21"/>
      <c r="N14" s="21"/>
      <c r="O14" s="21"/>
      <c r="P14" s="21"/>
      <c r="Q14" s="21"/>
      <c r="R14" s="2"/>
      <c r="S14" s="2"/>
      <c r="T14" s="2"/>
      <c r="U14" s="2"/>
      <c r="V14" s="2"/>
      <c r="W14" s="2"/>
      <c r="X14" s="136"/>
      <c r="Y14" s="136"/>
      <c r="Z14" s="136"/>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row>
    <row r="15" spans="1:74" ht="22.5" customHeight="1">
      <c r="A15" s="1"/>
      <c r="B15" s="1"/>
      <c r="C15" s="1"/>
      <c r="D15" s="2"/>
      <c r="E15" s="23" t="str">
        <f ca="1">IF(TODAY()&gt;=Blad1!A1,"","Vraag aan je docent je versienummer. Klik daarna op het onderwerp waarmee")</f>
        <v>Vraag aan je docent je versienummer. Klik daarna op het onderwerp waarmee</v>
      </c>
      <c r="F15" s="19"/>
      <c r="G15" s="19"/>
      <c r="H15" s="19"/>
      <c r="I15" s="19"/>
      <c r="J15" s="19"/>
      <c r="K15" s="19"/>
      <c r="L15" s="20"/>
      <c r="M15" s="21"/>
      <c r="N15" s="21"/>
      <c r="O15" s="21"/>
      <c r="P15" s="21"/>
      <c r="Q15" s="21"/>
      <c r="R15" s="2"/>
      <c r="S15" s="2"/>
      <c r="T15" s="2"/>
      <c r="U15" s="2"/>
      <c r="V15" s="2"/>
      <c r="W15" s="2"/>
      <c r="X15" s="136"/>
      <c r="Y15" s="136"/>
      <c r="Z15" s="136"/>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row>
    <row r="16" spans="1:74" ht="22.5" customHeight="1">
      <c r="A16" s="1"/>
      <c r="B16" s="1"/>
      <c r="C16" s="1"/>
      <c r="D16" s="2"/>
      <c r="E16" s="23" t="str">
        <f ca="1">IF(TODAY()&gt;=Blad1!A1,"","je wilt beginnen. Als je een onderwerp af hebt, staat er een groene √ voor.")</f>
        <v>je wilt beginnen. Als je een onderwerp af hebt, staat er een groene √ voor.</v>
      </c>
      <c r="F16" s="19"/>
      <c r="G16" s="19"/>
      <c r="H16" s="19"/>
      <c r="I16" s="19"/>
      <c r="J16" s="19"/>
      <c r="K16" s="19"/>
      <c r="L16" s="20"/>
      <c r="M16" s="21"/>
      <c r="N16" s="21"/>
      <c r="O16" s="21"/>
      <c r="P16" s="21"/>
      <c r="Q16" s="21"/>
      <c r="R16" s="2"/>
      <c r="S16" s="2"/>
      <c r="T16" s="2"/>
      <c r="U16" s="2"/>
      <c r="V16" s="2"/>
      <c r="W16" s="2"/>
      <c r="X16" s="136"/>
      <c r="Y16" s="136"/>
      <c r="Z16" s="136"/>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row>
    <row r="17" spans="1:74" ht="18" customHeight="1">
      <c r="A17" s="1"/>
      <c r="B17" s="1"/>
      <c r="C17" s="1"/>
      <c r="D17" s="2"/>
      <c r="E17" s="22"/>
      <c r="F17" s="19"/>
      <c r="G17" s="19"/>
      <c r="H17" s="19"/>
      <c r="I17" s="19"/>
      <c r="J17" s="19"/>
      <c r="K17" s="19"/>
      <c r="L17" s="20"/>
      <c r="M17" s="21"/>
      <c r="N17" s="21"/>
      <c r="O17" s="21"/>
      <c r="P17" s="21"/>
      <c r="Q17" s="21"/>
      <c r="R17" s="2"/>
      <c r="S17" s="2"/>
      <c r="T17" s="2"/>
      <c r="U17" s="2"/>
      <c r="V17" s="2"/>
      <c r="W17" s="2"/>
      <c r="X17" s="136"/>
      <c r="Y17" s="136"/>
      <c r="Z17" s="136"/>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row>
    <row r="18" spans="1:74" ht="18" customHeight="1">
      <c r="A18" s="1"/>
      <c r="B18" s="1"/>
      <c r="C18" s="1"/>
      <c r="D18" s="2"/>
      <c r="E18" s="524" t="str">
        <f ca="1">IF(TODAY()&gt;=Blad1!A1,"","Inleiding")</f>
        <v>Inleiding</v>
      </c>
      <c r="F18" s="522"/>
      <c r="G18" s="522"/>
      <c r="H18" s="522"/>
      <c r="I18" s="522"/>
      <c r="J18" s="522"/>
      <c r="K18" s="19"/>
      <c r="L18" s="20"/>
      <c r="M18" s="21"/>
      <c r="N18" s="21"/>
      <c r="O18" s="21"/>
      <c r="P18" s="21"/>
      <c r="Q18" s="2"/>
      <c r="R18" s="2"/>
      <c r="S18" s="2"/>
      <c r="T18" s="2"/>
      <c r="U18" s="2"/>
      <c r="V18" s="2"/>
      <c r="W18" s="2"/>
      <c r="X18" s="136"/>
      <c r="Y18" s="136"/>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row>
    <row r="19" spans="1:74" ht="17.25" customHeight="1">
      <c r="A19" s="1"/>
      <c r="B19" s="1"/>
      <c r="C19" s="1"/>
      <c r="D19" s="2"/>
      <c r="E19" s="364"/>
      <c r="F19" s="364"/>
      <c r="G19" s="364"/>
      <c r="H19" s="364"/>
      <c r="I19" s="19"/>
      <c r="J19" s="19"/>
      <c r="K19" s="19"/>
      <c r="L19" s="20"/>
      <c r="M19" s="21"/>
      <c r="N19" s="21"/>
      <c r="O19" s="21"/>
      <c r="P19" s="21"/>
      <c r="Q19" s="21"/>
      <c r="R19" s="2"/>
      <c r="S19" s="2"/>
      <c r="T19" s="2"/>
      <c r="U19" s="2"/>
      <c r="V19" s="2"/>
      <c r="W19" s="2"/>
      <c r="X19" s="136"/>
      <c r="Y19" s="136"/>
      <c r="Z19" s="136"/>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row>
    <row r="20" spans="1:74" ht="18" customHeight="1">
      <c r="A20" s="1"/>
      <c r="B20" s="1"/>
      <c r="C20" s="1"/>
      <c r="D20" s="378" t="str">
        <f ca="1">IF(Toets!FM461=1,"√","")</f>
        <v/>
      </c>
      <c r="E20" s="521" t="str">
        <f ca="1">IF(TODAY()&gt;=Blad1!A1,"","Toets")</f>
        <v>Toets</v>
      </c>
      <c r="F20" s="521"/>
      <c r="G20" s="521"/>
      <c r="H20" s="521"/>
      <c r="I20" s="521"/>
      <c r="J20" s="521"/>
      <c r="K20" s="521"/>
      <c r="L20" s="521"/>
      <c r="M20" s="379"/>
      <c r="N20" s="379"/>
      <c r="O20" s="379"/>
      <c r="P20" s="379"/>
      <c r="Q20" s="21"/>
      <c r="R20" s="21"/>
      <c r="S20" s="21"/>
      <c r="T20" s="2"/>
      <c r="U20" s="2"/>
      <c r="V20" s="2"/>
      <c r="W20" s="2"/>
      <c r="X20" s="136"/>
      <c r="Y20" s="136"/>
      <c r="Z20" s="136"/>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row>
    <row r="21" spans="1:74" ht="18" customHeight="1">
      <c r="A21" s="1"/>
      <c r="B21" s="1"/>
      <c r="C21" s="1"/>
      <c r="D21" s="378"/>
      <c r="E21" s="365"/>
      <c r="F21" s="365"/>
      <c r="G21" s="365"/>
      <c r="H21" s="365"/>
      <c r="I21" s="365"/>
      <c r="J21" s="365"/>
      <c r="K21" s="365"/>
      <c r="L21" s="365"/>
      <c r="M21" s="379"/>
      <c r="N21" s="379"/>
      <c r="O21" s="379"/>
      <c r="P21" s="379"/>
      <c r="Q21" s="21"/>
      <c r="R21" s="21"/>
      <c r="S21" s="21"/>
      <c r="T21" s="2"/>
      <c r="U21" s="2"/>
      <c r="V21" s="2"/>
      <c r="W21" s="2"/>
      <c r="X21" s="136"/>
      <c r="Y21" s="136"/>
      <c r="Z21" s="136"/>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row>
    <row r="22" spans="1:74" ht="18" customHeight="1">
      <c r="A22" s="1"/>
      <c r="B22" s="1"/>
      <c r="C22" s="1"/>
      <c r="D22" s="134" t="str">
        <f ca="1">IF('TO, TK en TW'!FO365=1,"√","")</f>
        <v/>
      </c>
      <c r="E22" s="521" t="str">
        <f ca="1">IF(TODAY()&gt;=Blad1!A1,"","1. Totale Opbrengst, Totale Kosten en Totale Winst")</f>
        <v>1. Totale Opbrengst, Totale Kosten en Totale Winst</v>
      </c>
      <c r="F22" s="522"/>
      <c r="G22" s="522"/>
      <c r="H22" s="522"/>
      <c r="I22" s="522"/>
      <c r="J22" s="522"/>
      <c r="K22" s="522"/>
      <c r="L22" s="522"/>
      <c r="M22" s="224"/>
      <c r="N22" s="224"/>
      <c r="O22" s="224"/>
      <c r="P22" s="224"/>
      <c r="Q22" s="224"/>
      <c r="R22" s="2"/>
      <c r="S22" s="2"/>
      <c r="T22" s="2"/>
      <c r="U22" s="2"/>
      <c r="V22" s="2"/>
      <c r="W22" s="2"/>
      <c r="X22" s="136"/>
      <c r="Y22" s="136"/>
      <c r="Z22" s="136"/>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row>
    <row r="23" spans="1:74" ht="18" customHeight="1">
      <c r="A23" s="1"/>
      <c r="B23" s="1"/>
      <c r="C23" s="1"/>
      <c r="D23" s="134" t="str">
        <f ca="1">IF('Gemiddeld en marginaal'!FN395=1,"√","")</f>
        <v/>
      </c>
      <c r="E23" s="524" t="str">
        <f ca="1">IF(TODAY()&gt;=Blad1!A1,"","2. Gemiddeld en marginaal")</f>
        <v>2. Gemiddeld en marginaal</v>
      </c>
      <c r="F23" s="524"/>
      <c r="G23" s="524"/>
      <c r="H23" s="524"/>
      <c r="I23" s="524"/>
      <c r="J23" s="524"/>
      <c r="K23" s="224"/>
      <c r="L23" s="224"/>
      <c r="M23" s="224"/>
      <c r="N23" s="224"/>
      <c r="O23" s="224"/>
      <c r="P23" s="224"/>
      <c r="Q23" s="224"/>
      <c r="R23" s="2"/>
      <c r="S23" s="2"/>
      <c r="T23" s="2"/>
      <c r="U23" s="2"/>
      <c r="V23" s="2"/>
      <c r="W23" s="2"/>
      <c r="X23" s="136"/>
      <c r="Y23" s="136"/>
      <c r="Z23" s="136"/>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row>
    <row r="24" spans="1:74" ht="18" customHeight="1">
      <c r="A24" s="1"/>
      <c r="B24" s="1"/>
      <c r="C24" s="1"/>
      <c r="D24" s="134" t="str">
        <f>IF('TVK, TCK, GVK en GCK'!FN117=1,"√","")</f>
        <v/>
      </c>
      <c r="E24" s="521" t="str">
        <f ca="1">IF(TODAY()&gt;=Blad1!A1,"","3. TVK, TCK, GVK en GCK")</f>
        <v>3. TVK, TCK, GVK en GCK</v>
      </c>
      <c r="F24" s="521"/>
      <c r="G24" s="521"/>
      <c r="H24" s="521"/>
      <c r="I24" s="521"/>
      <c r="J24" s="521"/>
      <c r="K24" s="224"/>
      <c r="L24" s="224"/>
      <c r="M24" s="224"/>
      <c r="N24" s="224"/>
      <c r="O24" s="224"/>
      <c r="P24" s="224"/>
      <c r="Q24" s="224"/>
      <c r="R24" s="2"/>
      <c r="S24" s="2"/>
      <c r="T24" s="2"/>
      <c r="U24" s="2"/>
      <c r="V24" s="2"/>
      <c r="W24" s="2"/>
      <c r="X24" s="136"/>
      <c r="Y24" s="136"/>
      <c r="Z24" s="136"/>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row>
    <row r="25" spans="1:74" ht="18" customHeight="1">
      <c r="A25" s="1"/>
      <c r="B25" s="1"/>
      <c r="C25" s="1"/>
      <c r="D25" s="134" t="str">
        <f ca="1">IF('Berekening maximale winst'!FN334=1,"√","")</f>
        <v/>
      </c>
      <c r="E25" s="521" t="str">
        <f ca="1">IF(TODAY()&gt;=Blad1!A1,"","4. Berekening maximale winst")</f>
        <v>4. Berekening maximale winst</v>
      </c>
      <c r="F25" s="523"/>
      <c r="G25" s="523"/>
      <c r="H25" s="523"/>
      <c r="I25" s="523"/>
      <c r="J25" s="224"/>
      <c r="K25" s="224"/>
      <c r="L25" s="224"/>
      <c r="M25" s="224"/>
      <c r="N25" s="224"/>
      <c r="O25" s="224"/>
      <c r="P25" s="224"/>
      <c r="Q25" s="224"/>
      <c r="R25" s="2"/>
      <c r="S25" s="2"/>
      <c r="T25" s="2"/>
      <c r="U25" s="2"/>
      <c r="V25" s="2"/>
      <c r="W25" s="2"/>
      <c r="X25" s="136"/>
      <c r="Y25" s="136"/>
      <c r="Z25" s="136"/>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row>
    <row r="26" spans="1:74" ht="18" customHeight="1">
      <c r="A26" s="1"/>
      <c r="B26" s="1"/>
      <c r="C26" s="1"/>
      <c r="D26" s="134" t="str">
        <f ca="1">IF(Welvaartseffect!FO462=1,"√","")</f>
        <v/>
      </c>
      <c r="E26" s="521" t="str">
        <f ca="1">IF(TODAY()&gt;=Blad1!A1,"","5. Welvaartseffect van prijszetting")</f>
        <v>5. Welvaartseffect van prijszetting</v>
      </c>
      <c r="F26" s="523"/>
      <c r="G26" s="523"/>
      <c r="H26" s="523"/>
      <c r="I26" s="523"/>
      <c r="J26" s="224"/>
      <c r="K26" s="224"/>
      <c r="L26" s="224"/>
      <c r="M26" s="224"/>
      <c r="N26" s="224"/>
      <c r="O26" s="224"/>
      <c r="P26" s="224"/>
      <c r="Q26" s="224"/>
      <c r="R26" s="2"/>
      <c r="S26" s="2"/>
      <c r="T26" s="2"/>
      <c r="U26" s="2"/>
      <c r="V26" s="2"/>
      <c r="W26" s="2"/>
      <c r="X26" s="136"/>
      <c r="Y26" s="136"/>
      <c r="Z26" s="136"/>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row>
    <row r="27" spans="1:74" ht="18" customHeight="1">
      <c r="A27" s="1"/>
      <c r="B27" s="1"/>
      <c r="C27" s="1"/>
      <c r="D27" s="134" t="str">
        <f ca="1">IF('Mon. Conc. lange termijn'!FN67=1,"√","")</f>
        <v/>
      </c>
      <c r="E27" s="524" t="str">
        <f ca="1">IF(TODAY()&gt;=Blad1!A1,"","6. Monopolistische concurrentie op lange termijn")</f>
        <v>6. Monopolistische concurrentie op lange termijn</v>
      </c>
      <c r="F27" s="524"/>
      <c r="G27" s="524"/>
      <c r="H27" s="524"/>
      <c r="I27" s="524"/>
      <c r="J27" s="524"/>
      <c r="K27" s="524"/>
      <c r="L27" s="194"/>
      <c r="M27" s="194"/>
      <c r="N27" s="194"/>
      <c r="O27" s="194"/>
      <c r="P27" s="194"/>
      <c r="Q27" s="21"/>
      <c r="R27" s="2"/>
      <c r="S27" s="2"/>
      <c r="T27" s="2"/>
      <c r="U27" s="2"/>
      <c r="V27" s="2"/>
      <c r="W27" s="2"/>
      <c r="X27" s="136"/>
      <c r="Y27" s="136"/>
      <c r="Z27" s="136"/>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row>
    <row r="28" spans="1:74" ht="18" customHeight="1">
      <c r="A28" s="1"/>
      <c r="B28" s="1"/>
      <c r="C28" s="1"/>
      <c r="D28" s="134"/>
      <c r="E28" s="364"/>
      <c r="F28" s="364"/>
      <c r="G28" s="364"/>
      <c r="H28" s="364"/>
      <c r="I28" s="364"/>
      <c r="J28" s="364"/>
      <c r="K28" s="364"/>
      <c r="L28" s="364"/>
      <c r="M28" s="364"/>
      <c r="N28" s="364"/>
      <c r="O28" s="364"/>
      <c r="P28" s="364"/>
      <c r="Q28" s="21"/>
      <c r="R28" s="2"/>
      <c r="S28" s="2"/>
      <c r="T28" s="2"/>
      <c r="U28" s="2"/>
      <c r="V28" s="2"/>
      <c r="W28" s="2"/>
      <c r="X28" s="136"/>
      <c r="Y28" s="136"/>
      <c r="Z28" s="136"/>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row>
    <row r="29" spans="1:74" ht="18" customHeight="1">
      <c r="A29" s="1"/>
      <c r="B29" s="1"/>
      <c r="C29" s="1"/>
      <c r="D29" s="2"/>
      <c r="E29" s="23" t="str">
        <f ca="1">IF(TODAY()&gt;=Blad1!A1,"","Vereiste voorkennis: Vraag, Aanbod, Markt, Marktvormen, Kostenfuncties en Resultaat bij hoeveelheidsaanpassing")</f>
        <v>Vereiste voorkennis: Vraag, Aanbod, Markt, Marktvormen, Kostenfuncties en Resultaat bij hoeveelheidsaanpassing</v>
      </c>
      <c r="F29" s="19"/>
      <c r="G29" s="19"/>
      <c r="H29" s="19"/>
      <c r="I29" s="19"/>
      <c r="J29" s="19"/>
      <c r="K29" s="19"/>
      <c r="L29" s="20"/>
      <c r="M29" s="21"/>
      <c r="N29" s="21"/>
      <c r="O29" s="21"/>
      <c r="P29" s="21"/>
      <c r="Q29" s="21"/>
      <c r="R29" s="2"/>
      <c r="S29" s="2"/>
      <c r="T29" s="2"/>
      <c r="U29" s="2"/>
      <c r="V29" s="2"/>
      <c r="W29" s="2"/>
      <c r="X29" s="136"/>
      <c r="Y29" s="136"/>
      <c r="Z29" s="136"/>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row>
    <row r="30" spans="1:74" ht="18" customHeight="1">
      <c r="A30" s="1"/>
      <c r="B30" s="1"/>
      <c r="C30" s="1"/>
      <c r="D30" s="2"/>
      <c r="E30" s="22"/>
      <c r="F30" s="19"/>
      <c r="G30" s="19"/>
      <c r="H30" s="19"/>
      <c r="I30" s="19"/>
      <c r="J30" s="19"/>
      <c r="K30" s="19"/>
      <c r="L30" s="20"/>
      <c r="M30" s="21"/>
      <c r="N30" s="21"/>
      <c r="O30" s="21"/>
      <c r="P30" s="21"/>
      <c r="Q30" s="21"/>
      <c r="R30" s="2"/>
      <c r="S30" s="2"/>
      <c r="T30" s="2"/>
      <c r="U30" s="2"/>
      <c r="V30" s="2"/>
      <c r="W30" s="2"/>
      <c r="X30" s="136"/>
      <c r="Y30" s="136"/>
      <c r="Z30" s="136"/>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row>
    <row r="31" spans="1:74" ht="18" customHeight="1">
      <c r="A31" s="1"/>
      <c r="B31" s="1"/>
      <c r="C31" s="1"/>
      <c r="D31" s="2"/>
      <c r="E31" s="53" t="str">
        <f>IF(B5&gt;0,"Dit is een docentexemplaar. Wilt u dit materiaal in de klas gaan gebruiken,","")</f>
        <v/>
      </c>
      <c r="F31" s="19"/>
      <c r="G31" s="19"/>
      <c r="H31" s="19"/>
      <c r="I31" s="19"/>
      <c r="J31" s="19"/>
      <c r="K31" s="19"/>
      <c r="L31" s="20"/>
      <c r="M31" s="21"/>
      <c r="N31" s="21"/>
      <c r="O31" s="21"/>
      <c r="P31" s="21"/>
      <c r="Q31" s="21"/>
      <c r="R31" s="2"/>
      <c r="S31" s="2"/>
      <c r="T31" s="2"/>
      <c r="U31" s="2"/>
      <c r="V31" s="2"/>
      <c r="W31" s="2"/>
      <c r="X31" s="136"/>
      <c r="Y31" s="136"/>
      <c r="Z31" s="136"/>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row>
    <row r="32" spans="1:74" ht="18" customHeight="1">
      <c r="A32" s="1"/>
      <c r="B32" s="1"/>
      <c r="C32" s="1"/>
      <c r="D32" s="2"/>
      <c r="E32" s="53" t="str">
        <f>IF(B5&gt;0,"neem dan contact op met goltstein@hotmail.com","")</f>
        <v/>
      </c>
      <c r="F32" s="19"/>
      <c r="G32" s="19"/>
      <c r="H32" s="19"/>
      <c r="I32" s="19"/>
      <c r="J32" s="19"/>
      <c r="K32" s="19"/>
      <c r="L32" s="20"/>
      <c r="M32" s="21"/>
      <c r="N32" s="21"/>
      <c r="O32" s="21"/>
      <c r="P32" s="21"/>
      <c r="Q32" s="21"/>
      <c r="R32" s="2"/>
      <c r="S32" s="2"/>
      <c r="T32" s="2"/>
      <c r="U32" s="2"/>
      <c r="V32" s="2"/>
      <c r="W32" s="2"/>
      <c r="X32" s="136"/>
      <c r="Y32" s="136"/>
      <c r="Z32" s="136"/>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row>
    <row r="33" spans="1:74" ht="12.75" customHeight="1">
      <c r="A33" s="1"/>
      <c r="B33" s="1"/>
      <c r="C33" s="1"/>
      <c r="D33" s="2"/>
      <c r="E33" s="22"/>
      <c r="F33" s="19"/>
      <c r="G33" s="19"/>
      <c r="H33" s="19"/>
      <c r="I33" s="19"/>
      <c r="J33" s="19"/>
      <c r="K33" s="19"/>
      <c r="L33" s="20"/>
      <c r="M33" s="21"/>
      <c r="N33" s="21"/>
      <c r="O33" s="21"/>
      <c r="P33" s="21"/>
      <c r="Q33" s="21"/>
      <c r="R33" s="2"/>
      <c r="S33" s="2"/>
      <c r="T33" s="2"/>
      <c r="U33" s="2"/>
      <c r="V33" s="2"/>
      <c r="W33" s="2"/>
      <c r="X33" s="136"/>
      <c r="Y33" s="136"/>
      <c r="Z33" s="136"/>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row>
    <row r="34" spans="1:74" ht="12.75" customHeight="1">
      <c r="A34" s="1"/>
      <c r="B34" s="1"/>
      <c r="C34" s="1"/>
      <c r="D34" s="2"/>
      <c r="E34" s="22"/>
      <c r="F34" s="19"/>
      <c r="G34" s="19"/>
      <c r="H34" s="19"/>
      <c r="I34" s="19"/>
      <c r="J34" s="19"/>
      <c r="K34" s="19"/>
      <c r="L34" s="20"/>
      <c r="M34" s="21"/>
      <c r="N34" s="21"/>
      <c r="O34" s="21"/>
      <c r="P34" s="21"/>
      <c r="Q34" s="21"/>
      <c r="R34" s="2"/>
      <c r="S34" s="2"/>
      <c r="T34" s="2"/>
      <c r="U34" s="2"/>
      <c r="V34" s="2"/>
      <c r="W34" s="2"/>
      <c r="X34" s="136"/>
      <c r="Y34" s="136"/>
      <c r="Z34" s="136"/>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row>
    <row r="35" spans="1:74">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row>
    <row r="36" spans="1:74">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row>
    <row r="37" spans="1:74">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row>
    <row r="38" spans="1:74">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row>
    <row r="39" spans="1:74">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row>
    <row r="40" spans="1:74">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row>
    <row r="41" spans="1:74">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row>
    <row r="42" spans="1:74">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row>
    <row r="43" spans="1:74">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row>
    <row r="44" spans="1:74">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row>
    <row r="45" spans="1:74">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row>
    <row r="46" spans="1:74">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row>
    <row r="47" spans="1:74">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row>
    <row r="48" spans="1:74">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row>
    <row r="49" spans="1:74">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row>
    <row r="50" spans="1:74">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row>
    <row r="51" spans="1:74">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row>
    <row r="52" spans="1:74">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row>
    <row r="53" spans="1:74">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row>
    <row r="54" spans="1:74">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row>
    <row r="55" spans="1:74">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row>
    <row r="56" spans="1:74">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row>
    <row r="57" spans="1:74">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row>
    <row r="58" spans="1:74">
      <c r="A58" s="511" t="s">
        <v>8</v>
      </c>
      <c r="B58" s="512"/>
      <c r="C58" s="512"/>
      <c r="D58" s="512"/>
      <c r="E58" s="513"/>
      <c r="F58" s="525"/>
      <c r="G58" s="526"/>
      <c r="H58" s="526"/>
      <c r="I58" s="526"/>
      <c r="J58" s="516"/>
      <c r="K58" s="136"/>
      <c r="L58" s="136"/>
      <c r="M58" s="136"/>
      <c r="N58" s="136"/>
      <c r="O58" s="136"/>
      <c r="P58" s="136"/>
      <c r="Q58" s="136"/>
      <c r="R58" s="136"/>
      <c r="S58" s="136"/>
      <c r="T58" s="136"/>
      <c r="U58" s="136"/>
      <c r="V58" s="136"/>
      <c r="W58" s="136"/>
      <c r="X58" s="136"/>
      <c r="Y58" s="136"/>
      <c r="Z58" s="136"/>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row>
    <row r="59" spans="1:74">
      <c r="A59" s="511" t="s">
        <v>7</v>
      </c>
      <c r="B59" s="512"/>
      <c r="C59" s="512"/>
      <c r="D59" s="512"/>
      <c r="E59" s="513"/>
      <c r="F59" s="517"/>
      <c r="G59" s="516"/>
      <c r="H59" s="431"/>
      <c r="I59" s="431"/>
      <c r="J59" s="431"/>
      <c r="K59" s="136"/>
      <c r="L59" s="136"/>
      <c r="M59" s="136"/>
      <c r="N59" s="136"/>
      <c r="O59" s="136"/>
      <c r="P59" s="136"/>
      <c r="Q59" s="136"/>
      <c r="R59" s="136"/>
      <c r="S59" s="136"/>
      <c r="T59" s="136"/>
      <c r="U59" s="136"/>
      <c r="V59" s="136"/>
      <c r="W59" s="136"/>
      <c r="X59" s="136"/>
      <c r="Y59" s="136"/>
      <c r="Z59" s="136"/>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row>
    <row r="60" spans="1:74">
      <c r="A60" s="511" t="s">
        <v>6</v>
      </c>
      <c r="B60" s="512"/>
      <c r="C60" s="512"/>
      <c r="D60" s="512"/>
      <c r="E60" s="513"/>
      <c r="F60" s="515"/>
      <c r="G60" s="516"/>
      <c r="H60" s="432"/>
      <c r="I60" s="431"/>
      <c r="J60" s="431"/>
      <c r="K60" s="136"/>
      <c r="L60" s="136"/>
      <c r="M60" s="136"/>
      <c r="N60" s="136"/>
      <c r="O60" s="136"/>
      <c r="P60" s="136"/>
      <c r="Q60" s="136"/>
      <c r="R60" s="136"/>
      <c r="S60" s="136"/>
      <c r="T60" s="136"/>
      <c r="U60" s="136"/>
      <c r="V60" s="136"/>
      <c r="W60" s="136"/>
      <c r="X60" s="136"/>
      <c r="Y60" s="136"/>
      <c r="Z60" s="136"/>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row>
    <row r="61" spans="1:74">
      <c r="A61" s="431"/>
      <c r="B61" s="431"/>
      <c r="C61" s="431"/>
      <c r="D61" s="431"/>
      <c r="E61" s="431"/>
      <c r="F61" s="431"/>
      <c r="G61" s="431"/>
      <c r="H61" s="431"/>
      <c r="I61" s="431"/>
      <c r="J61" s="431"/>
      <c r="K61" s="136"/>
      <c r="L61" s="136"/>
      <c r="M61" s="136"/>
      <c r="N61" s="136"/>
      <c r="O61" s="136"/>
      <c r="P61" s="136"/>
      <c r="Q61" s="136"/>
      <c r="R61" s="136"/>
      <c r="S61" s="136"/>
      <c r="T61" s="136"/>
      <c r="U61" s="136"/>
      <c r="V61" s="136"/>
      <c r="W61" s="136"/>
      <c r="X61" s="136"/>
      <c r="Y61" s="136"/>
      <c r="Z61" s="136"/>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row>
    <row r="62" spans="1:74">
      <c r="A62" s="511" t="s">
        <v>127</v>
      </c>
      <c r="B62" s="512"/>
      <c r="C62" s="512"/>
      <c r="D62" s="512"/>
      <c r="E62" s="513"/>
      <c r="F62" s="514" t="str">
        <f ca="1">IF(AND(Blad1!A1&gt;0,MAX(Blad1!AY3:BJ3)&gt;0),MAX(Blad1!AY3:BJ3),"")</f>
        <v/>
      </c>
      <c r="G62" s="513"/>
      <c r="H62" s="431"/>
      <c r="I62" s="431"/>
      <c r="J62" s="431"/>
      <c r="K62" s="136"/>
      <c r="L62" s="136"/>
      <c r="M62" s="136"/>
      <c r="N62" s="136"/>
      <c r="O62" s="136"/>
      <c r="P62" s="136"/>
      <c r="Q62" s="136"/>
      <c r="R62" s="136"/>
      <c r="S62" s="136"/>
      <c r="T62" s="136"/>
      <c r="U62" s="136"/>
      <c r="V62" s="136"/>
      <c r="W62" s="136"/>
      <c r="X62" s="136"/>
      <c r="Y62" s="136"/>
      <c r="Z62" s="136"/>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row>
    <row r="63" spans="1:74">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row>
    <row r="64" spans="1:74">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row>
    <row r="65" spans="1:74">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row>
    <row r="66" spans="1:74">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row>
    <row r="67" spans="1:74">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row>
    <row r="68" spans="1:74">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row>
    <row r="69" spans="1:74">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row>
    <row r="70" spans="1:74">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row>
    <row r="71" spans="1:74">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row>
    <row r="72" spans="1:74">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row>
    <row r="73" spans="1:74">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row>
    <row r="74" spans="1:74">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c r="AA74" s="136"/>
      <c r="AB74" s="136"/>
      <c r="AC74" s="136"/>
      <c r="AD74" s="136"/>
      <c r="AE74" s="136"/>
      <c r="AF74" s="136"/>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row>
    <row r="75" spans="1:74">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row>
    <row r="76" spans="1:74">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row>
    <row r="77" spans="1:74">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row>
    <row r="78" spans="1:74">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row>
    <row r="79" spans="1:74">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row>
    <row r="80" spans="1:74">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row>
    <row r="81" spans="1:74">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row>
    <row r="82" spans="1:74">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row>
    <row r="83" spans="1:74">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row>
    <row r="84" spans="1:74">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row>
    <row r="85" spans="1:74">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row>
    <row r="86" spans="1:74">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row>
    <row r="87" spans="1:74">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row>
    <row r="88" spans="1:74">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row>
    <row r="89" spans="1:74">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c r="AD89" s="136"/>
      <c r="AE89" s="136"/>
      <c r="AF89" s="136"/>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row>
    <row r="90" spans="1:74">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c r="AD90" s="136"/>
      <c r="AE90" s="136"/>
      <c r="AF90" s="136"/>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row>
    <row r="91" spans="1:74">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c r="AD91" s="136"/>
      <c r="AE91" s="136"/>
      <c r="AF91" s="136"/>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row>
    <row r="92" spans="1:74">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row>
    <row r="93" spans="1:74">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row>
    <row r="94" spans="1:74">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c r="AD94" s="136"/>
      <c r="AE94" s="136"/>
      <c r="AF94" s="136"/>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row>
    <row r="95" spans="1:74">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row>
    <row r="96" spans="1:74">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c r="AD96" s="136"/>
      <c r="AE96" s="136"/>
      <c r="AF96" s="136"/>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row>
    <row r="300" spans="1:1">
      <c r="A300" s="434"/>
    </row>
    <row r="301" spans="1:1">
      <c r="A301" s="475" t="s">
        <v>491</v>
      </c>
    </row>
    <row r="500" spans="1:1">
      <c r="A500" s="434"/>
    </row>
  </sheetData>
  <sheetProtection password="C484" sheet="1" objects="1" scenarios="1"/>
  <mergeCells count="19">
    <mergeCell ref="E7:S7"/>
    <mergeCell ref="N10:S10"/>
    <mergeCell ref="N12:S12"/>
    <mergeCell ref="A58:E58"/>
    <mergeCell ref="E22:L22"/>
    <mergeCell ref="E24:J24"/>
    <mergeCell ref="E25:I25"/>
    <mergeCell ref="E27:K27"/>
    <mergeCell ref="E26:I26"/>
    <mergeCell ref="E18:J18"/>
    <mergeCell ref="E20:L20"/>
    <mergeCell ref="E23:J23"/>
    <mergeCell ref="F58:J58"/>
    <mergeCell ref="A60:E60"/>
    <mergeCell ref="A62:E62"/>
    <mergeCell ref="F62:G62"/>
    <mergeCell ref="F60:G60"/>
    <mergeCell ref="F59:G59"/>
    <mergeCell ref="A59:E59"/>
  </mergeCells>
  <phoneticPr fontId="0" type="noConversion"/>
  <dataValidations count="2">
    <dataValidation type="list" allowBlank="1" showInputMessage="1" showErrorMessage="1" sqref="Q5">
      <formula1>$X1:$AW1</formula1>
    </dataValidation>
    <dataValidation type="whole" allowBlank="1" showInputMessage="1" showErrorMessage="1" sqref="F59:G59">
      <formula1>0</formula1>
      <formula2>600</formula2>
    </dataValidation>
  </dataValidations>
  <hyperlinks>
    <hyperlink ref="E25" location="'Berekening maximale winst'!B1" display="'Berekening maximale winst'!B1"/>
    <hyperlink ref="E27" location="'Mon. Conc. lange termijn'!B1" display="'Mon. Conc. lange termijn'!B1"/>
    <hyperlink ref="E22" location="'TO, TK en TW'!B1" display="'TO, TK en TW'!B1"/>
    <hyperlink ref="E26" location="'Berekening maximale winst'!B1" display="'Berekening maximale winst'!B1"/>
    <hyperlink ref="F23:J23" location="procentrekenen!B1" display="procentrekenen!B1"/>
    <hyperlink ref="E23:J23" location="'aanbod ceteris paribus'!A1" display="'aanbod ceteris paribus'!A1"/>
    <hyperlink ref="E23" location="'Gemiddeld en marginaal'!B1" display="'Gemiddeld en marginaal'!B1"/>
    <hyperlink ref="E24:J24" location="'TVK, TCK, GVK en GCK'!B1" display="'TVK, TCK, GVK en GCK'!B1"/>
    <hyperlink ref="E25:I25" location="'Berekening maximale winst'!B1" display="'Berekening maximale winst'!B1"/>
    <hyperlink ref="E26:I26" location="Welvaartseffect!B1" display="Welvaartseffect!B1"/>
    <hyperlink ref="E27:K27" location="'Mon. Conc. lange termijn'!B1" display="'Mon. Conc. lange termijn'!B1"/>
    <hyperlink ref="E18" location="Inleiding!B1" display="Inleiding!B1"/>
    <hyperlink ref="E20:L20" location="Toets!B1" display="Toets!B1"/>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dimension ref="A1:BP639"/>
  <sheetViews>
    <sheetView topLeftCell="U1" workbookViewId="0">
      <selection activeCell="Z25" sqref="Z25"/>
    </sheetView>
  </sheetViews>
  <sheetFormatPr defaultRowHeight="13.2"/>
  <cols>
    <col min="5" max="5" width="9.44140625" bestFit="1" customWidth="1"/>
    <col min="15" max="15" width="12.88671875" bestFit="1" customWidth="1"/>
    <col min="17" max="17" width="15.109375" customWidth="1"/>
    <col min="52" max="52" width="10.44140625" customWidth="1"/>
  </cols>
  <sheetData>
    <row r="1" spans="1:68">
      <c r="A1" s="50">
        <f ca="1">IF(AND(programma!E5="Docentversie",programma!A300&lt;&gt;"goltsteindocentversie"),0,IF(programma!B1="X",TODAY(),IF(OR(programma!F60=AY1,programma!F60=AZ1,programma!F60=BA1,programma!F60=BB1,programma!F60=BC1,programma!F60=BD1,programma!F60=BE1,programma!F60=BF1,programma!F60=BG1,programma!F60=BH1,programma!F60=BI1,programma!F60=BJ1),MAX(AY3:BJ3),IF(TODAY()&lt;BJ2,TODAY()+11,0))))</f>
        <v>44469</v>
      </c>
      <c r="B1" s="135"/>
      <c r="C1" s="437"/>
      <c r="D1" s="437"/>
      <c r="E1" s="437"/>
      <c r="F1" s="437"/>
      <c r="G1" s="437"/>
      <c r="H1" s="437"/>
      <c r="I1" s="437"/>
      <c r="J1" s="437"/>
      <c r="K1" s="437"/>
      <c r="L1" s="437"/>
      <c r="M1" s="437"/>
      <c r="N1" s="437"/>
      <c r="O1" s="135" t="s">
        <v>128</v>
      </c>
      <c r="P1" s="437"/>
      <c r="Q1" s="135" t="s">
        <v>130</v>
      </c>
      <c r="R1" s="437"/>
      <c r="S1" s="135"/>
      <c r="T1" s="135"/>
      <c r="U1" s="437"/>
      <c r="V1" s="437"/>
      <c r="W1" s="437">
        <v>1</v>
      </c>
      <c r="X1" s="437">
        <v>11</v>
      </c>
      <c r="Y1" s="142">
        <f ca="1">IF(TODAY()&gt;=Blad1!A1,"",IF(AND(Toets!CR478="X",programma!T3="HAVO"),VLOOKUP(1,W1:X40,2),IF(Toets!CR478="X",1,IF(AND(programma!Q3&lt;&gt;"",programma!N10&lt;&gt;"",programma!B5&lt;&gt;1,AY3=0,programma!T3="HAVO"),VLOOKUP(1,W1:X40,2),IF(AND(programma!Q3&lt;&gt;"",programma!N10&lt;&gt;"",programma!B5&lt;&gt;1,AY3=0),1,IF(OR(programma!Q3="",programma!N10=""),1,IF(programma!T3="HAVO",Blad1!Y4,Blad1!Y3)))))))</f>
        <v>1</v>
      </c>
      <c r="Z1" s="142"/>
      <c r="AA1" s="437">
        <f ca="1">IF(Y1=0,0,VLOOKUP(Y1,AB1:AI40,2))</f>
        <v>1.5</v>
      </c>
      <c r="AB1" s="437">
        <v>1</v>
      </c>
      <c r="AC1" s="437">
        <v>1.5</v>
      </c>
      <c r="AD1" s="437">
        <v>2.5</v>
      </c>
      <c r="AE1" s="437">
        <v>24000</v>
      </c>
      <c r="AF1" s="437">
        <v>26000</v>
      </c>
      <c r="AG1" s="437">
        <v>12</v>
      </c>
      <c r="AH1" s="437">
        <v>3</v>
      </c>
      <c r="AI1" s="436">
        <v>5</v>
      </c>
      <c r="AJ1" s="436">
        <v>59</v>
      </c>
      <c r="AK1" s="436">
        <v>400</v>
      </c>
      <c r="AL1" s="436">
        <v>2.5</v>
      </c>
      <c r="AM1" s="436">
        <v>32</v>
      </c>
      <c r="AN1" s="436">
        <v>200</v>
      </c>
      <c r="AO1" s="436">
        <v>2</v>
      </c>
      <c r="AP1" s="436">
        <v>24</v>
      </c>
      <c r="AQ1" s="437">
        <v>1.75</v>
      </c>
      <c r="AR1" s="436">
        <v>19</v>
      </c>
      <c r="AS1" s="135">
        <v>0.5</v>
      </c>
      <c r="AT1" s="135">
        <v>3.2</v>
      </c>
      <c r="AU1" s="437"/>
      <c r="AV1" s="437"/>
      <c r="AW1" s="437"/>
      <c r="AX1" s="485">
        <f>IF(AX2&gt;0,AX2,"")</f>
        <v>44409</v>
      </c>
      <c r="AY1" s="486" t="str">
        <f>VLOOKUP(Y24,AX5:BJ605,2)</f>
        <v>!#&amp;?|{@&gt;&lt;</v>
      </c>
      <c r="AZ1" s="482" t="str">
        <f>VLOOKUP(Y24,AX5:BJ605,3)</f>
        <v>!#&amp;?|{^(&gt;&lt;</v>
      </c>
      <c r="BA1" s="482" t="str">
        <f>VLOOKUP(Y24,AX5:BJ605,4)</f>
        <v>!#&amp;?|{)^&gt;&lt;</v>
      </c>
      <c r="BB1" s="482" t="str">
        <f>VLOOKUP(Y24,AX5:BJ605,5)</f>
        <v>!#&amp;?|{()&gt;&lt;</v>
      </c>
      <c r="BC1" s="482" t="str">
        <f>VLOOKUP(Y24,AX5:BJ605,6)</f>
        <v>!#&amp;?|{^&gt;!&lt;</v>
      </c>
      <c r="BD1" s="482" t="str">
        <f>VLOOKUP(Y24,AX5:BJ605,7)</f>
        <v>!#&amp;?|{@&lt;^</v>
      </c>
      <c r="BE1" s="482" t="str">
        <f>VLOOKUP(Y24,AX5:BJ605,8)</f>
        <v>!#&amp;?|{@&gt;^&lt;</v>
      </c>
      <c r="BF1" s="482" t="str">
        <f>VLOOKUP(Y24,AX5:BJ605,9)</f>
        <v>!^&amp;?|{@&gt;&lt;</v>
      </c>
      <c r="BG1" s="482" t="str">
        <f>VLOOKUP(Y24,AX5:BJ605,10)</f>
        <v>^#&amp;?|{@&gt;&lt;</v>
      </c>
      <c r="BH1" s="482" t="str">
        <f>VLOOKUP(Y24,AX5:BJ605,11)</f>
        <v>!#^?|{@&gt;&lt;</v>
      </c>
      <c r="BI1" s="482" t="str">
        <f>VLOOKUP(Y24,AX5:BJ605,12)</f>
        <v>!#&amp;?|{^&gt;&lt;</v>
      </c>
      <c r="BJ1" s="482" t="str">
        <f>VLOOKUP(Y24,AX5:BJ605,13)</f>
        <v>!#&amp;^|{@&gt;&lt;</v>
      </c>
      <c r="BK1" s="482"/>
      <c r="BL1" s="482"/>
      <c r="BM1" s="482"/>
      <c r="BN1" s="482"/>
      <c r="BO1" s="482"/>
      <c r="BP1" s="482"/>
    </row>
    <row r="2" spans="1:68">
      <c r="A2" s="482"/>
      <c r="B2" s="437"/>
      <c r="C2" s="437"/>
      <c r="D2" s="437"/>
      <c r="E2" s="437"/>
      <c r="F2" s="437"/>
      <c r="G2" s="437"/>
      <c r="H2" s="437"/>
      <c r="I2" s="437"/>
      <c r="J2" s="437"/>
      <c r="K2" s="437"/>
      <c r="L2" s="437"/>
      <c r="M2" s="437"/>
      <c r="N2" s="437"/>
      <c r="O2" s="437"/>
      <c r="P2" s="437"/>
      <c r="Q2" s="437"/>
      <c r="R2" s="437"/>
      <c r="S2" s="437" t="str">
        <f ca="1">programma!D22</f>
        <v/>
      </c>
      <c r="T2" s="135"/>
      <c r="U2" s="437"/>
      <c r="V2" s="437"/>
      <c r="W2" s="437">
        <v>2</v>
      </c>
      <c r="X2" s="437">
        <v>9</v>
      </c>
      <c r="Y2" s="438"/>
      <c r="Z2" s="438"/>
      <c r="AA2" s="437">
        <f ca="1">IF(Y1=0,0,VLOOKUP(Y1,AB1:AI40,3))</f>
        <v>2.5</v>
      </c>
      <c r="AB2" s="437">
        <v>2</v>
      </c>
      <c r="AC2" s="437">
        <v>1.2</v>
      </c>
      <c r="AD2" s="437">
        <v>2.2000000000000002</v>
      </c>
      <c r="AE2" s="437">
        <v>98000</v>
      </c>
      <c r="AF2" s="437">
        <v>100000</v>
      </c>
      <c r="AG2" s="437">
        <v>25</v>
      </c>
      <c r="AH2" s="437">
        <v>40</v>
      </c>
      <c r="AI2" s="436">
        <v>4</v>
      </c>
      <c r="AJ2" s="436">
        <v>51</v>
      </c>
      <c r="AK2" s="436">
        <v>300</v>
      </c>
      <c r="AL2" s="436">
        <v>5.5</v>
      </c>
      <c r="AM2" s="436">
        <v>61</v>
      </c>
      <c r="AN2" s="436">
        <v>300</v>
      </c>
      <c r="AO2" s="436">
        <v>4</v>
      </c>
      <c r="AP2" s="436">
        <v>13</v>
      </c>
      <c r="AQ2" s="437">
        <v>2.1</v>
      </c>
      <c r="AR2" s="436">
        <v>12</v>
      </c>
      <c r="AS2" s="135">
        <v>0.16</v>
      </c>
      <c r="AT2" s="135">
        <v>4</v>
      </c>
      <c r="AU2" s="437"/>
      <c r="AV2" s="437"/>
      <c r="AW2" s="437"/>
      <c r="AX2" s="483">
        <v>44409</v>
      </c>
      <c r="AY2" s="483">
        <f t="shared" ref="AY2:AZ2" si="0">IF(AX4/4-FLOOR(AX4/4,1)&lt;0.01,AX2+366,AX2+365)</f>
        <v>44774</v>
      </c>
      <c r="AZ2" s="483">
        <f t="shared" si="0"/>
        <v>45139</v>
      </c>
      <c r="BA2" s="483">
        <f>IF(AZ4/4-FLOOR(AZ4/4,1)&lt;0.01,AZ2+366,AZ2+365)</f>
        <v>45504</v>
      </c>
      <c r="BB2" s="483">
        <f t="shared" ref="BB2:BJ2" si="1">IF(BA4/4-FLOOR(BA4/4,1)&lt;0.01,BA2+366,BA2+365)</f>
        <v>45870</v>
      </c>
      <c r="BC2" s="483">
        <f t="shared" si="1"/>
        <v>46235</v>
      </c>
      <c r="BD2" s="483">
        <f t="shared" si="1"/>
        <v>46600</v>
      </c>
      <c r="BE2" s="483">
        <f t="shared" si="1"/>
        <v>46965</v>
      </c>
      <c r="BF2" s="483">
        <f t="shared" si="1"/>
        <v>47331</v>
      </c>
      <c r="BG2" s="483">
        <f t="shared" si="1"/>
        <v>47696</v>
      </c>
      <c r="BH2" s="483">
        <f t="shared" si="1"/>
        <v>48061</v>
      </c>
      <c r="BI2" s="483">
        <f t="shared" si="1"/>
        <v>48426</v>
      </c>
      <c r="BJ2" s="483">
        <f t="shared" si="1"/>
        <v>48792</v>
      </c>
      <c r="BK2" s="482"/>
      <c r="BL2" s="482"/>
      <c r="BM2" s="482"/>
      <c r="BN2" s="482"/>
      <c r="BO2" s="482"/>
      <c r="BP2" s="482"/>
    </row>
    <row r="3" spans="1:68">
      <c r="A3" s="482"/>
      <c r="B3" s="437"/>
      <c r="C3" s="437"/>
      <c r="D3" s="437"/>
      <c r="E3" s="437"/>
      <c r="F3" s="437"/>
      <c r="G3" s="437"/>
      <c r="H3" s="437"/>
      <c r="I3" s="437"/>
      <c r="J3" s="437"/>
      <c r="K3" s="437"/>
      <c r="L3" s="437"/>
      <c r="M3" s="437"/>
      <c r="N3" s="437"/>
      <c r="O3" s="439">
        <f>'TO, TK en TW'!BD33</f>
        <v>0</v>
      </c>
      <c r="P3" s="440" t="str">
        <f>IF(O3&lt;=0,"X","")</f>
        <v>X</v>
      </c>
      <c r="Q3" s="439">
        <f>'Berekening maximale winst'!V80</f>
        <v>0</v>
      </c>
      <c r="R3" s="437"/>
      <c r="S3" s="437" t="str">
        <f>programma!D24</f>
        <v/>
      </c>
      <c r="T3" s="135"/>
      <c r="U3" s="437"/>
      <c r="V3" s="437"/>
      <c r="W3" s="437">
        <v>3</v>
      </c>
      <c r="X3" s="437">
        <v>3</v>
      </c>
      <c r="Y3" s="142">
        <f ca="1">IF(TODAY()&gt;=Blad1!A1,"",IF(OR(programma!Q3="",programma!N10=""),1,A61))</f>
        <v>1</v>
      </c>
      <c r="Z3" s="438"/>
      <c r="AA3" s="437">
        <f ca="1">IF(Y1=0,0,VLOOKUP(Y1,AB1:AI40,4))</f>
        <v>24000</v>
      </c>
      <c r="AB3" s="437">
        <v>3</v>
      </c>
      <c r="AC3" s="437">
        <v>1.9</v>
      </c>
      <c r="AD3" s="437">
        <v>2.9</v>
      </c>
      <c r="AE3" s="437">
        <v>54000</v>
      </c>
      <c r="AF3" s="437">
        <v>56000</v>
      </c>
      <c r="AG3" s="437">
        <v>21</v>
      </c>
      <c r="AH3" s="437">
        <v>18</v>
      </c>
      <c r="AI3" s="436">
        <v>3</v>
      </c>
      <c r="AJ3" s="436">
        <v>36</v>
      </c>
      <c r="AK3" s="436">
        <v>320</v>
      </c>
      <c r="AL3" s="436">
        <v>4.5</v>
      </c>
      <c r="AM3" s="436">
        <v>52</v>
      </c>
      <c r="AN3" s="436">
        <v>350</v>
      </c>
      <c r="AO3" s="436">
        <v>3</v>
      </c>
      <c r="AP3" s="436">
        <v>16</v>
      </c>
      <c r="AQ3" s="437">
        <v>2.6</v>
      </c>
      <c r="AR3" s="436">
        <v>27</v>
      </c>
      <c r="AS3" s="135">
        <v>0.2</v>
      </c>
      <c r="AT3" s="441">
        <v>8</v>
      </c>
      <c r="AU3" s="437"/>
      <c r="AV3" s="437"/>
      <c r="AW3" s="135"/>
      <c r="AX3" s="486">
        <f ca="1">IF(AND(programma!B5=1,programma!A300="goltsteindocentversie",TODAY()&lt;BJ2),TODAY(),0)</f>
        <v>0</v>
      </c>
      <c r="AY3" s="486">
        <f>IF(programma!B5=2,AY2,IF(programma!$F$60=AY1,AY2,0))</f>
        <v>0</v>
      </c>
      <c r="AZ3" s="482">
        <f>IF(programma!$F$60=AZ1,AZ2,0)</f>
        <v>0</v>
      </c>
      <c r="BA3" s="482">
        <f>IF(programma!$F$60=BA1,BA2,0)</f>
        <v>0</v>
      </c>
      <c r="BB3" s="482">
        <f>IF(programma!$F$60=BB1,BB2,0)</f>
        <v>0</v>
      </c>
      <c r="BC3" s="482">
        <f>IF(programma!$F$60=BC1,BC2,0)</f>
        <v>0</v>
      </c>
      <c r="BD3" s="482">
        <f>IF(programma!$F$60=BD1,BD2,0)</f>
        <v>0</v>
      </c>
      <c r="BE3" s="482">
        <f>IF(programma!$F$60=BE1,BE2,0)</f>
        <v>0</v>
      </c>
      <c r="BF3" s="482">
        <f>IF(programma!$F$60=BF1,BF2,0)</f>
        <v>0</v>
      </c>
      <c r="BG3" s="482">
        <f>IF(programma!$F$60=BG1,BG2,0)</f>
        <v>0</v>
      </c>
      <c r="BH3" s="482">
        <f>IF(programma!$F$60=BH1,BH2,0)</f>
        <v>0</v>
      </c>
      <c r="BI3" s="482">
        <f>IF(programma!$F$60=BI1,BI2,0)</f>
        <v>0</v>
      </c>
      <c r="BJ3" s="482">
        <f>IF(programma!$F$60=BJ1,BJ2,0)</f>
        <v>0</v>
      </c>
      <c r="BK3" s="482"/>
      <c r="BL3" s="482"/>
      <c r="BM3" s="482"/>
      <c r="BN3" s="482"/>
      <c r="BO3" s="482"/>
      <c r="BP3" s="482"/>
    </row>
    <row r="4" spans="1:68">
      <c r="A4" s="482"/>
      <c r="B4" s="437"/>
      <c r="C4" s="437"/>
      <c r="D4" s="437"/>
      <c r="E4" s="437"/>
      <c r="F4" s="437"/>
      <c r="G4" s="437"/>
      <c r="H4" s="437"/>
      <c r="I4" s="437"/>
      <c r="J4" s="437"/>
      <c r="K4" s="437"/>
      <c r="L4" s="437"/>
      <c r="M4" s="437"/>
      <c r="N4" s="437"/>
      <c r="O4" s="439">
        <f>'TO, TK en TW'!BD40</f>
        <v>0</v>
      </c>
      <c r="P4" s="440" t="str">
        <f>IF(O4&lt;=0,"X","")</f>
        <v>X</v>
      </c>
      <c r="Q4" s="439">
        <f>'Berekening maximale winst'!AI76</f>
        <v>0</v>
      </c>
      <c r="R4" s="437"/>
      <c r="S4" s="437" t="str">
        <f ca="1">programma!D25</f>
        <v/>
      </c>
      <c r="T4" s="135"/>
      <c r="U4" s="437"/>
      <c r="V4" s="437"/>
      <c r="W4" s="437">
        <v>4</v>
      </c>
      <c r="X4" s="437">
        <v>26</v>
      </c>
      <c r="Y4" s="142">
        <f ca="1">IF(Y3=0,0,VLOOKUP(Y3,W1:X40,2))</f>
        <v>11</v>
      </c>
      <c r="Z4" s="438"/>
      <c r="AA4" s="437">
        <f ca="1">IF(Y1=0,0,VLOOKUP(Y1,AB1:AI40,5))</f>
        <v>26000</v>
      </c>
      <c r="AB4" s="437">
        <v>4</v>
      </c>
      <c r="AC4" s="437">
        <v>1.2</v>
      </c>
      <c r="AD4" s="437">
        <v>2.2000000000000002</v>
      </c>
      <c r="AE4" s="437">
        <v>70000</v>
      </c>
      <c r="AF4" s="437">
        <v>72000</v>
      </c>
      <c r="AG4" s="437">
        <v>10</v>
      </c>
      <c r="AH4" s="437">
        <v>26</v>
      </c>
      <c r="AI4" s="436">
        <v>2</v>
      </c>
      <c r="AJ4" s="436">
        <v>27</v>
      </c>
      <c r="AK4" s="436">
        <v>150</v>
      </c>
      <c r="AL4" s="436">
        <v>3.5</v>
      </c>
      <c r="AM4" s="436">
        <v>46</v>
      </c>
      <c r="AN4" s="436">
        <v>250</v>
      </c>
      <c r="AO4" s="436">
        <v>6</v>
      </c>
      <c r="AP4" s="436">
        <v>23</v>
      </c>
      <c r="AQ4" s="437">
        <v>0.6</v>
      </c>
      <c r="AR4" s="436">
        <v>15</v>
      </c>
      <c r="AS4" s="135">
        <v>0.8</v>
      </c>
      <c r="AT4" s="135">
        <v>0.5</v>
      </c>
      <c r="AU4" s="437"/>
      <c r="AV4" s="437"/>
      <c r="AW4" s="437"/>
      <c r="AX4" s="487">
        <f>ROUND(AX2/365.25-44409/365.25,0)+2021</f>
        <v>2021</v>
      </c>
      <c r="AY4" s="487">
        <f t="shared" ref="AY4:BJ4" si="2">ROUND(AY2/365.25-44409/365.25,0)+2021</f>
        <v>2022</v>
      </c>
      <c r="AZ4" s="487">
        <f t="shared" si="2"/>
        <v>2023</v>
      </c>
      <c r="BA4" s="487">
        <f t="shared" si="2"/>
        <v>2024</v>
      </c>
      <c r="BB4" s="487">
        <f t="shared" si="2"/>
        <v>2025</v>
      </c>
      <c r="BC4" s="487">
        <f t="shared" si="2"/>
        <v>2026</v>
      </c>
      <c r="BD4" s="487">
        <f t="shared" si="2"/>
        <v>2027</v>
      </c>
      <c r="BE4" s="487">
        <f t="shared" si="2"/>
        <v>2028</v>
      </c>
      <c r="BF4" s="487">
        <f t="shared" si="2"/>
        <v>2029</v>
      </c>
      <c r="BG4" s="487">
        <f t="shared" si="2"/>
        <v>2030</v>
      </c>
      <c r="BH4" s="487">
        <f t="shared" si="2"/>
        <v>2031</v>
      </c>
      <c r="BI4" s="487">
        <f t="shared" si="2"/>
        <v>2032</v>
      </c>
      <c r="BJ4" s="487">
        <f t="shared" si="2"/>
        <v>2033</v>
      </c>
      <c r="BK4" s="482"/>
      <c r="BL4" s="482"/>
      <c r="BM4" s="482"/>
      <c r="BN4" s="482"/>
      <c r="BO4" s="482"/>
      <c r="BP4" s="482"/>
    </row>
    <row r="5" spans="1:68">
      <c r="A5" s="482"/>
      <c r="B5" s="437"/>
      <c r="C5" s="437"/>
      <c r="D5" s="437"/>
      <c r="E5" s="437"/>
      <c r="F5" s="437"/>
      <c r="G5" s="437"/>
      <c r="H5" s="437"/>
      <c r="I5" s="437"/>
      <c r="J5" s="437"/>
      <c r="K5" s="437"/>
      <c r="L5" s="437"/>
      <c r="M5" s="437"/>
      <c r="N5" s="437"/>
      <c r="O5" s="437"/>
      <c r="P5" s="440"/>
      <c r="Q5" s="439">
        <f>'Berekening maximale winst'!AV71</f>
        <v>0</v>
      </c>
      <c r="R5" s="437"/>
      <c r="S5" s="437" t="str">
        <f ca="1">programma!D27</f>
        <v/>
      </c>
      <c r="T5" s="135"/>
      <c r="U5" s="437"/>
      <c r="V5" s="437"/>
      <c r="W5" s="437">
        <v>5</v>
      </c>
      <c r="X5" s="437">
        <v>20</v>
      </c>
      <c r="Y5" s="438"/>
      <c r="Z5" s="438"/>
      <c r="AA5" s="437">
        <f ca="1">IF(Y1=0,0,VLOOKUP(Y1,AB1:AI40,6))</f>
        <v>12</v>
      </c>
      <c r="AB5" s="437">
        <v>5</v>
      </c>
      <c r="AC5" s="437">
        <v>2.8</v>
      </c>
      <c r="AD5" s="437">
        <v>3.8</v>
      </c>
      <c r="AE5" s="437">
        <v>58000</v>
      </c>
      <c r="AF5" s="437">
        <v>60000</v>
      </c>
      <c r="AG5" s="437">
        <v>14</v>
      </c>
      <c r="AH5" s="437">
        <v>20</v>
      </c>
      <c r="AI5" s="436">
        <v>2.5</v>
      </c>
      <c r="AJ5" s="436">
        <v>31</v>
      </c>
      <c r="AK5" s="436">
        <v>200</v>
      </c>
      <c r="AL5" s="436">
        <v>5</v>
      </c>
      <c r="AM5" s="436">
        <v>57</v>
      </c>
      <c r="AN5" s="436">
        <v>400</v>
      </c>
      <c r="AO5" s="436">
        <v>5</v>
      </c>
      <c r="AP5" s="436">
        <v>24</v>
      </c>
      <c r="AQ5" s="437">
        <v>0.25</v>
      </c>
      <c r="AR5" s="436">
        <v>23</v>
      </c>
      <c r="AS5" s="135">
        <v>4</v>
      </c>
      <c r="AT5" s="135">
        <v>0.625</v>
      </c>
      <c r="AU5" s="437"/>
      <c r="AV5" s="437"/>
      <c r="AW5" s="437"/>
      <c r="AX5" s="436">
        <v>0</v>
      </c>
      <c r="AY5" s="437" t="s">
        <v>115</v>
      </c>
      <c r="AZ5" s="437" t="s">
        <v>116</v>
      </c>
      <c r="BA5" s="437" t="s">
        <v>117</v>
      </c>
      <c r="BB5" s="437" t="s">
        <v>118</v>
      </c>
      <c r="BC5" s="437" t="s">
        <v>119</v>
      </c>
      <c r="BD5" s="437" t="s">
        <v>120</v>
      </c>
      <c r="BE5" s="437" t="s">
        <v>121</v>
      </c>
      <c r="BF5" s="437" t="s">
        <v>122</v>
      </c>
      <c r="BG5" s="437" t="s">
        <v>123</v>
      </c>
      <c r="BH5" s="437" t="s">
        <v>124</v>
      </c>
      <c r="BI5" s="437" t="s">
        <v>125</v>
      </c>
      <c r="BJ5" s="437" t="s">
        <v>126</v>
      </c>
      <c r="BK5" s="437"/>
      <c r="BL5" s="437"/>
      <c r="BM5" s="437"/>
      <c r="BN5" s="437"/>
      <c r="BO5" s="437"/>
      <c r="BP5" s="437"/>
    </row>
    <row r="6" spans="1:68">
      <c r="A6" s="482"/>
      <c r="B6" s="437"/>
      <c r="C6" s="437"/>
      <c r="D6" s="437"/>
      <c r="E6" s="437"/>
      <c r="F6" s="437"/>
      <c r="G6" s="437"/>
      <c r="H6" s="437"/>
      <c r="I6" s="437"/>
      <c r="J6" s="437"/>
      <c r="K6" s="437"/>
      <c r="L6" s="437"/>
      <c r="M6" s="437"/>
      <c r="N6" s="437"/>
      <c r="O6" s="442" t="s">
        <v>129</v>
      </c>
      <c r="P6" s="440" t="str">
        <f>IF(O6&lt;=0,"X","")</f>
        <v/>
      </c>
      <c r="Q6" s="439">
        <f>'Berekening maximale winst'!BI80</f>
        <v>0</v>
      </c>
      <c r="R6" s="437"/>
      <c r="S6" s="437"/>
      <c r="T6" s="135"/>
      <c r="U6" s="437"/>
      <c r="V6" s="437"/>
      <c r="W6" s="437">
        <v>6</v>
      </c>
      <c r="X6" s="437">
        <v>33</v>
      </c>
      <c r="Y6" s="438"/>
      <c r="Z6" s="438"/>
      <c r="AA6" s="437">
        <f ca="1">IF(Y1=0,0,VLOOKUP(Y1,AB1:AI40,7))</f>
        <v>3</v>
      </c>
      <c r="AB6" s="437">
        <v>6</v>
      </c>
      <c r="AC6" s="437">
        <v>1.4</v>
      </c>
      <c r="AD6" s="437">
        <v>2.4</v>
      </c>
      <c r="AE6" s="437">
        <v>74000</v>
      </c>
      <c r="AF6" s="437">
        <v>76000</v>
      </c>
      <c r="AG6" s="437">
        <v>15</v>
      </c>
      <c r="AH6" s="437">
        <v>28</v>
      </c>
      <c r="AI6" s="436">
        <v>5.5</v>
      </c>
      <c r="AJ6" s="436">
        <v>58</v>
      </c>
      <c r="AK6" s="436">
        <v>340</v>
      </c>
      <c r="AL6" s="436">
        <v>4</v>
      </c>
      <c r="AM6" s="436">
        <v>54</v>
      </c>
      <c r="AN6" s="436">
        <v>400</v>
      </c>
      <c r="AO6" s="436">
        <v>4</v>
      </c>
      <c r="AP6" s="436">
        <v>17</v>
      </c>
      <c r="AQ6" s="437">
        <v>0.3</v>
      </c>
      <c r="AR6" s="436">
        <v>18</v>
      </c>
      <c r="AS6" s="135">
        <v>0.16</v>
      </c>
      <c r="AT6" s="135">
        <v>5</v>
      </c>
      <c r="AU6" s="437"/>
      <c r="AV6" s="437"/>
      <c r="AW6" s="437"/>
      <c r="AX6" s="436">
        <v>1</v>
      </c>
      <c r="AY6" s="483" t="s">
        <v>492</v>
      </c>
      <c r="AZ6" s="490" t="s">
        <v>493</v>
      </c>
      <c r="BA6" s="490" t="s">
        <v>494</v>
      </c>
      <c r="BB6" s="490" t="s">
        <v>495</v>
      </c>
      <c r="BC6" s="490" t="s">
        <v>496</v>
      </c>
      <c r="BD6" s="490" t="s">
        <v>497</v>
      </c>
      <c r="BE6" s="490" t="s">
        <v>498</v>
      </c>
      <c r="BF6" s="490" t="s">
        <v>499</v>
      </c>
      <c r="BG6" s="490" t="s">
        <v>500</v>
      </c>
      <c r="BH6" s="490" t="s">
        <v>501</v>
      </c>
      <c r="BI6" s="490" t="s">
        <v>502</v>
      </c>
      <c r="BJ6" s="490" t="s">
        <v>503</v>
      </c>
      <c r="BK6" s="437"/>
      <c r="BL6" s="437"/>
      <c r="BM6" s="437"/>
      <c r="BN6" s="437"/>
      <c r="BO6" s="437"/>
      <c r="BP6" s="437"/>
    </row>
    <row r="7" spans="1:68">
      <c r="A7" s="482"/>
      <c r="B7" s="437"/>
      <c r="C7" s="437"/>
      <c r="D7" s="437"/>
      <c r="E7" s="437"/>
      <c r="F7" s="437"/>
      <c r="G7" s="437"/>
      <c r="H7" s="437"/>
      <c r="I7" s="437"/>
      <c r="J7" s="437"/>
      <c r="K7" s="437"/>
      <c r="L7" s="437"/>
      <c r="M7" s="437"/>
      <c r="N7" s="437"/>
      <c r="O7" s="439">
        <f>'Gemiddeld en marginaal'!AO34</f>
        <v>0</v>
      </c>
      <c r="P7" s="440" t="str">
        <f>IF(O7&lt;=0,"X","")</f>
        <v>X</v>
      </c>
      <c r="Q7" s="439">
        <f>'Berekening maximale winst'!BV76</f>
        <v>0</v>
      </c>
      <c r="R7" s="437"/>
      <c r="S7" s="437"/>
      <c r="T7" s="135"/>
      <c r="U7" s="437"/>
      <c r="V7" s="437"/>
      <c r="W7" s="437">
        <v>7</v>
      </c>
      <c r="X7" s="437">
        <v>17</v>
      </c>
      <c r="Y7" s="438"/>
      <c r="Z7" s="438"/>
      <c r="AA7" s="437">
        <f ca="1">IF(Y1=0,0,VLOOKUP(Y1,AB1:AI40,8))</f>
        <v>5</v>
      </c>
      <c r="AB7" s="437">
        <v>7</v>
      </c>
      <c r="AC7" s="437">
        <v>1.7</v>
      </c>
      <c r="AD7" s="437">
        <v>2.7</v>
      </c>
      <c r="AE7" s="437">
        <v>88000</v>
      </c>
      <c r="AF7" s="437">
        <v>90000</v>
      </c>
      <c r="AG7" s="437">
        <v>22</v>
      </c>
      <c r="AH7" s="437">
        <v>35</v>
      </c>
      <c r="AI7" s="436">
        <v>4.5</v>
      </c>
      <c r="AJ7" s="436">
        <v>56</v>
      </c>
      <c r="AK7" s="436">
        <v>350</v>
      </c>
      <c r="AL7" s="436">
        <v>6</v>
      </c>
      <c r="AM7" s="436">
        <v>67</v>
      </c>
      <c r="AN7" s="436">
        <v>300</v>
      </c>
      <c r="AO7" s="436">
        <v>7</v>
      </c>
      <c r="AP7" s="436">
        <v>13</v>
      </c>
      <c r="AQ7" s="437">
        <v>2.5</v>
      </c>
      <c r="AR7" s="436">
        <v>12</v>
      </c>
      <c r="AS7" s="135">
        <v>0.4</v>
      </c>
      <c r="AT7" s="135">
        <v>3.2</v>
      </c>
      <c r="AU7" s="437"/>
      <c r="AV7" s="437"/>
      <c r="AW7" s="437"/>
      <c r="AX7" s="436">
        <v>2</v>
      </c>
      <c r="AY7" s="490" t="s">
        <v>504</v>
      </c>
      <c r="AZ7" s="490" t="s">
        <v>505</v>
      </c>
      <c r="BA7" s="490" t="s">
        <v>506</v>
      </c>
      <c r="BB7" s="490" t="s">
        <v>507</v>
      </c>
      <c r="BC7" s="490" t="s">
        <v>508</v>
      </c>
      <c r="BD7" s="490" t="s">
        <v>509</v>
      </c>
      <c r="BE7" s="490" t="s">
        <v>510</v>
      </c>
      <c r="BF7" s="490" t="s">
        <v>511</v>
      </c>
      <c r="BG7" s="490" t="s">
        <v>512</v>
      </c>
      <c r="BH7" s="490" t="s">
        <v>513</v>
      </c>
      <c r="BI7" s="490" t="s">
        <v>514</v>
      </c>
      <c r="BJ7" s="490" t="s">
        <v>515</v>
      </c>
      <c r="BK7" s="437"/>
      <c r="BL7" s="437"/>
      <c r="BM7" s="437"/>
      <c r="BN7" s="437"/>
      <c r="BO7" s="437"/>
      <c r="BP7" s="437"/>
    </row>
    <row r="8" spans="1:68">
      <c r="A8" s="482"/>
      <c r="B8" s="437"/>
      <c r="C8" s="437"/>
      <c r="D8" s="437"/>
      <c r="E8" s="437"/>
      <c r="F8" s="437"/>
      <c r="G8" s="437"/>
      <c r="H8" s="437"/>
      <c r="I8" s="437"/>
      <c r="J8" s="437"/>
      <c r="K8" s="437"/>
      <c r="L8" s="437"/>
      <c r="M8" s="437"/>
      <c r="N8" s="437"/>
      <c r="O8" s="439">
        <f>'Gemiddeld en marginaal'!AO37</f>
        <v>0</v>
      </c>
      <c r="P8" s="440" t="str">
        <f>IF(O8&lt;=0,"X","")</f>
        <v>X</v>
      </c>
      <c r="Q8" s="439">
        <f>'Berekening maximale winst'!CI71</f>
        <v>0</v>
      </c>
      <c r="R8" s="437"/>
      <c r="S8" s="437"/>
      <c r="T8" s="135"/>
      <c r="U8" s="437"/>
      <c r="V8" s="437"/>
      <c r="W8" s="437">
        <v>8</v>
      </c>
      <c r="X8" s="437">
        <v>21</v>
      </c>
      <c r="Y8" s="438"/>
      <c r="Z8" s="438"/>
      <c r="AA8" s="437">
        <f ca="1">IF(Y1=0,0,VLOOKUP(Y1,AB1:AK40,9))</f>
        <v>59</v>
      </c>
      <c r="AB8" s="437">
        <v>8</v>
      </c>
      <c r="AC8" s="437">
        <v>2.7</v>
      </c>
      <c r="AD8" s="437">
        <v>3.7</v>
      </c>
      <c r="AE8" s="437">
        <v>20000</v>
      </c>
      <c r="AF8" s="437">
        <v>21000</v>
      </c>
      <c r="AG8" s="437">
        <v>26</v>
      </c>
      <c r="AH8" s="437">
        <v>1</v>
      </c>
      <c r="AI8" s="436">
        <v>3.5</v>
      </c>
      <c r="AJ8" s="436">
        <v>45</v>
      </c>
      <c r="AK8" s="436">
        <v>250</v>
      </c>
      <c r="AL8" s="436">
        <v>2</v>
      </c>
      <c r="AM8" s="436">
        <v>28</v>
      </c>
      <c r="AN8" s="436">
        <v>300</v>
      </c>
      <c r="AO8" s="436">
        <v>2</v>
      </c>
      <c r="AP8" s="436">
        <v>28</v>
      </c>
      <c r="AQ8" s="437">
        <v>0.8</v>
      </c>
      <c r="AR8" s="436">
        <v>16</v>
      </c>
      <c r="AS8" s="135">
        <v>0.5</v>
      </c>
      <c r="AT8" s="135">
        <v>4</v>
      </c>
      <c r="AU8" s="437"/>
      <c r="AV8" s="437"/>
      <c r="AW8" s="437"/>
      <c r="AX8" s="436">
        <v>3</v>
      </c>
      <c r="AY8" s="490" t="s">
        <v>516</v>
      </c>
      <c r="AZ8" s="490" t="s">
        <v>517</v>
      </c>
      <c r="BA8" s="490" t="s">
        <v>518</v>
      </c>
      <c r="BB8" s="490" t="s">
        <v>519</v>
      </c>
      <c r="BC8" s="490" t="s">
        <v>520</v>
      </c>
      <c r="BD8" s="490" t="s">
        <v>521</v>
      </c>
      <c r="BE8" s="490" t="s">
        <v>522</v>
      </c>
      <c r="BF8" s="490" t="s">
        <v>523</v>
      </c>
      <c r="BG8" s="490" t="s">
        <v>524</v>
      </c>
      <c r="BH8" s="490" t="s">
        <v>525</v>
      </c>
      <c r="BI8" s="490" t="s">
        <v>526</v>
      </c>
      <c r="BJ8" s="490" t="s">
        <v>527</v>
      </c>
      <c r="BK8" s="437"/>
      <c r="BL8" s="437"/>
      <c r="BM8" s="437"/>
      <c r="BN8" s="437"/>
      <c r="BO8" s="437"/>
      <c r="BP8" s="437"/>
    </row>
    <row r="9" spans="1:68">
      <c r="A9" s="482"/>
      <c r="B9" s="437"/>
      <c r="C9" s="437"/>
      <c r="D9" s="437"/>
      <c r="E9" s="437"/>
      <c r="F9" s="437"/>
      <c r="G9" s="437"/>
      <c r="H9" s="437"/>
      <c r="I9" s="437"/>
      <c r="J9" s="437"/>
      <c r="K9" s="437"/>
      <c r="L9" s="437"/>
      <c r="M9" s="437"/>
      <c r="N9" s="437"/>
      <c r="O9" s="439">
        <f>'Gemiddeld en marginaal'!AO43</f>
        <v>0</v>
      </c>
      <c r="P9" s="440" t="str">
        <f>IF(O9&gt;=0,"X","")</f>
        <v>X</v>
      </c>
      <c r="Q9" s="439">
        <f>'Berekening maximale winst'!CV80</f>
        <v>0</v>
      </c>
      <c r="R9" s="437"/>
      <c r="S9" s="142">
        <v>4</v>
      </c>
      <c r="T9" s="437"/>
      <c r="U9" s="437"/>
      <c r="V9" s="437"/>
      <c r="W9" s="437">
        <v>9</v>
      </c>
      <c r="X9" s="437">
        <v>19</v>
      </c>
      <c r="Y9" s="438"/>
      <c r="Z9" s="438"/>
      <c r="AA9" s="437">
        <f ca="1">IF(Y1=0,0,VLOOKUP(Y1,AB1:AK40,10))</f>
        <v>400</v>
      </c>
      <c r="AB9" s="437">
        <v>9</v>
      </c>
      <c r="AC9" s="437">
        <v>1.5</v>
      </c>
      <c r="AD9" s="437">
        <v>2.5</v>
      </c>
      <c r="AE9" s="437">
        <v>68000</v>
      </c>
      <c r="AF9" s="437">
        <v>70000</v>
      </c>
      <c r="AG9" s="437">
        <v>24</v>
      </c>
      <c r="AH9" s="437">
        <v>25</v>
      </c>
      <c r="AI9" s="436">
        <v>5</v>
      </c>
      <c r="AJ9" s="436">
        <v>53</v>
      </c>
      <c r="AK9" s="436">
        <v>280</v>
      </c>
      <c r="AL9" s="436">
        <v>2.5</v>
      </c>
      <c r="AM9" s="436">
        <v>34</v>
      </c>
      <c r="AN9" s="436">
        <v>500</v>
      </c>
      <c r="AO9" s="436">
        <v>8</v>
      </c>
      <c r="AP9" s="436">
        <v>16</v>
      </c>
      <c r="AQ9" s="437">
        <v>3.25</v>
      </c>
      <c r="AR9" s="436">
        <v>25</v>
      </c>
      <c r="AS9" s="135">
        <v>0.625</v>
      </c>
      <c r="AT9" s="135">
        <v>5</v>
      </c>
      <c r="AU9" s="437"/>
      <c r="AV9" s="437"/>
      <c r="AW9" s="437"/>
      <c r="AX9" s="436">
        <v>4</v>
      </c>
      <c r="AY9" s="490" t="s">
        <v>528</v>
      </c>
      <c r="AZ9" s="490" t="s">
        <v>529</v>
      </c>
      <c r="BA9" s="490" t="s">
        <v>530</v>
      </c>
      <c r="BB9" s="490" t="s">
        <v>531</v>
      </c>
      <c r="BC9" s="490" t="s">
        <v>532</v>
      </c>
      <c r="BD9" s="490" t="s">
        <v>533</v>
      </c>
      <c r="BE9" s="490" t="s">
        <v>534</v>
      </c>
      <c r="BF9" s="490" t="s">
        <v>535</v>
      </c>
      <c r="BG9" s="490" t="s">
        <v>536</v>
      </c>
      <c r="BH9" s="490" t="s">
        <v>537</v>
      </c>
      <c r="BI9" s="490" t="s">
        <v>538</v>
      </c>
      <c r="BJ9" s="490" t="s">
        <v>539</v>
      </c>
      <c r="BK9" s="437"/>
      <c r="BL9" s="437"/>
      <c r="BM9" s="437"/>
      <c r="BN9" s="437"/>
      <c r="BO9" s="437"/>
      <c r="BP9" s="437"/>
    </row>
    <row r="10" spans="1:68">
      <c r="A10" s="482"/>
      <c r="B10" s="437"/>
      <c r="C10" s="437"/>
      <c r="D10" s="437"/>
      <c r="E10" s="437"/>
      <c r="F10" s="437"/>
      <c r="G10" s="437"/>
      <c r="H10" s="437"/>
      <c r="I10" s="437"/>
      <c r="J10" s="437"/>
      <c r="K10" s="437"/>
      <c r="L10" s="437"/>
      <c r="M10" s="437"/>
      <c r="N10" s="437"/>
      <c r="O10" s="443">
        <f>'Gemiddeld en marginaal'!AO46</f>
        <v>0</v>
      </c>
      <c r="P10" s="440" t="str">
        <f>IF(O10&gt;=0,"X","")</f>
        <v>X</v>
      </c>
      <c r="Q10" s="439">
        <f>'Berekening maximale winst'!DI76</f>
        <v>0</v>
      </c>
      <c r="R10" s="437"/>
      <c r="S10" s="437"/>
      <c r="T10" s="437"/>
      <c r="U10" s="437"/>
      <c r="V10" s="437"/>
      <c r="W10" s="437">
        <v>10</v>
      </c>
      <c r="X10" s="437">
        <v>6</v>
      </c>
      <c r="Y10" s="438"/>
      <c r="Z10" s="438"/>
      <c r="AA10" s="437">
        <f ca="1">IF(Y1=0,0,VLOOKUP(Y1,AB1:AM40,11))</f>
        <v>2.5</v>
      </c>
      <c r="AB10" s="437">
        <v>10</v>
      </c>
      <c r="AC10" s="437">
        <v>1.4</v>
      </c>
      <c r="AD10" s="437">
        <v>2.4</v>
      </c>
      <c r="AE10" s="437">
        <v>26000</v>
      </c>
      <c r="AF10" s="437">
        <v>28000</v>
      </c>
      <c r="AG10" s="437">
        <v>25</v>
      </c>
      <c r="AH10" s="437">
        <v>4</v>
      </c>
      <c r="AI10" s="436">
        <v>4</v>
      </c>
      <c r="AJ10" s="436">
        <v>57</v>
      </c>
      <c r="AK10" s="436">
        <v>420</v>
      </c>
      <c r="AL10" s="436">
        <v>5.5</v>
      </c>
      <c r="AM10" s="436">
        <v>58</v>
      </c>
      <c r="AN10" s="436">
        <v>350</v>
      </c>
      <c r="AO10" s="436">
        <v>6</v>
      </c>
      <c r="AP10" s="436">
        <v>27</v>
      </c>
      <c r="AQ10" s="437">
        <v>2.9</v>
      </c>
      <c r="AR10" s="436">
        <v>24</v>
      </c>
      <c r="AS10" s="135">
        <v>0.8</v>
      </c>
      <c r="AT10" s="135">
        <v>3.2</v>
      </c>
      <c r="AU10" s="437"/>
      <c r="AV10" s="437"/>
      <c r="AW10" s="437"/>
      <c r="AX10" s="436">
        <v>5</v>
      </c>
      <c r="AY10" s="490" t="s">
        <v>540</v>
      </c>
      <c r="AZ10" s="490" t="s">
        <v>541</v>
      </c>
      <c r="BA10" s="490" t="s">
        <v>542</v>
      </c>
      <c r="BB10" s="490" t="s">
        <v>543</v>
      </c>
      <c r="BC10" s="490" t="s">
        <v>544</v>
      </c>
      <c r="BD10" s="490" t="s">
        <v>545</v>
      </c>
      <c r="BE10" s="490" t="s">
        <v>546</v>
      </c>
      <c r="BF10" s="490" t="s">
        <v>547</v>
      </c>
      <c r="BG10" s="490" t="s">
        <v>548</v>
      </c>
      <c r="BH10" s="490" t="s">
        <v>352</v>
      </c>
      <c r="BI10" s="490" t="s">
        <v>549</v>
      </c>
      <c r="BJ10" s="490" t="s">
        <v>550</v>
      </c>
      <c r="BK10" s="437"/>
      <c r="BL10" s="437"/>
      <c r="BM10" s="437"/>
      <c r="BN10" s="437"/>
      <c r="BO10" s="437"/>
      <c r="BP10" s="437"/>
    </row>
    <row r="11" spans="1:68">
      <c r="A11" s="482"/>
      <c r="B11" s="437"/>
      <c r="C11" s="437"/>
      <c r="D11" s="437"/>
      <c r="E11" s="437"/>
      <c r="F11" s="437"/>
      <c r="G11" s="437"/>
      <c r="H11" s="437"/>
      <c r="I11" s="437"/>
      <c r="J11" s="437"/>
      <c r="K11" s="437"/>
      <c r="L11" s="437"/>
      <c r="M11" s="437"/>
      <c r="N11" s="437"/>
      <c r="O11" s="439">
        <f>'Gemiddeld en marginaal'!BB35</f>
        <v>0</v>
      </c>
      <c r="P11" s="440" t="str">
        <f>IF(O11&lt;=0,"X","")</f>
        <v>X</v>
      </c>
      <c r="Q11" s="439">
        <f>'Berekening maximale winst'!DV71</f>
        <v>0</v>
      </c>
      <c r="R11" s="135"/>
      <c r="S11" s="135"/>
      <c r="T11" s="135"/>
      <c r="U11" s="437"/>
      <c r="V11" s="437"/>
      <c r="W11" s="437">
        <v>11</v>
      </c>
      <c r="X11" s="437">
        <v>38</v>
      </c>
      <c r="Y11" s="437"/>
      <c r="Z11" s="437"/>
      <c r="AA11" s="437">
        <f ca="1">IF(Y1=0,0,VLOOKUP(Y1,AB1:AM40,12))</f>
        <v>32</v>
      </c>
      <c r="AB11" s="437">
        <v>11</v>
      </c>
      <c r="AC11" s="437">
        <v>2.2000000000000002</v>
      </c>
      <c r="AD11" s="437">
        <v>3.2</v>
      </c>
      <c r="AE11" s="437">
        <v>92000</v>
      </c>
      <c r="AF11" s="437">
        <v>94000</v>
      </c>
      <c r="AG11" s="437">
        <v>19</v>
      </c>
      <c r="AH11" s="437">
        <v>37</v>
      </c>
      <c r="AI11" s="436">
        <v>3</v>
      </c>
      <c r="AJ11" s="436">
        <v>49</v>
      </c>
      <c r="AK11" s="436">
        <v>280</v>
      </c>
      <c r="AL11" s="436">
        <v>4.5</v>
      </c>
      <c r="AM11" s="436">
        <v>53</v>
      </c>
      <c r="AN11" s="436">
        <v>300</v>
      </c>
      <c r="AO11" s="436">
        <v>5</v>
      </c>
      <c r="AP11" s="436">
        <v>15</v>
      </c>
      <c r="AQ11" s="437">
        <v>3.8</v>
      </c>
      <c r="AR11" s="436">
        <v>17</v>
      </c>
      <c r="AS11" s="135">
        <v>5</v>
      </c>
      <c r="AT11" s="135">
        <v>0.625</v>
      </c>
      <c r="AU11" s="437"/>
      <c r="AV11" s="437"/>
      <c r="AW11" s="437"/>
      <c r="AX11" s="436">
        <v>6</v>
      </c>
      <c r="AY11" s="490" t="s">
        <v>551</v>
      </c>
      <c r="AZ11" s="490" t="s">
        <v>552</v>
      </c>
      <c r="BA11" s="490" t="s">
        <v>553</v>
      </c>
      <c r="BB11" s="490" t="s">
        <v>554</v>
      </c>
      <c r="BC11" s="490" t="s">
        <v>555</v>
      </c>
      <c r="BD11" s="490" t="s">
        <v>556</v>
      </c>
      <c r="BE11" s="490" t="s">
        <v>557</v>
      </c>
      <c r="BF11" s="490" t="s">
        <v>558</v>
      </c>
      <c r="BG11" s="490" t="s">
        <v>559</v>
      </c>
      <c r="BH11" s="490" t="s">
        <v>560</v>
      </c>
      <c r="BI11" s="490" t="s">
        <v>561</v>
      </c>
      <c r="BJ11" s="490" t="s">
        <v>562</v>
      </c>
      <c r="BK11" s="437"/>
      <c r="BL11" s="437"/>
      <c r="BM11" s="437"/>
      <c r="BN11" s="437"/>
      <c r="BO11" s="437"/>
      <c r="BP11" s="437"/>
    </row>
    <row r="12" spans="1:68">
      <c r="A12" s="482"/>
      <c r="B12" s="437"/>
      <c r="C12" s="437"/>
      <c r="D12" s="437"/>
      <c r="E12" s="437"/>
      <c r="F12" s="437"/>
      <c r="G12" s="437"/>
      <c r="H12" s="437"/>
      <c r="I12" s="437"/>
      <c r="J12" s="437"/>
      <c r="K12" s="437"/>
      <c r="L12" s="437"/>
      <c r="M12" s="437"/>
      <c r="N12" s="437"/>
      <c r="O12" s="439">
        <f>'Gemiddeld en marginaal'!BB38</f>
        <v>0</v>
      </c>
      <c r="P12" s="440" t="str">
        <f>IF(O12&lt;=0,"X","")</f>
        <v>X</v>
      </c>
      <c r="Q12" s="439">
        <f>'Berekening maximale winst'!L162</f>
        <v>0</v>
      </c>
      <c r="R12" s="437"/>
      <c r="S12" s="135"/>
      <c r="T12" s="135"/>
      <c r="U12" s="437"/>
      <c r="V12" s="437"/>
      <c r="W12" s="437">
        <v>12</v>
      </c>
      <c r="X12" s="437">
        <v>16</v>
      </c>
      <c r="Y12" s="437"/>
      <c r="Z12" s="437"/>
      <c r="AA12" s="437">
        <f ca="1">IF(Y1=0,0,VLOOKUP(Y1,AB1:AO40,13))</f>
        <v>200</v>
      </c>
      <c r="AB12" s="437">
        <v>12</v>
      </c>
      <c r="AC12" s="437">
        <v>3.2</v>
      </c>
      <c r="AD12" s="437">
        <v>4.2</v>
      </c>
      <c r="AE12" s="437">
        <v>38000</v>
      </c>
      <c r="AF12" s="437">
        <v>40000</v>
      </c>
      <c r="AG12" s="437">
        <v>12</v>
      </c>
      <c r="AH12" s="437">
        <v>10</v>
      </c>
      <c r="AI12" s="436">
        <v>2</v>
      </c>
      <c r="AJ12" s="436">
        <v>36</v>
      </c>
      <c r="AK12" s="436">
        <v>320</v>
      </c>
      <c r="AL12" s="436">
        <v>3.5</v>
      </c>
      <c r="AM12" s="436">
        <v>40</v>
      </c>
      <c r="AN12" s="436">
        <v>350</v>
      </c>
      <c r="AO12" s="436">
        <v>7</v>
      </c>
      <c r="AP12" s="436">
        <v>23</v>
      </c>
      <c r="AQ12" s="437">
        <v>0.5</v>
      </c>
      <c r="AR12" s="436">
        <v>12</v>
      </c>
      <c r="AS12" s="135">
        <v>1.25</v>
      </c>
      <c r="AT12" s="135">
        <v>0.32</v>
      </c>
      <c r="AU12" s="437"/>
      <c r="AV12" s="437"/>
      <c r="AW12" s="437"/>
      <c r="AX12" s="436">
        <v>7</v>
      </c>
      <c r="AY12" s="490" t="s">
        <v>563</v>
      </c>
      <c r="AZ12" s="490" t="s">
        <v>564</v>
      </c>
      <c r="BA12" s="490" t="s">
        <v>552</v>
      </c>
      <c r="BB12" s="490" t="s">
        <v>565</v>
      </c>
      <c r="BC12" s="490" t="s">
        <v>566</v>
      </c>
      <c r="BD12" s="490" t="s">
        <v>567</v>
      </c>
      <c r="BE12" s="490" t="s">
        <v>568</v>
      </c>
      <c r="BF12" s="490" t="s">
        <v>569</v>
      </c>
      <c r="BG12" s="490" t="s">
        <v>570</v>
      </c>
      <c r="BH12" s="490" t="s">
        <v>571</v>
      </c>
      <c r="BI12" s="490" t="s">
        <v>572</v>
      </c>
      <c r="BJ12" s="490" t="s">
        <v>573</v>
      </c>
      <c r="BK12" s="437"/>
      <c r="BL12" s="437"/>
      <c r="BM12" s="437"/>
      <c r="BN12" s="437"/>
      <c r="BO12" s="437"/>
      <c r="BP12" s="437"/>
    </row>
    <row r="13" spans="1:68">
      <c r="A13" s="482"/>
      <c r="B13" s="437"/>
      <c r="C13" s="437"/>
      <c r="D13" s="437"/>
      <c r="E13" s="437"/>
      <c r="F13" s="437"/>
      <c r="G13" s="437"/>
      <c r="H13" s="437"/>
      <c r="I13" s="437"/>
      <c r="J13" s="437"/>
      <c r="K13" s="437"/>
      <c r="L13" s="437"/>
      <c r="M13" s="437"/>
      <c r="N13" s="437"/>
      <c r="O13" s="439">
        <f>'Gemiddeld en marginaal'!BB41</f>
        <v>0</v>
      </c>
      <c r="P13" s="440" t="str">
        <f>IF(O13&lt;=0,"X","")</f>
        <v>X</v>
      </c>
      <c r="Q13" s="164">
        <f>'Berekening maximale winst'!L173</f>
        <v>0</v>
      </c>
      <c r="R13" s="437"/>
      <c r="S13" s="135"/>
      <c r="T13" s="135"/>
      <c r="U13" s="437"/>
      <c r="V13" s="437"/>
      <c r="W13" s="437">
        <v>13</v>
      </c>
      <c r="X13" s="437">
        <v>4</v>
      </c>
      <c r="Y13" s="437"/>
      <c r="Z13" s="437"/>
      <c r="AA13" s="437">
        <f ca="1">IF(Y1=0,0,VLOOKUP(Y1,AB1:AO40,14))/10</f>
        <v>0.2</v>
      </c>
      <c r="AB13" s="437">
        <v>13</v>
      </c>
      <c r="AC13" s="437">
        <v>1.6</v>
      </c>
      <c r="AD13" s="437">
        <v>2.6</v>
      </c>
      <c r="AE13" s="437">
        <v>90000</v>
      </c>
      <c r="AF13" s="437">
        <v>92000</v>
      </c>
      <c r="AG13" s="437">
        <v>28</v>
      </c>
      <c r="AH13" s="437">
        <v>36</v>
      </c>
      <c r="AI13" s="436">
        <v>2.5</v>
      </c>
      <c r="AJ13" s="436">
        <v>30</v>
      </c>
      <c r="AK13" s="436">
        <v>400</v>
      </c>
      <c r="AL13" s="436">
        <v>3.5</v>
      </c>
      <c r="AM13" s="436">
        <v>46</v>
      </c>
      <c r="AN13" s="436">
        <v>400</v>
      </c>
      <c r="AO13" s="436">
        <v>3</v>
      </c>
      <c r="AP13" s="436">
        <v>18</v>
      </c>
      <c r="AQ13" s="437">
        <v>1.4</v>
      </c>
      <c r="AR13" s="436">
        <v>28</v>
      </c>
      <c r="AS13" s="135">
        <v>1.6</v>
      </c>
      <c r="AT13" s="135">
        <v>0.4</v>
      </c>
      <c r="AU13" s="437"/>
      <c r="AV13" s="437"/>
      <c r="AW13" s="437"/>
      <c r="AX13" s="436">
        <v>8</v>
      </c>
      <c r="AY13" s="490" t="s">
        <v>574</v>
      </c>
      <c r="AZ13" s="490" t="s">
        <v>575</v>
      </c>
      <c r="BA13" s="490" t="s">
        <v>576</v>
      </c>
      <c r="BB13" s="490" t="s">
        <v>577</v>
      </c>
      <c r="BC13" s="490" t="s">
        <v>578</v>
      </c>
      <c r="BD13" s="490" t="s">
        <v>579</v>
      </c>
      <c r="BE13" s="490" t="s">
        <v>558</v>
      </c>
      <c r="BF13" s="490" t="s">
        <v>580</v>
      </c>
      <c r="BG13" s="490" t="s">
        <v>581</v>
      </c>
      <c r="BH13" s="490" t="s">
        <v>582</v>
      </c>
      <c r="BI13" s="490" t="s">
        <v>583</v>
      </c>
      <c r="BJ13" s="490" t="s">
        <v>584</v>
      </c>
      <c r="BK13" s="437"/>
      <c r="BL13" s="437"/>
      <c r="BM13" s="437"/>
      <c r="BN13" s="437"/>
      <c r="BO13" s="437"/>
      <c r="BP13" s="437"/>
    </row>
    <row r="14" spans="1:68">
      <c r="A14" s="482"/>
      <c r="B14" s="437"/>
      <c r="C14" s="437"/>
      <c r="D14" s="437"/>
      <c r="E14" s="437"/>
      <c r="F14" s="437"/>
      <c r="G14" s="437"/>
      <c r="H14" s="437"/>
      <c r="I14" s="437"/>
      <c r="J14" s="437"/>
      <c r="K14" s="437"/>
      <c r="L14" s="437"/>
      <c r="M14" s="437"/>
      <c r="N14" s="437"/>
      <c r="O14" s="439">
        <f>'Gemiddeld en marginaal'!BB44</f>
        <v>0</v>
      </c>
      <c r="P14" s="440" t="str">
        <f>IF(O14&lt;=0,"X","")</f>
        <v>X</v>
      </c>
      <c r="Q14" s="439">
        <f>'Berekening maximale winst'!L226</f>
        <v>0</v>
      </c>
      <c r="R14" s="437"/>
      <c r="S14" s="135"/>
      <c r="T14" s="135"/>
      <c r="U14" s="437"/>
      <c r="V14" s="437"/>
      <c r="W14" s="437">
        <v>14</v>
      </c>
      <c r="X14" s="437">
        <v>37</v>
      </c>
      <c r="Y14" s="437"/>
      <c r="Z14" s="437"/>
      <c r="AA14" s="437">
        <f ca="1">IF(Y1=0,0,VLOOKUP(Y1,AB1:AP40,15))</f>
        <v>24</v>
      </c>
      <c r="AB14" s="437">
        <v>14</v>
      </c>
      <c r="AC14" s="437">
        <v>1.8</v>
      </c>
      <c r="AD14" s="437">
        <v>2.8</v>
      </c>
      <c r="AE14" s="437">
        <v>56000</v>
      </c>
      <c r="AF14" s="437">
        <v>58000</v>
      </c>
      <c r="AG14" s="437">
        <v>14</v>
      </c>
      <c r="AH14" s="437">
        <v>19</v>
      </c>
      <c r="AI14" s="436">
        <v>5.5</v>
      </c>
      <c r="AJ14" s="436">
        <v>64</v>
      </c>
      <c r="AK14" s="444">
        <v>350</v>
      </c>
      <c r="AL14" s="436">
        <v>5</v>
      </c>
      <c r="AM14" s="436">
        <v>54</v>
      </c>
      <c r="AN14" s="436">
        <v>250</v>
      </c>
      <c r="AO14" s="436">
        <v>6</v>
      </c>
      <c r="AP14" s="436">
        <v>12</v>
      </c>
      <c r="AQ14" s="437">
        <v>0.9</v>
      </c>
      <c r="AR14" s="436">
        <v>16</v>
      </c>
      <c r="AS14" s="135">
        <v>2</v>
      </c>
      <c r="AT14" s="135">
        <v>0.625</v>
      </c>
      <c r="AU14" s="437"/>
      <c r="AV14" s="437"/>
      <c r="AW14" s="437"/>
      <c r="AX14" s="436">
        <v>9</v>
      </c>
      <c r="AY14" s="490" t="s">
        <v>585</v>
      </c>
      <c r="AZ14" s="490" t="s">
        <v>586</v>
      </c>
      <c r="BA14" s="490" t="s">
        <v>587</v>
      </c>
      <c r="BB14" s="490" t="s">
        <v>588</v>
      </c>
      <c r="BC14" s="490" t="s">
        <v>589</v>
      </c>
      <c r="BD14" s="490" t="s">
        <v>590</v>
      </c>
      <c r="BE14" s="490" t="s">
        <v>591</v>
      </c>
      <c r="BF14" s="490" t="s">
        <v>592</v>
      </c>
      <c r="BG14" s="490" t="s">
        <v>593</v>
      </c>
      <c r="BH14" s="490" t="s">
        <v>594</v>
      </c>
      <c r="BI14" s="490" t="s">
        <v>595</v>
      </c>
      <c r="BJ14" s="490" t="s">
        <v>596</v>
      </c>
      <c r="BK14" s="437"/>
      <c r="BL14" s="437"/>
      <c r="BM14" s="437"/>
      <c r="BN14" s="437"/>
      <c r="BO14" s="437"/>
      <c r="BP14" s="437"/>
    </row>
    <row r="15" spans="1:68">
      <c r="A15" s="482"/>
      <c r="B15" s="437"/>
      <c r="C15" s="437"/>
      <c r="D15" s="437"/>
      <c r="E15" s="437"/>
      <c r="F15" s="437"/>
      <c r="G15" s="437"/>
      <c r="H15" s="437"/>
      <c r="I15" s="437"/>
      <c r="J15" s="437"/>
      <c r="K15" s="437"/>
      <c r="L15" s="437"/>
      <c r="M15" s="437"/>
      <c r="N15" s="437"/>
      <c r="O15" s="439">
        <f>'Gemiddeld en marginaal'!BB47</f>
        <v>0</v>
      </c>
      <c r="P15" s="440" t="str">
        <f>IF(O15=0,"","X")</f>
        <v/>
      </c>
      <c r="Q15" s="164">
        <f>'Berekening maximale winst'!L233</f>
        <v>0</v>
      </c>
      <c r="R15" s="437"/>
      <c r="S15" s="135"/>
      <c r="T15" s="135"/>
      <c r="U15" s="437"/>
      <c r="V15" s="437"/>
      <c r="W15" s="437">
        <v>15</v>
      </c>
      <c r="X15" s="437">
        <v>10</v>
      </c>
      <c r="Y15" s="437"/>
      <c r="Z15" s="437"/>
      <c r="AA15" s="437">
        <f ca="1">IF(Y1=0,0,VLOOKUP(Y1,AB1:AQ40,16))/5</f>
        <v>0.35</v>
      </c>
      <c r="AB15" s="437">
        <v>15</v>
      </c>
      <c r="AC15" s="437">
        <v>2.8</v>
      </c>
      <c r="AD15" s="437">
        <v>3.8</v>
      </c>
      <c r="AE15" s="437">
        <v>30000</v>
      </c>
      <c r="AF15" s="437">
        <v>32000</v>
      </c>
      <c r="AG15" s="437">
        <v>17</v>
      </c>
      <c r="AH15" s="437">
        <v>6</v>
      </c>
      <c r="AI15" s="436">
        <v>4.5</v>
      </c>
      <c r="AJ15" s="436">
        <v>50</v>
      </c>
      <c r="AK15" s="436">
        <v>310</v>
      </c>
      <c r="AL15" s="436">
        <v>4</v>
      </c>
      <c r="AM15" s="436">
        <v>45</v>
      </c>
      <c r="AN15" s="436">
        <v>300</v>
      </c>
      <c r="AO15" s="436">
        <v>2</v>
      </c>
      <c r="AP15" s="436">
        <v>14</v>
      </c>
      <c r="AQ15" s="437">
        <v>1.7</v>
      </c>
      <c r="AR15" s="436">
        <v>27</v>
      </c>
      <c r="AS15" s="135">
        <v>2.5</v>
      </c>
      <c r="AT15" s="135">
        <v>0.8</v>
      </c>
      <c r="AU15" s="437"/>
      <c r="AV15" s="437"/>
      <c r="AW15" s="437"/>
      <c r="AX15" s="436">
        <v>10</v>
      </c>
      <c r="AY15" s="490" t="s">
        <v>597</v>
      </c>
      <c r="AZ15" s="490" t="s">
        <v>598</v>
      </c>
      <c r="BA15" s="490" t="s">
        <v>599</v>
      </c>
      <c r="BB15" s="490" t="s">
        <v>600</v>
      </c>
      <c r="BC15" s="490" t="s">
        <v>601</v>
      </c>
      <c r="BD15" s="490" t="s">
        <v>602</v>
      </c>
      <c r="BE15" s="490" t="s">
        <v>603</v>
      </c>
      <c r="BF15" s="490" t="s">
        <v>604</v>
      </c>
      <c r="BG15" s="490" t="s">
        <v>605</v>
      </c>
      <c r="BH15" s="490" t="s">
        <v>606</v>
      </c>
      <c r="BI15" s="490" t="s">
        <v>607</v>
      </c>
      <c r="BJ15" s="490" t="s">
        <v>608</v>
      </c>
      <c r="BK15" s="437"/>
      <c r="BL15" s="437"/>
      <c r="BM15" s="437"/>
      <c r="BN15" s="437"/>
      <c r="BO15" s="437"/>
      <c r="BP15" s="437"/>
    </row>
    <row r="16" spans="1:68">
      <c r="A16" s="482"/>
      <c r="B16" s="437"/>
      <c r="C16" s="437"/>
      <c r="D16" s="437"/>
      <c r="E16" s="437"/>
      <c r="F16" s="437"/>
      <c r="G16" s="437"/>
      <c r="H16" s="437"/>
      <c r="I16" s="437"/>
      <c r="J16" s="437"/>
      <c r="K16" s="437"/>
      <c r="L16" s="437"/>
      <c r="M16" s="437"/>
      <c r="N16" s="437"/>
      <c r="O16" s="437"/>
      <c r="P16" s="440"/>
      <c r="Q16" s="437"/>
      <c r="R16" s="437"/>
      <c r="S16" s="135"/>
      <c r="T16" s="135"/>
      <c r="U16" s="437"/>
      <c r="V16" s="437"/>
      <c r="W16" s="437">
        <v>16</v>
      </c>
      <c r="X16" s="437">
        <v>36</v>
      </c>
      <c r="Y16" s="437"/>
      <c r="Z16" s="437"/>
      <c r="AA16" s="437">
        <f ca="1">IF(Y1=0,0,VLOOKUP(Y1,AB1:AR40,17))</f>
        <v>19</v>
      </c>
      <c r="AB16" s="437">
        <v>16</v>
      </c>
      <c r="AC16" s="437">
        <v>1.9</v>
      </c>
      <c r="AD16" s="437">
        <v>2.9</v>
      </c>
      <c r="AE16" s="437">
        <v>94000</v>
      </c>
      <c r="AF16" s="437">
        <v>96000</v>
      </c>
      <c r="AG16" s="437">
        <v>27</v>
      </c>
      <c r="AH16" s="437">
        <v>38</v>
      </c>
      <c r="AI16" s="436">
        <v>3.5</v>
      </c>
      <c r="AJ16" s="436">
        <v>42</v>
      </c>
      <c r="AK16" s="436">
        <v>350</v>
      </c>
      <c r="AL16" s="436">
        <v>7</v>
      </c>
      <c r="AM16" s="436">
        <v>65</v>
      </c>
      <c r="AN16" s="436">
        <v>350</v>
      </c>
      <c r="AO16" s="436">
        <v>4</v>
      </c>
      <c r="AP16" s="436">
        <v>15</v>
      </c>
      <c r="AQ16" s="437">
        <v>2.8</v>
      </c>
      <c r="AR16" s="436">
        <v>15</v>
      </c>
      <c r="AS16" s="135">
        <v>6.25</v>
      </c>
      <c r="AT16" s="135">
        <v>0.4</v>
      </c>
      <c r="AU16" s="437"/>
      <c r="AV16" s="437"/>
      <c r="AW16" s="437"/>
      <c r="AX16" s="436">
        <v>11</v>
      </c>
      <c r="AY16" s="490" t="s">
        <v>609</v>
      </c>
      <c r="AZ16" s="490" t="s">
        <v>610</v>
      </c>
      <c r="BA16" s="490" t="s">
        <v>598</v>
      </c>
      <c r="BB16" s="490" t="s">
        <v>611</v>
      </c>
      <c r="BC16" s="490" t="s">
        <v>612</v>
      </c>
      <c r="BD16" s="490" t="s">
        <v>613</v>
      </c>
      <c r="BE16" s="490" t="s">
        <v>614</v>
      </c>
      <c r="BF16" s="490" t="s">
        <v>615</v>
      </c>
      <c r="BG16" s="490" t="s">
        <v>616</v>
      </c>
      <c r="BH16" s="490" t="s">
        <v>617</v>
      </c>
      <c r="BI16" s="490" t="s">
        <v>618</v>
      </c>
      <c r="BJ16" s="490" t="s">
        <v>619</v>
      </c>
      <c r="BK16" s="437"/>
      <c r="BL16" s="437"/>
      <c r="BM16" s="437"/>
      <c r="BN16" s="437"/>
      <c r="BO16" s="437"/>
      <c r="BP16" s="437"/>
    </row>
    <row r="17" spans="1:68">
      <c r="A17" s="482"/>
      <c r="B17" s="437"/>
      <c r="C17" s="437"/>
      <c r="D17" s="437"/>
      <c r="E17" s="437"/>
      <c r="F17" s="437"/>
      <c r="G17" s="437"/>
      <c r="H17" s="437"/>
      <c r="I17" s="437"/>
      <c r="J17" s="437"/>
      <c r="K17" s="437"/>
      <c r="L17" s="437"/>
      <c r="M17" s="437"/>
      <c r="N17" s="437"/>
      <c r="O17" s="437"/>
      <c r="P17" s="440" t="str">
        <f>IF(Q1&lt;=0,"X","")</f>
        <v/>
      </c>
      <c r="Q17" s="437"/>
      <c r="R17" s="437"/>
      <c r="S17" s="135"/>
      <c r="T17" s="135"/>
      <c r="U17" s="437"/>
      <c r="V17" s="437"/>
      <c r="W17" s="437">
        <v>17</v>
      </c>
      <c r="X17" s="437">
        <v>40</v>
      </c>
      <c r="Y17" s="437"/>
      <c r="Z17" s="437"/>
      <c r="AA17" s="437">
        <f ca="1">IF(Y1=0,0,VLOOKUP(Y1,AB1:AS40,18))</f>
        <v>0.5</v>
      </c>
      <c r="AB17" s="437">
        <v>17</v>
      </c>
      <c r="AC17" s="437">
        <v>2.4</v>
      </c>
      <c r="AD17" s="437">
        <v>3.4</v>
      </c>
      <c r="AE17" s="437">
        <v>46000</v>
      </c>
      <c r="AF17" s="437">
        <v>48000</v>
      </c>
      <c r="AG17" s="437">
        <v>17</v>
      </c>
      <c r="AH17" s="437">
        <v>14</v>
      </c>
      <c r="AI17" s="436">
        <v>5</v>
      </c>
      <c r="AJ17" s="436">
        <v>53</v>
      </c>
      <c r="AK17" s="436">
        <v>400</v>
      </c>
      <c r="AL17" s="436">
        <v>2</v>
      </c>
      <c r="AM17" s="436">
        <v>25</v>
      </c>
      <c r="AN17" s="436">
        <v>400</v>
      </c>
      <c r="AO17" s="436">
        <v>3</v>
      </c>
      <c r="AP17" s="436">
        <v>17</v>
      </c>
      <c r="AQ17" s="437">
        <v>1.5</v>
      </c>
      <c r="AR17" s="436">
        <v>24</v>
      </c>
      <c r="AS17" s="135">
        <v>8</v>
      </c>
      <c r="AT17" s="135">
        <v>0.5</v>
      </c>
      <c r="AU17" s="437"/>
      <c r="AV17" s="437"/>
      <c r="AW17" s="437"/>
      <c r="AX17" s="436">
        <v>12</v>
      </c>
      <c r="AY17" s="490" t="s">
        <v>620</v>
      </c>
      <c r="AZ17" s="490" t="s">
        <v>621</v>
      </c>
      <c r="BA17" s="490" t="s">
        <v>622</v>
      </c>
      <c r="BB17" s="490" t="s">
        <v>518</v>
      </c>
      <c r="BC17" s="490" t="s">
        <v>623</v>
      </c>
      <c r="BD17" s="490" t="s">
        <v>624</v>
      </c>
      <c r="BE17" s="490" t="s">
        <v>625</v>
      </c>
      <c r="BF17" s="490" t="s">
        <v>626</v>
      </c>
      <c r="BG17" s="490" t="s">
        <v>627</v>
      </c>
      <c r="BH17" s="490" t="s">
        <v>628</v>
      </c>
      <c r="BI17" s="490" t="s">
        <v>629</v>
      </c>
      <c r="BJ17" s="490" t="s">
        <v>630</v>
      </c>
      <c r="BK17" s="437"/>
      <c r="BL17" s="437"/>
      <c r="BM17" s="437"/>
      <c r="BN17" s="437"/>
      <c r="BO17" s="437"/>
      <c r="BP17" s="437"/>
    </row>
    <row r="18" spans="1:68">
      <c r="A18" s="482"/>
      <c r="B18" s="437"/>
      <c r="C18" s="437"/>
      <c r="D18" s="437"/>
      <c r="E18" s="437"/>
      <c r="F18" s="437"/>
      <c r="G18" s="437"/>
      <c r="H18" s="437"/>
      <c r="I18" s="437"/>
      <c r="J18" s="437"/>
      <c r="K18" s="437"/>
      <c r="L18" s="437"/>
      <c r="M18" s="437"/>
      <c r="N18" s="437"/>
      <c r="O18" s="437"/>
      <c r="P18" s="440" t="str">
        <f t="shared" ref="P18:P30" si="3">IF(Q3&lt;=0,"X","")</f>
        <v>X</v>
      </c>
      <c r="Q18" s="437"/>
      <c r="R18" s="437"/>
      <c r="S18" s="135"/>
      <c r="T18" s="135"/>
      <c r="U18" s="437"/>
      <c r="V18" s="437"/>
      <c r="W18" s="437">
        <v>18</v>
      </c>
      <c r="X18" s="437">
        <v>27</v>
      </c>
      <c r="Y18" s="437"/>
      <c r="Z18" s="437"/>
      <c r="AA18" s="437">
        <f ca="1">IF(Y1=0,0,VLOOKUP(Y1,AB1:AT40,19))</f>
        <v>3.2</v>
      </c>
      <c r="AB18" s="437">
        <v>18</v>
      </c>
      <c r="AC18" s="437">
        <v>1.9</v>
      </c>
      <c r="AD18" s="437">
        <v>2.9</v>
      </c>
      <c r="AE18" s="437">
        <v>80000</v>
      </c>
      <c r="AF18" s="437">
        <v>82000</v>
      </c>
      <c r="AG18" s="437">
        <v>26</v>
      </c>
      <c r="AH18" s="437">
        <v>31</v>
      </c>
      <c r="AI18" s="436">
        <v>4</v>
      </c>
      <c r="AJ18" s="436">
        <v>58</v>
      </c>
      <c r="AK18" s="436">
        <v>450</v>
      </c>
      <c r="AL18" s="436">
        <v>2.5</v>
      </c>
      <c r="AM18" s="436">
        <v>37</v>
      </c>
      <c r="AN18" s="436">
        <v>300</v>
      </c>
      <c r="AO18" s="436">
        <v>6</v>
      </c>
      <c r="AP18" s="436">
        <v>25</v>
      </c>
      <c r="AQ18" s="437">
        <v>2.4</v>
      </c>
      <c r="AR18" s="436">
        <v>18</v>
      </c>
      <c r="AS18" s="135">
        <v>12.5</v>
      </c>
      <c r="AT18" s="135">
        <v>0.16</v>
      </c>
      <c r="AU18" s="437"/>
      <c r="AV18" s="437"/>
      <c r="AW18" s="437"/>
      <c r="AX18" s="436">
        <v>13</v>
      </c>
      <c r="AY18" s="490" t="s">
        <v>353</v>
      </c>
      <c r="AZ18" s="490" t="s">
        <v>631</v>
      </c>
      <c r="BA18" s="490" t="s">
        <v>632</v>
      </c>
      <c r="BB18" s="490" t="s">
        <v>633</v>
      </c>
      <c r="BC18" s="490" t="s">
        <v>634</v>
      </c>
      <c r="BD18" s="490" t="s">
        <v>635</v>
      </c>
      <c r="BE18" s="490" t="s">
        <v>636</v>
      </c>
      <c r="BF18" s="490" t="s">
        <v>637</v>
      </c>
      <c r="BG18" s="490" t="s">
        <v>638</v>
      </c>
      <c r="BH18" s="490" t="s">
        <v>354</v>
      </c>
      <c r="BI18" s="490" t="s">
        <v>639</v>
      </c>
      <c r="BJ18" s="490" t="s">
        <v>640</v>
      </c>
      <c r="BK18" s="437"/>
      <c r="BL18" s="437"/>
      <c r="BM18" s="437"/>
      <c r="BN18" s="437"/>
      <c r="BO18" s="437"/>
      <c r="BP18" s="437"/>
    </row>
    <row r="19" spans="1:68">
      <c r="A19" s="482"/>
      <c r="B19" s="437"/>
      <c r="C19" s="437"/>
      <c r="D19" s="437"/>
      <c r="E19" s="437"/>
      <c r="F19" s="437"/>
      <c r="G19" s="437"/>
      <c r="H19" s="437"/>
      <c r="I19" s="437"/>
      <c r="J19" s="437"/>
      <c r="K19" s="437"/>
      <c r="L19" s="437"/>
      <c r="M19" s="437"/>
      <c r="N19" s="437"/>
      <c r="O19" s="437"/>
      <c r="P19" s="440" t="str">
        <f t="shared" si="3"/>
        <v>X</v>
      </c>
      <c r="Q19" s="437"/>
      <c r="R19" s="437"/>
      <c r="S19" s="135"/>
      <c r="T19" s="135"/>
      <c r="U19" s="437"/>
      <c r="V19" s="437"/>
      <c r="W19" s="437">
        <v>19</v>
      </c>
      <c r="X19" s="437">
        <v>2</v>
      </c>
      <c r="Y19" s="437"/>
      <c r="Z19" s="437"/>
      <c r="AA19" s="437">
        <f ca="1">IF(Y1=0,0,VLOOKUP(Y1,AB1:AU40,20))</f>
        <v>0</v>
      </c>
      <c r="AB19" s="437">
        <v>19</v>
      </c>
      <c r="AC19" s="437">
        <v>1.3</v>
      </c>
      <c r="AD19" s="437">
        <v>2.2999999999999998</v>
      </c>
      <c r="AE19" s="437">
        <v>72000</v>
      </c>
      <c r="AF19" s="437">
        <v>74000</v>
      </c>
      <c r="AG19" s="437">
        <v>30</v>
      </c>
      <c r="AH19" s="437">
        <v>27</v>
      </c>
      <c r="AI19" s="436">
        <v>3</v>
      </c>
      <c r="AJ19" s="436">
        <v>48</v>
      </c>
      <c r="AK19" s="436">
        <v>300</v>
      </c>
      <c r="AL19" s="436">
        <v>5.5</v>
      </c>
      <c r="AM19" s="436">
        <v>60</v>
      </c>
      <c r="AN19" s="436">
        <v>450</v>
      </c>
      <c r="AO19" s="436">
        <v>5</v>
      </c>
      <c r="AP19" s="436">
        <v>26</v>
      </c>
      <c r="AQ19" s="437">
        <v>0.7</v>
      </c>
      <c r="AR19" s="436">
        <v>14</v>
      </c>
      <c r="AS19" s="135">
        <v>16</v>
      </c>
      <c r="AT19" s="135">
        <v>0.2</v>
      </c>
      <c r="AU19" s="437"/>
      <c r="AV19" s="437"/>
      <c r="AW19" s="437"/>
      <c r="AX19" s="436">
        <v>14</v>
      </c>
      <c r="AY19" s="490" t="s">
        <v>641</v>
      </c>
      <c r="AZ19" s="490" t="s">
        <v>642</v>
      </c>
      <c r="BA19" s="490" t="s">
        <v>643</v>
      </c>
      <c r="BB19" s="490" t="s">
        <v>644</v>
      </c>
      <c r="BC19" s="490" t="s">
        <v>645</v>
      </c>
      <c r="BD19" s="490" t="s">
        <v>646</v>
      </c>
      <c r="BE19" s="490" t="s">
        <v>647</v>
      </c>
      <c r="BF19" s="490" t="s">
        <v>648</v>
      </c>
      <c r="BG19" s="490" t="s">
        <v>649</v>
      </c>
      <c r="BH19" s="490" t="s">
        <v>650</v>
      </c>
      <c r="BI19" s="490" t="s">
        <v>651</v>
      </c>
      <c r="BJ19" s="490" t="s">
        <v>652</v>
      </c>
      <c r="BK19" s="437"/>
      <c r="BL19" s="437"/>
      <c r="BM19" s="437"/>
      <c r="BN19" s="437"/>
      <c r="BO19" s="437"/>
      <c r="BP19" s="437"/>
    </row>
    <row r="20" spans="1:68">
      <c r="A20" s="482"/>
      <c r="B20" s="437"/>
      <c r="C20" s="437"/>
      <c r="D20" s="437"/>
      <c r="E20" s="437"/>
      <c r="F20" s="437"/>
      <c r="G20" s="437"/>
      <c r="H20" s="437"/>
      <c r="I20" s="437"/>
      <c r="J20" s="437"/>
      <c r="K20" s="437"/>
      <c r="L20" s="437"/>
      <c r="M20" s="437"/>
      <c r="N20" s="437"/>
      <c r="O20" s="437"/>
      <c r="P20" s="440" t="str">
        <f t="shared" si="3"/>
        <v>X</v>
      </c>
      <c r="Q20" s="437"/>
      <c r="R20" s="437"/>
      <c r="S20" s="135"/>
      <c r="T20" s="135"/>
      <c r="U20" s="437"/>
      <c r="V20" s="437"/>
      <c r="W20" s="437">
        <v>20</v>
      </c>
      <c r="X20" s="437">
        <v>24</v>
      </c>
      <c r="Y20" s="437"/>
      <c r="Z20" s="437"/>
      <c r="AA20" s="437">
        <f ca="1">IF(Y1=0,0,VLOOKUP(Y1,AB1:AV40,21))</f>
        <v>0</v>
      </c>
      <c r="AB20" s="437">
        <v>20</v>
      </c>
      <c r="AC20" s="437">
        <v>1.2</v>
      </c>
      <c r="AD20" s="437">
        <v>2.2000000000000002</v>
      </c>
      <c r="AE20" s="437">
        <v>22000</v>
      </c>
      <c r="AF20" s="437">
        <v>24000</v>
      </c>
      <c r="AG20" s="437">
        <v>22</v>
      </c>
      <c r="AH20" s="437">
        <v>2</v>
      </c>
      <c r="AI20" s="436">
        <v>2</v>
      </c>
      <c r="AJ20" s="436">
        <v>32</v>
      </c>
      <c r="AK20" s="436">
        <v>250</v>
      </c>
      <c r="AL20" s="436">
        <v>4.5</v>
      </c>
      <c r="AM20" s="436">
        <v>57</v>
      </c>
      <c r="AN20" s="436">
        <v>450</v>
      </c>
      <c r="AO20" s="436">
        <v>4</v>
      </c>
      <c r="AP20" s="436">
        <v>19</v>
      </c>
      <c r="AQ20" s="437">
        <v>1.1000000000000001</v>
      </c>
      <c r="AR20" s="436">
        <v>26</v>
      </c>
      <c r="AS20" s="135">
        <v>0.125</v>
      </c>
      <c r="AT20" s="135">
        <v>4</v>
      </c>
      <c r="AU20" s="437"/>
      <c r="AV20" s="437"/>
      <c r="AW20" s="437"/>
      <c r="AX20" s="436">
        <v>15</v>
      </c>
      <c r="AY20" s="490" t="s">
        <v>653</v>
      </c>
      <c r="AZ20" s="490" t="s">
        <v>654</v>
      </c>
      <c r="BA20" s="490" t="s">
        <v>642</v>
      </c>
      <c r="BB20" s="490" t="s">
        <v>655</v>
      </c>
      <c r="BC20" s="490" t="s">
        <v>656</v>
      </c>
      <c r="BD20" s="490" t="s">
        <v>657</v>
      </c>
      <c r="BE20" s="490" t="s">
        <v>658</v>
      </c>
      <c r="BF20" s="490" t="s">
        <v>659</v>
      </c>
      <c r="BG20" s="490" t="s">
        <v>246</v>
      </c>
      <c r="BH20" s="490" t="s">
        <v>660</v>
      </c>
      <c r="BI20" s="490" t="s">
        <v>661</v>
      </c>
      <c r="BJ20" s="490" t="s">
        <v>662</v>
      </c>
      <c r="BK20" s="437"/>
      <c r="BL20" s="437"/>
      <c r="BM20" s="437"/>
      <c r="BN20" s="437"/>
      <c r="BO20" s="437"/>
      <c r="BP20" s="437"/>
    </row>
    <row r="21" spans="1:68">
      <c r="A21" s="482"/>
      <c r="B21" s="437"/>
      <c r="C21" s="437"/>
      <c r="D21" s="437"/>
      <c r="E21" s="437"/>
      <c r="F21" s="437"/>
      <c r="G21" s="437"/>
      <c r="H21" s="437"/>
      <c r="I21" s="437"/>
      <c r="J21" s="437"/>
      <c r="K21" s="437"/>
      <c r="L21" s="437"/>
      <c r="M21" s="437"/>
      <c r="N21" s="437"/>
      <c r="O21" s="437"/>
      <c r="P21" s="440" t="str">
        <f t="shared" si="3"/>
        <v>X</v>
      </c>
      <c r="Q21" s="437"/>
      <c r="R21" s="437"/>
      <c r="S21" s="135"/>
      <c r="T21" s="135"/>
      <c r="U21" s="437"/>
      <c r="V21" s="437"/>
      <c r="W21" s="437">
        <v>21</v>
      </c>
      <c r="X21" s="437">
        <v>34</v>
      </c>
      <c r="Y21" s="437"/>
      <c r="Z21" s="437"/>
      <c r="AA21" s="437"/>
      <c r="AB21" s="437">
        <v>21</v>
      </c>
      <c r="AC21" s="437">
        <v>2.5</v>
      </c>
      <c r="AD21" s="437">
        <v>3.5</v>
      </c>
      <c r="AE21" s="437">
        <v>66000</v>
      </c>
      <c r="AF21" s="437">
        <v>68000</v>
      </c>
      <c r="AG21" s="437">
        <v>25</v>
      </c>
      <c r="AH21" s="437">
        <v>24</v>
      </c>
      <c r="AI21" s="436">
        <v>2.5</v>
      </c>
      <c r="AJ21" s="436">
        <v>32</v>
      </c>
      <c r="AK21" s="436">
        <v>200</v>
      </c>
      <c r="AL21" s="436">
        <v>5</v>
      </c>
      <c r="AM21" s="436">
        <v>59</v>
      </c>
      <c r="AN21" s="436">
        <v>400</v>
      </c>
      <c r="AO21" s="436">
        <v>7</v>
      </c>
      <c r="AP21" s="436">
        <v>12</v>
      </c>
      <c r="AQ21" s="437">
        <v>1.9</v>
      </c>
      <c r="AR21" s="436">
        <v>14</v>
      </c>
      <c r="AS21" s="135">
        <v>0.25</v>
      </c>
      <c r="AT21" s="135">
        <v>3.2</v>
      </c>
      <c r="AU21" s="437"/>
      <c r="AV21" s="437"/>
      <c r="AW21" s="437"/>
      <c r="AX21" s="436">
        <v>16</v>
      </c>
      <c r="AY21" s="490" t="s">
        <v>663</v>
      </c>
      <c r="AZ21" s="490" t="s">
        <v>664</v>
      </c>
      <c r="BA21" s="490" t="s">
        <v>665</v>
      </c>
      <c r="BB21" s="490" t="s">
        <v>666</v>
      </c>
      <c r="BC21" s="490" t="s">
        <v>667</v>
      </c>
      <c r="BD21" s="490" t="s">
        <v>668</v>
      </c>
      <c r="BE21" s="490" t="s">
        <v>669</v>
      </c>
      <c r="BF21" s="490" t="s">
        <v>670</v>
      </c>
      <c r="BG21" s="490" t="s">
        <v>671</v>
      </c>
      <c r="BH21" s="490" t="s">
        <v>672</v>
      </c>
      <c r="BI21" s="490" t="s">
        <v>673</v>
      </c>
      <c r="BJ21" s="490" t="s">
        <v>674</v>
      </c>
      <c r="BK21" s="437"/>
      <c r="BL21" s="437"/>
      <c r="BM21" s="437"/>
      <c r="BN21" s="437"/>
      <c r="BO21" s="437"/>
      <c r="BP21" s="437"/>
    </row>
    <row r="22" spans="1:68">
      <c r="A22" s="482"/>
      <c r="B22" s="437"/>
      <c r="C22" s="437"/>
      <c r="D22" s="437"/>
      <c r="E22" s="437"/>
      <c r="F22" s="437"/>
      <c r="G22" s="437"/>
      <c r="H22" s="437"/>
      <c r="I22" s="437"/>
      <c r="J22" s="437"/>
      <c r="K22" s="437"/>
      <c r="L22" s="437"/>
      <c r="M22" s="437"/>
      <c r="N22" s="437"/>
      <c r="O22" s="437"/>
      <c r="P22" s="440" t="str">
        <f t="shared" si="3"/>
        <v>X</v>
      </c>
      <c r="Q22" s="437"/>
      <c r="R22" s="437"/>
      <c r="S22" s="135"/>
      <c r="T22" s="135"/>
      <c r="U22" s="437"/>
      <c r="V22" s="437"/>
      <c r="W22" s="437">
        <v>22</v>
      </c>
      <c r="X22" s="437">
        <v>5</v>
      </c>
      <c r="Y22" s="437"/>
      <c r="Z22" s="437">
        <f ca="1">'TO, TK en TW'!FO339</f>
        <v>0</v>
      </c>
      <c r="AA22" s="437">
        <f ca="1">IF(Z22=0,0,VLOOKUP(Z22,AB1:AK40,10))</f>
        <v>0</v>
      </c>
      <c r="AB22" s="437">
        <v>22</v>
      </c>
      <c r="AC22" s="437">
        <v>2.1</v>
      </c>
      <c r="AD22" s="437">
        <v>3.1</v>
      </c>
      <c r="AE22" s="437">
        <v>86000</v>
      </c>
      <c r="AF22" s="437">
        <v>88000</v>
      </c>
      <c r="AG22" s="437">
        <v>10</v>
      </c>
      <c r="AH22" s="437">
        <v>34</v>
      </c>
      <c r="AI22" s="436">
        <v>5.5</v>
      </c>
      <c r="AJ22" s="436">
        <v>61</v>
      </c>
      <c r="AK22" s="436">
        <v>300</v>
      </c>
      <c r="AL22" s="436">
        <v>4</v>
      </c>
      <c r="AM22" s="436">
        <v>51</v>
      </c>
      <c r="AN22" s="436">
        <v>300</v>
      </c>
      <c r="AO22" s="436">
        <v>2</v>
      </c>
      <c r="AP22" s="436">
        <v>26</v>
      </c>
      <c r="AQ22" s="437">
        <v>2.7</v>
      </c>
      <c r="AR22" s="436">
        <v>24</v>
      </c>
      <c r="AS22" s="135">
        <v>0.5</v>
      </c>
      <c r="AT22" s="135">
        <v>16</v>
      </c>
      <c r="AU22" s="437"/>
      <c r="AV22" s="437"/>
      <c r="AW22" s="437"/>
      <c r="AX22" s="436">
        <v>17</v>
      </c>
      <c r="AY22" s="490" t="s">
        <v>675</v>
      </c>
      <c r="AZ22" s="490" t="s">
        <v>676</v>
      </c>
      <c r="BA22" s="490" t="s">
        <v>664</v>
      </c>
      <c r="BB22" s="490" t="s">
        <v>677</v>
      </c>
      <c r="BC22" s="490" t="s">
        <v>678</v>
      </c>
      <c r="BD22" s="490" t="s">
        <v>679</v>
      </c>
      <c r="BE22" s="490" t="s">
        <v>680</v>
      </c>
      <c r="BF22" s="490" t="s">
        <v>681</v>
      </c>
      <c r="BG22" s="490" t="s">
        <v>682</v>
      </c>
      <c r="BH22" s="490" t="s">
        <v>683</v>
      </c>
      <c r="BI22" s="490" t="s">
        <v>684</v>
      </c>
      <c r="BJ22" s="490" t="s">
        <v>685</v>
      </c>
      <c r="BK22" s="437"/>
      <c r="BL22" s="437"/>
      <c r="BM22" s="437"/>
      <c r="BN22" s="437"/>
      <c r="BO22" s="437"/>
      <c r="BP22" s="437"/>
    </row>
    <row r="23" spans="1:68">
      <c r="A23" s="482"/>
      <c r="B23" s="437"/>
      <c r="C23" s="437"/>
      <c r="D23" s="437"/>
      <c r="E23" s="437"/>
      <c r="F23" s="437"/>
      <c r="G23" s="437"/>
      <c r="H23" s="437"/>
      <c r="I23" s="437"/>
      <c r="J23" s="437"/>
      <c r="K23" s="437"/>
      <c r="L23" s="437"/>
      <c r="M23" s="437"/>
      <c r="N23" s="437"/>
      <c r="O23" s="437"/>
      <c r="P23" s="440" t="str">
        <f t="shared" si="3"/>
        <v>X</v>
      </c>
      <c r="Q23" s="437"/>
      <c r="R23" s="437"/>
      <c r="S23" s="135"/>
      <c r="T23" s="135"/>
      <c r="U23" s="437"/>
      <c r="V23" s="437"/>
      <c r="W23" s="437">
        <v>23</v>
      </c>
      <c r="X23" s="437">
        <v>13</v>
      </c>
      <c r="Y23" s="437"/>
      <c r="Z23" s="437"/>
      <c r="AA23" s="437">
        <f ca="1">IF(Z22=0,0,VLOOKUP(Z22,AB1:AS40,18))</f>
        <v>0</v>
      </c>
      <c r="AB23" s="437">
        <v>23</v>
      </c>
      <c r="AC23" s="437">
        <v>1.2</v>
      </c>
      <c r="AD23" s="437">
        <v>2.2000000000000002</v>
      </c>
      <c r="AE23" s="437">
        <v>28000</v>
      </c>
      <c r="AF23" s="437">
        <v>30000</v>
      </c>
      <c r="AG23" s="437">
        <v>18</v>
      </c>
      <c r="AH23" s="437">
        <v>5</v>
      </c>
      <c r="AI23" s="436">
        <v>4.5</v>
      </c>
      <c r="AJ23" s="436">
        <v>52</v>
      </c>
      <c r="AK23" s="436">
        <v>350</v>
      </c>
      <c r="AL23" s="436">
        <v>3</v>
      </c>
      <c r="AM23" s="436">
        <v>36</v>
      </c>
      <c r="AN23" s="436">
        <v>300</v>
      </c>
      <c r="AO23" s="436">
        <v>8</v>
      </c>
      <c r="AP23" s="436">
        <v>14</v>
      </c>
      <c r="AQ23" s="437">
        <v>2.2000000000000002</v>
      </c>
      <c r="AR23" s="436">
        <v>13</v>
      </c>
      <c r="AS23" s="135">
        <v>0.5</v>
      </c>
      <c r="AT23" s="135">
        <v>1.25</v>
      </c>
      <c r="AU23" s="437"/>
      <c r="AV23" s="437"/>
      <c r="AW23" s="437"/>
      <c r="AX23" s="436">
        <v>18</v>
      </c>
      <c r="AY23" s="490" t="s">
        <v>686</v>
      </c>
      <c r="AZ23" s="490" t="s">
        <v>687</v>
      </c>
      <c r="BA23" s="490" t="s">
        <v>688</v>
      </c>
      <c r="BB23" s="490" t="s">
        <v>689</v>
      </c>
      <c r="BC23" s="490" t="s">
        <v>690</v>
      </c>
      <c r="BD23" s="490" t="s">
        <v>691</v>
      </c>
      <c r="BE23" s="490" t="s">
        <v>670</v>
      </c>
      <c r="BF23" s="490" t="s">
        <v>692</v>
      </c>
      <c r="BG23" s="490" t="s">
        <v>693</v>
      </c>
      <c r="BH23" s="490" t="s">
        <v>694</v>
      </c>
      <c r="BI23" s="490" t="s">
        <v>695</v>
      </c>
      <c r="BJ23" s="490" t="s">
        <v>696</v>
      </c>
      <c r="BK23" s="437"/>
      <c r="BL23" s="437"/>
      <c r="BM23" s="437"/>
      <c r="BN23" s="437"/>
      <c r="BO23" s="437"/>
      <c r="BP23" s="437"/>
    </row>
    <row r="24" spans="1:68">
      <c r="A24" s="482"/>
      <c r="B24" s="437"/>
      <c r="C24" s="437"/>
      <c r="D24" s="437"/>
      <c r="E24" s="437"/>
      <c r="F24" s="437"/>
      <c r="G24" s="437"/>
      <c r="H24" s="437"/>
      <c r="I24" s="437"/>
      <c r="J24" s="437"/>
      <c r="K24" s="437"/>
      <c r="L24" s="437"/>
      <c r="M24" s="437"/>
      <c r="N24" s="437"/>
      <c r="O24" s="437"/>
      <c r="P24" s="440" t="str">
        <f t="shared" si="3"/>
        <v>X</v>
      </c>
      <c r="Q24" s="437"/>
      <c r="R24" s="437"/>
      <c r="S24" s="135"/>
      <c r="T24" s="135"/>
      <c r="U24" s="437"/>
      <c r="V24" s="437"/>
      <c r="W24" s="437">
        <v>24</v>
      </c>
      <c r="X24" s="437">
        <v>22</v>
      </c>
      <c r="Y24" s="142">
        <f>IF(programma!F59&lt;=600,programma!F59,Y29)</f>
        <v>0</v>
      </c>
      <c r="Z24" s="445">
        <f>IF(AND(programma!B5&lt;&gt;1,AY3=0),1,IF(Toets!CR478="X",1,1+FLOOR(10*((programma!Q3+programma!F59)/0.13-FLOOR((programma!Q3+programma!F59)/0.13,1)),1)))</f>
        <v>1</v>
      </c>
      <c r="AA24" s="437"/>
      <c r="AB24" s="437">
        <v>24</v>
      </c>
      <c r="AC24" s="437">
        <v>1.4</v>
      </c>
      <c r="AD24" s="437">
        <v>2.4</v>
      </c>
      <c r="AE24" s="437">
        <v>44000</v>
      </c>
      <c r="AF24" s="437">
        <v>46000</v>
      </c>
      <c r="AG24" s="437">
        <v>28</v>
      </c>
      <c r="AH24" s="437">
        <v>13</v>
      </c>
      <c r="AI24" s="436">
        <v>3.5</v>
      </c>
      <c r="AJ24" s="436">
        <v>46</v>
      </c>
      <c r="AK24" s="436">
        <v>420</v>
      </c>
      <c r="AL24" s="436">
        <v>2</v>
      </c>
      <c r="AM24" s="436">
        <v>27</v>
      </c>
      <c r="AN24" s="436">
        <v>150</v>
      </c>
      <c r="AO24" s="436">
        <v>5</v>
      </c>
      <c r="AP24" s="436">
        <v>27</v>
      </c>
      <c r="AQ24" s="437">
        <v>1.8</v>
      </c>
      <c r="AR24" s="436">
        <v>16</v>
      </c>
      <c r="AS24" s="135">
        <v>0.16</v>
      </c>
      <c r="AT24" s="135">
        <v>5</v>
      </c>
      <c r="AU24" s="437"/>
      <c r="AV24" s="437"/>
      <c r="AW24" s="437"/>
      <c r="AX24" s="436">
        <v>19</v>
      </c>
      <c r="AY24" s="490" t="s">
        <v>697</v>
      </c>
      <c r="AZ24" s="490" t="s">
        <v>698</v>
      </c>
      <c r="BA24" s="490" t="s">
        <v>687</v>
      </c>
      <c r="BB24" s="490" t="s">
        <v>699</v>
      </c>
      <c r="BC24" s="490" t="s">
        <v>700</v>
      </c>
      <c r="BD24" s="490" t="s">
        <v>701</v>
      </c>
      <c r="BE24" s="490" t="s">
        <v>702</v>
      </c>
      <c r="BF24" s="490" t="s">
        <v>703</v>
      </c>
      <c r="BG24" s="490" t="s">
        <v>704</v>
      </c>
      <c r="BH24" s="490" t="s">
        <v>705</v>
      </c>
      <c r="BI24" s="490" t="s">
        <v>706</v>
      </c>
      <c r="BJ24" s="490" t="s">
        <v>707</v>
      </c>
      <c r="BK24" s="437"/>
      <c r="BL24" s="437"/>
      <c r="BM24" s="437"/>
      <c r="BN24" s="437"/>
      <c r="BO24" s="437"/>
      <c r="BP24" s="437"/>
    </row>
    <row r="25" spans="1:68">
      <c r="A25" s="482"/>
      <c r="B25" s="437"/>
      <c r="C25" s="437"/>
      <c r="D25" s="437"/>
      <c r="E25" s="437"/>
      <c r="F25" s="437"/>
      <c r="G25" s="437"/>
      <c r="H25" s="437"/>
      <c r="I25" s="437"/>
      <c r="J25" s="437"/>
      <c r="K25" s="437"/>
      <c r="L25" s="437"/>
      <c r="M25" s="437"/>
      <c r="N25" s="437"/>
      <c r="O25" s="437"/>
      <c r="P25" s="440" t="str">
        <f t="shared" si="3"/>
        <v>X</v>
      </c>
      <c r="Q25" s="437"/>
      <c r="R25" s="437"/>
      <c r="S25" s="135"/>
      <c r="T25" s="135"/>
      <c r="U25" s="437"/>
      <c r="V25" s="437"/>
      <c r="W25" s="437">
        <v>25</v>
      </c>
      <c r="X25" s="437">
        <v>32</v>
      </c>
      <c r="Y25" s="437">
        <f>programma!F59</f>
        <v>0</v>
      </c>
      <c r="Z25" s="437">
        <f ca="1">'Gemiddeld en marginaal'!FO176</f>
        <v>0</v>
      </c>
      <c r="AA25" s="437">
        <f ca="1">IF(Z25=0,0,VLOOKUP(Z25,AB1:AK40,10))</f>
        <v>0</v>
      </c>
      <c r="AB25" s="437">
        <v>25</v>
      </c>
      <c r="AC25" s="437">
        <v>1.5</v>
      </c>
      <c r="AD25" s="437">
        <v>2.5</v>
      </c>
      <c r="AE25" s="437">
        <v>62000</v>
      </c>
      <c r="AF25" s="437">
        <v>64000</v>
      </c>
      <c r="AG25" s="437">
        <v>19</v>
      </c>
      <c r="AH25" s="437">
        <v>22</v>
      </c>
      <c r="AI25" s="436">
        <v>5</v>
      </c>
      <c r="AJ25" s="436">
        <v>57</v>
      </c>
      <c r="AK25" s="436">
        <v>400</v>
      </c>
      <c r="AL25" s="436">
        <v>2.5</v>
      </c>
      <c r="AM25" s="436">
        <v>31</v>
      </c>
      <c r="AN25" s="436">
        <v>200</v>
      </c>
      <c r="AO25" s="436">
        <v>7</v>
      </c>
      <c r="AP25" s="436">
        <v>15</v>
      </c>
      <c r="AQ25" s="437">
        <v>3.6</v>
      </c>
      <c r="AR25" s="436">
        <v>23</v>
      </c>
      <c r="AS25" s="135">
        <v>0.2</v>
      </c>
      <c r="AT25" s="135">
        <v>6.25</v>
      </c>
      <c r="AU25" s="437"/>
      <c r="AV25" s="437"/>
      <c r="AW25" s="437"/>
      <c r="AX25" s="436">
        <v>20</v>
      </c>
      <c r="AY25" s="490" t="s">
        <v>708</v>
      </c>
      <c r="AZ25" s="490" t="s">
        <v>709</v>
      </c>
      <c r="BA25" s="490" t="s">
        <v>710</v>
      </c>
      <c r="BB25" s="490" t="s">
        <v>711</v>
      </c>
      <c r="BC25" s="490" t="s">
        <v>712</v>
      </c>
      <c r="BD25" s="490" t="s">
        <v>713</v>
      </c>
      <c r="BE25" s="490" t="s">
        <v>692</v>
      </c>
      <c r="BF25" s="490" t="s">
        <v>714</v>
      </c>
      <c r="BG25" s="490" t="s">
        <v>715</v>
      </c>
      <c r="BH25" s="490" t="s">
        <v>716</v>
      </c>
      <c r="BI25" s="490" t="s">
        <v>717</v>
      </c>
      <c r="BJ25" s="490" t="s">
        <v>718</v>
      </c>
      <c r="BK25" s="437"/>
      <c r="BL25" s="437"/>
      <c r="BM25" s="437"/>
      <c r="BN25" s="437"/>
      <c r="BO25" s="437"/>
      <c r="BP25" s="437"/>
    </row>
    <row r="26" spans="1:68">
      <c r="A26" s="482"/>
      <c r="B26" s="437"/>
      <c r="C26" s="437"/>
      <c r="D26" s="437"/>
      <c r="E26" s="437"/>
      <c r="F26" s="437"/>
      <c r="G26" s="437"/>
      <c r="H26" s="437"/>
      <c r="I26" s="437"/>
      <c r="J26" s="437"/>
      <c r="K26" s="437"/>
      <c r="L26" s="437"/>
      <c r="M26" s="437"/>
      <c r="N26" s="437"/>
      <c r="O26" s="437"/>
      <c r="P26" s="440" t="str">
        <f t="shared" si="3"/>
        <v>X</v>
      </c>
      <c r="Q26" s="437"/>
      <c r="R26" s="437"/>
      <c r="S26" s="135"/>
      <c r="T26" s="135"/>
      <c r="U26" s="437"/>
      <c r="V26" s="437"/>
      <c r="W26" s="437">
        <v>26</v>
      </c>
      <c r="X26" s="437">
        <v>7</v>
      </c>
      <c r="Y26" s="437">
        <f>Y25/0.017</f>
        <v>0</v>
      </c>
      <c r="Z26" s="437"/>
      <c r="AA26" s="437">
        <f ca="1">IF(Z25=0,0,VLOOKUP(Z25,AB1:AS40,18))</f>
        <v>0</v>
      </c>
      <c r="AB26" s="437">
        <v>26</v>
      </c>
      <c r="AC26" s="437">
        <v>2.6</v>
      </c>
      <c r="AD26" s="437">
        <v>3.6</v>
      </c>
      <c r="AE26" s="437">
        <v>82000</v>
      </c>
      <c r="AF26" s="437">
        <v>84000</v>
      </c>
      <c r="AG26" s="437">
        <v>24</v>
      </c>
      <c r="AH26" s="437">
        <v>32</v>
      </c>
      <c r="AI26" s="436">
        <v>4</v>
      </c>
      <c r="AJ26" s="436">
        <v>54</v>
      </c>
      <c r="AK26" s="436">
        <v>420</v>
      </c>
      <c r="AL26" s="436">
        <v>5.5</v>
      </c>
      <c r="AM26" s="436">
        <v>58</v>
      </c>
      <c r="AN26" s="436">
        <v>300</v>
      </c>
      <c r="AO26" s="436">
        <v>5</v>
      </c>
      <c r="AP26" s="436">
        <v>23</v>
      </c>
      <c r="AQ26" s="437">
        <v>3.9</v>
      </c>
      <c r="AR26" s="436">
        <v>24</v>
      </c>
      <c r="AS26" s="135">
        <v>0.8</v>
      </c>
      <c r="AT26" s="135">
        <v>3.2</v>
      </c>
      <c r="AU26" s="437"/>
      <c r="AV26" s="437"/>
      <c r="AW26" s="437"/>
      <c r="AX26" s="436">
        <v>21</v>
      </c>
      <c r="AY26" s="490" t="s">
        <v>719</v>
      </c>
      <c r="AZ26" s="490" t="s">
        <v>720</v>
      </c>
      <c r="BA26" s="490" t="s">
        <v>494</v>
      </c>
      <c r="BB26" s="490" t="s">
        <v>721</v>
      </c>
      <c r="BC26" s="490" t="s">
        <v>722</v>
      </c>
      <c r="BD26" s="490" t="s">
        <v>723</v>
      </c>
      <c r="BE26" s="490" t="s">
        <v>703</v>
      </c>
      <c r="BF26" s="490" t="s">
        <v>724</v>
      </c>
      <c r="BG26" s="490" t="s">
        <v>725</v>
      </c>
      <c r="BH26" s="490" t="s">
        <v>355</v>
      </c>
      <c r="BI26" s="490" t="s">
        <v>726</v>
      </c>
      <c r="BJ26" s="490" t="s">
        <v>607</v>
      </c>
      <c r="BK26" s="437"/>
      <c r="BL26" s="437"/>
      <c r="BM26" s="437"/>
      <c r="BN26" s="437"/>
      <c r="BO26" s="437"/>
      <c r="BP26" s="437"/>
    </row>
    <row r="27" spans="1:68">
      <c r="A27" s="482"/>
      <c r="B27" s="437"/>
      <c r="C27" s="437"/>
      <c r="D27" s="437"/>
      <c r="E27" s="437"/>
      <c r="F27" s="437"/>
      <c r="G27" s="437"/>
      <c r="H27" s="437"/>
      <c r="I27" s="437"/>
      <c r="J27" s="437"/>
      <c r="K27" s="437"/>
      <c r="L27" s="437"/>
      <c r="M27" s="437"/>
      <c r="N27" s="437"/>
      <c r="O27" s="437"/>
      <c r="P27" s="440" t="str">
        <f t="shared" si="3"/>
        <v>X</v>
      </c>
      <c r="Q27" s="437"/>
      <c r="R27" s="437"/>
      <c r="S27" s="135"/>
      <c r="T27" s="135"/>
      <c r="U27" s="437"/>
      <c r="V27" s="437"/>
      <c r="W27" s="437">
        <v>27</v>
      </c>
      <c r="X27" s="437">
        <v>15</v>
      </c>
      <c r="Y27" s="437">
        <f>FLOOR(Y26,1000)-1</f>
        <v>-1</v>
      </c>
      <c r="Z27" s="437"/>
      <c r="AA27" s="437"/>
      <c r="AB27" s="437">
        <v>27</v>
      </c>
      <c r="AC27" s="437">
        <v>2.5</v>
      </c>
      <c r="AD27" s="437">
        <v>3.5</v>
      </c>
      <c r="AE27" s="437">
        <v>32000</v>
      </c>
      <c r="AF27" s="437">
        <v>34000</v>
      </c>
      <c r="AG27" s="437">
        <v>19</v>
      </c>
      <c r="AH27" s="437">
        <v>7</v>
      </c>
      <c r="AI27" s="436">
        <v>6</v>
      </c>
      <c r="AJ27" s="436">
        <v>67</v>
      </c>
      <c r="AK27" s="436">
        <v>300</v>
      </c>
      <c r="AL27" s="436">
        <v>4.5</v>
      </c>
      <c r="AM27" s="436">
        <v>56</v>
      </c>
      <c r="AN27" s="436">
        <v>350</v>
      </c>
      <c r="AO27" s="436">
        <v>4</v>
      </c>
      <c r="AP27" s="436">
        <v>18</v>
      </c>
      <c r="AQ27" s="437">
        <v>2.25</v>
      </c>
      <c r="AR27" s="436">
        <v>17</v>
      </c>
      <c r="AS27" s="441">
        <v>4</v>
      </c>
      <c r="AT27" s="135">
        <v>0.8</v>
      </c>
      <c r="AU27" s="437"/>
      <c r="AV27" s="437"/>
      <c r="AW27" s="437"/>
      <c r="AX27" s="436">
        <v>22</v>
      </c>
      <c r="AY27" s="490" t="s">
        <v>504</v>
      </c>
      <c r="AZ27" s="490" t="s">
        <v>727</v>
      </c>
      <c r="BA27" s="490" t="s">
        <v>728</v>
      </c>
      <c r="BB27" s="490" t="s">
        <v>729</v>
      </c>
      <c r="BC27" s="490" t="s">
        <v>730</v>
      </c>
      <c r="BD27" s="490" t="s">
        <v>731</v>
      </c>
      <c r="BE27" s="490" t="s">
        <v>732</v>
      </c>
      <c r="BF27" s="490" t="s">
        <v>733</v>
      </c>
      <c r="BG27" s="490" t="s">
        <v>734</v>
      </c>
      <c r="BH27" s="490" t="s">
        <v>638</v>
      </c>
      <c r="BI27" s="490" t="s">
        <v>735</v>
      </c>
      <c r="BJ27" s="490" t="s">
        <v>736</v>
      </c>
      <c r="BK27" s="437"/>
      <c r="BL27" s="437"/>
      <c r="BM27" s="437"/>
      <c r="BN27" s="437"/>
      <c r="BO27" s="437"/>
      <c r="BP27" s="437"/>
    </row>
    <row r="28" spans="1:68">
      <c r="A28" s="482"/>
      <c r="B28" s="437"/>
      <c r="C28" s="437"/>
      <c r="D28" s="437"/>
      <c r="E28" s="437"/>
      <c r="F28" s="437"/>
      <c r="G28" s="437"/>
      <c r="H28" s="437"/>
      <c r="I28" s="437"/>
      <c r="J28" s="437"/>
      <c r="K28" s="437"/>
      <c r="L28" s="437"/>
      <c r="M28" s="437"/>
      <c r="N28" s="437"/>
      <c r="O28" s="437"/>
      <c r="P28" s="440" t="str">
        <f t="shared" si="3"/>
        <v>X</v>
      </c>
      <c r="Q28" s="437"/>
      <c r="R28" s="437"/>
      <c r="S28" s="135"/>
      <c r="T28" s="135"/>
      <c r="U28" s="437"/>
      <c r="V28" s="437"/>
      <c r="W28" s="437">
        <v>28</v>
      </c>
      <c r="X28" s="437">
        <v>18</v>
      </c>
      <c r="Y28" s="437">
        <f>CEILING(0.3*(Y26-Y27),1)</f>
        <v>1</v>
      </c>
      <c r="Z28" s="437">
        <f ca="1">'TVK, TCK, GVK en GCK'!FN31</f>
        <v>0</v>
      </c>
      <c r="AA28" s="437">
        <f ca="1">IF(Z28=0,0,VLOOKUP(Z28,AB1:AK40,10))</f>
        <v>0</v>
      </c>
      <c r="AB28" s="437">
        <v>28</v>
      </c>
      <c r="AC28" s="437">
        <v>2.2000000000000002</v>
      </c>
      <c r="AD28" s="437">
        <v>3.2</v>
      </c>
      <c r="AE28" s="437">
        <v>48000</v>
      </c>
      <c r="AF28" s="437">
        <v>50000</v>
      </c>
      <c r="AG28" s="437">
        <v>26</v>
      </c>
      <c r="AH28" s="437">
        <v>15</v>
      </c>
      <c r="AI28" s="436">
        <v>2</v>
      </c>
      <c r="AJ28" s="436">
        <v>28</v>
      </c>
      <c r="AK28" s="436">
        <v>320</v>
      </c>
      <c r="AL28" s="436">
        <v>3.5</v>
      </c>
      <c r="AM28" s="436">
        <v>45</v>
      </c>
      <c r="AN28" s="436">
        <v>250</v>
      </c>
      <c r="AO28" s="436">
        <v>8</v>
      </c>
      <c r="AP28" s="436">
        <v>12</v>
      </c>
      <c r="AQ28" s="437">
        <v>0.2</v>
      </c>
      <c r="AR28" s="436">
        <v>13</v>
      </c>
      <c r="AS28" s="135">
        <v>0.5</v>
      </c>
      <c r="AT28" s="135">
        <v>1.25</v>
      </c>
      <c r="AU28" s="437"/>
      <c r="AV28" s="437"/>
      <c r="AW28" s="437"/>
      <c r="AX28" s="436">
        <v>23</v>
      </c>
      <c r="AY28" s="490" t="s">
        <v>737</v>
      </c>
      <c r="AZ28" s="490" t="s">
        <v>738</v>
      </c>
      <c r="BA28" s="490" t="s">
        <v>727</v>
      </c>
      <c r="BB28" s="490" t="s">
        <v>739</v>
      </c>
      <c r="BC28" s="490" t="s">
        <v>740</v>
      </c>
      <c r="BD28" s="490" t="s">
        <v>741</v>
      </c>
      <c r="BE28" s="490" t="s">
        <v>742</v>
      </c>
      <c r="BF28" s="490" t="s">
        <v>356</v>
      </c>
      <c r="BG28" s="490" t="s">
        <v>743</v>
      </c>
      <c r="BH28" s="490" t="s">
        <v>744</v>
      </c>
      <c r="BI28" s="490" t="s">
        <v>745</v>
      </c>
      <c r="BJ28" s="490" t="s">
        <v>746</v>
      </c>
      <c r="BK28" s="437"/>
      <c r="BL28" s="437"/>
      <c r="BM28" s="437"/>
      <c r="BN28" s="437"/>
      <c r="BO28" s="437"/>
      <c r="BP28" s="437"/>
    </row>
    <row r="29" spans="1:68">
      <c r="A29" s="482"/>
      <c r="B29" s="437"/>
      <c r="C29" s="437"/>
      <c r="D29" s="437"/>
      <c r="E29" s="437"/>
      <c r="F29" s="437"/>
      <c r="G29" s="437"/>
      <c r="H29" s="437"/>
      <c r="I29" s="437"/>
      <c r="J29" s="437"/>
      <c r="K29" s="437"/>
      <c r="L29" s="437"/>
      <c r="M29" s="437"/>
      <c r="N29" s="437"/>
      <c r="O29" s="437"/>
      <c r="P29" s="440" t="str">
        <f t="shared" si="3"/>
        <v>X</v>
      </c>
      <c r="Q29" s="437"/>
      <c r="R29" s="437"/>
      <c r="S29" s="135"/>
      <c r="T29" s="135"/>
      <c r="U29" s="437"/>
      <c r="V29" s="437"/>
      <c r="W29" s="437">
        <v>29</v>
      </c>
      <c r="X29" s="437">
        <v>28</v>
      </c>
      <c r="Y29" s="437">
        <f>IF(AND(Y28&lt;-0.0001,Y28&gt;0.0001),1,Y28)</f>
        <v>1</v>
      </c>
      <c r="Z29" s="437"/>
      <c r="AA29" s="437">
        <f ca="1">IF(Z28=0,0,VLOOKUP(Z28,AB1:AS40,18))</f>
        <v>0</v>
      </c>
      <c r="AB29" s="437">
        <v>29</v>
      </c>
      <c r="AC29" s="437">
        <v>2.6</v>
      </c>
      <c r="AD29" s="437">
        <v>3.6</v>
      </c>
      <c r="AE29" s="437">
        <v>78000</v>
      </c>
      <c r="AF29" s="437">
        <v>80000</v>
      </c>
      <c r="AG29" s="437">
        <v>25</v>
      </c>
      <c r="AH29" s="437">
        <v>30</v>
      </c>
      <c r="AI29" s="436">
        <v>2.5</v>
      </c>
      <c r="AJ29" s="436">
        <v>34</v>
      </c>
      <c r="AK29" s="436">
        <v>500</v>
      </c>
      <c r="AL29" s="436">
        <v>5</v>
      </c>
      <c r="AM29" s="436">
        <v>53</v>
      </c>
      <c r="AN29" s="436">
        <v>250</v>
      </c>
      <c r="AO29" s="436">
        <v>2</v>
      </c>
      <c r="AP29" s="436">
        <v>16</v>
      </c>
      <c r="AQ29" s="437">
        <v>2.75</v>
      </c>
      <c r="AR29" s="436">
        <v>28</v>
      </c>
      <c r="AS29" s="135">
        <v>0.4</v>
      </c>
      <c r="AT29" s="135">
        <v>1.6</v>
      </c>
      <c r="AU29" s="437"/>
      <c r="AV29" s="437"/>
      <c r="AW29" s="437"/>
      <c r="AX29" s="436">
        <v>24</v>
      </c>
      <c r="AY29" s="490" t="s">
        <v>747</v>
      </c>
      <c r="AZ29" s="490" t="s">
        <v>748</v>
      </c>
      <c r="BA29" s="490" t="s">
        <v>749</v>
      </c>
      <c r="BB29" s="490" t="s">
        <v>750</v>
      </c>
      <c r="BC29" s="490" t="s">
        <v>751</v>
      </c>
      <c r="BD29" s="490" t="s">
        <v>752</v>
      </c>
      <c r="BE29" s="490" t="s">
        <v>733</v>
      </c>
      <c r="BF29" s="490" t="s">
        <v>753</v>
      </c>
      <c r="BG29" s="490" t="s">
        <v>357</v>
      </c>
      <c r="BH29" s="490" t="s">
        <v>251</v>
      </c>
      <c r="BI29" s="490" t="s">
        <v>754</v>
      </c>
      <c r="BJ29" s="490" t="s">
        <v>755</v>
      </c>
      <c r="BK29" s="437"/>
      <c r="BL29" s="437"/>
      <c r="BM29" s="437"/>
      <c r="BN29" s="437"/>
      <c r="BO29" s="437"/>
      <c r="BP29" s="437"/>
    </row>
    <row r="30" spans="1:68">
      <c r="A30" s="482"/>
      <c r="B30" s="437"/>
      <c r="C30" s="437"/>
      <c r="D30" s="437"/>
      <c r="E30" s="437"/>
      <c r="F30" s="437"/>
      <c r="G30" s="437"/>
      <c r="H30" s="437"/>
      <c r="I30" s="437"/>
      <c r="J30" s="437"/>
      <c r="K30" s="437"/>
      <c r="L30" s="437"/>
      <c r="M30" s="437"/>
      <c r="N30" s="437"/>
      <c r="O30" s="437"/>
      <c r="P30" s="440" t="str">
        <f t="shared" si="3"/>
        <v>X</v>
      </c>
      <c r="Q30" s="437"/>
      <c r="R30" s="437"/>
      <c r="S30" s="135"/>
      <c r="T30" s="135"/>
      <c r="U30" s="437"/>
      <c r="V30" s="437"/>
      <c r="W30" s="437">
        <v>30</v>
      </c>
      <c r="X30" s="437">
        <v>35</v>
      </c>
      <c r="Y30" s="437"/>
      <c r="Z30" s="437"/>
      <c r="AA30" s="437"/>
      <c r="AB30" s="437">
        <v>30</v>
      </c>
      <c r="AC30" s="437">
        <v>2.4</v>
      </c>
      <c r="AD30" s="437">
        <v>3.4</v>
      </c>
      <c r="AE30" s="437">
        <v>42000</v>
      </c>
      <c r="AF30" s="437">
        <v>44000</v>
      </c>
      <c r="AG30" s="437">
        <v>15</v>
      </c>
      <c r="AH30" s="437">
        <v>12</v>
      </c>
      <c r="AI30" s="436">
        <v>5.5</v>
      </c>
      <c r="AJ30" s="436">
        <v>58</v>
      </c>
      <c r="AK30" s="436">
        <v>350</v>
      </c>
      <c r="AL30" s="436">
        <v>4</v>
      </c>
      <c r="AM30" s="436">
        <v>57</v>
      </c>
      <c r="AN30" s="436">
        <v>400</v>
      </c>
      <c r="AO30" s="436">
        <v>4</v>
      </c>
      <c r="AP30" s="436">
        <v>25</v>
      </c>
      <c r="AQ30" s="437">
        <v>3.2</v>
      </c>
      <c r="AR30" s="436">
        <v>16</v>
      </c>
      <c r="AS30" s="135">
        <v>3.2</v>
      </c>
      <c r="AT30" s="135">
        <v>0.2</v>
      </c>
      <c r="AU30" s="437"/>
      <c r="AV30" s="437"/>
      <c r="AW30" s="437"/>
      <c r="AX30" s="436">
        <v>25</v>
      </c>
      <c r="AY30" s="490" t="s">
        <v>756</v>
      </c>
      <c r="AZ30" s="490" t="s">
        <v>757</v>
      </c>
      <c r="BA30" s="490" t="s">
        <v>758</v>
      </c>
      <c r="BB30" s="490" t="s">
        <v>759</v>
      </c>
      <c r="BC30" s="490" t="s">
        <v>760</v>
      </c>
      <c r="BD30" s="490" t="s">
        <v>761</v>
      </c>
      <c r="BE30" s="490" t="s">
        <v>358</v>
      </c>
      <c r="BF30" s="490" t="s">
        <v>762</v>
      </c>
      <c r="BG30" s="490" t="s">
        <v>763</v>
      </c>
      <c r="BH30" s="490" t="s">
        <v>764</v>
      </c>
      <c r="BI30" s="490" t="s">
        <v>765</v>
      </c>
      <c r="BJ30" s="490" t="s">
        <v>766</v>
      </c>
      <c r="BK30" s="437"/>
      <c r="BL30" s="437"/>
      <c r="BM30" s="437"/>
      <c r="BN30" s="437"/>
      <c r="BO30" s="437"/>
      <c r="BP30" s="437"/>
    </row>
    <row r="31" spans="1:68">
      <c r="A31" s="482"/>
      <c r="B31" s="437"/>
      <c r="C31" s="437"/>
      <c r="D31" s="437"/>
      <c r="E31" s="437"/>
      <c r="F31" s="437"/>
      <c r="G31" s="437"/>
      <c r="H31" s="437"/>
      <c r="I31" s="437"/>
      <c r="J31" s="437"/>
      <c r="K31" s="437"/>
      <c r="L31" s="437"/>
      <c r="M31" s="437"/>
      <c r="N31" s="437"/>
      <c r="O31" s="437"/>
      <c r="P31" s="437"/>
      <c r="Q31" s="437"/>
      <c r="R31" s="437"/>
      <c r="S31" s="135"/>
      <c r="T31" s="135"/>
      <c r="U31" s="437"/>
      <c r="V31" s="437"/>
      <c r="W31" s="437">
        <v>31</v>
      </c>
      <c r="X31" s="437">
        <v>23</v>
      </c>
      <c r="Y31" s="437"/>
      <c r="Z31" s="437">
        <f ca="1">'Mon. Conc. lange termijn'!FN39</f>
        <v>0</v>
      </c>
      <c r="AA31" s="437">
        <f ca="1">IF(Z31=0,0,VLOOKUP(Z31,AB1:AK40,10))</f>
        <v>0</v>
      </c>
      <c r="AB31" s="437">
        <v>31</v>
      </c>
      <c r="AC31" s="437">
        <v>2.5</v>
      </c>
      <c r="AD31" s="437">
        <v>3.5</v>
      </c>
      <c r="AE31" s="437">
        <v>96000</v>
      </c>
      <c r="AF31" s="437">
        <v>98000</v>
      </c>
      <c r="AG31" s="437">
        <v>12</v>
      </c>
      <c r="AH31" s="437">
        <v>39</v>
      </c>
      <c r="AI31" s="436">
        <v>4.5</v>
      </c>
      <c r="AJ31" s="436">
        <v>53</v>
      </c>
      <c r="AK31" s="436">
        <v>300</v>
      </c>
      <c r="AL31" s="436">
        <v>3</v>
      </c>
      <c r="AM31" s="436">
        <v>49</v>
      </c>
      <c r="AN31" s="436">
        <v>300</v>
      </c>
      <c r="AO31" s="436">
        <v>3</v>
      </c>
      <c r="AP31" s="436">
        <v>24</v>
      </c>
      <c r="AQ31" s="437">
        <v>3.7</v>
      </c>
      <c r="AR31" s="436">
        <v>27</v>
      </c>
      <c r="AS31" s="135">
        <v>0.625</v>
      </c>
      <c r="AT31" s="135">
        <v>2.5</v>
      </c>
      <c r="AU31" s="437"/>
      <c r="AV31" s="437"/>
      <c r="AW31" s="437"/>
      <c r="AX31" s="436">
        <v>26</v>
      </c>
      <c r="AY31" s="490" t="s">
        <v>748</v>
      </c>
      <c r="AZ31" s="490" t="s">
        <v>767</v>
      </c>
      <c r="BA31" s="490" t="s">
        <v>768</v>
      </c>
      <c r="BB31" s="490" t="s">
        <v>769</v>
      </c>
      <c r="BC31" s="490" t="s">
        <v>770</v>
      </c>
      <c r="BD31" s="490" t="s">
        <v>771</v>
      </c>
      <c r="BE31" s="490" t="s">
        <v>753</v>
      </c>
      <c r="BF31" s="490" t="s">
        <v>772</v>
      </c>
      <c r="BG31" s="490" t="s">
        <v>773</v>
      </c>
      <c r="BH31" s="490" t="s">
        <v>774</v>
      </c>
      <c r="BI31" s="490" t="s">
        <v>775</v>
      </c>
      <c r="BJ31" s="490" t="s">
        <v>776</v>
      </c>
      <c r="BK31" s="437"/>
      <c r="BL31" s="437"/>
      <c r="BM31" s="437"/>
      <c r="BN31" s="437"/>
      <c r="BO31" s="437"/>
      <c r="BP31" s="437"/>
    </row>
    <row r="32" spans="1:68">
      <c r="A32" s="482"/>
      <c r="B32" s="437"/>
      <c r="C32" s="437"/>
      <c r="D32" s="437"/>
      <c r="E32" s="437"/>
      <c r="F32" s="437"/>
      <c r="G32" s="437"/>
      <c r="H32" s="437"/>
      <c r="I32" s="437"/>
      <c r="J32" s="437"/>
      <c r="K32" s="437"/>
      <c r="L32" s="437"/>
      <c r="M32" s="437"/>
      <c r="N32" s="437"/>
      <c r="O32" s="437"/>
      <c r="P32" s="437"/>
      <c r="Q32" s="437"/>
      <c r="R32" s="437"/>
      <c r="S32" s="135"/>
      <c r="T32" s="135"/>
      <c r="U32" s="437"/>
      <c r="V32" s="437"/>
      <c r="W32" s="437">
        <v>32</v>
      </c>
      <c r="X32" s="437">
        <v>1</v>
      </c>
      <c r="Y32" s="437"/>
      <c r="Z32" s="437"/>
      <c r="AA32" s="437">
        <f ca="1">IF(Z31=0,0,VLOOKUP(Z31,AB1:AS40,18))</f>
        <v>0</v>
      </c>
      <c r="AB32" s="437">
        <v>32</v>
      </c>
      <c r="AC32" s="437">
        <v>1.7</v>
      </c>
      <c r="AD32" s="437">
        <v>2.7</v>
      </c>
      <c r="AE32" s="437">
        <v>64000</v>
      </c>
      <c r="AF32" s="437">
        <v>66000</v>
      </c>
      <c r="AG32" s="437">
        <v>13</v>
      </c>
      <c r="AH32" s="437">
        <v>23</v>
      </c>
      <c r="AI32" s="436">
        <v>3.5</v>
      </c>
      <c r="AJ32" s="436">
        <v>40</v>
      </c>
      <c r="AK32" s="436">
        <v>350</v>
      </c>
      <c r="AL32" s="436">
        <v>2</v>
      </c>
      <c r="AM32" s="436">
        <v>36</v>
      </c>
      <c r="AN32" s="436">
        <v>300</v>
      </c>
      <c r="AO32" s="436">
        <v>6</v>
      </c>
      <c r="AP32" s="436">
        <v>17</v>
      </c>
      <c r="AQ32" s="437">
        <v>0.75</v>
      </c>
      <c r="AR32" s="436">
        <v>15</v>
      </c>
      <c r="AS32" s="135">
        <v>0.8</v>
      </c>
      <c r="AT32" s="135">
        <v>6.25</v>
      </c>
      <c r="AU32" s="437"/>
      <c r="AV32" s="437"/>
      <c r="AW32" s="437"/>
      <c r="AX32" s="436">
        <v>27</v>
      </c>
      <c r="AY32" s="490" t="s">
        <v>777</v>
      </c>
      <c r="AZ32" s="490" t="s">
        <v>778</v>
      </c>
      <c r="BA32" s="490" t="s">
        <v>767</v>
      </c>
      <c r="BB32" s="490" t="s">
        <v>779</v>
      </c>
      <c r="BC32" s="490" t="s">
        <v>780</v>
      </c>
      <c r="BD32" s="490" t="s">
        <v>667</v>
      </c>
      <c r="BE32" s="490" t="s">
        <v>781</v>
      </c>
      <c r="BF32" s="490" t="s">
        <v>782</v>
      </c>
      <c r="BG32" s="490" t="s">
        <v>783</v>
      </c>
      <c r="BH32" s="490" t="s">
        <v>784</v>
      </c>
      <c r="BI32" s="490" t="s">
        <v>785</v>
      </c>
      <c r="BJ32" s="490" t="s">
        <v>786</v>
      </c>
      <c r="BK32" s="437"/>
      <c r="BL32" s="437"/>
      <c r="BM32" s="437"/>
      <c r="BN32" s="437"/>
      <c r="BO32" s="437"/>
      <c r="BP32" s="437"/>
    </row>
    <row r="33" spans="1:68">
      <c r="A33" s="482"/>
      <c r="B33" s="437"/>
      <c r="C33" s="437"/>
      <c r="D33" s="437"/>
      <c r="E33" s="437"/>
      <c r="F33" s="437"/>
      <c r="G33" s="437"/>
      <c r="H33" s="437"/>
      <c r="I33" s="437"/>
      <c r="J33" s="437"/>
      <c r="K33" s="437"/>
      <c r="L33" s="437"/>
      <c r="M33" s="437"/>
      <c r="N33" s="437"/>
      <c r="O33" s="437"/>
      <c r="P33" s="437"/>
      <c r="Q33" s="437"/>
      <c r="R33" s="437"/>
      <c r="S33" s="135"/>
      <c r="T33" s="135"/>
      <c r="U33" s="437"/>
      <c r="V33" s="437"/>
      <c r="W33" s="437">
        <v>33</v>
      </c>
      <c r="X33" s="437">
        <v>25</v>
      </c>
      <c r="Y33" s="437"/>
      <c r="Z33" s="437"/>
      <c r="AA33" s="437"/>
      <c r="AB33" s="437">
        <v>33</v>
      </c>
      <c r="AC33" s="437">
        <v>2.6</v>
      </c>
      <c r="AD33" s="437">
        <v>3.6</v>
      </c>
      <c r="AE33" s="437">
        <v>76000</v>
      </c>
      <c r="AF33" s="437">
        <v>78000</v>
      </c>
      <c r="AG33" s="437">
        <v>15</v>
      </c>
      <c r="AH33" s="437">
        <v>29</v>
      </c>
      <c r="AI33" s="436">
        <v>3.5</v>
      </c>
      <c r="AJ33" s="436">
        <v>46</v>
      </c>
      <c r="AK33" s="436">
        <v>400</v>
      </c>
      <c r="AL33" s="436">
        <v>2.5</v>
      </c>
      <c r="AM33" s="436">
        <v>30</v>
      </c>
      <c r="AN33" s="436">
        <v>400</v>
      </c>
      <c r="AO33" s="436">
        <v>5</v>
      </c>
      <c r="AP33" s="436">
        <v>12</v>
      </c>
      <c r="AQ33" s="437">
        <v>3.75</v>
      </c>
      <c r="AR33" s="436">
        <v>23</v>
      </c>
      <c r="AS33" s="135">
        <v>5</v>
      </c>
      <c r="AT33" s="135">
        <v>0.8</v>
      </c>
      <c r="AU33" s="437"/>
      <c r="AV33" s="437"/>
      <c r="AW33" s="437"/>
      <c r="AX33" s="436">
        <v>28</v>
      </c>
      <c r="AY33" s="490" t="s">
        <v>787</v>
      </c>
      <c r="AZ33" s="490" t="s">
        <v>788</v>
      </c>
      <c r="BA33" s="490" t="s">
        <v>789</v>
      </c>
      <c r="BB33" s="490" t="s">
        <v>790</v>
      </c>
      <c r="BC33" s="490" t="s">
        <v>791</v>
      </c>
      <c r="BD33" s="490" t="s">
        <v>792</v>
      </c>
      <c r="BE33" s="490" t="s">
        <v>793</v>
      </c>
      <c r="BF33" s="490" t="s">
        <v>794</v>
      </c>
      <c r="BG33" s="490" t="s">
        <v>795</v>
      </c>
      <c r="BH33" s="490" t="s">
        <v>796</v>
      </c>
      <c r="BI33" s="490" t="s">
        <v>797</v>
      </c>
      <c r="BJ33" s="490" t="s">
        <v>798</v>
      </c>
      <c r="BK33" s="437"/>
      <c r="BL33" s="437"/>
      <c r="BM33" s="437"/>
      <c r="BN33" s="437"/>
      <c r="BO33" s="437"/>
      <c r="BP33" s="437"/>
    </row>
    <row r="34" spans="1:68">
      <c r="A34" s="482"/>
      <c r="B34" s="437"/>
      <c r="C34" s="437"/>
      <c r="D34" s="437"/>
      <c r="E34" s="437"/>
      <c r="F34" s="437"/>
      <c r="G34" s="437"/>
      <c r="H34" s="437"/>
      <c r="I34" s="437"/>
      <c r="J34" s="437"/>
      <c r="K34" s="437"/>
      <c r="L34" s="437"/>
      <c r="M34" s="437"/>
      <c r="N34" s="437"/>
      <c r="O34" s="437"/>
      <c r="P34" s="437"/>
      <c r="Q34" s="437"/>
      <c r="R34" s="437"/>
      <c r="S34" s="135"/>
      <c r="T34" s="135"/>
      <c r="U34" s="437"/>
      <c r="V34" s="437"/>
      <c r="W34" s="437">
        <v>34</v>
      </c>
      <c r="X34" s="437">
        <v>8</v>
      </c>
      <c r="Y34" s="437"/>
      <c r="Z34" s="437">
        <f>'Berekening maximale winst'!FO24</f>
        <v>1</v>
      </c>
      <c r="AA34" s="437">
        <f>IF(Z34=0,0,VLOOKUP(Z34,AB1:AK40,10))</f>
        <v>400</v>
      </c>
      <c r="AB34" s="437">
        <v>34</v>
      </c>
      <c r="AC34" s="437">
        <v>2.9</v>
      </c>
      <c r="AD34" s="437">
        <v>3.9</v>
      </c>
      <c r="AE34" s="437">
        <v>50000</v>
      </c>
      <c r="AF34" s="437">
        <v>52000</v>
      </c>
      <c r="AG34" s="437">
        <v>14</v>
      </c>
      <c r="AH34" s="437">
        <v>16</v>
      </c>
      <c r="AI34" s="436">
        <v>5</v>
      </c>
      <c r="AJ34" s="436">
        <v>54</v>
      </c>
      <c r="AK34" s="436">
        <v>250</v>
      </c>
      <c r="AL34" s="436">
        <v>5.5</v>
      </c>
      <c r="AM34" s="436">
        <v>64</v>
      </c>
      <c r="AN34" s="444">
        <v>350</v>
      </c>
      <c r="AO34" s="436">
        <v>4</v>
      </c>
      <c r="AP34" s="436">
        <v>28</v>
      </c>
      <c r="AQ34" s="437">
        <v>3.1</v>
      </c>
      <c r="AR34" s="436">
        <v>18</v>
      </c>
      <c r="AS34" s="135">
        <v>1.25</v>
      </c>
      <c r="AT34" s="135">
        <v>0.16</v>
      </c>
      <c r="AU34" s="437"/>
      <c r="AV34" s="437"/>
      <c r="AW34" s="437"/>
      <c r="AX34" s="436">
        <v>29</v>
      </c>
      <c r="AY34" s="490" t="s">
        <v>799</v>
      </c>
      <c r="AZ34" s="490" t="s">
        <v>800</v>
      </c>
      <c r="BA34" s="490" t="s">
        <v>801</v>
      </c>
      <c r="BB34" s="490" t="s">
        <v>802</v>
      </c>
      <c r="BC34" s="490" t="s">
        <v>803</v>
      </c>
      <c r="BD34" s="490" t="s">
        <v>804</v>
      </c>
      <c r="BE34" s="490" t="s">
        <v>782</v>
      </c>
      <c r="BF34" s="490" t="s">
        <v>805</v>
      </c>
      <c r="BG34" s="490" t="s">
        <v>806</v>
      </c>
      <c r="BH34" s="490" t="s">
        <v>807</v>
      </c>
      <c r="BI34" s="490" t="s">
        <v>808</v>
      </c>
      <c r="BJ34" s="490" t="s">
        <v>809</v>
      </c>
      <c r="BK34" s="437"/>
      <c r="BL34" s="437"/>
      <c r="BM34" s="437"/>
      <c r="BN34" s="437"/>
      <c r="BO34" s="437"/>
      <c r="BP34" s="437"/>
    </row>
    <row r="35" spans="1:68">
      <c r="A35" s="482"/>
      <c r="B35" s="437"/>
      <c r="C35" s="437"/>
      <c r="D35" s="437"/>
      <c r="E35" s="437"/>
      <c r="F35" s="437"/>
      <c r="G35" s="437"/>
      <c r="H35" s="437"/>
      <c r="I35" s="437"/>
      <c r="J35" s="437"/>
      <c r="K35" s="437"/>
      <c r="L35" s="437"/>
      <c r="M35" s="437"/>
      <c r="N35" s="437"/>
      <c r="O35" s="437"/>
      <c r="P35" s="437"/>
      <c r="Q35" s="437"/>
      <c r="R35" s="437"/>
      <c r="S35" s="135"/>
      <c r="T35" s="135"/>
      <c r="U35" s="437"/>
      <c r="V35" s="437"/>
      <c r="W35" s="437">
        <v>35</v>
      </c>
      <c r="X35" s="437">
        <v>14</v>
      </c>
      <c r="Y35" s="437"/>
      <c r="Z35" s="437"/>
      <c r="AA35" s="437">
        <f>IF(Z34=0,0,VLOOKUP(Z34,AB1:AS40,18))</f>
        <v>0.5</v>
      </c>
      <c r="AB35" s="437">
        <v>35</v>
      </c>
      <c r="AC35" s="437">
        <v>2.2000000000000002</v>
      </c>
      <c r="AD35" s="437">
        <v>3.2</v>
      </c>
      <c r="AE35" s="437">
        <v>34000</v>
      </c>
      <c r="AF35" s="437">
        <v>36000</v>
      </c>
      <c r="AG35" s="437">
        <v>22</v>
      </c>
      <c r="AH35" s="437">
        <v>8</v>
      </c>
      <c r="AI35" s="436">
        <v>4</v>
      </c>
      <c r="AJ35" s="436">
        <v>45</v>
      </c>
      <c r="AK35" s="436">
        <v>300</v>
      </c>
      <c r="AL35" s="436">
        <v>4.5</v>
      </c>
      <c r="AM35" s="436">
        <v>50</v>
      </c>
      <c r="AN35" s="436">
        <v>300</v>
      </c>
      <c r="AO35" s="436">
        <v>7</v>
      </c>
      <c r="AP35" s="436">
        <v>16</v>
      </c>
      <c r="AQ35" s="437">
        <v>3.5</v>
      </c>
      <c r="AR35" s="436">
        <v>12</v>
      </c>
      <c r="AS35" s="135">
        <v>1.6</v>
      </c>
      <c r="AT35" s="135">
        <v>0.5</v>
      </c>
      <c r="AU35" s="437"/>
      <c r="AV35" s="437"/>
      <c r="AW35" s="437"/>
      <c r="AX35" s="436">
        <v>30</v>
      </c>
      <c r="AY35" s="490" t="s">
        <v>810</v>
      </c>
      <c r="AZ35" s="490" t="s">
        <v>811</v>
      </c>
      <c r="BA35" s="490" t="s">
        <v>812</v>
      </c>
      <c r="BB35" s="490" t="s">
        <v>600</v>
      </c>
      <c r="BC35" s="490" t="s">
        <v>813</v>
      </c>
      <c r="BD35" s="490" t="s">
        <v>814</v>
      </c>
      <c r="BE35" s="490" t="s">
        <v>815</v>
      </c>
      <c r="BF35" s="490" t="s">
        <v>816</v>
      </c>
      <c r="BG35" s="490" t="s">
        <v>817</v>
      </c>
      <c r="BH35" s="490" t="s">
        <v>818</v>
      </c>
      <c r="BI35" s="490" t="s">
        <v>819</v>
      </c>
      <c r="BJ35" s="490" t="s">
        <v>706</v>
      </c>
      <c r="BK35" s="437"/>
      <c r="BL35" s="437"/>
      <c r="BM35" s="437"/>
      <c r="BN35" s="437"/>
      <c r="BO35" s="437"/>
      <c r="BP35" s="437"/>
    </row>
    <row r="36" spans="1:68">
      <c r="A36" s="482"/>
      <c r="B36" s="437"/>
      <c r="C36" s="437"/>
      <c r="D36" s="437"/>
      <c r="E36" s="437"/>
      <c r="F36" s="437"/>
      <c r="G36" s="437"/>
      <c r="H36" s="437"/>
      <c r="I36" s="437"/>
      <c r="J36" s="437"/>
      <c r="K36" s="437"/>
      <c r="L36" s="437"/>
      <c r="M36" s="437"/>
      <c r="N36" s="437"/>
      <c r="O36" s="437"/>
      <c r="P36" s="437"/>
      <c r="Q36" s="437"/>
      <c r="R36" s="437"/>
      <c r="S36" s="135"/>
      <c r="T36" s="135"/>
      <c r="U36" s="437"/>
      <c r="V36" s="437"/>
      <c r="W36" s="437">
        <v>36</v>
      </c>
      <c r="X36" s="437">
        <v>31</v>
      </c>
      <c r="Y36" s="437"/>
      <c r="Z36" s="437"/>
      <c r="AA36" s="437">
        <f>IF(Z34=0,0,VLOOKUP(Z34,AB1:AT40,19))</f>
        <v>3.2</v>
      </c>
      <c r="AB36" s="437">
        <v>36</v>
      </c>
      <c r="AC36" s="437">
        <v>2.5</v>
      </c>
      <c r="AD36" s="437">
        <v>3.5</v>
      </c>
      <c r="AE36" s="437">
        <v>84000</v>
      </c>
      <c r="AF36" s="437">
        <v>86000</v>
      </c>
      <c r="AG36" s="437">
        <v>30</v>
      </c>
      <c r="AH36" s="437">
        <v>33</v>
      </c>
      <c r="AI36" s="436">
        <v>7</v>
      </c>
      <c r="AJ36" s="436">
        <v>65</v>
      </c>
      <c r="AK36" s="436">
        <v>350</v>
      </c>
      <c r="AL36" s="436">
        <v>3.5</v>
      </c>
      <c r="AM36" s="436">
        <v>42</v>
      </c>
      <c r="AN36" s="436">
        <v>350</v>
      </c>
      <c r="AO36" s="436">
        <v>2</v>
      </c>
      <c r="AP36" s="436">
        <v>27</v>
      </c>
      <c r="AQ36" s="437">
        <v>1.25</v>
      </c>
      <c r="AR36" s="436">
        <v>14</v>
      </c>
      <c r="AS36" s="135">
        <v>2</v>
      </c>
      <c r="AT36" s="135">
        <v>0.125</v>
      </c>
      <c r="AU36" s="437"/>
      <c r="AV36" s="437"/>
      <c r="AW36" s="437"/>
      <c r="AX36" s="436">
        <v>31</v>
      </c>
      <c r="AY36" s="490" t="s">
        <v>820</v>
      </c>
      <c r="AZ36" s="490" t="s">
        <v>821</v>
      </c>
      <c r="BA36" s="490" t="s">
        <v>811</v>
      </c>
      <c r="BB36" s="490" t="s">
        <v>822</v>
      </c>
      <c r="BC36" s="490" t="s">
        <v>823</v>
      </c>
      <c r="BD36" s="490" t="s">
        <v>824</v>
      </c>
      <c r="BE36" s="490" t="s">
        <v>825</v>
      </c>
      <c r="BF36" s="490" t="s">
        <v>826</v>
      </c>
      <c r="BG36" s="490" t="s">
        <v>827</v>
      </c>
      <c r="BH36" s="490" t="s">
        <v>359</v>
      </c>
      <c r="BI36" s="490" t="s">
        <v>828</v>
      </c>
      <c r="BJ36" s="490" t="s">
        <v>829</v>
      </c>
      <c r="BK36" s="437"/>
      <c r="BL36" s="437"/>
      <c r="BM36" s="437"/>
      <c r="BN36" s="437"/>
      <c r="BO36" s="437"/>
      <c r="BP36" s="437"/>
    </row>
    <row r="37" spans="1:68">
      <c r="A37" s="482"/>
      <c r="B37" s="437"/>
      <c r="C37" s="437"/>
      <c r="D37" s="50"/>
      <c r="E37" s="50"/>
      <c r="F37" s="50"/>
      <c r="G37" s="50"/>
      <c r="H37" s="50"/>
      <c r="I37" s="50"/>
      <c r="J37" s="50"/>
      <c r="K37" s="50"/>
      <c r="L37" s="50"/>
      <c r="M37" s="50"/>
      <c r="N37" s="50"/>
      <c r="O37" s="437"/>
      <c r="P37" s="437"/>
      <c r="Q37" s="437"/>
      <c r="R37" s="437"/>
      <c r="S37" s="135"/>
      <c r="T37" s="135"/>
      <c r="U37" s="437"/>
      <c r="V37" s="437"/>
      <c r="W37" s="437">
        <v>37</v>
      </c>
      <c r="X37" s="437">
        <v>30</v>
      </c>
      <c r="Y37" s="437"/>
      <c r="Z37" s="437"/>
      <c r="AA37" s="437"/>
      <c r="AB37" s="437">
        <v>37</v>
      </c>
      <c r="AC37" s="437">
        <v>1.7</v>
      </c>
      <c r="AD37" s="437">
        <v>2.7</v>
      </c>
      <c r="AE37" s="437">
        <v>52000</v>
      </c>
      <c r="AF37" s="437">
        <v>54000</v>
      </c>
      <c r="AG37" s="437">
        <v>16</v>
      </c>
      <c r="AH37" s="437">
        <v>17</v>
      </c>
      <c r="AI37" s="436">
        <v>2</v>
      </c>
      <c r="AJ37" s="436">
        <v>25</v>
      </c>
      <c r="AK37" s="436">
        <v>400</v>
      </c>
      <c r="AL37" s="436">
        <v>5</v>
      </c>
      <c r="AM37" s="436">
        <v>53</v>
      </c>
      <c r="AN37" s="436">
        <v>400</v>
      </c>
      <c r="AO37" s="436">
        <v>8</v>
      </c>
      <c r="AP37" s="436">
        <v>15</v>
      </c>
      <c r="AQ37" s="437">
        <v>1.2</v>
      </c>
      <c r="AR37" s="436">
        <v>15</v>
      </c>
      <c r="AS37" s="135">
        <v>2.5</v>
      </c>
      <c r="AT37" s="135">
        <v>0.32</v>
      </c>
      <c r="AU37" s="437"/>
      <c r="AV37" s="437"/>
      <c r="AW37" s="437"/>
      <c r="AX37" s="436">
        <v>32</v>
      </c>
      <c r="AY37" s="490" t="s">
        <v>830</v>
      </c>
      <c r="AZ37" s="490" t="s">
        <v>831</v>
      </c>
      <c r="BA37" s="490" t="s">
        <v>821</v>
      </c>
      <c r="BB37" s="490" t="s">
        <v>832</v>
      </c>
      <c r="BC37" s="490" t="s">
        <v>833</v>
      </c>
      <c r="BD37" s="490" t="s">
        <v>834</v>
      </c>
      <c r="BE37" s="490" t="s">
        <v>816</v>
      </c>
      <c r="BF37" s="490" t="s">
        <v>835</v>
      </c>
      <c r="BG37" s="490" t="s">
        <v>836</v>
      </c>
      <c r="BH37" s="490" t="s">
        <v>837</v>
      </c>
      <c r="BI37" s="490" t="s">
        <v>838</v>
      </c>
      <c r="BJ37" s="490" t="s">
        <v>839</v>
      </c>
      <c r="BK37" s="437"/>
      <c r="BL37" s="437"/>
      <c r="BM37" s="437"/>
      <c r="BN37" s="437"/>
      <c r="BO37" s="437"/>
      <c r="BP37" s="437"/>
    </row>
    <row r="38" spans="1:68">
      <c r="A38" s="482"/>
      <c r="B38" s="437"/>
      <c r="C38" s="437"/>
      <c r="D38" s="437"/>
      <c r="E38" s="437"/>
      <c r="F38" s="437"/>
      <c r="G38" s="437"/>
      <c r="H38" s="437"/>
      <c r="I38" s="437"/>
      <c r="J38" s="437"/>
      <c r="K38" s="437"/>
      <c r="L38" s="437"/>
      <c r="M38" s="437"/>
      <c r="N38" s="437"/>
      <c r="O38" s="437"/>
      <c r="P38" s="437"/>
      <c r="Q38" s="437"/>
      <c r="R38" s="437"/>
      <c r="S38" s="135"/>
      <c r="T38" s="135"/>
      <c r="U38" s="437"/>
      <c r="V38" s="437"/>
      <c r="W38" s="437">
        <v>38</v>
      </c>
      <c r="X38" s="437">
        <v>12</v>
      </c>
      <c r="Y38" s="437"/>
      <c r="Z38" s="437"/>
      <c r="AA38" s="437"/>
      <c r="AB38" s="437">
        <v>38</v>
      </c>
      <c r="AC38" s="437">
        <v>1.8</v>
      </c>
      <c r="AD38" s="437">
        <v>2.8</v>
      </c>
      <c r="AE38" s="437">
        <v>60000</v>
      </c>
      <c r="AF38" s="437">
        <v>62000</v>
      </c>
      <c r="AG38" s="437">
        <v>18</v>
      </c>
      <c r="AH38" s="437">
        <v>21</v>
      </c>
      <c r="AI38" s="436">
        <v>2.5</v>
      </c>
      <c r="AJ38" s="436">
        <v>37</v>
      </c>
      <c r="AK38" s="436">
        <v>300</v>
      </c>
      <c r="AL38" s="436">
        <v>4</v>
      </c>
      <c r="AM38" s="436">
        <v>58</v>
      </c>
      <c r="AN38" s="436">
        <v>450</v>
      </c>
      <c r="AO38" s="436">
        <v>6</v>
      </c>
      <c r="AP38" s="436">
        <v>24</v>
      </c>
      <c r="AQ38" s="437">
        <v>1.6</v>
      </c>
      <c r="AR38" s="436">
        <v>17</v>
      </c>
      <c r="AS38" s="135">
        <v>6.25</v>
      </c>
      <c r="AT38" s="135">
        <v>0.5</v>
      </c>
      <c r="AU38" s="437"/>
      <c r="AV38" s="437"/>
      <c r="AW38" s="437"/>
      <c r="AX38" s="436">
        <v>33</v>
      </c>
      <c r="AY38" s="490" t="s">
        <v>840</v>
      </c>
      <c r="AZ38" s="490" t="s">
        <v>841</v>
      </c>
      <c r="BA38" s="490" t="s">
        <v>842</v>
      </c>
      <c r="BB38" s="490" t="s">
        <v>749</v>
      </c>
      <c r="BC38" s="490" t="s">
        <v>843</v>
      </c>
      <c r="BD38" s="490" t="s">
        <v>844</v>
      </c>
      <c r="BE38" s="490" t="s">
        <v>845</v>
      </c>
      <c r="BF38" s="490" t="s">
        <v>846</v>
      </c>
      <c r="BG38" s="490" t="s">
        <v>847</v>
      </c>
      <c r="BH38" s="490" t="s">
        <v>360</v>
      </c>
      <c r="BI38" s="490" t="s">
        <v>848</v>
      </c>
      <c r="BJ38" s="490" t="s">
        <v>849</v>
      </c>
      <c r="BK38" s="437"/>
      <c r="BL38" s="437"/>
      <c r="BM38" s="437"/>
      <c r="BN38" s="437"/>
      <c r="BO38" s="437"/>
      <c r="BP38" s="437"/>
    </row>
    <row r="39" spans="1:68">
      <c r="A39" s="482"/>
      <c r="B39" s="437"/>
      <c r="C39" s="437"/>
      <c r="D39" s="437"/>
      <c r="E39" s="437"/>
      <c r="F39" s="437"/>
      <c r="G39" s="437"/>
      <c r="H39" s="437"/>
      <c r="I39" s="437"/>
      <c r="J39" s="437"/>
      <c r="K39" s="437"/>
      <c r="L39" s="437"/>
      <c r="M39" s="437"/>
      <c r="N39" s="437"/>
      <c r="O39" s="437"/>
      <c r="P39" s="437"/>
      <c r="Q39" s="437"/>
      <c r="R39" s="437"/>
      <c r="S39" s="135"/>
      <c r="T39" s="135"/>
      <c r="U39" s="437"/>
      <c r="V39" s="437"/>
      <c r="W39" s="437">
        <v>39</v>
      </c>
      <c r="X39" s="437">
        <v>39</v>
      </c>
      <c r="Y39" s="437"/>
      <c r="Z39" s="437"/>
      <c r="AA39" s="437"/>
      <c r="AB39" s="437">
        <v>39</v>
      </c>
      <c r="AC39" s="437">
        <v>2.8</v>
      </c>
      <c r="AD39" s="437">
        <v>3.8</v>
      </c>
      <c r="AE39" s="437">
        <v>40000</v>
      </c>
      <c r="AF39" s="437">
        <v>42000</v>
      </c>
      <c r="AG39" s="437">
        <v>28</v>
      </c>
      <c r="AH39" s="437">
        <v>11</v>
      </c>
      <c r="AI39" s="436">
        <v>5.5</v>
      </c>
      <c r="AJ39" s="436">
        <v>60</v>
      </c>
      <c r="AK39" s="436">
        <v>450</v>
      </c>
      <c r="AL39" s="436">
        <v>3</v>
      </c>
      <c r="AM39" s="436">
        <v>48</v>
      </c>
      <c r="AN39" s="436">
        <v>300</v>
      </c>
      <c r="AO39" s="436">
        <v>7</v>
      </c>
      <c r="AP39" s="436">
        <v>18</v>
      </c>
      <c r="AQ39" s="437">
        <v>0.4</v>
      </c>
      <c r="AR39" s="436">
        <v>25</v>
      </c>
      <c r="AS39" s="135">
        <v>8</v>
      </c>
      <c r="AT39" s="135">
        <v>0.625</v>
      </c>
      <c r="AU39" s="437"/>
      <c r="AV39" s="437"/>
      <c r="AW39" s="437"/>
      <c r="AX39" s="436">
        <v>34</v>
      </c>
      <c r="AY39" s="490" t="s">
        <v>850</v>
      </c>
      <c r="AZ39" s="490" t="s">
        <v>851</v>
      </c>
      <c r="BA39" s="490" t="s">
        <v>852</v>
      </c>
      <c r="BB39" s="490" t="s">
        <v>853</v>
      </c>
      <c r="BC39" s="490" t="s">
        <v>854</v>
      </c>
      <c r="BD39" s="490" t="s">
        <v>855</v>
      </c>
      <c r="BE39" s="490" t="s">
        <v>856</v>
      </c>
      <c r="BF39" s="490" t="s">
        <v>361</v>
      </c>
      <c r="BG39" s="490" t="s">
        <v>857</v>
      </c>
      <c r="BH39" s="490" t="s">
        <v>858</v>
      </c>
      <c r="BI39" s="490" t="s">
        <v>859</v>
      </c>
      <c r="BJ39" s="490" t="s">
        <v>860</v>
      </c>
      <c r="BK39" s="437"/>
      <c r="BL39" s="437"/>
      <c r="BM39" s="437"/>
      <c r="BN39" s="437"/>
      <c r="BO39" s="437"/>
      <c r="BP39" s="437"/>
    </row>
    <row r="40" spans="1:68">
      <c r="A40" s="482"/>
      <c r="B40" s="437"/>
      <c r="C40" s="437"/>
      <c r="D40" s="437"/>
      <c r="E40" s="437"/>
      <c r="F40" s="437"/>
      <c r="G40" s="437"/>
      <c r="H40" s="437"/>
      <c r="I40" s="437"/>
      <c r="J40" s="437"/>
      <c r="K40" s="437"/>
      <c r="L40" s="437"/>
      <c r="M40" s="437"/>
      <c r="N40" s="437"/>
      <c r="O40" s="437"/>
      <c r="P40" s="437"/>
      <c r="Q40" s="437"/>
      <c r="R40" s="437"/>
      <c r="S40" s="135"/>
      <c r="T40" s="135"/>
      <c r="U40" s="437"/>
      <c r="V40" s="437"/>
      <c r="W40" s="437">
        <v>40</v>
      </c>
      <c r="X40" s="437">
        <v>29</v>
      </c>
      <c r="Y40" s="437"/>
      <c r="Z40" s="437"/>
      <c r="AA40" s="437"/>
      <c r="AB40" s="437">
        <v>40</v>
      </c>
      <c r="AC40" s="437">
        <v>1.9</v>
      </c>
      <c r="AD40" s="437">
        <v>2.9</v>
      </c>
      <c r="AE40" s="437">
        <v>36000</v>
      </c>
      <c r="AF40" s="437">
        <v>38000</v>
      </c>
      <c r="AG40" s="437">
        <v>19</v>
      </c>
      <c r="AH40" s="437">
        <v>9</v>
      </c>
      <c r="AI40" s="436">
        <v>4.5</v>
      </c>
      <c r="AJ40" s="436">
        <v>57</v>
      </c>
      <c r="AK40" s="436">
        <v>450</v>
      </c>
      <c r="AL40" s="436">
        <v>2</v>
      </c>
      <c r="AM40" s="436">
        <v>32</v>
      </c>
      <c r="AN40" s="436">
        <v>250</v>
      </c>
      <c r="AO40" s="436">
        <v>5</v>
      </c>
      <c r="AP40" s="436">
        <v>14</v>
      </c>
      <c r="AQ40" s="437">
        <v>3.4</v>
      </c>
      <c r="AR40" s="436">
        <v>26</v>
      </c>
      <c r="AS40" s="135">
        <v>12.5</v>
      </c>
      <c r="AT40" s="135">
        <v>0.16</v>
      </c>
      <c r="AU40" s="437"/>
      <c r="AV40" s="437"/>
      <c r="AW40" s="437"/>
      <c r="AX40" s="436">
        <v>35</v>
      </c>
      <c r="AY40" s="490" t="s">
        <v>861</v>
      </c>
      <c r="AZ40" s="490" t="s">
        <v>862</v>
      </c>
      <c r="BA40" s="490" t="s">
        <v>851</v>
      </c>
      <c r="BB40" s="490" t="s">
        <v>863</v>
      </c>
      <c r="BC40" s="490" t="s">
        <v>864</v>
      </c>
      <c r="BD40" s="490" t="s">
        <v>865</v>
      </c>
      <c r="BE40" s="490" t="s">
        <v>866</v>
      </c>
      <c r="BF40" s="490" t="s">
        <v>867</v>
      </c>
      <c r="BG40" s="490" t="s">
        <v>362</v>
      </c>
      <c r="BH40" s="490" t="s">
        <v>868</v>
      </c>
      <c r="BI40" s="490" t="s">
        <v>869</v>
      </c>
      <c r="BJ40" s="490" t="s">
        <v>870</v>
      </c>
      <c r="BK40" s="437"/>
      <c r="BL40" s="437"/>
      <c r="BM40" s="437"/>
      <c r="BN40" s="437"/>
      <c r="BO40" s="437"/>
      <c r="BP40" s="437"/>
    </row>
    <row r="41" spans="1:68">
      <c r="A41" s="482"/>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6"/>
      <c r="AL41" s="437"/>
      <c r="AM41" s="437"/>
      <c r="AN41" s="437"/>
      <c r="AO41" s="436"/>
      <c r="AP41" s="437"/>
      <c r="AQ41" s="437"/>
      <c r="AR41" s="437"/>
      <c r="AS41" s="135"/>
      <c r="AT41" s="437"/>
      <c r="AU41" s="437"/>
      <c r="AV41" s="437"/>
      <c r="AW41" s="437"/>
      <c r="AX41" s="436">
        <v>36</v>
      </c>
      <c r="AY41" s="490" t="s">
        <v>871</v>
      </c>
      <c r="AZ41" s="490" t="s">
        <v>872</v>
      </c>
      <c r="BA41" s="490" t="s">
        <v>873</v>
      </c>
      <c r="BB41" s="490" t="s">
        <v>874</v>
      </c>
      <c r="BC41" s="490" t="s">
        <v>875</v>
      </c>
      <c r="BD41" s="490" t="s">
        <v>876</v>
      </c>
      <c r="BE41" s="490" t="s">
        <v>363</v>
      </c>
      <c r="BF41" s="490" t="s">
        <v>877</v>
      </c>
      <c r="BG41" s="490" t="s">
        <v>878</v>
      </c>
      <c r="BH41" s="490" t="s">
        <v>879</v>
      </c>
      <c r="BI41" s="490" t="s">
        <v>880</v>
      </c>
      <c r="BJ41" s="490" t="s">
        <v>881</v>
      </c>
      <c r="BK41" s="437"/>
      <c r="BL41" s="437"/>
      <c r="BM41" s="437"/>
      <c r="BN41" s="437"/>
      <c r="BO41" s="437"/>
      <c r="BP41" s="437"/>
    </row>
    <row r="42" spans="1:68">
      <c r="A42" s="482"/>
      <c r="B42" s="50"/>
      <c r="C42" s="50"/>
      <c r="D42" s="50"/>
      <c r="E42" s="50"/>
      <c r="F42" s="50"/>
      <c r="G42" s="50"/>
      <c r="H42" s="50"/>
      <c r="I42" s="50"/>
      <c r="J42" s="50"/>
      <c r="K42" s="50"/>
      <c r="L42" s="50"/>
      <c r="M42" s="50"/>
      <c r="N42" s="50"/>
      <c r="O42" s="50"/>
      <c r="P42" s="50"/>
      <c r="Q42" s="50"/>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6"/>
      <c r="AP42" s="437"/>
      <c r="AQ42" s="437"/>
      <c r="AR42" s="437"/>
      <c r="AS42" s="135"/>
      <c r="AT42" s="437"/>
      <c r="AU42" s="437"/>
      <c r="AV42" s="437"/>
      <c r="AW42" s="437"/>
      <c r="AX42" s="436">
        <v>37</v>
      </c>
      <c r="AY42" s="490" t="s">
        <v>882</v>
      </c>
      <c r="AZ42" s="490" t="s">
        <v>883</v>
      </c>
      <c r="BA42" s="490" t="s">
        <v>872</v>
      </c>
      <c r="BB42" s="490" t="s">
        <v>884</v>
      </c>
      <c r="BC42" s="490" t="s">
        <v>885</v>
      </c>
      <c r="BD42" s="490" t="s">
        <v>886</v>
      </c>
      <c r="BE42" s="490" t="s">
        <v>887</v>
      </c>
      <c r="BF42" s="490" t="s">
        <v>888</v>
      </c>
      <c r="BG42" s="490" t="s">
        <v>889</v>
      </c>
      <c r="BH42" s="490" t="s">
        <v>890</v>
      </c>
      <c r="BI42" s="490" t="s">
        <v>891</v>
      </c>
      <c r="BJ42" s="490" t="s">
        <v>892</v>
      </c>
      <c r="BK42" s="437"/>
      <c r="BL42" s="437"/>
      <c r="BM42" s="437"/>
      <c r="BN42" s="437"/>
      <c r="BO42" s="437"/>
      <c r="BP42" s="437"/>
    </row>
    <row r="43" spans="1:68">
      <c r="A43" s="482"/>
      <c r="B43" s="50"/>
      <c r="C43" s="50"/>
      <c r="D43" s="50"/>
      <c r="E43" s="50"/>
      <c r="F43" s="50"/>
      <c r="G43" s="50"/>
      <c r="H43" s="50"/>
      <c r="I43" s="50"/>
      <c r="J43" s="50"/>
      <c r="K43" s="50"/>
      <c r="L43" s="50"/>
      <c r="M43" s="50"/>
      <c r="N43" s="50"/>
      <c r="O43" s="50"/>
      <c r="P43" s="50"/>
      <c r="Q43" s="50"/>
      <c r="R43" s="437"/>
      <c r="S43" s="437"/>
      <c r="T43" s="437"/>
      <c r="U43" s="437"/>
      <c r="V43" s="437"/>
      <c r="W43" s="437"/>
      <c r="X43" s="437"/>
      <c r="Y43" s="437"/>
      <c r="Z43" s="437"/>
      <c r="AA43" s="437"/>
      <c r="AB43" s="437"/>
      <c r="AC43" s="437"/>
      <c r="AD43" s="437"/>
      <c r="AE43" s="437"/>
      <c r="AF43" s="437"/>
      <c r="AG43" s="437"/>
      <c r="AH43" s="437"/>
      <c r="AI43" s="437"/>
      <c r="AJ43" s="437"/>
      <c r="AK43" s="436"/>
      <c r="AL43" s="436"/>
      <c r="AM43" s="437"/>
      <c r="AN43" s="437"/>
      <c r="AO43" s="437"/>
      <c r="AP43" s="437"/>
      <c r="AQ43" s="437"/>
      <c r="AR43" s="437"/>
      <c r="AS43" s="135"/>
      <c r="AT43" s="437"/>
      <c r="AU43" s="437"/>
      <c r="AV43" s="437"/>
      <c r="AW43" s="437"/>
      <c r="AX43" s="436">
        <v>38</v>
      </c>
      <c r="AY43" s="490" t="s">
        <v>893</v>
      </c>
      <c r="AZ43" s="490" t="s">
        <v>894</v>
      </c>
      <c r="BA43" s="490" t="s">
        <v>883</v>
      </c>
      <c r="BB43" s="490" t="s">
        <v>801</v>
      </c>
      <c r="BC43" s="490" t="s">
        <v>895</v>
      </c>
      <c r="BD43" s="490" t="s">
        <v>896</v>
      </c>
      <c r="BE43" s="490" t="s">
        <v>897</v>
      </c>
      <c r="BF43" s="490" t="s">
        <v>898</v>
      </c>
      <c r="BG43" s="490" t="s">
        <v>364</v>
      </c>
      <c r="BH43" s="490" t="s">
        <v>365</v>
      </c>
      <c r="BI43" s="490" t="s">
        <v>899</v>
      </c>
      <c r="BJ43" s="490" t="s">
        <v>900</v>
      </c>
      <c r="BK43" s="437"/>
      <c r="BL43" s="437"/>
      <c r="BM43" s="437"/>
      <c r="BN43" s="437"/>
      <c r="BO43" s="437"/>
      <c r="BP43" s="437"/>
    </row>
    <row r="44" spans="1:68">
      <c r="A44" s="482"/>
      <c r="B44" s="50"/>
      <c r="C44" s="50"/>
      <c r="D44" s="50"/>
      <c r="E44" s="50"/>
      <c r="F44" s="50"/>
      <c r="G44" s="50"/>
      <c r="H44" s="50"/>
      <c r="I44" s="50"/>
      <c r="J44" s="50"/>
      <c r="K44" s="50"/>
      <c r="L44" s="50"/>
      <c r="M44" s="50"/>
      <c r="N44" s="50"/>
      <c r="O44" s="50"/>
      <c r="P44" s="50"/>
      <c r="Q44" s="50"/>
      <c r="R44" s="437"/>
      <c r="S44" s="437"/>
      <c r="T44" s="437"/>
      <c r="U44" s="437"/>
      <c r="V44" s="437"/>
      <c r="W44" s="437"/>
      <c r="X44" s="437"/>
      <c r="Y44" s="437"/>
      <c r="Z44" s="437"/>
      <c r="AA44" s="437"/>
      <c r="AB44" s="437"/>
      <c r="AC44" s="437"/>
      <c r="AD44" s="437"/>
      <c r="AE44" s="437"/>
      <c r="AF44" s="437"/>
      <c r="AG44" s="437"/>
      <c r="AH44" s="437"/>
      <c r="AI44" s="437"/>
      <c r="AJ44" s="437"/>
      <c r="AK44" s="436"/>
      <c r="AL44" s="437"/>
      <c r="AM44" s="437"/>
      <c r="AN44" s="437"/>
      <c r="AO44" s="437"/>
      <c r="AP44" s="437"/>
      <c r="AQ44" s="437"/>
      <c r="AR44" s="437"/>
      <c r="AS44" s="135"/>
      <c r="AT44" s="437"/>
      <c r="AU44" s="437"/>
      <c r="AV44" s="437"/>
      <c r="AW44" s="437"/>
      <c r="AX44" s="436">
        <v>39</v>
      </c>
      <c r="AY44" s="490" t="s">
        <v>901</v>
      </c>
      <c r="AZ44" s="490" t="s">
        <v>902</v>
      </c>
      <c r="BA44" s="490" t="s">
        <v>894</v>
      </c>
      <c r="BB44" s="490" t="s">
        <v>903</v>
      </c>
      <c r="BC44" s="490" t="s">
        <v>904</v>
      </c>
      <c r="BD44" s="490" t="s">
        <v>905</v>
      </c>
      <c r="BE44" s="490" t="s">
        <v>906</v>
      </c>
      <c r="BF44" s="490" t="s">
        <v>907</v>
      </c>
      <c r="BG44" s="490" t="s">
        <v>908</v>
      </c>
      <c r="BH44" s="490" t="s">
        <v>909</v>
      </c>
      <c r="BI44" s="490" t="s">
        <v>910</v>
      </c>
      <c r="BJ44" s="490" t="s">
        <v>911</v>
      </c>
      <c r="BK44" s="437"/>
      <c r="BL44" s="437"/>
      <c r="BM44" s="437"/>
      <c r="BN44" s="437"/>
      <c r="BO44" s="437"/>
      <c r="BP44" s="437"/>
    </row>
    <row r="45" spans="1:68">
      <c r="A45" s="482"/>
      <c r="B45" s="50"/>
      <c r="C45" s="50"/>
      <c r="D45" s="50"/>
      <c r="E45" s="50"/>
      <c r="F45" s="50"/>
      <c r="G45" s="50"/>
      <c r="H45" s="50"/>
      <c r="I45" s="50"/>
      <c r="J45" s="50"/>
      <c r="K45" s="50"/>
      <c r="L45" s="50"/>
      <c r="M45" s="50"/>
      <c r="N45" s="50"/>
      <c r="O45" s="50"/>
      <c r="P45" s="50"/>
      <c r="Q45" s="50"/>
      <c r="R45" s="437"/>
      <c r="S45" s="437"/>
      <c r="T45" s="437"/>
      <c r="U45" s="437"/>
      <c r="V45" s="437"/>
      <c r="W45" s="437"/>
      <c r="X45" s="437"/>
      <c r="Y45" s="437"/>
      <c r="Z45" s="437"/>
      <c r="AA45" s="437"/>
      <c r="AB45" s="437"/>
      <c r="AC45" s="437"/>
      <c r="AD45" s="437"/>
      <c r="AE45" s="437"/>
      <c r="AF45" s="437"/>
      <c r="AG45" s="437"/>
      <c r="AH45" s="437"/>
      <c r="AI45" s="437"/>
      <c r="AJ45" s="437"/>
      <c r="AK45" s="436"/>
      <c r="AL45" s="437"/>
      <c r="AM45" s="437"/>
      <c r="AN45" s="437"/>
      <c r="AO45" s="437"/>
      <c r="AP45" s="437"/>
      <c r="AQ45" s="437"/>
      <c r="AR45" s="437"/>
      <c r="AS45" s="437"/>
      <c r="AT45" s="437"/>
      <c r="AU45" s="437"/>
      <c r="AV45" s="437"/>
      <c r="AW45" s="437"/>
      <c r="AX45" s="436">
        <v>40</v>
      </c>
      <c r="AY45" s="490" t="s">
        <v>912</v>
      </c>
      <c r="AZ45" s="490" t="s">
        <v>913</v>
      </c>
      <c r="BA45" s="490" t="s">
        <v>914</v>
      </c>
      <c r="BB45" s="490" t="s">
        <v>915</v>
      </c>
      <c r="BC45" s="490" t="s">
        <v>916</v>
      </c>
      <c r="BD45" s="490" t="s">
        <v>917</v>
      </c>
      <c r="BE45" s="490" t="s">
        <v>918</v>
      </c>
      <c r="BF45" s="490" t="s">
        <v>919</v>
      </c>
      <c r="BG45" s="490" t="s">
        <v>920</v>
      </c>
      <c r="BH45" s="490" t="s">
        <v>921</v>
      </c>
      <c r="BI45" s="490" t="s">
        <v>922</v>
      </c>
      <c r="BJ45" s="490" t="s">
        <v>923</v>
      </c>
      <c r="BK45" s="437"/>
      <c r="BL45" s="437"/>
      <c r="BM45" s="437"/>
      <c r="BN45" s="437"/>
      <c r="BO45" s="437"/>
      <c r="BP45" s="437"/>
    </row>
    <row r="46" spans="1:68">
      <c r="A46" s="482"/>
      <c r="B46" s="50"/>
      <c r="C46" s="50"/>
      <c r="D46" s="50"/>
      <c r="E46" s="50"/>
      <c r="F46" s="50"/>
      <c r="G46" s="50"/>
      <c r="H46" s="50"/>
      <c r="I46" s="50"/>
      <c r="J46" s="50"/>
      <c r="K46" s="50"/>
      <c r="L46" s="50"/>
      <c r="M46" s="50"/>
      <c r="N46" s="50"/>
      <c r="O46" s="50"/>
      <c r="P46" s="50"/>
      <c r="Q46" s="50"/>
      <c r="R46" s="437"/>
      <c r="S46" s="437"/>
      <c r="T46" s="437"/>
      <c r="U46" s="437"/>
      <c r="V46" s="437"/>
      <c r="W46" s="437"/>
      <c r="X46" s="437"/>
      <c r="Y46" s="437"/>
      <c r="Z46" s="437"/>
      <c r="AA46" s="437"/>
      <c r="AB46" s="437"/>
      <c r="AC46" s="437"/>
      <c r="AD46" s="437"/>
      <c r="AE46" s="437"/>
      <c r="AF46" s="437"/>
      <c r="AG46" s="437"/>
      <c r="AH46" s="437"/>
      <c r="AI46" s="437"/>
      <c r="AJ46" s="437"/>
      <c r="AK46" s="436"/>
      <c r="AL46" s="437"/>
      <c r="AM46" s="437"/>
      <c r="AN46" s="437"/>
      <c r="AO46" s="437"/>
      <c r="AP46" s="437"/>
      <c r="AQ46" s="437"/>
      <c r="AR46" s="437"/>
      <c r="AS46" s="437"/>
      <c r="AT46" s="437"/>
      <c r="AU46" s="437"/>
      <c r="AV46" s="437"/>
      <c r="AW46" s="437"/>
      <c r="AX46" s="436">
        <v>41</v>
      </c>
      <c r="AY46" s="490" t="s">
        <v>924</v>
      </c>
      <c r="AZ46" s="490" t="s">
        <v>925</v>
      </c>
      <c r="BA46" s="490" t="s">
        <v>913</v>
      </c>
      <c r="BB46" s="490" t="s">
        <v>926</v>
      </c>
      <c r="BC46" s="490" t="s">
        <v>927</v>
      </c>
      <c r="BD46" s="490" t="s">
        <v>928</v>
      </c>
      <c r="BE46" s="490" t="s">
        <v>929</v>
      </c>
      <c r="BF46" s="490" t="s">
        <v>930</v>
      </c>
      <c r="BG46" s="490" t="s">
        <v>931</v>
      </c>
      <c r="BH46" s="490" t="s">
        <v>932</v>
      </c>
      <c r="BI46" s="490" t="s">
        <v>933</v>
      </c>
      <c r="BJ46" s="490" t="s">
        <v>934</v>
      </c>
      <c r="BK46" s="437"/>
      <c r="BL46" s="437"/>
      <c r="BM46" s="437"/>
      <c r="BN46" s="437"/>
      <c r="BO46" s="437"/>
      <c r="BP46" s="437"/>
    </row>
    <row r="47" spans="1:68">
      <c r="A47" s="482"/>
      <c r="B47" s="50"/>
      <c r="C47" s="50"/>
      <c r="D47" s="50"/>
      <c r="E47" s="50"/>
      <c r="F47" s="50"/>
      <c r="G47" s="50"/>
      <c r="H47" s="50"/>
      <c r="I47" s="50"/>
      <c r="J47" s="50"/>
      <c r="K47" s="50"/>
      <c r="L47" s="50"/>
      <c r="M47" s="50"/>
      <c r="N47" s="50"/>
      <c r="O47" s="50"/>
      <c r="P47" s="50"/>
      <c r="Q47" s="50"/>
      <c r="R47" s="437"/>
      <c r="S47" s="437"/>
      <c r="T47" s="437"/>
      <c r="U47" s="437"/>
      <c r="V47" s="437"/>
      <c r="W47" s="437"/>
      <c r="X47" s="437"/>
      <c r="Y47" s="437"/>
      <c r="Z47" s="437"/>
      <c r="AA47" s="437"/>
      <c r="AB47" s="437"/>
      <c r="AC47" s="437"/>
      <c r="AD47" s="437"/>
      <c r="AE47" s="437"/>
      <c r="AF47" s="437"/>
      <c r="AG47" s="437"/>
      <c r="AH47" s="437"/>
      <c r="AI47" s="437"/>
      <c r="AJ47" s="437"/>
      <c r="AK47" s="436"/>
      <c r="AL47" s="437"/>
      <c r="AM47" s="437"/>
      <c r="AN47" s="437"/>
      <c r="AO47" s="437"/>
      <c r="AP47" s="437"/>
      <c r="AQ47" s="437"/>
      <c r="AR47" s="437"/>
      <c r="AS47" s="437"/>
      <c r="AT47" s="437"/>
      <c r="AU47" s="437"/>
      <c r="AV47" s="437"/>
      <c r="AW47" s="437"/>
      <c r="AX47" s="436">
        <v>42</v>
      </c>
      <c r="AY47" s="490" t="s">
        <v>935</v>
      </c>
      <c r="AZ47" s="490" t="s">
        <v>936</v>
      </c>
      <c r="BA47" s="490" t="s">
        <v>937</v>
      </c>
      <c r="BB47" s="490" t="s">
        <v>938</v>
      </c>
      <c r="BC47" s="490" t="s">
        <v>939</v>
      </c>
      <c r="BD47" s="490" t="s">
        <v>533</v>
      </c>
      <c r="BE47" s="490" t="s">
        <v>940</v>
      </c>
      <c r="BF47" s="490" t="s">
        <v>941</v>
      </c>
      <c r="BG47" s="490" t="s">
        <v>942</v>
      </c>
      <c r="BH47" s="490" t="s">
        <v>943</v>
      </c>
      <c r="BI47" s="490" t="s">
        <v>944</v>
      </c>
      <c r="BJ47" s="490" t="s">
        <v>945</v>
      </c>
      <c r="BK47" s="437"/>
      <c r="BL47" s="437"/>
      <c r="BM47" s="437"/>
      <c r="BN47" s="437"/>
      <c r="BO47" s="437"/>
      <c r="BP47" s="437"/>
    </row>
    <row r="48" spans="1:68">
      <c r="A48" s="482"/>
      <c r="B48" s="50"/>
      <c r="C48" s="50"/>
      <c r="D48" s="50"/>
      <c r="E48" s="50"/>
      <c r="F48" s="50"/>
      <c r="G48" s="50"/>
      <c r="H48" s="50"/>
      <c r="I48" s="50"/>
      <c r="J48" s="50"/>
      <c r="K48" s="50"/>
      <c r="L48" s="50"/>
      <c r="M48" s="50"/>
      <c r="N48" s="50"/>
      <c r="O48" s="50"/>
      <c r="P48" s="50"/>
      <c r="Q48" s="50"/>
      <c r="R48" s="437"/>
      <c r="S48" s="437"/>
      <c r="T48" s="437"/>
      <c r="U48" s="437"/>
      <c r="V48" s="437"/>
      <c r="W48" s="437"/>
      <c r="X48" s="437"/>
      <c r="Y48" s="437"/>
      <c r="Z48" s="437"/>
      <c r="AA48" s="437"/>
      <c r="AB48" s="437"/>
      <c r="AC48" s="437"/>
      <c r="AD48" s="437"/>
      <c r="AE48" s="437"/>
      <c r="AF48" s="437"/>
      <c r="AG48" s="437"/>
      <c r="AH48" s="437"/>
      <c r="AI48" s="437"/>
      <c r="AJ48" s="437"/>
      <c r="AK48" s="436"/>
      <c r="AL48" s="437"/>
      <c r="AM48" s="437"/>
      <c r="AN48" s="437"/>
      <c r="AO48" s="437"/>
      <c r="AP48" s="437"/>
      <c r="AQ48" s="437"/>
      <c r="AR48" s="437"/>
      <c r="AS48" s="437"/>
      <c r="AT48" s="437"/>
      <c r="AU48" s="437"/>
      <c r="AV48" s="437"/>
      <c r="AW48" s="437"/>
      <c r="AX48" s="436">
        <v>43</v>
      </c>
      <c r="AY48" s="490" t="s">
        <v>946</v>
      </c>
      <c r="AZ48" s="490" t="s">
        <v>947</v>
      </c>
      <c r="BA48" s="490" t="s">
        <v>948</v>
      </c>
      <c r="BB48" s="490" t="s">
        <v>949</v>
      </c>
      <c r="BC48" s="490" t="s">
        <v>950</v>
      </c>
      <c r="BD48" s="490" t="s">
        <v>951</v>
      </c>
      <c r="BE48" s="490" t="s">
        <v>952</v>
      </c>
      <c r="BF48" s="490" t="s">
        <v>953</v>
      </c>
      <c r="BG48" s="490" t="s">
        <v>954</v>
      </c>
      <c r="BH48" s="490" t="s">
        <v>955</v>
      </c>
      <c r="BI48" s="490" t="s">
        <v>956</v>
      </c>
      <c r="BJ48" s="490" t="s">
        <v>957</v>
      </c>
      <c r="BK48" s="437"/>
      <c r="BL48" s="437"/>
      <c r="BM48" s="437"/>
      <c r="BN48" s="437"/>
      <c r="BO48" s="437"/>
      <c r="BP48" s="437"/>
    </row>
    <row r="49" spans="1:68">
      <c r="A49" s="482"/>
      <c r="B49" s="51"/>
      <c r="C49" s="51"/>
      <c r="D49" s="51"/>
      <c r="E49" s="51"/>
      <c r="F49" s="51"/>
      <c r="G49" s="51"/>
      <c r="H49" s="51"/>
      <c r="I49" s="51"/>
      <c r="J49" s="51"/>
      <c r="K49" s="51"/>
      <c r="L49" s="51"/>
      <c r="M49" s="51"/>
      <c r="N49" s="51"/>
      <c r="O49" s="51"/>
      <c r="P49" s="51"/>
      <c r="Q49" s="50"/>
      <c r="R49" s="437"/>
      <c r="S49" s="437"/>
      <c r="T49" s="437"/>
      <c r="U49" s="437"/>
      <c r="V49" s="437"/>
      <c r="W49" s="437"/>
      <c r="X49" s="437"/>
      <c r="Y49" s="437"/>
      <c r="Z49" s="437"/>
      <c r="AA49" s="437"/>
      <c r="AB49" s="437"/>
      <c r="AC49" s="437"/>
      <c r="AD49" s="437"/>
      <c r="AE49" s="437"/>
      <c r="AF49" s="437"/>
      <c r="AG49" s="437"/>
      <c r="AH49" s="437"/>
      <c r="AI49" s="437"/>
      <c r="AJ49" s="437"/>
      <c r="AK49" s="436"/>
      <c r="AL49" s="437"/>
      <c r="AM49" s="437"/>
      <c r="AN49" s="437"/>
      <c r="AO49" s="437"/>
      <c r="AP49" s="437"/>
      <c r="AQ49" s="437"/>
      <c r="AR49" s="437"/>
      <c r="AS49" s="437"/>
      <c r="AT49" s="437"/>
      <c r="AU49" s="437"/>
      <c r="AV49" s="437"/>
      <c r="AW49" s="437"/>
      <c r="AX49" s="436">
        <v>44</v>
      </c>
      <c r="AY49" s="490" t="s">
        <v>958</v>
      </c>
      <c r="AZ49" s="490" t="s">
        <v>959</v>
      </c>
      <c r="BA49" s="490" t="s">
        <v>947</v>
      </c>
      <c r="BB49" s="490" t="s">
        <v>960</v>
      </c>
      <c r="BC49" s="490" t="s">
        <v>961</v>
      </c>
      <c r="BD49" s="490" t="s">
        <v>843</v>
      </c>
      <c r="BE49" s="490" t="s">
        <v>962</v>
      </c>
      <c r="BF49" s="490" t="s">
        <v>963</v>
      </c>
      <c r="BG49" s="490" t="s">
        <v>964</v>
      </c>
      <c r="BH49" s="490" t="s">
        <v>366</v>
      </c>
      <c r="BI49" s="490" t="s">
        <v>965</v>
      </c>
      <c r="BJ49" s="490" t="s">
        <v>966</v>
      </c>
      <c r="BK49" s="437"/>
      <c r="BL49" s="437"/>
      <c r="BM49" s="437"/>
      <c r="BN49" s="437"/>
      <c r="BO49" s="437"/>
      <c r="BP49" s="437"/>
    </row>
    <row r="50" spans="1:68">
      <c r="A50" s="390"/>
      <c r="B50" s="51"/>
      <c r="C50" s="51"/>
      <c r="D50" s="51"/>
      <c r="E50" s="51"/>
      <c r="F50" s="51"/>
      <c r="G50" s="51"/>
      <c r="H50" s="51"/>
      <c r="I50" s="51"/>
      <c r="J50" s="51"/>
      <c r="K50" s="51"/>
      <c r="L50" s="51"/>
      <c r="M50" s="51"/>
      <c r="N50" s="51"/>
      <c r="O50" s="51"/>
      <c r="P50" s="51"/>
      <c r="Q50" s="50"/>
      <c r="R50" s="437"/>
      <c r="S50" s="437"/>
      <c r="T50" s="437"/>
      <c r="U50" s="437"/>
      <c r="V50" s="437"/>
      <c r="W50" s="437"/>
      <c r="X50" s="437"/>
      <c r="Y50" s="437"/>
      <c r="Z50" s="437"/>
      <c r="AA50" s="437"/>
      <c r="AB50" s="437"/>
      <c r="AC50" s="437"/>
      <c r="AD50" s="437"/>
      <c r="AE50" s="437"/>
      <c r="AF50" s="437"/>
      <c r="AG50" s="437"/>
      <c r="AH50" s="437"/>
      <c r="AI50" s="437"/>
      <c r="AJ50" s="437"/>
      <c r="AK50" s="436"/>
      <c r="AL50" s="437"/>
      <c r="AM50" s="437"/>
      <c r="AN50" s="437"/>
      <c r="AO50" s="437"/>
      <c r="AP50" s="437"/>
      <c r="AQ50" s="437"/>
      <c r="AR50" s="437"/>
      <c r="AS50" s="437"/>
      <c r="AT50" s="437"/>
      <c r="AU50" s="437"/>
      <c r="AV50" s="437"/>
      <c r="AW50" s="437"/>
      <c r="AX50" s="436">
        <v>45</v>
      </c>
      <c r="AY50" s="490" t="s">
        <v>967</v>
      </c>
      <c r="AZ50" s="490" t="s">
        <v>968</v>
      </c>
      <c r="BA50" s="490" t="s">
        <v>969</v>
      </c>
      <c r="BB50" s="490" t="s">
        <v>970</v>
      </c>
      <c r="BC50" s="490" t="s">
        <v>971</v>
      </c>
      <c r="BD50" s="490" t="s">
        <v>972</v>
      </c>
      <c r="BE50" s="490" t="s">
        <v>973</v>
      </c>
      <c r="BF50" s="490" t="s">
        <v>974</v>
      </c>
      <c r="BG50" s="490" t="s">
        <v>975</v>
      </c>
      <c r="BH50" s="490" t="s">
        <v>976</v>
      </c>
      <c r="BI50" s="490" t="s">
        <v>977</v>
      </c>
      <c r="BJ50" s="490" t="s">
        <v>978</v>
      </c>
      <c r="BK50" s="437"/>
      <c r="BL50" s="437"/>
      <c r="BM50" s="437"/>
      <c r="BN50" s="437"/>
      <c r="BO50" s="437"/>
      <c r="BP50" s="437"/>
    </row>
    <row r="51" spans="1:68">
      <c r="A51" s="390"/>
      <c r="B51" s="51"/>
      <c r="C51" s="51"/>
      <c r="D51" s="52"/>
      <c r="E51" s="52"/>
      <c r="F51" s="52"/>
      <c r="G51" s="52"/>
      <c r="H51" s="52"/>
      <c r="I51" s="52"/>
      <c r="J51" s="52"/>
      <c r="K51" s="52"/>
      <c r="L51" s="52"/>
      <c r="M51" s="52"/>
      <c r="N51" s="52"/>
      <c r="O51" s="52"/>
      <c r="P51" s="51"/>
      <c r="Q51" s="50"/>
      <c r="R51" s="437"/>
      <c r="S51" s="437"/>
      <c r="T51" s="437"/>
      <c r="U51" s="437"/>
      <c r="V51" s="437"/>
      <c r="W51" s="437"/>
      <c r="X51" s="437"/>
      <c r="Y51" s="437"/>
      <c r="Z51" s="437"/>
      <c r="AA51" s="437"/>
      <c r="AB51" s="437"/>
      <c r="AC51" s="437"/>
      <c r="AD51" s="437"/>
      <c r="AE51" s="437"/>
      <c r="AF51" s="437"/>
      <c r="AG51" s="437"/>
      <c r="AH51" s="437"/>
      <c r="AI51" s="437"/>
      <c r="AJ51" s="437"/>
      <c r="AK51" s="437"/>
      <c r="AL51" s="437"/>
      <c r="AM51" s="437"/>
      <c r="AN51" s="437"/>
      <c r="AO51" s="437"/>
      <c r="AP51" s="437"/>
      <c r="AQ51" s="437"/>
      <c r="AR51" s="437"/>
      <c r="AS51" s="437"/>
      <c r="AT51" s="437"/>
      <c r="AU51" s="437"/>
      <c r="AV51" s="437"/>
      <c r="AW51" s="437"/>
      <c r="AX51" s="436">
        <v>46</v>
      </c>
      <c r="AY51" s="490" t="s">
        <v>979</v>
      </c>
      <c r="AZ51" s="490" t="s">
        <v>980</v>
      </c>
      <c r="BA51" s="490" t="s">
        <v>968</v>
      </c>
      <c r="BB51" s="490" t="s">
        <v>981</v>
      </c>
      <c r="BC51" s="490" t="s">
        <v>982</v>
      </c>
      <c r="BD51" s="490" t="s">
        <v>983</v>
      </c>
      <c r="BE51" s="490" t="s">
        <v>984</v>
      </c>
      <c r="BF51" s="490" t="s">
        <v>985</v>
      </c>
      <c r="BG51" s="490" t="s">
        <v>986</v>
      </c>
      <c r="BH51" s="490" t="s">
        <v>367</v>
      </c>
      <c r="BI51" s="490" t="s">
        <v>987</v>
      </c>
      <c r="BJ51" s="490" t="s">
        <v>988</v>
      </c>
      <c r="BK51" s="437"/>
      <c r="BL51" s="437"/>
      <c r="BM51" s="437"/>
      <c r="BN51" s="437"/>
      <c r="BO51" s="437"/>
      <c r="BP51" s="437"/>
    </row>
    <row r="52" spans="1:68">
      <c r="A52" s="50"/>
      <c r="B52" s="51"/>
      <c r="C52" s="51"/>
      <c r="D52" s="51"/>
      <c r="E52" s="51"/>
      <c r="F52" s="51"/>
      <c r="G52" s="51"/>
      <c r="H52" s="51"/>
      <c r="I52" s="51"/>
      <c r="J52" s="51"/>
      <c r="K52" s="51"/>
      <c r="L52" s="51"/>
      <c r="M52" s="51"/>
      <c r="N52" s="51"/>
      <c r="O52" s="51"/>
      <c r="P52" s="51"/>
      <c r="Q52" s="50"/>
      <c r="R52" s="437"/>
      <c r="S52" s="437"/>
      <c r="T52" s="437"/>
      <c r="U52" s="437"/>
      <c r="V52" s="437"/>
      <c r="W52" s="437"/>
      <c r="X52" s="437"/>
      <c r="Y52" s="437"/>
      <c r="Z52" s="437"/>
      <c r="AA52" s="437"/>
      <c r="AB52" s="437"/>
      <c r="AC52" s="437"/>
      <c r="AD52" s="437"/>
      <c r="AE52" s="437"/>
      <c r="AF52" s="437"/>
      <c r="AG52" s="437"/>
      <c r="AH52" s="437"/>
      <c r="AI52" s="437"/>
      <c r="AJ52" s="437"/>
      <c r="AK52" s="437"/>
      <c r="AL52" s="437"/>
      <c r="AM52" s="437"/>
      <c r="AN52" s="437"/>
      <c r="AO52" s="437"/>
      <c r="AP52" s="437"/>
      <c r="AQ52" s="437"/>
      <c r="AR52" s="437"/>
      <c r="AS52" s="437"/>
      <c r="AT52" s="437"/>
      <c r="AU52" s="437"/>
      <c r="AV52" s="437"/>
      <c r="AW52" s="437"/>
      <c r="AX52" s="436">
        <v>47</v>
      </c>
      <c r="AY52" s="490" t="s">
        <v>989</v>
      </c>
      <c r="AZ52" s="490" t="s">
        <v>990</v>
      </c>
      <c r="BA52" s="490" t="s">
        <v>991</v>
      </c>
      <c r="BB52" s="490" t="s">
        <v>992</v>
      </c>
      <c r="BC52" s="490" t="s">
        <v>993</v>
      </c>
      <c r="BD52" s="490" t="s">
        <v>875</v>
      </c>
      <c r="BE52" s="490" t="s">
        <v>994</v>
      </c>
      <c r="BF52" s="490" t="s">
        <v>995</v>
      </c>
      <c r="BG52" s="490" t="s">
        <v>996</v>
      </c>
      <c r="BH52" s="490" t="s">
        <v>364</v>
      </c>
      <c r="BI52" s="490" t="s">
        <v>997</v>
      </c>
      <c r="BJ52" s="490" t="s">
        <v>998</v>
      </c>
      <c r="BK52" s="437"/>
      <c r="BL52" s="437"/>
      <c r="BM52" s="437"/>
      <c r="BN52" s="437"/>
      <c r="BO52" s="437"/>
      <c r="BP52" s="437"/>
    </row>
    <row r="53" spans="1:68">
      <c r="A53" s="50"/>
      <c r="B53" s="51"/>
      <c r="C53" s="51"/>
      <c r="D53" s="51"/>
      <c r="E53" s="51"/>
      <c r="F53" s="51"/>
      <c r="G53" s="51"/>
      <c r="H53" s="51"/>
      <c r="I53" s="51"/>
      <c r="J53" s="51"/>
      <c r="K53" s="51"/>
      <c r="L53" s="51"/>
      <c r="M53" s="51"/>
      <c r="N53" s="51"/>
      <c r="O53" s="51"/>
      <c r="P53" s="51"/>
      <c r="Q53" s="50"/>
      <c r="R53" s="437"/>
      <c r="S53" s="437"/>
      <c r="T53" s="437"/>
      <c r="U53" s="437"/>
      <c r="V53" s="437"/>
      <c r="W53" s="437"/>
      <c r="X53" s="437"/>
      <c r="Y53" s="437"/>
      <c r="Z53" s="437"/>
      <c r="AA53" s="437"/>
      <c r="AB53" s="437"/>
      <c r="AC53" s="437"/>
      <c r="AD53" s="437"/>
      <c r="AE53" s="437"/>
      <c r="AF53" s="437"/>
      <c r="AG53" s="437"/>
      <c r="AH53" s="437"/>
      <c r="AI53" s="437"/>
      <c r="AJ53" s="437"/>
      <c r="AK53" s="437"/>
      <c r="AL53" s="437"/>
      <c r="AM53" s="437"/>
      <c r="AN53" s="437"/>
      <c r="AO53" s="437"/>
      <c r="AP53" s="437"/>
      <c r="AQ53" s="437"/>
      <c r="AR53" s="437"/>
      <c r="AS53" s="437"/>
      <c r="AT53" s="437"/>
      <c r="AU53" s="437"/>
      <c r="AV53" s="437"/>
      <c r="AW53" s="437"/>
      <c r="AX53" s="436">
        <v>48</v>
      </c>
      <c r="AY53" s="490" t="s">
        <v>999</v>
      </c>
      <c r="AZ53" s="490" t="s">
        <v>1000</v>
      </c>
      <c r="BA53" s="490" t="s">
        <v>990</v>
      </c>
      <c r="BB53" s="490" t="s">
        <v>1001</v>
      </c>
      <c r="BC53" s="490" t="s">
        <v>1002</v>
      </c>
      <c r="BD53" s="490" t="s">
        <v>1003</v>
      </c>
      <c r="BE53" s="490" t="s">
        <v>985</v>
      </c>
      <c r="BF53" s="490" t="s">
        <v>1004</v>
      </c>
      <c r="BG53" s="490" t="s">
        <v>368</v>
      </c>
      <c r="BH53" s="490" t="s">
        <v>1005</v>
      </c>
      <c r="BI53" s="490" t="s">
        <v>1006</v>
      </c>
      <c r="BJ53" s="490" t="s">
        <v>1007</v>
      </c>
      <c r="BK53" s="437"/>
      <c r="BL53" s="437"/>
      <c r="BM53" s="437"/>
      <c r="BN53" s="437"/>
      <c r="BO53" s="437"/>
      <c r="BP53" s="437"/>
    </row>
    <row r="54" spans="1:68">
      <c r="A54" s="50"/>
      <c r="B54" s="51"/>
      <c r="C54" s="51"/>
      <c r="D54" s="51"/>
      <c r="E54" s="51"/>
      <c r="F54" s="51"/>
      <c r="G54" s="51"/>
      <c r="H54" s="51"/>
      <c r="I54" s="51"/>
      <c r="J54" s="51"/>
      <c r="K54" s="51"/>
      <c r="L54" s="51"/>
      <c r="M54" s="51"/>
      <c r="N54" s="51"/>
      <c r="O54" s="51"/>
      <c r="P54" s="51"/>
      <c r="Q54" s="50"/>
      <c r="R54" s="437"/>
      <c r="S54" s="437"/>
      <c r="T54" s="437"/>
      <c r="U54" s="437"/>
      <c r="V54" s="437"/>
      <c r="W54" s="437"/>
      <c r="X54" s="437"/>
      <c r="Y54" s="437"/>
      <c r="Z54" s="437"/>
      <c r="AA54" s="437"/>
      <c r="AB54" s="437"/>
      <c r="AC54" s="437"/>
      <c r="AD54" s="437"/>
      <c r="AE54" s="437"/>
      <c r="AF54" s="437"/>
      <c r="AG54" s="437"/>
      <c r="AH54" s="437"/>
      <c r="AI54" s="437"/>
      <c r="AJ54" s="437"/>
      <c r="AK54" s="437"/>
      <c r="AL54" s="437"/>
      <c r="AM54" s="437"/>
      <c r="AN54" s="437"/>
      <c r="AO54" s="437"/>
      <c r="AP54" s="437"/>
      <c r="AQ54" s="437"/>
      <c r="AR54" s="437"/>
      <c r="AS54" s="437"/>
      <c r="AT54" s="437"/>
      <c r="AU54" s="437"/>
      <c r="AV54" s="437"/>
      <c r="AW54" s="437"/>
      <c r="AX54" s="436">
        <v>49</v>
      </c>
      <c r="AY54" s="490" t="s">
        <v>1008</v>
      </c>
      <c r="AZ54" s="490" t="s">
        <v>1009</v>
      </c>
      <c r="BA54" s="490" t="s">
        <v>1010</v>
      </c>
      <c r="BB54" s="490" t="s">
        <v>1011</v>
      </c>
      <c r="BC54" s="490" t="s">
        <v>1012</v>
      </c>
      <c r="BD54" s="490" t="s">
        <v>1013</v>
      </c>
      <c r="BE54" s="490" t="s">
        <v>1014</v>
      </c>
      <c r="BF54" s="490" t="s">
        <v>1015</v>
      </c>
      <c r="BG54" s="490" t="s">
        <v>1016</v>
      </c>
      <c r="BH54" s="490" t="s">
        <v>920</v>
      </c>
      <c r="BI54" s="490" t="s">
        <v>1017</v>
      </c>
      <c r="BJ54" s="490" t="s">
        <v>1018</v>
      </c>
      <c r="BK54" s="437"/>
      <c r="BL54" s="437"/>
      <c r="BM54" s="437"/>
      <c r="BN54" s="437"/>
      <c r="BO54" s="437"/>
      <c r="BP54" s="437"/>
    </row>
    <row r="55" spans="1:68">
      <c r="A55" s="50"/>
      <c r="B55" s="51"/>
      <c r="C55" s="51"/>
      <c r="D55" s="51"/>
      <c r="E55" s="51"/>
      <c r="F55" s="51"/>
      <c r="G55" s="51"/>
      <c r="H55" s="51"/>
      <c r="I55" s="51"/>
      <c r="J55" s="51"/>
      <c r="K55" s="51"/>
      <c r="L55" s="51"/>
      <c r="M55" s="51"/>
      <c r="N55" s="51"/>
      <c r="O55" s="51"/>
      <c r="P55" s="51"/>
      <c r="Q55" s="50"/>
      <c r="R55" s="437"/>
      <c r="S55" s="437"/>
      <c r="T55" s="437"/>
      <c r="U55" s="437"/>
      <c r="V55" s="437"/>
      <c r="W55" s="437"/>
      <c r="X55" s="437"/>
      <c r="Y55" s="437"/>
      <c r="Z55" s="437"/>
      <c r="AA55" s="437"/>
      <c r="AB55" s="437"/>
      <c r="AC55" s="437"/>
      <c r="AD55" s="437"/>
      <c r="AE55" s="437"/>
      <c r="AF55" s="437"/>
      <c r="AG55" s="437"/>
      <c r="AH55" s="437"/>
      <c r="AI55" s="437"/>
      <c r="AJ55" s="437"/>
      <c r="AK55" s="436"/>
      <c r="AL55" s="437"/>
      <c r="AM55" s="437"/>
      <c r="AN55" s="437"/>
      <c r="AO55" s="437"/>
      <c r="AP55" s="437"/>
      <c r="AQ55" s="437"/>
      <c r="AR55" s="437"/>
      <c r="AS55" s="437"/>
      <c r="AT55" s="437"/>
      <c r="AU55" s="437"/>
      <c r="AV55" s="437"/>
      <c r="AW55" s="437"/>
      <c r="AX55" s="436">
        <v>50</v>
      </c>
      <c r="AY55" s="490" t="s">
        <v>1019</v>
      </c>
      <c r="AZ55" s="490" t="s">
        <v>1020</v>
      </c>
      <c r="BA55" s="490" t="s">
        <v>1021</v>
      </c>
      <c r="BB55" s="490" t="s">
        <v>1022</v>
      </c>
      <c r="BC55" s="490" t="s">
        <v>1023</v>
      </c>
      <c r="BD55" s="490" t="s">
        <v>1024</v>
      </c>
      <c r="BE55" s="490" t="s">
        <v>1025</v>
      </c>
      <c r="BF55" s="490" t="s">
        <v>1026</v>
      </c>
      <c r="BG55" s="490" t="s">
        <v>1027</v>
      </c>
      <c r="BH55" s="490" t="s">
        <v>931</v>
      </c>
      <c r="BI55" s="490" t="s">
        <v>1028</v>
      </c>
      <c r="BJ55" s="490" t="s">
        <v>1029</v>
      </c>
      <c r="BK55" s="437"/>
      <c r="BL55" s="437"/>
      <c r="BM55" s="437"/>
      <c r="BN55" s="437"/>
      <c r="BO55" s="437"/>
      <c r="BP55" s="437"/>
    </row>
    <row r="56" spans="1:68">
      <c r="A56" s="50"/>
      <c r="B56" s="51"/>
      <c r="C56" s="51"/>
      <c r="D56" s="51"/>
      <c r="E56" s="51"/>
      <c r="F56" s="51"/>
      <c r="G56" s="51"/>
      <c r="H56" s="51"/>
      <c r="I56" s="51"/>
      <c r="J56" s="51"/>
      <c r="K56" s="51"/>
      <c r="L56" s="51"/>
      <c r="M56" s="51"/>
      <c r="N56" s="51"/>
      <c r="O56" s="51"/>
      <c r="P56" s="51"/>
      <c r="Q56" s="50"/>
      <c r="R56" s="437"/>
      <c r="S56" s="437"/>
      <c r="T56" s="437"/>
      <c r="U56" s="437"/>
      <c r="V56" s="437"/>
      <c r="W56" s="437"/>
      <c r="X56" s="437"/>
      <c r="Y56" s="437"/>
      <c r="Z56" s="437"/>
      <c r="AA56" s="437"/>
      <c r="AB56" s="437"/>
      <c r="AC56" s="437"/>
      <c r="AD56" s="437"/>
      <c r="AE56" s="437"/>
      <c r="AF56" s="437"/>
      <c r="AG56" s="437"/>
      <c r="AH56" s="437"/>
      <c r="AI56" s="437"/>
      <c r="AJ56" s="437"/>
      <c r="AK56" s="436"/>
      <c r="AL56" s="436"/>
      <c r="AM56" s="437"/>
      <c r="AN56" s="437"/>
      <c r="AO56" s="437"/>
      <c r="AP56" s="437"/>
      <c r="AQ56" s="437"/>
      <c r="AR56" s="437"/>
      <c r="AS56" s="437"/>
      <c r="AT56" s="437"/>
      <c r="AU56" s="437"/>
      <c r="AV56" s="437"/>
      <c r="AW56" s="437"/>
      <c r="AX56" s="436">
        <v>51</v>
      </c>
      <c r="AY56" s="490" t="s">
        <v>1030</v>
      </c>
      <c r="AZ56" s="490" t="s">
        <v>1031</v>
      </c>
      <c r="BA56" s="490" t="s">
        <v>1020</v>
      </c>
      <c r="BB56" s="490" t="s">
        <v>1032</v>
      </c>
      <c r="BC56" s="490" t="s">
        <v>1033</v>
      </c>
      <c r="BD56" s="490" t="s">
        <v>916</v>
      </c>
      <c r="BE56" s="490" t="s">
        <v>1034</v>
      </c>
      <c r="BF56" s="490" t="s">
        <v>1035</v>
      </c>
      <c r="BG56" s="490" t="s">
        <v>1036</v>
      </c>
      <c r="BH56" s="490" t="s">
        <v>1037</v>
      </c>
      <c r="BI56" s="490" t="s">
        <v>1038</v>
      </c>
      <c r="BJ56" s="490" t="s">
        <v>1039</v>
      </c>
      <c r="BK56" s="437"/>
      <c r="BL56" s="437"/>
      <c r="BM56" s="437"/>
      <c r="BN56" s="437"/>
      <c r="BO56" s="437"/>
      <c r="BP56" s="437"/>
    </row>
    <row r="57" spans="1:68">
      <c r="A57" s="50"/>
      <c r="B57" s="51"/>
      <c r="C57" s="51"/>
      <c r="D57" s="51"/>
      <c r="E57" s="51"/>
      <c r="F57" s="51"/>
      <c r="G57" s="51"/>
      <c r="H57" s="51"/>
      <c r="I57" s="51"/>
      <c r="J57" s="51"/>
      <c r="K57" s="51"/>
      <c r="L57" s="51"/>
      <c r="M57" s="51"/>
      <c r="N57" s="51"/>
      <c r="O57" s="51"/>
      <c r="P57" s="51"/>
      <c r="Q57" s="50"/>
      <c r="R57" s="437"/>
      <c r="S57" s="437"/>
      <c r="T57" s="437"/>
      <c r="U57" s="437"/>
      <c r="V57" s="437"/>
      <c r="W57" s="437"/>
      <c r="X57" s="437"/>
      <c r="Y57" s="437"/>
      <c r="Z57" s="437"/>
      <c r="AA57" s="437"/>
      <c r="AB57" s="437"/>
      <c r="AC57" s="437"/>
      <c r="AD57" s="437"/>
      <c r="AE57" s="437"/>
      <c r="AF57" s="437"/>
      <c r="AG57" s="437"/>
      <c r="AH57" s="437"/>
      <c r="AI57" s="437"/>
      <c r="AJ57" s="437"/>
      <c r="AK57" s="436"/>
      <c r="AL57" s="437"/>
      <c r="AM57" s="437"/>
      <c r="AN57" s="437"/>
      <c r="AO57" s="437"/>
      <c r="AP57" s="437"/>
      <c r="AQ57" s="437"/>
      <c r="AR57" s="437"/>
      <c r="AS57" s="437"/>
      <c r="AT57" s="437"/>
      <c r="AU57" s="437"/>
      <c r="AV57" s="437"/>
      <c r="AW57" s="437"/>
      <c r="AX57" s="436">
        <v>52</v>
      </c>
      <c r="AY57" s="490" t="s">
        <v>1040</v>
      </c>
      <c r="AZ57" s="490" t="s">
        <v>1041</v>
      </c>
      <c r="BA57" s="490" t="s">
        <v>1042</v>
      </c>
      <c r="BB57" s="490" t="s">
        <v>948</v>
      </c>
      <c r="BC57" s="490" t="s">
        <v>1043</v>
      </c>
      <c r="BD57" s="490" t="s">
        <v>1044</v>
      </c>
      <c r="BE57" s="490" t="s">
        <v>1045</v>
      </c>
      <c r="BF57" s="490" t="s">
        <v>1046</v>
      </c>
      <c r="BG57" s="490" t="s">
        <v>1047</v>
      </c>
      <c r="BH57" s="490" t="s">
        <v>1048</v>
      </c>
      <c r="BI57" s="490" t="s">
        <v>1049</v>
      </c>
      <c r="BJ57" s="490" t="s">
        <v>1050</v>
      </c>
      <c r="BK57" s="437"/>
      <c r="BL57" s="437"/>
      <c r="BM57" s="437"/>
      <c r="BN57" s="437"/>
      <c r="BO57" s="437"/>
      <c r="BP57" s="437"/>
    </row>
    <row r="58" spans="1:68">
      <c r="A58" s="50"/>
      <c r="B58" s="51"/>
      <c r="C58" s="51"/>
      <c r="D58" s="51"/>
      <c r="E58" s="51"/>
      <c r="F58" s="51"/>
      <c r="G58" s="51"/>
      <c r="H58" s="51"/>
      <c r="I58" s="51"/>
      <c r="J58" s="51"/>
      <c r="K58" s="51"/>
      <c r="L58" s="51"/>
      <c r="M58" s="51"/>
      <c r="N58" s="51"/>
      <c r="O58" s="51"/>
      <c r="P58" s="51"/>
      <c r="Q58" s="50"/>
      <c r="R58" s="437"/>
      <c r="S58" s="437"/>
      <c r="T58" s="437"/>
      <c r="U58" s="437"/>
      <c r="V58" s="437"/>
      <c r="W58" s="437"/>
      <c r="X58" s="437"/>
      <c r="Y58" s="437"/>
      <c r="Z58" s="437"/>
      <c r="AA58" s="437"/>
      <c r="AB58" s="437"/>
      <c r="AC58" s="437"/>
      <c r="AD58" s="437"/>
      <c r="AE58" s="437"/>
      <c r="AF58" s="437"/>
      <c r="AG58" s="437"/>
      <c r="AH58" s="437"/>
      <c r="AI58" s="437"/>
      <c r="AJ58" s="437"/>
      <c r="AK58" s="436"/>
      <c r="AL58" s="436"/>
      <c r="AM58" s="437"/>
      <c r="AN58" s="437"/>
      <c r="AO58" s="437"/>
      <c r="AP58" s="437"/>
      <c r="AQ58" s="437"/>
      <c r="AR58" s="437"/>
      <c r="AS58" s="437"/>
      <c r="AT58" s="437"/>
      <c r="AU58" s="437"/>
      <c r="AV58" s="437"/>
      <c r="AW58" s="437"/>
      <c r="AX58" s="436">
        <v>53</v>
      </c>
      <c r="AY58" s="490" t="s">
        <v>1051</v>
      </c>
      <c r="AZ58" s="490" t="s">
        <v>1052</v>
      </c>
      <c r="BA58" s="490" t="s">
        <v>1041</v>
      </c>
      <c r="BB58" s="490" t="s">
        <v>1053</v>
      </c>
      <c r="BC58" s="490" t="s">
        <v>1054</v>
      </c>
      <c r="BD58" s="490" t="s">
        <v>1055</v>
      </c>
      <c r="BE58" s="490" t="s">
        <v>1056</v>
      </c>
      <c r="BF58" s="490" t="s">
        <v>1057</v>
      </c>
      <c r="BG58" s="490" t="s">
        <v>1058</v>
      </c>
      <c r="BH58" s="490" t="s">
        <v>1059</v>
      </c>
      <c r="BI58" s="490" t="s">
        <v>1060</v>
      </c>
      <c r="BJ58" s="490" t="s">
        <v>944</v>
      </c>
      <c r="BK58" s="437"/>
      <c r="BL58" s="437"/>
      <c r="BM58" s="437"/>
      <c r="BN58" s="437"/>
      <c r="BO58" s="437"/>
      <c r="BP58" s="437"/>
    </row>
    <row r="59" spans="1:68">
      <c r="A59" s="50"/>
      <c r="B59" s="51"/>
      <c r="C59" s="51"/>
      <c r="D59" s="51"/>
      <c r="E59" s="51"/>
      <c r="F59" s="51"/>
      <c r="G59" s="51"/>
      <c r="H59" s="51"/>
      <c r="I59" s="51"/>
      <c r="J59" s="51"/>
      <c r="K59" s="51"/>
      <c r="L59" s="51"/>
      <c r="M59" s="51"/>
      <c r="N59" s="51"/>
      <c r="O59" s="51"/>
      <c r="P59" s="51"/>
      <c r="Q59" s="50"/>
      <c r="R59" s="437"/>
      <c r="S59" s="437"/>
      <c r="T59" s="437"/>
      <c r="U59" s="437"/>
      <c r="V59" s="437"/>
      <c r="W59" s="437"/>
      <c r="X59" s="437"/>
      <c r="Y59" s="437"/>
      <c r="Z59" s="437"/>
      <c r="AA59" s="437"/>
      <c r="AB59" s="437"/>
      <c r="AC59" s="437"/>
      <c r="AD59" s="437"/>
      <c r="AE59" s="437"/>
      <c r="AF59" s="437"/>
      <c r="AG59" s="437"/>
      <c r="AH59" s="437"/>
      <c r="AI59" s="437"/>
      <c r="AJ59" s="437"/>
      <c r="AK59" s="436"/>
      <c r="AL59" s="436"/>
      <c r="AM59" s="437"/>
      <c r="AN59" s="437"/>
      <c r="AO59" s="437"/>
      <c r="AP59" s="437"/>
      <c r="AQ59" s="437"/>
      <c r="AR59" s="437"/>
      <c r="AS59" s="437"/>
      <c r="AT59" s="437"/>
      <c r="AU59" s="437"/>
      <c r="AV59" s="437"/>
      <c r="AW59" s="437"/>
      <c r="AX59" s="436">
        <v>54</v>
      </c>
      <c r="AY59" s="490" t="s">
        <v>1061</v>
      </c>
      <c r="AZ59" s="490" t="s">
        <v>1062</v>
      </c>
      <c r="BA59" s="490" t="s">
        <v>1063</v>
      </c>
      <c r="BB59" s="490" t="s">
        <v>1064</v>
      </c>
      <c r="BC59" s="490" t="s">
        <v>1065</v>
      </c>
      <c r="BD59" s="490" t="s">
        <v>950</v>
      </c>
      <c r="BE59" s="490" t="s">
        <v>1066</v>
      </c>
      <c r="BF59" s="490" t="s">
        <v>1067</v>
      </c>
      <c r="BG59" s="490" t="s">
        <v>1068</v>
      </c>
      <c r="BH59" s="490" t="s">
        <v>300</v>
      </c>
      <c r="BI59" s="490" t="s">
        <v>1069</v>
      </c>
      <c r="BJ59" s="490" t="s">
        <v>1070</v>
      </c>
      <c r="BK59" s="437"/>
      <c r="BL59" s="437"/>
      <c r="BM59" s="437"/>
      <c r="BN59" s="437"/>
      <c r="BO59" s="437"/>
      <c r="BP59" s="437"/>
    </row>
    <row r="60" spans="1:68">
      <c r="A60" s="50">
        <f>programma!Q3</f>
        <v>1</v>
      </c>
      <c r="B60" s="390"/>
      <c r="C60" s="390"/>
      <c r="D60" s="437"/>
      <c r="E60" s="437"/>
      <c r="F60" s="437"/>
      <c r="G60" s="437"/>
      <c r="H60" s="437"/>
      <c r="I60" s="437"/>
      <c r="J60" s="437"/>
      <c r="K60" s="51"/>
      <c r="L60" s="51"/>
      <c r="M60" s="51"/>
      <c r="N60" s="51"/>
      <c r="O60" s="51"/>
      <c r="P60" s="390"/>
      <c r="Q60" s="437"/>
      <c r="R60" s="437"/>
      <c r="S60" s="437"/>
      <c r="T60" s="437"/>
      <c r="U60" s="437"/>
      <c r="V60" s="437"/>
      <c r="W60" s="437"/>
      <c r="X60" s="437"/>
      <c r="Y60" s="437"/>
      <c r="Z60" s="437"/>
      <c r="AA60" s="437"/>
      <c r="AB60" s="437"/>
      <c r="AC60" s="437"/>
      <c r="AD60" s="437"/>
      <c r="AE60" s="437"/>
      <c r="AF60" s="437"/>
      <c r="AG60" s="437"/>
      <c r="AH60" s="437"/>
      <c r="AI60" s="437"/>
      <c r="AJ60" s="437"/>
      <c r="AK60" s="436"/>
      <c r="AL60" s="437"/>
      <c r="AM60" s="437"/>
      <c r="AN60" s="437"/>
      <c r="AO60" s="437"/>
      <c r="AP60" s="437"/>
      <c r="AQ60" s="437"/>
      <c r="AR60" s="437"/>
      <c r="AS60" s="437"/>
      <c r="AT60" s="437"/>
      <c r="AU60" s="437"/>
      <c r="AV60" s="437"/>
      <c r="AW60" s="437"/>
      <c r="AX60" s="436">
        <v>55</v>
      </c>
      <c r="AY60" s="490" t="s">
        <v>1071</v>
      </c>
      <c r="AZ60" s="490" t="s">
        <v>1072</v>
      </c>
      <c r="BA60" s="490" t="s">
        <v>1073</v>
      </c>
      <c r="BB60" s="490" t="s">
        <v>1074</v>
      </c>
      <c r="BC60" s="490" t="s">
        <v>1075</v>
      </c>
      <c r="BD60" s="490" t="s">
        <v>1076</v>
      </c>
      <c r="BE60" s="490" t="s">
        <v>1077</v>
      </c>
      <c r="BF60" s="490" t="s">
        <v>1078</v>
      </c>
      <c r="BG60" s="490" t="s">
        <v>1079</v>
      </c>
      <c r="BH60" s="490" t="s">
        <v>1080</v>
      </c>
      <c r="BI60" s="490" t="s">
        <v>1081</v>
      </c>
      <c r="BJ60" s="490" t="s">
        <v>1082</v>
      </c>
      <c r="BK60" s="437"/>
      <c r="BL60" s="437"/>
      <c r="BM60" s="437"/>
      <c r="BN60" s="437"/>
      <c r="BO60" s="437"/>
      <c r="BP60" s="437"/>
    </row>
    <row r="61" spans="1:68">
      <c r="A61" s="440">
        <f>IF(programma!Q5="A",VLOOKUP(A60,A67:AA106,2),IF(programma!Q5="B",VLOOKUP(A60,A67:AA106,3),IF(programma!Q5="C",VLOOKUP(A60,A67:AA106,4),IF(programma!Q5="D",VLOOKUP(A60,A67:AA106,5),IF(programma!Q5="E",VLOOKUP(A60,A67:AA106,6),IF(programma!Q5="F",VLOOKUP(A60,A67:AA106,7),A62))))))</f>
        <v>1</v>
      </c>
      <c r="B61" s="390"/>
      <c r="C61" s="390"/>
      <c r="D61" s="437"/>
      <c r="E61" s="437"/>
      <c r="F61" s="437"/>
      <c r="G61" s="437"/>
      <c r="H61" s="437"/>
      <c r="I61" s="437"/>
      <c r="J61" s="437"/>
      <c r="K61" s="51"/>
      <c r="L61" s="51"/>
      <c r="M61" s="51"/>
      <c r="N61" s="51"/>
      <c r="O61" s="51"/>
      <c r="P61" s="390"/>
      <c r="Q61" s="437"/>
      <c r="R61" s="437"/>
      <c r="S61" s="437"/>
      <c r="T61" s="437"/>
      <c r="U61" s="437"/>
      <c r="V61" s="437"/>
      <c r="W61" s="437"/>
      <c r="X61" s="437"/>
      <c r="Y61" s="437"/>
      <c r="Z61" s="437"/>
      <c r="AA61" s="437"/>
      <c r="AB61" s="437"/>
      <c r="AC61" s="437"/>
      <c r="AD61" s="437"/>
      <c r="AE61" s="437"/>
      <c r="AF61" s="437"/>
      <c r="AG61" s="437"/>
      <c r="AH61" s="437"/>
      <c r="AI61" s="437"/>
      <c r="AJ61" s="437"/>
      <c r="AK61" s="436"/>
      <c r="AL61" s="437"/>
      <c r="AM61" s="437"/>
      <c r="AN61" s="437"/>
      <c r="AO61" s="437"/>
      <c r="AP61" s="437"/>
      <c r="AQ61" s="437"/>
      <c r="AR61" s="437"/>
      <c r="AS61" s="437"/>
      <c r="AT61" s="437"/>
      <c r="AU61" s="437"/>
      <c r="AV61" s="437"/>
      <c r="AW61" s="437"/>
      <c r="AX61" s="436">
        <v>56</v>
      </c>
      <c r="AY61" s="490" t="s">
        <v>1062</v>
      </c>
      <c r="AZ61" s="490" t="s">
        <v>1083</v>
      </c>
      <c r="BA61" s="490" t="s">
        <v>1084</v>
      </c>
      <c r="BB61" s="490" t="s">
        <v>991</v>
      </c>
      <c r="BC61" s="490" t="s">
        <v>1085</v>
      </c>
      <c r="BD61" s="490" t="s">
        <v>1086</v>
      </c>
      <c r="BE61" s="490" t="s">
        <v>1067</v>
      </c>
      <c r="BF61" s="490" t="s">
        <v>1087</v>
      </c>
      <c r="BG61" s="490" t="s">
        <v>1088</v>
      </c>
      <c r="BH61" s="490" t="s">
        <v>1089</v>
      </c>
      <c r="BI61" s="490" t="s">
        <v>1090</v>
      </c>
      <c r="BJ61" s="490" t="s">
        <v>1091</v>
      </c>
      <c r="BK61" s="437"/>
      <c r="BL61" s="437"/>
      <c r="BM61" s="437"/>
      <c r="BN61" s="437"/>
      <c r="BO61" s="437"/>
      <c r="BP61" s="437"/>
    </row>
    <row r="62" spans="1:68">
      <c r="A62" s="440">
        <f>IF(programma!Q5="G",VLOOKUP(A60,A67:AB106,8),IF(programma!Q5="H",VLOOKUP(A60,A67:AB106,9),IF(programma!Q5="I",VLOOKUP(A60,A67:AB106,10),IF(programma!Q5="J",VLOOKUP(A60,A67:AB106,11),IF(programma!Q5="K",VLOOKUP(A60,A67:AB106,12),IF(programma!Q5="L",VLOOKUP(A60,A67:AB106,13),A63))))))</f>
        <v>1</v>
      </c>
      <c r="B62" s="390"/>
      <c r="C62" s="390"/>
      <c r="D62" s="437"/>
      <c r="E62" s="437"/>
      <c r="F62" s="437"/>
      <c r="G62" s="437"/>
      <c r="H62" s="437"/>
      <c r="I62" s="437"/>
      <c r="J62" s="437"/>
      <c r="K62" s="51"/>
      <c r="L62" s="51"/>
      <c r="M62" s="51"/>
      <c r="N62" s="51"/>
      <c r="O62" s="51"/>
      <c r="P62" s="390"/>
      <c r="Q62" s="437"/>
      <c r="R62" s="437"/>
      <c r="S62" s="437"/>
      <c r="T62" s="437"/>
      <c r="U62" s="437"/>
      <c r="V62" s="437"/>
      <c r="W62" s="437"/>
      <c r="X62" s="437"/>
      <c r="Y62" s="437"/>
      <c r="Z62" s="437"/>
      <c r="AA62" s="437"/>
      <c r="AB62" s="437"/>
      <c r="AC62" s="437"/>
      <c r="AD62" s="437"/>
      <c r="AE62" s="437"/>
      <c r="AF62" s="437"/>
      <c r="AG62" s="437"/>
      <c r="AH62" s="437"/>
      <c r="AI62" s="437"/>
      <c r="AJ62" s="437"/>
      <c r="AK62" s="436"/>
      <c r="AL62" s="437"/>
      <c r="AM62" s="437"/>
      <c r="AN62" s="437"/>
      <c r="AO62" s="437"/>
      <c r="AP62" s="437"/>
      <c r="AQ62" s="437"/>
      <c r="AR62" s="437"/>
      <c r="AS62" s="437"/>
      <c r="AT62" s="437"/>
      <c r="AU62" s="437"/>
      <c r="AV62" s="437"/>
      <c r="AW62" s="437"/>
      <c r="AX62" s="436">
        <v>57</v>
      </c>
      <c r="AY62" s="490" t="s">
        <v>1092</v>
      </c>
      <c r="AZ62" s="490" t="s">
        <v>1093</v>
      </c>
      <c r="BA62" s="490" t="s">
        <v>1083</v>
      </c>
      <c r="BB62" s="490" t="s">
        <v>1094</v>
      </c>
      <c r="BC62" s="490" t="s">
        <v>1095</v>
      </c>
      <c r="BD62" s="490" t="s">
        <v>1096</v>
      </c>
      <c r="BE62" s="490" t="s">
        <v>1097</v>
      </c>
      <c r="BF62" s="490" t="s">
        <v>1098</v>
      </c>
      <c r="BG62" s="490" t="s">
        <v>1099</v>
      </c>
      <c r="BH62" s="490" t="s">
        <v>369</v>
      </c>
      <c r="BI62" s="490" t="s">
        <v>1100</v>
      </c>
      <c r="BJ62" s="490" t="s">
        <v>1101</v>
      </c>
      <c r="BK62" s="437"/>
      <c r="BL62" s="437"/>
      <c r="BM62" s="437"/>
      <c r="BN62" s="437"/>
      <c r="BO62" s="437"/>
      <c r="BP62" s="437"/>
    </row>
    <row r="63" spans="1:68">
      <c r="A63" s="440">
        <f>IF(programma!Q5="M",VLOOKUP(A60,A67:AB106,14),IF(programma!Q5="N",VLOOKUP(A60,A67:AB106,15),IF(programma!Q5="O",VLOOKUP(A60,A67:AB106,16),IF(programma!Q5="P",VLOOKUP(A60,A67:AB106,17),IF(programma!Q5="Q",VLOOKUP(A60,A67:AB106,18),IF(programma!Q5="R",VLOOKUP(A60,A67:AB106,19),A64))))))</f>
        <v>1</v>
      </c>
      <c r="B63" s="390"/>
      <c r="C63" s="390"/>
      <c r="D63" s="437"/>
      <c r="E63" s="437"/>
      <c r="F63" s="437"/>
      <c r="G63" s="437"/>
      <c r="H63" s="437"/>
      <c r="I63" s="437"/>
      <c r="J63" s="437"/>
      <c r="K63" s="51"/>
      <c r="L63" s="51"/>
      <c r="M63" s="51"/>
      <c r="N63" s="51"/>
      <c r="O63" s="51"/>
      <c r="P63" s="390"/>
      <c r="Q63" s="437"/>
      <c r="R63" s="437"/>
      <c r="S63" s="437"/>
      <c r="T63" s="437"/>
      <c r="U63" s="437"/>
      <c r="V63" s="437"/>
      <c r="W63" s="437"/>
      <c r="X63" s="437"/>
      <c r="Y63" s="437"/>
      <c r="Z63" s="437"/>
      <c r="AA63" s="437"/>
      <c r="AB63" s="437"/>
      <c r="AC63" s="437"/>
      <c r="AD63" s="437"/>
      <c r="AE63" s="437"/>
      <c r="AF63" s="437"/>
      <c r="AG63" s="437"/>
      <c r="AH63" s="437"/>
      <c r="AI63" s="437"/>
      <c r="AJ63" s="437"/>
      <c r="AK63" s="437"/>
      <c r="AL63" s="436"/>
      <c r="AM63" s="437"/>
      <c r="AN63" s="437"/>
      <c r="AO63" s="437"/>
      <c r="AP63" s="437"/>
      <c r="AQ63" s="437"/>
      <c r="AR63" s="437"/>
      <c r="AS63" s="437"/>
      <c r="AT63" s="437"/>
      <c r="AU63" s="437"/>
      <c r="AV63" s="437"/>
      <c r="AW63" s="437"/>
      <c r="AX63" s="436">
        <v>58</v>
      </c>
      <c r="AY63" s="490" t="s">
        <v>1102</v>
      </c>
      <c r="AZ63" s="490" t="s">
        <v>1103</v>
      </c>
      <c r="BA63" s="490" t="s">
        <v>1104</v>
      </c>
      <c r="BB63" s="490" t="s">
        <v>1105</v>
      </c>
      <c r="BC63" s="490" t="s">
        <v>1106</v>
      </c>
      <c r="BD63" s="490" t="s">
        <v>1107</v>
      </c>
      <c r="BE63" s="490" t="s">
        <v>1087</v>
      </c>
      <c r="BF63" s="490" t="s">
        <v>1108</v>
      </c>
      <c r="BG63" s="490" t="s">
        <v>1109</v>
      </c>
      <c r="BH63" s="490" t="s">
        <v>1110</v>
      </c>
      <c r="BI63" s="490" t="s">
        <v>1111</v>
      </c>
      <c r="BJ63" s="490" t="s">
        <v>1112</v>
      </c>
      <c r="BK63" s="437"/>
      <c r="BL63" s="437"/>
      <c r="BM63" s="437"/>
      <c r="BN63" s="437"/>
      <c r="BO63" s="437"/>
      <c r="BP63" s="437"/>
    </row>
    <row r="64" spans="1:68">
      <c r="A64" s="440">
        <f>IF(programma!Q5="S",VLOOKUP(A60,A67:AB106,20),IF(programma!Q5="T",VLOOKUP(A60,A67:AB106,21),IF(programma!Q5="U",VLOOKUP(A60,A67:AB106,22),IF(programma!Q5="V",VLOOKUP(A60,A67:AB106,23),IF(programma!Q5="W",VLOOKUP(A60,A67:AB106,24),IF(programma!Q5="X",VLOOKUP(A60,A67:AB106,25),A65))))))</f>
        <v>1</v>
      </c>
      <c r="B64" s="390"/>
      <c r="C64" s="390"/>
      <c r="D64" s="437"/>
      <c r="E64" s="437"/>
      <c r="F64" s="437"/>
      <c r="G64" s="437"/>
      <c r="H64" s="437"/>
      <c r="I64" s="437"/>
      <c r="J64" s="437"/>
      <c r="K64" s="51"/>
      <c r="L64" s="51"/>
      <c r="M64" s="51"/>
      <c r="N64" s="51"/>
      <c r="O64" s="51"/>
      <c r="P64" s="390"/>
      <c r="Q64" s="437"/>
      <c r="R64" s="437"/>
      <c r="S64" s="437"/>
      <c r="T64" s="437"/>
      <c r="U64" s="437"/>
      <c r="V64" s="437"/>
      <c r="W64" s="437"/>
      <c r="X64" s="437"/>
      <c r="Y64" s="437"/>
      <c r="Z64" s="437"/>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6">
        <v>59</v>
      </c>
      <c r="AY64" s="490" t="s">
        <v>1113</v>
      </c>
      <c r="AZ64" s="490" t="s">
        <v>1114</v>
      </c>
      <c r="BA64" s="490" t="s">
        <v>1115</v>
      </c>
      <c r="BB64" s="490" t="s">
        <v>1116</v>
      </c>
      <c r="BC64" s="490" t="s">
        <v>1117</v>
      </c>
      <c r="BD64" s="490" t="s">
        <v>1118</v>
      </c>
      <c r="BE64" s="490" t="s">
        <v>1119</v>
      </c>
      <c r="BF64" s="490" t="s">
        <v>1120</v>
      </c>
      <c r="BG64" s="490" t="s">
        <v>1121</v>
      </c>
      <c r="BH64" s="490" t="s">
        <v>1122</v>
      </c>
      <c r="BI64" s="490" t="s">
        <v>1123</v>
      </c>
      <c r="BJ64" s="490" t="s">
        <v>1124</v>
      </c>
      <c r="BK64" s="437"/>
      <c r="BL64" s="437"/>
      <c r="BM64" s="437"/>
      <c r="BN64" s="437"/>
      <c r="BO64" s="437"/>
      <c r="BP64" s="437"/>
    </row>
    <row r="65" spans="1:68">
      <c r="A65" s="440">
        <f>IF(programma!Q5="Y",VLOOKUP(A60,A67:AB106,26),IF(programma!Q5="Z",VLOOKUP(A60,A67:AB106,27),programma!Q3))</f>
        <v>1</v>
      </c>
      <c r="B65" s="446"/>
      <c r="C65" s="446"/>
      <c r="D65" s="436"/>
      <c r="E65" s="436"/>
      <c r="F65" s="436"/>
      <c r="G65" s="436"/>
      <c r="H65" s="436"/>
      <c r="I65" s="436"/>
      <c r="J65" s="436"/>
      <c r="K65" s="51"/>
      <c r="L65" s="51"/>
      <c r="M65" s="51"/>
      <c r="N65" s="51"/>
      <c r="O65" s="51"/>
      <c r="P65" s="390"/>
      <c r="Q65" s="437"/>
      <c r="R65" s="437"/>
      <c r="S65" s="437"/>
      <c r="T65" s="437"/>
      <c r="U65" s="437"/>
      <c r="V65" s="437"/>
      <c r="W65" s="437"/>
      <c r="X65" s="437"/>
      <c r="Y65" s="437"/>
      <c r="Z65" s="437"/>
      <c r="AA65" s="437"/>
      <c r="AB65" s="437"/>
      <c r="AC65" s="437"/>
      <c r="AD65" s="437"/>
      <c r="AE65" s="437"/>
      <c r="AF65" s="437"/>
      <c r="AG65" s="437"/>
      <c r="AH65" s="437"/>
      <c r="AI65" s="437"/>
      <c r="AJ65" s="437"/>
      <c r="AK65" s="437"/>
      <c r="AL65" s="436"/>
      <c r="AM65" s="437"/>
      <c r="AN65" s="437"/>
      <c r="AO65" s="437"/>
      <c r="AP65" s="437"/>
      <c r="AQ65" s="437"/>
      <c r="AR65" s="437"/>
      <c r="AS65" s="437"/>
      <c r="AT65" s="437"/>
      <c r="AU65" s="437"/>
      <c r="AV65" s="437"/>
      <c r="AW65" s="437"/>
      <c r="AX65" s="436">
        <v>60</v>
      </c>
      <c r="AY65" s="490" t="s">
        <v>1125</v>
      </c>
      <c r="AZ65" s="490" t="s">
        <v>1126</v>
      </c>
      <c r="BA65" s="490" t="s">
        <v>1127</v>
      </c>
      <c r="BB65" s="490" t="s">
        <v>1128</v>
      </c>
      <c r="BC65" s="490" t="s">
        <v>1129</v>
      </c>
      <c r="BD65" s="490" t="s">
        <v>1130</v>
      </c>
      <c r="BE65" s="490" t="s">
        <v>1131</v>
      </c>
      <c r="BF65" s="490" t="s">
        <v>1132</v>
      </c>
      <c r="BG65" s="490" t="s">
        <v>1133</v>
      </c>
      <c r="BH65" s="490" t="s">
        <v>1134</v>
      </c>
      <c r="BI65" s="490" t="s">
        <v>1135</v>
      </c>
      <c r="BJ65" s="490" t="s">
        <v>1136</v>
      </c>
      <c r="BK65" s="437"/>
      <c r="BL65" s="437"/>
      <c r="BM65" s="437"/>
      <c r="BN65" s="437"/>
      <c r="BO65" s="437"/>
      <c r="BP65" s="437"/>
    </row>
    <row r="66" spans="1:68">
      <c r="A66" s="437"/>
      <c r="B66" s="391" t="s">
        <v>12</v>
      </c>
      <c r="C66" s="391" t="s">
        <v>13</v>
      </c>
      <c r="D66" s="391" t="s">
        <v>14</v>
      </c>
      <c r="E66" s="391" t="s">
        <v>138</v>
      </c>
      <c r="F66" s="391" t="s">
        <v>139</v>
      </c>
      <c r="G66" s="391" t="s">
        <v>141</v>
      </c>
      <c r="H66" s="391" t="s">
        <v>140</v>
      </c>
      <c r="I66" s="391" t="s">
        <v>142</v>
      </c>
      <c r="J66" s="391" t="s">
        <v>143</v>
      </c>
      <c r="K66" s="391" t="s">
        <v>164</v>
      </c>
      <c r="L66" s="391" t="s">
        <v>165</v>
      </c>
      <c r="M66" s="391" t="s">
        <v>166</v>
      </c>
      <c r="N66" s="391" t="s">
        <v>167</v>
      </c>
      <c r="O66" s="391" t="s">
        <v>168</v>
      </c>
      <c r="P66" s="391" t="s">
        <v>169</v>
      </c>
      <c r="Q66" s="391" t="s">
        <v>170</v>
      </c>
      <c r="R66" s="391" t="s">
        <v>171</v>
      </c>
      <c r="S66" s="391" t="s">
        <v>172</v>
      </c>
      <c r="T66" s="391" t="s">
        <v>173</v>
      </c>
      <c r="U66" s="391" t="s">
        <v>149</v>
      </c>
      <c r="V66" s="391" t="s">
        <v>150</v>
      </c>
      <c r="W66" s="391" t="s">
        <v>151</v>
      </c>
      <c r="X66" s="391" t="s">
        <v>152</v>
      </c>
      <c r="Y66" s="391" t="s">
        <v>153</v>
      </c>
      <c r="Z66" s="391"/>
      <c r="AA66" s="391" t="s">
        <v>154</v>
      </c>
      <c r="AB66" s="391" t="s">
        <v>155</v>
      </c>
      <c r="AC66" s="437"/>
      <c r="AD66" s="437"/>
      <c r="AE66" s="437"/>
      <c r="AF66" s="437"/>
      <c r="AG66" s="437"/>
      <c r="AH66" s="437"/>
      <c r="AI66" s="437"/>
      <c r="AJ66" s="437"/>
      <c r="AK66" s="437"/>
      <c r="AL66" s="436"/>
      <c r="AM66" s="437"/>
      <c r="AN66" s="437"/>
      <c r="AO66" s="437"/>
      <c r="AP66" s="437"/>
      <c r="AQ66" s="437"/>
      <c r="AR66" s="437"/>
      <c r="AS66" s="437"/>
      <c r="AT66" s="437"/>
      <c r="AU66" s="437"/>
      <c r="AV66" s="437"/>
      <c r="AW66" s="437"/>
      <c r="AX66" s="436">
        <v>61</v>
      </c>
      <c r="AY66" s="490" t="s">
        <v>1137</v>
      </c>
      <c r="AZ66" s="490" t="s">
        <v>1138</v>
      </c>
      <c r="BA66" s="490" t="s">
        <v>1126</v>
      </c>
      <c r="BB66" s="490" t="s">
        <v>1139</v>
      </c>
      <c r="BC66" s="490" t="s">
        <v>1140</v>
      </c>
      <c r="BD66" s="490" t="s">
        <v>1141</v>
      </c>
      <c r="BE66" s="490" t="s">
        <v>1142</v>
      </c>
      <c r="BF66" s="490" t="s">
        <v>1143</v>
      </c>
      <c r="BG66" s="490" t="s">
        <v>1144</v>
      </c>
      <c r="BH66" s="490" t="s">
        <v>1145</v>
      </c>
      <c r="BI66" s="490" t="s">
        <v>1146</v>
      </c>
      <c r="BJ66" s="490" t="s">
        <v>1147</v>
      </c>
      <c r="BK66" s="437"/>
      <c r="BL66" s="437"/>
      <c r="BM66" s="437"/>
      <c r="BN66" s="437"/>
      <c r="BO66" s="437"/>
      <c r="BP66" s="437"/>
    </row>
    <row r="67" spans="1:68">
      <c r="A67" s="437">
        <v>1</v>
      </c>
      <c r="B67" s="437">
        <v>3</v>
      </c>
      <c r="C67" s="437">
        <v>15</v>
      </c>
      <c r="D67" s="437">
        <v>24</v>
      </c>
      <c r="E67" s="437">
        <v>40</v>
      </c>
      <c r="F67" s="437">
        <v>23</v>
      </c>
      <c r="G67" s="437">
        <v>30</v>
      </c>
      <c r="H67" s="437">
        <v>20</v>
      </c>
      <c r="I67" s="437">
        <v>26</v>
      </c>
      <c r="J67" s="437">
        <v>11</v>
      </c>
      <c r="K67" s="437">
        <v>34</v>
      </c>
      <c r="L67" s="437">
        <v>17</v>
      </c>
      <c r="M67" s="437">
        <v>33</v>
      </c>
      <c r="N67" s="437">
        <v>26</v>
      </c>
      <c r="O67" s="437">
        <v>36</v>
      </c>
      <c r="P67" s="437">
        <v>39</v>
      </c>
      <c r="Q67" s="437">
        <v>2</v>
      </c>
      <c r="R67" s="437">
        <v>11</v>
      </c>
      <c r="S67" s="437">
        <v>30</v>
      </c>
      <c r="T67" s="437">
        <v>32</v>
      </c>
      <c r="U67" s="437">
        <v>37</v>
      </c>
      <c r="V67" s="437">
        <v>16</v>
      </c>
      <c r="W67" s="437">
        <v>38</v>
      </c>
      <c r="X67" s="437">
        <v>12</v>
      </c>
      <c r="Y67" s="437">
        <v>38</v>
      </c>
      <c r="Z67" s="437">
        <v>5</v>
      </c>
      <c r="AA67" s="437">
        <v>10</v>
      </c>
      <c r="AB67" s="437">
        <v>36</v>
      </c>
      <c r="AC67" s="437"/>
      <c r="AD67" s="437"/>
      <c r="AE67" s="437"/>
      <c r="AF67" s="437"/>
      <c r="AG67" s="437"/>
      <c r="AH67" s="437"/>
      <c r="AI67" s="437"/>
      <c r="AJ67" s="437"/>
      <c r="AK67" s="436"/>
      <c r="AL67" s="437"/>
      <c r="AM67" s="437"/>
      <c r="AN67" s="437"/>
      <c r="AO67" s="437"/>
      <c r="AP67" s="437"/>
      <c r="AQ67" s="437"/>
      <c r="AR67" s="437"/>
      <c r="AS67" s="437"/>
      <c r="AT67" s="437"/>
      <c r="AU67" s="437"/>
      <c r="AV67" s="437"/>
      <c r="AW67" s="437"/>
      <c r="AX67" s="436">
        <v>62</v>
      </c>
      <c r="AY67" s="490" t="s">
        <v>1148</v>
      </c>
      <c r="AZ67" s="490" t="s">
        <v>1149</v>
      </c>
      <c r="BA67" s="490" t="s">
        <v>1150</v>
      </c>
      <c r="BB67" s="490" t="s">
        <v>1151</v>
      </c>
      <c r="BC67" s="490" t="s">
        <v>1152</v>
      </c>
      <c r="BD67" s="490" t="s">
        <v>1153</v>
      </c>
      <c r="BE67" s="490" t="s">
        <v>1154</v>
      </c>
      <c r="BF67" s="490" t="s">
        <v>1155</v>
      </c>
      <c r="BG67" s="490" t="s">
        <v>1156</v>
      </c>
      <c r="BH67" s="490" t="s">
        <v>1157</v>
      </c>
      <c r="BI67" s="490" t="s">
        <v>1158</v>
      </c>
      <c r="BJ67" s="490" t="s">
        <v>1159</v>
      </c>
      <c r="BK67" s="437"/>
      <c r="BL67" s="437"/>
      <c r="BM67" s="437"/>
      <c r="BN67" s="437"/>
      <c r="BO67" s="437"/>
      <c r="BP67" s="437"/>
    </row>
    <row r="68" spans="1:68">
      <c r="A68" s="437">
        <v>2</v>
      </c>
      <c r="B68" s="437">
        <v>15</v>
      </c>
      <c r="C68" s="437">
        <v>12</v>
      </c>
      <c r="D68" s="437">
        <v>35</v>
      </c>
      <c r="E68" s="437">
        <v>27</v>
      </c>
      <c r="F68" s="437">
        <v>4</v>
      </c>
      <c r="G68" s="437">
        <v>24</v>
      </c>
      <c r="H68" s="437">
        <v>14</v>
      </c>
      <c r="I68" s="437">
        <v>13</v>
      </c>
      <c r="J68" s="437">
        <v>40</v>
      </c>
      <c r="K68" s="437">
        <v>19</v>
      </c>
      <c r="L68" s="437">
        <v>19</v>
      </c>
      <c r="M68" s="437">
        <v>8</v>
      </c>
      <c r="N68" s="437">
        <v>35</v>
      </c>
      <c r="O68" s="437">
        <v>1</v>
      </c>
      <c r="P68" s="437">
        <v>6</v>
      </c>
      <c r="Q68" s="437">
        <v>26</v>
      </c>
      <c r="R68" s="437">
        <v>23</v>
      </c>
      <c r="S68" s="437">
        <v>31</v>
      </c>
      <c r="T68" s="437">
        <v>7</v>
      </c>
      <c r="U68" s="437">
        <v>22</v>
      </c>
      <c r="V68" s="437">
        <v>37</v>
      </c>
      <c r="W68" s="437">
        <v>24</v>
      </c>
      <c r="X68" s="437">
        <v>29</v>
      </c>
      <c r="Y68" s="437">
        <v>23</v>
      </c>
      <c r="Z68" s="437">
        <v>7</v>
      </c>
      <c r="AA68" s="437">
        <v>12</v>
      </c>
      <c r="AB68" s="437">
        <v>4</v>
      </c>
      <c r="AC68" s="437"/>
      <c r="AD68" s="437"/>
      <c r="AE68" s="437"/>
      <c r="AF68" s="437"/>
      <c r="AG68" s="437"/>
      <c r="AH68" s="437"/>
      <c r="AI68" s="437"/>
      <c r="AJ68" s="437"/>
      <c r="AK68" s="436"/>
      <c r="AL68" s="437"/>
      <c r="AM68" s="437"/>
      <c r="AN68" s="437"/>
      <c r="AO68" s="437"/>
      <c r="AP68" s="437"/>
      <c r="AQ68" s="437"/>
      <c r="AR68" s="437"/>
      <c r="AS68" s="437"/>
      <c r="AT68" s="437"/>
      <c r="AU68" s="437"/>
      <c r="AV68" s="437"/>
      <c r="AW68" s="437"/>
      <c r="AX68" s="436">
        <v>63</v>
      </c>
      <c r="AY68" s="490" t="s">
        <v>1160</v>
      </c>
      <c r="AZ68" s="490" t="s">
        <v>1161</v>
      </c>
      <c r="BA68" s="490" t="s">
        <v>1149</v>
      </c>
      <c r="BB68" s="490" t="s">
        <v>1162</v>
      </c>
      <c r="BC68" s="490" t="s">
        <v>1163</v>
      </c>
      <c r="BD68" s="490" t="s">
        <v>1164</v>
      </c>
      <c r="BE68" s="490" t="s">
        <v>1165</v>
      </c>
      <c r="BF68" s="490" t="s">
        <v>1166</v>
      </c>
      <c r="BG68" s="490" t="s">
        <v>1167</v>
      </c>
      <c r="BH68" s="490" t="s">
        <v>1168</v>
      </c>
      <c r="BI68" s="490" t="s">
        <v>1169</v>
      </c>
      <c r="BJ68" s="490" t="s">
        <v>1170</v>
      </c>
      <c r="BK68" s="437"/>
      <c r="BL68" s="437"/>
      <c r="BM68" s="437"/>
      <c r="BN68" s="437"/>
      <c r="BO68" s="437"/>
      <c r="BP68" s="437"/>
    </row>
    <row r="69" spans="1:68">
      <c r="A69" s="437">
        <v>3</v>
      </c>
      <c r="B69" s="437">
        <v>9</v>
      </c>
      <c r="C69" s="437">
        <v>28</v>
      </c>
      <c r="D69" s="437">
        <v>19</v>
      </c>
      <c r="E69" s="437">
        <v>12</v>
      </c>
      <c r="F69" s="437">
        <v>13</v>
      </c>
      <c r="G69" s="437">
        <v>40</v>
      </c>
      <c r="H69" s="437">
        <v>2</v>
      </c>
      <c r="I69" s="437">
        <v>35</v>
      </c>
      <c r="J69" s="437">
        <v>6</v>
      </c>
      <c r="K69" s="437">
        <v>28</v>
      </c>
      <c r="L69" s="437">
        <v>1</v>
      </c>
      <c r="M69" s="437">
        <v>39</v>
      </c>
      <c r="N69" s="437">
        <v>25</v>
      </c>
      <c r="O69" s="437">
        <v>4</v>
      </c>
      <c r="P69" s="437">
        <v>2</v>
      </c>
      <c r="Q69" s="437">
        <v>27</v>
      </c>
      <c r="R69" s="437">
        <v>34</v>
      </c>
      <c r="S69" s="437">
        <v>34</v>
      </c>
      <c r="T69" s="437">
        <v>36</v>
      </c>
      <c r="U69" s="437">
        <v>25</v>
      </c>
      <c r="V69" s="437">
        <v>24</v>
      </c>
      <c r="W69" s="437">
        <v>37</v>
      </c>
      <c r="X69" s="437">
        <v>16</v>
      </c>
      <c r="Y69" s="437">
        <v>26</v>
      </c>
      <c r="Z69" s="437">
        <v>37</v>
      </c>
      <c r="AA69" s="437">
        <v>32</v>
      </c>
      <c r="AB69" s="437">
        <v>23</v>
      </c>
      <c r="AC69" s="437"/>
      <c r="AD69" s="437"/>
      <c r="AE69" s="437"/>
      <c r="AF69" s="437"/>
      <c r="AG69" s="437"/>
      <c r="AH69" s="437"/>
      <c r="AI69" s="437"/>
      <c r="AJ69" s="437"/>
      <c r="AK69" s="436"/>
      <c r="AL69" s="437"/>
      <c r="AM69" s="437"/>
      <c r="AN69" s="437"/>
      <c r="AO69" s="437"/>
      <c r="AP69" s="437"/>
      <c r="AQ69" s="437"/>
      <c r="AR69" s="437"/>
      <c r="AS69" s="437"/>
      <c r="AT69" s="437"/>
      <c r="AU69" s="437"/>
      <c r="AV69" s="437"/>
      <c r="AW69" s="437"/>
      <c r="AX69" s="436">
        <v>64</v>
      </c>
      <c r="AY69" s="490" t="s">
        <v>1149</v>
      </c>
      <c r="AZ69" s="490" t="s">
        <v>1171</v>
      </c>
      <c r="BA69" s="490" t="s">
        <v>1172</v>
      </c>
      <c r="BB69" s="490" t="s">
        <v>1173</v>
      </c>
      <c r="BC69" s="490" t="s">
        <v>1174</v>
      </c>
      <c r="BD69" s="490" t="s">
        <v>1054</v>
      </c>
      <c r="BE69" s="490" t="s">
        <v>1175</v>
      </c>
      <c r="BF69" s="490" t="s">
        <v>1176</v>
      </c>
      <c r="BG69" s="490" t="s">
        <v>1177</v>
      </c>
      <c r="BH69" s="490" t="s">
        <v>1178</v>
      </c>
      <c r="BI69" s="490" t="s">
        <v>1179</v>
      </c>
      <c r="BJ69" s="490" t="s">
        <v>1180</v>
      </c>
      <c r="BK69" s="437"/>
      <c r="BL69" s="437"/>
      <c r="BM69" s="437"/>
      <c r="BN69" s="437"/>
      <c r="BO69" s="437"/>
      <c r="BP69" s="437"/>
    </row>
    <row r="70" spans="1:68">
      <c r="A70" s="437">
        <v>4</v>
      </c>
      <c r="B70" s="437">
        <v>21</v>
      </c>
      <c r="C70" s="437">
        <v>9</v>
      </c>
      <c r="D70" s="437">
        <v>12</v>
      </c>
      <c r="E70" s="437">
        <v>3</v>
      </c>
      <c r="F70" s="437">
        <v>25</v>
      </c>
      <c r="G70" s="437">
        <v>34</v>
      </c>
      <c r="H70" s="437">
        <v>40</v>
      </c>
      <c r="I70" s="437">
        <v>8</v>
      </c>
      <c r="J70" s="437">
        <v>18</v>
      </c>
      <c r="K70" s="437">
        <v>9</v>
      </c>
      <c r="L70" s="437">
        <v>7</v>
      </c>
      <c r="M70" s="437">
        <v>32</v>
      </c>
      <c r="N70" s="437">
        <v>35</v>
      </c>
      <c r="O70" s="437">
        <v>15</v>
      </c>
      <c r="P70" s="437">
        <v>7</v>
      </c>
      <c r="Q70" s="437">
        <v>8</v>
      </c>
      <c r="R70" s="437">
        <v>15</v>
      </c>
      <c r="S70" s="437">
        <v>14</v>
      </c>
      <c r="T70" s="437">
        <v>22</v>
      </c>
      <c r="U70" s="437">
        <v>8</v>
      </c>
      <c r="V70" s="437">
        <v>14</v>
      </c>
      <c r="W70" s="437">
        <v>2</v>
      </c>
      <c r="X70" s="437">
        <v>20</v>
      </c>
      <c r="Y70" s="437">
        <v>2</v>
      </c>
      <c r="Z70" s="437">
        <v>26</v>
      </c>
      <c r="AA70" s="437">
        <v>1</v>
      </c>
      <c r="AB70" s="437">
        <v>40</v>
      </c>
      <c r="AC70" s="437"/>
      <c r="AD70" s="437"/>
      <c r="AE70" s="437"/>
      <c r="AF70" s="437"/>
      <c r="AG70" s="437"/>
      <c r="AH70" s="437"/>
      <c r="AI70" s="437"/>
      <c r="AJ70" s="437"/>
      <c r="AK70" s="436"/>
      <c r="AL70" s="437"/>
      <c r="AM70" s="437"/>
      <c r="AN70" s="437"/>
      <c r="AO70" s="437"/>
      <c r="AP70" s="437"/>
      <c r="AQ70" s="437"/>
      <c r="AR70" s="437"/>
      <c r="AS70" s="437"/>
      <c r="AT70" s="437"/>
      <c r="AU70" s="437"/>
      <c r="AV70" s="437"/>
      <c r="AW70" s="437"/>
      <c r="AX70" s="436">
        <v>65</v>
      </c>
      <c r="AY70" s="490" t="s">
        <v>1181</v>
      </c>
      <c r="AZ70" s="490" t="s">
        <v>1182</v>
      </c>
      <c r="BA70" s="490" t="s">
        <v>1183</v>
      </c>
      <c r="BB70" s="490" t="s">
        <v>1184</v>
      </c>
      <c r="BC70" s="490" t="s">
        <v>1185</v>
      </c>
      <c r="BD70" s="490" t="s">
        <v>1186</v>
      </c>
      <c r="BE70" s="490" t="s">
        <v>1187</v>
      </c>
      <c r="BF70" s="490" t="s">
        <v>1188</v>
      </c>
      <c r="BG70" s="490" t="s">
        <v>370</v>
      </c>
      <c r="BH70" s="490" t="s">
        <v>1189</v>
      </c>
      <c r="BI70" s="490" t="s">
        <v>1190</v>
      </c>
      <c r="BJ70" s="490" t="s">
        <v>1191</v>
      </c>
      <c r="BK70" s="437"/>
      <c r="BL70" s="437"/>
      <c r="BM70" s="437"/>
      <c r="BN70" s="437"/>
      <c r="BO70" s="437"/>
      <c r="BP70" s="437"/>
    </row>
    <row r="71" spans="1:68">
      <c r="A71" s="437">
        <v>5</v>
      </c>
      <c r="B71" s="437">
        <v>34</v>
      </c>
      <c r="C71" s="437">
        <v>40</v>
      </c>
      <c r="D71" s="437">
        <v>25</v>
      </c>
      <c r="E71" s="437">
        <v>40</v>
      </c>
      <c r="F71" s="437">
        <v>2</v>
      </c>
      <c r="G71" s="437">
        <v>6</v>
      </c>
      <c r="H71" s="437">
        <v>23</v>
      </c>
      <c r="I71" s="437">
        <v>11</v>
      </c>
      <c r="J71" s="437">
        <v>4</v>
      </c>
      <c r="K71" s="437">
        <v>22</v>
      </c>
      <c r="L71" s="437">
        <v>8</v>
      </c>
      <c r="M71" s="437">
        <v>22</v>
      </c>
      <c r="N71" s="437">
        <v>4</v>
      </c>
      <c r="O71" s="437">
        <v>34</v>
      </c>
      <c r="P71" s="437">
        <v>4</v>
      </c>
      <c r="Q71" s="437">
        <v>32</v>
      </c>
      <c r="R71" s="437">
        <v>1</v>
      </c>
      <c r="S71" s="437">
        <v>17</v>
      </c>
      <c r="T71" s="437">
        <v>11</v>
      </c>
      <c r="U71" s="437">
        <v>32</v>
      </c>
      <c r="V71" s="437">
        <v>36</v>
      </c>
      <c r="W71" s="437">
        <v>37</v>
      </c>
      <c r="X71" s="437">
        <v>4</v>
      </c>
      <c r="Y71" s="437">
        <v>26</v>
      </c>
      <c r="Z71" s="437">
        <v>35</v>
      </c>
      <c r="AA71" s="437">
        <v>35</v>
      </c>
      <c r="AB71" s="437">
        <v>36</v>
      </c>
      <c r="AC71" s="437"/>
      <c r="AD71" s="437"/>
      <c r="AE71" s="437"/>
      <c r="AF71" s="437"/>
      <c r="AG71" s="437"/>
      <c r="AH71" s="437"/>
      <c r="AI71" s="437"/>
      <c r="AJ71" s="437"/>
      <c r="AK71" s="436"/>
      <c r="AL71" s="437"/>
      <c r="AM71" s="437"/>
      <c r="AN71" s="437"/>
      <c r="AO71" s="437"/>
      <c r="AP71" s="437"/>
      <c r="AQ71" s="437"/>
      <c r="AR71" s="437"/>
      <c r="AS71" s="437"/>
      <c r="AT71" s="437"/>
      <c r="AU71" s="437"/>
      <c r="AV71" s="437"/>
      <c r="AW71" s="437"/>
      <c r="AX71" s="436">
        <v>66</v>
      </c>
      <c r="AY71" s="490" t="s">
        <v>1192</v>
      </c>
      <c r="AZ71" s="490" t="s">
        <v>1193</v>
      </c>
      <c r="BA71" s="490" t="s">
        <v>1194</v>
      </c>
      <c r="BB71" s="490" t="s">
        <v>1195</v>
      </c>
      <c r="BC71" s="490" t="s">
        <v>1196</v>
      </c>
      <c r="BD71" s="490" t="s">
        <v>1197</v>
      </c>
      <c r="BE71" s="490" t="s">
        <v>1198</v>
      </c>
      <c r="BF71" s="490" t="s">
        <v>1199</v>
      </c>
      <c r="BG71" s="490" t="s">
        <v>1200</v>
      </c>
      <c r="BH71" s="490" t="s">
        <v>1201</v>
      </c>
      <c r="BI71" s="490" t="s">
        <v>1202</v>
      </c>
      <c r="BJ71" s="490" t="s">
        <v>1203</v>
      </c>
      <c r="BK71" s="437"/>
      <c r="BL71" s="437"/>
      <c r="BM71" s="437"/>
      <c r="BN71" s="437"/>
      <c r="BO71" s="437"/>
      <c r="BP71" s="437"/>
    </row>
    <row r="72" spans="1:68">
      <c r="A72" s="437">
        <v>6</v>
      </c>
      <c r="B72" s="437">
        <v>18</v>
      </c>
      <c r="C72" s="437">
        <v>34</v>
      </c>
      <c r="D72" s="437">
        <v>13</v>
      </c>
      <c r="E72" s="437">
        <v>14</v>
      </c>
      <c r="F72" s="437">
        <v>24</v>
      </c>
      <c r="G72" s="437">
        <v>15</v>
      </c>
      <c r="H72" s="437">
        <v>39</v>
      </c>
      <c r="I72" s="437">
        <v>39</v>
      </c>
      <c r="J72" s="437">
        <v>11</v>
      </c>
      <c r="K72" s="437">
        <v>13</v>
      </c>
      <c r="L72" s="437">
        <v>27</v>
      </c>
      <c r="M72" s="437">
        <v>25</v>
      </c>
      <c r="N72" s="437">
        <v>8</v>
      </c>
      <c r="O72" s="437">
        <v>15</v>
      </c>
      <c r="P72" s="437">
        <v>26</v>
      </c>
      <c r="Q72" s="437">
        <v>23</v>
      </c>
      <c r="R72" s="437">
        <v>7</v>
      </c>
      <c r="S72" s="437">
        <v>5</v>
      </c>
      <c r="T72" s="437">
        <v>32</v>
      </c>
      <c r="U72" s="437">
        <v>1</v>
      </c>
      <c r="V72" s="437">
        <v>4</v>
      </c>
      <c r="W72" s="437">
        <v>26</v>
      </c>
      <c r="X72" s="437">
        <v>22</v>
      </c>
      <c r="Y72" s="437">
        <v>14</v>
      </c>
      <c r="Z72" s="437">
        <v>27</v>
      </c>
      <c r="AA72" s="437">
        <v>19</v>
      </c>
      <c r="AB72" s="437">
        <v>26</v>
      </c>
      <c r="AC72" s="437"/>
      <c r="AD72" s="437"/>
      <c r="AE72" s="437"/>
      <c r="AF72" s="437"/>
      <c r="AG72" s="437"/>
      <c r="AH72" s="437"/>
      <c r="AI72" s="437"/>
      <c r="AJ72" s="437"/>
      <c r="AK72" s="436"/>
      <c r="AL72" s="436"/>
      <c r="AM72" s="437"/>
      <c r="AN72" s="437"/>
      <c r="AO72" s="437"/>
      <c r="AP72" s="437"/>
      <c r="AQ72" s="437"/>
      <c r="AR72" s="437"/>
      <c r="AS72" s="437"/>
      <c r="AT72" s="437"/>
      <c r="AU72" s="437"/>
      <c r="AV72" s="437"/>
      <c r="AW72" s="437"/>
      <c r="AX72" s="436">
        <v>67</v>
      </c>
      <c r="AY72" s="490" t="s">
        <v>1204</v>
      </c>
      <c r="AZ72" s="490" t="s">
        <v>371</v>
      </c>
      <c r="BA72" s="490" t="s">
        <v>1193</v>
      </c>
      <c r="BB72" s="490" t="s">
        <v>1205</v>
      </c>
      <c r="BC72" s="490" t="s">
        <v>1206</v>
      </c>
      <c r="BD72" s="490" t="s">
        <v>1085</v>
      </c>
      <c r="BE72" s="490" t="s">
        <v>1207</v>
      </c>
      <c r="BF72" s="490" t="s">
        <v>1208</v>
      </c>
      <c r="BG72" s="490" t="s">
        <v>1209</v>
      </c>
      <c r="BH72" s="490" t="s">
        <v>1210</v>
      </c>
      <c r="BI72" s="490" t="s">
        <v>1211</v>
      </c>
      <c r="BJ72" s="490" t="s">
        <v>1212</v>
      </c>
      <c r="BK72" s="437"/>
      <c r="BL72" s="437"/>
      <c r="BM72" s="437"/>
      <c r="BN72" s="437"/>
      <c r="BO72" s="437"/>
      <c r="BP72" s="437"/>
    </row>
    <row r="73" spans="1:68">
      <c r="A73" s="437">
        <v>7</v>
      </c>
      <c r="B73" s="437">
        <v>6</v>
      </c>
      <c r="C73" s="437">
        <v>30</v>
      </c>
      <c r="D73" s="437">
        <v>38</v>
      </c>
      <c r="E73" s="437">
        <v>38</v>
      </c>
      <c r="F73" s="437">
        <v>17</v>
      </c>
      <c r="G73" s="437">
        <v>19</v>
      </c>
      <c r="H73" s="437">
        <v>27</v>
      </c>
      <c r="I73" s="437">
        <v>31</v>
      </c>
      <c r="J73" s="437">
        <v>3</v>
      </c>
      <c r="K73" s="437">
        <v>20</v>
      </c>
      <c r="L73" s="437">
        <v>36</v>
      </c>
      <c r="M73" s="437">
        <v>15</v>
      </c>
      <c r="N73" s="437">
        <v>31</v>
      </c>
      <c r="O73" s="437">
        <v>9</v>
      </c>
      <c r="P73" s="437">
        <v>28</v>
      </c>
      <c r="Q73" s="437">
        <v>29</v>
      </c>
      <c r="R73" s="437">
        <v>3</v>
      </c>
      <c r="S73" s="437">
        <v>19</v>
      </c>
      <c r="T73" s="437">
        <v>21</v>
      </c>
      <c r="U73" s="437">
        <v>10</v>
      </c>
      <c r="V73" s="437">
        <v>35</v>
      </c>
      <c r="W73" s="437">
        <v>8</v>
      </c>
      <c r="X73" s="437">
        <v>24</v>
      </c>
      <c r="Y73" s="437">
        <v>8</v>
      </c>
      <c r="Z73" s="437">
        <v>13</v>
      </c>
      <c r="AA73" s="437">
        <v>4</v>
      </c>
      <c r="AB73" s="437">
        <v>2</v>
      </c>
      <c r="AC73" s="437"/>
      <c r="AD73" s="437"/>
      <c r="AE73" s="437"/>
      <c r="AF73" s="437"/>
      <c r="AG73" s="437"/>
      <c r="AH73" s="437"/>
      <c r="AI73" s="437"/>
      <c r="AJ73" s="437"/>
      <c r="AK73" s="436"/>
      <c r="AL73" s="437"/>
      <c r="AM73" s="437"/>
      <c r="AN73" s="437"/>
      <c r="AO73" s="437"/>
      <c r="AP73" s="437"/>
      <c r="AQ73" s="437"/>
      <c r="AR73" s="437"/>
      <c r="AS73" s="437"/>
      <c r="AT73" s="437"/>
      <c r="AU73" s="437"/>
      <c r="AV73" s="437"/>
      <c r="AW73" s="437"/>
      <c r="AX73" s="436">
        <v>68</v>
      </c>
      <c r="AY73" s="490" t="s">
        <v>1213</v>
      </c>
      <c r="AZ73" s="490" t="s">
        <v>1214</v>
      </c>
      <c r="BA73" s="490" t="s">
        <v>372</v>
      </c>
      <c r="BB73" s="490" t="s">
        <v>1115</v>
      </c>
      <c r="BC73" s="490" t="s">
        <v>1215</v>
      </c>
      <c r="BD73" s="490" t="s">
        <v>1095</v>
      </c>
      <c r="BE73" s="490" t="s">
        <v>1216</v>
      </c>
      <c r="BF73" s="490" t="s">
        <v>1217</v>
      </c>
      <c r="BG73" s="490" t="s">
        <v>458</v>
      </c>
      <c r="BH73" s="490" t="s">
        <v>1218</v>
      </c>
      <c r="BI73" s="490" t="s">
        <v>1219</v>
      </c>
      <c r="BJ73" s="490" t="s">
        <v>1220</v>
      </c>
      <c r="BK73" s="437"/>
      <c r="BL73" s="437"/>
      <c r="BM73" s="437"/>
      <c r="BN73" s="437"/>
      <c r="BO73" s="437"/>
      <c r="BP73" s="437"/>
    </row>
    <row r="74" spans="1:68">
      <c r="A74" s="437">
        <v>8</v>
      </c>
      <c r="B74" s="437">
        <v>11</v>
      </c>
      <c r="C74" s="437">
        <v>18</v>
      </c>
      <c r="D74" s="437">
        <v>16</v>
      </c>
      <c r="E74" s="437">
        <v>20</v>
      </c>
      <c r="F74" s="437">
        <v>10</v>
      </c>
      <c r="G74" s="437">
        <v>12</v>
      </c>
      <c r="H74" s="437">
        <v>19</v>
      </c>
      <c r="I74" s="437">
        <v>5</v>
      </c>
      <c r="J74" s="437">
        <v>28</v>
      </c>
      <c r="K74" s="437">
        <v>30</v>
      </c>
      <c r="L74" s="437">
        <v>4</v>
      </c>
      <c r="M74" s="437">
        <v>36</v>
      </c>
      <c r="N74" s="437">
        <v>9</v>
      </c>
      <c r="O74" s="437">
        <v>21</v>
      </c>
      <c r="P74" s="437">
        <v>9</v>
      </c>
      <c r="Q74" s="437">
        <v>5</v>
      </c>
      <c r="R74" s="437">
        <v>28</v>
      </c>
      <c r="S74" s="437">
        <v>12</v>
      </c>
      <c r="T74" s="437">
        <v>33</v>
      </c>
      <c r="U74" s="437">
        <v>31</v>
      </c>
      <c r="V74" s="437">
        <v>27</v>
      </c>
      <c r="W74" s="437">
        <v>35</v>
      </c>
      <c r="X74" s="437">
        <v>14</v>
      </c>
      <c r="Y74" s="437">
        <v>13</v>
      </c>
      <c r="Z74" s="437">
        <v>25</v>
      </c>
      <c r="AA74" s="437">
        <v>22</v>
      </c>
      <c r="AB74" s="437">
        <v>24</v>
      </c>
      <c r="AC74" s="437"/>
      <c r="AD74" s="437"/>
      <c r="AE74" s="437"/>
      <c r="AF74" s="437"/>
      <c r="AG74" s="437"/>
      <c r="AH74" s="437"/>
      <c r="AI74" s="437"/>
      <c r="AJ74" s="437"/>
      <c r="AK74" s="436"/>
      <c r="AL74" s="437"/>
      <c r="AM74" s="437"/>
      <c r="AN74" s="437"/>
      <c r="AO74" s="437"/>
      <c r="AP74" s="437"/>
      <c r="AQ74" s="437"/>
      <c r="AR74" s="437"/>
      <c r="AS74" s="437"/>
      <c r="AT74" s="437"/>
      <c r="AU74" s="437"/>
      <c r="AV74" s="437"/>
      <c r="AW74" s="437"/>
      <c r="AX74" s="436">
        <v>69</v>
      </c>
      <c r="AY74" s="490" t="s">
        <v>1221</v>
      </c>
      <c r="AZ74" s="490" t="s">
        <v>1222</v>
      </c>
      <c r="BA74" s="490" t="s">
        <v>1214</v>
      </c>
      <c r="BB74" s="490" t="s">
        <v>1127</v>
      </c>
      <c r="BC74" s="490" t="s">
        <v>1223</v>
      </c>
      <c r="BD74" s="490" t="s">
        <v>1106</v>
      </c>
      <c r="BE74" s="490" t="s">
        <v>1224</v>
      </c>
      <c r="BF74" s="490" t="s">
        <v>825</v>
      </c>
      <c r="BG74" s="490" t="s">
        <v>1225</v>
      </c>
      <c r="BH74" s="490" t="s">
        <v>1226</v>
      </c>
      <c r="BI74" s="490" t="s">
        <v>1227</v>
      </c>
      <c r="BJ74" s="490" t="s">
        <v>1228</v>
      </c>
      <c r="BK74" s="437"/>
      <c r="BL74" s="437"/>
      <c r="BM74" s="437"/>
      <c r="BN74" s="437"/>
      <c r="BO74" s="437"/>
      <c r="BP74" s="437"/>
    </row>
    <row r="75" spans="1:68">
      <c r="A75" s="437">
        <v>9</v>
      </c>
      <c r="B75" s="437">
        <v>39</v>
      </c>
      <c r="C75" s="437">
        <v>11</v>
      </c>
      <c r="D75" s="437">
        <v>20</v>
      </c>
      <c r="E75" s="437">
        <v>30</v>
      </c>
      <c r="F75" s="437">
        <v>31</v>
      </c>
      <c r="G75" s="437">
        <v>3</v>
      </c>
      <c r="H75" s="437">
        <v>12</v>
      </c>
      <c r="I75" s="437">
        <v>29</v>
      </c>
      <c r="J75" s="437">
        <v>21</v>
      </c>
      <c r="K75" s="437">
        <v>18</v>
      </c>
      <c r="L75" s="437">
        <v>22</v>
      </c>
      <c r="M75" s="437">
        <v>4</v>
      </c>
      <c r="N75" s="437">
        <v>29</v>
      </c>
      <c r="O75" s="437">
        <v>12</v>
      </c>
      <c r="P75" s="437">
        <v>21</v>
      </c>
      <c r="Q75" s="437">
        <v>38</v>
      </c>
      <c r="R75" s="437">
        <v>21</v>
      </c>
      <c r="S75" s="437">
        <v>3</v>
      </c>
      <c r="T75" s="437">
        <v>17</v>
      </c>
      <c r="U75" s="437">
        <v>5</v>
      </c>
      <c r="V75" s="437">
        <v>19</v>
      </c>
      <c r="W75" s="437">
        <v>27</v>
      </c>
      <c r="X75" s="437">
        <v>40</v>
      </c>
      <c r="Y75" s="437">
        <v>35</v>
      </c>
      <c r="Z75" s="437">
        <v>8</v>
      </c>
      <c r="AA75" s="437">
        <v>13</v>
      </c>
      <c r="AB75" s="437">
        <v>14</v>
      </c>
      <c r="AC75" s="437"/>
      <c r="AD75" s="437"/>
      <c r="AE75" s="437"/>
      <c r="AF75" s="437"/>
      <c r="AG75" s="437"/>
      <c r="AH75" s="437"/>
      <c r="AI75" s="437"/>
      <c r="AJ75" s="437"/>
      <c r="AK75" s="436"/>
      <c r="AL75" s="436"/>
      <c r="AM75" s="437"/>
      <c r="AN75" s="437"/>
      <c r="AO75" s="437"/>
      <c r="AP75" s="437"/>
      <c r="AQ75" s="437"/>
      <c r="AR75" s="437"/>
      <c r="AS75" s="437"/>
      <c r="AT75" s="437"/>
      <c r="AU75" s="437"/>
      <c r="AV75" s="437"/>
      <c r="AW75" s="437"/>
      <c r="AX75" s="436">
        <v>70</v>
      </c>
      <c r="AY75" s="490" t="s">
        <v>1229</v>
      </c>
      <c r="AZ75" s="490" t="s">
        <v>1230</v>
      </c>
      <c r="BA75" s="490" t="s">
        <v>1222</v>
      </c>
      <c r="BB75" s="490" t="s">
        <v>1231</v>
      </c>
      <c r="BC75" s="490" t="s">
        <v>1232</v>
      </c>
      <c r="BD75" s="490" t="s">
        <v>1233</v>
      </c>
      <c r="BE75" s="490" t="s">
        <v>1234</v>
      </c>
      <c r="BF75" s="490" t="s">
        <v>680</v>
      </c>
      <c r="BG75" s="490" t="s">
        <v>1235</v>
      </c>
      <c r="BH75" s="490" t="s">
        <v>1236</v>
      </c>
      <c r="BI75" s="490" t="s">
        <v>1237</v>
      </c>
      <c r="BJ75" s="490" t="s">
        <v>1238</v>
      </c>
      <c r="BK75" s="437"/>
      <c r="BL75" s="437"/>
      <c r="BM75" s="437"/>
      <c r="BN75" s="437"/>
      <c r="BO75" s="437"/>
      <c r="BP75" s="437"/>
    </row>
    <row r="76" spans="1:68">
      <c r="A76" s="437">
        <v>10</v>
      </c>
      <c r="B76" s="437">
        <v>1</v>
      </c>
      <c r="C76" s="437">
        <v>39</v>
      </c>
      <c r="D76" s="437">
        <v>30</v>
      </c>
      <c r="E76" s="437">
        <v>11</v>
      </c>
      <c r="F76" s="437">
        <v>5</v>
      </c>
      <c r="G76" s="437">
        <v>28</v>
      </c>
      <c r="H76" s="437">
        <v>3</v>
      </c>
      <c r="I76" s="437">
        <v>38</v>
      </c>
      <c r="J76" s="437">
        <v>9</v>
      </c>
      <c r="K76" s="437">
        <v>11</v>
      </c>
      <c r="L76" s="437">
        <v>13</v>
      </c>
      <c r="M76" s="437">
        <v>22</v>
      </c>
      <c r="N76" s="437">
        <v>38</v>
      </c>
      <c r="O76" s="437">
        <v>17</v>
      </c>
      <c r="P76" s="437">
        <v>33</v>
      </c>
      <c r="Q76" s="437">
        <v>16</v>
      </c>
      <c r="R76" s="437">
        <v>9</v>
      </c>
      <c r="S76" s="437">
        <v>9</v>
      </c>
      <c r="T76" s="437">
        <v>31</v>
      </c>
      <c r="U76" s="437">
        <v>29</v>
      </c>
      <c r="V76" s="437">
        <v>12</v>
      </c>
      <c r="W76" s="437">
        <v>19</v>
      </c>
      <c r="X76" s="437">
        <v>34</v>
      </c>
      <c r="Y76" s="437">
        <v>27</v>
      </c>
      <c r="Z76" s="437">
        <v>35</v>
      </c>
      <c r="AA76" s="437">
        <v>25</v>
      </c>
      <c r="AB76" s="437">
        <v>34</v>
      </c>
      <c r="AC76" s="437"/>
      <c r="AD76" s="437"/>
      <c r="AE76" s="437"/>
      <c r="AF76" s="437"/>
      <c r="AG76" s="437"/>
      <c r="AH76" s="437"/>
      <c r="AI76" s="437"/>
      <c r="AJ76" s="437"/>
      <c r="AK76" s="436"/>
      <c r="AL76" s="437"/>
      <c r="AM76" s="437"/>
      <c r="AN76" s="437"/>
      <c r="AO76" s="437"/>
      <c r="AP76" s="437"/>
      <c r="AQ76" s="437"/>
      <c r="AR76" s="437"/>
      <c r="AS76" s="437"/>
      <c r="AT76" s="437"/>
      <c r="AU76" s="437"/>
      <c r="AV76" s="437"/>
      <c r="AW76" s="437"/>
      <c r="AX76" s="436">
        <v>71</v>
      </c>
      <c r="AY76" s="490" t="s">
        <v>1239</v>
      </c>
      <c r="AZ76" s="490" t="s">
        <v>1240</v>
      </c>
      <c r="BA76" s="490" t="s">
        <v>1241</v>
      </c>
      <c r="BB76" s="490" t="s">
        <v>1242</v>
      </c>
      <c r="BC76" s="490" t="s">
        <v>1243</v>
      </c>
      <c r="BD76" s="490" t="s">
        <v>1244</v>
      </c>
      <c r="BE76" s="490" t="s">
        <v>1245</v>
      </c>
      <c r="BF76" s="490" t="s">
        <v>1246</v>
      </c>
      <c r="BG76" s="490" t="s">
        <v>1247</v>
      </c>
      <c r="BH76" s="490" t="s">
        <v>1248</v>
      </c>
      <c r="BI76" s="490" t="s">
        <v>1249</v>
      </c>
      <c r="BJ76" s="490" t="s">
        <v>1250</v>
      </c>
      <c r="BK76" s="437"/>
      <c r="BL76" s="437"/>
      <c r="BM76" s="437"/>
      <c r="BN76" s="437"/>
      <c r="BO76" s="437"/>
      <c r="BP76" s="437"/>
    </row>
    <row r="77" spans="1:68">
      <c r="A77" s="437">
        <v>11</v>
      </c>
      <c r="B77" s="437">
        <v>32</v>
      </c>
      <c r="C77" s="437">
        <v>1</v>
      </c>
      <c r="D77" s="437">
        <v>39</v>
      </c>
      <c r="E77" s="437">
        <v>18</v>
      </c>
      <c r="F77" s="437">
        <v>29</v>
      </c>
      <c r="G77" s="437">
        <v>9</v>
      </c>
      <c r="H77" s="437">
        <v>28</v>
      </c>
      <c r="I77" s="437">
        <v>16</v>
      </c>
      <c r="J77" s="437">
        <v>33</v>
      </c>
      <c r="K77" s="437">
        <v>39</v>
      </c>
      <c r="L77" s="437">
        <v>25</v>
      </c>
      <c r="M77" s="437">
        <v>13</v>
      </c>
      <c r="N77" s="437">
        <v>16</v>
      </c>
      <c r="O77" s="437">
        <v>10</v>
      </c>
      <c r="P77" s="437">
        <v>5</v>
      </c>
      <c r="Q77" s="437">
        <v>20</v>
      </c>
      <c r="R77" s="437">
        <v>33</v>
      </c>
      <c r="S77" s="437">
        <v>28</v>
      </c>
      <c r="T77" s="437">
        <v>10</v>
      </c>
      <c r="U77" s="437">
        <v>38</v>
      </c>
      <c r="V77" s="437">
        <v>9</v>
      </c>
      <c r="W77" s="437">
        <v>12</v>
      </c>
      <c r="X77" s="437">
        <v>6</v>
      </c>
      <c r="Y77" s="437">
        <v>19</v>
      </c>
      <c r="Z77" s="437">
        <v>27</v>
      </c>
      <c r="AA77" s="437">
        <v>8</v>
      </c>
      <c r="AB77" s="437">
        <v>6</v>
      </c>
      <c r="AC77" s="437"/>
      <c r="AD77" s="437"/>
      <c r="AE77" s="437"/>
      <c r="AF77" s="437"/>
      <c r="AG77" s="437"/>
      <c r="AH77" s="437"/>
      <c r="AI77" s="437"/>
      <c r="AJ77" s="437"/>
      <c r="AK77" s="437"/>
      <c r="AL77" s="437"/>
      <c r="AM77" s="437"/>
      <c r="AN77" s="437"/>
      <c r="AO77" s="437"/>
      <c r="AP77" s="437"/>
      <c r="AQ77" s="437"/>
      <c r="AR77" s="437"/>
      <c r="AS77" s="437"/>
      <c r="AT77" s="437"/>
      <c r="AU77" s="437"/>
      <c r="AV77" s="437"/>
      <c r="AW77" s="437"/>
      <c r="AX77" s="436">
        <v>72</v>
      </c>
      <c r="AY77" s="490" t="s">
        <v>1251</v>
      </c>
      <c r="AZ77" s="490" t="s">
        <v>1252</v>
      </c>
      <c r="BA77" s="490" t="s">
        <v>1240</v>
      </c>
      <c r="BB77" s="490" t="s">
        <v>1253</v>
      </c>
      <c r="BC77" s="490" t="s">
        <v>1254</v>
      </c>
      <c r="BD77" s="490" t="s">
        <v>1255</v>
      </c>
      <c r="BE77" s="490" t="s">
        <v>772</v>
      </c>
      <c r="BF77" s="490" t="s">
        <v>1256</v>
      </c>
      <c r="BG77" s="490" t="s">
        <v>1257</v>
      </c>
      <c r="BH77" s="490" t="s">
        <v>1258</v>
      </c>
      <c r="BI77" s="490" t="s">
        <v>1259</v>
      </c>
      <c r="BJ77" s="490" t="s">
        <v>1260</v>
      </c>
      <c r="BK77" s="437"/>
      <c r="BL77" s="437"/>
      <c r="BM77" s="437"/>
      <c r="BN77" s="437"/>
      <c r="BO77" s="437"/>
      <c r="BP77" s="437"/>
    </row>
    <row r="78" spans="1:68">
      <c r="A78" s="437">
        <v>12</v>
      </c>
      <c r="B78" s="437">
        <v>7</v>
      </c>
      <c r="C78" s="437">
        <v>32</v>
      </c>
      <c r="D78" s="437">
        <v>18</v>
      </c>
      <c r="E78" s="437">
        <v>39</v>
      </c>
      <c r="F78" s="437">
        <v>38</v>
      </c>
      <c r="G78" s="437">
        <v>21</v>
      </c>
      <c r="H78" s="437">
        <v>9</v>
      </c>
      <c r="I78" s="437">
        <v>20</v>
      </c>
      <c r="J78" s="437">
        <v>17</v>
      </c>
      <c r="K78" s="437">
        <v>1</v>
      </c>
      <c r="L78" s="437">
        <v>8</v>
      </c>
      <c r="M78" s="437">
        <v>25</v>
      </c>
      <c r="N78" s="437">
        <v>20</v>
      </c>
      <c r="O78" s="437">
        <v>31</v>
      </c>
      <c r="P78" s="437">
        <v>17</v>
      </c>
      <c r="Q78" s="437">
        <v>30</v>
      </c>
      <c r="R78" s="437">
        <v>17</v>
      </c>
      <c r="S78" s="437">
        <v>21</v>
      </c>
      <c r="T78" s="437">
        <v>5</v>
      </c>
      <c r="U78" s="437">
        <v>16</v>
      </c>
      <c r="V78" s="437">
        <v>28</v>
      </c>
      <c r="W78" s="437">
        <v>3</v>
      </c>
      <c r="X78" s="437">
        <v>15</v>
      </c>
      <c r="Y78" s="437">
        <v>3</v>
      </c>
      <c r="Z78" s="437">
        <v>28</v>
      </c>
      <c r="AA78" s="437">
        <v>35</v>
      </c>
      <c r="AB78" s="437">
        <v>18</v>
      </c>
      <c r="AC78" s="437"/>
      <c r="AD78" s="437"/>
      <c r="AE78" s="437"/>
      <c r="AF78" s="437"/>
      <c r="AG78" s="437"/>
      <c r="AH78" s="437"/>
      <c r="AI78" s="437"/>
      <c r="AJ78" s="437"/>
      <c r="AK78" s="436"/>
      <c r="AL78" s="437"/>
      <c r="AM78" s="437"/>
      <c r="AN78" s="437"/>
      <c r="AO78" s="437"/>
      <c r="AP78" s="437"/>
      <c r="AQ78" s="437"/>
      <c r="AR78" s="437"/>
      <c r="AS78" s="437"/>
      <c r="AT78" s="437"/>
      <c r="AU78" s="437"/>
      <c r="AV78" s="437"/>
      <c r="AW78" s="437"/>
      <c r="AX78" s="436">
        <v>73</v>
      </c>
      <c r="AY78" s="490" t="s">
        <v>1261</v>
      </c>
      <c r="AZ78" s="490" t="s">
        <v>1262</v>
      </c>
      <c r="BA78" s="490" t="s">
        <v>1263</v>
      </c>
      <c r="BB78" s="490" t="s">
        <v>1264</v>
      </c>
      <c r="BC78" s="490" t="s">
        <v>1265</v>
      </c>
      <c r="BD78" s="490" t="s">
        <v>1266</v>
      </c>
      <c r="BE78" s="490" t="s">
        <v>1246</v>
      </c>
      <c r="BF78" s="490" t="s">
        <v>866</v>
      </c>
      <c r="BG78" s="490" t="s">
        <v>1267</v>
      </c>
      <c r="BH78" s="490" t="s">
        <v>1268</v>
      </c>
      <c r="BI78" s="490" t="s">
        <v>1269</v>
      </c>
      <c r="BJ78" s="490" t="s">
        <v>1270</v>
      </c>
      <c r="BK78" s="437"/>
      <c r="BL78" s="437"/>
      <c r="BM78" s="437"/>
      <c r="BN78" s="437"/>
      <c r="BO78" s="437"/>
      <c r="BP78" s="437"/>
    </row>
    <row r="79" spans="1:68">
      <c r="A79" s="437">
        <v>13</v>
      </c>
      <c r="B79" s="437">
        <v>23</v>
      </c>
      <c r="C79" s="437">
        <v>7</v>
      </c>
      <c r="D79" s="437">
        <v>11</v>
      </c>
      <c r="E79" s="437">
        <v>7</v>
      </c>
      <c r="F79" s="437">
        <v>16</v>
      </c>
      <c r="G79" s="437">
        <v>33</v>
      </c>
      <c r="H79" s="437">
        <v>21</v>
      </c>
      <c r="I79" s="437">
        <v>30</v>
      </c>
      <c r="J79" s="437">
        <v>10</v>
      </c>
      <c r="K79" s="437">
        <v>32</v>
      </c>
      <c r="L79" s="437">
        <v>35</v>
      </c>
      <c r="M79" s="437">
        <v>8</v>
      </c>
      <c r="N79" s="437">
        <v>30</v>
      </c>
      <c r="O79" s="437">
        <v>5</v>
      </c>
      <c r="P79" s="437">
        <v>10</v>
      </c>
      <c r="Q79" s="437">
        <v>18</v>
      </c>
      <c r="R79" s="437">
        <v>10</v>
      </c>
      <c r="S79" s="437">
        <v>33</v>
      </c>
      <c r="T79" s="437">
        <v>29</v>
      </c>
      <c r="U79" s="437">
        <v>30</v>
      </c>
      <c r="V79" s="437">
        <v>21</v>
      </c>
      <c r="W79" s="437">
        <v>28</v>
      </c>
      <c r="X79" s="437">
        <v>36</v>
      </c>
      <c r="Y79" s="437">
        <v>12</v>
      </c>
      <c r="Z79" s="437">
        <v>19</v>
      </c>
      <c r="AA79" s="437">
        <v>27</v>
      </c>
      <c r="AB79" s="437">
        <v>11</v>
      </c>
      <c r="AC79" s="437"/>
      <c r="AD79" s="437"/>
      <c r="AE79" s="437"/>
      <c r="AF79" s="437"/>
      <c r="AG79" s="437"/>
      <c r="AH79" s="437"/>
      <c r="AI79" s="437"/>
      <c r="AJ79" s="437"/>
      <c r="AK79" s="436"/>
      <c r="AL79" s="436"/>
      <c r="AM79" s="437"/>
      <c r="AN79" s="437"/>
      <c r="AO79" s="437"/>
      <c r="AP79" s="437"/>
      <c r="AQ79" s="437"/>
      <c r="AR79" s="437"/>
      <c r="AS79" s="437"/>
      <c r="AT79" s="437"/>
      <c r="AU79" s="437"/>
      <c r="AV79" s="437"/>
      <c r="AW79" s="437"/>
      <c r="AX79" s="436">
        <v>74</v>
      </c>
      <c r="AY79" s="490" t="s">
        <v>1271</v>
      </c>
      <c r="AZ79" s="490" t="s">
        <v>1272</v>
      </c>
      <c r="BA79" s="490" t="s">
        <v>1273</v>
      </c>
      <c r="BB79" s="490" t="s">
        <v>1274</v>
      </c>
      <c r="BC79" s="490" t="s">
        <v>1275</v>
      </c>
      <c r="BD79" s="490" t="s">
        <v>1276</v>
      </c>
      <c r="BE79" s="490" t="s">
        <v>1277</v>
      </c>
      <c r="BF79" s="490" t="s">
        <v>1278</v>
      </c>
      <c r="BG79" s="490" t="s">
        <v>1279</v>
      </c>
      <c r="BH79" s="490" t="s">
        <v>370</v>
      </c>
      <c r="BI79" s="490" t="s">
        <v>1280</v>
      </c>
      <c r="BJ79" s="490" t="s">
        <v>1281</v>
      </c>
      <c r="BK79" s="437"/>
      <c r="BL79" s="437"/>
      <c r="BM79" s="437"/>
      <c r="BN79" s="437"/>
      <c r="BO79" s="437"/>
      <c r="BP79" s="437"/>
    </row>
    <row r="80" spans="1:68">
      <c r="A80" s="437">
        <v>14</v>
      </c>
      <c r="B80" s="437">
        <v>37</v>
      </c>
      <c r="C80" s="437">
        <v>23</v>
      </c>
      <c r="D80" s="437">
        <v>1</v>
      </c>
      <c r="E80" s="437">
        <v>32</v>
      </c>
      <c r="F80" s="437">
        <v>20</v>
      </c>
      <c r="G80" s="437">
        <v>17</v>
      </c>
      <c r="H80" s="437">
        <v>33</v>
      </c>
      <c r="I80" s="437">
        <v>18</v>
      </c>
      <c r="J80" s="437">
        <v>31</v>
      </c>
      <c r="K80" s="437">
        <v>7</v>
      </c>
      <c r="L80" s="437">
        <v>27</v>
      </c>
      <c r="M80" s="437">
        <v>35</v>
      </c>
      <c r="N80" s="437">
        <v>18</v>
      </c>
      <c r="O80" s="437">
        <v>29</v>
      </c>
      <c r="P80" s="437">
        <v>31</v>
      </c>
      <c r="Q80" s="437">
        <v>11</v>
      </c>
      <c r="R80" s="437">
        <v>31</v>
      </c>
      <c r="S80" s="437">
        <v>17</v>
      </c>
      <c r="T80" s="437">
        <v>38</v>
      </c>
      <c r="U80" s="437">
        <v>20</v>
      </c>
      <c r="V80" s="437">
        <v>3</v>
      </c>
      <c r="W80" s="437">
        <v>9</v>
      </c>
      <c r="X80" s="437">
        <v>4</v>
      </c>
      <c r="Y80" s="437">
        <v>28</v>
      </c>
      <c r="Z80" s="437">
        <v>3</v>
      </c>
      <c r="AA80" s="437">
        <v>19</v>
      </c>
      <c r="AB80" s="437">
        <v>39</v>
      </c>
      <c r="AC80" s="437"/>
      <c r="AD80" s="437"/>
      <c r="AE80" s="437"/>
      <c r="AF80" s="437"/>
      <c r="AG80" s="437"/>
      <c r="AH80" s="437"/>
      <c r="AI80" s="437"/>
      <c r="AJ80" s="437"/>
      <c r="AK80" s="436"/>
      <c r="AL80" s="437"/>
      <c r="AM80" s="437"/>
      <c r="AN80" s="437"/>
      <c r="AO80" s="437"/>
      <c r="AP80" s="437"/>
      <c r="AQ80" s="437"/>
      <c r="AR80" s="437"/>
      <c r="AS80" s="437"/>
      <c r="AT80" s="437"/>
      <c r="AU80" s="437"/>
      <c r="AV80" s="437"/>
      <c r="AW80" s="437"/>
      <c r="AX80" s="436">
        <v>75</v>
      </c>
      <c r="AY80" s="490" t="s">
        <v>1282</v>
      </c>
      <c r="AZ80" s="490" t="s">
        <v>1283</v>
      </c>
      <c r="BA80" s="490" t="s">
        <v>1284</v>
      </c>
      <c r="BB80" s="490" t="s">
        <v>1285</v>
      </c>
      <c r="BC80" s="490" t="s">
        <v>1286</v>
      </c>
      <c r="BD80" s="490" t="s">
        <v>1287</v>
      </c>
      <c r="BE80" s="490" t="s">
        <v>1288</v>
      </c>
      <c r="BF80" s="490" t="s">
        <v>1289</v>
      </c>
      <c r="BG80" s="490" t="s">
        <v>1290</v>
      </c>
      <c r="BH80" s="490" t="s">
        <v>1291</v>
      </c>
      <c r="BI80" s="490" t="s">
        <v>1292</v>
      </c>
      <c r="BJ80" s="490" t="s">
        <v>1293</v>
      </c>
      <c r="BK80" s="437"/>
      <c r="BL80" s="437"/>
      <c r="BM80" s="437"/>
      <c r="BN80" s="437"/>
      <c r="BO80" s="437"/>
      <c r="BP80" s="437"/>
    </row>
    <row r="81" spans="1:68">
      <c r="A81" s="437">
        <v>15</v>
      </c>
      <c r="B81" s="437">
        <v>26</v>
      </c>
      <c r="C81" s="437">
        <v>37</v>
      </c>
      <c r="D81" s="437">
        <v>32</v>
      </c>
      <c r="E81" s="437">
        <v>23</v>
      </c>
      <c r="F81" s="437">
        <v>30</v>
      </c>
      <c r="G81" s="437">
        <v>10</v>
      </c>
      <c r="H81" s="437">
        <v>17</v>
      </c>
      <c r="I81" s="437">
        <v>11</v>
      </c>
      <c r="J81" s="437">
        <v>5</v>
      </c>
      <c r="K81" s="437">
        <v>23</v>
      </c>
      <c r="L81" s="437">
        <v>19</v>
      </c>
      <c r="M81" s="437">
        <v>27</v>
      </c>
      <c r="N81" s="437">
        <v>11</v>
      </c>
      <c r="O81" s="437">
        <v>38</v>
      </c>
      <c r="P81" s="437">
        <v>29</v>
      </c>
      <c r="Q81" s="437">
        <v>39</v>
      </c>
      <c r="R81" s="437">
        <v>5</v>
      </c>
      <c r="S81" s="437">
        <v>10</v>
      </c>
      <c r="T81" s="437">
        <v>16</v>
      </c>
      <c r="U81" s="437">
        <v>18</v>
      </c>
      <c r="V81" s="437">
        <v>33</v>
      </c>
      <c r="W81" s="437">
        <v>21</v>
      </c>
      <c r="X81" s="437">
        <v>13</v>
      </c>
      <c r="Y81" s="437">
        <v>9</v>
      </c>
      <c r="Z81" s="437">
        <v>12</v>
      </c>
      <c r="AA81" s="437">
        <v>12</v>
      </c>
      <c r="AB81" s="437">
        <v>1</v>
      </c>
      <c r="AC81" s="437"/>
      <c r="AD81" s="437"/>
      <c r="AE81" s="437"/>
      <c r="AF81" s="437"/>
      <c r="AG81" s="437"/>
      <c r="AH81" s="437"/>
      <c r="AI81" s="437"/>
      <c r="AJ81" s="437"/>
      <c r="AK81" s="436"/>
      <c r="AL81" s="437"/>
      <c r="AM81" s="437"/>
      <c r="AN81" s="437"/>
      <c r="AO81" s="437"/>
      <c r="AP81" s="437"/>
      <c r="AQ81" s="437"/>
      <c r="AR81" s="437"/>
      <c r="AS81" s="437"/>
      <c r="AT81" s="437"/>
      <c r="AU81" s="437"/>
      <c r="AV81" s="437"/>
      <c r="AW81" s="437"/>
      <c r="AX81" s="436">
        <v>76</v>
      </c>
      <c r="AY81" s="490" t="s">
        <v>1272</v>
      </c>
      <c r="AZ81" s="490" t="s">
        <v>1294</v>
      </c>
      <c r="BA81" s="490" t="s">
        <v>1283</v>
      </c>
      <c r="BB81" s="490" t="s">
        <v>1295</v>
      </c>
      <c r="BC81" s="490" t="s">
        <v>1296</v>
      </c>
      <c r="BD81" s="490" t="s">
        <v>1185</v>
      </c>
      <c r="BE81" s="490" t="s">
        <v>375</v>
      </c>
      <c r="BF81" s="490" t="s">
        <v>1297</v>
      </c>
      <c r="BG81" s="490" t="s">
        <v>1298</v>
      </c>
      <c r="BH81" s="490" t="s">
        <v>1299</v>
      </c>
      <c r="BI81" s="490" t="s">
        <v>1300</v>
      </c>
      <c r="BJ81" s="490" t="s">
        <v>1301</v>
      </c>
      <c r="BK81" s="437"/>
      <c r="BL81" s="437"/>
      <c r="BM81" s="437"/>
      <c r="BN81" s="437"/>
      <c r="BO81" s="437"/>
      <c r="BP81" s="437"/>
    </row>
    <row r="82" spans="1:68">
      <c r="A82" s="437">
        <v>16</v>
      </c>
      <c r="B82" s="437">
        <v>33</v>
      </c>
      <c r="C82" s="437">
        <v>21</v>
      </c>
      <c r="D82" s="437">
        <v>3</v>
      </c>
      <c r="E82" s="437">
        <v>28</v>
      </c>
      <c r="F82" s="437">
        <v>8</v>
      </c>
      <c r="G82" s="437">
        <v>6</v>
      </c>
      <c r="H82" s="437">
        <v>34</v>
      </c>
      <c r="I82" s="437">
        <v>27</v>
      </c>
      <c r="J82" s="437">
        <v>15</v>
      </c>
      <c r="K82" s="437">
        <v>3</v>
      </c>
      <c r="L82" s="437">
        <v>23</v>
      </c>
      <c r="M82" s="437">
        <v>7</v>
      </c>
      <c r="N82" s="437">
        <v>27</v>
      </c>
      <c r="O82" s="437">
        <v>22</v>
      </c>
      <c r="P82" s="437">
        <v>36</v>
      </c>
      <c r="Q82" s="437">
        <v>19</v>
      </c>
      <c r="R82" s="437">
        <v>36</v>
      </c>
      <c r="S82" s="437">
        <v>36</v>
      </c>
      <c r="T82" s="437">
        <v>13</v>
      </c>
      <c r="U82" s="437">
        <v>35</v>
      </c>
      <c r="V82" s="437">
        <v>40</v>
      </c>
      <c r="W82" s="437">
        <v>14</v>
      </c>
      <c r="X82" s="437">
        <v>18</v>
      </c>
      <c r="Y82" s="437">
        <v>24</v>
      </c>
      <c r="Z82" s="437">
        <v>2</v>
      </c>
      <c r="AA82" s="437">
        <v>37</v>
      </c>
      <c r="AB82" s="437">
        <v>32</v>
      </c>
      <c r="AC82" s="437"/>
      <c r="AD82" s="437"/>
      <c r="AE82" s="437"/>
      <c r="AF82" s="437"/>
      <c r="AG82" s="437"/>
      <c r="AH82" s="437"/>
      <c r="AI82" s="437"/>
      <c r="AJ82" s="437"/>
      <c r="AK82" s="437"/>
      <c r="AL82" s="437"/>
      <c r="AM82" s="437"/>
      <c r="AN82" s="437"/>
      <c r="AO82" s="437"/>
      <c r="AP82" s="437"/>
      <c r="AQ82" s="437"/>
      <c r="AR82" s="437"/>
      <c r="AS82" s="437"/>
      <c r="AT82" s="437"/>
      <c r="AU82" s="437"/>
      <c r="AV82" s="437"/>
      <c r="AW82" s="437"/>
      <c r="AX82" s="436">
        <v>77</v>
      </c>
      <c r="AY82" s="490" t="s">
        <v>1302</v>
      </c>
      <c r="AZ82" s="490" t="s">
        <v>1303</v>
      </c>
      <c r="BA82" s="490" t="s">
        <v>1304</v>
      </c>
      <c r="BB82" s="490" t="s">
        <v>376</v>
      </c>
      <c r="BC82" s="490" t="s">
        <v>1305</v>
      </c>
      <c r="BD82" s="490" t="s">
        <v>1306</v>
      </c>
      <c r="BE82" s="490" t="s">
        <v>805</v>
      </c>
      <c r="BF82" s="490" t="s">
        <v>377</v>
      </c>
      <c r="BG82" s="490" t="s">
        <v>1307</v>
      </c>
      <c r="BH82" s="490" t="s">
        <v>458</v>
      </c>
      <c r="BI82" s="490" t="s">
        <v>1308</v>
      </c>
      <c r="BJ82" s="490" t="s">
        <v>1309</v>
      </c>
      <c r="BK82" s="437"/>
      <c r="BL82" s="437"/>
      <c r="BM82" s="437"/>
      <c r="BN82" s="437"/>
      <c r="BO82" s="437"/>
      <c r="BP82" s="437"/>
    </row>
    <row r="83" spans="1:68">
      <c r="A83" s="437">
        <v>17</v>
      </c>
      <c r="B83" s="437">
        <v>10</v>
      </c>
      <c r="C83" s="437">
        <v>33</v>
      </c>
      <c r="D83" s="437">
        <v>28</v>
      </c>
      <c r="E83" s="437">
        <v>9</v>
      </c>
      <c r="F83" s="437">
        <v>35</v>
      </c>
      <c r="G83" s="437">
        <v>15</v>
      </c>
      <c r="H83" s="437">
        <v>6</v>
      </c>
      <c r="I83" s="437">
        <v>19</v>
      </c>
      <c r="J83" s="437">
        <v>36</v>
      </c>
      <c r="K83" s="437">
        <v>21</v>
      </c>
      <c r="L83" s="437">
        <v>37</v>
      </c>
      <c r="M83" s="437">
        <v>37</v>
      </c>
      <c r="N83" s="437">
        <v>19</v>
      </c>
      <c r="O83" s="437">
        <v>13</v>
      </c>
      <c r="P83" s="437">
        <v>22</v>
      </c>
      <c r="Q83" s="437">
        <v>12</v>
      </c>
      <c r="R83" s="437">
        <v>4</v>
      </c>
      <c r="S83" s="437">
        <v>6</v>
      </c>
      <c r="T83" s="437">
        <v>25</v>
      </c>
      <c r="U83" s="437">
        <v>27</v>
      </c>
      <c r="V83" s="437">
        <v>6</v>
      </c>
      <c r="W83" s="437">
        <v>40</v>
      </c>
      <c r="X83" s="437">
        <v>11</v>
      </c>
      <c r="Y83" s="437">
        <v>14</v>
      </c>
      <c r="Z83" s="437">
        <v>24</v>
      </c>
      <c r="AA83" s="437">
        <v>26</v>
      </c>
      <c r="AB83" s="437">
        <v>7</v>
      </c>
      <c r="AC83" s="437"/>
      <c r="AD83" s="437"/>
      <c r="AE83" s="437"/>
      <c r="AF83" s="437"/>
      <c r="AG83" s="437"/>
      <c r="AH83" s="437"/>
      <c r="AI83" s="437"/>
      <c r="AJ83" s="437"/>
      <c r="AK83" s="436"/>
      <c r="AL83" s="437"/>
      <c r="AM83" s="437"/>
      <c r="AN83" s="437"/>
      <c r="AO83" s="437"/>
      <c r="AP83" s="437"/>
      <c r="AQ83" s="437"/>
      <c r="AR83" s="437"/>
      <c r="AS83" s="437"/>
      <c r="AT83" s="437"/>
      <c r="AU83" s="437"/>
      <c r="AV83" s="437"/>
      <c r="AW83" s="437"/>
      <c r="AX83" s="436">
        <v>78</v>
      </c>
      <c r="AY83" s="490" t="s">
        <v>1310</v>
      </c>
      <c r="AZ83" s="490" t="s">
        <v>1311</v>
      </c>
      <c r="BA83" s="490" t="s">
        <v>378</v>
      </c>
      <c r="BB83" s="490" t="s">
        <v>1312</v>
      </c>
      <c r="BC83" s="490" t="s">
        <v>1313</v>
      </c>
      <c r="BD83" s="490" t="s">
        <v>1314</v>
      </c>
      <c r="BE83" s="490" t="s">
        <v>1315</v>
      </c>
      <c r="BF83" s="490" t="s">
        <v>1316</v>
      </c>
      <c r="BG83" s="490" t="s">
        <v>379</v>
      </c>
      <c r="BH83" s="490" t="s">
        <v>1317</v>
      </c>
      <c r="BI83" s="490" t="s">
        <v>1318</v>
      </c>
      <c r="BJ83" s="490" t="s">
        <v>1319</v>
      </c>
      <c r="BK83" s="437"/>
      <c r="BL83" s="437"/>
      <c r="BM83" s="437"/>
      <c r="BN83" s="437"/>
      <c r="BO83" s="437"/>
      <c r="BP83" s="437"/>
    </row>
    <row r="84" spans="1:68">
      <c r="A84" s="437">
        <v>18</v>
      </c>
      <c r="B84" s="437">
        <v>17</v>
      </c>
      <c r="C84" s="437">
        <v>17</v>
      </c>
      <c r="D84" s="437">
        <v>9</v>
      </c>
      <c r="E84" s="437">
        <v>21</v>
      </c>
      <c r="F84" s="437">
        <v>27</v>
      </c>
      <c r="G84" s="437">
        <v>36</v>
      </c>
      <c r="H84" s="437">
        <v>15</v>
      </c>
      <c r="I84" s="437">
        <v>12</v>
      </c>
      <c r="J84" s="437">
        <v>22</v>
      </c>
      <c r="K84" s="437">
        <v>33</v>
      </c>
      <c r="L84" s="437">
        <v>26</v>
      </c>
      <c r="M84" s="437">
        <v>23</v>
      </c>
      <c r="N84" s="437">
        <v>12</v>
      </c>
      <c r="O84" s="437">
        <v>25</v>
      </c>
      <c r="P84" s="437">
        <v>13</v>
      </c>
      <c r="Q84" s="437">
        <v>3</v>
      </c>
      <c r="R84" s="437">
        <v>22</v>
      </c>
      <c r="S84" s="437">
        <v>15</v>
      </c>
      <c r="T84" s="437">
        <v>8</v>
      </c>
      <c r="U84" s="437">
        <v>19</v>
      </c>
      <c r="V84" s="437">
        <v>34</v>
      </c>
      <c r="W84" s="437">
        <v>34</v>
      </c>
      <c r="X84" s="437">
        <v>39</v>
      </c>
      <c r="Y84" s="437">
        <v>40</v>
      </c>
      <c r="Z84" s="437">
        <v>14</v>
      </c>
      <c r="AA84" s="437">
        <v>2</v>
      </c>
      <c r="AB84" s="437">
        <v>23</v>
      </c>
      <c r="AC84" s="437"/>
      <c r="AD84" s="437"/>
      <c r="AE84" s="437"/>
      <c r="AF84" s="437"/>
      <c r="AG84" s="437"/>
      <c r="AH84" s="437"/>
      <c r="AI84" s="437"/>
      <c r="AJ84" s="437"/>
      <c r="AK84" s="436"/>
      <c r="AL84" s="437"/>
      <c r="AM84" s="437"/>
      <c r="AN84" s="437"/>
      <c r="AO84" s="437"/>
      <c r="AP84" s="437"/>
      <c r="AQ84" s="437"/>
      <c r="AR84" s="437"/>
      <c r="AS84" s="437"/>
      <c r="AT84" s="437"/>
      <c r="AU84" s="437"/>
      <c r="AV84" s="437"/>
      <c r="AW84" s="437"/>
      <c r="AX84" s="436">
        <v>79</v>
      </c>
      <c r="AY84" s="490" t="s">
        <v>1320</v>
      </c>
      <c r="AZ84" s="490" t="s">
        <v>1321</v>
      </c>
      <c r="BA84" s="490" t="s">
        <v>1311</v>
      </c>
      <c r="BB84" s="490" t="s">
        <v>1222</v>
      </c>
      <c r="BC84" s="490" t="s">
        <v>1322</v>
      </c>
      <c r="BD84" s="490" t="s">
        <v>1323</v>
      </c>
      <c r="BE84" s="490" t="s">
        <v>380</v>
      </c>
      <c r="BF84" s="490" t="s">
        <v>1324</v>
      </c>
      <c r="BG84" s="490" t="s">
        <v>1325</v>
      </c>
      <c r="BH84" s="490" t="s">
        <v>1326</v>
      </c>
      <c r="BI84" s="490" t="s">
        <v>1327</v>
      </c>
      <c r="BJ84" s="490" t="s">
        <v>1328</v>
      </c>
      <c r="BK84" s="437"/>
      <c r="BL84" s="437"/>
      <c r="BM84" s="437"/>
      <c r="BN84" s="437"/>
      <c r="BO84" s="437"/>
      <c r="BP84" s="437"/>
    </row>
    <row r="85" spans="1:68">
      <c r="A85" s="437">
        <v>19</v>
      </c>
      <c r="B85" s="437">
        <v>31</v>
      </c>
      <c r="C85" s="437">
        <v>10</v>
      </c>
      <c r="D85" s="437">
        <v>33</v>
      </c>
      <c r="E85" s="437">
        <v>33</v>
      </c>
      <c r="F85" s="437">
        <v>12</v>
      </c>
      <c r="G85" s="437">
        <v>22</v>
      </c>
      <c r="H85" s="437">
        <v>36</v>
      </c>
      <c r="I85" s="437">
        <v>3</v>
      </c>
      <c r="J85" s="437">
        <v>13</v>
      </c>
      <c r="K85" s="437">
        <v>17</v>
      </c>
      <c r="L85" s="437">
        <v>2</v>
      </c>
      <c r="M85" s="437">
        <v>26</v>
      </c>
      <c r="N85" s="437">
        <v>3</v>
      </c>
      <c r="O85" s="437">
        <v>8</v>
      </c>
      <c r="P85" s="437">
        <v>8</v>
      </c>
      <c r="Q85" s="437">
        <v>28</v>
      </c>
      <c r="R85" s="437">
        <v>25</v>
      </c>
      <c r="S85" s="437">
        <v>4</v>
      </c>
      <c r="T85" s="437">
        <v>35</v>
      </c>
      <c r="U85" s="437">
        <v>12</v>
      </c>
      <c r="V85" s="437">
        <v>15</v>
      </c>
      <c r="W85" s="437">
        <v>6</v>
      </c>
      <c r="X85" s="437">
        <v>1</v>
      </c>
      <c r="Y85" s="437">
        <v>34</v>
      </c>
      <c r="Z85" s="437">
        <v>40</v>
      </c>
      <c r="AA85" s="437">
        <v>24</v>
      </c>
      <c r="AB85" s="437">
        <v>37</v>
      </c>
      <c r="AC85" s="437"/>
      <c r="AD85" s="437"/>
      <c r="AE85" s="437"/>
      <c r="AF85" s="437"/>
      <c r="AG85" s="437"/>
      <c r="AH85" s="437"/>
      <c r="AI85" s="437"/>
      <c r="AJ85" s="437"/>
      <c r="AK85" s="436"/>
      <c r="AL85" s="437"/>
      <c r="AM85" s="437"/>
      <c r="AN85" s="437"/>
      <c r="AO85" s="437"/>
      <c r="AP85" s="437"/>
      <c r="AQ85" s="437"/>
      <c r="AR85" s="437"/>
      <c r="AS85" s="437"/>
      <c r="AT85" s="437"/>
      <c r="AU85" s="437"/>
      <c r="AV85" s="437"/>
      <c r="AW85" s="437"/>
      <c r="AX85" s="436">
        <v>80</v>
      </c>
      <c r="AY85" s="490" t="s">
        <v>1329</v>
      </c>
      <c r="AZ85" s="490" t="s">
        <v>1330</v>
      </c>
      <c r="BA85" s="490" t="s">
        <v>1321</v>
      </c>
      <c r="BB85" s="490" t="s">
        <v>1331</v>
      </c>
      <c r="BC85" s="490" t="s">
        <v>1332</v>
      </c>
      <c r="BD85" s="490" t="s">
        <v>1223</v>
      </c>
      <c r="BE85" s="490" t="s">
        <v>1333</v>
      </c>
      <c r="BF85" s="490" t="s">
        <v>1334</v>
      </c>
      <c r="BG85" s="490" t="s">
        <v>1335</v>
      </c>
      <c r="BH85" s="490" t="s">
        <v>1336</v>
      </c>
      <c r="BI85" s="490" t="s">
        <v>1337</v>
      </c>
      <c r="BJ85" s="490" t="s">
        <v>1338</v>
      </c>
      <c r="BK85" s="437"/>
      <c r="BL85" s="437"/>
      <c r="BM85" s="437"/>
      <c r="BN85" s="437"/>
      <c r="BO85" s="437"/>
      <c r="BP85" s="437"/>
    </row>
    <row r="86" spans="1:68">
      <c r="A86" s="437">
        <v>20</v>
      </c>
      <c r="B86" s="437">
        <v>5</v>
      </c>
      <c r="C86" s="437">
        <v>31</v>
      </c>
      <c r="D86" s="437">
        <v>21</v>
      </c>
      <c r="E86" s="437">
        <v>17</v>
      </c>
      <c r="F86" s="437">
        <v>19</v>
      </c>
      <c r="G86" s="437">
        <v>4</v>
      </c>
      <c r="H86" s="437">
        <v>4</v>
      </c>
      <c r="I86" s="437">
        <v>28</v>
      </c>
      <c r="J86" s="437">
        <v>25</v>
      </c>
      <c r="K86" s="437">
        <v>10</v>
      </c>
      <c r="L86" s="437">
        <v>24</v>
      </c>
      <c r="M86" s="437">
        <v>2</v>
      </c>
      <c r="N86" s="437">
        <v>28</v>
      </c>
      <c r="O86" s="437">
        <v>35</v>
      </c>
      <c r="P86" s="437">
        <v>25</v>
      </c>
      <c r="Q86" s="437">
        <v>21</v>
      </c>
      <c r="R86" s="437">
        <v>13</v>
      </c>
      <c r="S86" s="437">
        <v>22</v>
      </c>
      <c r="T86" s="437">
        <v>27</v>
      </c>
      <c r="U86" s="437">
        <v>3</v>
      </c>
      <c r="V86" s="437">
        <v>36</v>
      </c>
      <c r="W86" s="437">
        <v>15</v>
      </c>
      <c r="X86" s="437">
        <v>32</v>
      </c>
      <c r="Y86" s="437">
        <v>6</v>
      </c>
      <c r="Z86" s="437">
        <v>34</v>
      </c>
      <c r="AA86" s="437">
        <v>14</v>
      </c>
      <c r="AB86" s="437">
        <v>26</v>
      </c>
      <c r="AC86" s="437"/>
      <c r="AD86" s="437"/>
      <c r="AE86" s="437"/>
      <c r="AF86" s="437"/>
      <c r="AG86" s="437"/>
      <c r="AH86" s="437"/>
      <c r="AI86" s="437"/>
      <c r="AJ86" s="437"/>
      <c r="AK86" s="436"/>
      <c r="AL86" s="437"/>
      <c r="AM86" s="437"/>
      <c r="AN86" s="437"/>
      <c r="AO86" s="437"/>
      <c r="AP86" s="437"/>
      <c r="AQ86" s="437"/>
      <c r="AR86" s="437"/>
      <c r="AS86" s="437"/>
      <c r="AT86" s="437"/>
      <c r="AU86" s="437"/>
      <c r="AV86" s="437"/>
      <c r="AW86" s="437"/>
      <c r="AX86" s="436">
        <v>81</v>
      </c>
      <c r="AY86" s="490" t="s">
        <v>1339</v>
      </c>
      <c r="AZ86" s="490" t="s">
        <v>1340</v>
      </c>
      <c r="BA86" s="490" t="s">
        <v>1341</v>
      </c>
      <c r="BB86" s="490" t="s">
        <v>1342</v>
      </c>
      <c r="BC86" s="490" t="s">
        <v>1343</v>
      </c>
      <c r="BD86" s="490" t="s">
        <v>1344</v>
      </c>
      <c r="BE86" s="490" t="s">
        <v>1324</v>
      </c>
      <c r="BF86" s="490" t="s">
        <v>1345</v>
      </c>
      <c r="BG86" s="490" t="s">
        <v>1346</v>
      </c>
      <c r="BH86" s="490" t="s">
        <v>1347</v>
      </c>
      <c r="BI86" s="490" t="s">
        <v>1348</v>
      </c>
      <c r="BJ86" s="490" t="s">
        <v>1349</v>
      </c>
      <c r="BK86" s="437"/>
      <c r="BL86" s="437"/>
      <c r="BM86" s="437"/>
      <c r="BN86" s="437"/>
      <c r="BO86" s="437"/>
      <c r="BP86" s="437"/>
    </row>
    <row r="87" spans="1:68">
      <c r="A87" s="437">
        <v>21</v>
      </c>
      <c r="B87" s="437">
        <v>29</v>
      </c>
      <c r="C87" s="437">
        <v>5</v>
      </c>
      <c r="D87" s="437">
        <v>17</v>
      </c>
      <c r="E87" s="437">
        <v>10</v>
      </c>
      <c r="F87" s="437">
        <v>3</v>
      </c>
      <c r="G87" s="437">
        <v>13</v>
      </c>
      <c r="H87" s="437">
        <v>22</v>
      </c>
      <c r="I87" s="437">
        <v>17</v>
      </c>
      <c r="J87" s="437">
        <v>35</v>
      </c>
      <c r="K87" s="437">
        <v>31</v>
      </c>
      <c r="L87" s="437">
        <v>14</v>
      </c>
      <c r="M87" s="437">
        <v>24</v>
      </c>
      <c r="N87" s="437">
        <v>5</v>
      </c>
      <c r="O87" s="437">
        <v>27</v>
      </c>
      <c r="P87" s="437">
        <v>35</v>
      </c>
      <c r="Q87" s="437">
        <v>9</v>
      </c>
      <c r="R87" s="437">
        <v>8</v>
      </c>
      <c r="S87" s="437">
        <v>13</v>
      </c>
      <c r="T87" s="437">
        <v>19</v>
      </c>
      <c r="U87" s="437">
        <v>33</v>
      </c>
      <c r="V87" s="437">
        <v>22</v>
      </c>
      <c r="W87" s="437">
        <v>36</v>
      </c>
      <c r="X87" s="437">
        <v>7</v>
      </c>
      <c r="Y87" s="437">
        <v>15</v>
      </c>
      <c r="Z87" s="437">
        <v>6</v>
      </c>
      <c r="AA87" s="437">
        <v>34</v>
      </c>
      <c r="AB87" s="437">
        <v>2</v>
      </c>
      <c r="AC87" s="437"/>
      <c r="AD87" s="437"/>
      <c r="AE87" s="437"/>
      <c r="AF87" s="437"/>
      <c r="AG87" s="437"/>
      <c r="AH87" s="437"/>
      <c r="AI87" s="437"/>
      <c r="AJ87" s="437"/>
      <c r="AK87" s="436"/>
      <c r="AL87" s="437"/>
      <c r="AM87" s="437"/>
      <c r="AN87" s="437"/>
      <c r="AO87" s="437"/>
      <c r="AP87" s="437"/>
      <c r="AQ87" s="437"/>
      <c r="AR87" s="437"/>
      <c r="AS87" s="437"/>
      <c r="AT87" s="437"/>
      <c r="AU87" s="437"/>
      <c r="AV87" s="437"/>
      <c r="AW87" s="437"/>
      <c r="AX87" s="436">
        <v>82</v>
      </c>
      <c r="AY87" s="490" t="s">
        <v>1350</v>
      </c>
      <c r="AZ87" s="490" t="s">
        <v>1351</v>
      </c>
      <c r="BA87" s="490" t="s">
        <v>1352</v>
      </c>
      <c r="BB87" s="490" t="s">
        <v>1353</v>
      </c>
      <c r="BC87" s="490" t="s">
        <v>1354</v>
      </c>
      <c r="BD87" s="490" t="s">
        <v>1355</v>
      </c>
      <c r="BE87" s="490" t="s">
        <v>1356</v>
      </c>
      <c r="BF87" s="490" t="s">
        <v>1357</v>
      </c>
      <c r="BG87" s="490" t="s">
        <v>1358</v>
      </c>
      <c r="BH87" s="490" t="s">
        <v>1359</v>
      </c>
      <c r="BI87" s="490" t="s">
        <v>1360</v>
      </c>
      <c r="BJ87" s="490" t="s">
        <v>1361</v>
      </c>
      <c r="BK87" s="437"/>
      <c r="BL87" s="437"/>
      <c r="BM87" s="437"/>
      <c r="BN87" s="437"/>
      <c r="BO87" s="437"/>
      <c r="BP87" s="437"/>
    </row>
    <row r="88" spans="1:68">
      <c r="A88" s="437">
        <v>22</v>
      </c>
      <c r="B88" s="437">
        <v>38</v>
      </c>
      <c r="C88" s="437">
        <v>29</v>
      </c>
      <c r="D88" s="437">
        <v>5</v>
      </c>
      <c r="E88" s="437">
        <v>31</v>
      </c>
      <c r="F88" s="437">
        <v>28</v>
      </c>
      <c r="G88" s="437">
        <v>25</v>
      </c>
      <c r="H88" s="437">
        <v>13</v>
      </c>
      <c r="I88" s="437">
        <v>21</v>
      </c>
      <c r="J88" s="437">
        <v>8</v>
      </c>
      <c r="K88" s="437">
        <v>5</v>
      </c>
      <c r="L88" s="437">
        <v>40</v>
      </c>
      <c r="M88" s="437">
        <v>14</v>
      </c>
      <c r="N88" s="437">
        <v>21</v>
      </c>
      <c r="O88" s="437">
        <v>19</v>
      </c>
      <c r="P88" s="437">
        <v>27</v>
      </c>
      <c r="Q88" s="437">
        <v>33</v>
      </c>
      <c r="R88" s="437">
        <v>35</v>
      </c>
      <c r="S88" s="437">
        <v>25</v>
      </c>
      <c r="T88" s="437">
        <v>12</v>
      </c>
      <c r="U88" s="437">
        <v>28</v>
      </c>
      <c r="V88" s="437">
        <v>4</v>
      </c>
      <c r="W88" s="437">
        <v>4</v>
      </c>
      <c r="X88" s="437">
        <v>23</v>
      </c>
      <c r="Y88" s="437">
        <v>4</v>
      </c>
      <c r="Z88" s="437">
        <v>15</v>
      </c>
      <c r="AA88" s="437">
        <v>40</v>
      </c>
      <c r="AB88" s="437">
        <v>24</v>
      </c>
      <c r="AC88" s="437"/>
      <c r="AD88" s="437"/>
      <c r="AE88" s="437"/>
      <c r="AF88" s="437"/>
      <c r="AG88" s="437"/>
      <c r="AH88" s="437"/>
      <c r="AI88" s="437"/>
      <c r="AJ88" s="437"/>
      <c r="AK88" s="436"/>
      <c r="AL88" s="437"/>
      <c r="AM88" s="437"/>
      <c r="AN88" s="437"/>
      <c r="AO88" s="437"/>
      <c r="AP88" s="437"/>
      <c r="AQ88" s="437"/>
      <c r="AR88" s="437"/>
      <c r="AS88" s="437"/>
      <c r="AT88" s="437"/>
      <c r="AU88" s="437"/>
      <c r="AV88" s="437"/>
      <c r="AW88" s="437"/>
      <c r="AX88" s="436">
        <v>83</v>
      </c>
      <c r="AY88" s="490" t="s">
        <v>1362</v>
      </c>
      <c r="AZ88" s="490" t="s">
        <v>1363</v>
      </c>
      <c r="BA88" s="490" t="s">
        <v>1364</v>
      </c>
      <c r="BB88" s="490" t="s">
        <v>1365</v>
      </c>
      <c r="BC88" s="490" t="s">
        <v>1366</v>
      </c>
      <c r="BD88" s="490" t="s">
        <v>1367</v>
      </c>
      <c r="BE88" s="490" t="s">
        <v>1368</v>
      </c>
      <c r="BF88" s="490" t="s">
        <v>1369</v>
      </c>
      <c r="BG88" s="490" t="s">
        <v>1370</v>
      </c>
      <c r="BH88" s="490" t="s">
        <v>1371</v>
      </c>
      <c r="BI88" s="490" t="s">
        <v>1372</v>
      </c>
      <c r="BJ88" s="490" t="s">
        <v>1373</v>
      </c>
      <c r="BK88" s="437"/>
      <c r="BL88" s="437"/>
      <c r="BM88" s="437"/>
      <c r="BN88" s="437"/>
      <c r="BO88" s="437"/>
      <c r="BP88" s="437"/>
    </row>
    <row r="89" spans="1:68">
      <c r="A89" s="437">
        <v>23</v>
      </c>
      <c r="B89" s="437">
        <v>16</v>
      </c>
      <c r="C89" s="437">
        <v>38</v>
      </c>
      <c r="D89" s="437">
        <v>31</v>
      </c>
      <c r="E89" s="437">
        <v>5</v>
      </c>
      <c r="F89" s="437">
        <v>9</v>
      </c>
      <c r="G89" s="437">
        <v>8</v>
      </c>
      <c r="H89" s="437">
        <v>25</v>
      </c>
      <c r="I89" s="437">
        <v>33</v>
      </c>
      <c r="J89" s="437">
        <v>27</v>
      </c>
      <c r="K89" s="437">
        <v>29</v>
      </c>
      <c r="L89" s="437">
        <v>34</v>
      </c>
      <c r="M89" s="437">
        <v>40</v>
      </c>
      <c r="N89" s="437">
        <v>33</v>
      </c>
      <c r="O89" s="437">
        <v>3</v>
      </c>
      <c r="P89" s="437">
        <v>12</v>
      </c>
      <c r="Q89" s="437">
        <v>17</v>
      </c>
      <c r="R89" s="437">
        <v>27</v>
      </c>
      <c r="S89" s="437">
        <v>8</v>
      </c>
      <c r="T89" s="437">
        <v>3</v>
      </c>
      <c r="U89" s="437">
        <v>21</v>
      </c>
      <c r="V89" s="437">
        <v>13</v>
      </c>
      <c r="W89" s="437">
        <v>22</v>
      </c>
      <c r="X89" s="437">
        <v>37</v>
      </c>
      <c r="Y89" s="437">
        <v>36</v>
      </c>
      <c r="Z89" s="437">
        <v>4</v>
      </c>
      <c r="AA89" s="437">
        <v>6</v>
      </c>
      <c r="AB89" s="437">
        <v>14</v>
      </c>
      <c r="AC89" s="437"/>
      <c r="AD89" s="437"/>
      <c r="AE89" s="437"/>
      <c r="AF89" s="437"/>
      <c r="AG89" s="437"/>
      <c r="AH89" s="437"/>
      <c r="AI89" s="437"/>
      <c r="AJ89" s="437"/>
      <c r="AK89" s="436"/>
      <c r="AL89" s="437"/>
      <c r="AM89" s="437"/>
      <c r="AN89" s="437"/>
      <c r="AO89" s="437"/>
      <c r="AP89" s="437"/>
      <c r="AQ89" s="437"/>
      <c r="AR89" s="437"/>
      <c r="AS89" s="437"/>
      <c r="AT89" s="437"/>
      <c r="AU89" s="437"/>
      <c r="AV89" s="437"/>
      <c r="AW89" s="437"/>
      <c r="AX89" s="436">
        <v>84</v>
      </c>
      <c r="AY89" s="490" t="s">
        <v>1374</v>
      </c>
      <c r="AZ89" s="490" t="s">
        <v>1375</v>
      </c>
      <c r="BA89" s="490" t="s">
        <v>1376</v>
      </c>
      <c r="BB89" s="490" t="s">
        <v>1377</v>
      </c>
      <c r="BC89" s="490" t="s">
        <v>1378</v>
      </c>
      <c r="BD89" s="490" t="s">
        <v>1379</v>
      </c>
      <c r="BE89" s="490" t="s">
        <v>1357</v>
      </c>
      <c r="BF89" s="490" t="s">
        <v>361</v>
      </c>
      <c r="BG89" s="490" t="s">
        <v>1380</v>
      </c>
      <c r="BH89" s="490" t="s">
        <v>1381</v>
      </c>
      <c r="BI89" s="490" t="s">
        <v>1382</v>
      </c>
      <c r="BJ89" s="490" t="s">
        <v>1383</v>
      </c>
      <c r="BK89" s="437"/>
      <c r="BL89" s="437"/>
      <c r="BM89" s="437"/>
      <c r="BN89" s="437"/>
      <c r="BO89" s="437"/>
      <c r="BP89" s="437"/>
    </row>
    <row r="90" spans="1:68">
      <c r="A90" s="437">
        <v>24</v>
      </c>
      <c r="B90" s="437">
        <v>20</v>
      </c>
      <c r="C90" s="437">
        <v>16</v>
      </c>
      <c r="D90" s="437">
        <v>10</v>
      </c>
      <c r="E90" s="437">
        <v>29</v>
      </c>
      <c r="F90" s="437">
        <v>21</v>
      </c>
      <c r="G90" s="437">
        <v>35</v>
      </c>
      <c r="H90" s="437">
        <v>8</v>
      </c>
      <c r="I90" s="437">
        <v>9</v>
      </c>
      <c r="J90" s="437">
        <v>19</v>
      </c>
      <c r="K90" s="437">
        <v>38</v>
      </c>
      <c r="L90" s="437">
        <v>6</v>
      </c>
      <c r="M90" s="437">
        <v>34</v>
      </c>
      <c r="N90" s="437">
        <v>17</v>
      </c>
      <c r="O90" s="437">
        <v>33</v>
      </c>
      <c r="P90" s="437">
        <v>19</v>
      </c>
      <c r="Q90" s="437">
        <v>10</v>
      </c>
      <c r="R90" s="437">
        <v>19</v>
      </c>
      <c r="S90" s="437">
        <v>35</v>
      </c>
      <c r="T90" s="437">
        <v>28</v>
      </c>
      <c r="U90" s="437">
        <v>9</v>
      </c>
      <c r="V90" s="437">
        <v>25</v>
      </c>
      <c r="W90" s="437">
        <v>13</v>
      </c>
      <c r="X90" s="437">
        <v>26</v>
      </c>
      <c r="Y90" s="437">
        <v>22</v>
      </c>
      <c r="Z90" s="437">
        <v>36</v>
      </c>
      <c r="AA90" s="437">
        <v>15</v>
      </c>
      <c r="AB90" s="437">
        <v>40</v>
      </c>
      <c r="AC90" s="437"/>
      <c r="AD90" s="437"/>
      <c r="AE90" s="437"/>
      <c r="AF90" s="437"/>
      <c r="AG90" s="437"/>
      <c r="AH90" s="437"/>
      <c r="AI90" s="437"/>
      <c r="AJ90" s="437"/>
      <c r="AK90" s="436"/>
      <c r="AL90" s="437"/>
      <c r="AM90" s="437"/>
      <c r="AN90" s="437"/>
      <c r="AO90" s="437"/>
      <c r="AP90" s="437"/>
      <c r="AQ90" s="437"/>
      <c r="AR90" s="437"/>
      <c r="AS90" s="437"/>
      <c r="AT90" s="437"/>
      <c r="AU90" s="437"/>
      <c r="AV90" s="437"/>
      <c r="AW90" s="437"/>
      <c r="AX90" s="436">
        <v>85</v>
      </c>
      <c r="AY90" s="490" t="s">
        <v>1363</v>
      </c>
      <c r="AZ90" s="490" t="s">
        <v>1384</v>
      </c>
      <c r="BA90" s="490" t="s">
        <v>1385</v>
      </c>
      <c r="BB90" s="490" t="s">
        <v>1386</v>
      </c>
      <c r="BC90" s="490" t="s">
        <v>1387</v>
      </c>
      <c r="BD90" s="490" t="s">
        <v>1388</v>
      </c>
      <c r="BE90" s="490" t="s">
        <v>846</v>
      </c>
      <c r="BF90" s="490" t="s">
        <v>1389</v>
      </c>
      <c r="BG90" s="490" t="s">
        <v>362</v>
      </c>
      <c r="BH90" s="490" t="s">
        <v>1390</v>
      </c>
      <c r="BI90" s="490" t="s">
        <v>1391</v>
      </c>
      <c r="BJ90" s="490" t="s">
        <v>1392</v>
      </c>
      <c r="BK90" s="437"/>
      <c r="BL90" s="437"/>
      <c r="BM90" s="437"/>
      <c r="BN90" s="437"/>
      <c r="BO90" s="437"/>
      <c r="BP90" s="437"/>
    </row>
    <row r="91" spans="1:68">
      <c r="A91" s="437">
        <v>25</v>
      </c>
      <c r="B91" s="437">
        <v>30</v>
      </c>
      <c r="C91" s="437">
        <v>20</v>
      </c>
      <c r="D91" s="437">
        <v>29</v>
      </c>
      <c r="E91" s="437">
        <v>16</v>
      </c>
      <c r="F91" s="437">
        <v>33</v>
      </c>
      <c r="G91" s="437">
        <v>27</v>
      </c>
      <c r="H91" s="437">
        <v>35</v>
      </c>
      <c r="I91" s="437">
        <v>10</v>
      </c>
      <c r="J91" s="437">
        <v>12</v>
      </c>
      <c r="K91" s="437">
        <v>16</v>
      </c>
      <c r="L91" s="437">
        <v>15</v>
      </c>
      <c r="M91" s="437">
        <v>6</v>
      </c>
      <c r="N91" s="437">
        <v>10</v>
      </c>
      <c r="O91" s="437">
        <v>28</v>
      </c>
      <c r="P91" s="437">
        <v>3</v>
      </c>
      <c r="Q91" s="437">
        <v>31</v>
      </c>
      <c r="R91" s="437">
        <v>12</v>
      </c>
      <c r="S91" s="437">
        <v>27</v>
      </c>
      <c r="T91" s="437">
        <v>9</v>
      </c>
      <c r="U91" s="437">
        <v>17</v>
      </c>
      <c r="V91" s="437">
        <v>8</v>
      </c>
      <c r="W91" s="437">
        <v>25</v>
      </c>
      <c r="X91" s="437">
        <v>2</v>
      </c>
      <c r="Y91" s="437">
        <v>25</v>
      </c>
      <c r="Z91" s="437">
        <v>22</v>
      </c>
      <c r="AA91" s="437">
        <v>36</v>
      </c>
      <c r="AB91" s="437">
        <v>34</v>
      </c>
      <c r="AC91" s="437"/>
      <c r="AD91" s="437"/>
      <c r="AE91" s="437"/>
      <c r="AF91" s="437"/>
      <c r="AG91" s="437"/>
      <c r="AH91" s="437"/>
      <c r="AI91" s="437"/>
      <c r="AJ91" s="437"/>
      <c r="AK91" s="436"/>
      <c r="AL91" s="437"/>
      <c r="AM91" s="437"/>
      <c r="AN91" s="437"/>
      <c r="AO91" s="437"/>
      <c r="AP91" s="437"/>
      <c r="AQ91" s="437"/>
      <c r="AR91" s="437"/>
      <c r="AS91" s="437"/>
      <c r="AT91" s="437"/>
      <c r="AU91" s="437"/>
      <c r="AV91" s="437"/>
      <c r="AW91" s="437"/>
      <c r="AX91" s="436">
        <v>86</v>
      </c>
      <c r="AY91" s="490" t="s">
        <v>1375</v>
      </c>
      <c r="AZ91" s="490" t="s">
        <v>1393</v>
      </c>
      <c r="BA91" s="490" t="s">
        <v>1394</v>
      </c>
      <c r="BB91" s="490" t="s">
        <v>1395</v>
      </c>
      <c r="BC91" s="490" t="s">
        <v>1396</v>
      </c>
      <c r="BD91" s="490" t="s">
        <v>1286</v>
      </c>
      <c r="BE91" s="490" t="s">
        <v>363</v>
      </c>
      <c r="BF91" s="490" t="s">
        <v>1397</v>
      </c>
      <c r="BG91" s="490" t="s">
        <v>1398</v>
      </c>
      <c r="BH91" s="490" t="s">
        <v>1399</v>
      </c>
      <c r="BI91" s="490" t="s">
        <v>1400</v>
      </c>
      <c r="BJ91" s="490" t="s">
        <v>1401</v>
      </c>
      <c r="BK91" s="437"/>
      <c r="BL91" s="437"/>
      <c r="BM91" s="437"/>
      <c r="BN91" s="437"/>
      <c r="BO91" s="437"/>
      <c r="BP91" s="437"/>
    </row>
    <row r="92" spans="1:68">
      <c r="A92" s="437">
        <v>26</v>
      </c>
      <c r="B92" s="437">
        <v>36</v>
      </c>
      <c r="C92" s="437">
        <v>6</v>
      </c>
      <c r="D92" s="437">
        <v>40</v>
      </c>
      <c r="E92" s="437">
        <v>34</v>
      </c>
      <c r="F92" s="437">
        <v>37</v>
      </c>
      <c r="G92" s="437">
        <v>18</v>
      </c>
      <c r="H92" s="437">
        <v>18</v>
      </c>
      <c r="I92" s="437">
        <v>2</v>
      </c>
      <c r="J92" s="437">
        <v>39</v>
      </c>
      <c r="K92" s="437">
        <v>6</v>
      </c>
      <c r="L92" s="437">
        <v>10</v>
      </c>
      <c r="M92" s="437">
        <v>17</v>
      </c>
      <c r="N92" s="437">
        <v>2</v>
      </c>
      <c r="O92" s="437">
        <v>32</v>
      </c>
      <c r="P92" s="437">
        <v>1</v>
      </c>
      <c r="Q92" s="437">
        <v>24</v>
      </c>
      <c r="R92" s="437">
        <v>39</v>
      </c>
      <c r="S92" s="437">
        <v>18</v>
      </c>
      <c r="T92" s="437">
        <v>7</v>
      </c>
      <c r="U92" s="437">
        <v>26</v>
      </c>
      <c r="V92" s="437">
        <v>20</v>
      </c>
      <c r="W92" s="437">
        <v>16</v>
      </c>
      <c r="X92" s="437">
        <v>36</v>
      </c>
      <c r="Y92" s="437">
        <v>29</v>
      </c>
      <c r="Z92" s="437">
        <v>29</v>
      </c>
      <c r="AA92" s="437">
        <v>31</v>
      </c>
      <c r="AB92" s="437">
        <v>6</v>
      </c>
      <c r="AC92" s="437"/>
      <c r="AD92" s="437"/>
      <c r="AE92" s="437"/>
      <c r="AF92" s="437"/>
      <c r="AG92" s="437"/>
      <c r="AH92" s="437"/>
      <c r="AI92" s="437"/>
      <c r="AJ92" s="437"/>
      <c r="AK92" s="436"/>
      <c r="AL92" s="437"/>
      <c r="AM92" s="437"/>
      <c r="AN92" s="437"/>
      <c r="AO92" s="437"/>
      <c r="AP92" s="437"/>
      <c r="AQ92" s="437"/>
      <c r="AR92" s="437"/>
      <c r="AS92" s="437"/>
      <c r="AT92" s="437"/>
      <c r="AU92" s="437"/>
      <c r="AV92" s="437"/>
      <c r="AW92" s="437"/>
      <c r="AX92" s="436">
        <v>87</v>
      </c>
      <c r="AY92" s="490" t="s">
        <v>1402</v>
      </c>
      <c r="AZ92" s="490" t="s">
        <v>1403</v>
      </c>
      <c r="BA92" s="490" t="s">
        <v>1404</v>
      </c>
      <c r="BB92" s="490" t="s">
        <v>384</v>
      </c>
      <c r="BC92" s="490" t="s">
        <v>1405</v>
      </c>
      <c r="BD92" s="490" t="s">
        <v>1406</v>
      </c>
      <c r="BE92" s="490" t="s">
        <v>1407</v>
      </c>
      <c r="BF92" s="490" t="s">
        <v>385</v>
      </c>
      <c r="BG92" s="490" t="s">
        <v>1397</v>
      </c>
      <c r="BH92" s="490" t="s">
        <v>386</v>
      </c>
      <c r="BI92" s="490" t="s">
        <v>1408</v>
      </c>
      <c r="BJ92" s="490" t="s">
        <v>1409</v>
      </c>
      <c r="BK92" s="437"/>
      <c r="BL92" s="437"/>
      <c r="BM92" s="437"/>
      <c r="BN92" s="437"/>
      <c r="BO92" s="437"/>
      <c r="BP92" s="437"/>
    </row>
    <row r="93" spans="1:68">
      <c r="A93" s="437">
        <v>27</v>
      </c>
      <c r="B93" s="437">
        <v>4</v>
      </c>
      <c r="C93" s="437">
        <v>36</v>
      </c>
      <c r="D93" s="437">
        <v>34</v>
      </c>
      <c r="E93" s="437">
        <v>6</v>
      </c>
      <c r="F93" s="437">
        <v>26</v>
      </c>
      <c r="G93" s="437">
        <v>11</v>
      </c>
      <c r="H93" s="437">
        <v>30</v>
      </c>
      <c r="I93" s="437">
        <v>24</v>
      </c>
      <c r="J93" s="437">
        <v>1</v>
      </c>
      <c r="K93" s="437">
        <v>15</v>
      </c>
      <c r="L93" s="437">
        <v>4</v>
      </c>
      <c r="M93" s="437">
        <v>10</v>
      </c>
      <c r="N93" s="437">
        <v>24</v>
      </c>
      <c r="O93" s="437">
        <v>7</v>
      </c>
      <c r="P93" s="437">
        <v>32</v>
      </c>
      <c r="Q93" s="437">
        <v>14</v>
      </c>
      <c r="R93" s="437">
        <v>1</v>
      </c>
      <c r="S93" s="437">
        <v>11</v>
      </c>
      <c r="T93" s="437">
        <v>23</v>
      </c>
      <c r="U93" s="437">
        <v>24</v>
      </c>
      <c r="V93" s="437">
        <v>30</v>
      </c>
      <c r="W93" s="437">
        <v>20</v>
      </c>
      <c r="X93" s="437">
        <v>3</v>
      </c>
      <c r="Y93" s="437">
        <v>20</v>
      </c>
      <c r="Z93" s="437">
        <v>38</v>
      </c>
      <c r="AA93" s="437">
        <v>5</v>
      </c>
      <c r="AB93" s="437">
        <v>15</v>
      </c>
      <c r="AC93" s="437"/>
      <c r="AD93" s="437"/>
      <c r="AE93" s="437"/>
      <c r="AF93" s="437"/>
      <c r="AG93" s="437"/>
      <c r="AH93" s="437"/>
      <c r="AI93" s="437"/>
      <c r="AJ93" s="437"/>
      <c r="AK93" s="436"/>
      <c r="AL93" s="437"/>
      <c r="AM93" s="437"/>
      <c r="AN93" s="437"/>
      <c r="AO93" s="437"/>
      <c r="AP93" s="437"/>
      <c r="AQ93" s="437"/>
      <c r="AR93" s="437"/>
      <c r="AS93" s="437"/>
      <c r="AT93" s="437"/>
      <c r="AU93" s="437"/>
      <c r="AV93" s="437"/>
      <c r="AW93" s="437"/>
      <c r="AX93" s="436">
        <v>88</v>
      </c>
      <c r="AY93" s="490" t="s">
        <v>1410</v>
      </c>
      <c r="AZ93" s="490" t="s">
        <v>1411</v>
      </c>
      <c r="BA93" s="490" t="s">
        <v>1403</v>
      </c>
      <c r="BB93" s="490" t="s">
        <v>1412</v>
      </c>
      <c r="BC93" s="490" t="s">
        <v>1413</v>
      </c>
      <c r="BD93" s="490" t="s">
        <v>1414</v>
      </c>
      <c r="BE93" s="490" t="s">
        <v>1397</v>
      </c>
      <c r="BF93" s="490" t="s">
        <v>387</v>
      </c>
      <c r="BG93" s="490" t="s">
        <v>388</v>
      </c>
      <c r="BH93" s="490" t="s">
        <v>1415</v>
      </c>
      <c r="BI93" s="490" t="s">
        <v>1416</v>
      </c>
      <c r="BJ93" s="490" t="s">
        <v>1417</v>
      </c>
      <c r="BK93" s="437"/>
      <c r="BL93" s="437"/>
      <c r="BM93" s="437"/>
      <c r="BN93" s="437"/>
      <c r="BO93" s="437"/>
      <c r="BP93" s="437"/>
    </row>
    <row r="94" spans="1:68">
      <c r="A94" s="437">
        <v>28</v>
      </c>
      <c r="B94" s="437">
        <v>23</v>
      </c>
      <c r="C94" s="437">
        <v>23</v>
      </c>
      <c r="D94" s="437">
        <v>34</v>
      </c>
      <c r="E94" s="437">
        <v>7</v>
      </c>
      <c r="F94" s="437">
        <v>1</v>
      </c>
      <c r="G94" s="437">
        <v>26</v>
      </c>
      <c r="H94" s="437">
        <v>38</v>
      </c>
      <c r="I94" s="437">
        <v>29</v>
      </c>
      <c r="J94" s="437">
        <v>5</v>
      </c>
      <c r="K94" s="437">
        <v>40</v>
      </c>
      <c r="L94" s="437">
        <v>5</v>
      </c>
      <c r="M94" s="437">
        <v>31</v>
      </c>
      <c r="N94" s="437">
        <v>14</v>
      </c>
      <c r="O94" s="437">
        <v>37</v>
      </c>
      <c r="P94" s="437">
        <v>7</v>
      </c>
      <c r="Q94" s="437">
        <v>40</v>
      </c>
      <c r="R94" s="437">
        <v>30</v>
      </c>
      <c r="S94" s="437">
        <v>39</v>
      </c>
      <c r="T94" s="437">
        <v>37</v>
      </c>
      <c r="U94" s="437">
        <v>16</v>
      </c>
      <c r="V94" s="437">
        <v>2</v>
      </c>
      <c r="W94" s="437">
        <v>11</v>
      </c>
      <c r="X94" s="437">
        <v>14</v>
      </c>
      <c r="Y94" s="437">
        <v>7</v>
      </c>
      <c r="Z94" s="437">
        <v>36</v>
      </c>
      <c r="AA94" s="437">
        <v>29</v>
      </c>
      <c r="AB94" s="437">
        <v>3</v>
      </c>
      <c r="AC94" s="437"/>
      <c r="AD94" s="437"/>
      <c r="AE94" s="437"/>
      <c r="AF94" s="437"/>
      <c r="AG94" s="437"/>
      <c r="AH94" s="437"/>
      <c r="AI94" s="437"/>
      <c r="AJ94" s="437"/>
      <c r="AK94" s="436"/>
      <c r="AL94" s="437"/>
      <c r="AM94" s="437"/>
      <c r="AN94" s="437"/>
      <c r="AO94" s="437"/>
      <c r="AP94" s="437"/>
      <c r="AQ94" s="437"/>
      <c r="AR94" s="437"/>
      <c r="AS94" s="437"/>
      <c r="AT94" s="437"/>
      <c r="AU94" s="437"/>
      <c r="AV94" s="437"/>
      <c r="AW94" s="437"/>
      <c r="AX94" s="436">
        <v>89</v>
      </c>
      <c r="AY94" s="490" t="s">
        <v>1418</v>
      </c>
      <c r="AZ94" s="490" t="s">
        <v>1419</v>
      </c>
      <c r="BA94" s="490" t="s">
        <v>1420</v>
      </c>
      <c r="BB94" s="490" t="s">
        <v>1421</v>
      </c>
      <c r="BC94" s="490" t="s">
        <v>1422</v>
      </c>
      <c r="BD94" s="490" t="s">
        <v>1423</v>
      </c>
      <c r="BE94" s="490" t="s">
        <v>389</v>
      </c>
      <c r="BF94" s="490" t="s">
        <v>1424</v>
      </c>
      <c r="BG94" s="490" t="s">
        <v>1425</v>
      </c>
      <c r="BH94" s="490" t="s">
        <v>1426</v>
      </c>
      <c r="BI94" s="490" t="s">
        <v>1427</v>
      </c>
      <c r="BJ94" s="490" t="s">
        <v>1428</v>
      </c>
      <c r="BK94" s="437"/>
      <c r="BL94" s="437"/>
      <c r="BM94" s="437"/>
      <c r="BN94" s="437"/>
      <c r="BO94" s="437"/>
      <c r="BP94" s="437"/>
    </row>
    <row r="95" spans="1:68">
      <c r="A95" s="437">
        <v>29</v>
      </c>
      <c r="B95" s="437">
        <v>40</v>
      </c>
      <c r="C95" s="437">
        <v>14</v>
      </c>
      <c r="D95" s="437">
        <v>22</v>
      </c>
      <c r="E95" s="437">
        <v>24</v>
      </c>
      <c r="F95" s="437">
        <v>26</v>
      </c>
      <c r="G95" s="437">
        <v>34</v>
      </c>
      <c r="H95" s="437">
        <v>11</v>
      </c>
      <c r="I95" s="437">
        <v>18</v>
      </c>
      <c r="J95" s="437">
        <v>30</v>
      </c>
      <c r="K95" s="437">
        <v>4</v>
      </c>
      <c r="L95" s="437">
        <v>31</v>
      </c>
      <c r="M95" s="437">
        <v>6</v>
      </c>
      <c r="N95" s="437">
        <v>15</v>
      </c>
      <c r="O95" s="437">
        <v>2</v>
      </c>
      <c r="P95" s="437">
        <v>39</v>
      </c>
      <c r="Q95" s="437">
        <v>18</v>
      </c>
      <c r="R95" s="437">
        <v>32</v>
      </c>
      <c r="S95" s="437">
        <v>28</v>
      </c>
      <c r="T95" s="437">
        <v>16</v>
      </c>
      <c r="U95" s="437">
        <v>39</v>
      </c>
      <c r="V95" s="437">
        <v>15</v>
      </c>
      <c r="W95" s="437">
        <v>23</v>
      </c>
      <c r="X95" s="437">
        <v>30</v>
      </c>
      <c r="Y95" s="437">
        <v>34</v>
      </c>
      <c r="Z95" s="437">
        <v>8</v>
      </c>
      <c r="AA95" s="437">
        <v>22</v>
      </c>
      <c r="AB95" s="437">
        <v>9</v>
      </c>
      <c r="AC95" s="437"/>
      <c r="AD95" s="437"/>
      <c r="AE95" s="437"/>
      <c r="AF95" s="437"/>
      <c r="AG95" s="437"/>
      <c r="AH95" s="437"/>
      <c r="AI95" s="437"/>
      <c r="AJ95" s="437"/>
      <c r="AK95" s="436"/>
      <c r="AL95" s="437"/>
      <c r="AM95" s="437"/>
      <c r="AN95" s="437"/>
      <c r="AO95" s="437"/>
      <c r="AP95" s="437"/>
      <c r="AQ95" s="437"/>
      <c r="AR95" s="437"/>
      <c r="AS95" s="437"/>
      <c r="AT95" s="437"/>
      <c r="AU95" s="437"/>
      <c r="AV95" s="437"/>
      <c r="AW95" s="437"/>
      <c r="AX95" s="436">
        <v>90</v>
      </c>
      <c r="AY95" s="490" t="s">
        <v>1411</v>
      </c>
      <c r="AZ95" s="490" t="s">
        <v>1429</v>
      </c>
      <c r="BA95" s="490" t="s">
        <v>1430</v>
      </c>
      <c r="BB95" s="490" t="s">
        <v>1431</v>
      </c>
      <c r="BC95" s="490" t="s">
        <v>1432</v>
      </c>
      <c r="BD95" s="490" t="s">
        <v>1322</v>
      </c>
      <c r="BE95" s="490" t="s">
        <v>390</v>
      </c>
      <c r="BF95" s="490" t="s">
        <v>659</v>
      </c>
      <c r="BG95" s="490" t="s">
        <v>1433</v>
      </c>
      <c r="BH95" s="490" t="s">
        <v>1434</v>
      </c>
      <c r="BI95" s="490" t="s">
        <v>1435</v>
      </c>
      <c r="BJ95" s="490" t="s">
        <v>1436</v>
      </c>
      <c r="BK95" s="437"/>
      <c r="BL95" s="437"/>
      <c r="BM95" s="437"/>
      <c r="BN95" s="437"/>
      <c r="BO95" s="437"/>
      <c r="BP95" s="437"/>
    </row>
    <row r="96" spans="1:68">
      <c r="A96" s="437">
        <v>30</v>
      </c>
      <c r="B96" s="437">
        <v>36</v>
      </c>
      <c r="C96" s="437">
        <v>15</v>
      </c>
      <c r="D96" s="437">
        <v>35</v>
      </c>
      <c r="E96" s="437">
        <v>6</v>
      </c>
      <c r="F96" s="437">
        <v>40</v>
      </c>
      <c r="G96" s="437">
        <v>4</v>
      </c>
      <c r="H96" s="437">
        <v>7</v>
      </c>
      <c r="I96" s="437">
        <v>32</v>
      </c>
      <c r="J96" s="437">
        <v>1</v>
      </c>
      <c r="K96" s="437">
        <v>8</v>
      </c>
      <c r="L96" s="437">
        <v>35</v>
      </c>
      <c r="M96" s="437">
        <v>13</v>
      </c>
      <c r="N96" s="437">
        <v>19</v>
      </c>
      <c r="O96" s="437">
        <v>6</v>
      </c>
      <c r="P96" s="437">
        <v>37</v>
      </c>
      <c r="Q96" s="437">
        <v>7</v>
      </c>
      <c r="R96" s="437">
        <v>26</v>
      </c>
      <c r="S96" s="437">
        <v>10</v>
      </c>
      <c r="T96" s="437">
        <v>1</v>
      </c>
      <c r="U96" s="437">
        <v>23</v>
      </c>
      <c r="V96" s="437">
        <v>13</v>
      </c>
      <c r="W96" s="437">
        <v>24</v>
      </c>
      <c r="X96" s="437">
        <v>25</v>
      </c>
      <c r="Y96" s="437">
        <v>2</v>
      </c>
      <c r="Z96" s="437">
        <v>12</v>
      </c>
      <c r="AA96" s="437">
        <v>27</v>
      </c>
      <c r="AB96" s="437">
        <v>21</v>
      </c>
      <c r="AC96" s="437"/>
      <c r="AD96" s="437"/>
      <c r="AE96" s="437"/>
      <c r="AF96" s="437"/>
      <c r="AG96" s="437"/>
      <c r="AH96" s="437"/>
      <c r="AI96" s="437"/>
      <c r="AJ96" s="437"/>
      <c r="AK96" s="436"/>
      <c r="AL96" s="437"/>
      <c r="AM96" s="437"/>
      <c r="AN96" s="437"/>
      <c r="AO96" s="437"/>
      <c r="AP96" s="437"/>
      <c r="AQ96" s="437"/>
      <c r="AR96" s="437"/>
      <c r="AS96" s="437"/>
      <c r="AT96" s="437"/>
      <c r="AU96" s="437"/>
      <c r="AV96" s="437"/>
      <c r="AW96" s="437"/>
      <c r="AX96" s="436">
        <v>91</v>
      </c>
      <c r="AY96" s="490" t="s">
        <v>1437</v>
      </c>
      <c r="AZ96" s="490" t="s">
        <v>1438</v>
      </c>
      <c r="BA96" s="490" t="s">
        <v>1439</v>
      </c>
      <c r="BB96" s="490" t="s">
        <v>1440</v>
      </c>
      <c r="BC96" s="490" t="s">
        <v>1441</v>
      </c>
      <c r="BD96" s="490" t="s">
        <v>1442</v>
      </c>
      <c r="BE96" s="490" t="s">
        <v>1443</v>
      </c>
      <c r="BF96" s="490" t="s">
        <v>1444</v>
      </c>
      <c r="BG96" s="490" t="s">
        <v>671</v>
      </c>
      <c r="BH96" s="490" t="s">
        <v>391</v>
      </c>
      <c r="BI96" s="490" t="s">
        <v>1445</v>
      </c>
      <c r="BJ96" s="490" t="s">
        <v>1446</v>
      </c>
      <c r="BK96" s="437"/>
      <c r="BL96" s="437"/>
      <c r="BM96" s="437"/>
      <c r="BN96" s="437"/>
      <c r="BO96" s="437"/>
      <c r="BP96" s="437"/>
    </row>
    <row r="97" spans="1:68">
      <c r="A97" s="437">
        <v>31</v>
      </c>
      <c r="B97" s="437">
        <v>26</v>
      </c>
      <c r="C97" s="437">
        <v>37</v>
      </c>
      <c r="D97" s="437">
        <v>6</v>
      </c>
      <c r="E97" s="437">
        <v>23</v>
      </c>
      <c r="F97" s="437">
        <v>32</v>
      </c>
      <c r="G97" s="437">
        <v>2</v>
      </c>
      <c r="H97" s="437">
        <v>16</v>
      </c>
      <c r="I97" s="437">
        <v>38</v>
      </c>
      <c r="J97" s="437">
        <v>29</v>
      </c>
      <c r="K97" s="437">
        <v>34</v>
      </c>
      <c r="L97" s="437">
        <v>3</v>
      </c>
      <c r="M97" s="437">
        <v>27</v>
      </c>
      <c r="N97" s="437">
        <v>25</v>
      </c>
      <c r="O97" s="437">
        <v>22</v>
      </c>
      <c r="P97" s="437">
        <v>14</v>
      </c>
      <c r="Q97" s="437">
        <v>2</v>
      </c>
      <c r="R97" s="437">
        <v>32</v>
      </c>
      <c r="S97" s="437">
        <v>38</v>
      </c>
      <c r="T97" s="437">
        <v>37</v>
      </c>
      <c r="U97" s="437">
        <v>30</v>
      </c>
      <c r="V97" s="437">
        <v>14</v>
      </c>
      <c r="W97" s="437">
        <v>39</v>
      </c>
      <c r="X97" s="437">
        <v>40</v>
      </c>
      <c r="Y97" s="437">
        <v>32</v>
      </c>
      <c r="Z97" s="437">
        <v>4</v>
      </c>
      <c r="AA97" s="437">
        <v>28</v>
      </c>
      <c r="AB97" s="437">
        <v>33</v>
      </c>
      <c r="AC97" s="437"/>
      <c r="AD97" s="437"/>
      <c r="AE97" s="437"/>
      <c r="AF97" s="437"/>
      <c r="AG97" s="437"/>
      <c r="AH97" s="437"/>
      <c r="AI97" s="437"/>
      <c r="AJ97" s="437"/>
      <c r="AK97" s="436"/>
      <c r="AL97" s="437"/>
      <c r="AM97" s="437"/>
      <c r="AN97" s="437"/>
      <c r="AO97" s="437"/>
      <c r="AP97" s="437"/>
      <c r="AQ97" s="437"/>
      <c r="AR97" s="437"/>
      <c r="AS97" s="437"/>
      <c r="AT97" s="437"/>
      <c r="AU97" s="437"/>
      <c r="AV97" s="437"/>
      <c r="AW97" s="437"/>
      <c r="AX97" s="436">
        <v>92</v>
      </c>
      <c r="AY97" s="490" t="s">
        <v>1447</v>
      </c>
      <c r="AZ97" s="490" t="s">
        <v>1448</v>
      </c>
      <c r="BA97" s="490" t="s">
        <v>1449</v>
      </c>
      <c r="BB97" s="490" t="s">
        <v>1364</v>
      </c>
      <c r="BC97" s="490" t="s">
        <v>1450</v>
      </c>
      <c r="BD97" s="490" t="s">
        <v>1451</v>
      </c>
      <c r="BE97" s="490" t="s">
        <v>680</v>
      </c>
      <c r="BF97" s="490" t="s">
        <v>1452</v>
      </c>
      <c r="BG97" s="490" t="s">
        <v>1453</v>
      </c>
      <c r="BH97" s="490" t="s">
        <v>1454</v>
      </c>
      <c r="BI97" s="490" t="s">
        <v>1455</v>
      </c>
      <c r="BJ97" s="490" t="s">
        <v>1456</v>
      </c>
      <c r="BK97" s="437"/>
      <c r="BL97" s="437"/>
      <c r="BM97" s="437"/>
      <c r="BN97" s="437"/>
      <c r="BO97" s="437"/>
      <c r="BP97" s="437"/>
    </row>
    <row r="98" spans="1:68">
      <c r="A98" s="437">
        <v>32</v>
      </c>
      <c r="B98" s="437">
        <v>2</v>
      </c>
      <c r="C98" s="437">
        <v>26</v>
      </c>
      <c r="D98" s="437">
        <v>15</v>
      </c>
      <c r="E98" s="437">
        <v>37</v>
      </c>
      <c r="F98" s="437">
        <v>7</v>
      </c>
      <c r="G98" s="437">
        <v>24</v>
      </c>
      <c r="H98" s="437">
        <v>20</v>
      </c>
      <c r="I98" s="437">
        <v>16</v>
      </c>
      <c r="J98" s="437">
        <v>38</v>
      </c>
      <c r="K98" s="437">
        <v>6</v>
      </c>
      <c r="L98" s="437">
        <v>22</v>
      </c>
      <c r="M98" s="437">
        <v>15</v>
      </c>
      <c r="N98" s="437">
        <v>22</v>
      </c>
      <c r="O98" s="437">
        <v>24</v>
      </c>
      <c r="P98" s="437">
        <v>1</v>
      </c>
      <c r="Q98" s="437">
        <v>11</v>
      </c>
      <c r="R98" s="437">
        <v>18</v>
      </c>
      <c r="S98" s="437">
        <v>21</v>
      </c>
      <c r="T98" s="437">
        <v>30</v>
      </c>
      <c r="U98" s="437">
        <v>20</v>
      </c>
      <c r="V98" s="437">
        <v>40</v>
      </c>
      <c r="W98" s="437">
        <v>1</v>
      </c>
      <c r="X98" s="437">
        <v>34</v>
      </c>
      <c r="Y98" s="437">
        <v>23</v>
      </c>
      <c r="Z98" s="437">
        <v>22</v>
      </c>
      <c r="AA98" s="437">
        <v>13</v>
      </c>
      <c r="AB98" s="437">
        <v>17</v>
      </c>
      <c r="AC98" s="437"/>
      <c r="AD98" s="437"/>
      <c r="AE98" s="437"/>
      <c r="AF98" s="437"/>
      <c r="AG98" s="437"/>
      <c r="AH98" s="437"/>
      <c r="AI98" s="437"/>
      <c r="AJ98" s="437"/>
      <c r="AK98" s="436"/>
      <c r="AL98" s="437"/>
      <c r="AM98" s="437"/>
      <c r="AN98" s="437"/>
      <c r="AO98" s="437"/>
      <c r="AP98" s="437"/>
      <c r="AQ98" s="437"/>
      <c r="AR98" s="437"/>
      <c r="AS98" s="437"/>
      <c r="AT98" s="437"/>
      <c r="AU98" s="437"/>
      <c r="AV98" s="437"/>
      <c r="AW98" s="437"/>
      <c r="AX98" s="436">
        <v>93</v>
      </c>
      <c r="AY98" s="490" t="s">
        <v>1438</v>
      </c>
      <c r="AZ98" s="490" t="s">
        <v>1457</v>
      </c>
      <c r="BA98" s="490" t="s">
        <v>1458</v>
      </c>
      <c r="BB98" s="490" t="s">
        <v>1459</v>
      </c>
      <c r="BC98" s="490" t="s">
        <v>1460</v>
      </c>
      <c r="BD98" s="490" t="s">
        <v>1461</v>
      </c>
      <c r="BE98" s="490" t="s">
        <v>1462</v>
      </c>
      <c r="BF98" s="490" t="s">
        <v>1288</v>
      </c>
      <c r="BG98" s="490" t="s">
        <v>1463</v>
      </c>
      <c r="BH98" s="490" t="s">
        <v>1464</v>
      </c>
      <c r="BI98" s="490" t="s">
        <v>1465</v>
      </c>
      <c r="BJ98" s="490" t="s">
        <v>1466</v>
      </c>
      <c r="BK98" s="437"/>
      <c r="BL98" s="437"/>
      <c r="BM98" s="437"/>
      <c r="BN98" s="437"/>
      <c r="BO98" s="437"/>
      <c r="BP98" s="437"/>
    </row>
    <row r="99" spans="1:68">
      <c r="A99" s="437">
        <v>33</v>
      </c>
      <c r="B99" s="437">
        <v>24</v>
      </c>
      <c r="C99" s="437">
        <v>2</v>
      </c>
      <c r="D99" s="437">
        <v>36</v>
      </c>
      <c r="E99" s="437">
        <v>26</v>
      </c>
      <c r="F99" s="437">
        <v>23</v>
      </c>
      <c r="G99" s="437">
        <v>14</v>
      </c>
      <c r="H99" s="437">
        <v>30</v>
      </c>
      <c r="I99" s="437">
        <v>20</v>
      </c>
      <c r="J99" s="437">
        <v>16</v>
      </c>
      <c r="K99" s="437">
        <v>15</v>
      </c>
      <c r="L99" s="437">
        <v>13</v>
      </c>
      <c r="M99" s="437">
        <v>36</v>
      </c>
      <c r="N99" s="437">
        <v>36</v>
      </c>
      <c r="O99" s="437">
        <v>14</v>
      </c>
      <c r="P99" s="437">
        <v>32</v>
      </c>
      <c r="Q99" s="437">
        <v>39</v>
      </c>
      <c r="R99" s="437">
        <v>11</v>
      </c>
      <c r="S99" s="437">
        <v>9</v>
      </c>
      <c r="T99" s="437">
        <v>18</v>
      </c>
      <c r="U99" s="437">
        <v>18</v>
      </c>
      <c r="V99" s="437">
        <v>34</v>
      </c>
      <c r="W99" s="437">
        <v>32</v>
      </c>
      <c r="X99" s="437">
        <v>6</v>
      </c>
      <c r="Y99" s="437">
        <v>24</v>
      </c>
      <c r="Z99" s="437">
        <v>13</v>
      </c>
      <c r="AA99" s="437">
        <v>25</v>
      </c>
      <c r="AB99" s="437">
        <v>10</v>
      </c>
      <c r="AC99" s="437"/>
      <c r="AD99" s="437"/>
      <c r="AE99" s="437"/>
      <c r="AF99" s="437"/>
      <c r="AG99" s="437"/>
      <c r="AH99" s="437"/>
      <c r="AI99" s="437"/>
      <c r="AJ99" s="437"/>
      <c r="AK99" s="436"/>
      <c r="AL99" s="437"/>
      <c r="AM99" s="437"/>
      <c r="AN99" s="437"/>
      <c r="AO99" s="437"/>
      <c r="AP99" s="437"/>
      <c r="AQ99" s="437"/>
      <c r="AR99" s="437"/>
      <c r="AS99" s="437"/>
      <c r="AT99" s="437"/>
      <c r="AU99" s="437"/>
      <c r="AV99" s="437"/>
      <c r="AW99" s="437"/>
      <c r="AX99" s="436">
        <v>94</v>
      </c>
      <c r="AY99" s="490" t="s">
        <v>1448</v>
      </c>
      <c r="AZ99" s="490" t="s">
        <v>1467</v>
      </c>
      <c r="BA99" s="490" t="s">
        <v>1468</v>
      </c>
      <c r="BB99" s="490" t="s">
        <v>1469</v>
      </c>
      <c r="BC99" s="490" t="s">
        <v>1470</v>
      </c>
      <c r="BD99" s="490" t="s">
        <v>1471</v>
      </c>
      <c r="BE99" s="490" t="s">
        <v>1472</v>
      </c>
      <c r="BF99" s="490" t="s">
        <v>1473</v>
      </c>
      <c r="BG99" s="490" t="s">
        <v>1474</v>
      </c>
      <c r="BH99" s="490" t="s">
        <v>366</v>
      </c>
      <c r="BI99" s="490" t="s">
        <v>1475</v>
      </c>
      <c r="BJ99" s="490" t="s">
        <v>1476</v>
      </c>
      <c r="BK99" s="437"/>
      <c r="BL99" s="437"/>
      <c r="BM99" s="437"/>
      <c r="BN99" s="437"/>
      <c r="BO99" s="437"/>
      <c r="BP99" s="437"/>
    </row>
    <row r="100" spans="1:68">
      <c r="A100" s="437">
        <v>34</v>
      </c>
      <c r="B100" s="437">
        <v>14</v>
      </c>
      <c r="C100" s="437">
        <v>24</v>
      </c>
      <c r="D100" s="437">
        <v>4</v>
      </c>
      <c r="E100" s="437">
        <v>2</v>
      </c>
      <c r="F100" s="437">
        <v>37</v>
      </c>
      <c r="G100" s="437">
        <v>40</v>
      </c>
      <c r="H100" s="437">
        <v>18</v>
      </c>
      <c r="I100" s="437">
        <v>30</v>
      </c>
      <c r="J100" s="437">
        <v>20</v>
      </c>
      <c r="K100" s="437">
        <v>36</v>
      </c>
      <c r="L100" s="437">
        <v>25</v>
      </c>
      <c r="M100" s="437">
        <v>4</v>
      </c>
      <c r="N100" s="437">
        <v>13</v>
      </c>
      <c r="O100" s="437">
        <v>40</v>
      </c>
      <c r="P100" s="437">
        <v>23</v>
      </c>
      <c r="Q100" s="437">
        <v>1</v>
      </c>
      <c r="R100" s="437">
        <v>39</v>
      </c>
      <c r="S100" s="437">
        <v>33</v>
      </c>
      <c r="T100" s="437">
        <v>39</v>
      </c>
      <c r="U100" s="437">
        <v>11</v>
      </c>
      <c r="V100" s="437">
        <v>6</v>
      </c>
      <c r="W100" s="437">
        <v>7</v>
      </c>
      <c r="X100" s="437">
        <v>15</v>
      </c>
      <c r="Y100" s="437">
        <v>37</v>
      </c>
      <c r="Z100" s="437">
        <v>25</v>
      </c>
      <c r="AA100" s="437">
        <v>8</v>
      </c>
      <c r="AB100" s="437">
        <v>31</v>
      </c>
      <c r="AC100" s="437"/>
      <c r="AD100" s="437"/>
      <c r="AE100" s="437"/>
      <c r="AF100" s="437"/>
      <c r="AG100" s="437"/>
      <c r="AH100" s="437"/>
      <c r="AI100" s="437"/>
      <c r="AJ100" s="437"/>
      <c r="AK100" s="436"/>
      <c r="AL100" s="437"/>
      <c r="AM100" s="437"/>
      <c r="AN100" s="437"/>
      <c r="AO100" s="437"/>
      <c r="AP100" s="437"/>
      <c r="AQ100" s="437"/>
      <c r="AR100" s="437"/>
      <c r="AS100" s="437"/>
      <c r="AT100" s="437"/>
      <c r="AU100" s="437"/>
      <c r="AV100" s="437"/>
      <c r="AW100" s="437"/>
      <c r="AX100" s="436">
        <v>95</v>
      </c>
      <c r="AY100" s="490" t="s">
        <v>1477</v>
      </c>
      <c r="AZ100" s="490" t="s">
        <v>1478</v>
      </c>
      <c r="BA100" s="490" t="s">
        <v>1479</v>
      </c>
      <c r="BB100" s="490" t="s">
        <v>1480</v>
      </c>
      <c r="BC100" s="490" t="s">
        <v>1481</v>
      </c>
      <c r="BD100" s="490" t="s">
        <v>1482</v>
      </c>
      <c r="BE100" s="490" t="s">
        <v>1483</v>
      </c>
      <c r="BF100" s="490" t="s">
        <v>1484</v>
      </c>
      <c r="BG100" s="490" t="s">
        <v>1485</v>
      </c>
      <c r="BH100" s="490" t="s">
        <v>1486</v>
      </c>
      <c r="BI100" s="490" t="s">
        <v>1487</v>
      </c>
      <c r="BJ100" s="490" t="s">
        <v>1488</v>
      </c>
      <c r="BK100" s="437"/>
      <c r="BL100" s="437"/>
      <c r="BM100" s="437"/>
      <c r="BN100" s="437"/>
      <c r="BO100" s="437"/>
      <c r="BP100" s="437"/>
    </row>
    <row r="101" spans="1:68">
      <c r="A101" s="437">
        <v>35</v>
      </c>
      <c r="B101" s="437">
        <v>2</v>
      </c>
      <c r="C101" s="437">
        <v>26</v>
      </c>
      <c r="D101" s="437">
        <v>7</v>
      </c>
      <c r="E101" s="437">
        <v>1</v>
      </c>
      <c r="F101" s="437">
        <v>18</v>
      </c>
      <c r="G101" s="437">
        <v>31</v>
      </c>
      <c r="H101" s="437">
        <v>10</v>
      </c>
      <c r="I101" s="437">
        <v>39</v>
      </c>
      <c r="J101" s="437">
        <v>29</v>
      </c>
      <c r="K101" s="437">
        <v>37</v>
      </c>
      <c r="L101" s="437">
        <v>12</v>
      </c>
      <c r="M101" s="437">
        <v>19</v>
      </c>
      <c r="N101" s="437">
        <v>39</v>
      </c>
      <c r="O101" s="437">
        <v>16</v>
      </c>
      <c r="P101" s="437">
        <v>38</v>
      </c>
      <c r="Q101" s="437">
        <v>1</v>
      </c>
      <c r="R101" s="437">
        <v>29</v>
      </c>
      <c r="S101" s="437">
        <v>31</v>
      </c>
      <c r="T101" s="437">
        <v>20</v>
      </c>
      <c r="U101" s="437">
        <v>11</v>
      </c>
      <c r="V101" s="437">
        <v>17</v>
      </c>
      <c r="W101" s="437">
        <v>33</v>
      </c>
      <c r="X101" s="437">
        <v>22</v>
      </c>
      <c r="Y101" s="437">
        <v>21</v>
      </c>
      <c r="Z101" s="437">
        <v>9</v>
      </c>
      <c r="AA101" s="437">
        <v>9</v>
      </c>
      <c r="AB101" s="437">
        <v>5</v>
      </c>
      <c r="AC101" s="437"/>
      <c r="AD101" s="437"/>
      <c r="AE101" s="437"/>
      <c r="AF101" s="437"/>
      <c r="AG101" s="437"/>
      <c r="AH101" s="437"/>
      <c r="AI101" s="437"/>
      <c r="AJ101" s="437"/>
      <c r="AK101" s="436"/>
      <c r="AL101" s="437"/>
      <c r="AM101" s="437"/>
      <c r="AN101" s="437"/>
      <c r="AO101" s="437"/>
      <c r="AP101" s="437"/>
      <c r="AQ101" s="437"/>
      <c r="AR101" s="437"/>
      <c r="AS101" s="437"/>
      <c r="AT101" s="437"/>
      <c r="AU101" s="437"/>
      <c r="AV101" s="437"/>
      <c r="AW101" s="437"/>
      <c r="AX101" s="436">
        <v>96</v>
      </c>
      <c r="AY101" s="490" t="s">
        <v>1489</v>
      </c>
      <c r="AZ101" s="490" t="s">
        <v>1490</v>
      </c>
      <c r="BA101" s="490" t="s">
        <v>1491</v>
      </c>
      <c r="BB101" s="490" t="s">
        <v>1492</v>
      </c>
      <c r="BC101" s="490" t="s">
        <v>1493</v>
      </c>
      <c r="BD101" s="490" t="s">
        <v>1494</v>
      </c>
      <c r="BE101" s="490" t="s">
        <v>1473</v>
      </c>
      <c r="BF101" s="490" t="s">
        <v>1495</v>
      </c>
      <c r="BG101" s="490" t="s">
        <v>1496</v>
      </c>
      <c r="BH101" s="490" t="s">
        <v>1497</v>
      </c>
      <c r="BI101" s="490" t="s">
        <v>1498</v>
      </c>
      <c r="BJ101" s="490" t="s">
        <v>1499</v>
      </c>
      <c r="BK101" s="437"/>
      <c r="BL101" s="437"/>
      <c r="BM101" s="437"/>
      <c r="BN101" s="437"/>
      <c r="BO101" s="437"/>
      <c r="BP101" s="437"/>
    </row>
    <row r="102" spans="1:68">
      <c r="A102" s="437">
        <v>36</v>
      </c>
      <c r="B102" s="437">
        <v>14</v>
      </c>
      <c r="C102" s="437">
        <v>2</v>
      </c>
      <c r="D102" s="437">
        <v>23</v>
      </c>
      <c r="E102" s="437">
        <v>37</v>
      </c>
      <c r="F102" s="437">
        <v>11</v>
      </c>
      <c r="G102" s="437">
        <v>5</v>
      </c>
      <c r="H102" s="437">
        <v>31</v>
      </c>
      <c r="I102" s="437">
        <v>1</v>
      </c>
      <c r="J102" s="437">
        <v>38</v>
      </c>
      <c r="K102" s="437">
        <v>26</v>
      </c>
      <c r="L102" s="437">
        <v>3</v>
      </c>
      <c r="M102" s="437">
        <v>12</v>
      </c>
      <c r="N102" s="437">
        <v>1</v>
      </c>
      <c r="O102" s="437">
        <v>20</v>
      </c>
      <c r="P102" s="437">
        <v>16</v>
      </c>
      <c r="Q102" s="437">
        <v>32</v>
      </c>
      <c r="R102" s="437">
        <v>16</v>
      </c>
      <c r="S102" s="437">
        <v>5</v>
      </c>
      <c r="T102" s="437">
        <v>30</v>
      </c>
      <c r="U102" s="437">
        <v>39</v>
      </c>
      <c r="V102" s="437">
        <v>10</v>
      </c>
      <c r="W102" s="437">
        <v>17</v>
      </c>
      <c r="X102" s="437">
        <v>25</v>
      </c>
      <c r="Y102" s="437">
        <v>17</v>
      </c>
      <c r="Z102" s="437">
        <v>21</v>
      </c>
      <c r="AA102" s="437">
        <v>28</v>
      </c>
      <c r="AB102" s="437">
        <v>29</v>
      </c>
      <c r="AC102" s="437"/>
      <c r="AD102" s="437"/>
      <c r="AE102" s="437"/>
      <c r="AF102" s="437"/>
      <c r="AG102" s="437"/>
      <c r="AH102" s="437"/>
      <c r="AI102" s="437"/>
      <c r="AJ102" s="437"/>
      <c r="AK102" s="436"/>
      <c r="AL102" s="437"/>
      <c r="AM102" s="437"/>
      <c r="AN102" s="437"/>
      <c r="AO102" s="437"/>
      <c r="AP102" s="437"/>
      <c r="AQ102" s="437"/>
      <c r="AR102" s="437"/>
      <c r="AS102" s="437"/>
      <c r="AT102" s="437"/>
      <c r="AU102" s="437"/>
      <c r="AV102" s="437"/>
      <c r="AW102" s="437"/>
      <c r="AX102" s="436">
        <v>97</v>
      </c>
      <c r="AY102" s="490" t="s">
        <v>1500</v>
      </c>
      <c r="AZ102" s="490" t="s">
        <v>1501</v>
      </c>
      <c r="BA102" s="490" t="s">
        <v>1502</v>
      </c>
      <c r="BB102" s="490" t="s">
        <v>1503</v>
      </c>
      <c r="BC102" s="490" t="s">
        <v>1504</v>
      </c>
      <c r="BD102" s="490" t="s">
        <v>1505</v>
      </c>
      <c r="BE102" s="490" t="s">
        <v>1484</v>
      </c>
      <c r="BF102" s="490" t="s">
        <v>1506</v>
      </c>
      <c r="BG102" s="490" t="s">
        <v>1507</v>
      </c>
      <c r="BH102" s="490" t="s">
        <v>392</v>
      </c>
      <c r="BI102" s="490" t="s">
        <v>1508</v>
      </c>
      <c r="BJ102" s="490" t="s">
        <v>1509</v>
      </c>
      <c r="BK102" s="437"/>
      <c r="BL102" s="437"/>
      <c r="BM102" s="437"/>
      <c r="BN102" s="437"/>
      <c r="BO102" s="437"/>
      <c r="BP102" s="437"/>
    </row>
    <row r="103" spans="1:68">
      <c r="A103" s="437">
        <v>37</v>
      </c>
      <c r="B103" s="437">
        <v>24</v>
      </c>
      <c r="C103" s="437">
        <v>24</v>
      </c>
      <c r="D103" s="437">
        <v>37</v>
      </c>
      <c r="E103" s="437">
        <v>26</v>
      </c>
      <c r="F103" s="437">
        <v>39</v>
      </c>
      <c r="G103" s="437">
        <v>29</v>
      </c>
      <c r="H103" s="437">
        <v>5</v>
      </c>
      <c r="I103" s="437">
        <v>32</v>
      </c>
      <c r="J103" s="437">
        <v>16</v>
      </c>
      <c r="K103" s="437">
        <v>2</v>
      </c>
      <c r="L103" s="437">
        <v>28</v>
      </c>
      <c r="M103" s="437">
        <v>3</v>
      </c>
      <c r="N103" s="437">
        <v>32</v>
      </c>
      <c r="O103" s="437">
        <v>30</v>
      </c>
      <c r="P103" s="437">
        <v>20</v>
      </c>
      <c r="Q103" s="437">
        <v>7</v>
      </c>
      <c r="R103" s="437">
        <v>38</v>
      </c>
      <c r="S103" s="437">
        <v>29</v>
      </c>
      <c r="T103" s="437">
        <v>18</v>
      </c>
      <c r="U103" s="437">
        <v>1</v>
      </c>
      <c r="V103" s="437">
        <v>31</v>
      </c>
      <c r="W103" s="437">
        <v>31</v>
      </c>
      <c r="X103" s="437">
        <v>8</v>
      </c>
      <c r="Y103" s="437">
        <v>33</v>
      </c>
      <c r="Z103" s="437">
        <v>33</v>
      </c>
      <c r="AA103" s="437">
        <v>3</v>
      </c>
      <c r="AB103" s="437">
        <v>38</v>
      </c>
      <c r="AC103" s="437"/>
      <c r="AD103" s="437"/>
      <c r="AE103" s="437"/>
      <c r="AF103" s="437"/>
      <c r="AG103" s="437"/>
      <c r="AH103" s="437"/>
      <c r="AI103" s="437"/>
      <c r="AJ103" s="437"/>
      <c r="AK103" s="436"/>
      <c r="AL103" s="437"/>
      <c r="AM103" s="437"/>
      <c r="AN103" s="437"/>
      <c r="AO103" s="437"/>
      <c r="AP103" s="437"/>
      <c r="AQ103" s="437"/>
      <c r="AR103" s="437"/>
      <c r="AS103" s="437"/>
      <c r="AT103" s="437"/>
      <c r="AU103" s="437"/>
      <c r="AV103" s="437"/>
      <c r="AW103" s="437"/>
      <c r="AX103" s="436">
        <v>98</v>
      </c>
      <c r="AY103" s="490" t="s">
        <v>1510</v>
      </c>
      <c r="AZ103" s="490" t="s">
        <v>1511</v>
      </c>
      <c r="BA103" s="490" t="s">
        <v>1512</v>
      </c>
      <c r="BB103" s="490" t="s">
        <v>1513</v>
      </c>
      <c r="BC103" s="490" t="s">
        <v>1514</v>
      </c>
      <c r="BD103" s="490" t="s">
        <v>1515</v>
      </c>
      <c r="BE103" s="490" t="s">
        <v>1495</v>
      </c>
      <c r="BF103" s="490" t="s">
        <v>1516</v>
      </c>
      <c r="BG103" s="490" t="s">
        <v>1517</v>
      </c>
      <c r="BH103" s="490" t="s">
        <v>1518</v>
      </c>
      <c r="BI103" s="490" t="s">
        <v>1519</v>
      </c>
      <c r="BJ103" s="490" t="s">
        <v>1520</v>
      </c>
      <c r="BK103" s="437"/>
      <c r="BL103" s="437"/>
      <c r="BM103" s="437"/>
      <c r="BN103" s="437"/>
      <c r="BO103" s="437"/>
      <c r="BP103" s="437"/>
    </row>
    <row r="104" spans="1:68">
      <c r="A104" s="437">
        <v>38</v>
      </c>
      <c r="B104" s="437">
        <v>40</v>
      </c>
      <c r="C104" s="437">
        <v>14</v>
      </c>
      <c r="D104" s="437">
        <v>2</v>
      </c>
      <c r="E104" s="437">
        <v>2</v>
      </c>
      <c r="F104" s="437">
        <v>1</v>
      </c>
      <c r="G104" s="437">
        <v>38</v>
      </c>
      <c r="H104" s="437">
        <v>29</v>
      </c>
      <c r="I104" s="437">
        <v>7</v>
      </c>
      <c r="J104" s="437">
        <v>20</v>
      </c>
      <c r="K104" s="437">
        <v>24</v>
      </c>
      <c r="L104" s="437">
        <v>9</v>
      </c>
      <c r="M104" s="437">
        <v>28</v>
      </c>
      <c r="N104" s="437">
        <v>7</v>
      </c>
      <c r="O104" s="437">
        <v>11</v>
      </c>
      <c r="P104" s="437">
        <v>18</v>
      </c>
      <c r="Q104" s="437">
        <v>23</v>
      </c>
      <c r="R104" s="437">
        <v>20</v>
      </c>
      <c r="S104" s="437">
        <v>38</v>
      </c>
      <c r="T104" s="437">
        <v>11</v>
      </c>
      <c r="U104" s="437">
        <v>32</v>
      </c>
      <c r="V104" s="437">
        <v>5</v>
      </c>
      <c r="W104" s="437">
        <v>10</v>
      </c>
      <c r="X104" s="437">
        <v>35</v>
      </c>
      <c r="Y104" s="437">
        <v>10</v>
      </c>
      <c r="Z104" s="437">
        <v>17</v>
      </c>
      <c r="AA104" s="437">
        <v>21</v>
      </c>
      <c r="AB104" s="437">
        <v>16</v>
      </c>
      <c r="AC104" s="437"/>
      <c r="AD104" s="437"/>
      <c r="AE104" s="437"/>
      <c r="AF104" s="437"/>
      <c r="AG104" s="437"/>
      <c r="AH104" s="437"/>
      <c r="AI104" s="437"/>
      <c r="AJ104" s="437"/>
      <c r="AK104" s="436"/>
      <c r="AL104" s="437"/>
      <c r="AM104" s="437"/>
      <c r="AN104" s="437"/>
      <c r="AO104" s="437"/>
      <c r="AP104" s="437"/>
      <c r="AQ104" s="437"/>
      <c r="AR104" s="437"/>
      <c r="AS104" s="437"/>
      <c r="AT104" s="437"/>
      <c r="AU104" s="437"/>
      <c r="AV104" s="437"/>
      <c r="AW104" s="437"/>
      <c r="AX104" s="436">
        <v>99</v>
      </c>
      <c r="AY104" s="490" t="s">
        <v>1521</v>
      </c>
      <c r="AZ104" s="490" t="s">
        <v>1522</v>
      </c>
      <c r="BA104" s="490" t="s">
        <v>1523</v>
      </c>
      <c r="BB104" s="490" t="s">
        <v>1524</v>
      </c>
      <c r="BC104" s="490" t="s">
        <v>1525</v>
      </c>
      <c r="BD104" s="490" t="s">
        <v>1526</v>
      </c>
      <c r="BE104" s="490" t="s">
        <v>1506</v>
      </c>
      <c r="BF104" s="490" t="s">
        <v>1527</v>
      </c>
      <c r="BG104" s="490" t="s">
        <v>1528</v>
      </c>
      <c r="BH104" s="490" t="s">
        <v>1529</v>
      </c>
      <c r="BI104" s="490" t="s">
        <v>1530</v>
      </c>
      <c r="BJ104" s="490" t="s">
        <v>1531</v>
      </c>
      <c r="BK104" s="437"/>
      <c r="BL104" s="437"/>
      <c r="BM104" s="437"/>
      <c r="BN104" s="437"/>
      <c r="BO104" s="437"/>
      <c r="BP104" s="437"/>
    </row>
    <row r="105" spans="1:68">
      <c r="A105" s="437">
        <v>39</v>
      </c>
      <c r="B105" s="437">
        <v>34</v>
      </c>
      <c r="C105" s="437">
        <v>40</v>
      </c>
      <c r="D105" s="437">
        <v>26</v>
      </c>
      <c r="E105" s="437">
        <v>24</v>
      </c>
      <c r="F105" s="437">
        <v>32</v>
      </c>
      <c r="G105" s="437">
        <v>20</v>
      </c>
      <c r="H105" s="437">
        <v>38</v>
      </c>
      <c r="I105" s="437">
        <v>23</v>
      </c>
      <c r="J105" s="437">
        <v>30</v>
      </c>
      <c r="K105" s="437">
        <v>14</v>
      </c>
      <c r="L105" s="437">
        <v>21</v>
      </c>
      <c r="M105" s="437">
        <v>9</v>
      </c>
      <c r="N105" s="437">
        <v>23</v>
      </c>
      <c r="O105" s="437">
        <v>39</v>
      </c>
      <c r="P105" s="437">
        <v>30</v>
      </c>
      <c r="Q105" s="437">
        <v>37</v>
      </c>
      <c r="R105" s="437">
        <v>30</v>
      </c>
      <c r="S105" s="437">
        <v>16</v>
      </c>
      <c r="T105" s="437">
        <v>39</v>
      </c>
      <c r="U105" s="437">
        <v>7</v>
      </c>
      <c r="V105" s="437">
        <v>29</v>
      </c>
      <c r="W105" s="437">
        <v>5</v>
      </c>
      <c r="X105" s="437">
        <v>190</v>
      </c>
      <c r="Y105" s="437">
        <v>31</v>
      </c>
      <c r="Z105" s="437">
        <v>10</v>
      </c>
      <c r="AA105" s="437">
        <v>33</v>
      </c>
      <c r="AB105" s="437">
        <v>20</v>
      </c>
      <c r="AC105" s="437"/>
      <c r="AD105" s="437"/>
      <c r="AE105" s="437"/>
      <c r="AF105" s="437"/>
      <c r="AG105" s="437"/>
      <c r="AH105" s="437"/>
      <c r="AI105" s="437"/>
      <c r="AJ105" s="437"/>
      <c r="AK105" s="436"/>
      <c r="AL105" s="437"/>
      <c r="AM105" s="437"/>
      <c r="AN105" s="437"/>
      <c r="AO105" s="437"/>
      <c r="AP105" s="437"/>
      <c r="AQ105" s="437"/>
      <c r="AR105" s="437"/>
      <c r="AS105" s="437"/>
      <c r="AT105" s="437"/>
      <c r="AU105" s="437"/>
      <c r="AV105" s="437"/>
      <c r="AW105" s="437"/>
      <c r="AX105" s="436">
        <v>100</v>
      </c>
      <c r="AY105" s="490" t="s">
        <v>1532</v>
      </c>
      <c r="AZ105" s="490" t="s">
        <v>1533</v>
      </c>
      <c r="BA105" s="490" t="s">
        <v>1534</v>
      </c>
      <c r="BB105" s="490" t="s">
        <v>1535</v>
      </c>
      <c r="BC105" s="490" t="s">
        <v>1536</v>
      </c>
      <c r="BD105" s="490" t="s">
        <v>1537</v>
      </c>
      <c r="BE105" s="490" t="s">
        <v>1538</v>
      </c>
      <c r="BF105" s="490" t="s">
        <v>1539</v>
      </c>
      <c r="BG105" s="490" t="s">
        <v>1540</v>
      </c>
      <c r="BH105" s="490" t="s">
        <v>764</v>
      </c>
      <c r="BI105" s="490" t="s">
        <v>1541</v>
      </c>
      <c r="BJ105" s="490" t="s">
        <v>1542</v>
      </c>
      <c r="BK105" s="437"/>
      <c r="BL105" s="437"/>
      <c r="BM105" s="437"/>
      <c r="BN105" s="437"/>
      <c r="BO105" s="437"/>
      <c r="BP105" s="437"/>
    </row>
    <row r="106" spans="1:68">
      <c r="A106" s="437">
        <v>40</v>
      </c>
      <c r="B106" s="437">
        <v>6</v>
      </c>
      <c r="C106" s="437">
        <v>34</v>
      </c>
      <c r="D106" s="437">
        <v>14</v>
      </c>
      <c r="E106" s="437">
        <v>14</v>
      </c>
      <c r="F106" s="437">
        <v>7</v>
      </c>
      <c r="G106" s="437">
        <v>16</v>
      </c>
      <c r="H106" s="437">
        <v>16</v>
      </c>
      <c r="I106" s="437">
        <v>37</v>
      </c>
      <c r="J106" s="437">
        <v>18</v>
      </c>
      <c r="K106" s="437">
        <v>40</v>
      </c>
      <c r="L106" s="437">
        <v>33</v>
      </c>
      <c r="M106" s="437">
        <v>21</v>
      </c>
      <c r="N106" s="437">
        <v>37</v>
      </c>
      <c r="O106" s="437">
        <v>18</v>
      </c>
      <c r="P106" s="437">
        <v>11</v>
      </c>
      <c r="Q106" s="437">
        <v>26</v>
      </c>
      <c r="R106" s="437">
        <v>18</v>
      </c>
      <c r="S106" s="437">
        <v>20</v>
      </c>
      <c r="T106" s="437">
        <v>1</v>
      </c>
      <c r="U106" s="437">
        <v>23</v>
      </c>
      <c r="V106" s="437">
        <v>38</v>
      </c>
      <c r="W106" s="437">
        <v>29</v>
      </c>
      <c r="X106" s="437">
        <v>27</v>
      </c>
      <c r="Y106" s="437">
        <v>5</v>
      </c>
      <c r="Z106" s="437">
        <v>31</v>
      </c>
      <c r="AA106" s="437">
        <v>17</v>
      </c>
      <c r="AB106" s="437">
        <v>30</v>
      </c>
      <c r="AC106" s="437"/>
      <c r="AD106" s="437"/>
      <c r="AE106" s="437"/>
      <c r="AF106" s="437"/>
      <c r="AG106" s="437"/>
      <c r="AH106" s="437"/>
      <c r="AI106" s="437"/>
      <c r="AJ106" s="437"/>
      <c r="AK106" s="436"/>
      <c r="AL106" s="437"/>
      <c r="AM106" s="437"/>
      <c r="AN106" s="437"/>
      <c r="AO106" s="437"/>
      <c r="AP106" s="437"/>
      <c r="AQ106" s="437"/>
      <c r="AR106" s="437"/>
      <c r="AS106" s="437"/>
      <c r="AT106" s="437"/>
      <c r="AU106" s="437"/>
      <c r="AV106" s="437"/>
      <c r="AW106" s="437"/>
      <c r="AX106" s="436">
        <v>101</v>
      </c>
      <c r="AY106" s="490" t="s">
        <v>1543</v>
      </c>
      <c r="AZ106" s="490" t="s">
        <v>1544</v>
      </c>
      <c r="BA106" s="490" t="s">
        <v>1533</v>
      </c>
      <c r="BB106" s="490" t="s">
        <v>1449</v>
      </c>
      <c r="BC106" s="490" t="s">
        <v>1545</v>
      </c>
      <c r="BD106" s="490" t="s">
        <v>1546</v>
      </c>
      <c r="BE106" s="490" t="s">
        <v>1527</v>
      </c>
      <c r="BF106" s="490" t="s">
        <v>1547</v>
      </c>
      <c r="BG106" s="490" t="s">
        <v>1548</v>
      </c>
      <c r="BH106" s="490" t="s">
        <v>1549</v>
      </c>
      <c r="BI106" s="490" t="s">
        <v>1416</v>
      </c>
      <c r="BJ106" s="490" t="s">
        <v>1550</v>
      </c>
      <c r="BK106" s="437"/>
      <c r="BL106" s="437"/>
      <c r="BM106" s="437"/>
      <c r="BN106" s="437"/>
      <c r="BO106" s="437"/>
      <c r="BP106" s="437"/>
    </row>
    <row r="107" spans="1:68">
      <c r="A107" s="437"/>
      <c r="B107" s="437"/>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437"/>
      <c r="AE107" s="437"/>
      <c r="AF107" s="437"/>
      <c r="AG107" s="437"/>
      <c r="AH107" s="437"/>
      <c r="AI107" s="437"/>
      <c r="AJ107" s="437"/>
      <c r="AK107" s="436"/>
      <c r="AL107" s="437"/>
      <c r="AM107" s="437"/>
      <c r="AN107" s="437"/>
      <c r="AO107" s="437"/>
      <c r="AP107" s="437"/>
      <c r="AQ107" s="437"/>
      <c r="AR107" s="437"/>
      <c r="AS107" s="437"/>
      <c r="AT107" s="437"/>
      <c r="AU107" s="437"/>
      <c r="AV107" s="437"/>
      <c r="AW107" s="437"/>
      <c r="AX107" s="436">
        <v>102</v>
      </c>
      <c r="AY107" s="490" t="s">
        <v>1551</v>
      </c>
      <c r="AZ107" s="490" t="s">
        <v>1552</v>
      </c>
      <c r="BA107" s="490" t="s">
        <v>1553</v>
      </c>
      <c r="BB107" s="490" t="s">
        <v>1554</v>
      </c>
      <c r="BC107" s="490" t="s">
        <v>1555</v>
      </c>
      <c r="BD107" s="490" t="s">
        <v>1441</v>
      </c>
      <c r="BE107" s="490" t="s">
        <v>1539</v>
      </c>
      <c r="BF107" s="490" t="s">
        <v>1556</v>
      </c>
      <c r="BG107" s="490" t="s">
        <v>1557</v>
      </c>
      <c r="BH107" s="490" t="s">
        <v>1463</v>
      </c>
      <c r="BI107" s="490" t="s">
        <v>1558</v>
      </c>
      <c r="BJ107" s="490" t="s">
        <v>1559</v>
      </c>
      <c r="BK107" s="437"/>
      <c r="BL107" s="437"/>
      <c r="BM107" s="437"/>
      <c r="BN107" s="437"/>
      <c r="BO107" s="437"/>
      <c r="BP107" s="437"/>
    </row>
    <row r="108" spans="1:68">
      <c r="A108" s="437"/>
      <c r="B108" s="437"/>
      <c r="C108" s="437"/>
      <c r="D108" s="437"/>
      <c r="E108" s="437"/>
      <c r="F108" s="437"/>
      <c r="G108" s="437"/>
      <c r="H108" s="437"/>
      <c r="I108" s="437"/>
      <c r="J108" s="437"/>
      <c r="K108" s="437"/>
      <c r="L108" s="437"/>
      <c r="M108" s="437"/>
      <c r="N108" s="437"/>
      <c r="O108" s="437"/>
      <c r="P108" s="437"/>
      <c r="Q108" s="437"/>
      <c r="R108" s="437"/>
      <c r="S108" s="437"/>
      <c r="T108" s="437"/>
      <c r="U108" s="437"/>
      <c r="V108" s="437"/>
      <c r="W108" s="437"/>
      <c r="X108" s="437"/>
      <c r="Y108" s="437"/>
      <c r="Z108" s="437"/>
      <c r="AA108" s="437"/>
      <c r="AB108" s="437"/>
      <c r="AC108" s="437"/>
      <c r="AD108" s="437"/>
      <c r="AE108" s="437"/>
      <c r="AF108" s="437"/>
      <c r="AG108" s="437"/>
      <c r="AH108" s="437"/>
      <c r="AI108" s="437"/>
      <c r="AJ108" s="437"/>
      <c r="AK108" s="436"/>
      <c r="AL108" s="437"/>
      <c r="AM108" s="437"/>
      <c r="AN108" s="437"/>
      <c r="AO108" s="437"/>
      <c r="AP108" s="437"/>
      <c r="AQ108" s="437"/>
      <c r="AR108" s="437"/>
      <c r="AS108" s="437"/>
      <c r="AT108" s="437"/>
      <c r="AU108" s="437"/>
      <c r="AV108" s="437"/>
      <c r="AW108" s="437"/>
      <c r="AX108" s="436">
        <v>103</v>
      </c>
      <c r="AY108" s="490" t="s">
        <v>1560</v>
      </c>
      <c r="AZ108" s="490" t="s">
        <v>1561</v>
      </c>
      <c r="BA108" s="490" t="s">
        <v>1562</v>
      </c>
      <c r="BB108" s="490" t="s">
        <v>1563</v>
      </c>
      <c r="BC108" s="490" t="s">
        <v>1564</v>
      </c>
      <c r="BD108" s="490" t="s">
        <v>1565</v>
      </c>
      <c r="BE108" s="490" t="s">
        <v>1547</v>
      </c>
      <c r="BF108" s="490" t="s">
        <v>1566</v>
      </c>
      <c r="BG108" s="490" t="s">
        <v>1567</v>
      </c>
      <c r="BH108" s="490" t="s">
        <v>1568</v>
      </c>
      <c r="BI108" s="490" t="s">
        <v>1569</v>
      </c>
      <c r="BJ108" s="490" t="s">
        <v>1570</v>
      </c>
      <c r="BK108" s="437"/>
      <c r="BL108" s="437"/>
      <c r="BM108" s="437"/>
      <c r="BN108" s="437"/>
      <c r="BO108" s="437"/>
      <c r="BP108" s="437"/>
    </row>
    <row r="109" spans="1:68">
      <c r="A109" s="437"/>
      <c r="B109" s="437"/>
      <c r="C109" s="437"/>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437"/>
      <c r="AE109" s="437"/>
      <c r="AF109" s="437"/>
      <c r="AG109" s="437"/>
      <c r="AH109" s="437"/>
      <c r="AI109" s="437"/>
      <c r="AJ109" s="437"/>
      <c r="AK109" s="436"/>
      <c r="AL109" s="437"/>
      <c r="AM109" s="437"/>
      <c r="AN109" s="437"/>
      <c r="AO109" s="437"/>
      <c r="AP109" s="437"/>
      <c r="AQ109" s="437"/>
      <c r="AR109" s="437"/>
      <c r="AS109" s="437"/>
      <c r="AT109" s="437"/>
      <c r="AU109" s="437"/>
      <c r="AV109" s="437"/>
      <c r="AW109" s="437"/>
      <c r="AX109" s="436">
        <v>104</v>
      </c>
      <c r="AY109" s="490" t="s">
        <v>1571</v>
      </c>
      <c r="AZ109" s="490" t="s">
        <v>1572</v>
      </c>
      <c r="BA109" s="490" t="s">
        <v>1573</v>
      </c>
      <c r="BB109" s="490" t="s">
        <v>1574</v>
      </c>
      <c r="BC109" s="490" t="s">
        <v>1575</v>
      </c>
      <c r="BD109" s="490" t="s">
        <v>1576</v>
      </c>
      <c r="BE109" s="490" t="s">
        <v>1556</v>
      </c>
      <c r="BF109" s="490" t="s">
        <v>1577</v>
      </c>
      <c r="BG109" s="490" t="s">
        <v>1578</v>
      </c>
      <c r="BH109" s="490" t="s">
        <v>1579</v>
      </c>
      <c r="BI109" s="490" t="s">
        <v>1580</v>
      </c>
      <c r="BJ109" s="490" t="s">
        <v>393</v>
      </c>
      <c r="BK109" s="437"/>
      <c r="BL109" s="437"/>
      <c r="BM109" s="437"/>
      <c r="BN109" s="437"/>
      <c r="BO109" s="437"/>
      <c r="BP109" s="437"/>
    </row>
    <row r="110" spans="1:68">
      <c r="A110" s="437"/>
      <c r="B110" s="437"/>
      <c r="C110" s="437"/>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c r="AA110" s="437"/>
      <c r="AB110" s="437"/>
      <c r="AC110" s="437"/>
      <c r="AD110" s="437"/>
      <c r="AE110" s="437"/>
      <c r="AF110" s="437"/>
      <c r="AG110" s="437"/>
      <c r="AH110" s="437"/>
      <c r="AI110" s="437"/>
      <c r="AJ110" s="437"/>
      <c r="AK110" s="436"/>
      <c r="AL110" s="437"/>
      <c r="AM110" s="437"/>
      <c r="AN110" s="437"/>
      <c r="AO110" s="437"/>
      <c r="AP110" s="437"/>
      <c r="AQ110" s="437"/>
      <c r="AR110" s="437"/>
      <c r="AS110" s="437"/>
      <c r="AT110" s="437"/>
      <c r="AU110" s="437"/>
      <c r="AV110" s="437"/>
      <c r="AW110" s="437"/>
      <c r="AX110" s="436">
        <v>105</v>
      </c>
      <c r="AY110" s="490" t="s">
        <v>1561</v>
      </c>
      <c r="AZ110" s="490" t="s">
        <v>1581</v>
      </c>
      <c r="BA110" s="490" t="s">
        <v>1582</v>
      </c>
      <c r="BB110" s="490" t="s">
        <v>1583</v>
      </c>
      <c r="BC110" s="490" t="s">
        <v>1584</v>
      </c>
      <c r="BD110" s="490" t="s">
        <v>1585</v>
      </c>
      <c r="BE110" s="490" t="s">
        <v>1389</v>
      </c>
      <c r="BF110" s="490" t="s">
        <v>394</v>
      </c>
      <c r="BG110" s="490" t="s">
        <v>1586</v>
      </c>
      <c r="BH110" s="490" t="s">
        <v>1587</v>
      </c>
      <c r="BI110" s="490" t="s">
        <v>1588</v>
      </c>
      <c r="BJ110" s="490" t="s">
        <v>1589</v>
      </c>
      <c r="BK110" s="437"/>
      <c r="BL110" s="437"/>
      <c r="BM110" s="437"/>
      <c r="BN110" s="437"/>
      <c r="BO110" s="437"/>
      <c r="BP110" s="437"/>
    </row>
    <row r="111" spans="1:68">
      <c r="A111" s="437"/>
      <c r="B111" s="437"/>
      <c r="C111" s="437"/>
      <c r="D111" s="437"/>
      <c r="E111" s="437"/>
      <c r="F111" s="437"/>
      <c r="G111" s="437"/>
      <c r="H111" s="437"/>
      <c r="I111" s="437"/>
      <c r="J111" s="437"/>
      <c r="K111" s="437"/>
      <c r="L111" s="437"/>
      <c r="M111" s="437"/>
      <c r="N111" s="437"/>
      <c r="O111" s="437"/>
      <c r="P111" s="437"/>
      <c r="Q111" s="437"/>
      <c r="R111" s="437"/>
      <c r="S111" s="437"/>
      <c r="T111" s="437"/>
      <c r="U111" s="437"/>
      <c r="V111" s="437"/>
      <c r="W111" s="437"/>
      <c r="X111" s="437"/>
      <c r="Y111" s="437"/>
      <c r="Z111" s="437"/>
      <c r="AA111" s="437"/>
      <c r="AB111" s="437"/>
      <c r="AC111" s="437"/>
      <c r="AD111" s="437"/>
      <c r="AE111" s="437"/>
      <c r="AF111" s="437"/>
      <c r="AG111" s="437"/>
      <c r="AH111" s="437"/>
      <c r="AI111" s="437"/>
      <c r="AJ111" s="437"/>
      <c r="AK111" s="436"/>
      <c r="AL111" s="437"/>
      <c r="AM111" s="437"/>
      <c r="AN111" s="437"/>
      <c r="AO111" s="437"/>
      <c r="AP111" s="437"/>
      <c r="AQ111" s="437"/>
      <c r="AR111" s="437"/>
      <c r="AS111" s="437"/>
      <c r="AT111" s="437"/>
      <c r="AU111" s="437"/>
      <c r="AV111" s="437"/>
      <c r="AW111" s="437"/>
      <c r="AX111" s="436">
        <v>106</v>
      </c>
      <c r="AY111" s="490" t="s">
        <v>1590</v>
      </c>
      <c r="AZ111" s="490" t="s">
        <v>1591</v>
      </c>
      <c r="BA111" s="490" t="s">
        <v>1592</v>
      </c>
      <c r="BB111" s="490" t="s">
        <v>1593</v>
      </c>
      <c r="BC111" s="490" t="s">
        <v>1594</v>
      </c>
      <c r="BD111" s="490" t="s">
        <v>1595</v>
      </c>
      <c r="BE111" s="490" t="s">
        <v>1577</v>
      </c>
      <c r="BF111" s="490" t="s">
        <v>1217</v>
      </c>
      <c r="BG111" s="490" t="s">
        <v>1596</v>
      </c>
      <c r="BH111" s="490" t="s">
        <v>1597</v>
      </c>
      <c r="BI111" s="490" t="s">
        <v>1598</v>
      </c>
      <c r="BJ111" s="490" t="s">
        <v>1599</v>
      </c>
      <c r="BK111" s="437"/>
      <c r="BL111" s="437"/>
      <c r="BM111" s="437"/>
      <c r="BN111" s="437"/>
      <c r="BO111" s="437"/>
      <c r="BP111" s="437"/>
    </row>
    <row r="112" spans="1:68">
      <c r="A112" s="437"/>
      <c r="B112" s="437"/>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437"/>
      <c r="AE112" s="437"/>
      <c r="AF112" s="437"/>
      <c r="AG112" s="437"/>
      <c r="AH112" s="437"/>
      <c r="AI112" s="437"/>
      <c r="AJ112" s="437"/>
      <c r="AK112" s="436"/>
      <c r="AL112" s="437"/>
      <c r="AM112" s="437"/>
      <c r="AN112" s="437"/>
      <c r="AO112" s="437"/>
      <c r="AP112" s="437"/>
      <c r="AQ112" s="437"/>
      <c r="AR112" s="437"/>
      <c r="AS112" s="437"/>
      <c r="AT112" s="437"/>
      <c r="AU112" s="437"/>
      <c r="AV112" s="437"/>
      <c r="AW112" s="437"/>
      <c r="AX112" s="436">
        <v>107</v>
      </c>
      <c r="AY112" s="490" t="s">
        <v>1600</v>
      </c>
      <c r="AZ112" s="490" t="s">
        <v>1601</v>
      </c>
      <c r="BA112" s="490" t="s">
        <v>1602</v>
      </c>
      <c r="BB112" s="490" t="s">
        <v>1603</v>
      </c>
      <c r="BC112" s="490" t="s">
        <v>1604</v>
      </c>
      <c r="BD112" s="490" t="s">
        <v>1605</v>
      </c>
      <c r="BE112" s="490" t="s">
        <v>395</v>
      </c>
      <c r="BF112" s="490" t="s">
        <v>825</v>
      </c>
      <c r="BG112" s="490" t="s">
        <v>1217</v>
      </c>
      <c r="BH112" s="490" t="s">
        <v>1606</v>
      </c>
      <c r="BI112" s="490" t="s">
        <v>1607</v>
      </c>
      <c r="BJ112" s="490" t="s">
        <v>1608</v>
      </c>
      <c r="BK112" s="437"/>
      <c r="BL112" s="437"/>
      <c r="BM112" s="437"/>
      <c r="BN112" s="437"/>
      <c r="BO112" s="437"/>
      <c r="BP112" s="437"/>
    </row>
    <row r="113" spans="1:68">
      <c r="A113" s="437"/>
      <c r="B113" s="437"/>
      <c r="C113" s="437"/>
      <c r="D113" s="437"/>
      <c r="E113" s="437"/>
      <c r="F113" s="437"/>
      <c r="G113" s="437"/>
      <c r="H113" s="437"/>
      <c r="I113" s="437"/>
      <c r="J113" s="437"/>
      <c r="K113" s="437"/>
      <c r="L113" s="437"/>
      <c r="M113" s="437"/>
      <c r="N113" s="437"/>
      <c r="O113" s="437"/>
      <c r="P113" s="437"/>
      <c r="Q113" s="437"/>
      <c r="R113" s="437"/>
      <c r="S113" s="437"/>
      <c r="T113" s="437"/>
      <c r="U113" s="437"/>
      <c r="V113" s="437"/>
      <c r="W113" s="437"/>
      <c r="X113" s="437"/>
      <c r="Y113" s="437"/>
      <c r="Z113" s="437"/>
      <c r="AA113" s="437"/>
      <c r="AB113" s="437"/>
      <c r="AC113" s="437"/>
      <c r="AD113" s="437"/>
      <c r="AE113" s="437"/>
      <c r="AF113" s="437"/>
      <c r="AG113" s="437"/>
      <c r="AH113" s="437"/>
      <c r="AI113" s="437"/>
      <c r="AJ113" s="437"/>
      <c r="AK113" s="436"/>
      <c r="AL113" s="437"/>
      <c r="AM113" s="437"/>
      <c r="AN113" s="437"/>
      <c r="AO113" s="437"/>
      <c r="AP113" s="437"/>
      <c r="AQ113" s="437"/>
      <c r="AR113" s="437"/>
      <c r="AS113" s="437"/>
      <c r="AT113" s="437"/>
      <c r="AU113" s="437"/>
      <c r="AV113" s="437"/>
      <c r="AW113" s="437"/>
      <c r="AX113" s="436">
        <v>108</v>
      </c>
      <c r="AY113" s="490" t="s">
        <v>1609</v>
      </c>
      <c r="AZ113" s="490" t="s">
        <v>1610</v>
      </c>
      <c r="BA113" s="490" t="s">
        <v>1611</v>
      </c>
      <c r="BB113" s="490" t="s">
        <v>1612</v>
      </c>
      <c r="BC113" s="490" t="s">
        <v>1613</v>
      </c>
      <c r="BD113" s="490" t="s">
        <v>1504</v>
      </c>
      <c r="BE113" s="490" t="s">
        <v>1234</v>
      </c>
      <c r="BF113" s="490" t="s">
        <v>1614</v>
      </c>
      <c r="BG113" s="490" t="s">
        <v>1235</v>
      </c>
      <c r="BH113" s="490" t="s">
        <v>1615</v>
      </c>
      <c r="BI113" s="490" t="s">
        <v>1616</v>
      </c>
      <c r="BJ113" s="490" t="s">
        <v>1617</v>
      </c>
      <c r="BK113" s="437"/>
      <c r="BL113" s="437"/>
      <c r="BM113" s="437"/>
      <c r="BN113" s="437"/>
      <c r="BO113" s="437"/>
      <c r="BP113" s="437"/>
    </row>
    <row r="114" spans="1:68">
      <c r="A114" s="437"/>
      <c r="B114" s="437"/>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437"/>
      <c r="AE114" s="437"/>
      <c r="AF114" s="437"/>
      <c r="AG114" s="437"/>
      <c r="AH114" s="437"/>
      <c r="AI114" s="437"/>
      <c r="AJ114" s="437"/>
      <c r="AK114" s="437"/>
      <c r="AL114" s="437"/>
      <c r="AM114" s="437"/>
      <c r="AN114" s="437"/>
      <c r="AO114" s="437"/>
      <c r="AP114" s="437"/>
      <c r="AQ114" s="437"/>
      <c r="AR114" s="437"/>
      <c r="AS114" s="437"/>
      <c r="AT114" s="437"/>
      <c r="AU114" s="437"/>
      <c r="AV114" s="437"/>
      <c r="AW114" s="437"/>
      <c r="AX114" s="436">
        <v>109</v>
      </c>
      <c r="AY114" s="490" t="s">
        <v>1618</v>
      </c>
      <c r="AZ114" s="490" t="s">
        <v>1619</v>
      </c>
      <c r="BA114" s="490" t="s">
        <v>1620</v>
      </c>
      <c r="BB114" s="490" t="s">
        <v>1621</v>
      </c>
      <c r="BC114" s="490" t="s">
        <v>1622</v>
      </c>
      <c r="BD114" s="490" t="s">
        <v>1623</v>
      </c>
      <c r="BE114" s="490" t="s">
        <v>1245</v>
      </c>
      <c r="BF114" s="490" t="s">
        <v>1624</v>
      </c>
      <c r="BG114" s="490" t="s">
        <v>1625</v>
      </c>
      <c r="BH114" s="490" t="s">
        <v>1626</v>
      </c>
      <c r="BI114" s="490" t="s">
        <v>1627</v>
      </c>
      <c r="BJ114" s="490" t="s">
        <v>1628</v>
      </c>
      <c r="BK114" s="437"/>
      <c r="BL114" s="437"/>
      <c r="BM114" s="437"/>
      <c r="BN114" s="437"/>
      <c r="BO114" s="437"/>
      <c r="BP114" s="437"/>
    </row>
    <row r="115" spans="1:68">
      <c r="A115" s="437"/>
      <c r="B115" s="437"/>
      <c r="C115" s="437"/>
      <c r="D115" s="437"/>
      <c r="E115" s="437"/>
      <c r="F115" s="437"/>
      <c r="G115" s="437"/>
      <c r="H115" s="437"/>
      <c r="I115" s="437"/>
      <c r="J115" s="437"/>
      <c r="K115" s="437"/>
      <c r="L115" s="437"/>
      <c r="M115" s="437"/>
      <c r="N115" s="437"/>
      <c r="O115" s="437"/>
      <c r="P115" s="437"/>
      <c r="Q115" s="437"/>
      <c r="R115" s="437"/>
      <c r="S115" s="437"/>
      <c r="T115" s="437"/>
      <c r="U115" s="437"/>
      <c r="V115" s="437"/>
      <c r="W115" s="437"/>
      <c r="X115" s="437"/>
      <c r="Y115" s="437"/>
      <c r="Z115" s="437"/>
      <c r="AA115" s="437"/>
      <c r="AB115" s="437"/>
      <c r="AC115" s="437"/>
      <c r="AD115" s="437"/>
      <c r="AE115" s="437"/>
      <c r="AF115" s="437"/>
      <c r="AG115" s="437"/>
      <c r="AH115" s="437"/>
      <c r="AI115" s="437"/>
      <c r="AJ115" s="437"/>
      <c r="AK115" s="437"/>
      <c r="AL115" s="437"/>
      <c r="AM115" s="437"/>
      <c r="AN115" s="437"/>
      <c r="AO115" s="437"/>
      <c r="AP115" s="437"/>
      <c r="AQ115" s="437"/>
      <c r="AR115" s="437"/>
      <c r="AS115" s="437"/>
      <c r="AT115" s="437"/>
      <c r="AU115" s="437"/>
      <c r="AV115" s="437"/>
      <c r="AW115" s="437"/>
      <c r="AX115" s="436">
        <v>110</v>
      </c>
      <c r="AY115" s="490" t="s">
        <v>1629</v>
      </c>
      <c r="AZ115" s="490" t="s">
        <v>1630</v>
      </c>
      <c r="BA115" s="490" t="s">
        <v>1631</v>
      </c>
      <c r="BB115" s="490" t="s">
        <v>1632</v>
      </c>
      <c r="BC115" s="490" t="s">
        <v>1633</v>
      </c>
      <c r="BD115" s="490" t="s">
        <v>1634</v>
      </c>
      <c r="BE115" s="490" t="s">
        <v>1635</v>
      </c>
      <c r="BF115" s="490" t="s">
        <v>1636</v>
      </c>
      <c r="BG115" s="490" t="s">
        <v>1637</v>
      </c>
      <c r="BH115" s="490" t="s">
        <v>1638</v>
      </c>
      <c r="BI115" s="490" t="s">
        <v>396</v>
      </c>
      <c r="BJ115" s="490" t="s">
        <v>1639</v>
      </c>
      <c r="BK115" s="437"/>
      <c r="BL115" s="437"/>
      <c r="BM115" s="437"/>
      <c r="BN115" s="437"/>
      <c r="BO115" s="437"/>
      <c r="BP115" s="437"/>
    </row>
    <row r="116" spans="1:68">
      <c r="A116" s="437"/>
      <c r="B116" s="437"/>
      <c r="C116" s="437"/>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c r="AE116" s="437"/>
      <c r="AF116" s="437"/>
      <c r="AG116" s="437"/>
      <c r="AH116" s="437"/>
      <c r="AI116" s="437"/>
      <c r="AJ116" s="437"/>
      <c r="AK116" s="437"/>
      <c r="AL116" s="437"/>
      <c r="AM116" s="437"/>
      <c r="AN116" s="437"/>
      <c r="AO116" s="437"/>
      <c r="AP116" s="437"/>
      <c r="AQ116" s="437"/>
      <c r="AR116" s="437"/>
      <c r="AS116" s="437"/>
      <c r="AT116" s="437"/>
      <c r="AU116" s="437"/>
      <c r="AV116" s="437"/>
      <c r="AW116" s="437"/>
      <c r="AX116" s="436">
        <v>111</v>
      </c>
      <c r="AY116" s="490" t="s">
        <v>1640</v>
      </c>
      <c r="AZ116" s="490" t="s">
        <v>1641</v>
      </c>
      <c r="BA116" s="490" t="s">
        <v>1642</v>
      </c>
      <c r="BB116" s="490" t="s">
        <v>1643</v>
      </c>
      <c r="BC116" s="490" t="s">
        <v>1644</v>
      </c>
      <c r="BD116" s="490" t="s">
        <v>1645</v>
      </c>
      <c r="BE116" s="490" t="s">
        <v>397</v>
      </c>
      <c r="BF116" s="490" t="s">
        <v>1646</v>
      </c>
      <c r="BG116" s="490" t="s">
        <v>1647</v>
      </c>
      <c r="BH116" s="490" t="s">
        <v>1648</v>
      </c>
      <c r="BI116" s="490" t="s">
        <v>1649</v>
      </c>
      <c r="BJ116" s="490" t="s">
        <v>1650</v>
      </c>
      <c r="BK116" s="437"/>
      <c r="BL116" s="437"/>
      <c r="BM116" s="437"/>
      <c r="BN116" s="437"/>
      <c r="BO116" s="437"/>
      <c r="BP116" s="437"/>
    </row>
    <row r="117" spans="1:68">
      <c r="A117" s="437"/>
      <c r="B117" s="437"/>
      <c r="C117" s="437"/>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437"/>
      <c r="AE117" s="437"/>
      <c r="AF117" s="437"/>
      <c r="AG117" s="437"/>
      <c r="AH117" s="437"/>
      <c r="AI117" s="437"/>
      <c r="AJ117" s="437"/>
      <c r="AK117" s="437"/>
      <c r="AL117" s="437"/>
      <c r="AM117" s="437"/>
      <c r="AN117" s="437"/>
      <c r="AO117" s="437"/>
      <c r="AP117" s="437"/>
      <c r="AQ117" s="437"/>
      <c r="AR117" s="437"/>
      <c r="AS117" s="437"/>
      <c r="AT117" s="437"/>
      <c r="AU117" s="437"/>
      <c r="AV117" s="437"/>
      <c r="AW117" s="437"/>
      <c r="AX117" s="436">
        <v>112</v>
      </c>
      <c r="AY117" s="490" t="s">
        <v>1651</v>
      </c>
      <c r="AZ117" s="490" t="s">
        <v>1652</v>
      </c>
      <c r="BA117" s="490" t="s">
        <v>1653</v>
      </c>
      <c r="BB117" s="490" t="s">
        <v>1654</v>
      </c>
      <c r="BC117" s="490" t="s">
        <v>1655</v>
      </c>
      <c r="BD117" s="490" t="s">
        <v>1656</v>
      </c>
      <c r="BE117" s="490" t="s">
        <v>1657</v>
      </c>
      <c r="BF117" s="490" t="s">
        <v>1658</v>
      </c>
      <c r="BG117" s="490" t="s">
        <v>1659</v>
      </c>
      <c r="BH117" s="490" t="s">
        <v>1660</v>
      </c>
      <c r="BI117" s="490" t="s">
        <v>1661</v>
      </c>
      <c r="BJ117" s="490" t="s">
        <v>1531</v>
      </c>
      <c r="BK117" s="437"/>
      <c r="BL117" s="437"/>
      <c r="BM117" s="437"/>
      <c r="BN117" s="437"/>
      <c r="BO117" s="437"/>
      <c r="BP117" s="437"/>
    </row>
    <row r="118" spans="1:68">
      <c r="A118" s="437"/>
      <c r="B118" s="437"/>
      <c r="C118" s="437"/>
      <c r="D118" s="437"/>
      <c r="E118" s="437"/>
      <c r="F118" s="437"/>
      <c r="G118" s="437"/>
      <c r="H118" s="437"/>
      <c r="I118" s="437"/>
      <c r="J118" s="437"/>
      <c r="K118" s="437"/>
      <c r="L118" s="437"/>
      <c r="M118" s="437"/>
      <c r="N118" s="437"/>
      <c r="O118" s="437"/>
      <c r="P118" s="437"/>
      <c r="Q118" s="437"/>
      <c r="R118" s="437"/>
      <c r="S118" s="437"/>
      <c r="T118" s="437"/>
      <c r="U118" s="437"/>
      <c r="V118" s="437"/>
      <c r="W118" s="437"/>
      <c r="X118" s="437"/>
      <c r="Y118" s="437"/>
      <c r="Z118" s="437"/>
      <c r="AA118" s="437"/>
      <c r="AB118" s="437"/>
      <c r="AC118" s="437"/>
      <c r="AD118" s="437"/>
      <c r="AE118" s="437"/>
      <c r="AF118" s="437"/>
      <c r="AG118" s="437"/>
      <c r="AH118" s="437"/>
      <c r="AI118" s="437"/>
      <c r="AJ118" s="437"/>
      <c r="AK118" s="437"/>
      <c r="AL118" s="437"/>
      <c r="AM118" s="437"/>
      <c r="AN118" s="437"/>
      <c r="AO118" s="437"/>
      <c r="AP118" s="437"/>
      <c r="AQ118" s="437"/>
      <c r="AR118" s="437"/>
      <c r="AS118" s="437"/>
      <c r="AT118" s="437"/>
      <c r="AU118" s="437"/>
      <c r="AV118" s="437"/>
      <c r="AW118" s="437"/>
      <c r="AX118" s="436">
        <v>113</v>
      </c>
      <c r="AY118" s="490" t="s">
        <v>1662</v>
      </c>
      <c r="AZ118" s="490" t="s">
        <v>1663</v>
      </c>
      <c r="BA118" s="490" t="s">
        <v>1652</v>
      </c>
      <c r="BB118" s="490" t="s">
        <v>1664</v>
      </c>
      <c r="BC118" s="490" t="s">
        <v>1665</v>
      </c>
      <c r="BD118" s="490" t="s">
        <v>1666</v>
      </c>
      <c r="BE118" s="490" t="s">
        <v>1667</v>
      </c>
      <c r="BF118" s="490" t="s">
        <v>1668</v>
      </c>
      <c r="BG118" s="490" t="s">
        <v>1669</v>
      </c>
      <c r="BH118" s="490" t="s">
        <v>1670</v>
      </c>
      <c r="BI118" s="490" t="s">
        <v>1671</v>
      </c>
      <c r="BJ118" s="490" t="s">
        <v>1672</v>
      </c>
      <c r="BK118" s="437"/>
      <c r="BL118" s="437"/>
      <c r="BM118" s="437"/>
      <c r="BN118" s="437"/>
      <c r="BO118" s="437"/>
      <c r="BP118" s="437"/>
    </row>
    <row r="119" spans="1:68">
      <c r="A119" s="437"/>
      <c r="B119" s="437"/>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437"/>
      <c r="AF119" s="437"/>
      <c r="AG119" s="437"/>
      <c r="AH119" s="437"/>
      <c r="AI119" s="437"/>
      <c r="AJ119" s="437"/>
      <c r="AK119" s="437"/>
      <c r="AL119" s="437"/>
      <c r="AM119" s="437"/>
      <c r="AN119" s="437"/>
      <c r="AO119" s="437"/>
      <c r="AP119" s="437"/>
      <c r="AQ119" s="437"/>
      <c r="AR119" s="437"/>
      <c r="AS119" s="437"/>
      <c r="AT119" s="437"/>
      <c r="AU119" s="437"/>
      <c r="AV119" s="437"/>
      <c r="AW119" s="437"/>
      <c r="AX119" s="436">
        <v>114</v>
      </c>
      <c r="AY119" s="490" t="s">
        <v>1673</v>
      </c>
      <c r="AZ119" s="490" t="s">
        <v>1674</v>
      </c>
      <c r="BA119" s="490" t="s">
        <v>1675</v>
      </c>
      <c r="BB119" s="490" t="s">
        <v>1676</v>
      </c>
      <c r="BC119" s="490" t="s">
        <v>1677</v>
      </c>
      <c r="BD119" s="490" t="s">
        <v>1678</v>
      </c>
      <c r="BE119" s="490" t="s">
        <v>1679</v>
      </c>
      <c r="BF119" s="490" t="s">
        <v>1680</v>
      </c>
      <c r="BG119" s="490" t="s">
        <v>1681</v>
      </c>
      <c r="BH119" s="490" t="s">
        <v>1682</v>
      </c>
      <c r="BI119" s="490" t="s">
        <v>1683</v>
      </c>
      <c r="BJ119" s="490" t="s">
        <v>1684</v>
      </c>
      <c r="BK119" s="437"/>
      <c r="BL119" s="437"/>
      <c r="BM119" s="437"/>
      <c r="BN119" s="437"/>
      <c r="BO119" s="437"/>
      <c r="BP119" s="437"/>
    </row>
    <row r="120" spans="1:68">
      <c r="A120" s="437"/>
      <c r="B120" s="437"/>
      <c r="C120" s="437"/>
      <c r="D120" s="437"/>
      <c r="E120" s="437"/>
      <c r="F120" s="437"/>
      <c r="G120" s="437"/>
      <c r="H120" s="437"/>
      <c r="I120" s="437"/>
      <c r="J120" s="437"/>
      <c r="K120" s="437"/>
      <c r="L120" s="437"/>
      <c r="M120" s="437"/>
      <c r="N120" s="437"/>
      <c r="O120" s="437"/>
      <c r="P120" s="437"/>
      <c r="Q120" s="437"/>
      <c r="R120" s="437"/>
      <c r="S120" s="437"/>
      <c r="T120" s="437"/>
      <c r="U120" s="437"/>
      <c r="V120" s="437"/>
      <c r="W120" s="437"/>
      <c r="X120" s="437"/>
      <c r="Y120" s="437"/>
      <c r="Z120" s="437"/>
      <c r="AA120" s="437"/>
      <c r="AB120" s="437"/>
      <c r="AC120" s="437"/>
      <c r="AD120" s="437"/>
      <c r="AE120" s="437"/>
      <c r="AF120" s="437"/>
      <c r="AG120" s="437"/>
      <c r="AH120" s="437"/>
      <c r="AI120" s="437"/>
      <c r="AJ120" s="437"/>
      <c r="AK120" s="437"/>
      <c r="AL120" s="437"/>
      <c r="AM120" s="437"/>
      <c r="AN120" s="437"/>
      <c r="AO120" s="437"/>
      <c r="AP120" s="437"/>
      <c r="AQ120" s="437"/>
      <c r="AR120" s="437"/>
      <c r="AS120" s="437"/>
      <c r="AT120" s="437"/>
      <c r="AU120" s="437"/>
      <c r="AV120" s="437"/>
      <c r="AW120" s="437"/>
      <c r="AX120" s="436">
        <v>115</v>
      </c>
      <c r="AY120" s="490" t="s">
        <v>1685</v>
      </c>
      <c r="AZ120" s="490" t="s">
        <v>1686</v>
      </c>
      <c r="BA120" s="490" t="s">
        <v>1687</v>
      </c>
      <c r="BB120" s="490" t="s">
        <v>1688</v>
      </c>
      <c r="BC120" s="490" t="s">
        <v>1689</v>
      </c>
      <c r="BD120" s="490" t="s">
        <v>1690</v>
      </c>
      <c r="BE120" s="490" t="s">
        <v>1691</v>
      </c>
      <c r="BF120" s="490" t="s">
        <v>1692</v>
      </c>
      <c r="BG120" s="490" t="s">
        <v>1693</v>
      </c>
      <c r="BH120" s="490" t="s">
        <v>1694</v>
      </c>
      <c r="BI120" s="490" t="s">
        <v>369</v>
      </c>
      <c r="BJ120" s="490" t="s">
        <v>1695</v>
      </c>
      <c r="BK120" s="437"/>
      <c r="BL120" s="437"/>
      <c r="BM120" s="437"/>
      <c r="BN120" s="437"/>
      <c r="BO120" s="437"/>
      <c r="BP120" s="437"/>
    </row>
    <row r="121" spans="1:68">
      <c r="A121" s="437"/>
      <c r="B121" s="437"/>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437"/>
      <c r="AE121" s="437"/>
      <c r="AF121" s="437"/>
      <c r="AG121" s="437"/>
      <c r="AH121" s="437"/>
      <c r="AI121" s="437"/>
      <c r="AJ121" s="437"/>
      <c r="AK121" s="437"/>
      <c r="AL121" s="437"/>
      <c r="AM121" s="437"/>
      <c r="AN121" s="437"/>
      <c r="AO121" s="437"/>
      <c r="AP121" s="437"/>
      <c r="AQ121" s="437"/>
      <c r="AR121" s="437"/>
      <c r="AS121" s="437"/>
      <c r="AT121" s="437"/>
      <c r="AU121" s="437"/>
      <c r="AV121" s="437"/>
      <c r="AW121" s="437"/>
      <c r="AX121" s="436">
        <v>116</v>
      </c>
      <c r="AY121" s="490" t="s">
        <v>1696</v>
      </c>
      <c r="AZ121" s="490" t="s">
        <v>1697</v>
      </c>
      <c r="BA121" s="490" t="s">
        <v>1698</v>
      </c>
      <c r="BB121" s="490" t="s">
        <v>1699</v>
      </c>
      <c r="BC121" s="490" t="s">
        <v>1700</v>
      </c>
      <c r="BD121" s="490" t="s">
        <v>1584</v>
      </c>
      <c r="BE121" s="490" t="s">
        <v>1701</v>
      </c>
      <c r="BF121" s="490" t="s">
        <v>1702</v>
      </c>
      <c r="BG121" s="490" t="s">
        <v>1703</v>
      </c>
      <c r="BH121" s="490" t="s">
        <v>1704</v>
      </c>
      <c r="BI121" s="490" t="s">
        <v>1705</v>
      </c>
      <c r="BJ121" s="490" t="s">
        <v>1706</v>
      </c>
      <c r="BK121" s="437"/>
      <c r="BL121" s="437"/>
      <c r="BM121" s="437"/>
      <c r="BN121" s="437"/>
      <c r="BO121" s="437"/>
      <c r="BP121" s="437"/>
    </row>
    <row r="122" spans="1:68">
      <c r="A122" s="437"/>
      <c r="B122" s="437"/>
      <c r="C122" s="437"/>
      <c r="D122" s="437"/>
      <c r="E122" s="437"/>
      <c r="F122" s="437"/>
      <c r="G122" s="437"/>
      <c r="H122" s="437"/>
      <c r="I122" s="437"/>
      <c r="J122" s="437"/>
      <c r="K122" s="437"/>
      <c r="L122" s="437"/>
      <c r="M122" s="437"/>
      <c r="N122" s="437"/>
      <c r="O122" s="437"/>
      <c r="P122" s="437"/>
      <c r="Q122" s="437"/>
      <c r="R122" s="437"/>
      <c r="S122" s="437"/>
      <c r="T122" s="437"/>
      <c r="U122" s="437"/>
      <c r="V122" s="437"/>
      <c r="W122" s="437"/>
      <c r="X122" s="437"/>
      <c r="Y122" s="437"/>
      <c r="Z122" s="437"/>
      <c r="AA122" s="437"/>
      <c r="AB122" s="437"/>
      <c r="AC122" s="437"/>
      <c r="AD122" s="437"/>
      <c r="AE122" s="437"/>
      <c r="AF122" s="437"/>
      <c r="AG122" s="437"/>
      <c r="AH122" s="437"/>
      <c r="AI122" s="437"/>
      <c r="AJ122" s="437"/>
      <c r="AK122" s="437"/>
      <c r="AL122" s="437"/>
      <c r="AM122" s="437"/>
      <c r="AN122" s="437"/>
      <c r="AO122" s="437"/>
      <c r="AP122" s="437"/>
      <c r="AQ122" s="437"/>
      <c r="AR122" s="437"/>
      <c r="AS122" s="437"/>
      <c r="AT122" s="437"/>
      <c r="AU122" s="437"/>
      <c r="AV122" s="437"/>
      <c r="AW122" s="437"/>
      <c r="AX122" s="436">
        <v>117</v>
      </c>
      <c r="AY122" s="490" t="s">
        <v>1707</v>
      </c>
      <c r="AZ122" s="490" t="s">
        <v>1708</v>
      </c>
      <c r="BA122" s="490" t="s">
        <v>1709</v>
      </c>
      <c r="BB122" s="490" t="s">
        <v>1710</v>
      </c>
      <c r="BC122" s="490" t="s">
        <v>1711</v>
      </c>
      <c r="BD122" s="490" t="s">
        <v>1594</v>
      </c>
      <c r="BE122" s="490" t="s">
        <v>1712</v>
      </c>
      <c r="BF122" s="490" t="s">
        <v>1713</v>
      </c>
      <c r="BG122" s="490" t="s">
        <v>1714</v>
      </c>
      <c r="BH122" s="490" t="s">
        <v>1326</v>
      </c>
      <c r="BI122" s="490" t="s">
        <v>1036</v>
      </c>
      <c r="BJ122" s="490" t="s">
        <v>1715</v>
      </c>
      <c r="BK122" s="437"/>
      <c r="BL122" s="437"/>
      <c r="BM122" s="437"/>
      <c r="BN122" s="437"/>
      <c r="BO122" s="437"/>
      <c r="BP122" s="437"/>
    </row>
    <row r="123" spans="1:68">
      <c r="A123" s="437"/>
      <c r="B123" s="437"/>
      <c r="C123" s="437"/>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c r="Z123" s="437"/>
      <c r="AA123" s="437"/>
      <c r="AB123" s="437"/>
      <c r="AC123" s="437"/>
      <c r="AD123" s="437"/>
      <c r="AE123" s="437"/>
      <c r="AF123" s="437"/>
      <c r="AG123" s="437"/>
      <c r="AH123" s="437"/>
      <c r="AI123" s="437"/>
      <c r="AJ123" s="437"/>
      <c r="AK123" s="437"/>
      <c r="AL123" s="437"/>
      <c r="AM123" s="437"/>
      <c r="AN123" s="437"/>
      <c r="AO123" s="437"/>
      <c r="AP123" s="437"/>
      <c r="AQ123" s="437"/>
      <c r="AR123" s="437"/>
      <c r="AS123" s="437"/>
      <c r="AT123" s="437"/>
      <c r="AU123" s="437"/>
      <c r="AV123" s="437"/>
      <c r="AW123" s="437"/>
      <c r="AX123" s="436">
        <v>118</v>
      </c>
      <c r="AY123" s="490" t="s">
        <v>1716</v>
      </c>
      <c r="AZ123" s="490" t="s">
        <v>1717</v>
      </c>
      <c r="BA123" s="490" t="s">
        <v>1718</v>
      </c>
      <c r="BB123" s="490" t="s">
        <v>1719</v>
      </c>
      <c r="BC123" s="490" t="s">
        <v>1720</v>
      </c>
      <c r="BD123" s="490" t="s">
        <v>1721</v>
      </c>
      <c r="BE123" s="490" t="s">
        <v>1722</v>
      </c>
      <c r="BF123" s="490" t="s">
        <v>1723</v>
      </c>
      <c r="BG123" s="490" t="s">
        <v>1724</v>
      </c>
      <c r="BH123" s="490" t="s">
        <v>1725</v>
      </c>
      <c r="BI123" s="490" t="s">
        <v>1726</v>
      </c>
      <c r="BJ123" s="490" t="s">
        <v>1607</v>
      </c>
      <c r="BK123" s="437"/>
      <c r="BL123" s="437"/>
      <c r="BM123" s="437"/>
      <c r="BN123" s="437"/>
      <c r="BO123" s="437"/>
      <c r="BP123" s="437"/>
    </row>
    <row r="124" spans="1:68">
      <c r="A124" s="437"/>
      <c r="B124" s="437"/>
      <c r="C124" s="437"/>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437"/>
      <c r="AF124" s="437"/>
      <c r="AG124" s="437"/>
      <c r="AH124" s="437"/>
      <c r="AI124" s="437"/>
      <c r="AJ124" s="437"/>
      <c r="AK124" s="437"/>
      <c r="AL124" s="437"/>
      <c r="AM124" s="437"/>
      <c r="AN124" s="437"/>
      <c r="AO124" s="437"/>
      <c r="AP124" s="437"/>
      <c r="AQ124" s="437"/>
      <c r="AR124" s="437"/>
      <c r="AS124" s="437"/>
      <c r="AT124" s="437"/>
      <c r="AU124" s="437"/>
      <c r="AV124" s="437"/>
      <c r="AW124" s="437"/>
      <c r="AX124" s="436">
        <v>119</v>
      </c>
      <c r="AY124" s="490" t="s">
        <v>1727</v>
      </c>
      <c r="AZ124" s="490" t="s">
        <v>1728</v>
      </c>
      <c r="BA124" s="490" t="s">
        <v>1729</v>
      </c>
      <c r="BB124" s="490" t="s">
        <v>1730</v>
      </c>
      <c r="BC124" s="490" t="s">
        <v>1731</v>
      </c>
      <c r="BD124" s="490" t="s">
        <v>1732</v>
      </c>
      <c r="BE124" s="490" t="s">
        <v>1733</v>
      </c>
      <c r="BF124" s="490" t="s">
        <v>1734</v>
      </c>
      <c r="BG124" s="490" t="s">
        <v>1735</v>
      </c>
      <c r="BH124" s="490" t="s">
        <v>1637</v>
      </c>
      <c r="BI124" s="490" t="s">
        <v>1736</v>
      </c>
      <c r="BJ124" s="490" t="s">
        <v>1737</v>
      </c>
      <c r="BK124" s="437"/>
      <c r="BL124" s="437"/>
      <c r="BM124" s="437"/>
      <c r="BN124" s="437"/>
      <c r="BO124" s="437"/>
      <c r="BP124" s="437"/>
    </row>
    <row r="125" spans="1:68">
      <c r="A125" s="437"/>
      <c r="B125" s="437"/>
      <c r="C125" s="437"/>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c r="AE125" s="437"/>
      <c r="AF125" s="437"/>
      <c r="AG125" s="437"/>
      <c r="AH125" s="437"/>
      <c r="AI125" s="437"/>
      <c r="AJ125" s="437"/>
      <c r="AK125" s="437"/>
      <c r="AL125" s="437"/>
      <c r="AM125" s="437"/>
      <c r="AN125" s="437"/>
      <c r="AO125" s="437"/>
      <c r="AP125" s="437"/>
      <c r="AQ125" s="437"/>
      <c r="AR125" s="437"/>
      <c r="AS125" s="437"/>
      <c r="AT125" s="437"/>
      <c r="AU125" s="437"/>
      <c r="AV125" s="437"/>
      <c r="AW125" s="437"/>
      <c r="AX125" s="436">
        <v>120</v>
      </c>
      <c r="AY125" s="490" t="s">
        <v>1738</v>
      </c>
      <c r="AZ125" s="490" t="s">
        <v>1739</v>
      </c>
      <c r="BA125" s="490" t="s">
        <v>1740</v>
      </c>
      <c r="BB125" s="490" t="s">
        <v>1741</v>
      </c>
      <c r="BC125" s="490" t="s">
        <v>1742</v>
      </c>
      <c r="BD125" s="490" t="s">
        <v>1743</v>
      </c>
      <c r="BE125" s="490" t="s">
        <v>1744</v>
      </c>
      <c r="BF125" s="490" t="s">
        <v>1745</v>
      </c>
      <c r="BG125" s="490" t="s">
        <v>1746</v>
      </c>
      <c r="BH125" s="490" t="s">
        <v>1747</v>
      </c>
      <c r="BI125" s="490" t="s">
        <v>1748</v>
      </c>
      <c r="BJ125" s="490" t="s">
        <v>1749</v>
      </c>
      <c r="BK125" s="437"/>
      <c r="BL125" s="437"/>
      <c r="BM125" s="437"/>
      <c r="BN125" s="437"/>
      <c r="BO125" s="437"/>
      <c r="BP125" s="437"/>
    </row>
    <row r="126" spans="1:68">
      <c r="A126" s="437"/>
      <c r="B126" s="437"/>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c r="AN126" s="437"/>
      <c r="AO126" s="437"/>
      <c r="AP126" s="437"/>
      <c r="AQ126" s="437"/>
      <c r="AR126" s="437"/>
      <c r="AS126" s="437"/>
      <c r="AT126" s="437"/>
      <c r="AU126" s="437"/>
      <c r="AV126" s="437"/>
      <c r="AW126" s="437"/>
      <c r="AX126" s="436">
        <v>121</v>
      </c>
      <c r="AY126" s="490" t="s">
        <v>1750</v>
      </c>
      <c r="AZ126" s="490" t="s">
        <v>1751</v>
      </c>
      <c r="BA126" s="490" t="s">
        <v>1752</v>
      </c>
      <c r="BB126" s="490" t="s">
        <v>1753</v>
      </c>
      <c r="BC126" s="490" t="s">
        <v>1754</v>
      </c>
      <c r="BD126" s="490" t="s">
        <v>1633</v>
      </c>
      <c r="BE126" s="490" t="s">
        <v>1755</v>
      </c>
      <c r="BF126" s="490" t="s">
        <v>1756</v>
      </c>
      <c r="BG126" s="490" t="s">
        <v>1757</v>
      </c>
      <c r="BH126" s="490" t="s">
        <v>1758</v>
      </c>
      <c r="BI126" s="490" t="s">
        <v>1759</v>
      </c>
      <c r="BJ126" s="490" t="s">
        <v>396</v>
      </c>
      <c r="BK126" s="437"/>
      <c r="BL126" s="437"/>
      <c r="BM126" s="437"/>
      <c r="BN126" s="437"/>
      <c r="BO126" s="437"/>
      <c r="BP126" s="437"/>
    </row>
    <row r="127" spans="1:68">
      <c r="A127" s="437"/>
      <c r="B127" s="437"/>
      <c r="C127" s="437"/>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7"/>
      <c r="AF127" s="437"/>
      <c r="AG127" s="437"/>
      <c r="AH127" s="437"/>
      <c r="AI127" s="437"/>
      <c r="AJ127" s="437"/>
      <c r="AK127" s="437"/>
      <c r="AL127" s="437"/>
      <c r="AM127" s="437"/>
      <c r="AN127" s="437"/>
      <c r="AO127" s="437"/>
      <c r="AP127" s="437"/>
      <c r="AQ127" s="437"/>
      <c r="AR127" s="437"/>
      <c r="AS127" s="437"/>
      <c r="AT127" s="437"/>
      <c r="AU127" s="437"/>
      <c r="AV127" s="437"/>
      <c r="AW127" s="437"/>
      <c r="AX127" s="436">
        <v>122</v>
      </c>
      <c r="AY127" s="490" t="s">
        <v>1739</v>
      </c>
      <c r="AZ127" s="490" t="s">
        <v>1760</v>
      </c>
      <c r="BA127" s="490" t="s">
        <v>1761</v>
      </c>
      <c r="BB127" s="490" t="s">
        <v>1762</v>
      </c>
      <c r="BC127" s="490" t="s">
        <v>1763</v>
      </c>
      <c r="BD127" s="490" t="s">
        <v>1764</v>
      </c>
      <c r="BE127" s="490" t="s">
        <v>1765</v>
      </c>
      <c r="BF127" s="490" t="s">
        <v>1766</v>
      </c>
      <c r="BG127" s="490" t="s">
        <v>1767</v>
      </c>
      <c r="BH127" s="490" t="s">
        <v>1669</v>
      </c>
      <c r="BI127" s="490" t="s">
        <v>1768</v>
      </c>
      <c r="BJ127" s="490" t="s">
        <v>1769</v>
      </c>
      <c r="BK127" s="437"/>
      <c r="BL127" s="437"/>
      <c r="BM127" s="437"/>
      <c r="BN127" s="437"/>
      <c r="BO127" s="437"/>
      <c r="BP127" s="437"/>
    </row>
    <row r="128" spans="1:68">
      <c r="A128" s="437"/>
      <c r="B128" s="437"/>
      <c r="C128" s="437"/>
      <c r="D128" s="437"/>
      <c r="E128" s="437"/>
      <c r="F128" s="437"/>
      <c r="G128" s="437"/>
      <c r="H128" s="437"/>
      <c r="I128" s="437"/>
      <c r="J128" s="437"/>
      <c r="K128" s="437"/>
      <c r="L128" s="437"/>
      <c r="M128" s="437"/>
      <c r="N128" s="437"/>
      <c r="O128" s="437"/>
      <c r="P128" s="437"/>
      <c r="Q128" s="437"/>
      <c r="R128" s="437"/>
      <c r="S128" s="437"/>
      <c r="T128" s="437"/>
      <c r="U128" s="437"/>
      <c r="V128" s="437"/>
      <c r="W128" s="437"/>
      <c r="X128" s="437"/>
      <c r="Y128" s="437"/>
      <c r="Z128" s="437"/>
      <c r="AA128" s="437"/>
      <c r="AB128" s="437"/>
      <c r="AC128" s="437"/>
      <c r="AD128" s="437"/>
      <c r="AE128" s="437"/>
      <c r="AF128" s="437"/>
      <c r="AG128" s="437"/>
      <c r="AH128" s="437"/>
      <c r="AI128" s="437"/>
      <c r="AJ128" s="437"/>
      <c r="AK128" s="437"/>
      <c r="AL128" s="437"/>
      <c r="AM128" s="437"/>
      <c r="AN128" s="437"/>
      <c r="AO128" s="437"/>
      <c r="AP128" s="437"/>
      <c r="AQ128" s="437"/>
      <c r="AR128" s="437"/>
      <c r="AS128" s="437"/>
      <c r="AT128" s="437"/>
      <c r="AU128" s="437"/>
      <c r="AV128" s="437"/>
      <c r="AW128" s="437"/>
      <c r="AX128" s="436">
        <v>123</v>
      </c>
      <c r="AY128" s="490" t="s">
        <v>1770</v>
      </c>
      <c r="AZ128" s="490" t="s">
        <v>1771</v>
      </c>
      <c r="BA128" s="490" t="s">
        <v>1772</v>
      </c>
      <c r="BB128" s="490" t="s">
        <v>1773</v>
      </c>
      <c r="BC128" s="490" t="s">
        <v>1774</v>
      </c>
      <c r="BD128" s="490" t="s">
        <v>1775</v>
      </c>
      <c r="BE128" s="490" t="s">
        <v>1776</v>
      </c>
      <c r="BF128" s="490" t="s">
        <v>1777</v>
      </c>
      <c r="BG128" s="490" t="s">
        <v>1778</v>
      </c>
      <c r="BH128" s="490" t="s">
        <v>1779</v>
      </c>
      <c r="BI128" s="490" t="s">
        <v>1780</v>
      </c>
      <c r="BJ128" s="490" t="s">
        <v>1781</v>
      </c>
      <c r="BK128" s="437"/>
      <c r="BL128" s="437"/>
      <c r="BM128" s="437"/>
      <c r="BN128" s="437"/>
      <c r="BO128" s="437"/>
      <c r="BP128" s="437"/>
    </row>
    <row r="129" spans="1:68">
      <c r="A129" s="437"/>
      <c r="B129" s="437"/>
      <c r="C129" s="437"/>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437"/>
      <c r="AE129" s="437"/>
      <c r="AF129" s="437"/>
      <c r="AG129" s="437"/>
      <c r="AH129" s="437"/>
      <c r="AI129" s="437"/>
      <c r="AJ129" s="437"/>
      <c r="AK129" s="437"/>
      <c r="AL129" s="437"/>
      <c r="AM129" s="437"/>
      <c r="AN129" s="437"/>
      <c r="AO129" s="437"/>
      <c r="AP129" s="437"/>
      <c r="AQ129" s="437"/>
      <c r="AR129" s="437"/>
      <c r="AS129" s="437"/>
      <c r="AT129" s="437"/>
      <c r="AU129" s="437"/>
      <c r="AV129" s="437"/>
      <c r="AW129" s="437"/>
      <c r="AX129" s="436">
        <v>124</v>
      </c>
      <c r="AY129" s="490" t="s">
        <v>1782</v>
      </c>
      <c r="AZ129" s="490" t="s">
        <v>1783</v>
      </c>
      <c r="BA129" s="490" t="s">
        <v>1784</v>
      </c>
      <c r="BB129" s="490" t="s">
        <v>1687</v>
      </c>
      <c r="BC129" s="490" t="s">
        <v>1785</v>
      </c>
      <c r="BD129" s="490" t="s">
        <v>1786</v>
      </c>
      <c r="BE129" s="490" t="s">
        <v>1787</v>
      </c>
      <c r="BF129" s="490" t="s">
        <v>1788</v>
      </c>
      <c r="BG129" s="490" t="s">
        <v>1789</v>
      </c>
      <c r="BH129" s="490" t="s">
        <v>1790</v>
      </c>
      <c r="BI129" s="490" t="s">
        <v>1791</v>
      </c>
      <c r="BJ129" s="490" t="s">
        <v>1792</v>
      </c>
      <c r="BK129" s="437"/>
      <c r="BL129" s="437"/>
      <c r="BM129" s="437"/>
      <c r="BN129" s="437"/>
      <c r="BO129" s="437"/>
      <c r="BP129" s="437"/>
    </row>
    <row r="130" spans="1:68">
      <c r="A130" s="437"/>
      <c r="B130" s="437"/>
      <c r="C130" s="437"/>
      <c r="D130" s="437"/>
      <c r="E130" s="437"/>
      <c r="F130" s="437"/>
      <c r="G130" s="437"/>
      <c r="H130" s="437"/>
      <c r="I130" s="437"/>
      <c r="J130" s="437"/>
      <c r="K130" s="437"/>
      <c r="L130" s="437"/>
      <c r="M130" s="437"/>
      <c r="N130" s="437"/>
      <c r="O130" s="437"/>
      <c r="P130" s="437"/>
      <c r="Q130" s="437"/>
      <c r="R130" s="437"/>
      <c r="S130" s="437"/>
      <c r="T130" s="437"/>
      <c r="U130" s="437"/>
      <c r="V130" s="437"/>
      <c r="W130" s="437"/>
      <c r="X130" s="437"/>
      <c r="Y130" s="437"/>
      <c r="Z130" s="437"/>
      <c r="AA130" s="437"/>
      <c r="AB130" s="437"/>
      <c r="AC130" s="437"/>
      <c r="AD130" s="437"/>
      <c r="AE130" s="437"/>
      <c r="AF130" s="437"/>
      <c r="AG130" s="437"/>
      <c r="AH130" s="437"/>
      <c r="AI130" s="437"/>
      <c r="AJ130" s="437"/>
      <c r="AK130" s="437"/>
      <c r="AL130" s="437"/>
      <c r="AM130" s="437"/>
      <c r="AN130" s="437"/>
      <c r="AO130" s="437"/>
      <c r="AP130" s="437"/>
      <c r="AQ130" s="437"/>
      <c r="AR130" s="437"/>
      <c r="AS130" s="437"/>
      <c r="AT130" s="437"/>
      <c r="AU130" s="437"/>
      <c r="AV130" s="437"/>
      <c r="AW130" s="437"/>
      <c r="AX130" s="436">
        <v>125</v>
      </c>
      <c r="AY130" s="490" t="s">
        <v>1793</v>
      </c>
      <c r="AZ130" s="490" t="s">
        <v>1794</v>
      </c>
      <c r="BA130" s="490" t="s">
        <v>1795</v>
      </c>
      <c r="BB130" s="490" t="s">
        <v>1796</v>
      </c>
      <c r="BC130" s="490" t="s">
        <v>1797</v>
      </c>
      <c r="BD130" s="490" t="s">
        <v>1798</v>
      </c>
      <c r="BE130" s="490" t="s">
        <v>1799</v>
      </c>
      <c r="BF130" s="490" t="s">
        <v>1800</v>
      </c>
      <c r="BG130" s="490" t="s">
        <v>1801</v>
      </c>
      <c r="BH130" s="490" t="s">
        <v>1802</v>
      </c>
      <c r="BI130" s="490" t="s">
        <v>1803</v>
      </c>
      <c r="BJ130" s="490" t="s">
        <v>1804</v>
      </c>
      <c r="BK130" s="437"/>
      <c r="BL130" s="437"/>
      <c r="BM130" s="437"/>
      <c r="BN130" s="437"/>
      <c r="BO130" s="437"/>
      <c r="BP130" s="437"/>
    </row>
    <row r="131" spans="1:68">
      <c r="A131" s="437"/>
      <c r="B131" s="437"/>
      <c r="C131" s="437"/>
      <c r="D131" s="437"/>
      <c r="E131" s="437"/>
      <c r="F131" s="437"/>
      <c r="G131" s="437"/>
      <c r="H131" s="437"/>
      <c r="I131" s="437"/>
      <c r="J131" s="437"/>
      <c r="K131" s="437"/>
      <c r="L131" s="437"/>
      <c r="M131" s="437"/>
      <c r="N131" s="437"/>
      <c r="O131" s="437"/>
      <c r="P131" s="437"/>
      <c r="Q131" s="437"/>
      <c r="R131" s="437"/>
      <c r="S131" s="437"/>
      <c r="T131" s="437"/>
      <c r="U131" s="437"/>
      <c r="V131" s="437"/>
      <c r="W131" s="437"/>
      <c r="X131" s="437"/>
      <c r="Y131" s="437"/>
      <c r="Z131" s="437"/>
      <c r="AA131" s="437"/>
      <c r="AB131" s="437"/>
      <c r="AC131" s="437"/>
      <c r="AD131" s="437"/>
      <c r="AE131" s="437"/>
      <c r="AF131" s="437"/>
      <c r="AG131" s="437"/>
      <c r="AH131" s="437"/>
      <c r="AI131" s="437"/>
      <c r="AJ131" s="437"/>
      <c r="AK131" s="437"/>
      <c r="AL131" s="437"/>
      <c r="AM131" s="437"/>
      <c r="AN131" s="437"/>
      <c r="AO131" s="437"/>
      <c r="AP131" s="437"/>
      <c r="AQ131" s="437"/>
      <c r="AR131" s="437"/>
      <c r="AS131" s="437"/>
      <c r="AT131" s="437"/>
      <c r="AU131" s="437"/>
      <c r="AV131" s="437"/>
      <c r="AW131" s="437"/>
      <c r="AX131" s="436">
        <v>126</v>
      </c>
      <c r="AY131" s="490" t="s">
        <v>1805</v>
      </c>
      <c r="AZ131" s="490" t="s">
        <v>1806</v>
      </c>
      <c r="BA131" s="490" t="s">
        <v>1807</v>
      </c>
      <c r="BB131" s="490" t="s">
        <v>398</v>
      </c>
      <c r="BC131" s="490" t="s">
        <v>1808</v>
      </c>
      <c r="BD131" s="490" t="s">
        <v>1809</v>
      </c>
      <c r="BE131" s="490" t="s">
        <v>1810</v>
      </c>
      <c r="BF131" s="490" t="s">
        <v>1811</v>
      </c>
      <c r="BG131" s="490" t="s">
        <v>1812</v>
      </c>
      <c r="BH131" s="490" t="s">
        <v>1714</v>
      </c>
      <c r="BI131" s="490" t="s">
        <v>399</v>
      </c>
      <c r="BJ131" s="490" t="s">
        <v>1813</v>
      </c>
      <c r="BK131" s="437"/>
      <c r="BL131" s="437"/>
      <c r="BM131" s="437"/>
      <c r="BN131" s="437"/>
      <c r="BO131" s="437"/>
      <c r="BP131" s="437"/>
    </row>
    <row r="132" spans="1:68">
      <c r="A132" s="437"/>
      <c r="B132" s="437"/>
      <c r="C132" s="437"/>
      <c r="D132" s="437"/>
      <c r="E132" s="437"/>
      <c r="F132" s="437"/>
      <c r="G132" s="437"/>
      <c r="H132" s="437"/>
      <c r="I132" s="437"/>
      <c r="J132" s="437"/>
      <c r="K132" s="437"/>
      <c r="L132" s="437"/>
      <c r="M132" s="437"/>
      <c r="N132" s="437"/>
      <c r="O132" s="437"/>
      <c r="P132" s="437"/>
      <c r="Q132" s="437"/>
      <c r="R132" s="437"/>
      <c r="S132" s="437"/>
      <c r="T132" s="437"/>
      <c r="U132" s="437"/>
      <c r="V132" s="437"/>
      <c r="W132" s="437"/>
      <c r="X132" s="437"/>
      <c r="Y132" s="437"/>
      <c r="Z132" s="437"/>
      <c r="AA132" s="437"/>
      <c r="AB132" s="437"/>
      <c r="AC132" s="437"/>
      <c r="AD132" s="437"/>
      <c r="AE132" s="437"/>
      <c r="AF132" s="437"/>
      <c r="AG132" s="437"/>
      <c r="AH132" s="437"/>
      <c r="AI132" s="437"/>
      <c r="AJ132" s="437"/>
      <c r="AK132" s="437"/>
      <c r="AL132" s="437"/>
      <c r="AM132" s="437"/>
      <c r="AN132" s="437"/>
      <c r="AO132" s="437"/>
      <c r="AP132" s="437"/>
      <c r="AQ132" s="437"/>
      <c r="AR132" s="437"/>
      <c r="AS132" s="437"/>
      <c r="AT132" s="437"/>
      <c r="AU132" s="437"/>
      <c r="AV132" s="437"/>
      <c r="AW132" s="437"/>
      <c r="AX132" s="436">
        <v>127</v>
      </c>
      <c r="AY132" s="490" t="s">
        <v>1814</v>
      </c>
      <c r="AZ132" s="490" t="s">
        <v>1815</v>
      </c>
      <c r="BA132" s="490" t="s">
        <v>1816</v>
      </c>
      <c r="BB132" s="490" t="s">
        <v>1817</v>
      </c>
      <c r="BC132" s="490" t="s">
        <v>1818</v>
      </c>
      <c r="BD132" s="490" t="s">
        <v>1819</v>
      </c>
      <c r="BE132" s="490" t="s">
        <v>1820</v>
      </c>
      <c r="BF132" s="490" t="s">
        <v>1821</v>
      </c>
      <c r="BG132" s="490" t="s">
        <v>1822</v>
      </c>
      <c r="BH132" s="490" t="s">
        <v>1823</v>
      </c>
      <c r="BI132" s="490" t="s">
        <v>1824</v>
      </c>
      <c r="BJ132" s="490" t="s">
        <v>1825</v>
      </c>
      <c r="BK132" s="437"/>
      <c r="BL132" s="437"/>
      <c r="BM132" s="437"/>
      <c r="BN132" s="437"/>
      <c r="BO132" s="437"/>
      <c r="BP132" s="437"/>
    </row>
    <row r="133" spans="1:68">
      <c r="A133" s="437"/>
      <c r="B133" s="437"/>
      <c r="C133" s="437"/>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c r="AA133" s="437"/>
      <c r="AB133" s="437"/>
      <c r="AC133" s="437"/>
      <c r="AD133" s="437"/>
      <c r="AE133" s="437"/>
      <c r="AF133" s="437"/>
      <c r="AG133" s="437"/>
      <c r="AH133" s="437"/>
      <c r="AI133" s="437"/>
      <c r="AJ133" s="437"/>
      <c r="AK133" s="437"/>
      <c r="AL133" s="437"/>
      <c r="AM133" s="437"/>
      <c r="AN133" s="437"/>
      <c r="AO133" s="437"/>
      <c r="AP133" s="437"/>
      <c r="AQ133" s="437"/>
      <c r="AR133" s="437"/>
      <c r="AS133" s="437"/>
      <c r="AT133" s="437"/>
      <c r="AU133" s="437"/>
      <c r="AV133" s="437"/>
      <c r="AW133" s="437"/>
      <c r="AX133" s="436">
        <v>128</v>
      </c>
      <c r="AY133" s="490" t="s">
        <v>1826</v>
      </c>
      <c r="AZ133" s="490" t="s">
        <v>1827</v>
      </c>
      <c r="BA133" s="490" t="s">
        <v>1828</v>
      </c>
      <c r="BB133" s="490" t="s">
        <v>1829</v>
      </c>
      <c r="BC133" s="490" t="s">
        <v>1830</v>
      </c>
      <c r="BD133" s="490" t="s">
        <v>1831</v>
      </c>
      <c r="BE133" s="490" t="s">
        <v>1832</v>
      </c>
      <c r="BF133" s="490" t="s">
        <v>1833</v>
      </c>
      <c r="BG133" s="490" t="s">
        <v>1821</v>
      </c>
      <c r="BH133" s="490" t="s">
        <v>1834</v>
      </c>
      <c r="BI133" s="490" t="s">
        <v>1835</v>
      </c>
      <c r="BJ133" s="490" t="s">
        <v>1836</v>
      </c>
      <c r="BK133" s="437"/>
      <c r="BL133" s="437"/>
      <c r="BM133" s="437"/>
      <c r="BN133" s="437"/>
      <c r="BO133" s="437"/>
      <c r="BP133" s="437"/>
    </row>
    <row r="134" spans="1:68">
      <c r="A134" s="437"/>
      <c r="B134" s="437"/>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437"/>
      <c r="AF134" s="437"/>
      <c r="AG134" s="437"/>
      <c r="AH134" s="437"/>
      <c r="AI134" s="437"/>
      <c r="AJ134" s="437"/>
      <c r="AK134" s="437"/>
      <c r="AL134" s="437"/>
      <c r="AM134" s="437"/>
      <c r="AN134" s="437"/>
      <c r="AO134" s="437"/>
      <c r="AP134" s="437"/>
      <c r="AQ134" s="437"/>
      <c r="AR134" s="437"/>
      <c r="AS134" s="437"/>
      <c r="AT134" s="437"/>
      <c r="AU134" s="437"/>
      <c r="AV134" s="437"/>
      <c r="AW134" s="437"/>
      <c r="AX134" s="436">
        <v>129</v>
      </c>
      <c r="AY134" s="490" t="s">
        <v>1837</v>
      </c>
      <c r="AZ134" s="490" t="s">
        <v>1838</v>
      </c>
      <c r="BA134" s="490" t="s">
        <v>1839</v>
      </c>
      <c r="BB134" s="490" t="s">
        <v>1840</v>
      </c>
      <c r="BC134" s="490" t="s">
        <v>1841</v>
      </c>
      <c r="BD134" s="490" t="s">
        <v>1842</v>
      </c>
      <c r="BE134" s="490" t="s">
        <v>1843</v>
      </c>
      <c r="BF134" s="490" t="s">
        <v>1844</v>
      </c>
      <c r="BG134" s="490" t="s">
        <v>1845</v>
      </c>
      <c r="BH134" s="490" t="s">
        <v>1746</v>
      </c>
      <c r="BI134" s="490" t="s">
        <v>1846</v>
      </c>
      <c r="BJ134" s="490" t="s">
        <v>1847</v>
      </c>
      <c r="BK134" s="437"/>
      <c r="BL134" s="437"/>
      <c r="BM134" s="437"/>
      <c r="BN134" s="437"/>
      <c r="BO134" s="437"/>
      <c r="BP134" s="437"/>
    </row>
    <row r="135" spans="1:68">
      <c r="A135" s="437"/>
      <c r="B135" s="437"/>
      <c r="C135" s="437"/>
      <c r="D135" s="437"/>
      <c r="E135" s="437"/>
      <c r="F135" s="437"/>
      <c r="G135" s="437"/>
      <c r="H135" s="437"/>
      <c r="I135" s="437"/>
      <c r="J135" s="437"/>
      <c r="K135" s="437"/>
      <c r="L135" s="437"/>
      <c r="M135" s="437"/>
      <c r="N135" s="437"/>
      <c r="O135" s="437"/>
      <c r="P135" s="437"/>
      <c r="Q135" s="437"/>
      <c r="R135" s="437"/>
      <c r="S135" s="437"/>
      <c r="T135" s="437"/>
      <c r="U135" s="437"/>
      <c r="V135" s="437"/>
      <c r="W135" s="437"/>
      <c r="X135" s="437"/>
      <c r="Y135" s="437"/>
      <c r="Z135" s="437"/>
      <c r="AA135" s="437"/>
      <c r="AB135" s="437"/>
      <c r="AC135" s="437"/>
      <c r="AD135" s="437"/>
      <c r="AE135" s="437"/>
      <c r="AF135" s="437"/>
      <c r="AG135" s="437"/>
      <c r="AH135" s="437"/>
      <c r="AI135" s="437"/>
      <c r="AJ135" s="437"/>
      <c r="AK135" s="437"/>
      <c r="AL135" s="437"/>
      <c r="AM135" s="437"/>
      <c r="AN135" s="437"/>
      <c r="AO135" s="437"/>
      <c r="AP135" s="437"/>
      <c r="AQ135" s="437"/>
      <c r="AR135" s="437"/>
      <c r="AS135" s="437"/>
      <c r="AT135" s="437"/>
      <c r="AU135" s="437"/>
      <c r="AV135" s="437"/>
      <c r="AW135" s="437"/>
      <c r="AX135" s="436">
        <v>130</v>
      </c>
      <c r="AY135" s="490" t="s">
        <v>1848</v>
      </c>
      <c r="AZ135" s="490" t="s">
        <v>1849</v>
      </c>
      <c r="BA135" s="490" t="s">
        <v>1850</v>
      </c>
      <c r="BB135" s="490" t="s">
        <v>1851</v>
      </c>
      <c r="BC135" s="490" t="s">
        <v>1852</v>
      </c>
      <c r="BD135" s="490" t="s">
        <v>1853</v>
      </c>
      <c r="BE135" s="490" t="s">
        <v>1854</v>
      </c>
      <c r="BF135" s="490" t="s">
        <v>1855</v>
      </c>
      <c r="BG135" s="490" t="s">
        <v>1856</v>
      </c>
      <c r="BH135" s="490" t="s">
        <v>1857</v>
      </c>
      <c r="BI135" s="490" t="s">
        <v>1858</v>
      </c>
      <c r="BJ135" s="490" t="s">
        <v>1859</v>
      </c>
      <c r="BK135" s="437"/>
      <c r="BL135" s="437"/>
      <c r="BM135" s="437"/>
      <c r="BN135" s="437"/>
      <c r="BO135" s="437"/>
      <c r="BP135" s="437"/>
    </row>
    <row r="136" spans="1:68">
      <c r="A136" s="437"/>
      <c r="B136" s="437"/>
      <c r="C136" s="437"/>
      <c r="D136" s="437"/>
      <c r="E136" s="437"/>
      <c r="F136" s="437"/>
      <c r="G136" s="437"/>
      <c r="H136" s="437"/>
      <c r="I136" s="437"/>
      <c r="J136" s="437"/>
      <c r="K136" s="437"/>
      <c r="L136" s="437"/>
      <c r="M136" s="437"/>
      <c r="N136" s="437"/>
      <c r="O136" s="437"/>
      <c r="P136" s="437"/>
      <c r="Q136" s="437"/>
      <c r="R136" s="437"/>
      <c r="S136" s="437"/>
      <c r="T136" s="437"/>
      <c r="U136" s="437"/>
      <c r="V136" s="437"/>
      <c r="W136" s="437"/>
      <c r="X136" s="437"/>
      <c r="Y136" s="437"/>
      <c r="Z136" s="437"/>
      <c r="AA136" s="437"/>
      <c r="AB136" s="437"/>
      <c r="AC136" s="437"/>
      <c r="AD136" s="437"/>
      <c r="AE136" s="437"/>
      <c r="AF136" s="437"/>
      <c r="AG136" s="437"/>
      <c r="AH136" s="437"/>
      <c r="AI136" s="437"/>
      <c r="AJ136" s="437"/>
      <c r="AK136" s="437"/>
      <c r="AL136" s="437"/>
      <c r="AM136" s="437"/>
      <c r="AN136" s="437"/>
      <c r="AO136" s="437"/>
      <c r="AP136" s="437"/>
      <c r="AQ136" s="437"/>
      <c r="AR136" s="437"/>
      <c r="AS136" s="437"/>
      <c r="AT136" s="437"/>
      <c r="AU136" s="437"/>
      <c r="AV136" s="437"/>
      <c r="AW136" s="437"/>
      <c r="AX136" s="436">
        <v>131</v>
      </c>
      <c r="AY136" s="490" t="s">
        <v>1860</v>
      </c>
      <c r="AZ136" s="490" t="s">
        <v>1861</v>
      </c>
      <c r="BA136" s="490" t="s">
        <v>1862</v>
      </c>
      <c r="BB136" s="490" t="s">
        <v>1863</v>
      </c>
      <c r="BC136" s="490" t="s">
        <v>1012</v>
      </c>
      <c r="BD136" s="490" t="s">
        <v>1864</v>
      </c>
      <c r="BE136" s="490" t="s">
        <v>1865</v>
      </c>
      <c r="BF136" s="490" t="s">
        <v>1866</v>
      </c>
      <c r="BG136" s="490" t="s">
        <v>1867</v>
      </c>
      <c r="BH136" s="490" t="s">
        <v>401</v>
      </c>
      <c r="BI136" s="490" t="s">
        <v>1868</v>
      </c>
      <c r="BJ136" s="490" t="s">
        <v>1869</v>
      </c>
      <c r="BK136" s="437"/>
      <c r="BL136" s="437"/>
      <c r="BM136" s="437"/>
      <c r="BN136" s="437"/>
      <c r="BO136" s="437"/>
      <c r="BP136" s="437"/>
    </row>
    <row r="137" spans="1:68">
      <c r="A137" s="437"/>
      <c r="B137" s="437"/>
      <c r="C137" s="437"/>
      <c r="D137" s="437"/>
      <c r="E137" s="437"/>
      <c r="F137" s="437"/>
      <c r="G137" s="437"/>
      <c r="H137" s="437"/>
      <c r="I137" s="437"/>
      <c r="J137" s="437"/>
      <c r="K137" s="437"/>
      <c r="L137" s="437"/>
      <c r="M137" s="437"/>
      <c r="N137" s="437"/>
      <c r="O137" s="437"/>
      <c r="P137" s="437"/>
      <c r="Q137" s="437"/>
      <c r="R137" s="437"/>
      <c r="S137" s="437"/>
      <c r="T137" s="437"/>
      <c r="U137" s="437"/>
      <c r="V137" s="437"/>
      <c r="W137" s="437"/>
      <c r="X137" s="437"/>
      <c r="Y137" s="437"/>
      <c r="Z137" s="437"/>
      <c r="AA137" s="437"/>
      <c r="AB137" s="437"/>
      <c r="AC137" s="437"/>
      <c r="AD137" s="437"/>
      <c r="AE137" s="437"/>
      <c r="AF137" s="437"/>
      <c r="AG137" s="437"/>
      <c r="AH137" s="437"/>
      <c r="AI137" s="437"/>
      <c r="AJ137" s="437"/>
      <c r="AK137" s="437"/>
      <c r="AL137" s="437"/>
      <c r="AM137" s="437"/>
      <c r="AN137" s="437"/>
      <c r="AO137" s="437"/>
      <c r="AP137" s="437"/>
      <c r="AQ137" s="437"/>
      <c r="AR137" s="437"/>
      <c r="AS137" s="437"/>
      <c r="AT137" s="437"/>
      <c r="AU137" s="437"/>
      <c r="AV137" s="437"/>
      <c r="AW137" s="437"/>
      <c r="AX137" s="436">
        <v>132</v>
      </c>
      <c r="AY137" s="490" t="s">
        <v>1870</v>
      </c>
      <c r="AZ137" s="490" t="s">
        <v>1871</v>
      </c>
      <c r="BA137" s="490" t="s">
        <v>1872</v>
      </c>
      <c r="BB137" s="490" t="s">
        <v>1873</v>
      </c>
      <c r="BC137" s="490" t="s">
        <v>1874</v>
      </c>
      <c r="BD137" s="490" t="s">
        <v>1875</v>
      </c>
      <c r="BE137" s="490" t="s">
        <v>1876</v>
      </c>
      <c r="BF137" s="490" t="s">
        <v>1877</v>
      </c>
      <c r="BG137" s="490" t="s">
        <v>1866</v>
      </c>
      <c r="BH137" s="490" t="s">
        <v>1878</v>
      </c>
      <c r="BI137" s="490" t="s">
        <v>1791</v>
      </c>
      <c r="BJ137" s="490" t="s">
        <v>1759</v>
      </c>
      <c r="BK137" s="437"/>
      <c r="BL137" s="437"/>
      <c r="BM137" s="437"/>
      <c r="BN137" s="437"/>
      <c r="BO137" s="437"/>
      <c r="BP137" s="437"/>
    </row>
    <row r="138" spans="1:68">
      <c r="A138" s="437"/>
      <c r="B138" s="437"/>
      <c r="C138" s="437"/>
      <c r="D138" s="437"/>
      <c r="E138" s="437"/>
      <c r="F138" s="437"/>
      <c r="G138" s="437"/>
      <c r="H138" s="437"/>
      <c r="I138" s="437"/>
      <c r="J138" s="437"/>
      <c r="K138" s="437"/>
      <c r="L138" s="437"/>
      <c r="M138" s="437"/>
      <c r="N138" s="437"/>
      <c r="O138" s="437"/>
      <c r="P138" s="437"/>
      <c r="Q138" s="437"/>
      <c r="R138" s="437"/>
      <c r="S138" s="437"/>
      <c r="T138" s="437"/>
      <c r="U138" s="437"/>
      <c r="V138" s="437"/>
      <c r="W138" s="437"/>
      <c r="X138" s="437"/>
      <c r="Y138" s="437"/>
      <c r="Z138" s="437"/>
      <c r="AA138" s="437"/>
      <c r="AB138" s="437"/>
      <c r="AC138" s="437"/>
      <c r="AD138" s="437"/>
      <c r="AE138" s="437"/>
      <c r="AF138" s="437"/>
      <c r="AG138" s="437"/>
      <c r="AH138" s="437"/>
      <c r="AI138" s="437"/>
      <c r="AJ138" s="437"/>
      <c r="AK138" s="437"/>
      <c r="AL138" s="437"/>
      <c r="AM138" s="437"/>
      <c r="AN138" s="437"/>
      <c r="AO138" s="437"/>
      <c r="AP138" s="437"/>
      <c r="AQ138" s="437"/>
      <c r="AR138" s="437"/>
      <c r="AS138" s="437"/>
      <c r="AT138" s="437"/>
      <c r="AU138" s="437"/>
      <c r="AV138" s="437"/>
      <c r="AW138" s="437"/>
      <c r="AX138" s="436">
        <v>133</v>
      </c>
      <c r="AY138" s="490" t="s">
        <v>1861</v>
      </c>
      <c r="AZ138" s="490" t="s">
        <v>1879</v>
      </c>
      <c r="BA138" s="490" t="s">
        <v>1871</v>
      </c>
      <c r="BB138" s="490" t="s">
        <v>1880</v>
      </c>
      <c r="BC138" s="490" t="s">
        <v>1881</v>
      </c>
      <c r="BD138" s="490" t="s">
        <v>1882</v>
      </c>
      <c r="BE138" s="490" t="s">
        <v>1883</v>
      </c>
      <c r="BF138" s="490" t="s">
        <v>1884</v>
      </c>
      <c r="BG138" s="490" t="s">
        <v>1885</v>
      </c>
      <c r="BH138" s="490" t="s">
        <v>1886</v>
      </c>
      <c r="BI138" s="490" t="s">
        <v>1887</v>
      </c>
      <c r="BJ138" s="490" t="s">
        <v>1888</v>
      </c>
      <c r="BK138" s="437"/>
      <c r="BL138" s="437"/>
      <c r="BM138" s="437"/>
      <c r="BN138" s="437"/>
      <c r="BO138" s="437"/>
      <c r="BP138" s="437"/>
    </row>
    <row r="139" spans="1:68">
      <c r="A139" s="437"/>
      <c r="B139" s="437"/>
      <c r="C139" s="437"/>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c r="AA139" s="437"/>
      <c r="AB139" s="437"/>
      <c r="AC139" s="437"/>
      <c r="AD139" s="437"/>
      <c r="AE139" s="437"/>
      <c r="AF139" s="437"/>
      <c r="AG139" s="437"/>
      <c r="AH139" s="437"/>
      <c r="AI139" s="437"/>
      <c r="AJ139" s="437"/>
      <c r="AK139" s="437"/>
      <c r="AL139" s="437"/>
      <c r="AM139" s="437"/>
      <c r="AN139" s="437"/>
      <c r="AO139" s="437"/>
      <c r="AP139" s="437"/>
      <c r="AQ139" s="437"/>
      <c r="AR139" s="437"/>
      <c r="AS139" s="437"/>
      <c r="AT139" s="437"/>
      <c r="AU139" s="437"/>
      <c r="AV139" s="437"/>
      <c r="AW139" s="437"/>
      <c r="AX139" s="436">
        <v>134</v>
      </c>
      <c r="AY139" s="490" t="s">
        <v>1889</v>
      </c>
      <c r="AZ139" s="490" t="s">
        <v>1890</v>
      </c>
      <c r="BA139" s="490" t="s">
        <v>1891</v>
      </c>
      <c r="BB139" s="490" t="s">
        <v>1892</v>
      </c>
      <c r="BC139" s="490" t="s">
        <v>1893</v>
      </c>
      <c r="BD139" s="490" t="s">
        <v>1894</v>
      </c>
      <c r="BE139" s="490" t="s">
        <v>1895</v>
      </c>
      <c r="BF139" s="490" t="s">
        <v>1896</v>
      </c>
      <c r="BG139" s="490" t="s">
        <v>402</v>
      </c>
      <c r="BH139" s="490" t="s">
        <v>1897</v>
      </c>
      <c r="BI139" s="490" t="s">
        <v>1898</v>
      </c>
      <c r="BJ139" s="490" t="s">
        <v>1899</v>
      </c>
      <c r="BK139" s="437"/>
      <c r="BL139" s="437"/>
      <c r="BM139" s="437"/>
      <c r="BN139" s="437"/>
      <c r="BO139" s="437"/>
      <c r="BP139" s="437"/>
    </row>
    <row r="140" spans="1:68">
      <c r="A140" s="437"/>
      <c r="B140" s="437"/>
      <c r="C140" s="437"/>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437"/>
      <c r="AF140" s="437"/>
      <c r="AG140" s="437"/>
      <c r="AH140" s="437"/>
      <c r="AI140" s="437"/>
      <c r="AJ140" s="437"/>
      <c r="AK140" s="437"/>
      <c r="AL140" s="437"/>
      <c r="AM140" s="437"/>
      <c r="AN140" s="437"/>
      <c r="AO140" s="437"/>
      <c r="AP140" s="437"/>
      <c r="AQ140" s="437"/>
      <c r="AR140" s="437"/>
      <c r="AS140" s="437"/>
      <c r="AT140" s="437"/>
      <c r="AU140" s="437"/>
      <c r="AV140" s="437"/>
      <c r="AW140" s="437"/>
      <c r="AX140" s="436">
        <v>135</v>
      </c>
      <c r="AY140" s="490" t="s">
        <v>1900</v>
      </c>
      <c r="AZ140" s="490" t="s">
        <v>1901</v>
      </c>
      <c r="BA140" s="490" t="s">
        <v>1902</v>
      </c>
      <c r="BB140" s="490" t="s">
        <v>1903</v>
      </c>
      <c r="BC140" s="490" t="s">
        <v>1904</v>
      </c>
      <c r="BD140" s="490" t="s">
        <v>1905</v>
      </c>
      <c r="BE140" s="490" t="s">
        <v>1906</v>
      </c>
      <c r="BF140" s="490" t="s">
        <v>1907</v>
      </c>
      <c r="BG140" s="490" t="s">
        <v>1908</v>
      </c>
      <c r="BH140" s="490" t="s">
        <v>1909</v>
      </c>
      <c r="BI140" s="490" t="s">
        <v>1910</v>
      </c>
      <c r="BJ140" s="490" t="s">
        <v>1911</v>
      </c>
      <c r="BK140" s="437"/>
      <c r="BL140" s="437"/>
      <c r="BM140" s="437"/>
      <c r="BN140" s="437"/>
      <c r="BO140" s="437"/>
      <c r="BP140" s="437"/>
    </row>
    <row r="141" spans="1:68">
      <c r="A141" s="437"/>
      <c r="B141" s="437"/>
      <c r="C141" s="437"/>
      <c r="D141" s="437"/>
      <c r="E141" s="437"/>
      <c r="F141" s="437"/>
      <c r="G141" s="437"/>
      <c r="H141" s="437"/>
      <c r="I141" s="437"/>
      <c r="J141" s="437"/>
      <c r="K141" s="437"/>
      <c r="L141" s="437"/>
      <c r="M141" s="437"/>
      <c r="N141" s="437"/>
      <c r="O141" s="437"/>
      <c r="P141" s="437"/>
      <c r="Q141" s="437"/>
      <c r="R141" s="437"/>
      <c r="S141" s="437"/>
      <c r="T141" s="437"/>
      <c r="U141" s="437"/>
      <c r="V141" s="437"/>
      <c r="W141" s="437"/>
      <c r="X141" s="437"/>
      <c r="Y141" s="437"/>
      <c r="Z141" s="437"/>
      <c r="AA141" s="437"/>
      <c r="AB141" s="437"/>
      <c r="AC141" s="437"/>
      <c r="AD141" s="437"/>
      <c r="AE141" s="437"/>
      <c r="AF141" s="437"/>
      <c r="AG141" s="437"/>
      <c r="AH141" s="437"/>
      <c r="AI141" s="437"/>
      <c r="AJ141" s="437"/>
      <c r="AK141" s="437"/>
      <c r="AL141" s="437"/>
      <c r="AM141" s="437"/>
      <c r="AN141" s="437"/>
      <c r="AO141" s="437"/>
      <c r="AP141" s="437"/>
      <c r="AQ141" s="437"/>
      <c r="AR141" s="437"/>
      <c r="AS141" s="437"/>
      <c r="AT141" s="437"/>
      <c r="AU141" s="437"/>
      <c r="AV141" s="437"/>
      <c r="AW141" s="437"/>
      <c r="AX141" s="436">
        <v>136</v>
      </c>
      <c r="AY141" s="490" t="s">
        <v>1890</v>
      </c>
      <c r="AZ141" s="490" t="s">
        <v>1912</v>
      </c>
      <c r="BA141" s="490" t="s">
        <v>1913</v>
      </c>
      <c r="BB141" s="490" t="s">
        <v>1914</v>
      </c>
      <c r="BC141" s="490" t="s">
        <v>1915</v>
      </c>
      <c r="BD141" s="490" t="s">
        <v>1916</v>
      </c>
      <c r="BE141" s="490" t="s">
        <v>1917</v>
      </c>
      <c r="BF141" s="490" t="s">
        <v>1918</v>
      </c>
      <c r="BG141" s="490" t="s">
        <v>1919</v>
      </c>
      <c r="BH141" s="490" t="s">
        <v>1920</v>
      </c>
      <c r="BI141" s="490" t="s">
        <v>1921</v>
      </c>
      <c r="BJ141" s="490" t="s">
        <v>1922</v>
      </c>
      <c r="BK141" s="437"/>
      <c r="BL141" s="437"/>
      <c r="BM141" s="437"/>
      <c r="BN141" s="437"/>
      <c r="BO141" s="437"/>
      <c r="BP141" s="437"/>
    </row>
    <row r="142" spans="1:68">
      <c r="A142" s="437"/>
      <c r="B142" s="437"/>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437"/>
      <c r="AE142" s="437"/>
      <c r="AF142" s="437"/>
      <c r="AG142" s="437"/>
      <c r="AH142" s="437"/>
      <c r="AI142" s="437"/>
      <c r="AJ142" s="437"/>
      <c r="AK142" s="437"/>
      <c r="AL142" s="437"/>
      <c r="AM142" s="437"/>
      <c r="AN142" s="437"/>
      <c r="AO142" s="437"/>
      <c r="AP142" s="437"/>
      <c r="AQ142" s="437"/>
      <c r="AR142" s="437"/>
      <c r="AS142" s="437"/>
      <c r="AT142" s="437"/>
      <c r="AU142" s="437"/>
      <c r="AV142" s="437"/>
      <c r="AW142" s="437"/>
      <c r="AX142" s="436">
        <v>137</v>
      </c>
      <c r="AY142" s="490" t="s">
        <v>1923</v>
      </c>
      <c r="AZ142" s="490" t="s">
        <v>1924</v>
      </c>
      <c r="BA142" s="490" t="s">
        <v>1925</v>
      </c>
      <c r="BB142" s="490" t="s">
        <v>1926</v>
      </c>
      <c r="BC142" s="490" t="s">
        <v>1927</v>
      </c>
      <c r="BD142" s="490" t="s">
        <v>1808</v>
      </c>
      <c r="BE142" s="490" t="s">
        <v>1928</v>
      </c>
      <c r="BF142" s="490" t="s">
        <v>1929</v>
      </c>
      <c r="BG142" s="490" t="s">
        <v>1930</v>
      </c>
      <c r="BH142" s="490" t="s">
        <v>1931</v>
      </c>
      <c r="BI142" s="490" t="s">
        <v>1932</v>
      </c>
      <c r="BJ142" s="490" t="s">
        <v>1933</v>
      </c>
      <c r="BK142" s="437"/>
      <c r="BL142" s="437"/>
      <c r="BM142" s="437"/>
      <c r="BN142" s="437"/>
      <c r="BO142" s="437"/>
      <c r="BP142" s="437"/>
    </row>
    <row r="143" spans="1:68">
      <c r="A143" s="437"/>
      <c r="B143" s="437"/>
      <c r="C143" s="437"/>
      <c r="D143" s="437"/>
      <c r="E143" s="437"/>
      <c r="F143" s="437"/>
      <c r="G143" s="437"/>
      <c r="H143" s="437"/>
      <c r="I143" s="437"/>
      <c r="J143" s="437"/>
      <c r="K143" s="437"/>
      <c r="L143" s="437"/>
      <c r="M143" s="437"/>
      <c r="N143" s="437"/>
      <c r="O143" s="437"/>
      <c r="P143" s="437"/>
      <c r="Q143" s="437"/>
      <c r="R143" s="437"/>
      <c r="S143" s="437"/>
      <c r="T143" s="437"/>
      <c r="U143" s="437"/>
      <c r="V143" s="437"/>
      <c r="W143" s="437"/>
      <c r="X143" s="437"/>
      <c r="Y143" s="437"/>
      <c r="Z143" s="437"/>
      <c r="AA143" s="437"/>
      <c r="AB143" s="437"/>
      <c r="AC143" s="437"/>
      <c r="AD143" s="437"/>
      <c r="AE143" s="437"/>
      <c r="AF143" s="437"/>
      <c r="AG143" s="437"/>
      <c r="AH143" s="437"/>
      <c r="AI143" s="437"/>
      <c r="AJ143" s="437"/>
      <c r="AK143" s="437"/>
      <c r="AL143" s="437"/>
      <c r="AM143" s="437"/>
      <c r="AN143" s="437"/>
      <c r="AO143" s="437"/>
      <c r="AP143" s="437"/>
      <c r="AQ143" s="437"/>
      <c r="AR143" s="437"/>
      <c r="AS143" s="437"/>
      <c r="AT143" s="437"/>
      <c r="AU143" s="437"/>
      <c r="AV143" s="437"/>
      <c r="AW143" s="437"/>
      <c r="AX143" s="436">
        <v>138</v>
      </c>
      <c r="AY143" s="490" t="s">
        <v>1934</v>
      </c>
      <c r="AZ143" s="490" t="s">
        <v>1935</v>
      </c>
      <c r="BA143" s="490" t="s">
        <v>1936</v>
      </c>
      <c r="BB143" s="490" t="s">
        <v>1937</v>
      </c>
      <c r="BC143" s="490" t="s">
        <v>1938</v>
      </c>
      <c r="BD143" s="490" t="s">
        <v>1939</v>
      </c>
      <c r="BE143" s="490" t="s">
        <v>1940</v>
      </c>
      <c r="BF143" s="490" t="s">
        <v>1941</v>
      </c>
      <c r="BG143" s="490" t="s">
        <v>1929</v>
      </c>
      <c r="BH143" s="490" t="s">
        <v>404</v>
      </c>
      <c r="BI143" s="490" t="s">
        <v>1942</v>
      </c>
      <c r="BJ143" s="490" t="s">
        <v>1943</v>
      </c>
      <c r="BK143" s="437"/>
      <c r="BL143" s="437"/>
      <c r="BM143" s="437"/>
      <c r="BN143" s="437"/>
      <c r="BO143" s="437"/>
      <c r="BP143" s="437"/>
    </row>
    <row r="144" spans="1:68">
      <c r="A144" s="437"/>
      <c r="B144" s="437"/>
      <c r="C144" s="437"/>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c r="AA144" s="437"/>
      <c r="AB144" s="437"/>
      <c r="AC144" s="437"/>
      <c r="AD144" s="437"/>
      <c r="AE144" s="437"/>
      <c r="AF144" s="437"/>
      <c r="AG144" s="437"/>
      <c r="AH144" s="437"/>
      <c r="AI144" s="437"/>
      <c r="AJ144" s="437"/>
      <c r="AK144" s="437"/>
      <c r="AL144" s="437"/>
      <c r="AM144" s="437"/>
      <c r="AN144" s="437"/>
      <c r="AO144" s="437"/>
      <c r="AP144" s="437"/>
      <c r="AQ144" s="437"/>
      <c r="AR144" s="437"/>
      <c r="AS144" s="437"/>
      <c r="AT144" s="437"/>
      <c r="AU144" s="437"/>
      <c r="AV144" s="437"/>
      <c r="AW144" s="437"/>
      <c r="AX144" s="436">
        <v>139</v>
      </c>
      <c r="AY144" s="490" t="s">
        <v>1944</v>
      </c>
      <c r="AZ144" s="490" t="s">
        <v>1945</v>
      </c>
      <c r="BA144" s="490" t="s">
        <v>1946</v>
      </c>
      <c r="BB144" s="490" t="s">
        <v>1947</v>
      </c>
      <c r="BC144" s="490" t="s">
        <v>1948</v>
      </c>
      <c r="BD144" s="490" t="s">
        <v>1949</v>
      </c>
      <c r="BE144" s="490" t="s">
        <v>1950</v>
      </c>
      <c r="BF144" s="490" t="s">
        <v>1951</v>
      </c>
      <c r="BG144" s="490" t="s">
        <v>1952</v>
      </c>
      <c r="BH144" s="490" t="s">
        <v>1856</v>
      </c>
      <c r="BI144" s="490" t="s">
        <v>1953</v>
      </c>
      <c r="BJ144" s="490" t="s">
        <v>1835</v>
      </c>
      <c r="BK144" s="437"/>
      <c r="BL144" s="437"/>
      <c r="BM144" s="437"/>
      <c r="BN144" s="437"/>
      <c r="BO144" s="437"/>
      <c r="BP144" s="437"/>
    </row>
    <row r="145" spans="1:68">
      <c r="A145" s="437"/>
      <c r="B145" s="437"/>
      <c r="C145" s="437"/>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c r="Z145" s="437"/>
      <c r="AA145" s="437"/>
      <c r="AB145" s="437"/>
      <c r="AC145" s="437"/>
      <c r="AD145" s="437"/>
      <c r="AE145" s="437"/>
      <c r="AF145" s="437"/>
      <c r="AG145" s="437"/>
      <c r="AH145" s="437"/>
      <c r="AI145" s="437"/>
      <c r="AJ145" s="437"/>
      <c r="AK145" s="437"/>
      <c r="AL145" s="437"/>
      <c r="AM145" s="437"/>
      <c r="AN145" s="437"/>
      <c r="AO145" s="437"/>
      <c r="AP145" s="437"/>
      <c r="AQ145" s="437"/>
      <c r="AR145" s="437"/>
      <c r="AS145" s="437"/>
      <c r="AT145" s="437"/>
      <c r="AU145" s="437"/>
      <c r="AV145" s="437"/>
      <c r="AW145" s="437"/>
      <c r="AX145" s="436">
        <v>140</v>
      </c>
      <c r="AY145" s="490" t="s">
        <v>1935</v>
      </c>
      <c r="AZ145" s="490" t="s">
        <v>1954</v>
      </c>
      <c r="BA145" s="490" t="s">
        <v>1945</v>
      </c>
      <c r="BB145" s="490" t="s">
        <v>1955</v>
      </c>
      <c r="BC145" s="490" t="s">
        <v>1956</v>
      </c>
      <c r="BD145" s="490" t="s">
        <v>1957</v>
      </c>
      <c r="BE145" s="490" t="s">
        <v>1958</v>
      </c>
      <c r="BF145" s="490" t="s">
        <v>1959</v>
      </c>
      <c r="BG145" s="490" t="s">
        <v>1960</v>
      </c>
      <c r="BH145" s="490" t="s">
        <v>1961</v>
      </c>
      <c r="BI145" s="490" t="s">
        <v>1962</v>
      </c>
      <c r="BJ145" s="490" t="s">
        <v>1963</v>
      </c>
      <c r="BK145" s="437"/>
      <c r="BL145" s="437"/>
      <c r="BM145" s="437"/>
      <c r="BN145" s="437"/>
      <c r="BO145" s="437"/>
      <c r="BP145" s="437"/>
    </row>
    <row r="146" spans="1:68">
      <c r="A146" s="437"/>
      <c r="B146" s="437"/>
      <c r="C146" s="437"/>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c r="AA146" s="437"/>
      <c r="AB146" s="437"/>
      <c r="AC146" s="437"/>
      <c r="AD146" s="437"/>
      <c r="AE146" s="437"/>
      <c r="AF146" s="437"/>
      <c r="AG146" s="437"/>
      <c r="AH146" s="437"/>
      <c r="AI146" s="437"/>
      <c r="AJ146" s="437"/>
      <c r="AK146" s="437"/>
      <c r="AL146" s="437"/>
      <c r="AM146" s="437"/>
      <c r="AN146" s="437"/>
      <c r="AO146" s="437"/>
      <c r="AP146" s="437"/>
      <c r="AQ146" s="437"/>
      <c r="AR146" s="437"/>
      <c r="AS146" s="437"/>
      <c r="AT146" s="437"/>
      <c r="AU146" s="437"/>
      <c r="AV146" s="437"/>
      <c r="AW146" s="437"/>
      <c r="AX146" s="436">
        <v>141</v>
      </c>
      <c r="AY146" s="490" t="s">
        <v>1964</v>
      </c>
      <c r="AZ146" s="490" t="s">
        <v>1965</v>
      </c>
      <c r="BA146" s="490" t="s">
        <v>1966</v>
      </c>
      <c r="BB146" s="490" t="s">
        <v>1967</v>
      </c>
      <c r="BC146" s="490" t="s">
        <v>1968</v>
      </c>
      <c r="BD146" s="490" t="s">
        <v>1969</v>
      </c>
      <c r="BE146" s="490" t="s">
        <v>1970</v>
      </c>
      <c r="BF146" s="490" t="s">
        <v>1971</v>
      </c>
      <c r="BG146" s="490" t="s">
        <v>1972</v>
      </c>
      <c r="BH146" s="490" t="s">
        <v>1973</v>
      </c>
      <c r="BI146" s="490" t="s">
        <v>1974</v>
      </c>
      <c r="BJ146" s="490" t="s">
        <v>1858</v>
      </c>
      <c r="BK146" s="437"/>
      <c r="BL146" s="437"/>
      <c r="BM146" s="437"/>
      <c r="BN146" s="437"/>
      <c r="BO146" s="437"/>
      <c r="BP146" s="437"/>
    </row>
    <row r="147" spans="1:68">
      <c r="A147" s="437"/>
      <c r="B147" s="437"/>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437"/>
      <c r="AE147" s="437"/>
      <c r="AF147" s="437"/>
      <c r="AG147" s="437"/>
      <c r="AH147" s="437"/>
      <c r="AI147" s="437"/>
      <c r="AJ147" s="437"/>
      <c r="AK147" s="437"/>
      <c r="AL147" s="437"/>
      <c r="AM147" s="437"/>
      <c r="AN147" s="437"/>
      <c r="AO147" s="437"/>
      <c r="AP147" s="437"/>
      <c r="AQ147" s="437"/>
      <c r="AR147" s="437"/>
      <c r="AS147" s="437"/>
      <c r="AT147" s="437"/>
      <c r="AU147" s="437"/>
      <c r="AV147" s="437"/>
      <c r="AW147" s="437"/>
      <c r="AX147" s="436">
        <v>142</v>
      </c>
      <c r="AY147" s="490" t="s">
        <v>1975</v>
      </c>
      <c r="AZ147" s="490" t="s">
        <v>1976</v>
      </c>
      <c r="BA147" s="490" t="s">
        <v>1977</v>
      </c>
      <c r="BB147" s="490" t="s">
        <v>1978</v>
      </c>
      <c r="BC147" s="490" t="s">
        <v>1979</v>
      </c>
      <c r="BD147" s="490" t="s">
        <v>1130</v>
      </c>
      <c r="BE147" s="490" t="s">
        <v>1980</v>
      </c>
      <c r="BF147" s="490" t="s">
        <v>1981</v>
      </c>
      <c r="BG147" s="490" t="s">
        <v>1982</v>
      </c>
      <c r="BH147" s="490" t="s">
        <v>1885</v>
      </c>
      <c r="BI147" s="490" t="s">
        <v>1983</v>
      </c>
      <c r="BJ147" s="490" t="s">
        <v>1984</v>
      </c>
      <c r="BK147" s="437"/>
      <c r="BL147" s="437"/>
      <c r="BM147" s="437"/>
      <c r="BN147" s="437"/>
      <c r="BO147" s="437"/>
      <c r="BP147" s="437"/>
    </row>
    <row r="148" spans="1:68">
      <c r="A148" s="437"/>
      <c r="B148" s="437"/>
      <c r="C148" s="437"/>
      <c r="D148" s="437"/>
      <c r="E148" s="437"/>
      <c r="F148" s="437"/>
      <c r="G148" s="437"/>
      <c r="H148" s="437"/>
      <c r="I148" s="437"/>
      <c r="J148" s="437"/>
      <c r="K148" s="437"/>
      <c r="L148" s="437"/>
      <c r="M148" s="437"/>
      <c r="N148" s="437"/>
      <c r="O148" s="437"/>
      <c r="P148" s="437"/>
      <c r="Q148" s="437"/>
      <c r="R148" s="437"/>
      <c r="S148" s="437"/>
      <c r="T148" s="437"/>
      <c r="U148" s="437"/>
      <c r="V148" s="437"/>
      <c r="W148" s="437"/>
      <c r="X148" s="437"/>
      <c r="Y148" s="437"/>
      <c r="Z148" s="437"/>
      <c r="AA148" s="437"/>
      <c r="AB148" s="437"/>
      <c r="AC148" s="437"/>
      <c r="AD148" s="437"/>
      <c r="AE148" s="437"/>
      <c r="AF148" s="437"/>
      <c r="AG148" s="437"/>
      <c r="AH148" s="437"/>
      <c r="AI148" s="437"/>
      <c r="AJ148" s="437"/>
      <c r="AK148" s="437"/>
      <c r="AL148" s="437"/>
      <c r="AM148" s="437"/>
      <c r="AN148" s="437"/>
      <c r="AO148" s="437"/>
      <c r="AP148" s="437"/>
      <c r="AQ148" s="437"/>
      <c r="AR148" s="437"/>
      <c r="AS148" s="437"/>
      <c r="AT148" s="437"/>
      <c r="AU148" s="437"/>
      <c r="AV148" s="437"/>
      <c r="AW148" s="437"/>
      <c r="AX148" s="436">
        <v>143</v>
      </c>
      <c r="AY148" s="490" t="s">
        <v>1985</v>
      </c>
      <c r="AZ148" s="490" t="s">
        <v>1986</v>
      </c>
      <c r="BA148" s="490" t="s">
        <v>1987</v>
      </c>
      <c r="BB148" s="490" t="s">
        <v>1988</v>
      </c>
      <c r="BC148" s="490" t="s">
        <v>1904</v>
      </c>
      <c r="BD148" s="490" t="s">
        <v>1989</v>
      </c>
      <c r="BE148" s="490" t="s">
        <v>1990</v>
      </c>
      <c r="BF148" s="490" t="s">
        <v>1991</v>
      </c>
      <c r="BG148" s="490" t="s">
        <v>1981</v>
      </c>
      <c r="BH148" s="490" t="s">
        <v>402</v>
      </c>
      <c r="BI148" s="490" t="s">
        <v>1992</v>
      </c>
      <c r="BJ148" s="490" t="s">
        <v>1911</v>
      </c>
      <c r="BK148" s="437"/>
      <c r="BL148" s="437"/>
      <c r="BM148" s="437"/>
      <c r="BN148" s="437"/>
      <c r="BO148" s="437"/>
      <c r="BP148" s="437"/>
    </row>
    <row r="149" spans="1:68">
      <c r="A149" s="437"/>
      <c r="B149" s="437"/>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437"/>
      <c r="AE149" s="437"/>
      <c r="AF149" s="437"/>
      <c r="AG149" s="437"/>
      <c r="AH149" s="437"/>
      <c r="AI149" s="437"/>
      <c r="AJ149" s="437"/>
      <c r="AK149" s="437"/>
      <c r="AL149" s="437"/>
      <c r="AM149" s="437"/>
      <c r="AN149" s="437"/>
      <c r="AO149" s="437"/>
      <c r="AP149" s="437"/>
      <c r="AQ149" s="437"/>
      <c r="AR149" s="437"/>
      <c r="AS149" s="437"/>
      <c r="AT149" s="437"/>
      <c r="AU149" s="437"/>
      <c r="AV149" s="437"/>
      <c r="AW149" s="437"/>
      <c r="AX149" s="436">
        <v>144</v>
      </c>
      <c r="AY149" s="490" t="s">
        <v>1976</v>
      </c>
      <c r="AZ149" s="490" t="s">
        <v>1993</v>
      </c>
      <c r="BA149" s="490" t="s">
        <v>1994</v>
      </c>
      <c r="BB149" s="490" t="s">
        <v>1995</v>
      </c>
      <c r="BC149" s="490" t="s">
        <v>1996</v>
      </c>
      <c r="BD149" s="490" t="s">
        <v>1997</v>
      </c>
      <c r="BE149" s="490" t="s">
        <v>1998</v>
      </c>
      <c r="BF149" s="490" t="s">
        <v>1999</v>
      </c>
      <c r="BG149" s="490" t="s">
        <v>2000</v>
      </c>
      <c r="BH149" s="490" t="s">
        <v>1908</v>
      </c>
      <c r="BI149" s="490" t="s">
        <v>2001</v>
      </c>
      <c r="BJ149" s="490" t="s">
        <v>2002</v>
      </c>
      <c r="BK149" s="437"/>
      <c r="BL149" s="437"/>
      <c r="BM149" s="437"/>
      <c r="BN149" s="437"/>
      <c r="BO149" s="437"/>
      <c r="BP149" s="437"/>
    </row>
    <row r="150" spans="1:68">
      <c r="A150" s="437"/>
      <c r="B150" s="437"/>
      <c r="C150" s="437"/>
      <c r="D150" s="437"/>
      <c r="E150" s="437"/>
      <c r="F150" s="437"/>
      <c r="G150" s="437"/>
      <c r="H150" s="437"/>
      <c r="I150" s="437"/>
      <c r="J150" s="437"/>
      <c r="K150" s="437"/>
      <c r="L150" s="437"/>
      <c r="M150" s="437"/>
      <c r="N150" s="437"/>
      <c r="O150" s="437"/>
      <c r="P150" s="437"/>
      <c r="Q150" s="437"/>
      <c r="R150" s="437"/>
      <c r="S150" s="437"/>
      <c r="T150" s="437"/>
      <c r="U150" s="437"/>
      <c r="V150" s="437"/>
      <c r="W150" s="437"/>
      <c r="X150" s="437"/>
      <c r="Y150" s="437"/>
      <c r="Z150" s="437"/>
      <c r="AA150" s="437"/>
      <c r="AB150" s="437"/>
      <c r="AC150" s="437"/>
      <c r="AD150" s="437"/>
      <c r="AE150" s="437"/>
      <c r="AF150" s="437"/>
      <c r="AG150" s="437"/>
      <c r="AH150" s="437"/>
      <c r="AI150" s="437"/>
      <c r="AJ150" s="437"/>
      <c r="AK150" s="437"/>
      <c r="AL150" s="437"/>
      <c r="AM150" s="437"/>
      <c r="AN150" s="437"/>
      <c r="AO150" s="437"/>
      <c r="AP150" s="437"/>
      <c r="AQ150" s="437"/>
      <c r="AR150" s="437"/>
      <c r="AS150" s="437"/>
      <c r="AT150" s="437"/>
      <c r="AU150" s="437"/>
      <c r="AV150" s="437"/>
      <c r="AW150" s="437"/>
      <c r="AX150" s="436">
        <v>145</v>
      </c>
      <c r="AY150" s="490" t="s">
        <v>2003</v>
      </c>
      <c r="AZ150" s="490" t="s">
        <v>2004</v>
      </c>
      <c r="BA150" s="490" t="s">
        <v>2005</v>
      </c>
      <c r="BB150" s="490" t="s">
        <v>2006</v>
      </c>
      <c r="BC150" s="490" t="s">
        <v>2007</v>
      </c>
      <c r="BD150" s="490" t="s">
        <v>2008</v>
      </c>
      <c r="BE150" s="490" t="s">
        <v>2009</v>
      </c>
      <c r="BF150" s="490" t="s">
        <v>407</v>
      </c>
      <c r="BG150" s="490" t="s">
        <v>1999</v>
      </c>
      <c r="BH150" s="490" t="s">
        <v>408</v>
      </c>
      <c r="BI150" s="490" t="s">
        <v>2010</v>
      </c>
      <c r="BJ150" s="490" t="s">
        <v>1898</v>
      </c>
      <c r="BK150" s="437"/>
      <c r="BL150" s="437"/>
      <c r="BM150" s="437"/>
      <c r="BN150" s="437"/>
      <c r="BO150" s="437"/>
      <c r="BP150" s="437"/>
    </row>
    <row r="151" spans="1:68">
      <c r="A151" s="437"/>
      <c r="B151" s="437"/>
      <c r="C151" s="437"/>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437"/>
      <c r="AF151" s="437"/>
      <c r="AG151" s="437"/>
      <c r="AH151" s="437"/>
      <c r="AI151" s="437"/>
      <c r="AJ151" s="437"/>
      <c r="AK151" s="437"/>
      <c r="AL151" s="437"/>
      <c r="AM151" s="437"/>
      <c r="AN151" s="437"/>
      <c r="AO151" s="437"/>
      <c r="AP151" s="437"/>
      <c r="AQ151" s="437"/>
      <c r="AR151" s="437"/>
      <c r="AS151" s="437"/>
      <c r="AT151" s="437"/>
      <c r="AU151" s="437"/>
      <c r="AV151" s="437"/>
      <c r="AW151" s="437"/>
      <c r="AX151" s="436">
        <v>146</v>
      </c>
      <c r="AY151" s="490" t="s">
        <v>2011</v>
      </c>
      <c r="AZ151" s="490" t="s">
        <v>2012</v>
      </c>
      <c r="BA151" s="490" t="s">
        <v>2013</v>
      </c>
      <c r="BB151" s="490" t="s">
        <v>2014</v>
      </c>
      <c r="BC151" s="490" t="s">
        <v>2015</v>
      </c>
      <c r="BD151" s="490" t="s">
        <v>1904</v>
      </c>
      <c r="BE151" s="490" t="s">
        <v>2016</v>
      </c>
      <c r="BF151" s="490" t="s">
        <v>2017</v>
      </c>
      <c r="BG151" s="490" t="s">
        <v>2018</v>
      </c>
      <c r="BH151" s="490" t="s">
        <v>2019</v>
      </c>
      <c r="BI151" s="490" t="s">
        <v>2020</v>
      </c>
      <c r="BJ151" s="490" t="s">
        <v>2021</v>
      </c>
      <c r="BK151" s="437"/>
      <c r="BL151" s="437"/>
      <c r="BM151" s="437"/>
      <c r="BN151" s="437"/>
      <c r="BO151" s="437"/>
      <c r="BP151" s="437"/>
    </row>
    <row r="152" spans="1:68">
      <c r="A152" s="437"/>
      <c r="B152" s="437"/>
      <c r="C152" s="437"/>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c r="AE152" s="437"/>
      <c r="AF152" s="437"/>
      <c r="AG152" s="437"/>
      <c r="AH152" s="437"/>
      <c r="AI152" s="437"/>
      <c r="AJ152" s="437"/>
      <c r="AK152" s="437"/>
      <c r="AL152" s="437"/>
      <c r="AM152" s="437"/>
      <c r="AN152" s="437"/>
      <c r="AO152" s="437"/>
      <c r="AP152" s="437"/>
      <c r="AQ152" s="437"/>
      <c r="AR152" s="437"/>
      <c r="AS152" s="437"/>
      <c r="AT152" s="437"/>
      <c r="AU152" s="437"/>
      <c r="AV152" s="437"/>
      <c r="AW152" s="437"/>
      <c r="AX152" s="436">
        <v>147</v>
      </c>
      <c r="AY152" s="490" t="s">
        <v>2004</v>
      </c>
      <c r="AZ152" s="490" t="s">
        <v>2022</v>
      </c>
      <c r="BA152" s="490" t="s">
        <v>2023</v>
      </c>
      <c r="BB152" s="490" t="s">
        <v>2024</v>
      </c>
      <c r="BC152" s="490" t="s">
        <v>2025</v>
      </c>
      <c r="BD152" s="490" t="s">
        <v>2026</v>
      </c>
      <c r="BE152" s="490" t="s">
        <v>409</v>
      </c>
      <c r="BF152" s="490" t="s">
        <v>2027</v>
      </c>
      <c r="BG152" s="490" t="s">
        <v>2028</v>
      </c>
      <c r="BH152" s="490" t="s">
        <v>2029</v>
      </c>
      <c r="BI152" s="490" t="s">
        <v>2030</v>
      </c>
      <c r="BJ152" s="490" t="s">
        <v>2031</v>
      </c>
      <c r="BK152" s="437"/>
      <c r="BL152" s="437"/>
      <c r="BM152" s="437"/>
      <c r="BN152" s="437"/>
      <c r="BO152" s="437"/>
      <c r="BP152" s="437"/>
    </row>
    <row r="153" spans="1:68">
      <c r="A153" s="437"/>
      <c r="B153" s="437"/>
      <c r="C153" s="437"/>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c r="Z153" s="437"/>
      <c r="AA153" s="437"/>
      <c r="AB153" s="437"/>
      <c r="AC153" s="437"/>
      <c r="AD153" s="437"/>
      <c r="AE153" s="437"/>
      <c r="AF153" s="437"/>
      <c r="AG153" s="437"/>
      <c r="AH153" s="437"/>
      <c r="AI153" s="437"/>
      <c r="AJ153" s="437"/>
      <c r="AK153" s="437"/>
      <c r="AL153" s="437"/>
      <c r="AM153" s="437"/>
      <c r="AN153" s="437"/>
      <c r="AO153" s="437"/>
      <c r="AP153" s="437"/>
      <c r="AQ153" s="437"/>
      <c r="AR153" s="437"/>
      <c r="AS153" s="437"/>
      <c r="AT153" s="437"/>
      <c r="AU153" s="437"/>
      <c r="AV153" s="437"/>
      <c r="AW153" s="437"/>
      <c r="AX153" s="436">
        <v>148</v>
      </c>
      <c r="AY153" s="490" t="s">
        <v>2032</v>
      </c>
      <c r="AZ153" s="490" t="s">
        <v>2033</v>
      </c>
      <c r="BA153" s="490" t="s">
        <v>2034</v>
      </c>
      <c r="BB153" s="490" t="s">
        <v>2035</v>
      </c>
      <c r="BC153" s="490" t="s">
        <v>2036</v>
      </c>
      <c r="BD153" s="490" t="s">
        <v>1927</v>
      </c>
      <c r="BE153" s="490" t="s">
        <v>2037</v>
      </c>
      <c r="BF153" s="490" t="s">
        <v>2038</v>
      </c>
      <c r="BG153" s="490" t="s">
        <v>2039</v>
      </c>
      <c r="BH153" s="490" t="s">
        <v>2040</v>
      </c>
      <c r="BI153" s="490" t="s">
        <v>2041</v>
      </c>
      <c r="BJ153" s="490" t="s">
        <v>2042</v>
      </c>
      <c r="BK153" s="437"/>
      <c r="BL153" s="437"/>
      <c r="BM153" s="437"/>
      <c r="BN153" s="437"/>
      <c r="BO153" s="437"/>
      <c r="BP153" s="437"/>
    </row>
    <row r="154" spans="1:68">
      <c r="A154" s="437"/>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c r="AE154" s="437"/>
      <c r="AF154" s="437"/>
      <c r="AG154" s="437"/>
      <c r="AH154" s="437"/>
      <c r="AI154" s="437"/>
      <c r="AJ154" s="437"/>
      <c r="AK154" s="437"/>
      <c r="AL154" s="437"/>
      <c r="AM154" s="437"/>
      <c r="AN154" s="437"/>
      <c r="AO154" s="437"/>
      <c r="AP154" s="437"/>
      <c r="AQ154" s="437"/>
      <c r="AR154" s="437"/>
      <c r="AS154" s="437"/>
      <c r="AT154" s="437"/>
      <c r="AU154" s="437"/>
      <c r="AV154" s="437"/>
      <c r="AW154" s="437"/>
      <c r="AX154" s="436">
        <v>149</v>
      </c>
      <c r="AY154" s="490" t="s">
        <v>2043</v>
      </c>
      <c r="AZ154" s="490" t="s">
        <v>2044</v>
      </c>
      <c r="BA154" s="490" t="s">
        <v>2045</v>
      </c>
      <c r="BB154" s="490" t="s">
        <v>2046</v>
      </c>
      <c r="BC154" s="490" t="s">
        <v>2047</v>
      </c>
      <c r="BD154" s="490" t="s">
        <v>2048</v>
      </c>
      <c r="BE154" s="490" t="s">
        <v>2049</v>
      </c>
      <c r="BF154" s="490" t="s">
        <v>2050</v>
      </c>
      <c r="BG154" s="490" t="s">
        <v>2038</v>
      </c>
      <c r="BH154" s="490" t="s">
        <v>2051</v>
      </c>
      <c r="BI154" s="490" t="s">
        <v>2052</v>
      </c>
      <c r="BJ154" s="490" t="s">
        <v>2053</v>
      </c>
      <c r="BK154" s="437"/>
      <c r="BL154" s="437"/>
      <c r="BM154" s="437"/>
      <c r="BN154" s="437"/>
      <c r="BO154" s="437"/>
      <c r="BP154" s="437"/>
    </row>
    <row r="155" spans="1:68">
      <c r="A155" s="437"/>
      <c r="B155" s="437"/>
      <c r="C155" s="437"/>
      <c r="D155" s="437"/>
      <c r="E155" s="437"/>
      <c r="F155" s="437"/>
      <c r="G155" s="437"/>
      <c r="H155" s="437"/>
      <c r="I155" s="437"/>
      <c r="J155" s="437"/>
      <c r="K155" s="437"/>
      <c r="L155" s="437"/>
      <c r="M155" s="437"/>
      <c r="N155" s="437"/>
      <c r="O155" s="437"/>
      <c r="P155" s="437"/>
      <c r="Q155" s="437"/>
      <c r="R155" s="437"/>
      <c r="S155" s="437"/>
      <c r="T155" s="437"/>
      <c r="U155" s="437"/>
      <c r="V155" s="437"/>
      <c r="W155" s="437"/>
      <c r="X155" s="437"/>
      <c r="Y155" s="437"/>
      <c r="Z155" s="437"/>
      <c r="AA155" s="437"/>
      <c r="AB155" s="437"/>
      <c r="AC155" s="437"/>
      <c r="AD155" s="437"/>
      <c r="AE155" s="437"/>
      <c r="AF155" s="437"/>
      <c r="AG155" s="437"/>
      <c r="AH155" s="437"/>
      <c r="AI155" s="437"/>
      <c r="AJ155" s="437"/>
      <c r="AK155" s="437"/>
      <c r="AL155" s="437"/>
      <c r="AM155" s="437"/>
      <c r="AN155" s="437"/>
      <c r="AO155" s="437"/>
      <c r="AP155" s="437"/>
      <c r="AQ155" s="437"/>
      <c r="AR155" s="437"/>
      <c r="AS155" s="437"/>
      <c r="AT155" s="437"/>
      <c r="AU155" s="437"/>
      <c r="AV155" s="437"/>
      <c r="AW155" s="437"/>
      <c r="AX155" s="436">
        <v>150</v>
      </c>
      <c r="AY155" s="490" t="s">
        <v>2054</v>
      </c>
      <c r="AZ155" s="490" t="s">
        <v>2055</v>
      </c>
      <c r="BA155" s="490" t="s">
        <v>2056</v>
      </c>
      <c r="BB155" s="490" t="s">
        <v>2057</v>
      </c>
      <c r="BC155" s="490" t="s">
        <v>2058</v>
      </c>
      <c r="BD155" s="490" t="s">
        <v>1948</v>
      </c>
      <c r="BE155" s="490" t="s">
        <v>2059</v>
      </c>
      <c r="BF155" s="490" t="s">
        <v>2060</v>
      </c>
      <c r="BG155" s="490" t="s">
        <v>2050</v>
      </c>
      <c r="BH155" s="490" t="s">
        <v>2061</v>
      </c>
      <c r="BI155" s="490" t="s">
        <v>2062</v>
      </c>
      <c r="BJ155" s="490" t="s">
        <v>2063</v>
      </c>
      <c r="BK155" s="437"/>
      <c r="BL155" s="437"/>
      <c r="BM155" s="437"/>
      <c r="BN155" s="437"/>
      <c r="BO155" s="437"/>
      <c r="BP155" s="437"/>
    </row>
    <row r="156" spans="1:68">
      <c r="A156" s="437"/>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437"/>
      <c r="AE156" s="437"/>
      <c r="AF156" s="437"/>
      <c r="AG156" s="437"/>
      <c r="AH156" s="437"/>
      <c r="AI156" s="437"/>
      <c r="AJ156" s="437"/>
      <c r="AK156" s="437"/>
      <c r="AL156" s="437"/>
      <c r="AM156" s="437"/>
      <c r="AN156" s="437"/>
      <c r="AO156" s="437"/>
      <c r="AP156" s="437"/>
      <c r="AQ156" s="437"/>
      <c r="AR156" s="437"/>
      <c r="AS156" s="437"/>
      <c r="AT156" s="437"/>
      <c r="AU156" s="437"/>
      <c r="AV156" s="437"/>
      <c r="AW156" s="437"/>
      <c r="AX156" s="436">
        <v>151</v>
      </c>
      <c r="AY156" s="490" t="s">
        <v>2064</v>
      </c>
      <c r="AZ156" s="490" t="s">
        <v>2065</v>
      </c>
      <c r="BA156" s="490" t="s">
        <v>2066</v>
      </c>
      <c r="BB156" s="490" t="s">
        <v>2067</v>
      </c>
      <c r="BC156" s="490" t="s">
        <v>2068</v>
      </c>
      <c r="BD156" s="490" t="s">
        <v>2069</v>
      </c>
      <c r="BE156" s="490" t="s">
        <v>2070</v>
      </c>
      <c r="BF156" s="490" t="s">
        <v>2071</v>
      </c>
      <c r="BG156" s="490" t="s">
        <v>2072</v>
      </c>
      <c r="BH156" s="490" t="s">
        <v>1982</v>
      </c>
      <c r="BI156" s="490" t="s">
        <v>2073</v>
      </c>
      <c r="BJ156" s="490" t="s">
        <v>1962</v>
      </c>
      <c r="BK156" s="437"/>
      <c r="BL156" s="437"/>
      <c r="BM156" s="437"/>
      <c r="BN156" s="437"/>
      <c r="BO156" s="437"/>
      <c r="BP156" s="437"/>
    </row>
    <row r="157" spans="1:68">
      <c r="A157" s="437"/>
      <c r="B157" s="437"/>
      <c r="C157" s="437"/>
      <c r="D157" s="437"/>
      <c r="E157" s="437"/>
      <c r="F157" s="437"/>
      <c r="G157" s="437"/>
      <c r="H157" s="437"/>
      <c r="I157" s="437"/>
      <c r="J157" s="437"/>
      <c r="K157" s="437"/>
      <c r="L157" s="437"/>
      <c r="M157" s="437"/>
      <c r="N157" s="437"/>
      <c r="O157" s="437"/>
      <c r="P157" s="437"/>
      <c r="Q157" s="437"/>
      <c r="R157" s="437"/>
      <c r="S157" s="437"/>
      <c r="T157" s="437"/>
      <c r="U157" s="437"/>
      <c r="V157" s="437"/>
      <c r="W157" s="437"/>
      <c r="X157" s="437"/>
      <c r="Y157" s="437"/>
      <c r="Z157" s="437"/>
      <c r="AA157" s="437"/>
      <c r="AB157" s="437"/>
      <c r="AC157" s="437"/>
      <c r="AD157" s="437"/>
      <c r="AE157" s="437"/>
      <c r="AF157" s="437"/>
      <c r="AG157" s="437"/>
      <c r="AH157" s="437"/>
      <c r="AI157" s="437"/>
      <c r="AJ157" s="437"/>
      <c r="AK157" s="437"/>
      <c r="AL157" s="437"/>
      <c r="AM157" s="437"/>
      <c r="AN157" s="437"/>
      <c r="AO157" s="437"/>
      <c r="AP157" s="437"/>
      <c r="AQ157" s="437"/>
      <c r="AR157" s="437"/>
      <c r="AS157" s="437"/>
      <c r="AT157" s="437"/>
      <c r="AU157" s="437"/>
      <c r="AV157" s="437"/>
      <c r="AW157" s="437"/>
      <c r="AX157" s="436">
        <v>152</v>
      </c>
      <c r="AY157" s="490" t="s">
        <v>2055</v>
      </c>
      <c r="AZ157" s="490" t="s">
        <v>2074</v>
      </c>
      <c r="BA157" s="490" t="s">
        <v>2075</v>
      </c>
      <c r="BB157" s="490" t="s">
        <v>2076</v>
      </c>
      <c r="BC157" s="490" t="s">
        <v>2077</v>
      </c>
      <c r="BD157" s="490" t="s">
        <v>2078</v>
      </c>
      <c r="BE157" s="490" t="s">
        <v>2079</v>
      </c>
      <c r="BF157" s="490" t="s">
        <v>2080</v>
      </c>
      <c r="BG157" s="490" t="s">
        <v>2081</v>
      </c>
      <c r="BH157" s="490" t="s">
        <v>2082</v>
      </c>
      <c r="BI157" s="490" t="s">
        <v>2083</v>
      </c>
      <c r="BJ157" s="490" t="s">
        <v>2084</v>
      </c>
      <c r="BK157" s="437"/>
      <c r="BL157" s="437"/>
      <c r="BM157" s="437"/>
      <c r="BN157" s="437"/>
      <c r="BO157" s="437"/>
      <c r="BP157" s="437"/>
    </row>
    <row r="158" spans="1:68">
      <c r="A158" s="437"/>
      <c r="B158" s="437"/>
      <c r="C158" s="437"/>
      <c r="D158" s="437"/>
      <c r="E158" s="437"/>
      <c r="F158" s="437"/>
      <c r="G158" s="437"/>
      <c r="H158" s="437"/>
      <c r="I158" s="437"/>
      <c r="J158" s="437"/>
      <c r="K158" s="437"/>
      <c r="L158" s="437"/>
      <c r="M158" s="437"/>
      <c r="N158" s="437"/>
      <c r="O158" s="437"/>
      <c r="P158" s="437"/>
      <c r="Q158" s="437"/>
      <c r="R158" s="437"/>
      <c r="S158" s="437"/>
      <c r="T158" s="437"/>
      <c r="U158" s="437"/>
      <c r="V158" s="437"/>
      <c r="W158" s="437"/>
      <c r="X158" s="437"/>
      <c r="Y158" s="437"/>
      <c r="Z158" s="437"/>
      <c r="AA158" s="437"/>
      <c r="AB158" s="437"/>
      <c r="AC158" s="437"/>
      <c r="AD158" s="437"/>
      <c r="AE158" s="437"/>
      <c r="AF158" s="437"/>
      <c r="AG158" s="437"/>
      <c r="AH158" s="437"/>
      <c r="AI158" s="437"/>
      <c r="AJ158" s="437"/>
      <c r="AK158" s="437"/>
      <c r="AL158" s="437"/>
      <c r="AM158" s="437"/>
      <c r="AN158" s="437"/>
      <c r="AO158" s="437"/>
      <c r="AP158" s="437"/>
      <c r="AQ158" s="437"/>
      <c r="AR158" s="437"/>
      <c r="AS158" s="437"/>
      <c r="AT158" s="437"/>
      <c r="AU158" s="437"/>
      <c r="AV158" s="437"/>
      <c r="AW158" s="437"/>
      <c r="AX158" s="436">
        <v>153</v>
      </c>
      <c r="AY158" s="490" t="s">
        <v>2065</v>
      </c>
      <c r="AZ158" s="490" t="s">
        <v>2085</v>
      </c>
      <c r="BA158" s="490" t="s">
        <v>2086</v>
      </c>
      <c r="BB158" s="490" t="s">
        <v>2087</v>
      </c>
      <c r="BC158" s="490" t="s">
        <v>2088</v>
      </c>
      <c r="BD158" s="490" t="s">
        <v>2089</v>
      </c>
      <c r="BE158" s="490" t="s">
        <v>2090</v>
      </c>
      <c r="BF158" s="490" t="s">
        <v>2091</v>
      </c>
      <c r="BG158" s="490" t="s">
        <v>2092</v>
      </c>
      <c r="BH158" s="490" t="s">
        <v>410</v>
      </c>
      <c r="BI158" s="490" t="s">
        <v>2093</v>
      </c>
      <c r="BJ158" s="490" t="s">
        <v>2094</v>
      </c>
      <c r="BK158" s="437"/>
      <c r="BL158" s="437"/>
      <c r="BM158" s="437"/>
      <c r="BN158" s="437"/>
      <c r="BO158" s="437"/>
      <c r="BP158" s="437"/>
    </row>
    <row r="159" spans="1:68">
      <c r="A159" s="437"/>
      <c r="B159" s="437"/>
      <c r="C159" s="437"/>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c r="Z159" s="437"/>
      <c r="AA159" s="437"/>
      <c r="AB159" s="437"/>
      <c r="AC159" s="437"/>
      <c r="AD159" s="437"/>
      <c r="AE159" s="437"/>
      <c r="AF159" s="437"/>
      <c r="AG159" s="437"/>
      <c r="AH159" s="437"/>
      <c r="AI159" s="437"/>
      <c r="AJ159" s="437"/>
      <c r="AK159" s="437"/>
      <c r="AL159" s="437"/>
      <c r="AM159" s="437"/>
      <c r="AN159" s="437"/>
      <c r="AO159" s="437"/>
      <c r="AP159" s="437"/>
      <c r="AQ159" s="437"/>
      <c r="AR159" s="437"/>
      <c r="AS159" s="437"/>
      <c r="AT159" s="437"/>
      <c r="AU159" s="437"/>
      <c r="AV159" s="437"/>
      <c r="AW159" s="437"/>
      <c r="AX159" s="436">
        <v>154</v>
      </c>
      <c r="AY159" s="490" t="s">
        <v>2095</v>
      </c>
      <c r="AZ159" s="490" t="s">
        <v>2096</v>
      </c>
      <c r="BA159" s="490" t="s">
        <v>2097</v>
      </c>
      <c r="BB159" s="490" t="s">
        <v>2098</v>
      </c>
      <c r="BC159" s="490" t="s">
        <v>2099</v>
      </c>
      <c r="BD159" s="490" t="s">
        <v>1904</v>
      </c>
      <c r="BE159" s="490" t="s">
        <v>2100</v>
      </c>
      <c r="BF159" s="490" t="s">
        <v>2101</v>
      </c>
      <c r="BG159" s="490" t="s">
        <v>2102</v>
      </c>
      <c r="BH159" s="490" t="s">
        <v>2103</v>
      </c>
      <c r="BI159" s="490" t="s">
        <v>2104</v>
      </c>
      <c r="BJ159" s="490" t="s">
        <v>2105</v>
      </c>
      <c r="BK159" s="437"/>
      <c r="BL159" s="437"/>
      <c r="BM159" s="437"/>
      <c r="BN159" s="437"/>
      <c r="BO159" s="437"/>
      <c r="BP159" s="437"/>
    </row>
    <row r="160" spans="1:68">
      <c r="A160" s="437"/>
      <c r="B160" s="437"/>
      <c r="C160" s="437"/>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c r="AE160" s="437"/>
      <c r="AF160" s="437"/>
      <c r="AG160" s="437"/>
      <c r="AH160" s="437"/>
      <c r="AI160" s="437"/>
      <c r="AJ160" s="437"/>
      <c r="AK160" s="437"/>
      <c r="AL160" s="437"/>
      <c r="AM160" s="437"/>
      <c r="AN160" s="437"/>
      <c r="AO160" s="437"/>
      <c r="AP160" s="437"/>
      <c r="AQ160" s="437"/>
      <c r="AR160" s="437"/>
      <c r="AS160" s="437"/>
      <c r="AT160" s="437"/>
      <c r="AU160" s="437"/>
      <c r="AV160" s="437"/>
      <c r="AW160" s="437"/>
      <c r="AX160" s="436">
        <v>155</v>
      </c>
      <c r="AY160" s="490" t="s">
        <v>2106</v>
      </c>
      <c r="AZ160" s="490" t="s">
        <v>2107</v>
      </c>
      <c r="BA160" s="490" t="s">
        <v>2108</v>
      </c>
      <c r="BB160" s="490" t="s">
        <v>2109</v>
      </c>
      <c r="BC160" s="490" t="s">
        <v>2110</v>
      </c>
      <c r="BD160" s="490" t="s">
        <v>2111</v>
      </c>
      <c r="BE160" s="490" t="s">
        <v>2112</v>
      </c>
      <c r="BF160" s="490" t="s">
        <v>2113</v>
      </c>
      <c r="BG160" s="490" t="s">
        <v>2114</v>
      </c>
      <c r="BH160" s="490" t="s">
        <v>2018</v>
      </c>
      <c r="BI160" s="490" t="s">
        <v>2115</v>
      </c>
      <c r="BJ160" s="490" t="s">
        <v>2116</v>
      </c>
      <c r="BK160" s="437"/>
      <c r="BL160" s="437"/>
      <c r="BM160" s="437"/>
      <c r="BN160" s="437"/>
      <c r="BO160" s="437"/>
      <c r="BP160" s="437"/>
    </row>
    <row r="161" spans="1:68">
      <c r="A161" s="437"/>
      <c r="B161" s="437"/>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437"/>
      <c r="AE161" s="437"/>
      <c r="AF161" s="437"/>
      <c r="AG161" s="437"/>
      <c r="AH161" s="437"/>
      <c r="AI161" s="437"/>
      <c r="AJ161" s="437"/>
      <c r="AK161" s="437"/>
      <c r="AL161" s="437"/>
      <c r="AM161" s="437"/>
      <c r="AN161" s="437"/>
      <c r="AO161" s="437"/>
      <c r="AP161" s="437"/>
      <c r="AQ161" s="437"/>
      <c r="AR161" s="437"/>
      <c r="AS161" s="437"/>
      <c r="AT161" s="437"/>
      <c r="AU161" s="437"/>
      <c r="AV161" s="437"/>
      <c r="AW161" s="437"/>
      <c r="AX161" s="436">
        <v>156</v>
      </c>
      <c r="AY161" s="490" t="s">
        <v>2117</v>
      </c>
      <c r="AZ161" s="490" t="s">
        <v>2118</v>
      </c>
      <c r="BA161" s="490" t="s">
        <v>2119</v>
      </c>
      <c r="BB161" s="490" t="s">
        <v>2120</v>
      </c>
      <c r="BC161" s="490" t="s">
        <v>2121</v>
      </c>
      <c r="BD161" s="490" t="s">
        <v>2007</v>
      </c>
      <c r="BE161" s="490" t="s">
        <v>2122</v>
      </c>
      <c r="BF161" s="490" t="s">
        <v>2123</v>
      </c>
      <c r="BG161" s="490" t="s">
        <v>2124</v>
      </c>
      <c r="BH161" s="490" t="s">
        <v>2125</v>
      </c>
      <c r="BI161" s="490" t="s">
        <v>2126</v>
      </c>
      <c r="BJ161" s="490" t="s">
        <v>2127</v>
      </c>
      <c r="BK161" s="437"/>
      <c r="BL161" s="437"/>
      <c r="BM161" s="437"/>
      <c r="BN161" s="437"/>
      <c r="BO161" s="437"/>
      <c r="BP161" s="437"/>
    </row>
    <row r="162" spans="1:68">
      <c r="A162" s="437"/>
      <c r="B162" s="437"/>
      <c r="C162" s="437"/>
      <c r="D162" s="437"/>
      <c r="E162" s="437"/>
      <c r="F162" s="437"/>
      <c r="G162" s="437"/>
      <c r="H162" s="437"/>
      <c r="I162" s="437"/>
      <c r="J162" s="437"/>
      <c r="K162" s="437"/>
      <c r="L162" s="437"/>
      <c r="M162" s="437"/>
      <c r="N162" s="437"/>
      <c r="O162" s="437"/>
      <c r="P162" s="437"/>
      <c r="Q162" s="437"/>
      <c r="R162" s="437"/>
      <c r="S162" s="437"/>
      <c r="T162" s="437"/>
      <c r="U162" s="437"/>
      <c r="V162" s="437"/>
      <c r="W162" s="437"/>
      <c r="X162" s="437"/>
      <c r="Y162" s="437"/>
      <c r="Z162" s="437"/>
      <c r="AA162" s="437"/>
      <c r="AB162" s="437"/>
      <c r="AC162" s="437"/>
      <c r="AD162" s="437"/>
      <c r="AE162" s="437"/>
      <c r="AF162" s="437"/>
      <c r="AG162" s="437"/>
      <c r="AH162" s="437"/>
      <c r="AI162" s="437"/>
      <c r="AJ162" s="437"/>
      <c r="AK162" s="437"/>
      <c r="AL162" s="437"/>
      <c r="AM162" s="437"/>
      <c r="AN162" s="437"/>
      <c r="AO162" s="437"/>
      <c r="AP162" s="437"/>
      <c r="AQ162" s="437"/>
      <c r="AR162" s="437"/>
      <c r="AS162" s="437"/>
      <c r="AT162" s="437"/>
      <c r="AU162" s="437"/>
      <c r="AV162" s="437"/>
      <c r="AW162" s="437"/>
      <c r="AX162" s="436">
        <v>157</v>
      </c>
      <c r="AY162" s="490" t="s">
        <v>2128</v>
      </c>
      <c r="AZ162" s="490" t="s">
        <v>2129</v>
      </c>
      <c r="BA162" s="490" t="s">
        <v>2130</v>
      </c>
      <c r="BB162" s="490" t="s">
        <v>2131</v>
      </c>
      <c r="BC162" s="490" t="s">
        <v>2132</v>
      </c>
      <c r="BD162" s="490" t="s">
        <v>2133</v>
      </c>
      <c r="BE162" s="490" t="s">
        <v>2134</v>
      </c>
      <c r="BF162" s="490" t="s">
        <v>2135</v>
      </c>
      <c r="BG162" s="490" t="s">
        <v>2136</v>
      </c>
      <c r="BH162" s="490" t="s">
        <v>2137</v>
      </c>
      <c r="BI162" s="490" t="s">
        <v>2138</v>
      </c>
      <c r="BJ162" s="490" t="s">
        <v>2139</v>
      </c>
      <c r="BK162" s="437"/>
      <c r="BL162" s="437"/>
      <c r="BM162" s="437"/>
      <c r="BN162" s="437"/>
      <c r="BO162" s="437"/>
      <c r="BP162" s="437"/>
    </row>
    <row r="163" spans="1:68">
      <c r="A163" s="437"/>
      <c r="B163" s="437"/>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437"/>
      <c r="AE163" s="437"/>
      <c r="AF163" s="437"/>
      <c r="AG163" s="437"/>
      <c r="AH163" s="437"/>
      <c r="AI163" s="437"/>
      <c r="AJ163" s="437"/>
      <c r="AK163" s="437"/>
      <c r="AL163" s="437"/>
      <c r="AM163" s="437"/>
      <c r="AN163" s="437"/>
      <c r="AO163" s="437"/>
      <c r="AP163" s="437"/>
      <c r="AQ163" s="437"/>
      <c r="AR163" s="437"/>
      <c r="AS163" s="437"/>
      <c r="AT163" s="437"/>
      <c r="AU163" s="437"/>
      <c r="AV163" s="437"/>
      <c r="AW163" s="437"/>
      <c r="AX163" s="436">
        <v>158</v>
      </c>
      <c r="AY163" s="490" t="s">
        <v>2140</v>
      </c>
      <c r="AZ163" s="490" t="s">
        <v>2141</v>
      </c>
      <c r="BA163" s="490" t="s">
        <v>2142</v>
      </c>
      <c r="BB163" s="490" t="s">
        <v>2143</v>
      </c>
      <c r="BC163" s="490" t="s">
        <v>2144</v>
      </c>
      <c r="BD163" s="490" t="s">
        <v>2145</v>
      </c>
      <c r="BE163" s="490" t="s">
        <v>2146</v>
      </c>
      <c r="BF163" s="490" t="s">
        <v>2147</v>
      </c>
      <c r="BG163" s="490" t="s">
        <v>2148</v>
      </c>
      <c r="BH163" s="490" t="s">
        <v>2149</v>
      </c>
      <c r="BI163" s="490" t="s">
        <v>2150</v>
      </c>
      <c r="BJ163" s="490" t="s">
        <v>2151</v>
      </c>
      <c r="BK163" s="437"/>
      <c r="BL163" s="437"/>
      <c r="BM163" s="437"/>
      <c r="BN163" s="437"/>
      <c r="BO163" s="437"/>
      <c r="BP163" s="437"/>
    </row>
    <row r="164" spans="1:68">
      <c r="A164" s="437"/>
      <c r="B164" s="437"/>
      <c r="C164" s="437"/>
      <c r="D164" s="437"/>
      <c r="E164" s="437"/>
      <c r="F164" s="437"/>
      <c r="G164" s="437"/>
      <c r="H164" s="437"/>
      <c r="I164" s="437"/>
      <c r="J164" s="437"/>
      <c r="K164" s="437"/>
      <c r="L164" s="437"/>
      <c r="M164" s="437"/>
      <c r="N164" s="437"/>
      <c r="O164" s="437"/>
      <c r="P164" s="437"/>
      <c r="Q164" s="437"/>
      <c r="R164" s="437"/>
      <c r="S164" s="437"/>
      <c r="T164" s="437"/>
      <c r="U164" s="437"/>
      <c r="V164" s="437"/>
      <c r="W164" s="437"/>
      <c r="X164" s="437"/>
      <c r="Y164" s="437"/>
      <c r="Z164" s="437"/>
      <c r="AA164" s="437"/>
      <c r="AB164" s="437"/>
      <c r="AC164" s="437"/>
      <c r="AD164" s="437"/>
      <c r="AE164" s="437"/>
      <c r="AF164" s="437"/>
      <c r="AG164" s="437"/>
      <c r="AH164" s="437"/>
      <c r="AI164" s="437"/>
      <c r="AJ164" s="437"/>
      <c r="AK164" s="437"/>
      <c r="AL164" s="437"/>
      <c r="AM164" s="437"/>
      <c r="AN164" s="437"/>
      <c r="AO164" s="437"/>
      <c r="AP164" s="437"/>
      <c r="AQ164" s="437"/>
      <c r="AR164" s="437"/>
      <c r="AS164" s="437"/>
      <c r="AT164" s="437"/>
      <c r="AU164" s="437"/>
      <c r="AV164" s="437"/>
      <c r="AW164" s="437"/>
      <c r="AX164" s="436">
        <v>159</v>
      </c>
      <c r="AY164" s="490" t="s">
        <v>2152</v>
      </c>
      <c r="AZ164" s="490" t="s">
        <v>2153</v>
      </c>
      <c r="BA164" s="490" t="s">
        <v>2154</v>
      </c>
      <c r="BB164" s="490" t="s">
        <v>2155</v>
      </c>
      <c r="BC164" s="490" t="s">
        <v>2156</v>
      </c>
      <c r="BD164" s="490" t="s">
        <v>2157</v>
      </c>
      <c r="BE164" s="490" t="s">
        <v>2158</v>
      </c>
      <c r="BF164" s="490" t="s">
        <v>2159</v>
      </c>
      <c r="BG164" s="490" t="s">
        <v>2147</v>
      </c>
      <c r="BH164" s="490" t="s">
        <v>2160</v>
      </c>
      <c r="BI164" s="490" t="s">
        <v>2161</v>
      </c>
      <c r="BJ164" s="490" t="s">
        <v>2162</v>
      </c>
      <c r="BK164" s="437"/>
      <c r="BL164" s="437"/>
      <c r="BM164" s="437"/>
      <c r="BN164" s="437"/>
      <c r="BO164" s="437"/>
      <c r="BP164" s="437"/>
    </row>
    <row r="165" spans="1:68">
      <c r="A165" s="437"/>
      <c r="B165" s="437"/>
      <c r="C165" s="437"/>
      <c r="D165" s="437"/>
      <c r="E165" s="437"/>
      <c r="F165" s="437"/>
      <c r="G165" s="437"/>
      <c r="H165" s="437"/>
      <c r="I165" s="437"/>
      <c r="J165" s="437"/>
      <c r="K165" s="437"/>
      <c r="L165" s="437"/>
      <c r="M165" s="437"/>
      <c r="N165" s="437"/>
      <c r="O165" s="437"/>
      <c r="P165" s="437"/>
      <c r="Q165" s="437"/>
      <c r="R165" s="437"/>
      <c r="S165" s="437"/>
      <c r="T165" s="437"/>
      <c r="U165" s="437"/>
      <c r="V165" s="437"/>
      <c r="W165" s="437"/>
      <c r="X165" s="437"/>
      <c r="Y165" s="437"/>
      <c r="Z165" s="437"/>
      <c r="AA165" s="437"/>
      <c r="AB165" s="437"/>
      <c r="AC165" s="437"/>
      <c r="AD165" s="437"/>
      <c r="AE165" s="437"/>
      <c r="AF165" s="437"/>
      <c r="AG165" s="437"/>
      <c r="AH165" s="437"/>
      <c r="AI165" s="437"/>
      <c r="AJ165" s="437"/>
      <c r="AK165" s="437"/>
      <c r="AL165" s="437"/>
      <c r="AM165" s="437"/>
      <c r="AN165" s="437"/>
      <c r="AO165" s="437"/>
      <c r="AP165" s="437"/>
      <c r="AQ165" s="437"/>
      <c r="AR165" s="437"/>
      <c r="AS165" s="437"/>
      <c r="AT165" s="437"/>
      <c r="AU165" s="437"/>
      <c r="AV165" s="437"/>
      <c r="AW165" s="437"/>
      <c r="AX165" s="436">
        <v>160</v>
      </c>
      <c r="AY165" s="490" t="s">
        <v>2163</v>
      </c>
      <c r="AZ165" s="490" t="s">
        <v>2164</v>
      </c>
      <c r="BA165" s="490" t="s">
        <v>2165</v>
      </c>
      <c r="BB165" s="490" t="s">
        <v>2166</v>
      </c>
      <c r="BC165" s="490" t="s">
        <v>2167</v>
      </c>
      <c r="BD165" s="490" t="s">
        <v>2168</v>
      </c>
      <c r="BE165" s="490" t="s">
        <v>2169</v>
      </c>
      <c r="BF165" s="490" t="s">
        <v>2170</v>
      </c>
      <c r="BG165" s="490" t="s">
        <v>2171</v>
      </c>
      <c r="BH165" s="490" t="s">
        <v>2172</v>
      </c>
      <c r="BI165" s="490" t="s">
        <v>2173</v>
      </c>
      <c r="BJ165" s="490" t="s">
        <v>2174</v>
      </c>
      <c r="BK165" s="437"/>
      <c r="BL165" s="437"/>
      <c r="BM165" s="437"/>
      <c r="BN165" s="437"/>
      <c r="BO165" s="437"/>
      <c r="BP165" s="437"/>
    </row>
    <row r="166" spans="1:68">
      <c r="A166" s="437"/>
      <c r="B166" s="437"/>
      <c r="C166" s="437"/>
      <c r="D166" s="437"/>
      <c r="E166" s="437"/>
      <c r="F166" s="437"/>
      <c r="G166" s="437"/>
      <c r="H166" s="437"/>
      <c r="I166" s="437"/>
      <c r="J166" s="437"/>
      <c r="K166" s="437"/>
      <c r="L166" s="437"/>
      <c r="M166" s="437"/>
      <c r="N166" s="437"/>
      <c r="O166" s="437"/>
      <c r="P166" s="437"/>
      <c r="Q166" s="437"/>
      <c r="R166" s="437"/>
      <c r="S166" s="437"/>
      <c r="T166" s="437"/>
      <c r="U166" s="437"/>
      <c r="V166" s="437"/>
      <c r="W166" s="437"/>
      <c r="X166" s="437"/>
      <c r="Y166" s="437"/>
      <c r="Z166" s="437"/>
      <c r="AA166" s="437"/>
      <c r="AB166" s="437"/>
      <c r="AC166" s="437"/>
      <c r="AD166" s="437"/>
      <c r="AE166" s="437"/>
      <c r="AF166" s="437"/>
      <c r="AG166" s="437"/>
      <c r="AH166" s="437"/>
      <c r="AI166" s="437"/>
      <c r="AJ166" s="437"/>
      <c r="AK166" s="437"/>
      <c r="AL166" s="437"/>
      <c r="AM166" s="437"/>
      <c r="AN166" s="437"/>
      <c r="AO166" s="437"/>
      <c r="AP166" s="437"/>
      <c r="AQ166" s="437"/>
      <c r="AR166" s="437"/>
      <c r="AS166" s="437"/>
      <c r="AT166" s="437"/>
      <c r="AU166" s="437"/>
      <c r="AV166" s="437"/>
      <c r="AW166" s="437"/>
      <c r="AX166" s="436">
        <v>161</v>
      </c>
      <c r="AY166" s="490" t="s">
        <v>2175</v>
      </c>
      <c r="AZ166" s="490" t="s">
        <v>2176</v>
      </c>
      <c r="BA166" s="490" t="s">
        <v>2177</v>
      </c>
      <c r="BB166" s="490" t="s">
        <v>2178</v>
      </c>
      <c r="BC166" s="490" t="s">
        <v>2179</v>
      </c>
      <c r="BD166" s="490" t="s">
        <v>2180</v>
      </c>
      <c r="BE166" s="490" t="s">
        <v>2181</v>
      </c>
      <c r="BF166" s="490" t="s">
        <v>2182</v>
      </c>
      <c r="BG166" s="490" t="s">
        <v>2183</v>
      </c>
      <c r="BH166" s="490" t="s">
        <v>2081</v>
      </c>
      <c r="BI166" s="490" t="s">
        <v>2184</v>
      </c>
      <c r="BJ166" s="490" t="s">
        <v>2185</v>
      </c>
      <c r="BK166" s="437"/>
      <c r="BL166" s="437"/>
      <c r="BM166" s="437"/>
      <c r="BN166" s="437"/>
      <c r="BO166" s="437"/>
      <c r="BP166" s="437"/>
    </row>
    <row r="167" spans="1:68">
      <c r="A167" s="437"/>
      <c r="B167" s="437"/>
      <c r="C167" s="437"/>
      <c r="D167" s="437"/>
      <c r="E167" s="437"/>
      <c r="F167" s="437"/>
      <c r="G167" s="437"/>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437"/>
      <c r="AF167" s="437"/>
      <c r="AG167" s="437"/>
      <c r="AH167" s="437"/>
      <c r="AI167" s="437"/>
      <c r="AJ167" s="437"/>
      <c r="AK167" s="437"/>
      <c r="AL167" s="437"/>
      <c r="AM167" s="437"/>
      <c r="AN167" s="437"/>
      <c r="AO167" s="437"/>
      <c r="AP167" s="437"/>
      <c r="AQ167" s="437"/>
      <c r="AR167" s="437"/>
      <c r="AS167" s="437"/>
      <c r="AT167" s="437"/>
      <c r="AU167" s="437"/>
      <c r="AV167" s="437"/>
      <c r="AW167" s="437"/>
      <c r="AX167" s="436">
        <v>162</v>
      </c>
      <c r="AY167" s="490" t="s">
        <v>2186</v>
      </c>
      <c r="AZ167" s="490" t="s">
        <v>2187</v>
      </c>
      <c r="BA167" s="490" t="s">
        <v>2188</v>
      </c>
      <c r="BB167" s="490" t="s">
        <v>2189</v>
      </c>
      <c r="BC167" s="490" t="s">
        <v>412</v>
      </c>
      <c r="BD167" s="490" t="s">
        <v>2068</v>
      </c>
      <c r="BE167" s="490" t="s">
        <v>2190</v>
      </c>
      <c r="BF167" s="490" t="s">
        <v>2191</v>
      </c>
      <c r="BG167" s="490" t="s">
        <v>2192</v>
      </c>
      <c r="BH167" s="490" t="s">
        <v>2193</v>
      </c>
      <c r="BI167" s="490" t="s">
        <v>2194</v>
      </c>
      <c r="BJ167" s="490" t="s">
        <v>2195</v>
      </c>
      <c r="BK167" s="437"/>
      <c r="BL167" s="437"/>
      <c r="BM167" s="437"/>
      <c r="BN167" s="437"/>
      <c r="BO167" s="437"/>
      <c r="BP167" s="437"/>
    </row>
    <row r="168" spans="1:68">
      <c r="A168" s="437"/>
      <c r="B168" s="437"/>
      <c r="C168" s="437"/>
      <c r="D168" s="437"/>
      <c r="E168" s="437"/>
      <c r="F168" s="437"/>
      <c r="G168" s="437"/>
      <c r="H168" s="437"/>
      <c r="I168" s="437"/>
      <c r="J168" s="437"/>
      <c r="K168" s="437"/>
      <c r="L168" s="437"/>
      <c r="M168" s="437"/>
      <c r="N168" s="437"/>
      <c r="O168" s="437"/>
      <c r="P168" s="437"/>
      <c r="Q168" s="437"/>
      <c r="R168" s="437"/>
      <c r="S168" s="437"/>
      <c r="T168" s="437"/>
      <c r="U168" s="437"/>
      <c r="V168" s="437"/>
      <c r="W168" s="437"/>
      <c r="X168" s="437"/>
      <c r="Y168" s="437"/>
      <c r="Z168" s="437"/>
      <c r="AA168" s="437"/>
      <c r="AB168" s="437"/>
      <c r="AC168" s="437"/>
      <c r="AD168" s="437"/>
      <c r="AE168" s="437"/>
      <c r="AF168" s="437"/>
      <c r="AG168" s="437"/>
      <c r="AH168" s="437"/>
      <c r="AI168" s="437"/>
      <c r="AJ168" s="437"/>
      <c r="AK168" s="437"/>
      <c r="AL168" s="437"/>
      <c r="AM168" s="437"/>
      <c r="AN168" s="437"/>
      <c r="AO168" s="437"/>
      <c r="AP168" s="437"/>
      <c r="AQ168" s="437"/>
      <c r="AR168" s="437"/>
      <c r="AS168" s="437"/>
      <c r="AT168" s="437"/>
      <c r="AU168" s="437"/>
      <c r="AV168" s="437"/>
      <c r="AW168" s="437"/>
      <c r="AX168" s="436">
        <v>163</v>
      </c>
      <c r="AY168" s="490" t="s">
        <v>2176</v>
      </c>
      <c r="AZ168" s="490" t="s">
        <v>2196</v>
      </c>
      <c r="BA168" s="490" t="s">
        <v>2197</v>
      </c>
      <c r="BB168" s="490" t="s">
        <v>2198</v>
      </c>
      <c r="BC168" s="490" t="s">
        <v>2199</v>
      </c>
      <c r="BD168" s="490" t="s">
        <v>2200</v>
      </c>
      <c r="BE168" s="490" t="s">
        <v>2201</v>
      </c>
      <c r="BF168" s="490" t="s">
        <v>413</v>
      </c>
      <c r="BG168" s="490" t="s">
        <v>2202</v>
      </c>
      <c r="BH168" s="490" t="s">
        <v>2203</v>
      </c>
      <c r="BI168" s="490" t="s">
        <v>2204</v>
      </c>
      <c r="BJ168" s="490" t="s">
        <v>2205</v>
      </c>
      <c r="BK168" s="437"/>
      <c r="BL168" s="437"/>
      <c r="BM168" s="437"/>
      <c r="BN168" s="437"/>
      <c r="BO168" s="437"/>
      <c r="BP168" s="437"/>
    </row>
    <row r="169" spans="1:68">
      <c r="A169" s="437"/>
      <c r="B169" s="437"/>
      <c r="C169" s="437"/>
      <c r="D169" s="437"/>
      <c r="E169" s="437"/>
      <c r="F169" s="437"/>
      <c r="G169" s="437"/>
      <c r="H169" s="437"/>
      <c r="I169" s="437"/>
      <c r="J169" s="437"/>
      <c r="K169" s="437"/>
      <c r="L169" s="437"/>
      <c r="M169" s="437"/>
      <c r="N169" s="437"/>
      <c r="O169" s="437"/>
      <c r="P169" s="437"/>
      <c r="Q169" s="437"/>
      <c r="R169" s="437"/>
      <c r="S169" s="437"/>
      <c r="T169" s="437"/>
      <c r="U169" s="437"/>
      <c r="V169" s="437"/>
      <c r="W169" s="437"/>
      <c r="X169" s="437"/>
      <c r="Y169" s="437"/>
      <c r="Z169" s="437"/>
      <c r="AA169" s="437"/>
      <c r="AB169" s="437"/>
      <c r="AC169" s="437"/>
      <c r="AD169" s="437"/>
      <c r="AE169" s="437"/>
      <c r="AF169" s="437"/>
      <c r="AG169" s="437"/>
      <c r="AH169" s="437"/>
      <c r="AI169" s="437"/>
      <c r="AJ169" s="437"/>
      <c r="AK169" s="437"/>
      <c r="AL169" s="437"/>
      <c r="AM169" s="437"/>
      <c r="AN169" s="437"/>
      <c r="AO169" s="437"/>
      <c r="AP169" s="437"/>
      <c r="AQ169" s="437"/>
      <c r="AR169" s="437"/>
      <c r="AS169" s="437"/>
      <c r="AT169" s="437"/>
      <c r="AU169" s="437"/>
      <c r="AV169" s="437"/>
      <c r="AW169" s="437"/>
      <c r="AX169" s="436">
        <v>164</v>
      </c>
      <c r="AY169" s="490" t="s">
        <v>2206</v>
      </c>
      <c r="AZ169" s="490" t="s">
        <v>2207</v>
      </c>
      <c r="BA169" s="490" t="s">
        <v>2208</v>
      </c>
      <c r="BB169" s="490" t="s">
        <v>2209</v>
      </c>
      <c r="BC169" s="490" t="s">
        <v>2210</v>
      </c>
      <c r="BD169" s="490" t="s">
        <v>2211</v>
      </c>
      <c r="BE169" s="490" t="s">
        <v>2202</v>
      </c>
      <c r="BF169" s="490" t="s">
        <v>2212</v>
      </c>
      <c r="BG169" s="490" t="s">
        <v>2213</v>
      </c>
      <c r="BH169" s="490" t="s">
        <v>2214</v>
      </c>
      <c r="BI169" s="490" t="s">
        <v>322</v>
      </c>
      <c r="BJ169" s="490" t="s">
        <v>2215</v>
      </c>
      <c r="BK169" s="437"/>
      <c r="BL169" s="437"/>
      <c r="BM169" s="437"/>
      <c r="BN169" s="437"/>
      <c r="BO169" s="437"/>
      <c r="BP169" s="437"/>
    </row>
    <row r="170" spans="1:68">
      <c r="A170" s="437"/>
      <c r="B170" s="437"/>
      <c r="C170" s="437"/>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c r="AA170" s="437"/>
      <c r="AB170" s="437"/>
      <c r="AC170" s="437"/>
      <c r="AD170" s="437"/>
      <c r="AE170" s="437"/>
      <c r="AF170" s="437"/>
      <c r="AG170" s="437"/>
      <c r="AH170" s="437"/>
      <c r="AI170" s="437"/>
      <c r="AJ170" s="437"/>
      <c r="AK170" s="437"/>
      <c r="AL170" s="437"/>
      <c r="AM170" s="437"/>
      <c r="AN170" s="437"/>
      <c r="AO170" s="437"/>
      <c r="AP170" s="437"/>
      <c r="AQ170" s="437"/>
      <c r="AR170" s="437"/>
      <c r="AS170" s="437"/>
      <c r="AT170" s="437"/>
      <c r="AU170" s="437"/>
      <c r="AV170" s="437"/>
      <c r="AW170" s="437"/>
      <c r="AX170" s="436">
        <v>165</v>
      </c>
      <c r="AY170" s="490" t="s">
        <v>2216</v>
      </c>
      <c r="AZ170" s="490" t="s">
        <v>2217</v>
      </c>
      <c r="BA170" s="490" t="s">
        <v>2218</v>
      </c>
      <c r="BB170" s="490" t="s">
        <v>2219</v>
      </c>
      <c r="BC170" s="490" t="s">
        <v>2220</v>
      </c>
      <c r="BD170" s="490" t="s">
        <v>2221</v>
      </c>
      <c r="BE170" s="490" t="s">
        <v>414</v>
      </c>
      <c r="BF170" s="490" t="s">
        <v>2222</v>
      </c>
      <c r="BG170" s="490" t="s">
        <v>2212</v>
      </c>
      <c r="BH170" s="490" t="s">
        <v>2124</v>
      </c>
      <c r="BI170" s="490" t="s">
        <v>2223</v>
      </c>
      <c r="BJ170" s="490" t="s">
        <v>1588</v>
      </c>
      <c r="BK170" s="437"/>
      <c r="BL170" s="437"/>
      <c r="BM170" s="437"/>
      <c r="BN170" s="437"/>
      <c r="BO170" s="437"/>
      <c r="BP170" s="437"/>
    </row>
    <row r="171" spans="1:68">
      <c r="A171" s="437"/>
      <c r="B171" s="437"/>
      <c r="C171" s="437"/>
      <c r="D171" s="437"/>
      <c r="E171" s="437"/>
      <c r="F171" s="437"/>
      <c r="G171" s="437"/>
      <c r="H171" s="437"/>
      <c r="I171" s="437"/>
      <c r="J171" s="437"/>
      <c r="K171" s="437"/>
      <c r="L171" s="437"/>
      <c r="M171" s="437"/>
      <c r="N171" s="437"/>
      <c r="O171" s="437"/>
      <c r="P171" s="437"/>
      <c r="Q171" s="437"/>
      <c r="R171" s="437"/>
      <c r="S171" s="437"/>
      <c r="T171" s="437"/>
      <c r="U171" s="437"/>
      <c r="V171" s="437"/>
      <c r="W171" s="437"/>
      <c r="X171" s="437"/>
      <c r="Y171" s="437"/>
      <c r="Z171" s="437"/>
      <c r="AA171" s="437"/>
      <c r="AB171" s="437"/>
      <c r="AC171" s="437"/>
      <c r="AD171" s="437"/>
      <c r="AE171" s="437"/>
      <c r="AF171" s="437"/>
      <c r="AG171" s="437"/>
      <c r="AH171" s="437"/>
      <c r="AI171" s="437"/>
      <c r="AJ171" s="437"/>
      <c r="AK171" s="437"/>
      <c r="AL171" s="437"/>
      <c r="AM171" s="437"/>
      <c r="AN171" s="437"/>
      <c r="AO171" s="437"/>
      <c r="AP171" s="437"/>
      <c r="AQ171" s="437"/>
      <c r="AR171" s="437"/>
      <c r="AS171" s="437"/>
      <c r="AT171" s="437"/>
      <c r="AU171" s="437"/>
      <c r="AV171" s="437"/>
      <c r="AW171" s="437"/>
      <c r="AX171" s="436">
        <v>166</v>
      </c>
      <c r="AY171" s="490" t="s">
        <v>2224</v>
      </c>
      <c r="AZ171" s="490" t="s">
        <v>2225</v>
      </c>
      <c r="BA171" s="490" t="s">
        <v>2226</v>
      </c>
      <c r="BB171" s="490" t="s">
        <v>2227</v>
      </c>
      <c r="BC171" s="490" t="s">
        <v>2228</v>
      </c>
      <c r="BD171" s="490" t="s">
        <v>2229</v>
      </c>
      <c r="BE171" s="490" t="s">
        <v>2230</v>
      </c>
      <c r="BF171" s="490" t="s">
        <v>2231</v>
      </c>
      <c r="BG171" s="490" t="s">
        <v>2232</v>
      </c>
      <c r="BH171" s="490" t="s">
        <v>2233</v>
      </c>
      <c r="BI171" s="490" t="s">
        <v>2234</v>
      </c>
      <c r="BJ171" s="490" t="s">
        <v>2235</v>
      </c>
      <c r="BK171" s="437"/>
      <c r="BL171" s="437"/>
      <c r="BM171" s="437"/>
      <c r="BN171" s="437"/>
      <c r="BO171" s="437"/>
      <c r="BP171" s="437"/>
    </row>
    <row r="172" spans="1:68">
      <c r="A172" s="437"/>
      <c r="B172" s="437"/>
      <c r="C172" s="437"/>
      <c r="D172" s="437"/>
      <c r="E172" s="437"/>
      <c r="F172" s="437"/>
      <c r="G172" s="437"/>
      <c r="H172" s="437"/>
      <c r="I172" s="437"/>
      <c r="J172" s="437"/>
      <c r="K172" s="437"/>
      <c r="L172" s="437"/>
      <c r="M172" s="437"/>
      <c r="N172" s="437"/>
      <c r="O172" s="437"/>
      <c r="P172" s="437"/>
      <c r="Q172" s="437"/>
      <c r="R172" s="437"/>
      <c r="S172" s="437"/>
      <c r="T172" s="437"/>
      <c r="U172" s="437"/>
      <c r="V172" s="437"/>
      <c r="W172" s="437"/>
      <c r="X172" s="437"/>
      <c r="Y172" s="437"/>
      <c r="Z172" s="437"/>
      <c r="AA172" s="437"/>
      <c r="AB172" s="437"/>
      <c r="AC172" s="437"/>
      <c r="AD172" s="437"/>
      <c r="AE172" s="437"/>
      <c r="AF172" s="437"/>
      <c r="AG172" s="437"/>
      <c r="AH172" s="437"/>
      <c r="AI172" s="437"/>
      <c r="AJ172" s="437"/>
      <c r="AK172" s="437"/>
      <c r="AL172" s="437"/>
      <c r="AM172" s="437"/>
      <c r="AN172" s="437"/>
      <c r="AO172" s="437"/>
      <c r="AP172" s="437"/>
      <c r="AQ172" s="437"/>
      <c r="AR172" s="437"/>
      <c r="AS172" s="437"/>
      <c r="AT172" s="437"/>
      <c r="AU172" s="437"/>
      <c r="AV172" s="437"/>
      <c r="AW172" s="437"/>
      <c r="AX172" s="436">
        <v>167</v>
      </c>
      <c r="AY172" s="490" t="s">
        <v>2236</v>
      </c>
      <c r="AZ172" s="490" t="s">
        <v>2237</v>
      </c>
      <c r="BA172" s="490" t="s">
        <v>2238</v>
      </c>
      <c r="BB172" s="490" t="s">
        <v>415</v>
      </c>
      <c r="BC172" s="490" t="s">
        <v>2239</v>
      </c>
      <c r="BD172" s="490" t="s">
        <v>2240</v>
      </c>
      <c r="BE172" s="490" t="s">
        <v>2241</v>
      </c>
      <c r="BF172" s="490" t="s">
        <v>2242</v>
      </c>
      <c r="BG172" s="490" t="s">
        <v>2243</v>
      </c>
      <c r="BH172" s="490" t="s">
        <v>2244</v>
      </c>
      <c r="BI172" s="490" t="s">
        <v>2245</v>
      </c>
      <c r="BJ172" s="490" t="s">
        <v>2246</v>
      </c>
      <c r="BK172" s="437"/>
      <c r="BL172" s="437"/>
      <c r="BM172" s="437"/>
      <c r="BN172" s="437"/>
      <c r="BO172" s="437"/>
      <c r="BP172" s="437"/>
    </row>
    <row r="173" spans="1:68">
      <c r="A173" s="437"/>
      <c r="B173" s="437"/>
      <c r="C173" s="437"/>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c r="AA173" s="437"/>
      <c r="AB173" s="437"/>
      <c r="AC173" s="437"/>
      <c r="AD173" s="437"/>
      <c r="AE173" s="437"/>
      <c r="AF173" s="437"/>
      <c r="AG173" s="437"/>
      <c r="AH173" s="437"/>
      <c r="AI173" s="437"/>
      <c r="AJ173" s="437"/>
      <c r="AK173" s="437"/>
      <c r="AL173" s="437"/>
      <c r="AM173" s="437"/>
      <c r="AN173" s="437"/>
      <c r="AO173" s="437"/>
      <c r="AP173" s="437"/>
      <c r="AQ173" s="437"/>
      <c r="AR173" s="437"/>
      <c r="AS173" s="437"/>
      <c r="AT173" s="437"/>
      <c r="AU173" s="437"/>
      <c r="AV173" s="437"/>
      <c r="AW173" s="437"/>
      <c r="AX173" s="436">
        <v>168</v>
      </c>
      <c r="AY173" s="490" t="s">
        <v>2247</v>
      </c>
      <c r="AZ173" s="490" t="s">
        <v>2248</v>
      </c>
      <c r="BA173" s="490" t="s">
        <v>2249</v>
      </c>
      <c r="BB173" s="490" t="s">
        <v>2250</v>
      </c>
      <c r="BC173" s="490" t="s">
        <v>2251</v>
      </c>
      <c r="BD173" s="490" t="s">
        <v>2252</v>
      </c>
      <c r="BE173" s="490" t="s">
        <v>2253</v>
      </c>
      <c r="BF173" s="490" t="s">
        <v>2254</v>
      </c>
      <c r="BG173" s="490" t="s">
        <v>2255</v>
      </c>
      <c r="BH173" s="490" t="s">
        <v>2256</v>
      </c>
      <c r="BI173" s="490" t="s">
        <v>2257</v>
      </c>
      <c r="BJ173" s="490" t="s">
        <v>2258</v>
      </c>
      <c r="BK173" s="437"/>
      <c r="BL173" s="437"/>
      <c r="BM173" s="437"/>
      <c r="BN173" s="437"/>
      <c r="BO173" s="437"/>
      <c r="BP173" s="437"/>
    </row>
    <row r="174" spans="1:68">
      <c r="A174" s="437"/>
      <c r="B174" s="437"/>
      <c r="C174" s="437"/>
      <c r="D174" s="437"/>
      <c r="E174" s="437"/>
      <c r="F174" s="437"/>
      <c r="G174" s="437"/>
      <c r="H174" s="437"/>
      <c r="I174" s="437"/>
      <c r="J174" s="437"/>
      <c r="K174" s="437"/>
      <c r="L174" s="437"/>
      <c r="M174" s="437"/>
      <c r="N174" s="437"/>
      <c r="O174" s="437"/>
      <c r="P174" s="437"/>
      <c r="Q174" s="437"/>
      <c r="R174" s="437"/>
      <c r="S174" s="437"/>
      <c r="T174" s="437"/>
      <c r="U174" s="437"/>
      <c r="V174" s="437"/>
      <c r="W174" s="437"/>
      <c r="X174" s="437"/>
      <c r="Y174" s="437"/>
      <c r="Z174" s="437"/>
      <c r="AA174" s="437"/>
      <c r="AB174" s="437"/>
      <c r="AC174" s="437"/>
      <c r="AD174" s="437"/>
      <c r="AE174" s="437"/>
      <c r="AF174" s="437"/>
      <c r="AG174" s="437"/>
      <c r="AH174" s="437"/>
      <c r="AI174" s="437"/>
      <c r="AJ174" s="437"/>
      <c r="AK174" s="437"/>
      <c r="AL174" s="437"/>
      <c r="AM174" s="437"/>
      <c r="AN174" s="437"/>
      <c r="AO174" s="437"/>
      <c r="AP174" s="437"/>
      <c r="AQ174" s="437"/>
      <c r="AR174" s="437"/>
      <c r="AS174" s="437"/>
      <c r="AT174" s="437"/>
      <c r="AU174" s="437"/>
      <c r="AV174" s="437"/>
      <c r="AW174" s="437"/>
      <c r="AX174" s="436">
        <v>169</v>
      </c>
      <c r="AY174" s="490" t="s">
        <v>2259</v>
      </c>
      <c r="AZ174" s="490" t="s">
        <v>2260</v>
      </c>
      <c r="BA174" s="490" t="s">
        <v>2261</v>
      </c>
      <c r="BB174" s="490" t="s">
        <v>2262</v>
      </c>
      <c r="BC174" s="490" t="s">
        <v>2263</v>
      </c>
      <c r="BD174" s="490" t="s">
        <v>2264</v>
      </c>
      <c r="BE174" s="490" t="s">
        <v>416</v>
      </c>
      <c r="BF174" s="490" t="s">
        <v>2265</v>
      </c>
      <c r="BG174" s="490" t="s">
        <v>2266</v>
      </c>
      <c r="BH174" s="490" t="s">
        <v>2267</v>
      </c>
      <c r="BI174" s="490" t="s">
        <v>2268</v>
      </c>
      <c r="BJ174" s="490" t="s">
        <v>2269</v>
      </c>
      <c r="BK174" s="437"/>
      <c r="BL174" s="437"/>
      <c r="BM174" s="437"/>
      <c r="BN174" s="437"/>
      <c r="BO174" s="437"/>
      <c r="BP174" s="437"/>
    </row>
    <row r="175" spans="1:68">
      <c r="A175" s="437"/>
      <c r="B175" s="437"/>
      <c r="C175" s="437"/>
      <c r="D175" s="437"/>
      <c r="E175" s="437"/>
      <c r="F175" s="437"/>
      <c r="G175" s="437"/>
      <c r="H175" s="437"/>
      <c r="I175" s="437"/>
      <c r="J175" s="437"/>
      <c r="K175" s="437"/>
      <c r="L175" s="437"/>
      <c r="M175" s="437"/>
      <c r="N175" s="437"/>
      <c r="O175" s="437"/>
      <c r="P175" s="437"/>
      <c r="Q175" s="437"/>
      <c r="R175" s="437"/>
      <c r="S175" s="437"/>
      <c r="T175" s="437"/>
      <c r="U175" s="437"/>
      <c r="V175" s="437"/>
      <c r="W175" s="437"/>
      <c r="X175" s="437"/>
      <c r="Y175" s="437"/>
      <c r="Z175" s="437"/>
      <c r="AA175" s="437"/>
      <c r="AB175" s="437"/>
      <c r="AC175" s="437"/>
      <c r="AD175" s="437"/>
      <c r="AE175" s="437"/>
      <c r="AF175" s="437"/>
      <c r="AG175" s="437"/>
      <c r="AH175" s="437"/>
      <c r="AI175" s="437"/>
      <c r="AJ175" s="437"/>
      <c r="AK175" s="437"/>
      <c r="AL175" s="437"/>
      <c r="AM175" s="437"/>
      <c r="AN175" s="437"/>
      <c r="AO175" s="437"/>
      <c r="AP175" s="437"/>
      <c r="AQ175" s="437"/>
      <c r="AR175" s="437"/>
      <c r="AS175" s="437"/>
      <c r="AT175" s="437"/>
      <c r="AU175" s="437"/>
      <c r="AV175" s="437"/>
      <c r="AW175" s="437"/>
      <c r="AX175" s="436">
        <v>170</v>
      </c>
      <c r="AY175" s="490" t="s">
        <v>2270</v>
      </c>
      <c r="AZ175" s="490" t="s">
        <v>2271</v>
      </c>
      <c r="BA175" s="490" t="s">
        <v>2272</v>
      </c>
      <c r="BB175" s="490" t="s">
        <v>417</v>
      </c>
      <c r="BC175" s="490" t="s">
        <v>2273</v>
      </c>
      <c r="BD175" s="490" t="s">
        <v>2156</v>
      </c>
      <c r="BE175" s="490" t="s">
        <v>2274</v>
      </c>
      <c r="BF175" s="490" t="s">
        <v>2275</v>
      </c>
      <c r="BG175" s="490" t="s">
        <v>2276</v>
      </c>
      <c r="BH175" s="490" t="s">
        <v>2277</v>
      </c>
      <c r="BI175" s="490" t="s">
        <v>2278</v>
      </c>
      <c r="BJ175" s="490" t="s">
        <v>2279</v>
      </c>
      <c r="BK175" s="437"/>
      <c r="BL175" s="437"/>
      <c r="BM175" s="437"/>
      <c r="BN175" s="437"/>
      <c r="BO175" s="437"/>
      <c r="BP175" s="437"/>
    </row>
    <row r="176" spans="1:68">
      <c r="A176" s="437"/>
      <c r="B176" s="437"/>
      <c r="C176" s="437"/>
      <c r="D176" s="437"/>
      <c r="E176" s="437"/>
      <c r="F176" s="437"/>
      <c r="G176" s="437"/>
      <c r="H176" s="437"/>
      <c r="I176" s="437"/>
      <c r="J176" s="437"/>
      <c r="K176" s="437"/>
      <c r="L176" s="437"/>
      <c r="M176" s="437"/>
      <c r="N176" s="437"/>
      <c r="O176" s="437"/>
      <c r="P176" s="437"/>
      <c r="Q176" s="437"/>
      <c r="R176" s="437"/>
      <c r="S176" s="437"/>
      <c r="T176" s="437"/>
      <c r="U176" s="437"/>
      <c r="V176" s="437"/>
      <c r="W176" s="437"/>
      <c r="X176" s="437"/>
      <c r="Y176" s="437"/>
      <c r="Z176" s="437"/>
      <c r="AA176" s="437"/>
      <c r="AB176" s="437"/>
      <c r="AC176" s="437"/>
      <c r="AD176" s="437"/>
      <c r="AE176" s="437"/>
      <c r="AF176" s="437"/>
      <c r="AG176" s="437"/>
      <c r="AH176" s="437"/>
      <c r="AI176" s="437"/>
      <c r="AJ176" s="437"/>
      <c r="AK176" s="437"/>
      <c r="AL176" s="437"/>
      <c r="AM176" s="437"/>
      <c r="AN176" s="437"/>
      <c r="AO176" s="437"/>
      <c r="AP176" s="437"/>
      <c r="AQ176" s="437"/>
      <c r="AR176" s="437"/>
      <c r="AS176" s="437"/>
      <c r="AT176" s="437"/>
      <c r="AU176" s="437"/>
      <c r="AV176" s="437"/>
      <c r="AW176" s="437"/>
      <c r="AX176" s="436">
        <v>171</v>
      </c>
      <c r="AY176" s="490" t="s">
        <v>2280</v>
      </c>
      <c r="AZ176" s="490" t="s">
        <v>2281</v>
      </c>
      <c r="BA176" s="490" t="s">
        <v>2282</v>
      </c>
      <c r="BB176" s="490" t="s">
        <v>2283</v>
      </c>
      <c r="BC176" s="490" t="s">
        <v>2284</v>
      </c>
      <c r="BD176" s="490" t="s">
        <v>2285</v>
      </c>
      <c r="BE176" s="490" t="s">
        <v>2286</v>
      </c>
      <c r="BF176" s="490" t="s">
        <v>2287</v>
      </c>
      <c r="BG176" s="490" t="s">
        <v>2288</v>
      </c>
      <c r="BH176" s="490" t="s">
        <v>2289</v>
      </c>
      <c r="BI176" s="490" t="s">
        <v>2290</v>
      </c>
      <c r="BJ176" s="490" t="s">
        <v>2291</v>
      </c>
      <c r="BK176" s="437"/>
      <c r="BL176" s="437"/>
      <c r="BM176" s="437"/>
      <c r="BN176" s="437"/>
      <c r="BO176" s="437"/>
      <c r="BP176" s="437"/>
    </row>
    <row r="177" spans="1:68">
      <c r="A177" s="437"/>
      <c r="B177" s="437"/>
      <c r="C177" s="437"/>
      <c r="D177" s="437"/>
      <c r="E177" s="437"/>
      <c r="F177" s="437"/>
      <c r="G177" s="437"/>
      <c r="H177" s="437"/>
      <c r="I177" s="437"/>
      <c r="J177" s="437"/>
      <c r="K177" s="437"/>
      <c r="L177" s="437"/>
      <c r="M177" s="437"/>
      <c r="N177" s="437"/>
      <c r="O177" s="437"/>
      <c r="P177" s="437"/>
      <c r="Q177" s="437"/>
      <c r="R177" s="437"/>
      <c r="S177" s="437"/>
      <c r="T177" s="437"/>
      <c r="U177" s="437"/>
      <c r="V177" s="437"/>
      <c r="W177" s="437"/>
      <c r="X177" s="437"/>
      <c r="Y177" s="437"/>
      <c r="Z177" s="437"/>
      <c r="AA177" s="437"/>
      <c r="AB177" s="437"/>
      <c r="AC177" s="437"/>
      <c r="AD177" s="437"/>
      <c r="AE177" s="437"/>
      <c r="AF177" s="437"/>
      <c r="AG177" s="437"/>
      <c r="AH177" s="437"/>
      <c r="AI177" s="437"/>
      <c r="AJ177" s="437"/>
      <c r="AK177" s="437"/>
      <c r="AL177" s="437"/>
      <c r="AM177" s="437"/>
      <c r="AN177" s="437"/>
      <c r="AO177" s="437"/>
      <c r="AP177" s="437"/>
      <c r="AQ177" s="437"/>
      <c r="AR177" s="437"/>
      <c r="AS177" s="437"/>
      <c r="AT177" s="437"/>
      <c r="AU177" s="437"/>
      <c r="AV177" s="437"/>
      <c r="AW177" s="437"/>
      <c r="AX177" s="436">
        <v>172</v>
      </c>
      <c r="AY177" s="490" t="s">
        <v>2292</v>
      </c>
      <c r="AZ177" s="490" t="s">
        <v>2293</v>
      </c>
      <c r="BA177" s="490" t="s">
        <v>2294</v>
      </c>
      <c r="BB177" s="490" t="s">
        <v>418</v>
      </c>
      <c r="BC177" s="490" t="s">
        <v>2295</v>
      </c>
      <c r="BD177" s="490" t="s">
        <v>2296</v>
      </c>
      <c r="BE177" s="490" t="s">
        <v>2297</v>
      </c>
      <c r="BF177" s="490" t="s">
        <v>2298</v>
      </c>
      <c r="BG177" s="490" t="s">
        <v>2299</v>
      </c>
      <c r="BH177" s="490" t="s">
        <v>2300</v>
      </c>
      <c r="BI177" s="490" t="s">
        <v>327</v>
      </c>
      <c r="BJ177" s="490" t="s">
        <v>2301</v>
      </c>
      <c r="BK177" s="437"/>
      <c r="BL177" s="437"/>
      <c r="BM177" s="437"/>
      <c r="BN177" s="437"/>
      <c r="BO177" s="437"/>
      <c r="BP177" s="437"/>
    </row>
    <row r="178" spans="1:68">
      <c r="A178" s="437"/>
      <c r="B178" s="437"/>
      <c r="C178" s="437"/>
      <c r="D178" s="437"/>
      <c r="E178" s="437"/>
      <c r="F178" s="437"/>
      <c r="G178" s="437"/>
      <c r="H178" s="437"/>
      <c r="I178" s="437"/>
      <c r="J178" s="437"/>
      <c r="K178" s="437"/>
      <c r="L178" s="437"/>
      <c r="M178" s="437"/>
      <c r="N178" s="437"/>
      <c r="O178" s="437"/>
      <c r="P178" s="437"/>
      <c r="Q178" s="437"/>
      <c r="R178" s="437"/>
      <c r="S178" s="437"/>
      <c r="T178" s="437"/>
      <c r="U178" s="437"/>
      <c r="V178" s="437"/>
      <c r="W178" s="437"/>
      <c r="X178" s="437"/>
      <c r="Y178" s="437"/>
      <c r="Z178" s="437"/>
      <c r="AA178" s="437"/>
      <c r="AB178" s="437"/>
      <c r="AC178" s="437"/>
      <c r="AD178" s="437"/>
      <c r="AE178" s="437"/>
      <c r="AF178" s="437"/>
      <c r="AG178" s="437"/>
      <c r="AH178" s="437"/>
      <c r="AI178" s="437"/>
      <c r="AJ178" s="437"/>
      <c r="AK178" s="437"/>
      <c r="AL178" s="437"/>
      <c r="AM178" s="437"/>
      <c r="AN178" s="437"/>
      <c r="AO178" s="437"/>
      <c r="AP178" s="437"/>
      <c r="AQ178" s="437"/>
      <c r="AR178" s="437"/>
      <c r="AS178" s="437"/>
      <c r="AT178" s="437"/>
      <c r="AU178" s="437"/>
      <c r="AV178" s="437"/>
      <c r="AW178" s="437"/>
      <c r="AX178" s="436">
        <v>173</v>
      </c>
      <c r="AY178" s="490" t="s">
        <v>2302</v>
      </c>
      <c r="AZ178" s="490" t="s">
        <v>2164</v>
      </c>
      <c r="BA178" s="490" t="s">
        <v>2303</v>
      </c>
      <c r="BB178" s="490" t="s">
        <v>2304</v>
      </c>
      <c r="BC178" s="490" t="s">
        <v>2305</v>
      </c>
      <c r="BD178" s="490" t="s">
        <v>412</v>
      </c>
      <c r="BE178" s="490" t="s">
        <v>2306</v>
      </c>
      <c r="BF178" s="490" t="s">
        <v>2307</v>
      </c>
      <c r="BG178" s="490" t="s">
        <v>2308</v>
      </c>
      <c r="BH178" s="490" t="s">
        <v>2309</v>
      </c>
      <c r="BI178" s="490" t="s">
        <v>2310</v>
      </c>
      <c r="BJ178" s="490" t="s">
        <v>2311</v>
      </c>
      <c r="BK178" s="437"/>
      <c r="BL178" s="437"/>
      <c r="BM178" s="437"/>
      <c r="BN178" s="437"/>
      <c r="BO178" s="437"/>
      <c r="BP178" s="437"/>
    </row>
    <row r="179" spans="1:68">
      <c r="A179" s="437"/>
      <c r="B179" s="437"/>
      <c r="C179" s="437"/>
      <c r="D179" s="437"/>
      <c r="E179" s="437"/>
      <c r="F179" s="437"/>
      <c r="G179" s="437"/>
      <c r="H179" s="437"/>
      <c r="I179" s="437"/>
      <c r="J179" s="437"/>
      <c r="K179" s="437"/>
      <c r="L179" s="437"/>
      <c r="M179" s="437"/>
      <c r="N179" s="437"/>
      <c r="O179" s="437"/>
      <c r="P179" s="437"/>
      <c r="Q179" s="437"/>
      <c r="R179" s="437"/>
      <c r="S179" s="437"/>
      <c r="T179" s="437"/>
      <c r="U179" s="437"/>
      <c r="V179" s="437"/>
      <c r="W179" s="437"/>
      <c r="X179" s="437"/>
      <c r="Y179" s="437"/>
      <c r="Z179" s="437"/>
      <c r="AA179" s="437"/>
      <c r="AB179" s="437"/>
      <c r="AC179" s="437"/>
      <c r="AD179" s="437"/>
      <c r="AE179" s="437"/>
      <c r="AF179" s="437"/>
      <c r="AG179" s="437"/>
      <c r="AH179" s="437"/>
      <c r="AI179" s="437"/>
      <c r="AJ179" s="437"/>
      <c r="AK179" s="437"/>
      <c r="AL179" s="437"/>
      <c r="AM179" s="437"/>
      <c r="AN179" s="437"/>
      <c r="AO179" s="437"/>
      <c r="AP179" s="437"/>
      <c r="AQ179" s="437"/>
      <c r="AR179" s="437"/>
      <c r="AS179" s="437"/>
      <c r="AT179" s="437"/>
      <c r="AU179" s="437"/>
      <c r="AV179" s="437"/>
      <c r="AW179" s="437"/>
      <c r="AX179" s="436">
        <v>174</v>
      </c>
      <c r="AY179" s="490" t="s">
        <v>2312</v>
      </c>
      <c r="AZ179" s="490" t="s">
        <v>2313</v>
      </c>
      <c r="BA179" s="490" t="s">
        <v>2177</v>
      </c>
      <c r="BB179" s="490" t="s">
        <v>2314</v>
      </c>
      <c r="BC179" s="490" t="s">
        <v>2315</v>
      </c>
      <c r="BD179" s="490" t="s">
        <v>2316</v>
      </c>
      <c r="BE179" s="490" t="s">
        <v>2308</v>
      </c>
      <c r="BF179" s="490" t="s">
        <v>2317</v>
      </c>
      <c r="BG179" s="490" t="s">
        <v>2318</v>
      </c>
      <c r="BH179" s="490" t="s">
        <v>2319</v>
      </c>
      <c r="BI179" s="490" t="s">
        <v>327</v>
      </c>
      <c r="BJ179" s="490" t="s">
        <v>2320</v>
      </c>
      <c r="BK179" s="437"/>
      <c r="BL179" s="437"/>
      <c r="BM179" s="437"/>
      <c r="BN179" s="437"/>
      <c r="BO179" s="437"/>
      <c r="BP179" s="437"/>
    </row>
    <row r="180" spans="1:68">
      <c r="A180" s="437"/>
      <c r="B180" s="437"/>
      <c r="C180" s="437"/>
      <c r="D180" s="437"/>
      <c r="E180" s="437"/>
      <c r="F180" s="437"/>
      <c r="G180" s="437"/>
      <c r="H180" s="437"/>
      <c r="I180" s="437"/>
      <c r="J180" s="437"/>
      <c r="K180" s="437"/>
      <c r="L180" s="437"/>
      <c r="M180" s="437"/>
      <c r="N180" s="437"/>
      <c r="O180" s="437"/>
      <c r="P180" s="437"/>
      <c r="Q180" s="437"/>
      <c r="R180" s="437"/>
      <c r="S180" s="437"/>
      <c r="T180" s="437"/>
      <c r="U180" s="437"/>
      <c r="V180" s="437"/>
      <c r="W180" s="437"/>
      <c r="X180" s="437"/>
      <c r="Y180" s="437"/>
      <c r="Z180" s="437"/>
      <c r="AA180" s="437"/>
      <c r="AB180" s="437"/>
      <c r="AC180" s="437"/>
      <c r="AD180" s="437"/>
      <c r="AE180" s="437"/>
      <c r="AF180" s="437"/>
      <c r="AG180" s="437"/>
      <c r="AH180" s="437"/>
      <c r="AI180" s="437"/>
      <c r="AJ180" s="437"/>
      <c r="AK180" s="437"/>
      <c r="AL180" s="437"/>
      <c r="AM180" s="437"/>
      <c r="AN180" s="437"/>
      <c r="AO180" s="437"/>
      <c r="AP180" s="437"/>
      <c r="AQ180" s="437"/>
      <c r="AR180" s="437"/>
      <c r="AS180" s="437"/>
      <c r="AT180" s="437"/>
      <c r="AU180" s="437"/>
      <c r="AV180" s="437"/>
      <c r="AW180" s="437"/>
      <c r="AX180" s="436">
        <v>175</v>
      </c>
      <c r="AY180" s="490" t="s">
        <v>2186</v>
      </c>
      <c r="AZ180" s="490" t="s">
        <v>2321</v>
      </c>
      <c r="BA180" s="490" t="s">
        <v>2322</v>
      </c>
      <c r="BB180" s="490" t="s">
        <v>2323</v>
      </c>
      <c r="BC180" s="490" t="s">
        <v>2324</v>
      </c>
      <c r="BD180" s="490" t="s">
        <v>2325</v>
      </c>
      <c r="BE180" s="490" t="s">
        <v>2326</v>
      </c>
      <c r="BF180" s="490" t="s">
        <v>2327</v>
      </c>
      <c r="BG180" s="490" t="s">
        <v>2317</v>
      </c>
      <c r="BH180" s="490" t="s">
        <v>2328</v>
      </c>
      <c r="BI180" s="490" t="s">
        <v>2173</v>
      </c>
      <c r="BJ180" s="490" t="s">
        <v>322</v>
      </c>
      <c r="BK180" s="437"/>
      <c r="BL180" s="437"/>
      <c r="BM180" s="437"/>
      <c r="BN180" s="437"/>
      <c r="BO180" s="437"/>
      <c r="BP180" s="437"/>
    </row>
    <row r="181" spans="1:68">
      <c r="A181" s="437"/>
      <c r="B181" s="437"/>
      <c r="C181" s="437"/>
      <c r="D181" s="437"/>
      <c r="E181" s="437"/>
      <c r="F181" s="437"/>
      <c r="G181" s="437"/>
      <c r="H181" s="437"/>
      <c r="I181" s="437"/>
      <c r="J181" s="437"/>
      <c r="K181" s="437"/>
      <c r="L181" s="437"/>
      <c r="M181" s="437"/>
      <c r="N181" s="437"/>
      <c r="O181" s="437"/>
      <c r="P181" s="437"/>
      <c r="Q181" s="437"/>
      <c r="R181" s="437"/>
      <c r="S181" s="437"/>
      <c r="T181" s="437"/>
      <c r="U181" s="437"/>
      <c r="V181" s="437"/>
      <c r="W181" s="437"/>
      <c r="X181" s="437"/>
      <c r="Y181" s="437"/>
      <c r="Z181" s="437"/>
      <c r="AA181" s="437"/>
      <c r="AB181" s="437"/>
      <c r="AC181" s="437"/>
      <c r="AD181" s="437"/>
      <c r="AE181" s="437"/>
      <c r="AF181" s="437"/>
      <c r="AG181" s="437"/>
      <c r="AH181" s="437"/>
      <c r="AI181" s="437"/>
      <c r="AJ181" s="437"/>
      <c r="AK181" s="437"/>
      <c r="AL181" s="437"/>
      <c r="AM181" s="437"/>
      <c r="AN181" s="437"/>
      <c r="AO181" s="437"/>
      <c r="AP181" s="437"/>
      <c r="AQ181" s="437"/>
      <c r="AR181" s="437"/>
      <c r="AS181" s="437"/>
      <c r="AT181" s="437"/>
      <c r="AU181" s="437"/>
      <c r="AV181" s="437"/>
      <c r="AW181" s="437"/>
      <c r="AX181" s="436">
        <v>176</v>
      </c>
      <c r="AY181" s="490" t="s">
        <v>2329</v>
      </c>
      <c r="AZ181" s="490" t="s">
        <v>2330</v>
      </c>
      <c r="BA181" s="490" t="s">
        <v>2331</v>
      </c>
      <c r="BB181" s="490" t="s">
        <v>2332</v>
      </c>
      <c r="BC181" s="490" t="s">
        <v>2333</v>
      </c>
      <c r="BD181" s="490" t="s">
        <v>2334</v>
      </c>
      <c r="BE181" s="490" t="s">
        <v>2335</v>
      </c>
      <c r="BF181" s="490" t="s">
        <v>2336</v>
      </c>
      <c r="BG181" s="490" t="s">
        <v>2327</v>
      </c>
      <c r="BH181" s="490" t="s">
        <v>419</v>
      </c>
      <c r="BI181" s="490" t="s">
        <v>2337</v>
      </c>
      <c r="BJ181" s="490" t="s">
        <v>2338</v>
      </c>
      <c r="BK181" s="437"/>
      <c r="BL181" s="437"/>
      <c r="BM181" s="437"/>
      <c r="BN181" s="437"/>
      <c r="BO181" s="437"/>
      <c r="BP181" s="437"/>
    </row>
    <row r="182" spans="1:68">
      <c r="A182" s="437"/>
      <c r="B182" s="437"/>
      <c r="C182" s="437"/>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c r="AA182" s="437"/>
      <c r="AB182" s="437"/>
      <c r="AC182" s="437"/>
      <c r="AD182" s="437"/>
      <c r="AE182" s="437"/>
      <c r="AF182" s="437"/>
      <c r="AG182" s="437"/>
      <c r="AH182" s="437"/>
      <c r="AI182" s="437"/>
      <c r="AJ182" s="437"/>
      <c r="AK182" s="437"/>
      <c r="AL182" s="437"/>
      <c r="AM182" s="437"/>
      <c r="AN182" s="437"/>
      <c r="AO182" s="437"/>
      <c r="AP182" s="437"/>
      <c r="AQ182" s="437"/>
      <c r="AR182" s="437"/>
      <c r="AS182" s="437"/>
      <c r="AT182" s="437"/>
      <c r="AU182" s="437"/>
      <c r="AV182" s="437"/>
      <c r="AW182" s="437"/>
      <c r="AX182" s="436">
        <v>177</v>
      </c>
      <c r="AY182" s="490" t="s">
        <v>2339</v>
      </c>
      <c r="AZ182" s="490" t="s">
        <v>2340</v>
      </c>
      <c r="BA182" s="490" t="s">
        <v>2341</v>
      </c>
      <c r="BB182" s="490" t="s">
        <v>2342</v>
      </c>
      <c r="BC182" s="490" t="s">
        <v>2343</v>
      </c>
      <c r="BD182" s="490" t="s">
        <v>2344</v>
      </c>
      <c r="BE182" s="490" t="s">
        <v>2345</v>
      </c>
      <c r="BF182" s="490" t="s">
        <v>2346</v>
      </c>
      <c r="BG182" s="490" t="s">
        <v>2347</v>
      </c>
      <c r="BH182" s="490" t="s">
        <v>2255</v>
      </c>
      <c r="BI182" s="490" t="s">
        <v>2348</v>
      </c>
      <c r="BJ182" s="490" t="s">
        <v>2234</v>
      </c>
      <c r="BK182" s="437"/>
      <c r="BL182" s="437"/>
      <c r="BM182" s="437"/>
      <c r="BN182" s="437"/>
      <c r="BO182" s="437"/>
      <c r="BP182" s="437"/>
    </row>
    <row r="183" spans="1:68">
      <c r="A183" s="437"/>
      <c r="B183" s="437"/>
      <c r="C183" s="437"/>
      <c r="D183" s="437"/>
      <c r="E183" s="437"/>
      <c r="F183" s="437"/>
      <c r="G183" s="437"/>
      <c r="H183" s="437"/>
      <c r="I183" s="437"/>
      <c r="J183" s="437"/>
      <c r="K183" s="437"/>
      <c r="L183" s="437"/>
      <c r="M183" s="437"/>
      <c r="N183" s="437"/>
      <c r="O183" s="437"/>
      <c r="P183" s="437"/>
      <c r="Q183" s="437"/>
      <c r="R183" s="437"/>
      <c r="S183" s="437"/>
      <c r="T183" s="437"/>
      <c r="U183" s="437"/>
      <c r="V183" s="437"/>
      <c r="W183" s="437"/>
      <c r="X183" s="437"/>
      <c r="Y183" s="437"/>
      <c r="Z183" s="437"/>
      <c r="AA183" s="437"/>
      <c r="AB183" s="437"/>
      <c r="AC183" s="437"/>
      <c r="AD183" s="437"/>
      <c r="AE183" s="437"/>
      <c r="AF183" s="437"/>
      <c r="AG183" s="437"/>
      <c r="AH183" s="437"/>
      <c r="AI183" s="437"/>
      <c r="AJ183" s="437"/>
      <c r="AK183" s="437"/>
      <c r="AL183" s="437"/>
      <c r="AM183" s="437"/>
      <c r="AN183" s="437"/>
      <c r="AO183" s="437"/>
      <c r="AP183" s="437"/>
      <c r="AQ183" s="437"/>
      <c r="AR183" s="437"/>
      <c r="AS183" s="437"/>
      <c r="AT183" s="437"/>
      <c r="AU183" s="437"/>
      <c r="AV183" s="437"/>
      <c r="AW183" s="437"/>
      <c r="AX183" s="436">
        <v>178</v>
      </c>
      <c r="AY183" s="490" t="s">
        <v>2330</v>
      </c>
      <c r="AZ183" s="490" t="s">
        <v>2349</v>
      </c>
      <c r="BA183" s="490" t="s">
        <v>2350</v>
      </c>
      <c r="BB183" s="490" t="s">
        <v>2351</v>
      </c>
      <c r="BC183" s="490" t="s">
        <v>2352</v>
      </c>
      <c r="BD183" s="490" t="s">
        <v>2353</v>
      </c>
      <c r="BE183" s="490" t="s">
        <v>2354</v>
      </c>
      <c r="BF183" s="490" t="s">
        <v>2355</v>
      </c>
      <c r="BG183" s="490" t="s">
        <v>2356</v>
      </c>
      <c r="BH183" s="490" t="s">
        <v>2357</v>
      </c>
      <c r="BI183" s="490" t="s">
        <v>2358</v>
      </c>
      <c r="BJ183" s="490" t="s">
        <v>2359</v>
      </c>
      <c r="BK183" s="437"/>
      <c r="BL183" s="437"/>
      <c r="BM183" s="437"/>
      <c r="BN183" s="437"/>
      <c r="BO183" s="437"/>
      <c r="BP183" s="437"/>
    </row>
    <row r="184" spans="1:68">
      <c r="A184" s="437"/>
      <c r="B184" s="437"/>
      <c r="C184" s="437"/>
      <c r="D184" s="437"/>
      <c r="E184" s="437"/>
      <c r="F184" s="437"/>
      <c r="G184" s="437"/>
      <c r="H184" s="437"/>
      <c r="I184" s="437"/>
      <c r="J184" s="437"/>
      <c r="K184" s="437"/>
      <c r="L184" s="437"/>
      <c r="M184" s="437"/>
      <c r="N184" s="437"/>
      <c r="O184" s="437"/>
      <c r="P184" s="437"/>
      <c r="Q184" s="437"/>
      <c r="R184" s="437"/>
      <c r="S184" s="437"/>
      <c r="T184" s="437"/>
      <c r="U184" s="437"/>
      <c r="V184" s="437"/>
      <c r="W184" s="437"/>
      <c r="X184" s="437"/>
      <c r="Y184" s="437"/>
      <c r="Z184" s="437"/>
      <c r="AA184" s="437"/>
      <c r="AB184" s="437"/>
      <c r="AC184" s="437"/>
      <c r="AD184" s="437"/>
      <c r="AE184" s="437"/>
      <c r="AF184" s="437"/>
      <c r="AG184" s="437"/>
      <c r="AH184" s="437"/>
      <c r="AI184" s="437"/>
      <c r="AJ184" s="437"/>
      <c r="AK184" s="437"/>
      <c r="AL184" s="437"/>
      <c r="AM184" s="437"/>
      <c r="AN184" s="437"/>
      <c r="AO184" s="437"/>
      <c r="AP184" s="437"/>
      <c r="AQ184" s="437"/>
      <c r="AR184" s="437"/>
      <c r="AS184" s="437"/>
      <c r="AT184" s="437"/>
      <c r="AU184" s="437"/>
      <c r="AV184" s="437"/>
      <c r="AW184" s="437"/>
      <c r="AX184" s="436">
        <v>179</v>
      </c>
      <c r="AY184" s="490" t="s">
        <v>2360</v>
      </c>
      <c r="AZ184" s="490" t="s">
        <v>420</v>
      </c>
      <c r="BA184" s="490" t="s">
        <v>2361</v>
      </c>
      <c r="BB184" s="490" t="s">
        <v>2362</v>
      </c>
      <c r="BC184" s="490" t="s">
        <v>2363</v>
      </c>
      <c r="BD184" s="490" t="s">
        <v>2364</v>
      </c>
      <c r="BE184" s="490" t="s">
        <v>2365</v>
      </c>
      <c r="BF184" s="490" t="s">
        <v>2366</v>
      </c>
      <c r="BG184" s="490" t="s">
        <v>2367</v>
      </c>
      <c r="BH184" s="490" t="s">
        <v>2368</v>
      </c>
      <c r="BI184" s="490" t="s">
        <v>2369</v>
      </c>
      <c r="BJ184" s="490" t="s">
        <v>2370</v>
      </c>
      <c r="BK184" s="437"/>
      <c r="BL184" s="437"/>
      <c r="BM184" s="437"/>
      <c r="BN184" s="437"/>
      <c r="BO184" s="437"/>
      <c r="BP184" s="437"/>
    </row>
    <row r="185" spans="1:68">
      <c r="A185" s="437"/>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437"/>
      <c r="AE185" s="437"/>
      <c r="AF185" s="437"/>
      <c r="AG185" s="437"/>
      <c r="AH185" s="437"/>
      <c r="AI185" s="437"/>
      <c r="AJ185" s="437"/>
      <c r="AK185" s="437"/>
      <c r="AL185" s="437"/>
      <c r="AM185" s="437"/>
      <c r="AN185" s="437"/>
      <c r="AO185" s="437"/>
      <c r="AP185" s="437"/>
      <c r="AQ185" s="437"/>
      <c r="AR185" s="437"/>
      <c r="AS185" s="437"/>
      <c r="AT185" s="437"/>
      <c r="AU185" s="437"/>
      <c r="AV185" s="437"/>
      <c r="AW185" s="437"/>
      <c r="AX185" s="436">
        <v>180</v>
      </c>
      <c r="AY185" s="490" t="s">
        <v>2371</v>
      </c>
      <c r="AZ185" s="490" t="s">
        <v>2372</v>
      </c>
      <c r="BA185" s="490" t="s">
        <v>421</v>
      </c>
      <c r="BB185" s="490" t="s">
        <v>2373</v>
      </c>
      <c r="BC185" s="490" t="s">
        <v>2374</v>
      </c>
      <c r="BD185" s="490" t="s">
        <v>2375</v>
      </c>
      <c r="BE185" s="490" t="s">
        <v>2355</v>
      </c>
      <c r="BF185" s="490" t="s">
        <v>2376</v>
      </c>
      <c r="BG185" s="490" t="s">
        <v>2377</v>
      </c>
      <c r="BH185" s="490" t="s">
        <v>2378</v>
      </c>
      <c r="BI185" s="490" t="s">
        <v>2379</v>
      </c>
      <c r="BJ185" s="490" t="s">
        <v>2380</v>
      </c>
      <c r="BK185" s="437"/>
      <c r="BL185" s="437"/>
      <c r="BM185" s="437"/>
      <c r="BN185" s="437"/>
      <c r="BO185" s="437"/>
      <c r="BP185" s="437"/>
    </row>
    <row r="186" spans="1:68">
      <c r="A186" s="437"/>
      <c r="B186" s="437"/>
      <c r="C186" s="437"/>
      <c r="D186" s="437"/>
      <c r="E186" s="437"/>
      <c r="F186" s="437"/>
      <c r="G186" s="437"/>
      <c r="H186" s="437"/>
      <c r="I186" s="437"/>
      <c r="J186" s="437"/>
      <c r="K186" s="437"/>
      <c r="L186" s="437"/>
      <c r="M186" s="437"/>
      <c r="N186" s="437"/>
      <c r="O186" s="437"/>
      <c r="P186" s="437"/>
      <c r="Q186" s="437"/>
      <c r="R186" s="437"/>
      <c r="S186" s="437"/>
      <c r="T186" s="437"/>
      <c r="U186" s="437"/>
      <c r="V186" s="437"/>
      <c r="W186" s="437"/>
      <c r="X186" s="437"/>
      <c r="Y186" s="437"/>
      <c r="Z186" s="437"/>
      <c r="AA186" s="437"/>
      <c r="AB186" s="437"/>
      <c r="AC186" s="437"/>
      <c r="AD186" s="437"/>
      <c r="AE186" s="437"/>
      <c r="AF186" s="437"/>
      <c r="AG186" s="437"/>
      <c r="AH186" s="437"/>
      <c r="AI186" s="437"/>
      <c r="AJ186" s="437"/>
      <c r="AK186" s="437"/>
      <c r="AL186" s="437"/>
      <c r="AM186" s="437"/>
      <c r="AN186" s="437"/>
      <c r="AO186" s="437"/>
      <c r="AP186" s="437"/>
      <c r="AQ186" s="437"/>
      <c r="AR186" s="437"/>
      <c r="AS186" s="437"/>
      <c r="AT186" s="437"/>
      <c r="AU186" s="437"/>
      <c r="AV186" s="437"/>
      <c r="AW186" s="437"/>
      <c r="AX186" s="436">
        <v>181</v>
      </c>
      <c r="AY186" s="490" t="s">
        <v>2381</v>
      </c>
      <c r="AZ186" s="490" t="s">
        <v>2382</v>
      </c>
      <c r="BA186" s="490" t="s">
        <v>2383</v>
      </c>
      <c r="BB186" s="490" t="s">
        <v>2384</v>
      </c>
      <c r="BC186" s="490" t="s">
        <v>2385</v>
      </c>
      <c r="BD186" s="490" t="s">
        <v>2386</v>
      </c>
      <c r="BE186" s="490" t="s">
        <v>2387</v>
      </c>
      <c r="BF186" s="490" t="s">
        <v>2388</v>
      </c>
      <c r="BG186" s="490" t="s">
        <v>2376</v>
      </c>
      <c r="BH186" s="490" t="s">
        <v>2389</v>
      </c>
      <c r="BI186" s="490" t="s">
        <v>2390</v>
      </c>
      <c r="BJ186" s="490" t="s">
        <v>2391</v>
      </c>
      <c r="BK186" s="437"/>
      <c r="BL186" s="437"/>
      <c r="BM186" s="437"/>
      <c r="BN186" s="437"/>
      <c r="BO186" s="437"/>
      <c r="BP186" s="437"/>
    </row>
    <row r="187" spans="1:68">
      <c r="A187" s="437"/>
      <c r="B187" s="437"/>
      <c r="C187" s="437"/>
      <c r="D187" s="437"/>
      <c r="E187" s="437"/>
      <c r="F187" s="437"/>
      <c r="G187" s="437"/>
      <c r="H187" s="437"/>
      <c r="I187" s="437"/>
      <c r="J187" s="437"/>
      <c r="K187" s="437"/>
      <c r="L187" s="437"/>
      <c r="M187" s="437"/>
      <c r="N187" s="437"/>
      <c r="O187" s="437"/>
      <c r="P187" s="437"/>
      <c r="Q187" s="437"/>
      <c r="R187" s="437"/>
      <c r="S187" s="437"/>
      <c r="T187" s="437"/>
      <c r="U187" s="437"/>
      <c r="V187" s="437"/>
      <c r="W187" s="437"/>
      <c r="X187" s="437"/>
      <c r="Y187" s="437"/>
      <c r="Z187" s="437"/>
      <c r="AA187" s="437"/>
      <c r="AB187" s="437"/>
      <c r="AC187" s="437"/>
      <c r="AD187" s="437"/>
      <c r="AE187" s="437"/>
      <c r="AF187" s="437"/>
      <c r="AG187" s="437"/>
      <c r="AH187" s="437"/>
      <c r="AI187" s="437"/>
      <c r="AJ187" s="437"/>
      <c r="AK187" s="437"/>
      <c r="AL187" s="437"/>
      <c r="AM187" s="437"/>
      <c r="AN187" s="437"/>
      <c r="AO187" s="437"/>
      <c r="AP187" s="437"/>
      <c r="AQ187" s="437"/>
      <c r="AR187" s="437"/>
      <c r="AS187" s="437"/>
      <c r="AT187" s="437"/>
      <c r="AU187" s="437"/>
      <c r="AV187" s="437"/>
      <c r="AW187" s="437"/>
      <c r="AX187" s="436">
        <v>182</v>
      </c>
      <c r="AY187" s="490" t="s">
        <v>2392</v>
      </c>
      <c r="AZ187" s="490" t="s">
        <v>2393</v>
      </c>
      <c r="BA187" s="490" t="s">
        <v>2394</v>
      </c>
      <c r="BB187" s="490" t="s">
        <v>2395</v>
      </c>
      <c r="BC187" s="490" t="s">
        <v>2396</v>
      </c>
      <c r="BD187" s="490" t="s">
        <v>2397</v>
      </c>
      <c r="BE187" s="490" t="s">
        <v>2398</v>
      </c>
      <c r="BF187" s="490" t="s">
        <v>2399</v>
      </c>
      <c r="BG187" s="490" t="s">
        <v>2400</v>
      </c>
      <c r="BH187" s="490" t="s">
        <v>2401</v>
      </c>
      <c r="BI187" s="490" t="s">
        <v>2402</v>
      </c>
      <c r="BJ187" s="490" t="s">
        <v>2403</v>
      </c>
      <c r="BK187" s="437"/>
      <c r="BL187" s="437"/>
      <c r="BM187" s="437"/>
      <c r="BN187" s="437"/>
      <c r="BO187" s="437"/>
      <c r="BP187" s="437"/>
    </row>
    <row r="188" spans="1:68">
      <c r="A188" s="437"/>
      <c r="B188" s="437"/>
      <c r="C188" s="437"/>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c r="AA188" s="437"/>
      <c r="AB188" s="437"/>
      <c r="AC188" s="437"/>
      <c r="AD188" s="437"/>
      <c r="AE188" s="437"/>
      <c r="AF188" s="437"/>
      <c r="AG188" s="437"/>
      <c r="AH188" s="437"/>
      <c r="AI188" s="437"/>
      <c r="AJ188" s="437"/>
      <c r="AK188" s="437"/>
      <c r="AL188" s="437"/>
      <c r="AM188" s="437"/>
      <c r="AN188" s="437"/>
      <c r="AO188" s="437"/>
      <c r="AP188" s="437"/>
      <c r="AQ188" s="437"/>
      <c r="AR188" s="437"/>
      <c r="AS188" s="437"/>
      <c r="AT188" s="437"/>
      <c r="AU188" s="437"/>
      <c r="AV188" s="437"/>
      <c r="AW188" s="437"/>
      <c r="AX188" s="436">
        <v>183</v>
      </c>
      <c r="AY188" s="490" t="s">
        <v>2404</v>
      </c>
      <c r="AZ188" s="490" t="s">
        <v>2405</v>
      </c>
      <c r="BA188" s="490" t="s">
        <v>2406</v>
      </c>
      <c r="BB188" s="490" t="s">
        <v>417</v>
      </c>
      <c r="BC188" s="490" t="s">
        <v>2407</v>
      </c>
      <c r="BD188" s="490" t="s">
        <v>2408</v>
      </c>
      <c r="BE188" s="490" t="s">
        <v>2409</v>
      </c>
      <c r="BF188" s="490" t="s">
        <v>2410</v>
      </c>
      <c r="BG188" s="490" t="s">
        <v>2411</v>
      </c>
      <c r="BH188" s="490" t="s">
        <v>2318</v>
      </c>
      <c r="BI188" s="490" t="s">
        <v>2412</v>
      </c>
      <c r="BJ188" s="490" t="s">
        <v>331</v>
      </c>
      <c r="BK188" s="437"/>
      <c r="BL188" s="437"/>
      <c r="BM188" s="437"/>
      <c r="BN188" s="437"/>
      <c r="BO188" s="437"/>
      <c r="BP188" s="437"/>
    </row>
    <row r="189" spans="1:68">
      <c r="A189" s="437"/>
      <c r="B189" s="437"/>
      <c r="C189" s="437"/>
      <c r="D189" s="437"/>
      <c r="E189" s="437"/>
      <c r="F189" s="437"/>
      <c r="G189" s="437"/>
      <c r="H189" s="437"/>
      <c r="I189" s="437"/>
      <c r="J189" s="437"/>
      <c r="K189" s="437"/>
      <c r="L189" s="437"/>
      <c r="M189" s="437"/>
      <c r="N189" s="437"/>
      <c r="O189" s="437"/>
      <c r="P189" s="437"/>
      <c r="Q189" s="437"/>
      <c r="R189" s="437"/>
      <c r="S189" s="437"/>
      <c r="T189" s="437"/>
      <c r="U189" s="437"/>
      <c r="V189" s="437"/>
      <c r="W189" s="437"/>
      <c r="X189" s="437"/>
      <c r="Y189" s="437"/>
      <c r="Z189" s="437"/>
      <c r="AA189" s="437"/>
      <c r="AB189" s="437"/>
      <c r="AC189" s="437"/>
      <c r="AD189" s="437"/>
      <c r="AE189" s="437"/>
      <c r="AF189" s="437"/>
      <c r="AG189" s="437"/>
      <c r="AH189" s="437"/>
      <c r="AI189" s="437"/>
      <c r="AJ189" s="437"/>
      <c r="AK189" s="437"/>
      <c r="AL189" s="437"/>
      <c r="AM189" s="437"/>
      <c r="AN189" s="437"/>
      <c r="AO189" s="437"/>
      <c r="AP189" s="437"/>
      <c r="AQ189" s="437"/>
      <c r="AR189" s="437"/>
      <c r="AS189" s="437"/>
      <c r="AT189" s="437"/>
      <c r="AU189" s="437"/>
      <c r="AV189" s="437"/>
      <c r="AW189" s="437"/>
      <c r="AX189" s="436">
        <v>184</v>
      </c>
      <c r="AY189" s="490" t="s">
        <v>2413</v>
      </c>
      <c r="AZ189" s="490" t="s">
        <v>2414</v>
      </c>
      <c r="BA189" s="490" t="s">
        <v>2415</v>
      </c>
      <c r="BB189" s="490" t="s">
        <v>422</v>
      </c>
      <c r="BC189" s="490" t="s">
        <v>2416</v>
      </c>
      <c r="BD189" s="490" t="s">
        <v>2417</v>
      </c>
      <c r="BE189" s="490" t="s">
        <v>2418</v>
      </c>
      <c r="BF189" s="490" t="s">
        <v>2419</v>
      </c>
      <c r="BG189" s="490" t="s">
        <v>2420</v>
      </c>
      <c r="BH189" s="490" t="s">
        <v>2421</v>
      </c>
      <c r="BI189" s="490" t="s">
        <v>2422</v>
      </c>
      <c r="BJ189" s="490" t="s">
        <v>2423</v>
      </c>
      <c r="BK189" s="437"/>
      <c r="BL189" s="437"/>
      <c r="BM189" s="437"/>
      <c r="BN189" s="437"/>
      <c r="BO189" s="437"/>
      <c r="BP189" s="437"/>
    </row>
    <row r="190" spans="1:68">
      <c r="A190" s="437"/>
      <c r="B190" s="437"/>
      <c r="C190" s="437"/>
      <c r="D190" s="437"/>
      <c r="E190" s="437"/>
      <c r="F190" s="437"/>
      <c r="G190" s="437"/>
      <c r="H190" s="437"/>
      <c r="I190" s="437"/>
      <c r="J190" s="437"/>
      <c r="K190" s="437"/>
      <c r="L190" s="437"/>
      <c r="M190" s="437"/>
      <c r="N190" s="437"/>
      <c r="O190" s="437"/>
      <c r="P190" s="437"/>
      <c r="Q190" s="437"/>
      <c r="R190" s="437"/>
      <c r="S190" s="437"/>
      <c r="T190" s="437"/>
      <c r="U190" s="437"/>
      <c r="V190" s="437"/>
      <c r="W190" s="437"/>
      <c r="X190" s="437"/>
      <c r="Y190" s="437"/>
      <c r="Z190" s="437"/>
      <c r="AA190" s="437"/>
      <c r="AB190" s="437"/>
      <c r="AC190" s="437"/>
      <c r="AD190" s="437"/>
      <c r="AE190" s="437"/>
      <c r="AF190" s="437"/>
      <c r="AG190" s="437"/>
      <c r="AH190" s="437"/>
      <c r="AI190" s="437"/>
      <c r="AJ190" s="437"/>
      <c r="AK190" s="437"/>
      <c r="AL190" s="437"/>
      <c r="AM190" s="437"/>
      <c r="AN190" s="437"/>
      <c r="AO190" s="437"/>
      <c r="AP190" s="437"/>
      <c r="AQ190" s="437"/>
      <c r="AR190" s="437"/>
      <c r="AS190" s="437"/>
      <c r="AT190" s="437"/>
      <c r="AU190" s="437"/>
      <c r="AV190" s="437"/>
      <c r="AW190" s="437"/>
      <c r="AX190" s="436">
        <v>185</v>
      </c>
      <c r="AY190" s="490" t="s">
        <v>2424</v>
      </c>
      <c r="AZ190" s="490" t="s">
        <v>2425</v>
      </c>
      <c r="BA190" s="490" t="s">
        <v>2426</v>
      </c>
      <c r="BB190" s="490" t="s">
        <v>2427</v>
      </c>
      <c r="BC190" s="490" t="s">
        <v>2428</v>
      </c>
      <c r="BD190" s="490" t="s">
        <v>2429</v>
      </c>
      <c r="BE190" s="490" t="s">
        <v>2430</v>
      </c>
      <c r="BF190" s="490" t="s">
        <v>2431</v>
      </c>
      <c r="BG190" s="490" t="s">
        <v>2432</v>
      </c>
      <c r="BH190" s="490" t="s">
        <v>428</v>
      </c>
      <c r="BI190" s="490" t="s">
        <v>2433</v>
      </c>
      <c r="BJ190" s="490" t="s">
        <v>331</v>
      </c>
      <c r="BK190" s="437"/>
      <c r="BL190" s="437"/>
      <c r="BM190" s="437"/>
      <c r="BN190" s="437"/>
      <c r="BO190" s="437"/>
      <c r="BP190" s="437"/>
    </row>
    <row r="191" spans="1:68">
      <c r="A191" s="437"/>
      <c r="B191" s="437"/>
      <c r="C191" s="437"/>
      <c r="D191" s="437"/>
      <c r="E191" s="437"/>
      <c r="F191" s="437"/>
      <c r="G191" s="437"/>
      <c r="H191" s="437"/>
      <c r="I191" s="437"/>
      <c r="J191" s="437"/>
      <c r="K191" s="437"/>
      <c r="L191" s="437"/>
      <c r="M191" s="437"/>
      <c r="N191" s="437"/>
      <c r="O191" s="437"/>
      <c r="P191" s="437"/>
      <c r="Q191" s="437"/>
      <c r="R191" s="437"/>
      <c r="S191" s="437"/>
      <c r="T191" s="437"/>
      <c r="U191" s="437"/>
      <c r="V191" s="437"/>
      <c r="W191" s="437"/>
      <c r="X191" s="437"/>
      <c r="Y191" s="437"/>
      <c r="Z191" s="437"/>
      <c r="AA191" s="437"/>
      <c r="AB191" s="437"/>
      <c r="AC191" s="437"/>
      <c r="AD191" s="437"/>
      <c r="AE191" s="437"/>
      <c r="AF191" s="437"/>
      <c r="AG191" s="437"/>
      <c r="AH191" s="437"/>
      <c r="AI191" s="437"/>
      <c r="AJ191" s="437"/>
      <c r="AK191" s="437"/>
      <c r="AL191" s="437"/>
      <c r="AM191" s="437"/>
      <c r="AN191" s="437"/>
      <c r="AO191" s="437"/>
      <c r="AP191" s="437"/>
      <c r="AQ191" s="437"/>
      <c r="AR191" s="437"/>
      <c r="AS191" s="437"/>
      <c r="AT191" s="437"/>
      <c r="AU191" s="437"/>
      <c r="AV191" s="437"/>
      <c r="AW191" s="437"/>
      <c r="AX191" s="436">
        <v>186</v>
      </c>
      <c r="AY191" s="490" t="s">
        <v>2434</v>
      </c>
      <c r="AZ191" s="490" t="s">
        <v>2435</v>
      </c>
      <c r="BA191" s="490" t="s">
        <v>2436</v>
      </c>
      <c r="BB191" s="490" t="s">
        <v>2437</v>
      </c>
      <c r="BC191" s="490" t="s">
        <v>2438</v>
      </c>
      <c r="BD191" s="490" t="s">
        <v>2324</v>
      </c>
      <c r="BE191" s="490" t="s">
        <v>2439</v>
      </c>
      <c r="BF191" s="490" t="s">
        <v>2440</v>
      </c>
      <c r="BG191" s="490" t="s">
        <v>2441</v>
      </c>
      <c r="BH191" s="490" t="s">
        <v>2442</v>
      </c>
      <c r="BI191" s="490" t="s">
        <v>336</v>
      </c>
      <c r="BJ191" s="490" t="s">
        <v>2291</v>
      </c>
      <c r="BK191" s="437"/>
      <c r="BL191" s="437"/>
      <c r="BM191" s="437"/>
      <c r="BN191" s="437"/>
      <c r="BO191" s="437"/>
      <c r="BP191" s="437"/>
    </row>
    <row r="192" spans="1:68">
      <c r="A192" s="437"/>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437"/>
      <c r="AE192" s="437"/>
      <c r="AF192" s="437"/>
      <c r="AG192" s="437"/>
      <c r="AH192" s="437"/>
      <c r="AI192" s="437"/>
      <c r="AJ192" s="437"/>
      <c r="AK192" s="437"/>
      <c r="AL192" s="437"/>
      <c r="AM192" s="437"/>
      <c r="AN192" s="437"/>
      <c r="AO192" s="437"/>
      <c r="AP192" s="437"/>
      <c r="AQ192" s="437"/>
      <c r="AR192" s="437"/>
      <c r="AS192" s="437"/>
      <c r="AT192" s="437"/>
      <c r="AU192" s="437"/>
      <c r="AV192" s="437"/>
      <c r="AW192" s="437"/>
      <c r="AX192" s="436">
        <v>187</v>
      </c>
      <c r="AY192" s="490" t="s">
        <v>2443</v>
      </c>
      <c r="AZ192" s="490" t="s">
        <v>2444</v>
      </c>
      <c r="BA192" s="490" t="s">
        <v>2445</v>
      </c>
      <c r="BB192" s="490" t="s">
        <v>2446</v>
      </c>
      <c r="BC192" s="490" t="s">
        <v>2447</v>
      </c>
      <c r="BD192" s="490" t="s">
        <v>2448</v>
      </c>
      <c r="BE192" s="490" t="s">
        <v>2449</v>
      </c>
      <c r="BF192" s="490" t="s">
        <v>2450</v>
      </c>
      <c r="BG192" s="490" t="s">
        <v>423</v>
      </c>
      <c r="BH192" s="490" t="s">
        <v>2451</v>
      </c>
      <c r="BI192" s="490" t="s">
        <v>2452</v>
      </c>
      <c r="BJ192" s="490" t="s">
        <v>2453</v>
      </c>
      <c r="BK192" s="437"/>
      <c r="BL192" s="437"/>
      <c r="BM192" s="437"/>
      <c r="BN192" s="437"/>
      <c r="BO192" s="437"/>
      <c r="BP192" s="437"/>
    </row>
    <row r="193" spans="1:68">
      <c r="A193" s="437"/>
      <c r="B193" s="437"/>
      <c r="C193" s="437"/>
      <c r="D193" s="437"/>
      <c r="E193" s="437"/>
      <c r="F193" s="437"/>
      <c r="G193" s="437"/>
      <c r="H193" s="437"/>
      <c r="I193" s="437"/>
      <c r="J193" s="437"/>
      <c r="K193" s="437"/>
      <c r="L193" s="437"/>
      <c r="M193" s="437"/>
      <c r="N193" s="437"/>
      <c r="O193" s="437"/>
      <c r="P193" s="437"/>
      <c r="Q193" s="437"/>
      <c r="R193" s="437"/>
      <c r="S193" s="437"/>
      <c r="T193" s="437"/>
      <c r="U193" s="437"/>
      <c r="V193" s="437"/>
      <c r="W193" s="437"/>
      <c r="X193" s="437"/>
      <c r="Y193" s="437"/>
      <c r="Z193" s="437"/>
      <c r="AA193" s="437"/>
      <c r="AB193" s="437"/>
      <c r="AC193" s="437"/>
      <c r="AD193" s="437"/>
      <c r="AE193" s="437"/>
      <c r="AF193" s="437"/>
      <c r="AG193" s="437"/>
      <c r="AH193" s="437"/>
      <c r="AI193" s="437"/>
      <c r="AJ193" s="437"/>
      <c r="AK193" s="437"/>
      <c r="AL193" s="437"/>
      <c r="AM193" s="437"/>
      <c r="AN193" s="437"/>
      <c r="AO193" s="437"/>
      <c r="AP193" s="437"/>
      <c r="AQ193" s="437"/>
      <c r="AR193" s="437"/>
      <c r="AS193" s="437"/>
      <c r="AT193" s="437"/>
      <c r="AU193" s="437"/>
      <c r="AV193" s="437"/>
      <c r="AW193" s="437"/>
      <c r="AX193" s="436">
        <v>188</v>
      </c>
      <c r="AY193" s="490" t="s">
        <v>2435</v>
      </c>
      <c r="AZ193" s="490" t="s">
        <v>2454</v>
      </c>
      <c r="BA193" s="490" t="s">
        <v>2455</v>
      </c>
      <c r="BB193" s="490" t="s">
        <v>2456</v>
      </c>
      <c r="BC193" s="490" t="s">
        <v>2457</v>
      </c>
      <c r="BD193" s="490" t="s">
        <v>2458</v>
      </c>
      <c r="BE193" s="490" t="s">
        <v>2459</v>
      </c>
      <c r="BF193" s="490" t="s">
        <v>2460</v>
      </c>
      <c r="BG193" s="490" t="s">
        <v>2461</v>
      </c>
      <c r="BH193" s="490" t="s">
        <v>2462</v>
      </c>
      <c r="BI193" s="490" t="s">
        <v>2463</v>
      </c>
      <c r="BJ193" s="490" t="s">
        <v>2464</v>
      </c>
      <c r="BK193" s="437"/>
      <c r="BL193" s="437"/>
      <c r="BM193" s="437"/>
      <c r="BN193" s="437"/>
      <c r="BO193" s="437"/>
      <c r="BP193" s="437"/>
    </row>
    <row r="194" spans="1:68">
      <c r="A194" s="437"/>
      <c r="B194" s="437"/>
      <c r="C194" s="437"/>
      <c r="D194" s="437"/>
      <c r="E194" s="437"/>
      <c r="F194" s="437"/>
      <c r="G194" s="437"/>
      <c r="H194" s="437"/>
      <c r="I194" s="437"/>
      <c r="J194" s="437"/>
      <c r="K194" s="437"/>
      <c r="L194" s="437"/>
      <c r="M194" s="437"/>
      <c r="N194" s="437"/>
      <c r="O194" s="437"/>
      <c r="P194" s="437"/>
      <c r="Q194" s="437"/>
      <c r="R194" s="437"/>
      <c r="S194" s="437"/>
      <c r="T194" s="437"/>
      <c r="U194" s="437"/>
      <c r="V194" s="437"/>
      <c r="W194" s="437"/>
      <c r="X194" s="437"/>
      <c r="Y194" s="437"/>
      <c r="Z194" s="437"/>
      <c r="AA194" s="437"/>
      <c r="AB194" s="437"/>
      <c r="AC194" s="437"/>
      <c r="AD194" s="437"/>
      <c r="AE194" s="437"/>
      <c r="AF194" s="437"/>
      <c r="AG194" s="437"/>
      <c r="AH194" s="437"/>
      <c r="AI194" s="437"/>
      <c r="AJ194" s="437"/>
      <c r="AK194" s="437"/>
      <c r="AL194" s="437"/>
      <c r="AM194" s="437"/>
      <c r="AN194" s="437"/>
      <c r="AO194" s="437"/>
      <c r="AP194" s="437"/>
      <c r="AQ194" s="437"/>
      <c r="AR194" s="437"/>
      <c r="AS194" s="437"/>
      <c r="AT194" s="437"/>
      <c r="AU194" s="437"/>
      <c r="AV194" s="437"/>
      <c r="AW194" s="437"/>
      <c r="AX194" s="436">
        <v>189</v>
      </c>
      <c r="AY194" s="490" t="s">
        <v>2465</v>
      </c>
      <c r="AZ194" s="490" t="s">
        <v>2466</v>
      </c>
      <c r="BA194" s="490" t="s">
        <v>2467</v>
      </c>
      <c r="BB194" s="490" t="s">
        <v>421</v>
      </c>
      <c r="BC194" s="490" t="s">
        <v>2468</v>
      </c>
      <c r="BD194" s="490" t="s">
        <v>2469</v>
      </c>
      <c r="BE194" s="490" t="s">
        <v>2470</v>
      </c>
      <c r="BF194" s="490" t="s">
        <v>2471</v>
      </c>
      <c r="BG194" s="490" t="s">
        <v>2366</v>
      </c>
      <c r="BH194" s="490" t="s">
        <v>424</v>
      </c>
      <c r="BI194" s="490" t="s">
        <v>2472</v>
      </c>
      <c r="BJ194" s="490" t="s">
        <v>2473</v>
      </c>
      <c r="BK194" s="437"/>
      <c r="BL194" s="437"/>
      <c r="BM194" s="437"/>
      <c r="BN194" s="437"/>
      <c r="BO194" s="437"/>
      <c r="BP194" s="437"/>
    </row>
    <row r="195" spans="1:68">
      <c r="A195" s="437"/>
      <c r="B195" s="437"/>
      <c r="C195" s="437"/>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c r="AA195" s="437"/>
      <c r="AB195" s="437"/>
      <c r="AC195" s="437"/>
      <c r="AD195" s="437"/>
      <c r="AE195" s="437"/>
      <c r="AF195" s="437"/>
      <c r="AG195" s="437"/>
      <c r="AH195" s="437"/>
      <c r="AI195" s="437"/>
      <c r="AJ195" s="437"/>
      <c r="AK195" s="437"/>
      <c r="AL195" s="437"/>
      <c r="AM195" s="437"/>
      <c r="AN195" s="437"/>
      <c r="AO195" s="437"/>
      <c r="AP195" s="437"/>
      <c r="AQ195" s="437"/>
      <c r="AR195" s="437"/>
      <c r="AS195" s="437"/>
      <c r="AT195" s="437"/>
      <c r="AU195" s="437"/>
      <c r="AV195" s="437"/>
      <c r="AW195" s="437"/>
      <c r="AX195" s="436">
        <v>190</v>
      </c>
      <c r="AY195" s="490" t="s">
        <v>2474</v>
      </c>
      <c r="AZ195" s="490" t="s">
        <v>2475</v>
      </c>
      <c r="BA195" s="490" t="s">
        <v>2476</v>
      </c>
      <c r="BB195" s="490" t="s">
        <v>2477</v>
      </c>
      <c r="BC195" s="490" t="s">
        <v>2478</v>
      </c>
      <c r="BD195" s="490" t="s">
        <v>2363</v>
      </c>
      <c r="BE195" s="490" t="s">
        <v>2479</v>
      </c>
      <c r="BF195" s="490" t="s">
        <v>2480</v>
      </c>
      <c r="BG195" s="490" t="s">
        <v>2481</v>
      </c>
      <c r="BH195" s="490" t="s">
        <v>425</v>
      </c>
      <c r="BI195" s="490" t="s">
        <v>2482</v>
      </c>
      <c r="BJ195" s="490" t="s">
        <v>2483</v>
      </c>
      <c r="BK195" s="437"/>
      <c r="BL195" s="437"/>
      <c r="BM195" s="437"/>
      <c r="BN195" s="437"/>
      <c r="BO195" s="437"/>
      <c r="BP195" s="437"/>
    </row>
    <row r="196" spans="1:68">
      <c r="A196" s="437"/>
      <c r="B196" s="437"/>
      <c r="C196" s="437"/>
      <c r="D196" s="437"/>
      <c r="E196" s="437"/>
      <c r="F196" s="437"/>
      <c r="G196" s="437"/>
      <c r="H196" s="437"/>
      <c r="I196" s="437"/>
      <c r="J196" s="437"/>
      <c r="K196" s="437"/>
      <c r="L196" s="437"/>
      <c r="M196" s="437"/>
      <c r="N196" s="437"/>
      <c r="O196" s="437"/>
      <c r="P196" s="437"/>
      <c r="Q196" s="437"/>
      <c r="R196" s="437"/>
      <c r="S196" s="437"/>
      <c r="T196" s="437"/>
      <c r="U196" s="437"/>
      <c r="V196" s="437"/>
      <c r="W196" s="437"/>
      <c r="X196" s="437"/>
      <c r="Y196" s="437"/>
      <c r="Z196" s="437"/>
      <c r="AA196" s="437"/>
      <c r="AB196" s="437"/>
      <c r="AC196" s="437"/>
      <c r="AD196" s="437"/>
      <c r="AE196" s="437"/>
      <c r="AF196" s="437"/>
      <c r="AG196" s="437"/>
      <c r="AH196" s="437"/>
      <c r="AI196" s="437"/>
      <c r="AJ196" s="437"/>
      <c r="AK196" s="437"/>
      <c r="AL196" s="437"/>
      <c r="AM196" s="437"/>
      <c r="AN196" s="437"/>
      <c r="AO196" s="437"/>
      <c r="AP196" s="437"/>
      <c r="AQ196" s="437"/>
      <c r="AR196" s="437"/>
      <c r="AS196" s="437"/>
      <c r="AT196" s="437"/>
      <c r="AU196" s="437"/>
      <c r="AV196" s="437"/>
      <c r="AW196" s="437"/>
      <c r="AX196" s="436">
        <v>191</v>
      </c>
      <c r="AY196" s="490" t="s">
        <v>2484</v>
      </c>
      <c r="AZ196" s="490" t="s">
        <v>2485</v>
      </c>
      <c r="BA196" s="490" t="s">
        <v>2486</v>
      </c>
      <c r="BB196" s="490" t="s">
        <v>2487</v>
      </c>
      <c r="BC196" s="490" t="s">
        <v>2488</v>
      </c>
      <c r="BD196" s="490" t="s">
        <v>2489</v>
      </c>
      <c r="BE196" s="490" t="s">
        <v>2490</v>
      </c>
      <c r="BF196" s="490" t="s">
        <v>2491</v>
      </c>
      <c r="BG196" s="490" t="s">
        <v>2492</v>
      </c>
      <c r="BH196" s="490" t="s">
        <v>2400</v>
      </c>
      <c r="BI196" s="490" t="s">
        <v>2493</v>
      </c>
      <c r="BJ196" s="490" t="s">
        <v>2494</v>
      </c>
      <c r="BK196" s="437"/>
      <c r="BL196" s="437"/>
      <c r="BM196" s="437"/>
      <c r="BN196" s="437"/>
      <c r="BO196" s="437"/>
      <c r="BP196" s="437"/>
    </row>
    <row r="197" spans="1:68">
      <c r="A197" s="437"/>
      <c r="B197" s="437"/>
      <c r="C197" s="437"/>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c r="AE197" s="437"/>
      <c r="AF197" s="437"/>
      <c r="AG197" s="437"/>
      <c r="AH197" s="437"/>
      <c r="AI197" s="437"/>
      <c r="AJ197" s="437"/>
      <c r="AK197" s="437"/>
      <c r="AL197" s="437"/>
      <c r="AM197" s="437"/>
      <c r="AN197" s="437"/>
      <c r="AO197" s="437"/>
      <c r="AP197" s="437"/>
      <c r="AQ197" s="437"/>
      <c r="AR197" s="437"/>
      <c r="AS197" s="437"/>
      <c r="AT197" s="437"/>
      <c r="AU197" s="437"/>
      <c r="AV197" s="437"/>
      <c r="AW197" s="437"/>
      <c r="AX197" s="436">
        <v>192</v>
      </c>
      <c r="AY197" s="490" t="s">
        <v>2495</v>
      </c>
      <c r="AZ197" s="490" t="s">
        <v>2496</v>
      </c>
      <c r="BA197" s="490" t="s">
        <v>2497</v>
      </c>
      <c r="BB197" s="490" t="s">
        <v>2406</v>
      </c>
      <c r="BC197" s="490" t="s">
        <v>2498</v>
      </c>
      <c r="BD197" s="490" t="s">
        <v>2499</v>
      </c>
      <c r="BE197" s="490" t="s">
        <v>2500</v>
      </c>
      <c r="BF197" s="490" t="s">
        <v>2501</v>
      </c>
      <c r="BG197" s="490" t="s">
        <v>2502</v>
      </c>
      <c r="BH197" s="490" t="s">
        <v>2411</v>
      </c>
      <c r="BI197" s="490" t="s">
        <v>2503</v>
      </c>
      <c r="BJ197" s="490" t="s">
        <v>2504</v>
      </c>
      <c r="BK197" s="437"/>
      <c r="BL197" s="437"/>
      <c r="BM197" s="437"/>
      <c r="BN197" s="437"/>
      <c r="BO197" s="437"/>
      <c r="BP197" s="437"/>
    </row>
    <row r="198" spans="1:68">
      <c r="A198" s="437"/>
      <c r="B198" s="437"/>
      <c r="C198" s="437"/>
      <c r="D198" s="437"/>
      <c r="E198" s="437"/>
      <c r="F198" s="437"/>
      <c r="G198" s="437"/>
      <c r="H198" s="437"/>
      <c r="I198" s="437"/>
      <c r="J198" s="437"/>
      <c r="K198" s="437"/>
      <c r="L198" s="437"/>
      <c r="M198" s="437"/>
      <c r="N198" s="437"/>
      <c r="O198" s="437"/>
      <c r="P198" s="437"/>
      <c r="Q198" s="437"/>
      <c r="R198" s="437"/>
      <c r="S198" s="437"/>
      <c r="T198" s="437"/>
      <c r="U198" s="437"/>
      <c r="V198" s="437"/>
      <c r="W198" s="437"/>
      <c r="X198" s="437"/>
      <c r="Y198" s="437"/>
      <c r="Z198" s="437"/>
      <c r="AA198" s="437"/>
      <c r="AB198" s="437"/>
      <c r="AC198" s="437"/>
      <c r="AD198" s="437"/>
      <c r="AE198" s="437"/>
      <c r="AF198" s="437"/>
      <c r="AG198" s="437"/>
      <c r="AH198" s="437"/>
      <c r="AI198" s="437"/>
      <c r="AJ198" s="437"/>
      <c r="AK198" s="437"/>
      <c r="AL198" s="437"/>
      <c r="AM198" s="437"/>
      <c r="AN198" s="437"/>
      <c r="AO198" s="437"/>
      <c r="AP198" s="437"/>
      <c r="AQ198" s="437"/>
      <c r="AR198" s="437"/>
      <c r="AS198" s="437"/>
      <c r="AT198" s="437"/>
      <c r="AU198" s="437"/>
      <c r="AV198" s="437"/>
      <c r="AW198" s="437"/>
      <c r="AX198" s="436">
        <v>193</v>
      </c>
      <c r="AY198" s="490" t="s">
        <v>2485</v>
      </c>
      <c r="AZ198" s="490" t="s">
        <v>2505</v>
      </c>
      <c r="BA198" s="490" t="s">
        <v>2506</v>
      </c>
      <c r="BB198" s="490" t="s">
        <v>2507</v>
      </c>
      <c r="BC198" s="490" t="s">
        <v>2508</v>
      </c>
      <c r="BD198" s="490" t="s">
        <v>2509</v>
      </c>
      <c r="BE198" s="490" t="s">
        <v>2510</v>
      </c>
      <c r="BF198" s="490" t="s">
        <v>2511</v>
      </c>
      <c r="BG198" s="490" t="s">
        <v>2512</v>
      </c>
      <c r="BH198" s="490" t="s">
        <v>427</v>
      </c>
      <c r="BI198" s="490" t="s">
        <v>2513</v>
      </c>
      <c r="BJ198" s="490" t="s">
        <v>2514</v>
      </c>
      <c r="BK198" s="437"/>
      <c r="BL198" s="437"/>
      <c r="BM198" s="437"/>
      <c r="BN198" s="437"/>
      <c r="BO198" s="437"/>
      <c r="BP198" s="437"/>
    </row>
    <row r="199" spans="1:68">
      <c r="A199" s="437"/>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437"/>
      <c r="AE199" s="437"/>
      <c r="AF199" s="437"/>
      <c r="AG199" s="437"/>
      <c r="AH199" s="437"/>
      <c r="AI199" s="437"/>
      <c r="AJ199" s="437"/>
      <c r="AK199" s="437"/>
      <c r="AL199" s="437"/>
      <c r="AM199" s="437"/>
      <c r="AN199" s="437"/>
      <c r="AO199" s="437"/>
      <c r="AP199" s="437"/>
      <c r="AQ199" s="437"/>
      <c r="AR199" s="437"/>
      <c r="AS199" s="437"/>
      <c r="AT199" s="437"/>
      <c r="AU199" s="437"/>
      <c r="AV199" s="437"/>
      <c r="AW199" s="437"/>
      <c r="AX199" s="436">
        <v>194</v>
      </c>
      <c r="AY199" s="490" t="s">
        <v>2496</v>
      </c>
      <c r="AZ199" s="490" t="s">
        <v>2515</v>
      </c>
      <c r="BA199" s="490" t="s">
        <v>2516</v>
      </c>
      <c r="BB199" s="490" t="s">
        <v>2517</v>
      </c>
      <c r="BC199" s="490" t="s">
        <v>2518</v>
      </c>
      <c r="BD199" s="490" t="s">
        <v>2407</v>
      </c>
      <c r="BE199" s="490" t="s">
        <v>2501</v>
      </c>
      <c r="BF199" s="490" t="s">
        <v>2519</v>
      </c>
      <c r="BG199" s="490" t="s">
        <v>2520</v>
      </c>
      <c r="BH199" s="490" t="s">
        <v>2521</v>
      </c>
      <c r="BI199" s="490" t="s">
        <v>2522</v>
      </c>
      <c r="BJ199" s="490" t="s">
        <v>2523</v>
      </c>
      <c r="BK199" s="437"/>
      <c r="BL199" s="437"/>
      <c r="BM199" s="437"/>
      <c r="BN199" s="437"/>
      <c r="BO199" s="437"/>
      <c r="BP199" s="437"/>
    </row>
    <row r="200" spans="1:68">
      <c r="A200" s="437"/>
      <c r="B200" s="437"/>
      <c r="C200" s="437"/>
      <c r="D200" s="437"/>
      <c r="E200" s="437"/>
      <c r="F200" s="437"/>
      <c r="G200" s="437"/>
      <c r="H200" s="437"/>
      <c r="I200" s="437"/>
      <c r="J200" s="437"/>
      <c r="K200" s="437"/>
      <c r="L200" s="437"/>
      <c r="M200" s="437"/>
      <c r="N200" s="437"/>
      <c r="O200" s="437"/>
      <c r="P200" s="437"/>
      <c r="Q200" s="437"/>
      <c r="R200" s="437"/>
      <c r="S200" s="437"/>
      <c r="T200" s="437"/>
      <c r="U200" s="437"/>
      <c r="V200" s="437"/>
      <c r="W200" s="437"/>
      <c r="X200" s="437"/>
      <c r="Y200" s="437"/>
      <c r="Z200" s="437"/>
      <c r="AA200" s="437"/>
      <c r="AB200" s="437"/>
      <c r="AC200" s="437"/>
      <c r="AD200" s="437"/>
      <c r="AE200" s="437"/>
      <c r="AF200" s="437"/>
      <c r="AG200" s="437"/>
      <c r="AH200" s="437"/>
      <c r="AI200" s="437"/>
      <c r="AJ200" s="437"/>
      <c r="AK200" s="437"/>
      <c r="AL200" s="437"/>
      <c r="AM200" s="437"/>
      <c r="AN200" s="437"/>
      <c r="AO200" s="437"/>
      <c r="AP200" s="437"/>
      <c r="AQ200" s="437"/>
      <c r="AR200" s="437"/>
      <c r="AS200" s="437"/>
      <c r="AT200" s="437"/>
      <c r="AU200" s="437"/>
      <c r="AV200" s="437"/>
      <c r="AW200" s="437"/>
      <c r="AX200" s="436">
        <v>195</v>
      </c>
      <c r="AY200" s="490" t="s">
        <v>2524</v>
      </c>
      <c r="AZ200" s="490" t="s">
        <v>2525</v>
      </c>
      <c r="BA200" s="490" t="s">
        <v>2526</v>
      </c>
      <c r="BB200" s="490" t="s">
        <v>2527</v>
      </c>
      <c r="BC200" s="490" t="s">
        <v>2528</v>
      </c>
      <c r="BD200" s="490" t="s">
        <v>2529</v>
      </c>
      <c r="BE200" s="490" t="s">
        <v>2511</v>
      </c>
      <c r="BF200" s="490" t="s">
        <v>2530</v>
      </c>
      <c r="BG200" s="490" t="s">
        <v>2519</v>
      </c>
      <c r="BH200" s="490" t="s">
        <v>2531</v>
      </c>
      <c r="BI200" s="490" t="s">
        <v>2532</v>
      </c>
      <c r="BJ200" s="490" t="s">
        <v>2533</v>
      </c>
      <c r="BK200" s="437"/>
      <c r="BL200" s="437"/>
      <c r="BM200" s="437"/>
      <c r="BN200" s="437"/>
      <c r="BO200" s="437"/>
      <c r="BP200" s="437"/>
    </row>
    <row r="201" spans="1:68">
      <c r="A201" s="437"/>
      <c r="B201" s="437"/>
      <c r="C201" s="437"/>
      <c r="D201" s="437"/>
      <c r="E201" s="437"/>
      <c r="F201" s="437"/>
      <c r="G201" s="437"/>
      <c r="H201" s="437"/>
      <c r="I201" s="437"/>
      <c r="J201" s="437"/>
      <c r="K201" s="437"/>
      <c r="L201" s="437"/>
      <c r="M201" s="437"/>
      <c r="N201" s="437"/>
      <c r="O201" s="437"/>
      <c r="P201" s="437"/>
      <c r="Q201" s="437"/>
      <c r="R201" s="437"/>
      <c r="S201" s="437"/>
      <c r="T201" s="437"/>
      <c r="U201" s="437"/>
      <c r="V201" s="437"/>
      <c r="W201" s="437"/>
      <c r="X201" s="437"/>
      <c r="Y201" s="437"/>
      <c r="Z201" s="437"/>
      <c r="AA201" s="437"/>
      <c r="AB201" s="437"/>
      <c r="AC201" s="437"/>
      <c r="AD201" s="437"/>
      <c r="AE201" s="437"/>
      <c r="AF201" s="437"/>
      <c r="AG201" s="437"/>
      <c r="AH201" s="437"/>
      <c r="AI201" s="437"/>
      <c r="AJ201" s="437"/>
      <c r="AK201" s="437"/>
      <c r="AL201" s="437"/>
      <c r="AM201" s="437"/>
      <c r="AN201" s="437"/>
      <c r="AO201" s="437"/>
      <c r="AP201" s="437"/>
      <c r="AQ201" s="437"/>
      <c r="AR201" s="437"/>
      <c r="AS201" s="437"/>
      <c r="AT201" s="437"/>
      <c r="AU201" s="437"/>
      <c r="AV201" s="437"/>
      <c r="AW201" s="437"/>
      <c r="AX201" s="436">
        <v>196</v>
      </c>
      <c r="AY201" s="490" t="s">
        <v>2515</v>
      </c>
      <c r="AZ201" s="490" t="s">
        <v>2534</v>
      </c>
      <c r="BA201" s="490" t="s">
        <v>2535</v>
      </c>
      <c r="BB201" s="490" t="s">
        <v>2536</v>
      </c>
      <c r="BC201" s="490" t="s">
        <v>2537</v>
      </c>
      <c r="BD201" s="490" t="s">
        <v>2538</v>
      </c>
      <c r="BE201" s="490" t="s">
        <v>2539</v>
      </c>
      <c r="BF201" s="490" t="s">
        <v>2540</v>
      </c>
      <c r="BG201" s="490" t="s">
        <v>2541</v>
      </c>
      <c r="BH201" s="490" t="s">
        <v>423</v>
      </c>
      <c r="BI201" s="490" t="s">
        <v>2542</v>
      </c>
      <c r="BJ201" s="490" t="s">
        <v>2543</v>
      </c>
      <c r="BK201" s="437"/>
      <c r="BL201" s="437"/>
      <c r="BM201" s="437"/>
      <c r="BN201" s="437"/>
      <c r="BO201" s="437"/>
      <c r="BP201" s="437"/>
    </row>
    <row r="202" spans="1:68">
      <c r="A202" s="437"/>
      <c r="B202" s="437"/>
      <c r="C202" s="437"/>
      <c r="D202" s="437"/>
      <c r="E202" s="437"/>
      <c r="F202" s="437"/>
      <c r="G202" s="437"/>
      <c r="H202" s="437"/>
      <c r="I202" s="437"/>
      <c r="J202" s="437"/>
      <c r="K202" s="437"/>
      <c r="L202" s="437"/>
      <c r="M202" s="437"/>
      <c r="N202" s="437"/>
      <c r="O202" s="437"/>
      <c r="P202" s="437"/>
      <c r="Q202" s="437"/>
      <c r="R202" s="437"/>
      <c r="S202" s="437"/>
      <c r="T202" s="437"/>
      <c r="U202" s="437"/>
      <c r="V202" s="437"/>
      <c r="W202" s="437"/>
      <c r="X202" s="437"/>
      <c r="Y202" s="437"/>
      <c r="Z202" s="437"/>
      <c r="AA202" s="437"/>
      <c r="AB202" s="437"/>
      <c r="AC202" s="437"/>
      <c r="AD202" s="437"/>
      <c r="AE202" s="437"/>
      <c r="AF202" s="437"/>
      <c r="AG202" s="437"/>
      <c r="AH202" s="437"/>
      <c r="AI202" s="437"/>
      <c r="AJ202" s="437"/>
      <c r="AK202" s="437"/>
      <c r="AL202" s="437"/>
      <c r="AM202" s="437"/>
      <c r="AN202" s="437"/>
      <c r="AO202" s="437"/>
      <c r="AP202" s="437"/>
      <c r="AQ202" s="437"/>
      <c r="AR202" s="437"/>
      <c r="AS202" s="437"/>
      <c r="AT202" s="437"/>
      <c r="AU202" s="437"/>
      <c r="AV202" s="437"/>
      <c r="AW202" s="437"/>
      <c r="AX202" s="436">
        <v>197</v>
      </c>
      <c r="AY202" s="490" t="s">
        <v>2525</v>
      </c>
      <c r="AZ202" s="490" t="s">
        <v>2544</v>
      </c>
      <c r="BA202" s="490" t="s">
        <v>2545</v>
      </c>
      <c r="BB202" s="490" t="s">
        <v>2546</v>
      </c>
      <c r="BC202" s="490" t="s">
        <v>2547</v>
      </c>
      <c r="BD202" s="490" t="s">
        <v>2548</v>
      </c>
      <c r="BE202" s="490" t="s">
        <v>2549</v>
      </c>
      <c r="BF202" s="490" t="s">
        <v>2550</v>
      </c>
      <c r="BG202" s="490" t="s">
        <v>2551</v>
      </c>
      <c r="BH202" s="490" t="s">
        <v>2552</v>
      </c>
      <c r="BI202" s="490" t="s">
        <v>2553</v>
      </c>
      <c r="BJ202" s="490" t="s">
        <v>338</v>
      </c>
      <c r="BK202" s="437"/>
      <c r="BL202" s="437"/>
      <c r="BM202" s="437"/>
      <c r="BN202" s="437"/>
      <c r="BO202" s="437"/>
      <c r="BP202" s="437"/>
    </row>
    <row r="203" spans="1:68">
      <c r="A203" s="437"/>
      <c r="B203" s="437"/>
      <c r="C203" s="437"/>
      <c r="D203" s="437"/>
      <c r="E203" s="437"/>
      <c r="F203" s="437"/>
      <c r="G203" s="437"/>
      <c r="H203" s="437"/>
      <c r="I203" s="437"/>
      <c r="J203" s="437"/>
      <c r="K203" s="437"/>
      <c r="L203" s="437"/>
      <c r="M203" s="437"/>
      <c r="N203" s="437"/>
      <c r="O203" s="437"/>
      <c r="P203" s="437"/>
      <c r="Q203" s="437"/>
      <c r="R203" s="437"/>
      <c r="S203" s="437"/>
      <c r="T203" s="437"/>
      <c r="U203" s="437"/>
      <c r="V203" s="437"/>
      <c r="W203" s="437"/>
      <c r="X203" s="437"/>
      <c r="Y203" s="437"/>
      <c r="Z203" s="437"/>
      <c r="AA203" s="437"/>
      <c r="AB203" s="437"/>
      <c r="AC203" s="437"/>
      <c r="AD203" s="437"/>
      <c r="AE203" s="437"/>
      <c r="AF203" s="437"/>
      <c r="AG203" s="437"/>
      <c r="AH203" s="437"/>
      <c r="AI203" s="437"/>
      <c r="AJ203" s="437"/>
      <c r="AK203" s="437"/>
      <c r="AL203" s="437"/>
      <c r="AM203" s="437"/>
      <c r="AN203" s="437"/>
      <c r="AO203" s="437"/>
      <c r="AP203" s="437"/>
      <c r="AQ203" s="437"/>
      <c r="AR203" s="437"/>
      <c r="AS203" s="437"/>
      <c r="AT203" s="437"/>
      <c r="AU203" s="437"/>
      <c r="AV203" s="437"/>
      <c r="AW203" s="437"/>
      <c r="AX203" s="436">
        <v>198</v>
      </c>
      <c r="AY203" s="490" t="s">
        <v>2554</v>
      </c>
      <c r="AZ203" s="490" t="s">
        <v>2555</v>
      </c>
      <c r="BA203" s="490" t="s">
        <v>2556</v>
      </c>
      <c r="BB203" s="490" t="s">
        <v>2557</v>
      </c>
      <c r="BC203" s="490" t="s">
        <v>2558</v>
      </c>
      <c r="BD203" s="490" t="s">
        <v>2559</v>
      </c>
      <c r="BE203" s="490" t="s">
        <v>2560</v>
      </c>
      <c r="BF203" s="490" t="s">
        <v>2561</v>
      </c>
      <c r="BG203" s="490" t="s">
        <v>2562</v>
      </c>
      <c r="BH203" s="490" t="s">
        <v>2563</v>
      </c>
      <c r="BI203" s="490" t="s">
        <v>2564</v>
      </c>
      <c r="BJ203" s="490" t="s">
        <v>2565</v>
      </c>
      <c r="BK203" s="437"/>
      <c r="BL203" s="437"/>
      <c r="BM203" s="437"/>
      <c r="BN203" s="437"/>
      <c r="BO203" s="437"/>
      <c r="BP203" s="437"/>
    </row>
    <row r="204" spans="1:68">
      <c r="A204" s="437"/>
      <c r="B204" s="437"/>
      <c r="C204" s="437"/>
      <c r="D204" s="437"/>
      <c r="E204" s="437"/>
      <c r="F204" s="437"/>
      <c r="G204" s="437"/>
      <c r="H204" s="437"/>
      <c r="I204" s="437"/>
      <c r="J204" s="437"/>
      <c r="K204" s="437"/>
      <c r="L204" s="437"/>
      <c r="M204" s="437"/>
      <c r="N204" s="437"/>
      <c r="O204" s="437"/>
      <c r="P204" s="437"/>
      <c r="Q204" s="437"/>
      <c r="R204" s="437"/>
      <c r="S204" s="437"/>
      <c r="T204" s="437"/>
      <c r="U204" s="437"/>
      <c r="V204" s="437"/>
      <c r="W204" s="437"/>
      <c r="X204" s="437"/>
      <c r="Y204" s="437"/>
      <c r="Z204" s="437"/>
      <c r="AA204" s="437"/>
      <c r="AB204" s="437"/>
      <c r="AC204" s="437"/>
      <c r="AD204" s="437"/>
      <c r="AE204" s="437"/>
      <c r="AF204" s="437"/>
      <c r="AG204" s="437"/>
      <c r="AH204" s="437"/>
      <c r="AI204" s="437"/>
      <c r="AJ204" s="437"/>
      <c r="AK204" s="437"/>
      <c r="AL204" s="437"/>
      <c r="AM204" s="437"/>
      <c r="AN204" s="437"/>
      <c r="AO204" s="437"/>
      <c r="AP204" s="437"/>
      <c r="AQ204" s="437"/>
      <c r="AR204" s="437"/>
      <c r="AS204" s="437"/>
      <c r="AT204" s="437"/>
      <c r="AU204" s="437"/>
      <c r="AV204" s="437"/>
      <c r="AW204" s="437"/>
      <c r="AX204" s="436">
        <v>199</v>
      </c>
      <c r="AY204" s="490" t="s">
        <v>2544</v>
      </c>
      <c r="AZ204" s="490" t="s">
        <v>2566</v>
      </c>
      <c r="BA204" s="490" t="s">
        <v>2567</v>
      </c>
      <c r="BB204" s="490" t="s">
        <v>2568</v>
      </c>
      <c r="BC204" s="490" t="s">
        <v>2569</v>
      </c>
      <c r="BD204" s="490" t="s">
        <v>2570</v>
      </c>
      <c r="BE204" s="490" t="s">
        <v>2571</v>
      </c>
      <c r="BF204" s="490" t="s">
        <v>2572</v>
      </c>
      <c r="BG204" s="490" t="s">
        <v>2573</v>
      </c>
      <c r="BH204" s="490" t="s">
        <v>2574</v>
      </c>
      <c r="BI204" s="490" t="s">
        <v>2575</v>
      </c>
      <c r="BJ204" s="490" t="s">
        <v>2576</v>
      </c>
      <c r="BK204" s="437"/>
      <c r="BL204" s="437"/>
      <c r="BM204" s="437"/>
      <c r="BN204" s="437"/>
      <c r="BO204" s="437"/>
      <c r="BP204" s="437"/>
    </row>
    <row r="205" spans="1:68">
      <c r="A205" s="437"/>
      <c r="B205" s="437"/>
      <c r="C205" s="437"/>
      <c r="D205" s="437"/>
      <c r="E205" s="437"/>
      <c r="F205" s="437"/>
      <c r="G205" s="437"/>
      <c r="H205" s="437"/>
      <c r="I205" s="437"/>
      <c r="J205" s="437"/>
      <c r="K205" s="437"/>
      <c r="L205" s="437"/>
      <c r="M205" s="437"/>
      <c r="N205" s="437"/>
      <c r="O205" s="437"/>
      <c r="P205" s="437"/>
      <c r="Q205" s="437"/>
      <c r="R205" s="437"/>
      <c r="S205" s="437"/>
      <c r="T205" s="437"/>
      <c r="U205" s="437"/>
      <c r="V205" s="437"/>
      <c r="W205" s="437"/>
      <c r="X205" s="437"/>
      <c r="Y205" s="437"/>
      <c r="Z205" s="437"/>
      <c r="AA205" s="437"/>
      <c r="AB205" s="437"/>
      <c r="AC205" s="437"/>
      <c r="AD205" s="437"/>
      <c r="AE205" s="437"/>
      <c r="AF205" s="437"/>
      <c r="AG205" s="437"/>
      <c r="AH205" s="437"/>
      <c r="AI205" s="437"/>
      <c r="AJ205" s="437"/>
      <c r="AK205" s="437"/>
      <c r="AL205" s="437"/>
      <c r="AM205" s="437"/>
      <c r="AN205" s="437"/>
      <c r="AO205" s="437"/>
      <c r="AP205" s="437"/>
      <c r="AQ205" s="437"/>
      <c r="AR205" s="437"/>
      <c r="AS205" s="437"/>
      <c r="AT205" s="437"/>
      <c r="AU205" s="437"/>
      <c r="AV205" s="437"/>
      <c r="AW205" s="437"/>
      <c r="AX205" s="436">
        <v>200</v>
      </c>
      <c r="AY205" s="490" t="s">
        <v>2555</v>
      </c>
      <c r="AZ205" s="490" t="s">
        <v>2577</v>
      </c>
      <c r="BA205" s="490" t="s">
        <v>2578</v>
      </c>
      <c r="BB205" s="490" t="s">
        <v>2579</v>
      </c>
      <c r="BC205" s="490" t="s">
        <v>2580</v>
      </c>
      <c r="BD205" s="490" t="s">
        <v>2581</v>
      </c>
      <c r="BE205" s="490" t="s">
        <v>2582</v>
      </c>
      <c r="BF205" s="490" t="s">
        <v>2583</v>
      </c>
      <c r="BG205" s="490" t="s">
        <v>2584</v>
      </c>
      <c r="BH205" s="490" t="s">
        <v>2585</v>
      </c>
      <c r="BI205" s="490" t="s">
        <v>2586</v>
      </c>
      <c r="BJ205" s="490" t="s">
        <v>2587</v>
      </c>
      <c r="BK205" s="437"/>
      <c r="BL205" s="437"/>
      <c r="BM205" s="437"/>
      <c r="BN205" s="437"/>
      <c r="BO205" s="437"/>
      <c r="BP205" s="437"/>
    </row>
    <row r="206" spans="1:68">
      <c r="A206" s="437"/>
      <c r="B206" s="437"/>
      <c r="C206" s="437"/>
      <c r="D206" s="437"/>
      <c r="E206" s="437"/>
      <c r="F206" s="437"/>
      <c r="G206" s="437"/>
      <c r="H206" s="437"/>
      <c r="I206" s="437"/>
      <c r="J206" s="437"/>
      <c r="K206" s="437"/>
      <c r="L206" s="437"/>
      <c r="M206" s="437"/>
      <c r="N206" s="437"/>
      <c r="O206" s="437"/>
      <c r="P206" s="437"/>
      <c r="Q206" s="437"/>
      <c r="R206" s="437"/>
      <c r="S206" s="437"/>
      <c r="T206" s="437"/>
      <c r="U206" s="437"/>
      <c r="V206" s="437"/>
      <c r="W206" s="437"/>
      <c r="X206" s="437"/>
      <c r="Y206" s="437"/>
      <c r="Z206" s="437"/>
      <c r="AA206" s="437"/>
      <c r="AB206" s="437"/>
      <c r="AC206" s="437"/>
      <c r="AD206" s="437"/>
      <c r="AE206" s="437"/>
      <c r="AF206" s="437"/>
      <c r="AG206" s="437"/>
      <c r="AH206" s="437"/>
      <c r="AI206" s="437"/>
      <c r="AJ206" s="437"/>
      <c r="AK206" s="437"/>
      <c r="AL206" s="437"/>
      <c r="AM206" s="437"/>
      <c r="AN206" s="437"/>
      <c r="AO206" s="437"/>
      <c r="AP206" s="437"/>
      <c r="AQ206" s="437"/>
      <c r="AR206" s="437"/>
      <c r="AS206" s="437"/>
      <c r="AT206" s="437"/>
      <c r="AU206" s="437"/>
      <c r="AV206" s="437"/>
      <c r="AW206" s="437"/>
      <c r="AX206" s="436">
        <v>201</v>
      </c>
      <c r="AY206" s="490" t="s">
        <v>2566</v>
      </c>
      <c r="AZ206" s="490" t="s">
        <v>2588</v>
      </c>
      <c r="BA206" s="490" t="s">
        <v>2589</v>
      </c>
      <c r="BB206" s="490" t="s">
        <v>2590</v>
      </c>
      <c r="BC206" s="490" t="s">
        <v>2385</v>
      </c>
      <c r="BD206" s="490" t="s">
        <v>2591</v>
      </c>
      <c r="BE206" s="490" t="s">
        <v>2592</v>
      </c>
      <c r="BF206" s="490" t="s">
        <v>2593</v>
      </c>
      <c r="BG206" s="490" t="s">
        <v>2594</v>
      </c>
      <c r="BH206" s="490" t="s">
        <v>429</v>
      </c>
      <c r="BI206" s="490" t="s">
        <v>2595</v>
      </c>
      <c r="BJ206" s="490" t="s">
        <v>2596</v>
      </c>
      <c r="BK206" s="437"/>
      <c r="BL206" s="437"/>
      <c r="BM206" s="437"/>
      <c r="BN206" s="437"/>
      <c r="BO206" s="437"/>
      <c r="BP206" s="437"/>
    </row>
    <row r="207" spans="1:68">
      <c r="A207" s="437"/>
      <c r="B207" s="437"/>
      <c r="C207" s="437"/>
      <c r="D207" s="437"/>
      <c r="E207" s="437"/>
      <c r="F207" s="437"/>
      <c r="G207" s="437"/>
      <c r="H207" s="437"/>
      <c r="I207" s="437"/>
      <c r="J207" s="437"/>
      <c r="K207" s="437"/>
      <c r="L207" s="437"/>
      <c r="M207" s="437"/>
      <c r="N207" s="437"/>
      <c r="O207" s="437"/>
      <c r="P207" s="437"/>
      <c r="Q207" s="437"/>
      <c r="R207" s="437"/>
      <c r="S207" s="437"/>
      <c r="T207" s="437"/>
      <c r="U207" s="437"/>
      <c r="V207" s="437"/>
      <c r="W207" s="437"/>
      <c r="X207" s="437"/>
      <c r="Y207" s="437"/>
      <c r="Z207" s="437"/>
      <c r="AA207" s="437"/>
      <c r="AB207" s="437"/>
      <c r="AC207" s="437"/>
      <c r="AD207" s="437"/>
      <c r="AE207" s="437"/>
      <c r="AF207" s="437"/>
      <c r="AG207" s="437"/>
      <c r="AH207" s="437"/>
      <c r="AI207" s="437"/>
      <c r="AJ207" s="437"/>
      <c r="AK207" s="437"/>
      <c r="AL207" s="437"/>
      <c r="AM207" s="437"/>
      <c r="AN207" s="437"/>
      <c r="AO207" s="437"/>
      <c r="AP207" s="437"/>
      <c r="AQ207" s="437"/>
      <c r="AR207" s="437"/>
      <c r="AS207" s="437"/>
      <c r="AT207" s="437"/>
      <c r="AU207" s="437"/>
      <c r="AV207" s="437"/>
      <c r="AW207" s="437"/>
      <c r="AX207" s="436">
        <v>202</v>
      </c>
      <c r="AY207" s="490" t="s">
        <v>2597</v>
      </c>
      <c r="AZ207" s="490" t="s">
        <v>430</v>
      </c>
      <c r="BA207" s="490" t="s">
        <v>2598</v>
      </c>
      <c r="BB207" s="490" t="s">
        <v>2599</v>
      </c>
      <c r="BC207" s="490" t="s">
        <v>2600</v>
      </c>
      <c r="BD207" s="490" t="s">
        <v>2601</v>
      </c>
      <c r="BE207" s="490" t="s">
        <v>2602</v>
      </c>
      <c r="BF207" s="490" t="s">
        <v>2603</v>
      </c>
      <c r="BG207" s="490" t="s">
        <v>2604</v>
      </c>
      <c r="BH207" s="490" t="s">
        <v>2605</v>
      </c>
      <c r="BI207" s="490" t="s">
        <v>2606</v>
      </c>
      <c r="BJ207" s="490" t="s">
        <v>2607</v>
      </c>
      <c r="BK207" s="437"/>
      <c r="BL207" s="437"/>
      <c r="BM207" s="437"/>
      <c r="BN207" s="437"/>
      <c r="BO207" s="437"/>
      <c r="BP207" s="437"/>
    </row>
    <row r="208" spans="1:68">
      <c r="A208" s="437"/>
      <c r="B208" s="437"/>
      <c r="C208" s="437"/>
      <c r="D208" s="437"/>
      <c r="E208" s="437"/>
      <c r="F208" s="437"/>
      <c r="G208" s="437"/>
      <c r="H208" s="437"/>
      <c r="I208" s="437"/>
      <c r="J208" s="437"/>
      <c r="K208" s="437"/>
      <c r="L208" s="437"/>
      <c r="M208" s="437"/>
      <c r="N208" s="437"/>
      <c r="O208" s="437"/>
      <c r="P208" s="437"/>
      <c r="Q208" s="437"/>
      <c r="R208" s="437"/>
      <c r="S208" s="437"/>
      <c r="T208" s="437"/>
      <c r="U208" s="437"/>
      <c r="V208" s="437"/>
      <c r="W208" s="437"/>
      <c r="X208" s="437"/>
      <c r="Y208" s="437"/>
      <c r="Z208" s="437"/>
      <c r="AA208" s="437"/>
      <c r="AB208" s="437"/>
      <c r="AC208" s="437"/>
      <c r="AD208" s="437"/>
      <c r="AE208" s="437"/>
      <c r="AF208" s="437"/>
      <c r="AG208" s="437"/>
      <c r="AH208" s="437"/>
      <c r="AI208" s="437"/>
      <c r="AJ208" s="437"/>
      <c r="AK208" s="437"/>
      <c r="AL208" s="437"/>
      <c r="AM208" s="437"/>
      <c r="AN208" s="437"/>
      <c r="AO208" s="437"/>
      <c r="AP208" s="437"/>
      <c r="AQ208" s="437"/>
      <c r="AR208" s="437"/>
      <c r="AS208" s="437"/>
      <c r="AT208" s="437"/>
      <c r="AU208" s="437"/>
      <c r="AV208" s="437"/>
      <c r="AW208" s="437"/>
      <c r="AX208" s="436">
        <v>203</v>
      </c>
      <c r="AY208" s="490" t="s">
        <v>2588</v>
      </c>
      <c r="AZ208" s="490" t="s">
        <v>2608</v>
      </c>
      <c r="BA208" s="490" t="s">
        <v>2609</v>
      </c>
      <c r="BB208" s="490" t="s">
        <v>2516</v>
      </c>
      <c r="BC208" s="490" t="s">
        <v>2610</v>
      </c>
      <c r="BD208" s="490" t="s">
        <v>2611</v>
      </c>
      <c r="BE208" s="490" t="s">
        <v>2612</v>
      </c>
      <c r="BF208" s="490" t="s">
        <v>2613</v>
      </c>
      <c r="BG208" s="490" t="s">
        <v>2614</v>
      </c>
      <c r="BH208" s="490" t="s">
        <v>2615</v>
      </c>
      <c r="BI208" s="490" t="s">
        <v>2616</v>
      </c>
      <c r="BJ208" s="490" t="s">
        <v>2617</v>
      </c>
      <c r="BK208" s="437"/>
      <c r="BL208" s="437"/>
      <c r="BM208" s="437"/>
      <c r="BN208" s="437"/>
      <c r="BO208" s="437"/>
      <c r="BP208" s="437"/>
    </row>
    <row r="209" spans="1:68">
      <c r="A209" s="437"/>
      <c r="B209" s="437"/>
      <c r="C209" s="437"/>
      <c r="D209" s="437"/>
      <c r="E209" s="437"/>
      <c r="F209" s="437"/>
      <c r="G209" s="437"/>
      <c r="H209" s="437"/>
      <c r="I209" s="437"/>
      <c r="J209" s="437"/>
      <c r="K209" s="437"/>
      <c r="L209" s="437"/>
      <c r="M209" s="437"/>
      <c r="N209" s="437"/>
      <c r="O209" s="437"/>
      <c r="P209" s="437"/>
      <c r="Q209" s="437"/>
      <c r="R209" s="437"/>
      <c r="S209" s="437"/>
      <c r="T209" s="437"/>
      <c r="U209" s="437"/>
      <c r="V209" s="437"/>
      <c r="W209" s="437"/>
      <c r="X209" s="437"/>
      <c r="Y209" s="437"/>
      <c r="Z209" s="437"/>
      <c r="AA209" s="437"/>
      <c r="AB209" s="437"/>
      <c r="AC209" s="437"/>
      <c r="AD209" s="437"/>
      <c r="AE209" s="437"/>
      <c r="AF209" s="437"/>
      <c r="AG209" s="437"/>
      <c r="AH209" s="437"/>
      <c r="AI209" s="437"/>
      <c r="AJ209" s="437"/>
      <c r="AK209" s="437"/>
      <c r="AL209" s="437"/>
      <c r="AM209" s="437"/>
      <c r="AN209" s="437"/>
      <c r="AO209" s="437"/>
      <c r="AP209" s="437"/>
      <c r="AQ209" s="437"/>
      <c r="AR209" s="437"/>
      <c r="AS209" s="437"/>
      <c r="AT209" s="437"/>
      <c r="AU209" s="437"/>
      <c r="AV209" s="437"/>
      <c r="AW209" s="437"/>
      <c r="AX209" s="436">
        <v>204</v>
      </c>
      <c r="AY209" s="490" t="s">
        <v>430</v>
      </c>
      <c r="AZ209" s="490" t="s">
        <v>2534</v>
      </c>
      <c r="BA209" s="490" t="s">
        <v>2618</v>
      </c>
      <c r="BB209" s="490" t="s">
        <v>2619</v>
      </c>
      <c r="BC209" s="490" t="s">
        <v>2620</v>
      </c>
      <c r="BD209" s="490" t="s">
        <v>2621</v>
      </c>
      <c r="BE209" s="490" t="s">
        <v>2622</v>
      </c>
      <c r="BF209" s="490" t="s">
        <v>2623</v>
      </c>
      <c r="BG209" s="490" t="s">
        <v>2613</v>
      </c>
      <c r="BH209" s="490" t="s">
        <v>431</v>
      </c>
      <c r="BI209" s="490" t="s">
        <v>2624</v>
      </c>
      <c r="BJ209" s="490" t="s">
        <v>2625</v>
      </c>
      <c r="BK209" s="437"/>
      <c r="BL209" s="437"/>
      <c r="BM209" s="437"/>
      <c r="BN209" s="437"/>
      <c r="BO209" s="437"/>
      <c r="BP209" s="437"/>
    </row>
    <row r="210" spans="1:68">
      <c r="A210" s="437"/>
      <c r="B210" s="437"/>
      <c r="C210" s="437"/>
      <c r="D210" s="437"/>
      <c r="E210" s="437"/>
      <c r="F210" s="437"/>
      <c r="G210" s="437"/>
      <c r="H210" s="437"/>
      <c r="I210" s="437"/>
      <c r="J210" s="437"/>
      <c r="K210" s="437"/>
      <c r="L210" s="437"/>
      <c r="M210" s="437"/>
      <c r="N210" s="437"/>
      <c r="O210" s="437"/>
      <c r="P210" s="437"/>
      <c r="Q210" s="437"/>
      <c r="R210" s="437"/>
      <c r="S210" s="437"/>
      <c r="T210" s="437"/>
      <c r="U210" s="437"/>
      <c r="V210" s="437"/>
      <c r="W210" s="437"/>
      <c r="X210" s="437"/>
      <c r="Y210" s="437"/>
      <c r="Z210" s="437"/>
      <c r="AA210" s="437"/>
      <c r="AB210" s="437"/>
      <c r="AC210" s="437"/>
      <c r="AD210" s="437"/>
      <c r="AE210" s="437"/>
      <c r="AF210" s="437"/>
      <c r="AG210" s="437"/>
      <c r="AH210" s="437"/>
      <c r="AI210" s="437"/>
      <c r="AJ210" s="437"/>
      <c r="AK210" s="437"/>
      <c r="AL210" s="437"/>
      <c r="AM210" s="437"/>
      <c r="AN210" s="437"/>
      <c r="AO210" s="437"/>
      <c r="AP210" s="437"/>
      <c r="AQ210" s="437"/>
      <c r="AR210" s="437"/>
      <c r="AS210" s="437"/>
      <c r="AT210" s="437"/>
      <c r="AU210" s="437"/>
      <c r="AV210" s="437"/>
      <c r="AW210" s="437"/>
      <c r="AX210" s="436">
        <v>205</v>
      </c>
      <c r="AY210" s="490" t="s">
        <v>2626</v>
      </c>
      <c r="AZ210" s="490" t="s">
        <v>2627</v>
      </c>
      <c r="BA210" s="490" t="s">
        <v>2545</v>
      </c>
      <c r="BB210" s="490" t="s">
        <v>2628</v>
      </c>
      <c r="BC210" s="490" t="s">
        <v>2629</v>
      </c>
      <c r="BD210" s="490" t="s">
        <v>2630</v>
      </c>
      <c r="BE210" s="490" t="s">
        <v>2631</v>
      </c>
      <c r="BF210" s="490" t="s">
        <v>2632</v>
      </c>
      <c r="BG210" s="490" t="s">
        <v>2633</v>
      </c>
      <c r="BH210" s="490" t="s">
        <v>2634</v>
      </c>
      <c r="BI210" s="490" t="s">
        <v>2635</v>
      </c>
      <c r="BJ210" s="490" t="s">
        <v>2636</v>
      </c>
      <c r="BK210" s="437"/>
      <c r="BL210" s="437"/>
      <c r="BM210" s="437"/>
      <c r="BN210" s="437"/>
      <c r="BO210" s="437"/>
      <c r="BP210" s="437"/>
    </row>
    <row r="211" spans="1:68">
      <c r="A211" s="437"/>
      <c r="B211" s="437"/>
      <c r="C211" s="437"/>
      <c r="D211" s="437"/>
      <c r="E211" s="437"/>
      <c r="F211" s="437"/>
      <c r="G211" s="437"/>
      <c r="H211" s="437"/>
      <c r="I211" s="437"/>
      <c r="J211" s="437"/>
      <c r="K211" s="437"/>
      <c r="L211" s="437"/>
      <c r="M211" s="437"/>
      <c r="N211" s="437"/>
      <c r="O211" s="437"/>
      <c r="P211" s="437"/>
      <c r="Q211" s="437"/>
      <c r="R211" s="437"/>
      <c r="S211" s="437"/>
      <c r="T211" s="437"/>
      <c r="U211" s="437"/>
      <c r="V211" s="437"/>
      <c r="W211" s="437"/>
      <c r="X211" s="437"/>
      <c r="Y211" s="437"/>
      <c r="Z211" s="437"/>
      <c r="AA211" s="437"/>
      <c r="AB211" s="437"/>
      <c r="AC211" s="437"/>
      <c r="AD211" s="437"/>
      <c r="AE211" s="437"/>
      <c r="AF211" s="437"/>
      <c r="AG211" s="437"/>
      <c r="AH211" s="437"/>
      <c r="AI211" s="437"/>
      <c r="AJ211" s="437"/>
      <c r="AK211" s="437"/>
      <c r="AL211" s="437"/>
      <c r="AM211" s="437"/>
      <c r="AN211" s="437"/>
      <c r="AO211" s="437"/>
      <c r="AP211" s="437"/>
      <c r="AQ211" s="437"/>
      <c r="AR211" s="437"/>
      <c r="AS211" s="437"/>
      <c r="AT211" s="437"/>
      <c r="AU211" s="437"/>
      <c r="AV211" s="437"/>
      <c r="AW211" s="437"/>
      <c r="AX211" s="436">
        <v>206</v>
      </c>
      <c r="AY211" s="490" t="s">
        <v>2554</v>
      </c>
      <c r="AZ211" s="490" t="s">
        <v>2637</v>
      </c>
      <c r="BA211" s="490" t="s">
        <v>2638</v>
      </c>
      <c r="BB211" s="490" t="s">
        <v>2639</v>
      </c>
      <c r="BC211" s="490" t="s">
        <v>2640</v>
      </c>
      <c r="BD211" s="490" t="s">
        <v>2641</v>
      </c>
      <c r="BE211" s="490" t="s">
        <v>2642</v>
      </c>
      <c r="BF211" s="490" t="s">
        <v>2643</v>
      </c>
      <c r="BG211" s="490" t="s">
        <v>2644</v>
      </c>
      <c r="BH211" s="490" t="s">
        <v>432</v>
      </c>
      <c r="BI211" s="490" t="s">
        <v>2645</v>
      </c>
      <c r="BJ211" s="490" t="s">
        <v>2646</v>
      </c>
      <c r="BK211" s="437"/>
      <c r="BL211" s="437"/>
      <c r="BM211" s="437"/>
      <c r="BN211" s="437"/>
      <c r="BO211" s="437"/>
      <c r="BP211" s="437"/>
    </row>
    <row r="212" spans="1:68">
      <c r="A212" s="437"/>
      <c r="B212" s="437"/>
      <c r="C212" s="437"/>
      <c r="D212" s="437"/>
      <c r="E212" s="437"/>
      <c r="F212" s="437"/>
      <c r="G212" s="437"/>
      <c r="H212" s="437"/>
      <c r="I212" s="437"/>
      <c r="J212" s="437"/>
      <c r="K212" s="437"/>
      <c r="L212" s="437"/>
      <c r="M212" s="437"/>
      <c r="N212" s="437"/>
      <c r="O212" s="437"/>
      <c r="P212" s="437"/>
      <c r="Q212" s="437"/>
      <c r="R212" s="437"/>
      <c r="S212" s="437"/>
      <c r="T212" s="437"/>
      <c r="U212" s="437"/>
      <c r="V212" s="437"/>
      <c r="W212" s="437"/>
      <c r="X212" s="437"/>
      <c r="Y212" s="437"/>
      <c r="Z212" s="437"/>
      <c r="AA212" s="437"/>
      <c r="AB212" s="437"/>
      <c r="AC212" s="437"/>
      <c r="AD212" s="437"/>
      <c r="AE212" s="437"/>
      <c r="AF212" s="437"/>
      <c r="AG212" s="437"/>
      <c r="AH212" s="437"/>
      <c r="AI212" s="437"/>
      <c r="AJ212" s="437"/>
      <c r="AK212" s="437"/>
      <c r="AL212" s="437"/>
      <c r="AM212" s="437"/>
      <c r="AN212" s="437"/>
      <c r="AO212" s="437"/>
      <c r="AP212" s="437"/>
      <c r="AQ212" s="437"/>
      <c r="AR212" s="437"/>
      <c r="AS212" s="437"/>
      <c r="AT212" s="437"/>
      <c r="AU212" s="437"/>
      <c r="AV212" s="437"/>
      <c r="AW212" s="437"/>
      <c r="AX212" s="436">
        <v>207</v>
      </c>
      <c r="AY212" s="490" t="s">
        <v>2647</v>
      </c>
      <c r="AZ212" s="490" t="s">
        <v>2648</v>
      </c>
      <c r="BA212" s="490" t="s">
        <v>2649</v>
      </c>
      <c r="BB212" s="490" t="s">
        <v>2650</v>
      </c>
      <c r="BC212" s="490" t="s">
        <v>2651</v>
      </c>
      <c r="BD212" s="490" t="s">
        <v>2652</v>
      </c>
      <c r="BE212" s="490" t="s">
        <v>2653</v>
      </c>
      <c r="BF212" s="490" t="s">
        <v>1800</v>
      </c>
      <c r="BG212" s="490" t="s">
        <v>2643</v>
      </c>
      <c r="BH212" s="490" t="s">
        <v>2654</v>
      </c>
      <c r="BI212" s="490" t="s">
        <v>2655</v>
      </c>
      <c r="BJ212" s="490" t="s">
        <v>2656</v>
      </c>
      <c r="BK212" s="437"/>
      <c r="BL212" s="437"/>
      <c r="BM212" s="437"/>
      <c r="BN212" s="437"/>
      <c r="BO212" s="437"/>
      <c r="BP212" s="437"/>
    </row>
    <row r="213" spans="1:68">
      <c r="A213" s="437"/>
      <c r="B213" s="437"/>
      <c r="C213" s="437"/>
      <c r="D213" s="437"/>
      <c r="E213" s="437"/>
      <c r="F213" s="437"/>
      <c r="G213" s="437"/>
      <c r="H213" s="437"/>
      <c r="I213" s="437"/>
      <c r="J213" s="437"/>
      <c r="K213" s="437"/>
      <c r="L213" s="437"/>
      <c r="M213" s="437"/>
      <c r="N213" s="437"/>
      <c r="O213" s="437"/>
      <c r="P213" s="437"/>
      <c r="Q213" s="437"/>
      <c r="R213" s="437"/>
      <c r="S213" s="437"/>
      <c r="T213" s="437"/>
      <c r="U213" s="437"/>
      <c r="V213" s="437"/>
      <c r="W213" s="437"/>
      <c r="X213" s="437"/>
      <c r="Y213" s="437"/>
      <c r="Z213" s="437"/>
      <c r="AA213" s="437"/>
      <c r="AB213" s="437"/>
      <c r="AC213" s="437"/>
      <c r="AD213" s="437"/>
      <c r="AE213" s="437"/>
      <c r="AF213" s="437"/>
      <c r="AG213" s="437"/>
      <c r="AH213" s="437"/>
      <c r="AI213" s="437"/>
      <c r="AJ213" s="437"/>
      <c r="AK213" s="437"/>
      <c r="AL213" s="437"/>
      <c r="AM213" s="437"/>
      <c r="AN213" s="437"/>
      <c r="AO213" s="437"/>
      <c r="AP213" s="437"/>
      <c r="AQ213" s="437"/>
      <c r="AR213" s="437"/>
      <c r="AS213" s="437"/>
      <c r="AT213" s="437"/>
      <c r="AU213" s="437"/>
      <c r="AV213" s="437"/>
      <c r="AW213" s="437"/>
      <c r="AX213" s="436">
        <v>208</v>
      </c>
      <c r="AY213" s="490" t="s">
        <v>2657</v>
      </c>
      <c r="AZ213" s="490" t="s">
        <v>2658</v>
      </c>
      <c r="BA213" s="490" t="s">
        <v>2659</v>
      </c>
      <c r="BB213" s="490" t="s">
        <v>2660</v>
      </c>
      <c r="BC213" s="490" t="s">
        <v>2661</v>
      </c>
      <c r="BD213" s="490" t="s">
        <v>2547</v>
      </c>
      <c r="BE213" s="490" t="s">
        <v>2662</v>
      </c>
      <c r="BF213" s="490" t="s">
        <v>2663</v>
      </c>
      <c r="BG213" s="490" t="s">
        <v>1812</v>
      </c>
      <c r="BH213" s="490" t="s">
        <v>433</v>
      </c>
      <c r="BI213" s="490" t="s">
        <v>2664</v>
      </c>
      <c r="BJ213" s="490" t="s">
        <v>2665</v>
      </c>
      <c r="BK213" s="437"/>
      <c r="BL213" s="437"/>
      <c r="BM213" s="437"/>
      <c r="BN213" s="437"/>
      <c r="BO213" s="437"/>
      <c r="BP213" s="437"/>
    </row>
    <row r="214" spans="1:68">
      <c r="A214" s="437"/>
      <c r="B214" s="437"/>
      <c r="C214" s="437"/>
      <c r="D214" s="437"/>
      <c r="E214" s="437"/>
      <c r="F214" s="437"/>
      <c r="G214" s="437"/>
      <c r="H214" s="437"/>
      <c r="I214" s="437"/>
      <c r="J214" s="437"/>
      <c r="K214" s="437"/>
      <c r="L214" s="437"/>
      <c r="M214" s="437"/>
      <c r="N214" s="437"/>
      <c r="O214" s="437"/>
      <c r="P214" s="437"/>
      <c r="Q214" s="437"/>
      <c r="R214" s="437"/>
      <c r="S214" s="437"/>
      <c r="T214" s="437"/>
      <c r="U214" s="437"/>
      <c r="V214" s="437"/>
      <c r="W214" s="437"/>
      <c r="X214" s="437"/>
      <c r="Y214" s="437"/>
      <c r="Z214" s="437"/>
      <c r="AA214" s="437"/>
      <c r="AB214" s="437"/>
      <c r="AC214" s="437"/>
      <c r="AD214" s="437"/>
      <c r="AE214" s="437"/>
      <c r="AF214" s="437"/>
      <c r="AG214" s="437"/>
      <c r="AH214" s="437"/>
      <c r="AI214" s="437"/>
      <c r="AJ214" s="437"/>
      <c r="AK214" s="437"/>
      <c r="AL214" s="437"/>
      <c r="AM214" s="437"/>
      <c r="AN214" s="437"/>
      <c r="AO214" s="437"/>
      <c r="AP214" s="437"/>
      <c r="AQ214" s="437"/>
      <c r="AR214" s="437"/>
      <c r="AS214" s="437"/>
      <c r="AT214" s="437"/>
      <c r="AU214" s="437"/>
      <c r="AV214" s="437"/>
      <c r="AW214" s="437"/>
      <c r="AX214" s="436">
        <v>209</v>
      </c>
      <c r="AY214" s="490" t="s">
        <v>2666</v>
      </c>
      <c r="AZ214" s="490" t="s">
        <v>2667</v>
      </c>
      <c r="BA214" s="490" t="s">
        <v>2668</v>
      </c>
      <c r="BB214" s="490" t="s">
        <v>2669</v>
      </c>
      <c r="BC214" s="490" t="s">
        <v>2670</v>
      </c>
      <c r="BD214" s="490" t="s">
        <v>2671</v>
      </c>
      <c r="BE214" s="490" t="s">
        <v>1820</v>
      </c>
      <c r="BF214" s="490" t="s">
        <v>2672</v>
      </c>
      <c r="BG214" s="490" t="s">
        <v>2673</v>
      </c>
      <c r="BH214" s="490" t="s">
        <v>434</v>
      </c>
      <c r="BI214" s="490" t="s">
        <v>2674</v>
      </c>
      <c r="BJ214" s="490" t="s">
        <v>2675</v>
      </c>
      <c r="BK214" s="437"/>
      <c r="BL214" s="437"/>
      <c r="BM214" s="437"/>
      <c r="BN214" s="437"/>
      <c r="BO214" s="437"/>
      <c r="BP214" s="437"/>
    </row>
    <row r="215" spans="1:68">
      <c r="A215" s="437"/>
      <c r="B215" s="437"/>
      <c r="C215" s="437"/>
      <c r="D215" s="437"/>
      <c r="E215" s="437"/>
      <c r="F215" s="437"/>
      <c r="G215" s="437"/>
      <c r="H215" s="437"/>
      <c r="I215" s="437"/>
      <c r="J215" s="437"/>
      <c r="K215" s="437"/>
      <c r="L215" s="437"/>
      <c r="M215" s="437"/>
      <c r="N215" s="437"/>
      <c r="O215" s="437"/>
      <c r="P215" s="437"/>
      <c r="Q215" s="437"/>
      <c r="R215" s="437"/>
      <c r="S215" s="437"/>
      <c r="T215" s="437"/>
      <c r="U215" s="437"/>
      <c r="V215" s="437"/>
      <c r="W215" s="437"/>
      <c r="X215" s="437"/>
      <c r="Y215" s="437"/>
      <c r="Z215" s="437"/>
      <c r="AA215" s="437"/>
      <c r="AB215" s="437"/>
      <c r="AC215" s="437"/>
      <c r="AD215" s="437"/>
      <c r="AE215" s="437"/>
      <c r="AF215" s="437"/>
      <c r="AG215" s="437"/>
      <c r="AH215" s="437"/>
      <c r="AI215" s="437"/>
      <c r="AJ215" s="437"/>
      <c r="AK215" s="437"/>
      <c r="AL215" s="437"/>
      <c r="AM215" s="437"/>
      <c r="AN215" s="437"/>
      <c r="AO215" s="437"/>
      <c r="AP215" s="437"/>
      <c r="AQ215" s="437"/>
      <c r="AR215" s="437"/>
      <c r="AS215" s="437"/>
      <c r="AT215" s="437"/>
      <c r="AU215" s="437"/>
      <c r="AV215" s="437"/>
      <c r="AW215" s="437"/>
      <c r="AX215" s="436">
        <v>210</v>
      </c>
      <c r="AY215" s="490" t="s">
        <v>2658</v>
      </c>
      <c r="AZ215" s="490" t="s">
        <v>2676</v>
      </c>
      <c r="BA215" s="490" t="s">
        <v>2677</v>
      </c>
      <c r="BB215" s="490" t="s">
        <v>2589</v>
      </c>
      <c r="BC215" s="490" t="s">
        <v>2678</v>
      </c>
      <c r="BD215" s="490" t="s">
        <v>2679</v>
      </c>
      <c r="BE215" s="490" t="s">
        <v>2663</v>
      </c>
      <c r="BF215" s="490" t="s">
        <v>2680</v>
      </c>
      <c r="BG215" s="490" t="s">
        <v>2681</v>
      </c>
      <c r="BH215" s="490" t="s">
        <v>2682</v>
      </c>
      <c r="BI215" s="490" t="s">
        <v>2683</v>
      </c>
      <c r="BJ215" s="490" t="s">
        <v>2684</v>
      </c>
      <c r="BK215" s="437"/>
      <c r="BL215" s="437"/>
      <c r="BM215" s="437"/>
      <c r="BN215" s="437"/>
      <c r="BO215" s="437"/>
      <c r="BP215" s="437"/>
    </row>
    <row r="216" spans="1:68">
      <c r="A216" s="437"/>
      <c r="B216" s="437"/>
      <c r="C216" s="437"/>
      <c r="D216" s="437"/>
      <c r="E216" s="437"/>
      <c r="F216" s="437"/>
      <c r="G216" s="437"/>
      <c r="H216" s="437"/>
      <c r="I216" s="437"/>
      <c r="J216" s="437"/>
      <c r="K216" s="437"/>
      <c r="L216" s="437"/>
      <c r="M216" s="437"/>
      <c r="N216" s="437"/>
      <c r="O216" s="437"/>
      <c r="P216" s="437"/>
      <c r="Q216" s="437"/>
      <c r="R216" s="437"/>
      <c r="S216" s="437"/>
      <c r="T216" s="437"/>
      <c r="U216" s="437"/>
      <c r="V216" s="437"/>
      <c r="W216" s="437"/>
      <c r="X216" s="437"/>
      <c r="Y216" s="437"/>
      <c r="Z216" s="437"/>
      <c r="AA216" s="437"/>
      <c r="AB216" s="437"/>
      <c r="AC216" s="437"/>
      <c r="AD216" s="437"/>
      <c r="AE216" s="437"/>
      <c r="AF216" s="437"/>
      <c r="AG216" s="437"/>
      <c r="AH216" s="437"/>
      <c r="AI216" s="437"/>
      <c r="AJ216" s="437"/>
      <c r="AK216" s="437"/>
      <c r="AL216" s="437"/>
      <c r="AM216" s="437"/>
      <c r="AN216" s="437"/>
      <c r="AO216" s="437"/>
      <c r="AP216" s="437"/>
      <c r="AQ216" s="437"/>
      <c r="AR216" s="437"/>
      <c r="AS216" s="437"/>
      <c r="AT216" s="437"/>
      <c r="AU216" s="437"/>
      <c r="AV216" s="437"/>
      <c r="AW216" s="437"/>
      <c r="AX216" s="436">
        <v>211</v>
      </c>
      <c r="AY216" s="490" t="s">
        <v>2685</v>
      </c>
      <c r="AZ216" s="490" t="s">
        <v>2686</v>
      </c>
      <c r="BA216" s="490" t="s">
        <v>2687</v>
      </c>
      <c r="BB216" s="490" t="s">
        <v>2688</v>
      </c>
      <c r="BC216" s="490" t="s">
        <v>2689</v>
      </c>
      <c r="BD216" s="490" t="s">
        <v>2690</v>
      </c>
      <c r="BE216" s="490" t="s">
        <v>2691</v>
      </c>
      <c r="BF216" s="490" t="s">
        <v>435</v>
      </c>
      <c r="BG216" s="490" t="s">
        <v>2692</v>
      </c>
      <c r="BH216" s="490" t="s">
        <v>436</v>
      </c>
      <c r="BI216" s="490" t="s">
        <v>2693</v>
      </c>
      <c r="BJ216" s="490" t="s">
        <v>2694</v>
      </c>
      <c r="BK216" s="437"/>
      <c r="BL216" s="437"/>
      <c r="BM216" s="437"/>
      <c r="BN216" s="437"/>
      <c r="BO216" s="437"/>
      <c r="BP216" s="437"/>
    </row>
    <row r="217" spans="1:68">
      <c r="A217" s="437"/>
      <c r="B217" s="437"/>
      <c r="C217" s="437"/>
      <c r="D217" s="437"/>
      <c r="E217" s="437"/>
      <c r="F217" s="437"/>
      <c r="G217" s="437"/>
      <c r="H217" s="437"/>
      <c r="I217" s="437"/>
      <c r="J217" s="437"/>
      <c r="K217" s="437"/>
      <c r="L217" s="437"/>
      <c r="M217" s="437"/>
      <c r="N217" s="437"/>
      <c r="O217" s="437"/>
      <c r="P217" s="437"/>
      <c r="Q217" s="437"/>
      <c r="R217" s="437"/>
      <c r="S217" s="437"/>
      <c r="T217" s="437"/>
      <c r="U217" s="437"/>
      <c r="V217" s="437"/>
      <c r="W217" s="437"/>
      <c r="X217" s="437"/>
      <c r="Y217" s="437"/>
      <c r="Z217" s="437"/>
      <c r="AA217" s="437"/>
      <c r="AB217" s="437"/>
      <c r="AC217" s="437"/>
      <c r="AD217" s="437"/>
      <c r="AE217" s="437"/>
      <c r="AF217" s="437"/>
      <c r="AG217" s="437"/>
      <c r="AH217" s="437"/>
      <c r="AI217" s="437"/>
      <c r="AJ217" s="437"/>
      <c r="AK217" s="437"/>
      <c r="AL217" s="437"/>
      <c r="AM217" s="437"/>
      <c r="AN217" s="437"/>
      <c r="AO217" s="437"/>
      <c r="AP217" s="437"/>
      <c r="AQ217" s="437"/>
      <c r="AR217" s="437"/>
      <c r="AS217" s="437"/>
      <c r="AT217" s="437"/>
      <c r="AU217" s="437"/>
      <c r="AV217" s="437"/>
      <c r="AW217" s="437"/>
      <c r="AX217" s="436">
        <v>212</v>
      </c>
      <c r="AY217" s="490" t="s">
        <v>2695</v>
      </c>
      <c r="AZ217" s="490" t="s">
        <v>2696</v>
      </c>
      <c r="BA217" s="490" t="s">
        <v>2697</v>
      </c>
      <c r="BB217" s="490" t="s">
        <v>2609</v>
      </c>
      <c r="BC217" s="490" t="s">
        <v>2698</v>
      </c>
      <c r="BD217" s="490" t="s">
        <v>2499</v>
      </c>
      <c r="BE217" s="490" t="s">
        <v>2699</v>
      </c>
      <c r="BF217" s="490" t="s">
        <v>2700</v>
      </c>
      <c r="BG217" s="490" t="s">
        <v>437</v>
      </c>
      <c r="BH217" s="490" t="s">
        <v>2614</v>
      </c>
      <c r="BI217" s="490" t="s">
        <v>2701</v>
      </c>
      <c r="BJ217" s="490" t="s">
        <v>2702</v>
      </c>
      <c r="BK217" s="437"/>
      <c r="BL217" s="437"/>
      <c r="BM217" s="437"/>
      <c r="BN217" s="437"/>
      <c r="BO217" s="437"/>
      <c r="BP217" s="437"/>
    </row>
    <row r="218" spans="1:68">
      <c r="A218" s="437"/>
      <c r="B218" s="437"/>
      <c r="C218" s="437"/>
      <c r="D218" s="437"/>
      <c r="E218" s="437"/>
      <c r="F218" s="437"/>
      <c r="G218" s="437"/>
      <c r="H218" s="437"/>
      <c r="I218" s="437"/>
      <c r="J218" s="437"/>
      <c r="K218" s="437"/>
      <c r="L218" s="437"/>
      <c r="M218" s="437"/>
      <c r="N218" s="437"/>
      <c r="O218" s="437"/>
      <c r="P218" s="437"/>
      <c r="Q218" s="437"/>
      <c r="R218" s="437"/>
      <c r="S218" s="437"/>
      <c r="T218" s="437"/>
      <c r="U218" s="437"/>
      <c r="V218" s="437"/>
      <c r="W218" s="437"/>
      <c r="X218" s="437"/>
      <c r="Y218" s="437"/>
      <c r="Z218" s="437"/>
      <c r="AA218" s="437"/>
      <c r="AB218" s="437"/>
      <c r="AC218" s="437"/>
      <c r="AD218" s="437"/>
      <c r="AE218" s="437"/>
      <c r="AF218" s="437"/>
      <c r="AG218" s="437"/>
      <c r="AH218" s="437"/>
      <c r="AI218" s="437"/>
      <c r="AJ218" s="437"/>
      <c r="AK218" s="437"/>
      <c r="AL218" s="437"/>
      <c r="AM218" s="437"/>
      <c r="AN218" s="437"/>
      <c r="AO218" s="437"/>
      <c r="AP218" s="437"/>
      <c r="AQ218" s="437"/>
      <c r="AR218" s="437"/>
      <c r="AS218" s="437"/>
      <c r="AT218" s="437"/>
      <c r="AU218" s="437"/>
      <c r="AV218" s="437"/>
      <c r="AW218" s="437"/>
      <c r="AX218" s="436">
        <v>213</v>
      </c>
      <c r="AY218" s="490" t="s">
        <v>2686</v>
      </c>
      <c r="AZ218" s="490" t="s">
        <v>2703</v>
      </c>
      <c r="BA218" s="490" t="s">
        <v>2704</v>
      </c>
      <c r="BB218" s="490" t="s">
        <v>2705</v>
      </c>
      <c r="BC218" s="490" t="s">
        <v>2706</v>
      </c>
      <c r="BD218" s="490" t="s">
        <v>2707</v>
      </c>
      <c r="BE218" s="490" t="s">
        <v>2708</v>
      </c>
      <c r="BF218" s="490" t="s">
        <v>2709</v>
      </c>
      <c r="BG218" s="490" t="s">
        <v>2710</v>
      </c>
      <c r="BH218" s="490" t="s">
        <v>2711</v>
      </c>
      <c r="BI218" s="490" t="s">
        <v>2712</v>
      </c>
      <c r="BJ218" s="490" t="s">
        <v>2713</v>
      </c>
      <c r="BK218" s="437"/>
      <c r="BL218" s="437"/>
      <c r="BM218" s="437"/>
      <c r="BN218" s="437"/>
      <c r="BO218" s="437"/>
      <c r="BP218" s="437"/>
    </row>
    <row r="219" spans="1:68">
      <c r="A219" s="437"/>
      <c r="B219" s="437"/>
      <c r="C219" s="437"/>
      <c r="D219" s="437"/>
      <c r="E219" s="437"/>
      <c r="F219" s="437"/>
      <c r="G219" s="437"/>
      <c r="H219" s="437"/>
      <c r="I219" s="437"/>
      <c r="J219" s="437"/>
      <c r="K219" s="437"/>
      <c r="L219" s="437"/>
      <c r="M219" s="437"/>
      <c r="N219" s="437"/>
      <c r="O219" s="437"/>
      <c r="P219" s="437"/>
      <c r="Q219" s="437"/>
      <c r="R219" s="437"/>
      <c r="S219" s="437"/>
      <c r="T219" s="437"/>
      <c r="U219" s="437"/>
      <c r="V219" s="437"/>
      <c r="W219" s="437"/>
      <c r="X219" s="437"/>
      <c r="Y219" s="437"/>
      <c r="Z219" s="437"/>
      <c r="AA219" s="437"/>
      <c r="AB219" s="437"/>
      <c r="AC219" s="437"/>
      <c r="AD219" s="437"/>
      <c r="AE219" s="437"/>
      <c r="AF219" s="437"/>
      <c r="AG219" s="437"/>
      <c r="AH219" s="437"/>
      <c r="AI219" s="437"/>
      <c r="AJ219" s="437"/>
      <c r="AK219" s="437"/>
      <c r="AL219" s="437"/>
      <c r="AM219" s="437"/>
      <c r="AN219" s="437"/>
      <c r="AO219" s="437"/>
      <c r="AP219" s="437"/>
      <c r="AQ219" s="437"/>
      <c r="AR219" s="437"/>
      <c r="AS219" s="437"/>
      <c r="AT219" s="437"/>
      <c r="AU219" s="437"/>
      <c r="AV219" s="437"/>
      <c r="AW219" s="437"/>
      <c r="AX219" s="436">
        <v>214</v>
      </c>
      <c r="AY219" s="490" t="s">
        <v>2714</v>
      </c>
      <c r="AZ219" s="490" t="s">
        <v>2715</v>
      </c>
      <c r="BA219" s="490" t="s">
        <v>2716</v>
      </c>
      <c r="BB219" s="490" t="s">
        <v>2639</v>
      </c>
      <c r="BC219" s="490" t="s">
        <v>2717</v>
      </c>
      <c r="BD219" s="490" t="s">
        <v>2610</v>
      </c>
      <c r="BE219" s="490" t="s">
        <v>2718</v>
      </c>
      <c r="BF219" s="490" t="s">
        <v>2719</v>
      </c>
      <c r="BG219" s="490" t="s">
        <v>2720</v>
      </c>
      <c r="BH219" s="490" t="s">
        <v>2721</v>
      </c>
      <c r="BI219" s="490" t="s">
        <v>2722</v>
      </c>
      <c r="BJ219" s="490" t="s">
        <v>2723</v>
      </c>
      <c r="BK219" s="437"/>
      <c r="BL219" s="437"/>
      <c r="BM219" s="437"/>
      <c r="BN219" s="437"/>
      <c r="BO219" s="437"/>
      <c r="BP219" s="437"/>
    </row>
    <row r="220" spans="1:68">
      <c r="A220" s="437"/>
      <c r="B220" s="437"/>
      <c r="C220" s="437"/>
      <c r="D220" s="437"/>
      <c r="E220" s="437"/>
      <c r="F220" s="437"/>
      <c r="G220" s="437"/>
      <c r="H220" s="437"/>
      <c r="I220" s="437"/>
      <c r="J220" s="437"/>
      <c r="K220" s="437"/>
      <c r="L220" s="437"/>
      <c r="M220" s="437"/>
      <c r="N220" s="437"/>
      <c r="O220" s="437"/>
      <c r="P220" s="437"/>
      <c r="Q220" s="437"/>
      <c r="R220" s="437"/>
      <c r="S220" s="437"/>
      <c r="T220" s="437"/>
      <c r="U220" s="437"/>
      <c r="V220" s="437"/>
      <c r="W220" s="437"/>
      <c r="X220" s="437"/>
      <c r="Y220" s="437"/>
      <c r="Z220" s="437"/>
      <c r="AA220" s="437"/>
      <c r="AB220" s="437"/>
      <c r="AC220" s="437"/>
      <c r="AD220" s="437"/>
      <c r="AE220" s="437"/>
      <c r="AF220" s="437"/>
      <c r="AG220" s="437"/>
      <c r="AH220" s="437"/>
      <c r="AI220" s="437"/>
      <c r="AJ220" s="437"/>
      <c r="AK220" s="437"/>
      <c r="AL220" s="437"/>
      <c r="AM220" s="437"/>
      <c r="AN220" s="437"/>
      <c r="AO220" s="437"/>
      <c r="AP220" s="437"/>
      <c r="AQ220" s="437"/>
      <c r="AR220" s="437"/>
      <c r="AS220" s="437"/>
      <c r="AT220" s="437"/>
      <c r="AU220" s="437"/>
      <c r="AV220" s="437"/>
      <c r="AW220" s="437"/>
      <c r="AX220" s="436">
        <v>215</v>
      </c>
      <c r="AY220" s="490" t="s">
        <v>2724</v>
      </c>
      <c r="AZ220" s="490" t="s">
        <v>2725</v>
      </c>
      <c r="BA220" s="490" t="s">
        <v>2726</v>
      </c>
      <c r="BB220" s="490" t="s">
        <v>2727</v>
      </c>
      <c r="BC220" s="490" t="s">
        <v>2728</v>
      </c>
      <c r="BD220" s="490" t="s">
        <v>2729</v>
      </c>
      <c r="BE220" s="490" t="s">
        <v>2730</v>
      </c>
      <c r="BF220" s="490" t="s">
        <v>2731</v>
      </c>
      <c r="BG220" s="490" t="s">
        <v>2732</v>
      </c>
      <c r="BH220" s="490" t="s">
        <v>2733</v>
      </c>
      <c r="BI220" s="490" t="s">
        <v>2734</v>
      </c>
      <c r="BJ220" s="490" t="s">
        <v>2735</v>
      </c>
      <c r="BK220" s="437"/>
      <c r="BL220" s="437"/>
      <c r="BM220" s="437"/>
      <c r="BN220" s="437"/>
      <c r="BO220" s="437"/>
      <c r="BP220" s="437"/>
    </row>
    <row r="221" spans="1:68">
      <c r="A221" s="437"/>
      <c r="B221" s="437"/>
      <c r="C221" s="437"/>
      <c r="D221" s="437"/>
      <c r="E221" s="437"/>
      <c r="F221" s="437"/>
      <c r="G221" s="437"/>
      <c r="H221" s="437"/>
      <c r="I221" s="437"/>
      <c r="J221" s="437"/>
      <c r="K221" s="437"/>
      <c r="L221" s="437"/>
      <c r="M221" s="437"/>
      <c r="N221" s="437"/>
      <c r="O221" s="437"/>
      <c r="P221" s="437"/>
      <c r="Q221" s="437"/>
      <c r="R221" s="437"/>
      <c r="S221" s="437"/>
      <c r="T221" s="437"/>
      <c r="U221" s="437"/>
      <c r="V221" s="437"/>
      <c r="W221" s="437"/>
      <c r="X221" s="437"/>
      <c r="Y221" s="437"/>
      <c r="Z221" s="437"/>
      <c r="AA221" s="437"/>
      <c r="AB221" s="437"/>
      <c r="AC221" s="437"/>
      <c r="AD221" s="437"/>
      <c r="AE221" s="437"/>
      <c r="AF221" s="437"/>
      <c r="AG221" s="437"/>
      <c r="AH221" s="437"/>
      <c r="AI221" s="437"/>
      <c r="AJ221" s="437"/>
      <c r="AK221" s="437"/>
      <c r="AL221" s="437"/>
      <c r="AM221" s="437"/>
      <c r="AN221" s="437"/>
      <c r="AO221" s="437"/>
      <c r="AP221" s="437"/>
      <c r="AQ221" s="437"/>
      <c r="AR221" s="437"/>
      <c r="AS221" s="437"/>
      <c r="AT221" s="437"/>
      <c r="AU221" s="437"/>
      <c r="AV221" s="437"/>
      <c r="AW221" s="437"/>
      <c r="AX221" s="436">
        <v>216</v>
      </c>
      <c r="AY221" s="490" t="s">
        <v>2715</v>
      </c>
      <c r="AZ221" s="490" t="s">
        <v>2736</v>
      </c>
      <c r="BA221" s="490" t="s">
        <v>2737</v>
      </c>
      <c r="BB221" s="490" t="s">
        <v>2649</v>
      </c>
      <c r="BC221" s="490" t="s">
        <v>2738</v>
      </c>
      <c r="BD221" s="490" t="s">
        <v>2739</v>
      </c>
      <c r="BE221" s="490" t="s">
        <v>2740</v>
      </c>
      <c r="BF221" s="490" t="s">
        <v>2741</v>
      </c>
      <c r="BG221" s="490" t="s">
        <v>2742</v>
      </c>
      <c r="BH221" s="490" t="s">
        <v>2743</v>
      </c>
      <c r="BI221" s="490" t="s">
        <v>2744</v>
      </c>
      <c r="BJ221" s="490" t="s">
        <v>2745</v>
      </c>
      <c r="BK221" s="437"/>
      <c r="BL221" s="437"/>
      <c r="BM221" s="437"/>
      <c r="BN221" s="437"/>
      <c r="BO221" s="437"/>
      <c r="BP221" s="437"/>
    </row>
    <row r="222" spans="1:68">
      <c r="A222" s="437"/>
      <c r="B222" s="437"/>
      <c r="C222" s="437"/>
      <c r="D222" s="437"/>
      <c r="E222" s="437"/>
      <c r="F222" s="437"/>
      <c r="G222" s="437"/>
      <c r="H222" s="437"/>
      <c r="I222" s="437"/>
      <c r="J222" s="437"/>
      <c r="K222" s="437"/>
      <c r="L222" s="437"/>
      <c r="M222" s="437"/>
      <c r="N222" s="437"/>
      <c r="O222" s="437"/>
      <c r="P222" s="437"/>
      <c r="Q222" s="437"/>
      <c r="R222" s="437"/>
      <c r="S222" s="437"/>
      <c r="T222" s="437"/>
      <c r="U222" s="437"/>
      <c r="V222" s="437"/>
      <c r="W222" s="437"/>
      <c r="X222" s="437"/>
      <c r="Y222" s="437"/>
      <c r="Z222" s="437"/>
      <c r="AA222" s="437"/>
      <c r="AB222" s="437"/>
      <c r="AC222" s="437"/>
      <c r="AD222" s="437"/>
      <c r="AE222" s="437"/>
      <c r="AF222" s="437"/>
      <c r="AG222" s="437"/>
      <c r="AH222" s="437"/>
      <c r="AI222" s="437"/>
      <c r="AJ222" s="437"/>
      <c r="AK222" s="437"/>
      <c r="AL222" s="437"/>
      <c r="AM222" s="437"/>
      <c r="AN222" s="437"/>
      <c r="AO222" s="437"/>
      <c r="AP222" s="437"/>
      <c r="AQ222" s="437"/>
      <c r="AR222" s="437"/>
      <c r="AS222" s="437"/>
      <c r="AT222" s="437"/>
      <c r="AU222" s="437"/>
      <c r="AV222" s="437"/>
      <c r="AW222" s="437"/>
      <c r="AX222" s="436">
        <v>217</v>
      </c>
      <c r="AY222" s="490" t="s">
        <v>2746</v>
      </c>
      <c r="AZ222" s="490" t="s">
        <v>2747</v>
      </c>
      <c r="BA222" s="490" t="s">
        <v>2748</v>
      </c>
      <c r="BB222" s="490" t="s">
        <v>2749</v>
      </c>
      <c r="BC222" s="490" t="s">
        <v>2750</v>
      </c>
      <c r="BD222" s="490" t="s">
        <v>2751</v>
      </c>
      <c r="BE222" s="490" t="s">
        <v>2752</v>
      </c>
      <c r="BF222" s="490" t="s">
        <v>2753</v>
      </c>
      <c r="BG222" s="490" t="s">
        <v>2754</v>
      </c>
      <c r="BH222" s="490" t="s">
        <v>1909</v>
      </c>
      <c r="BI222" s="490" t="s">
        <v>2755</v>
      </c>
      <c r="BJ222" s="490" t="s">
        <v>2756</v>
      </c>
      <c r="BK222" s="437"/>
      <c r="BL222" s="437"/>
      <c r="BM222" s="437"/>
      <c r="BN222" s="437"/>
      <c r="BO222" s="437"/>
      <c r="BP222" s="437"/>
    </row>
    <row r="223" spans="1:68">
      <c r="A223" s="437"/>
      <c r="B223" s="437"/>
      <c r="C223" s="437"/>
      <c r="D223" s="437"/>
      <c r="E223" s="437"/>
      <c r="F223" s="437"/>
      <c r="G223" s="437"/>
      <c r="H223" s="437"/>
      <c r="I223" s="437"/>
      <c r="J223" s="437"/>
      <c r="K223" s="437"/>
      <c r="L223" s="437"/>
      <c r="M223" s="437"/>
      <c r="N223" s="437"/>
      <c r="O223" s="437"/>
      <c r="P223" s="437"/>
      <c r="Q223" s="437"/>
      <c r="R223" s="437"/>
      <c r="S223" s="437"/>
      <c r="T223" s="437"/>
      <c r="U223" s="437"/>
      <c r="V223" s="437"/>
      <c r="W223" s="437"/>
      <c r="X223" s="437"/>
      <c r="Y223" s="437"/>
      <c r="Z223" s="437"/>
      <c r="AA223" s="437"/>
      <c r="AB223" s="437"/>
      <c r="AC223" s="437"/>
      <c r="AD223" s="437"/>
      <c r="AE223" s="437"/>
      <c r="AF223" s="437"/>
      <c r="AG223" s="437"/>
      <c r="AH223" s="437"/>
      <c r="AI223" s="437"/>
      <c r="AJ223" s="437"/>
      <c r="AK223" s="437"/>
      <c r="AL223" s="437"/>
      <c r="AM223" s="437"/>
      <c r="AN223" s="437"/>
      <c r="AO223" s="437"/>
      <c r="AP223" s="437"/>
      <c r="AQ223" s="437"/>
      <c r="AR223" s="437"/>
      <c r="AS223" s="437"/>
      <c r="AT223" s="437"/>
      <c r="AU223" s="437"/>
      <c r="AV223" s="437"/>
      <c r="AW223" s="437"/>
      <c r="AX223" s="436">
        <v>218</v>
      </c>
      <c r="AY223" s="490" t="s">
        <v>2757</v>
      </c>
      <c r="AZ223" s="490" t="s">
        <v>2758</v>
      </c>
      <c r="BA223" s="490" t="s">
        <v>2759</v>
      </c>
      <c r="BB223" s="490" t="s">
        <v>2760</v>
      </c>
      <c r="BC223" s="490" t="s">
        <v>2761</v>
      </c>
      <c r="BD223" s="490" t="s">
        <v>2762</v>
      </c>
      <c r="BE223" s="490" t="s">
        <v>2763</v>
      </c>
      <c r="BF223" s="490" t="s">
        <v>2764</v>
      </c>
      <c r="BG223" s="490" t="s">
        <v>2753</v>
      </c>
      <c r="BH223" s="490" t="s">
        <v>2765</v>
      </c>
      <c r="BI223" s="490" t="s">
        <v>2766</v>
      </c>
      <c r="BJ223" s="490" t="s">
        <v>2767</v>
      </c>
      <c r="BK223" s="437"/>
      <c r="BL223" s="437"/>
      <c r="BM223" s="437"/>
      <c r="BN223" s="437"/>
      <c r="BO223" s="437"/>
      <c r="BP223" s="437"/>
    </row>
    <row r="224" spans="1:68">
      <c r="A224" s="437"/>
      <c r="B224" s="437"/>
      <c r="C224" s="437"/>
      <c r="D224" s="437"/>
      <c r="E224" s="437"/>
      <c r="F224" s="437"/>
      <c r="G224" s="437"/>
      <c r="H224" s="437"/>
      <c r="I224" s="437"/>
      <c r="J224" s="437"/>
      <c r="K224" s="437"/>
      <c r="L224" s="437"/>
      <c r="M224" s="437"/>
      <c r="N224" s="437"/>
      <c r="O224" s="437"/>
      <c r="P224" s="437"/>
      <c r="Q224" s="437"/>
      <c r="R224" s="437"/>
      <c r="S224" s="437"/>
      <c r="T224" s="437"/>
      <c r="U224" s="437"/>
      <c r="V224" s="437"/>
      <c r="W224" s="437"/>
      <c r="X224" s="437"/>
      <c r="Y224" s="437"/>
      <c r="Z224" s="437"/>
      <c r="AA224" s="437"/>
      <c r="AB224" s="437"/>
      <c r="AC224" s="437"/>
      <c r="AD224" s="437"/>
      <c r="AE224" s="437"/>
      <c r="AF224" s="437"/>
      <c r="AG224" s="437"/>
      <c r="AH224" s="437"/>
      <c r="AI224" s="437"/>
      <c r="AJ224" s="437"/>
      <c r="AK224" s="437"/>
      <c r="AL224" s="437"/>
      <c r="AM224" s="437"/>
      <c r="AN224" s="437"/>
      <c r="AO224" s="437"/>
      <c r="AP224" s="437"/>
      <c r="AQ224" s="437"/>
      <c r="AR224" s="437"/>
      <c r="AS224" s="437"/>
      <c r="AT224" s="437"/>
      <c r="AU224" s="437"/>
      <c r="AV224" s="437"/>
      <c r="AW224" s="437"/>
      <c r="AX224" s="436">
        <v>219</v>
      </c>
      <c r="AY224" s="490" t="s">
        <v>2768</v>
      </c>
      <c r="AZ224" s="490" t="s">
        <v>2769</v>
      </c>
      <c r="BA224" s="490" t="s">
        <v>2770</v>
      </c>
      <c r="BB224" s="490" t="s">
        <v>2771</v>
      </c>
      <c r="BC224" s="490" t="s">
        <v>2772</v>
      </c>
      <c r="BD224" s="490" t="s">
        <v>2773</v>
      </c>
      <c r="BE224" s="490" t="s">
        <v>2774</v>
      </c>
      <c r="BF224" s="490" t="s">
        <v>435</v>
      </c>
      <c r="BG224" s="490" t="s">
        <v>2775</v>
      </c>
      <c r="BH224" s="490" t="s">
        <v>2776</v>
      </c>
      <c r="BI224" s="490" t="s">
        <v>2777</v>
      </c>
      <c r="BJ224" s="490" t="s">
        <v>2778</v>
      </c>
      <c r="BK224" s="437"/>
      <c r="BL224" s="437"/>
      <c r="BM224" s="437"/>
      <c r="BN224" s="437"/>
      <c r="BO224" s="437"/>
      <c r="BP224" s="437"/>
    </row>
    <row r="225" spans="1:68">
      <c r="A225" s="437"/>
      <c r="B225" s="437"/>
      <c r="C225" s="437"/>
      <c r="D225" s="437"/>
      <c r="E225" s="437"/>
      <c r="F225" s="437"/>
      <c r="G225" s="437"/>
      <c r="H225" s="437"/>
      <c r="I225" s="437"/>
      <c r="J225" s="437"/>
      <c r="K225" s="437"/>
      <c r="L225" s="437"/>
      <c r="M225" s="437"/>
      <c r="N225" s="437"/>
      <c r="O225" s="437"/>
      <c r="P225" s="437"/>
      <c r="Q225" s="437"/>
      <c r="R225" s="437"/>
      <c r="S225" s="437"/>
      <c r="T225" s="437"/>
      <c r="U225" s="437"/>
      <c r="V225" s="437"/>
      <c r="W225" s="437"/>
      <c r="X225" s="437"/>
      <c r="Y225" s="437"/>
      <c r="Z225" s="437"/>
      <c r="AA225" s="437"/>
      <c r="AB225" s="437"/>
      <c r="AC225" s="437"/>
      <c r="AD225" s="437"/>
      <c r="AE225" s="437"/>
      <c r="AF225" s="437"/>
      <c r="AG225" s="437"/>
      <c r="AH225" s="437"/>
      <c r="AI225" s="437"/>
      <c r="AJ225" s="437"/>
      <c r="AK225" s="437"/>
      <c r="AL225" s="437"/>
      <c r="AM225" s="437"/>
      <c r="AN225" s="437"/>
      <c r="AO225" s="437"/>
      <c r="AP225" s="437"/>
      <c r="AQ225" s="437"/>
      <c r="AR225" s="437"/>
      <c r="AS225" s="437"/>
      <c r="AT225" s="437"/>
      <c r="AU225" s="437"/>
      <c r="AV225" s="437"/>
      <c r="AW225" s="437"/>
      <c r="AX225" s="436">
        <v>220</v>
      </c>
      <c r="AY225" s="490" t="s">
        <v>2779</v>
      </c>
      <c r="AZ225" s="490" t="s">
        <v>2780</v>
      </c>
      <c r="BA225" s="490" t="s">
        <v>2781</v>
      </c>
      <c r="BB225" s="490" t="s">
        <v>2782</v>
      </c>
      <c r="BC225" s="490" t="s">
        <v>2783</v>
      </c>
      <c r="BD225" s="490" t="s">
        <v>2784</v>
      </c>
      <c r="BE225" s="490" t="s">
        <v>2764</v>
      </c>
      <c r="BF225" s="490" t="s">
        <v>2785</v>
      </c>
      <c r="BG225" s="490" t="s">
        <v>437</v>
      </c>
      <c r="BH225" s="490" t="s">
        <v>2786</v>
      </c>
      <c r="BI225" s="490" t="s">
        <v>2787</v>
      </c>
      <c r="BJ225" s="490" t="s">
        <v>2788</v>
      </c>
      <c r="BK225" s="437"/>
      <c r="BL225" s="437"/>
      <c r="BM225" s="437"/>
      <c r="BN225" s="437"/>
      <c r="BO225" s="437"/>
      <c r="BP225" s="437"/>
    </row>
    <row r="226" spans="1:68">
      <c r="A226" s="437"/>
      <c r="B226" s="437"/>
      <c r="C226" s="437"/>
      <c r="D226" s="437"/>
      <c r="E226" s="437"/>
      <c r="F226" s="437"/>
      <c r="G226" s="437"/>
      <c r="H226" s="437"/>
      <c r="I226" s="437"/>
      <c r="J226" s="437"/>
      <c r="K226" s="437"/>
      <c r="L226" s="437"/>
      <c r="M226" s="437"/>
      <c r="N226" s="437"/>
      <c r="O226" s="437"/>
      <c r="P226" s="437"/>
      <c r="Q226" s="437"/>
      <c r="R226" s="437"/>
      <c r="S226" s="437"/>
      <c r="T226" s="437"/>
      <c r="U226" s="437"/>
      <c r="V226" s="437"/>
      <c r="W226" s="437"/>
      <c r="X226" s="437"/>
      <c r="Y226" s="437"/>
      <c r="Z226" s="437"/>
      <c r="AA226" s="437"/>
      <c r="AB226" s="437"/>
      <c r="AC226" s="437"/>
      <c r="AD226" s="437"/>
      <c r="AE226" s="437"/>
      <c r="AF226" s="437"/>
      <c r="AG226" s="437"/>
      <c r="AH226" s="437"/>
      <c r="AI226" s="437"/>
      <c r="AJ226" s="437"/>
      <c r="AK226" s="437"/>
      <c r="AL226" s="437"/>
      <c r="AM226" s="437"/>
      <c r="AN226" s="437"/>
      <c r="AO226" s="437"/>
      <c r="AP226" s="437"/>
      <c r="AQ226" s="437"/>
      <c r="AR226" s="437"/>
      <c r="AS226" s="437"/>
      <c r="AT226" s="437"/>
      <c r="AU226" s="437"/>
      <c r="AV226" s="437"/>
      <c r="AW226" s="437"/>
      <c r="AX226" s="436">
        <v>221</v>
      </c>
      <c r="AY226" s="490" t="s">
        <v>2769</v>
      </c>
      <c r="AZ226" s="490" t="s">
        <v>2789</v>
      </c>
      <c r="BA226" s="490" t="s">
        <v>2790</v>
      </c>
      <c r="BB226" s="490" t="s">
        <v>2791</v>
      </c>
      <c r="BC226" s="490" t="s">
        <v>2792</v>
      </c>
      <c r="BD226" s="490" t="s">
        <v>2678</v>
      </c>
      <c r="BE226" s="490" t="s">
        <v>2708</v>
      </c>
      <c r="BF226" s="490" t="s">
        <v>2793</v>
      </c>
      <c r="BG226" s="490" t="s">
        <v>2794</v>
      </c>
      <c r="BH226" s="490" t="s">
        <v>437</v>
      </c>
      <c r="BI226" s="490" t="s">
        <v>2795</v>
      </c>
      <c r="BJ226" s="490" t="s">
        <v>2796</v>
      </c>
      <c r="BK226" s="437"/>
      <c r="BL226" s="437"/>
      <c r="BM226" s="437"/>
      <c r="BN226" s="437"/>
      <c r="BO226" s="437"/>
      <c r="BP226" s="437"/>
    </row>
    <row r="227" spans="1:68">
      <c r="A227" s="437"/>
      <c r="B227" s="437"/>
      <c r="C227" s="437"/>
      <c r="D227" s="437"/>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c r="AA227" s="437"/>
      <c r="AB227" s="437"/>
      <c r="AC227" s="437"/>
      <c r="AD227" s="437"/>
      <c r="AE227" s="437"/>
      <c r="AF227" s="437"/>
      <c r="AG227" s="437"/>
      <c r="AH227" s="437"/>
      <c r="AI227" s="437"/>
      <c r="AJ227" s="437"/>
      <c r="AK227" s="437"/>
      <c r="AL227" s="437"/>
      <c r="AM227" s="437"/>
      <c r="AN227" s="437"/>
      <c r="AO227" s="437"/>
      <c r="AP227" s="437"/>
      <c r="AQ227" s="437"/>
      <c r="AR227" s="437"/>
      <c r="AS227" s="437"/>
      <c r="AT227" s="437"/>
      <c r="AU227" s="437"/>
      <c r="AV227" s="437"/>
      <c r="AW227" s="437"/>
      <c r="AX227" s="436">
        <v>222</v>
      </c>
      <c r="AY227" s="490" t="s">
        <v>2797</v>
      </c>
      <c r="AZ227" s="490" t="s">
        <v>2798</v>
      </c>
      <c r="BA227" s="490" t="s">
        <v>2799</v>
      </c>
      <c r="BB227" s="490" t="s">
        <v>2704</v>
      </c>
      <c r="BC227" s="490" t="s">
        <v>2800</v>
      </c>
      <c r="BD227" s="490" t="s">
        <v>2801</v>
      </c>
      <c r="BE227" s="490" t="s">
        <v>2802</v>
      </c>
      <c r="BF227" s="490" t="s">
        <v>2803</v>
      </c>
      <c r="BG227" s="490" t="s">
        <v>2804</v>
      </c>
      <c r="BH227" s="490" t="s">
        <v>2805</v>
      </c>
      <c r="BI227" s="490" t="s">
        <v>2806</v>
      </c>
      <c r="BJ227" s="490" t="s">
        <v>2807</v>
      </c>
      <c r="BK227" s="437"/>
      <c r="BL227" s="437"/>
      <c r="BM227" s="437"/>
      <c r="BN227" s="437"/>
      <c r="BO227" s="437"/>
      <c r="BP227" s="437"/>
    </row>
    <row r="228" spans="1:68">
      <c r="A228" s="437"/>
      <c r="B228" s="437"/>
      <c r="C228" s="437"/>
      <c r="D228" s="437"/>
      <c r="E228" s="437"/>
      <c r="F228" s="437"/>
      <c r="G228" s="437"/>
      <c r="H228" s="437"/>
      <c r="I228" s="437"/>
      <c r="J228" s="437"/>
      <c r="K228" s="437"/>
      <c r="L228" s="437"/>
      <c r="M228" s="437"/>
      <c r="N228" s="437"/>
      <c r="O228" s="437"/>
      <c r="P228" s="437"/>
      <c r="Q228" s="437"/>
      <c r="R228" s="437"/>
      <c r="S228" s="437"/>
      <c r="T228" s="437"/>
      <c r="U228" s="437"/>
      <c r="V228" s="437"/>
      <c r="W228" s="437"/>
      <c r="X228" s="437"/>
      <c r="Y228" s="437"/>
      <c r="Z228" s="437"/>
      <c r="AA228" s="437"/>
      <c r="AB228" s="437"/>
      <c r="AC228" s="437"/>
      <c r="AD228" s="437"/>
      <c r="AE228" s="437"/>
      <c r="AF228" s="437"/>
      <c r="AG228" s="437"/>
      <c r="AH228" s="437"/>
      <c r="AI228" s="437"/>
      <c r="AJ228" s="437"/>
      <c r="AK228" s="437"/>
      <c r="AL228" s="437"/>
      <c r="AM228" s="437"/>
      <c r="AN228" s="437"/>
      <c r="AO228" s="437"/>
      <c r="AP228" s="437"/>
      <c r="AQ228" s="437"/>
      <c r="AR228" s="437"/>
      <c r="AS228" s="437"/>
      <c r="AT228" s="437"/>
      <c r="AU228" s="437"/>
      <c r="AV228" s="437"/>
      <c r="AW228" s="437"/>
      <c r="AX228" s="436">
        <v>223</v>
      </c>
      <c r="AY228" s="490" t="s">
        <v>2789</v>
      </c>
      <c r="AZ228" s="490" t="s">
        <v>2808</v>
      </c>
      <c r="BA228" s="490" t="s">
        <v>2809</v>
      </c>
      <c r="BB228" s="490" t="s">
        <v>2810</v>
      </c>
      <c r="BC228" s="490" t="s">
        <v>2811</v>
      </c>
      <c r="BD228" s="490" t="s">
        <v>2812</v>
      </c>
      <c r="BE228" s="490" t="s">
        <v>2793</v>
      </c>
      <c r="BF228" s="490" t="s">
        <v>2813</v>
      </c>
      <c r="BG228" s="490" t="s">
        <v>2814</v>
      </c>
      <c r="BH228" s="490" t="s">
        <v>2720</v>
      </c>
      <c r="BI228" s="490" t="s">
        <v>2815</v>
      </c>
      <c r="BJ228" s="490" t="s">
        <v>2816</v>
      </c>
      <c r="BK228" s="437"/>
      <c r="BL228" s="437"/>
      <c r="BM228" s="437"/>
      <c r="BN228" s="437"/>
      <c r="BO228" s="437"/>
      <c r="BP228" s="437"/>
    </row>
    <row r="229" spans="1:68">
      <c r="A229" s="437"/>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437"/>
      <c r="AE229" s="437"/>
      <c r="AF229" s="437"/>
      <c r="AG229" s="437"/>
      <c r="AH229" s="437"/>
      <c r="AI229" s="437"/>
      <c r="AJ229" s="437"/>
      <c r="AK229" s="437"/>
      <c r="AL229" s="437"/>
      <c r="AM229" s="437"/>
      <c r="AN229" s="437"/>
      <c r="AO229" s="437"/>
      <c r="AP229" s="437"/>
      <c r="AQ229" s="437"/>
      <c r="AR229" s="437"/>
      <c r="AS229" s="437"/>
      <c r="AT229" s="437"/>
      <c r="AU229" s="437"/>
      <c r="AV229" s="437"/>
      <c r="AW229" s="437"/>
      <c r="AX229" s="436">
        <v>224</v>
      </c>
      <c r="AY229" s="490" t="s">
        <v>2798</v>
      </c>
      <c r="AZ229" s="490" t="s">
        <v>2817</v>
      </c>
      <c r="BA229" s="490" t="s">
        <v>2818</v>
      </c>
      <c r="BB229" s="490" t="s">
        <v>2819</v>
      </c>
      <c r="BC229" s="490" t="s">
        <v>2820</v>
      </c>
      <c r="BD229" s="490" t="s">
        <v>2821</v>
      </c>
      <c r="BE229" s="490" t="s">
        <v>2803</v>
      </c>
      <c r="BF229" s="490" t="s">
        <v>2822</v>
      </c>
      <c r="BG229" s="490" t="s">
        <v>2823</v>
      </c>
      <c r="BH229" s="490" t="s">
        <v>2824</v>
      </c>
      <c r="BI229" s="490" t="s">
        <v>2825</v>
      </c>
      <c r="BJ229" s="490" t="s">
        <v>2826</v>
      </c>
      <c r="BK229" s="437"/>
      <c r="BL229" s="437"/>
      <c r="BM229" s="437"/>
      <c r="BN229" s="437"/>
      <c r="BO229" s="437"/>
      <c r="BP229" s="437"/>
    </row>
    <row r="230" spans="1:68">
      <c r="A230" s="437"/>
      <c r="B230" s="437"/>
      <c r="C230" s="437"/>
      <c r="D230" s="437"/>
      <c r="E230" s="437"/>
      <c r="F230" s="437"/>
      <c r="G230" s="437"/>
      <c r="H230" s="437"/>
      <c r="I230" s="437"/>
      <c r="J230" s="437"/>
      <c r="K230" s="437"/>
      <c r="L230" s="437"/>
      <c r="M230" s="437"/>
      <c r="N230" s="437"/>
      <c r="O230" s="437"/>
      <c r="P230" s="437"/>
      <c r="Q230" s="437"/>
      <c r="R230" s="437"/>
      <c r="S230" s="437"/>
      <c r="T230" s="437"/>
      <c r="U230" s="437"/>
      <c r="V230" s="437"/>
      <c r="W230" s="437"/>
      <c r="X230" s="437"/>
      <c r="Y230" s="437"/>
      <c r="Z230" s="437"/>
      <c r="AA230" s="437"/>
      <c r="AB230" s="437"/>
      <c r="AC230" s="437"/>
      <c r="AD230" s="437"/>
      <c r="AE230" s="437"/>
      <c r="AF230" s="437"/>
      <c r="AG230" s="437"/>
      <c r="AH230" s="437"/>
      <c r="AI230" s="437"/>
      <c r="AJ230" s="437"/>
      <c r="AK230" s="437"/>
      <c r="AL230" s="437"/>
      <c r="AM230" s="437"/>
      <c r="AN230" s="437"/>
      <c r="AO230" s="437"/>
      <c r="AP230" s="437"/>
      <c r="AQ230" s="437"/>
      <c r="AR230" s="437"/>
      <c r="AS230" s="437"/>
      <c r="AT230" s="437"/>
      <c r="AU230" s="437"/>
      <c r="AV230" s="437"/>
      <c r="AW230" s="437"/>
      <c r="AX230" s="436">
        <v>225</v>
      </c>
      <c r="AY230" s="490" t="s">
        <v>2827</v>
      </c>
      <c r="AZ230" s="490" t="s">
        <v>2828</v>
      </c>
      <c r="BA230" s="490" t="s">
        <v>2829</v>
      </c>
      <c r="BB230" s="490" t="s">
        <v>2830</v>
      </c>
      <c r="BC230" s="490" t="s">
        <v>2831</v>
      </c>
      <c r="BD230" s="490" t="s">
        <v>2832</v>
      </c>
      <c r="BE230" s="490" t="s">
        <v>2833</v>
      </c>
      <c r="BF230" s="490" t="s">
        <v>2834</v>
      </c>
      <c r="BG230" s="490" t="s">
        <v>2835</v>
      </c>
      <c r="BH230" s="490" t="s">
        <v>2742</v>
      </c>
      <c r="BI230" s="490" t="s">
        <v>2836</v>
      </c>
      <c r="BJ230" s="490" t="s">
        <v>2837</v>
      </c>
      <c r="BK230" s="437"/>
      <c r="BL230" s="437"/>
      <c r="BM230" s="437"/>
      <c r="BN230" s="437"/>
      <c r="BO230" s="437"/>
      <c r="BP230" s="437"/>
    </row>
    <row r="231" spans="1:68">
      <c r="A231" s="437"/>
      <c r="B231" s="437"/>
      <c r="C231" s="437"/>
      <c r="D231" s="437"/>
      <c r="E231" s="437"/>
      <c r="F231" s="437"/>
      <c r="G231" s="437"/>
      <c r="H231" s="437"/>
      <c r="I231" s="437"/>
      <c r="J231" s="437"/>
      <c r="K231" s="437"/>
      <c r="L231" s="437"/>
      <c r="M231" s="437"/>
      <c r="N231" s="437"/>
      <c r="O231" s="437"/>
      <c r="P231" s="437"/>
      <c r="Q231" s="437"/>
      <c r="R231" s="437"/>
      <c r="S231" s="437"/>
      <c r="T231" s="437"/>
      <c r="U231" s="437"/>
      <c r="V231" s="437"/>
      <c r="W231" s="437"/>
      <c r="X231" s="437"/>
      <c r="Y231" s="437"/>
      <c r="Z231" s="437"/>
      <c r="AA231" s="437"/>
      <c r="AB231" s="437"/>
      <c r="AC231" s="437"/>
      <c r="AD231" s="437"/>
      <c r="AE231" s="437"/>
      <c r="AF231" s="437"/>
      <c r="AG231" s="437"/>
      <c r="AH231" s="437"/>
      <c r="AI231" s="437"/>
      <c r="AJ231" s="437"/>
      <c r="AK231" s="437"/>
      <c r="AL231" s="437"/>
      <c r="AM231" s="437"/>
      <c r="AN231" s="437"/>
      <c r="AO231" s="437"/>
      <c r="AP231" s="437"/>
      <c r="AQ231" s="437"/>
      <c r="AR231" s="437"/>
      <c r="AS231" s="437"/>
      <c r="AT231" s="437"/>
      <c r="AU231" s="437"/>
      <c r="AV231" s="437"/>
      <c r="AW231" s="437"/>
      <c r="AX231" s="436">
        <v>226</v>
      </c>
      <c r="AY231" s="490" t="s">
        <v>2817</v>
      </c>
      <c r="AZ231" s="490" t="s">
        <v>2838</v>
      </c>
      <c r="BA231" s="490" t="s">
        <v>2839</v>
      </c>
      <c r="BB231" s="490" t="s">
        <v>2840</v>
      </c>
      <c r="BC231" s="490" t="s">
        <v>2841</v>
      </c>
      <c r="BD231" s="490" t="s">
        <v>2842</v>
      </c>
      <c r="BE231" s="490" t="s">
        <v>2843</v>
      </c>
      <c r="BF231" s="490" t="s">
        <v>2844</v>
      </c>
      <c r="BG231" s="490" t="s">
        <v>2834</v>
      </c>
      <c r="BH231" s="490" t="s">
        <v>2845</v>
      </c>
      <c r="BI231" s="490" t="s">
        <v>2846</v>
      </c>
      <c r="BJ231" s="490" t="s">
        <v>2847</v>
      </c>
      <c r="BK231" s="437"/>
      <c r="BL231" s="437"/>
      <c r="BM231" s="437"/>
      <c r="BN231" s="437"/>
      <c r="BO231" s="437"/>
      <c r="BP231" s="437"/>
    </row>
    <row r="232" spans="1:68">
      <c r="A232" s="437"/>
      <c r="B232" s="437"/>
      <c r="C232" s="437"/>
      <c r="D232" s="437"/>
      <c r="E232" s="437"/>
      <c r="F232" s="437"/>
      <c r="G232" s="437"/>
      <c r="H232" s="437"/>
      <c r="I232" s="437"/>
      <c r="J232" s="437"/>
      <c r="K232" s="437"/>
      <c r="L232" s="437"/>
      <c r="M232" s="437"/>
      <c r="N232" s="437"/>
      <c r="O232" s="437"/>
      <c r="P232" s="437"/>
      <c r="Q232" s="437"/>
      <c r="R232" s="437"/>
      <c r="S232" s="437"/>
      <c r="T232" s="437"/>
      <c r="U232" s="437"/>
      <c r="V232" s="437"/>
      <c r="W232" s="437"/>
      <c r="X232" s="437"/>
      <c r="Y232" s="437"/>
      <c r="Z232" s="437"/>
      <c r="AA232" s="437"/>
      <c r="AB232" s="437"/>
      <c r="AC232" s="437"/>
      <c r="AD232" s="437"/>
      <c r="AE232" s="437"/>
      <c r="AF232" s="437"/>
      <c r="AG232" s="437"/>
      <c r="AH232" s="437"/>
      <c r="AI232" s="437"/>
      <c r="AJ232" s="437"/>
      <c r="AK232" s="437"/>
      <c r="AL232" s="437"/>
      <c r="AM232" s="437"/>
      <c r="AN232" s="437"/>
      <c r="AO232" s="437"/>
      <c r="AP232" s="437"/>
      <c r="AQ232" s="437"/>
      <c r="AR232" s="437"/>
      <c r="AS232" s="437"/>
      <c r="AT232" s="437"/>
      <c r="AU232" s="437"/>
      <c r="AV232" s="437"/>
      <c r="AW232" s="437"/>
      <c r="AX232" s="436">
        <v>227</v>
      </c>
      <c r="AY232" s="490" t="s">
        <v>2828</v>
      </c>
      <c r="AZ232" s="490" t="s">
        <v>2848</v>
      </c>
      <c r="BA232" s="490" t="s">
        <v>2849</v>
      </c>
      <c r="BB232" s="490" t="s">
        <v>2850</v>
      </c>
      <c r="BC232" s="490" t="s">
        <v>2851</v>
      </c>
      <c r="BD232" s="490" t="s">
        <v>2852</v>
      </c>
      <c r="BE232" s="490" t="s">
        <v>2853</v>
      </c>
      <c r="BF232" s="490" t="s">
        <v>2854</v>
      </c>
      <c r="BG232" s="490" t="s">
        <v>2844</v>
      </c>
      <c r="BH232" s="490" t="s">
        <v>438</v>
      </c>
      <c r="BI232" s="490" t="s">
        <v>2855</v>
      </c>
      <c r="BJ232" s="490" t="s">
        <v>2856</v>
      </c>
      <c r="BK232" s="437"/>
      <c r="BL232" s="437"/>
      <c r="BM232" s="437"/>
      <c r="BN232" s="437"/>
      <c r="BO232" s="437"/>
      <c r="BP232" s="437"/>
    </row>
    <row r="233" spans="1:68">
      <c r="A233" s="437"/>
      <c r="B233" s="437"/>
      <c r="C233" s="437"/>
      <c r="D233" s="437"/>
      <c r="E233" s="437"/>
      <c r="F233" s="437"/>
      <c r="G233" s="437"/>
      <c r="H233" s="437"/>
      <c r="I233" s="437"/>
      <c r="J233" s="437"/>
      <c r="K233" s="437"/>
      <c r="L233" s="437"/>
      <c r="M233" s="437"/>
      <c r="N233" s="437"/>
      <c r="O233" s="437"/>
      <c r="P233" s="437"/>
      <c r="Q233" s="437"/>
      <c r="R233" s="437"/>
      <c r="S233" s="437"/>
      <c r="T233" s="437"/>
      <c r="U233" s="437"/>
      <c r="V233" s="437"/>
      <c r="W233" s="437"/>
      <c r="X233" s="437"/>
      <c r="Y233" s="437"/>
      <c r="Z233" s="437"/>
      <c r="AA233" s="437"/>
      <c r="AB233" s="437"/>
      <c r="AC233" s="437"/>
      <c r="AD233" s="437"/>
      <c r="AE233" s="437"/>
      <c r="AF233" s="437"/>
      <c r="AG233" s="437"/>
      <c r="AH233" s="437"/>
      <c r="AI233" s="437"/>
      <c r="AJ233" s="437"/>
      <c r="AK233" s="437"/>
      <c r="AL233" s="437"/>
      <c r="AM233" s="437"/>
      <c r="AN233" s="437"/>
      <c r="AO233" s="437"/>
      <c r="AP233" s="437"/>
      <c r="AQ233" s="437"/>
      <c r="AR233" s="437"/>
      <c r="AS233" s="437"/>
      <c r="AT233" s="437"/>
      <c r="AU233" s="437"/>
      <c r="AV233" s="437"/>
      <c r="AW233" s="437"/>
      <c r="AX233" s="436">
        <v>228</v>
      </c>
      <c r="AY233" s="490" t="s">
        <v>2857</v>
      </c>
      <c r="AZ233" s="490" t="s">
        <v>439</v>
      </c>
      <c r="BA233" s="490" t="s">
        <v>2858</v>
      </c>
      <c r="BB233" s="490" t="s">
        <v>2859</v>
      </c>
      <c r="BC233" s="490" t="s">
        <v>2860</v>
      </c>
      <c r="BD233" s="490" t="s">
        <v>2861</v>
      </c>
      <c r="BE233" s="490" t="s">
        <v>2844</v>
      </c>
      <c r="BF233" s="490" t="s">
        <v>2862</v>
      </c>
      <c r="BG233" s="490" t="s">
        <v>2863</v>
      </c>
      <c r="BH233" s="490" t="s">
        <v>2864</v>
      </c>
      <c r="BI233" s="490" t="s">
        <v>2865</v>
      </c>
      <c r="BJ233" s="490" t="s">
        <v>2755</v>
      </c>
      <c r="BK233" s="437"/>
      <c r="BL233" s="437"/>
      <c r="BM233" s="437"/>
      <c r="BN233" s="437"/>
      <c r="BO233" s="437"/>
      <c r="BP233" s="437"/>
    </row>
    <row r="234" spans="1:68">
      <c r="A234" s="437"/>
      <c r="B234" s="437"/>
      <c r="C234" s="437"/>
      <c r="D234" s="437"/>
      <c r="E234" s="437"/>
      <c r="F234" s="437"/>
      <c r="G234" s="437"/>
      <c r="H234" s="437"/>
      <c r="I234" s="437"/>
      <c r="J234" s="437"/>
      <c r="K234" s="437"/>
      <c r="L234" s="437"/>
      <c r="M234" s="437"/>
      <c r="N234" s="437"/>
      <c r="O234" s="437"/>
      <c r="P234" s="437"/>
      <c r="Q234" s="437"/>
      <c r="R234" s="437"/>
      <c r="S234" s="437"/>
      <c r="T234" s="437"/>
      <c r="U234" s="437"/>
      <c r="V234" s="437"/>
      <c r="W234" s="437"/>
      <c r="X234" s="437"/>
      <c r="Y234" s="437"/>
      <c r="Z234" s="437"/>
      <c r="AA234" s="437"/>
      <c r="AB234" s="437"/>
      <c r="AC234" s="437"/>
      <c r="AD234" s="437"/>
      <c r="AE234" s="437"/>
      <c r="AF234" s="437"/>
      <c r="AG234" s="437"/>
      <c r="AH234" s="437"/>
      <c r="AI234" s="437"/>
      <c r="AJ234" s="437"/>
      <c r="AK234" s="437"/>
      <c r="AL234" s="437"/>
      <c r="AM234" s="437"/>
      <c r="AN234" s="437"/>
      <c r="AO234" s="437"/>
      <c r="AP234" s="437"/>
      <c r="AQ234" s="437"/>
      <c r="AR234" s="437"/>
      <c r="AS234" s="437"/>
      <c r="AT234" s="437"/>
      <c r="AU234" s="437"/>
      <c r="AV234" s="437"/>
      <c r="AW234" s="437"/>
      <c r="AX234" s="436">
        <v>229</v>
      </c>
      <c r="AY234" s="490" t="s">
        <v>2866</v>
      </c>
      <c r="AZ234" s="490" t="s">
        <v>2867</v>
      </c>
      <c r="BA234" s="490" t="s">
        <v>2868</v>
      </c>
      <c r="BB234" s="490" t="s">
        <v>2869</v>
      </c>
      <c r="BC234" s="490" t="s">
        <v>2870</v>
      </c>
      <c r="BD234" s="490" t="s">
        <v>2761</v>
      </c>
      <c r="BE234" s="490" t="s">
        <v>2854</v>
      </c>
      <c r="BF234" s="490" t="s">
        <v>2871</v>
      </c>
      <c r="BG234" s="490" t="s">
        <v>2862</v>
      </c>
      <c r="BH234" s="490" t="s">
        <v>437</v>
      </c>
      <c r="BI234" s="490" t="s">
        <v>2872</v>
      </c>
      <c r="BJ234" s="490" t="s">
        <v>2766</v>
      </c>
      <c r="BK234" s="437"/>
      <c r="BL234" s="437"/>
      <c r="BM234" s="437"/>
      <c r="BN234" s="437"/>
      <c r="BO234" s="437"/>
      <c r="BP234" s="437"/>
    </row>
    <row r="235" spans="1:68">
      <c r="A235" s="437"/>
      <c r="B235" s="437"/>
      <c r="C235" s="437"/>
      <c r="D235" s="437"/>
      <c r="E235" s="437"/>
      <c r="F235" s="437"/>
      <c r="G235" s="437"/>
      <c r="H235" s="437"/>
      <c r="I235" s="437"/>
      <c r="J235" s="437"/>
      <c r="K235" s="437"/>
      <c r="L235" s="437"/>
      <c r="M235" s="437"/>
      <c r="N235" s="437"/>
      <c r="O235" s="437"/>
      <c r="P235" s="437"/>
      <c r="Q235" s="437"/>
      <c r="R235" s="437"/>
      <c r="S235" s="437"/>
      <c r="T235" s="437"/>
      <c r="U235" s="437"/>
      <c r="V235" s="437"/>
      <c r="W235" s="437"/>
      <c r="X235" s="437"/>
      <c r="Y235" s="437"/>
      <c r="Z235" s="437"/>
      <c r="AA235" s="437"/>
      <c r="AB235" s="437"/>
      <c r="AC235" s="437"/>
      <c r="AD235" s="437"/>
      <c r="AE235" s="437"/>
      <c r="AF235" s="437"/>
      <c r="AG235" s="437"/>
      <c r="AH235" s="437"/>
      <c r="AI235" s="437"/>
      <c r="AJ235" s="437"/>
      <c r="AK235" s="437"/>
      <c r="AL235" s="437"/>
      <c r="AM235" s="437"/>
      <c r="AN235" s="437"/>
      <c r="AO235" s="437"/>
      <c r="AP235" s="437"/>
      <c r="AQ235" s="437"/>
      <c r="AR235" s="437"/>
      <c r="AS235" s="437"/>
      <c r="AT235" s="437"/>
      <c r="AU235" s="437"/>
      <c r="AV235" s="437"/>
      <c r="AW235" s="437"/>
      <c r="AX235" s="436">
        <v>230</v>
      </c>
      <c r="AY235" s="490" t="s">
        <v>440</v>
      </c>
      <c r="AZ235" s="490" t="s">
        <v>2873</v>
      </c>
      <c r="BA235" s="490" t="s">
        <v>2874</v>
      </c>
      <c r="BB235" s="490" t="s">
        <v>2875</v>
      </c>
      <c r="BC235" s="490" t="s">
        <v>2876</v>
      </c>
      <c r="BD235" s="490" t="s">
        <v>2877</v>
      </c>
      <c r="BE235" s="490" t="s">
        <v>2878</v>
      </c>
      <c r="BF235" s="490" t="s">
        <v>2879</v>
      </c>
      <c r="BG235" s="490" t="s">
        <v>2880</v>
      </c>
      <c r="BH235" s="490" t="s">
        <v>2881</v>
      </c>
      <c r="BI235" s="490" t="s">
        <v>2882</v>
      </c>
      <c r="BJ235" s="490" t="s">
        <v>2883</v>
      </c>
      <c r="BK235" s="437"/>
      <c r="BL235" s="437"/>
      <c r="BM235" s="437"/>
      <c r="BN235" s="437"/>
      <c r="BO235" s="437"/>
      <c r="BP235" s="437"/>
    </row>
    <row r="236" spans="1:68">
      <c r="A236" s="437"/>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c r="AA236" s="437"/>
      <c r="AB236" s="437"/>
      <c r="AC236" s="437"/>
      <c r="AD236" s="437"/>
      <c r="AE236" s="437"/>
      <c r="AF236" s="437"/>
      <c r="AG236" s="437"/>
      <c r="AH236" s="437"/>
      <c r="AI236" s="437"/>
      <c r="AJ236" s="437"/>
      <c r="AK236" s="437"/>
      <c r="AL236" s="437"/>
      <c r="AM236" s="437"/>
      <c r="AN236" s="437"/>
      <c r="AO236" s="437"/>
      <c r="AP236" s="437"/>
      <c r="AQ236" s="437"/>
      <c r="AR236" s="437"/>
      <c r="AS236" s="437"/>
      <c r="AT236" s="437"/>
      <c r="AU236" s="437"/>
      <c r="AV236" s="437"/>
      <c r="AW236" s="437"/>
      <c r="AX236" s="436">
        <v>231</v>
      </c>
      <c r="AY236" s="490" t="s">
        <v>2867</v>
      </c>
      <c r="AZ236" s="490" t="s">
        <v>2884</v>
      </c>
      <c r="BA236" s="490" t="s">
        <v>2885</v>
      </c>
      <c r="BB236" s="490" t="s">
        <v>2886</v>
      </c>
      <c r="BC236" s="490" t="s">
        <v>2887</v>
      </c>
      <c r="BD236" s="490" t="s">
        <v>2888</v>
      </c>
      <c r="BE236" s="490" t="s">
        <v>2871</v>
      </c>
      <c r="BF236" s="490" t="s">
        <v>2889</v>
      </c>
      <c r="BG236" s="490" t="s">
        <v>2890</v>
      </c>
      <c r="BH236" s="490" t="s">
        <v>2804</v>
      </c>
      <c r="BI236" s="490" t="s">
        <v>2891</v>
      </c>
      <c r="BJ236" s="490" t="s">
        <v>2892</v>
      </c>
      <c r="BK236" s="437"/>
      <c r="BL236" s="437"/>
      <c r="BM236" s="437"/>
      <c r="BN236" s="437"/>
      <c r="BO236" s="437"/>
      <c r="BP236" s="437"/>
    </row>
    <row r="237" spans="1:68">
      <c r="A237" s="437"/>
      <c r="B237" s="437"/>
      <c r="C237" s="437"/>
      <c r="D237" s="437"/>
      <c r="E237" s="437"/>
      <c r="F237" s="437"/>
      <c r="G237" s="437"/>
      <c r="H237" s="437"/>
      <c r="I237" s="437"/>
      <c r="J237" s="437"/>
      <c r="K237" s="437"/>
      <c r="L237" s="437"/>
      <c r="M237" s="437"/>
      <c r="N237" s="437"/>
      <c r="O237" s="437"/>
      <c r="P237" s="437"/>
      <c r="Q237" s="437"/>
      <c r="R237" s="437"/>
      <c r="S237" s="437"/>
      <c r="T237" s="437"/>
      <c r="U237" s="437"/>
      <c r="V237" s="437"/>
      <c r="W237" s="437"/>
      <c r="X237" s="437"/>
      <c r="Y237" s="437"/>
      <c r="Z237" s="437"/>
      <c r="AA237" s="437"/>
      <c r="AB237" s="437"/>
      <c r="AC237" s="437"/>
      <c r="AD237" s="437"/>
      <c r="AE237" s="437"/>
      <c r="AF237" s="437"/>
      <c r="AG237" s="437"/>
      <c r="AH237" s="437"/>
      <c r="AI237" s="437"/>
      <c r="AJ237" s="437"/>
      <c r="AK237" s="437"/>
      <c r="AL237" s="437"/>
      <c r="AM237" s="437"/>
      <c r="AN237" s="437"/>
      <c r="AO237" s="437"/>
      <c r="AP237" s="437"/>
      <c r="AQ237" s="437"/>
      <c r="AR237" s="437"/>
      <c r="AS237" s="437"/>
      <c r="AT237" s="437"/>
      <c r="AU237" s="437"/>
      <c r="AV237" s="437"/>
      <c r="AW237" s="437"/>
      <c r="AX237" s="436">
        <v>232</v>
      </c>
      <c r="AY237" s="490" t="s">
        <v>2893</v>
      </c>
      <c r="AZ237" s="490" t="s">
        <v>2894</v>
      </c>
      <c r="BA237" s="490" t="s">
        <v>2895</v>
      </c>
      <c r="BB237" s="490" t="s">
        <v>2896</v>
      </c>
      <c r="BC237" s="490" t="s">
        <v>2897</v>
      </c>
      <c r="BD237" s="490" t="s">
        <v>2898</v>
      </c>
      <c r="BE237" s="490" t="s">
        <v>2899</v>
      </c>
      <c r="BF237" s="490" t="s">
        <v>2900</v>
      </c>
      <c r="BG237" s="490" t="s">
        <v>2901</v>
      </c>
      <c r="BH237" s="490" t="s">
        <v>2902</v>
      </c>
      <c r="BI237" s="490" t="s">
        <v>2903</v>
      </c>
      <c r="BJ237" s="490" t="s">
        <v>2904</v>
      </c>
      <c r="BK237" s="437"/>
      <c r="BL237" s="437"/>
      <c r="BM237" s="437"/>
      <c r="BN237" s="437"/>
      <c r="BO237" s="437"/>
      <c r="BP237" s="437"/>
    </row>
    <row r="238" spans="1:68">
      <c r="A238" s="437"/>
      <c r="B238" s="437"/>
      <c r="C238" s="437"/>
      <c r="D238" s="437"/>
      <c r="E238" s="437"/>
      <c r="F238" s="437"/>
      <c r="G238" s="437"/>
      <c r="H238" s="437"/>
      <c r="I238" s="437"/>
      <c r="J238" s="437"/>
      <c r="K238" s="437"/>
      <c r="L238" s="437"/>
      <c r="M238" s="437"/>
      <c r="N238" s="437"/>
      <c r="O238" s="437"/>
      <c r="P238" s="437"/>
      <c r="Q238" s="437"/>
      <c r="R238" s="437"/>
      <c r="S238" s="437"/>
      <c r="T238" s="437"/>
      <c r="U238" s="437"/>
      <c r="V238" s="437"/>
      <c r="W238" s="437"/>
      <c r="X238" s="437"/>
      <c r="Y238" s="437"/>
      <c r="Z238" s="437"/>
      <c r="AA238" s="437"/>
      <c r="AB238" s="437"/>
      <c r="AC238" s="437"/>
      <c r="AD238" s="437"/>
      <c r="AE238" s="437"/>
      <c r="AF238" s="437"/>
      <c r="AG238" s="437"/>
      <c r="AH238" s="437"/>
      <c r="AI238" s="437"/>
      <c r="AJ238" s="437"/>
      <c r="AK238" s="437"/>
      <c r="AL238" s="437"/>
      <c r="AM238" s="437"/>
      <c r="AN238" s="437"/>
      <c r="AO238" s="437"/>
      <c r="AP238" s="437"/>
      <c r="AQ238" s="437"/>
      <c r="AR238" s="437"/>
      <c r="AS238" s="437"/>
      <c r="AT238" s="437"/>
      <c r="AU238" s="437"/>
      <c r="AV238" s="437"/>
      <c r="AW238" s="437"/>
      <c r="AX238" s="436">
        <v>233</v>
      </c>
      <c r="AY238" s="490" t="s">
        <v>2905</v>
      </c>
      <c r="AZ238" s="490" t="s">
        <v>2906</v>
      </c>
      <c r="BA238" s="490" t="s">
        <v>2907</v>
      </c>
      <c r="BB238" s="490" t="s">
        <v>2908</v>
      </c>
      <c r="BC238" s="490" t="s">
        <v>2909</v>
      </c>
      <c r="BD238" s="490" t="s">
        <v>2910</v>
      </c>
      <c r="BE238" s="490" t="s">
        <v>2911</v>
      </c>
      <c r="BF238" s="490" t="s">
        <v>2912</v>
      </c>
      <c r="BG238" s="490" t="s">
        <v>2913</v>
      </c>
      <c r="BH238" s="490" t="s">
        <v>2914</v>
      </c>
      <c r="BI238" s="490" t="s">
        <v>2915</v>
      </c>
      <c r="BJ238" s="490" t="s">
        <v>2916</v>
      </c>
      <c r="BK238" s="437"/>
      <c r="BL238" s="437"/>
      <c r="BM238" s="437"/>
      <c r="BN238" s="437"/>
      <c r="BO238" s="437"/>
      <c r="BP238" s="437"/>
    </row>
    <row r="239" spans="1:68">
      <c r="A239" s="437"/>
      <c r="B239" s="437"/>
      <c r="C239" s="437"/>
      <c r="D239" s="437"/>
      <c r="E239" s="437"/>
      <c r="F239" s="437"/>
      <c r="G239" s="437"/>
      <c r="H239" s="437"/>
      <c r="I239" s="437"/>
      <c r="J239" s="437"/>
      <c r="K239" s="437"/>
      <c r="L239" s="437"/>
      <c r="M239" s="437"/>
      <c r="N239" s="437"/>
      <c r="O239" s="437"/>
      <c r="P239" s="437"/>
      <c r="Q239" s="437"/>
      <c r="R239" s="437"/>
      <c r="S239" s="437"/>
      <c r="T239" s="437"/>
      <c r="U239" s="437"/>
      <c r="V239" s="437"/>
      <c r="W239" s="437"/>
      <c r="X239" s="437"/>
      <c r="Y239" s="437"/>
      <c r="Z239" s="437"/>
      <c r="AA239" s="437"/>
      <c r="AB239" s="437"/>
      <c r="AC239" s="437"/>
      <c r="AD239" s="437"/>
      <c r="AE239" s="437"/>
      <c r="AF239" s="437"/>
      <c r="AG239" s="437"/>
      <c r="AH239" s="437"/>
      <c r="AI239" s="437"/>
      <c r="AJ239" s="437"/>
      <c r="AK239" s="437"/>
      <c r="AL239" s="437"/>
      <c r="AM239" s="437"/>
      <c r="AN239" s="437"/>
      <c r="AO239" s="437"/>
      <c r="AP239" s="437"/>
      <c r="AQ239" s="437"/>
      <c r="AR239" s="437"/>
      <c r="AS239" s="437"/>
      <c r="AT239" s="437"/>
      <c r="AU239" s="437"/>
      <c r="AV239" s="437"/>
      <c r="AW239" s="437"/>
      <c r="AX239" s="436">
        <v>234</v>
      </c>
      <c r="AY239" s="490" t="s">
        <v>2917</v>
      </c>
      <c r="AZ239" s="490" t="s">
        <v>2918</v>
      </c>
      <c r="BA239" s="490" t="s">
        <v>2919</v>
      </c>
      <c r="BB239" s="490" t="s">
        <v>2920</v>
      </c>
      <c r="BC239" s="490" t="s">
        <v>2921</v>
      </c>
      <c r="BD239" s="490" t="s">
        <v>2922</v>
      </c>
      <c r="BE239" s="490" t="s">
        <v>2900</v>
      </c>
      <c r="BF239" s="490" t="s">
        <v>2923</v>
      </c>
      <c r="BG239" s="490" t="s">
        <v>2912</v>
      </c>
      <c r="BH239" s="490" t="s">
        <v>2924</v>
      </c>
      <c r="BI239" s="490" t="s">
        <v>2925</v>
      </c>
      <c r="BJ239" s="490" t="s">
        <v>2926</v>
      </c>
      <c r="BK239" s="437"/>
      <c r="BL239" s="437"/>
      <c r="BM239" s="437"/>
      <c r="BN239" s="437"/>
      <c r="BO239" s="437"/>
      <c r="BP239" s="437"/>
    </row>
    <row r="240" spans="1:68">
      <c r="A240" s="437"/>
      <c r="B240" s="437"/>
      <c r="C240" s="437"/>
      <c r="D240" s="437"/>
      <c r="E240" s="437"/>
      <c r="F240" s="437"/>
      <c r="G240" s="437"/>
      <c r="H240" s="437"/>
      <c r="I240" s="437"/>
      <c r="J240" s="437"/>
      <c r="K240" s="437"/>
      <c r="L240" s="437"/>
      <c r="M240" s="437"/>
      <c r="N240" s="437"/>
      <c r="O240" s="437"/>
      <c r="P240" s="437"/>
      <c r="Q240" s="437"/>
      <c r="R240" s="437"/>
      <c r="S240" s="437"/>
      <c r="T240" s="437"/>
      <c r="U240" s="437"/>
      <c r="V240" s="437"/>
      <c r="W240" s="437"/>
      <c r="X240" s="437"/>
      <c r="Y240" s="437"/>
      <c r="Z240" s="437"/>
      <c r="AA240" s="437"/>
      <c r="AB240" s="437"/>
      <c r="AC240" s="437"/>
      <c r="AD240" s="437"/>
      <c r="AE240" s="437"/>
      <c r="AF240" s="437"/>
      <c r="AG240" s="437"/>
      <c r="AH240" s="437"/>
      <c r="AI240" s="437"/>
      <c r="AJ240" s="437"/>
      <c r="AK240" s="437"/>
      <c r="AL240" s="437"/>
      <c r="AM240" s="437"/>
      <c r="AN240" s="437"/>
      <c r="AO240" s="437"/>
      <c r="AP240" s="437"/>
      <c r="AQ240" s="437"/>
      <c r="AR240" s="437"/>
      <c r="AS240" s="437"/>
      <c r="AT240" s="437"/>
      <c r="AU240" s="437"/>
      <c r="AV240" s="437"/>
      <c r="AW240" s="437"/>
      <c r="AX240" s="436">
        <v>235</v>
      </c>
      <c r="AY240" s="490" t="s">
        <v>2927</v>
      </c>
      <c r="AZ240" s="490" t="s">
        <v>2928</v>
      </c>
      <c r="BA240" s="490" t="s">
        <v>2929</v>
      </c>
      <c r="BB240" s="490" t="s">
        <v>2930</v>
      </c>
      <c r="BC240" s="490" t="s">
        <v>2931</v>
      </c>
      <c r="BD240" s="490" t="s">
        <v>2932</v>
      </c>
      <c r="BE240" s="490" t="s">
        <v>2933</v>
      </c>
      <c r="BF240" s="490" t="s">
        <v>2934</v>
      </c>
      <c r="BG240" s="490" t="s">
        <v>2935</v>
      </c>
      <c r="BH240" s="490" t="s">
        <v>2936</v>
      </c>
      <c r="BI240" s="490" t="s">
        <v>2937</v>
      </c>
      <c r="BJ240" s="490" t="s">
        <v>2938</v>
      </c>
      <c r="BK240" s="437"/>
      <c r="BL240" s="437"/>
      <c r="BM240" s="437"/>
      <c r="BN240" s="437"/>
      <c r="BO240" s="437"/>
      <c r="BP240" s="437"/>
    </row>
    <row r="241" spans="1:68">
      <c r="A241" s="437"/>
      <c r="B241" s="437"/>
      <c r="C241" s="437"/>
      <c r="D241" s="437"/>
      <c r="E241" s="437"/>
      <c r="F241" s="437"/>
      <c r="G241" s="437"/>
      <c r="H241" s="437"/>
      <c r="I241" s="437"/>
      <c r="J241" s="437"/>
      <c r="K241" s="437"/>
      <c r="L241" s="437"/>
      <c r="M241" s="437"/>
      <c r="N241" s="437"/>
      <c r="O241" s="437"/>
      <c r="P241" s="437"/>
      <c r="Q241" s="437"/>
      <c r="R241" s="437"/>
      <c r="S241" s="437"/>
      <c r="T241" s="437"/>
      <c r="U241" s="437"/>
      <c r="V241" s="437"/>
      <c r="W241" s="437"/>
      <c r="X241" s="437"/>
      <c r="Y241" s="437"/>
      <c r="Z241" s="437"/>
      <c r="AA241" s="437"/>
      <c r="AB241" s="437"/>
      <c r="AC241" s="437"/>
      <c r="AD241" s="437"/>
      <c r="AE241" s="437"/>
      <c r="AF241" s="437"/>
      <c r="AG241" s="437"/>
      <c r="AH241" s="437"/>
      <c r="AI241" s="437"/>
      <c r="AJ241" s="437"/>
      <c r="AK241" s="437"/>
      <c r="AL241" s="437"/>
      <c r="AM241" s="437"/>
      <c r="AN241" s="437"/>
      <c r="AO241" s="437"/>
      <c r="AP241" s="437"/>
      <c r="AQ241" s="437"/>
      <c r="AR241" s="437"/>
      <c r="AS241" s="437"/>
      <c r="AT241" s="437"/>
      <c r="AU241" s="437"/>
      <c r="AV241" s="437"/>
      <c r="AW241" s="437"/>
      <c r="AX241" s="436">
        <v>236</v>
      </c>
      <c r="AY241" s="490" t="s">
        <v>2939</v>
      </c>
      <c r="AZ241" s="490" t="s">
        <v>2940</v>
      </c>
      <c r="BA241" s="490" t="s">
        <v>2941</v>
      </c>
      <c r="BB241" s="490" t="s">
        <v>2350</v>
      </c>
      <c r="BC241" s="490" t="s">
        <v>2942</v>
      </c>
      <c r="BD241" s="490" t="s">
        <v>441</v>
      </c>
      <c r="BE241" s="490" t="s">
        <v>2943</v>
      </c>
      <c r="BF241" s="490" t="s">
        <v>2944</v>
      </c>
      <c r="BG241" s="490" t="s">
        <v>2945</v>
      </c>
      <c r="BH241" s="490" t="s">
        <v>2946</v>
      </c>
      <c r="BI241" s="490" t="s">
        <v>2947</v>
      </c>
      <c r="BJ241" s="490" t="s">
        <v>2948</v>
      </c>
      <c r="BK241" s="437"/>
      <c r="BL241" s="437"/>
      <c r="BM241" s="437"/>
      <c r="BN241" s="437"/>
      <c r="BO241" s="437"/>
      <c r="BP241" s="437"/>
    </row>
    <row r="242" spans="1:68">
      <c r="A242" s="437"/>
      <c r="B242" s="437"/>
      <c r="C242" s="437"/>
      <c r="D242" s="437"/>
      <c r="E242" s="437"/>
      <c r="F242" s="437"/>
      <c r="G242" s="437"/>
      <c r="H242" s="437"/>
      <c r="I242" s="437"/>
      <c r="J242" s="437"/>
      <c r="K242" s="437"/>
      <c r="L242" s="437"/>
      <c r="M242" s="437"/>
      <c r="N242" s="437"/>
      <c r="O242" s="437"/>
      <c r="P242" s="437"/>
      <c r="Q242" s="437"/>
      <c r="R242" s="437"/>
      <c r="S242" s="437"/>
      <c r="T242" s="437"/>
      <c r="U242" s="437"/>
      <c r="V242" s="437"/>
      <c r="W242" s="437"/>
      <c r="X242" s="437"/>
      <c r="Y242" s="437"/>
      <c r="Z242" s="437"/>
      <c r="AA242" s="437"/>
      <c r="AB242" s="437"/>
      <c r="AC242" s="437"/>
      <c r="AD242" s="437"/>
      <c r="AE242" s="437"/>
      <c r="AF242" s="437"/>
      <c r="AG242" s="437"/>
      <c r="AH242" s="437"/>
      <c r="AI242" s="437"/>
      <c r="AJ242" s="437"/>
      <c r="AK242" s="437"/>
      <c r="AL242" s="437"/>
      <c r="AM242" s="437"/>
      <c r="AN242" s="437"/>
      <c r="AO242" s="437"/>
      <c r="AP242" s="437"/>
      <c r="AQ242" s="437"/>
      <c r="AR242" s="437"/>
      <c r="AS242" s="437"/>
      <c r="AT242" s="437"/>
      <c r="AU242" s="437"/>
      <c r="AV242" s="437"/>
      <c r="AW242" s="437"/>
      <c r="AX242" s="436">
        <v>237</v>
      </c>
      <c r="AY242" s="490" t="s">
        <v>2949</v>
      </c>
      <c r="AZ242" s="490" t="s">
        <v>2950</v>
      </c>
      <c r="BA242" s="490" t="s">
        <v>2951</v>
      </c>
      <c r="BB242" s="490" t="s">
        <v>2952</v>
      </c>
      <c r="BC242" s="490" t="s">
        <v>2953</v>
      </c>
      <c r="BD242" s="490" t="s">
        <v>2954</v>
      </c>
      <c r="BE242" s="490" t="s">
        <v>2955</v>
      </c>
      <c r="BF242" s="490" t="s">
        <v>2956</v>
      </c>
      <c r="BG242" s="490" t="s">
        <v>2957</v>
      </c>
      <c r="BH242" s="490" t="s">
        <v>2863</v>
      </c>
      <c r="BI242" s="490" t="s">
        <v>2958</v>
      </c>
      <c r="BJ242" s="490" t="s">
        <v>2959</v>
      </c>
      <c r="BK242" s="437"/>
      <c r="BL242" s="437"/>
      <c r="BM242" s="437"/>
      <c r="BN242" s="437"/>
      <c r="BO242" s="437"/>
      <c r="BP242" s="437"/>
    </row>
    <row r="243" spans="1:68">
      <c r="A243" s="437"/>
      <c r="B243" s="437"/>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437"/>
      <c r="AE243" s="437"/>
      <c r="AF243" s="437"/>
      <c r="AG243" s="437"/>
      <c r="AH243" s="437"/>
      <c r="AI243" s="437"/>
      <c r="AJ243" s="437"/>
      <c r="AK243" s="437"/>
      <c r="AL243" s="437"/>
      <c r="AM243" s="437"/>
      <c r="AN243" s="437"/>
      <c r="AO243" s="437"/>
      <c r="AP243" s="437"/>
      <c r="AQ243" s="437"/>
      <c r="AR243" s="437"/>
      <c r="AS243" s="437"/>
      <c r="AT243" s="437"/>
      <c r="AU243" s="437"/>
      <c r="AV243" s="437"/>
      <c r="AW243" s="437"/>
      <c r="AX243" s="436">
        <v>238</v>
      </c>
      <c r="AY243" s="490" t="s">
        <v>2960</v>
      </c>
      <c r="AZ243" s="490" t="s">
        <v>442</v>
      </c>
      <c r="BA243" s="490" t="s">
        <v>2961</v>
      </c>
      <c r="BB243" s="490" t="s">
        <v>2962</v>
      </c>
      <c r="BC243" s="490" t="s">
        <v>2963</v>
      </c>
      <c r="BD243" s="490" t="s">
        <v>2964</v>
      </c>
      <c r="BE243" s="490" t="s">
        <v>2965</v>
      </c>
      <c r="BF243" s="490" t="s">
        <v>2966</v>
      </c>
      <c r="BG243" s="490" t="s">
        <v>2967</v>
      </c>
      <c r="BH243" s="490" t="s">
        <v>2968</v>
      </c>
      <c r="BI243" s="490" t="s">
        <v>2969</v>
      </c>
      <c r="BJ243" s="490" t="s">
        <v>2970</v>
      </c>
      <c r="BK243" s="437"/>
      <c r="BL243" s="437"/>
      <c r="BM243" s="437"/>
      <c r="BN243" s="437"/>
      <c r="BO243" s="437"/>
      <c r="BP243" s="437"/>
    </row>
    <row r="244" spans="1:68">
      <c r="A244" s="437"/>
      <c r="B244" s="437"/>
      <c r="C244" s="437"/>
      <c r="D244" s="437"/>
      <c r="E244" s="437"/>
      <c r="F244" s="437"/>
      <c r="G244" s="437"/>
      <c r="H244" s="437"/>
      <c r="I244" s="437"/>
      <c r="J244" s="437"/>
      <c r="K244" s="437"/>
      <c r="L244" s="437"/>
      <c r="M244" s="437"/>
      <c r="N244" s="437"/>
      <c r="O244" s="437"/>
      <c r="P244" s="437"/>
      <c r="Q244" s="437"/>
      <c r="R244" s="437"/>
      <c r="S244" s="437"/>
      <c r="T244" s="437"/>
      <c r="U244" s="437"/>
      <c r="V244" s="437"/>
      <c r="W244" s="437"/>
      <c r="X244" s="437"/>
      <c r="Y244" s="437"/>
      <c r="Z244" s="437"/>
      <c r="AA244" s="437"/>
      <c r="AB244" s="437"/>
      <c r="AC244" s="437"/>
      <c r="AD244" s="437"/>
      <c r="AE244" s="437"/>
      <c r="AF244" s="437"/>
      <c r="AG244" s="437"/>
      <c r="AH244" s="437"/>
      <c r="AI244" s="437"/>
      <c r="AJ244" s="437"/>
      <c r="AK244" s="437"/>
      <c r="AL244" s="437"/>
      <c r="AM244" s="437"/>
      <c r="AN244" s="437"/>
      <c r="AO244" s="437"/>
      <c r="AP244" s="437"/>
      <c r="AQ244" s="437"/>
      <c r="AR244" s="437"/>
      <c r="AS244" s="437"/>
      <c r="AT244" s="437"/>
      <c r="AU244" s="437"/>
      <c r="AV244" s="437"/>
      <c r="AW244" s="437"/>
      <c r="AX244" s="436">
        <v>239</v>
      </c>
      <c r="AY244" s="490" t="s">
        <v>2971</v>
      </c>
      <c r="AZ244" s="490" t="s">
        <v>2972</v>
      </c>
      <c r="BA244" s="490" t="s">
        <v>443</v>
      </c>
      <c r="BB244" s="490" t="s">
        <v>2973</v>
      </c>
      <c r="BC244" s="490" t="s">
        <v>2974</v>
      </c>
      <c r="BD244" s="490" t="s">
        <v>2860</v>
      </c>
      <c r="BE244" s="490" t="s">
        <v>2975</v>
      </c>
      <c r="BF244" s="490" t="s">
        <v>2976</v>
      </c>
      <c r="BG244" s="490" t="s">
        <v>2977</v>
      </c>
      <c r="BH244" s="490" t="s">
        <v>2978</v>
      </c>
      <c r="BI244" s="490" t="s">
        <v>2979</v>
      </c>
      <c r="BJ244" s="490" t="s">
        <v>2980</v>
      </c>
      <c r="BK244" s="437"/>
      <c r="BL244" s="437"/>
      <c r="BM244" s="437"/>
      <c r="BN244" s="437"/>
      <c r="BO244" s="437"/>
      <c r="BP244" s="437"/>
    </row>
    <row r="245" spans="1:68">
      <c r="A245" s="437"/>
      <c r="B245" s="437"/>
      <c r="C245" s="437"/>
      <c r="D245" s="437"/>
      <c r="E245" s="437"/>
      <c r="F245" s="437"/>
      <c r="G245" s="437"/>
      <c r="H245" s="437"/>
      <c r="I245" s="437"/>
      <c r="J245" s="437"/>
      <c r="K245" s="437"/>
      <c r="L245" s="437"/>
      <c r="M245" s="437"/>
      <c r="N245" s="437"/>
      <c r="O245" s="437"/>
      <c r="P245" s="437"/>
      <c r="Q245" s="437"/>
      <c r="R245" s="437"/>
      <c r="S245" s="437"/>
      <c r="T245" s="437"/>
      <c r="U245" s="437"/>
      <c r="V245" s="437"/>
      <c r="W245" s="437"/>
      <c r="X245" s="437"/>
      <c r="Y245" s="437"/>
      <c r="Z245" s="437"/>
      <c r="AA245" s="437"/>
      <c r="AB245" s="437"/>
      <c r="AC245" s="437"/>
      <c r="AD245" s="437"/>
      <c r="AE245" s="437"/>
      <c r="AF245" s="437"/>
      <c r="AG245" s="437"/>
      <c r="AH245" s="437"/>
      <c r="AI245" s="437"/>
      <c r="AJ245" s="437"/>
      <c r="AK245" s="437"/>
      <c r="AL245" s="437"/>
      <c r="AM245" s="437"/>
      <c r="AN245" s="437"/>
      <c r="AO245" s="437"/>
      <c r="AP245" s="437"/>
      <c r="AQ245" s="437"/>
      <c r="AR245" s="437"/>
      <c r="AS245" s="437"/>
      <c r="AT245" s="437"/>
      <c r="AU245" s="437"/>
      <c r="AV245" s="437"/>
      <c r="AW245" s="437"/>
      <c r="AX245" s="436">
        <v>240</v>
      </c>
      <c r="AY245" s="490" t="s">
        <v>2981</v>
      </c>
      <c r="AZ245" s="490" t="s">
        <v>2982</v>
      </c>
      <c r="BA245" s="490" t="s">
        <v>2983</v>
      </c>
      <c r="BB245" s="490" t="s">
        <v>2984</v>
      </c>
      <c r="BC245" s="490" t="s">
        <v>2985</v>
      </c>
      <c r="BD245" s="490" t="s">
        <v>633</v>
      </c>
      <c r="BE245" s="490" t="s">
        <v>2986</v>
      </c>
      <c r="BF245" s="490" t="s">
        <v>2987</v>
      </c>
      <c r="BG245" s="490" t="s">
        <v>2988</v>
      </c>
      <c r="BH245" s="490" t="s">
        <v>2989</v>
      </c>
      <c r="BI245" s="490" t="s">
        <v>1081</v>
      </c>
      <c r="BJ245" s="490" t="s">
        <v>2990</v>
      </c>
      <c r="BK245" s="437"/>
      <c r="BL245" s="437"/>
      <c r="BM245" s="437"/>
      <c r="BN245" s="437"/>
      <c r="BO245" s="437"/>
      <c r="BP245" s="437"/>
    </row>
    <row r="246" spans="1:68">
      <c r="A246" s="437"/>
      <c r="B246" s="437"/>
      <c r="C246" s="437"/>
      <c r="D246" s="437"/>
      <c r="E246" s="437"/>
      <c r="F246" s="437"/>
      <c r="G246" s="437"/>
      <c r="H246" s="437"/>
      <c r="I246" s="437"/>
      <c r="J246" s="437"/>
      <c r="K246" s="437"/>
      <c r="L246" s="437"/>
      <c r="M246" s="437"/>
      <c r="N246" s="437"/>
      <c r="O246" s="437"/>
      <c r="P246" s="437"/>
      <c r="Q246" s="437"/>
      <c r="R246" s="437"/>
      <c r="S246" s="437"/>
      <c r="T246" s="437"/>
      <c r="U246" s="437"/>
      <c r="V246" s="437"/>
      <c r="W246" s="437"/>
      <c r="X246" s="437"/>
      <c r="Y246" s="437"/>
      <c r="Z246" s="437"/>
      <c r="AA246" s="437"/>
      <c r="AB246" s="437"/>
      <c r="AC246" s="437"/>
      <c r="AD246" s="437"/>
      <c r="AE246" s="437"/>
      <c r="AF246" s="437"/>
      <c r="AG246" s="437"/>
      <c r="AH246" s="437"/>
      <c r="AI246" s="437"/>
      <c r="AJ246" s="437"/>
      <c r="AK246" s="437"/>
      <c r="AL246" s="437"/>
      <c r="AM246" s="437"/>
      <c r="AN246" s="437"/>
      <c r="AO246" s="437"/>
      <c r="AP246" s="437"/>
      <c r="AQ246" s="437"/>
      <c r="AR246" s="437"/>
      <c r="AS246" s="437"/>
      <c r="AT246" s="437"/>
      <c r="AU246" s="437"/>
      <c r="AV246" s="437"/>
      <c r="AW246" s="437"/>
      <c r="AX246" s="436">
        <v>241</v>
      </c>
      <c r="AY246" s="490" t="s">
        <v>2991</v>
      </c>
      <c r="AZ246" s="490" t="s">
        <v>2992</v>
      </c>
      <c r="BA246" s="490" t="s">
        <v>2993</v>
      </c>
      <c r="BB246" s="490" t="s">
        <v>2994</v>
      </c>
      <c r="BC246" s="490" t="s">
        <v>2995</v>
      </c>
      <c r="BD246" s="490" t="s">
        <v>644</v>
      </c>
      <c r="BE246" s="490" t="s">
        <v>2996</v>
      </c>
      <c r="BF246" s="490" t="s">
        <v>2997</v>
      </c>
      <c r="BG246" s="490" t="s">
        <v>2998</v>
      </c>
      <c r="BH246" s="490" t="s">
        <v>2999</v>
      </c>
      <c r="BI246" s="490" t="s">
        <v>3000</v>
      </c>
      <c r="BJ246" s="490" t="s">
        <v>3001</v>
      </c>
      <c r="BK246" s="437"/>
      <c r="BL246" s="437"/>
      <c r="BM246" s="437"/>
      <c r="BN246" s="437"/>
      <c r="BO246" s="437"/>
      <c r="BP246" s="437"/>
    </row>
    <row r="247" spans="1:68">
      <c r="A247" s="437"/>
      <c r="B247" s="437"/>
      <c r="C247" s="437"/>
      <c r="D247" s="437"/>
      <c r="E247" s="437"/>
      <c r="F247" s="437"/>
      <c r="G247" s="437"/>
      <c r="H247" s="437"/>
      <c r="I247" s="437"/>
      <c r="J247" s="437"/>
      <c r="K247" s="437"/>
      <c r="L247" s="437"/>
      <c r="M247" s="437"/>
      <c r="N247" s="437"/>
      <c r="O247" s="437"/>
      <c r="P247" s="437"/>
      <c r="Q247" s="437"/>
      <c r="R247" s="437"/>
      <c r="S247" s="437"/>
      <c r="T247" s="437"/>
      <c r="U247" s="437"/>
      <c r="V247" s="437"/>
      <c r="W247" s="437"/>
      <c r="X247" s="437"/>
      <c r="Y247" s="437"/>
      <c r="Z247" s="437"/>
      <c r="AA247" s="437"/>
      <c r="AB247" s="437"/>
      <c r="AC247" s="437"/>
      <c r="AD247" s="437"/>
      <c r="AE247" s="437"/>
      <c r="AF247" s="437"/>
      <c r="AG247" s="437"/>
      <c r="AH247" s="437"/>
      <c r="AI247" s="437"/>
      <c r="AJ247" s="437"/>
      <c r="AK247" s="437"/>
      <c r="AL247" s="437"/>
      <c r="AM247" s="437"/>
      <c r="AN247" s="437"/>
      <c r="AO247" s="437"/>
      <c r="AP247" s="437"/>
      <c r="AQ247" s="437"/>
      <c r="AR247" s="437"/>
      <c r="AS247" s="437"/>
      <c r="AT247" s="437"/>
      <c r="AU247" s="437"/>
      <c r="AV247" s="437"/>
      <c r="AW247" s="437"/>
      <c r="AX247" s="436">
        <v>242</v>
      </c>
      <c r="AY247" s="490" t="s">
        <v>3002</v>
      </c>
      <c r="AZ247" s="490" t="s">
        <v>3003</v>
      </c>
      <c r="BA247" s="490" t="s">
        <v>3004</v>
      </c>
      <c r="BB247" s="490" t="s">
        <v>3005</v>
      </c>
      <c r="BC247" s="490" t="s">
        <v>3006</v>
      </c>
      <c r="BD247" s="490" t="s">
        <v>3007</v>
      </c>
      <c r="BE247" s="490" t="s">
        <v>3008</v>
      </c>
      <c r="BF247" s="490" t="s">
        <v>3009</v>
      </c>
      <c r="BG247" s="490" t="s">
        <v>3010</v>
      </c>
      <c r="BH247" s="490" t="s">
        <v>3011</v>
      </c>
      <c r="BI247" s="490" t="s">
        <v>3012</v>
      </c>
      <c r="BJ247" s="490" t="s">
        <v>3013</v>
      </c>
      <c r="BK247" s="437"/>
      <c r="BL247" s="437"/>
      <c r="BM247" s="437"/>
      <c r="BN247" s="437"/>
      <c r="BO247" s="437"/>
      <c r="BP247" s="437"/>
    </row>
    <row r="248" spans="1:68">
      <c r="A248" s="437"/>
      <c r="B248" s="437"/>
      <c r="C248" s="437"/>
      <c r="D248" s="437"/>
      <c r="E248" s="437"/>
      <c r="F248" s="437"/>
      <c r="G248" s="437"/>
      <c r="H248" s="437"/>
      <c r="I248" s="437"/>
      <c r="J248" s="437"/>
      <c r="K248" s="437"/>
      <c r="L248" s="437"/>
      <c r="M248" s="437"/>
      <c r="N248" s="437"/>
      <c r="O248" s="437"/>
      <c r="P248" s="437"/>
      <c r="Q248" s="437"/>
      <c r="R248" s="437"/>
      <c r="S248" s="437"/>
      <c r="T248" s="437"/>
      <c r="U248" s="437"/>
      <c r="V248" s="437"/>
      <c r="W248" s="437"/>
      <c r="X248" s="437"/>
      <c r="Y248" s="437"/>
      <c r="Z248" s="437"/>
      <c r="AA248" s="437"/>
      <c r="AB248" s="437"/>
      <c r="AC248" s="437"/>
      <c r="AD248" s="437"/>
      <c r="AE248" s="437"/>
      <c r="AF248" s="437"/>
      <c r="AG248" s="437"/>
      <c r="AH248" s="437"/>
      <c r="AI248" s="437"/>
      <c r="AJ248" s="437"/>
      <c r="AK248" s="437"/>
      <c r="AL248" s="437"/>
      <c r="AM248" s="437"/>
      <c r="AN248" s="437"/>
      <c r="AO248" s="437"/>
      <c r="AP248" s="437"/>
      <c r="AQ248" s="437"/>
      <c r="AR248" s="437"/>
      <c r="AS248" s="437"/>
      <c r="AT248" s="437"/>
      <c r="AU248" s="437"/>
      <c r="AV248" s="437"/>
      <c r="AW248" s="437"/>
      <c r="AX248" s="436">
        <v>243</v>
      </c>
      <c r="AY248" s="490" t="s">
        <v>3014</v>
      </c>
      <c r="AZ248" s="490" t="s">
        <v>3015</v>
      </c>
      <c r="BA248" s="490" t="s">
        <v>3016</v>
      </c>
      <c r="BB248" s="490" t="s">
        <v>3017</v>
      </c>
      <c r="BC248" s="490" t="s">
        <v>688</v>
      </c>
      <c r="BD248" s="490" t="s">
        <v>3018</v>
      </c>
      <c r="BE248" s="490" t="s">
        <v>3019</v>
      </c>
      <c r="BF248" s="490" t="s">
        <v>3020</v>
      </c>
      <c r="BG248" s="490" t="s">
        <v>3021</v>
      </c>
      <c r="BH248" s="490" t="s">
        <v>3022</v>
      </c>
      <c r="BI248" s="490" t="s">
        <v>1179</v>
      </c>
      <c r="BJ248" s="490" t="s">
        <v>3023</v>
      </c>
      <c r="BK248" s="437"/>
      <c r="BL248" s="437"/>
      <c r="BM248" s="437"/>
      <c r="BN248" s="437"/>
      <c r="BO248" s="437"/>
      <c r="BP248" s="437"/>
    </row>
    <row r="249" spans="1:68">
      <c r="A249" s="437"/>
      <c r="B249" s="437"/>
      <c r="C249" s="437"/>
      <c r="D249" s="437"/>
      <c r="E249" s="437"/>
      <c r="F249" s="437"/>
      <c r="G249" s="437"/>
      <c r="H249" s="437"/>
      <c r="I249" s="437"/>
      <c r="J249" s="437"/>
      <c r="K249" s="437"/>
      <c r="L249" s="437"/>
      <c r="M249" s="437"/>
      <c r="N249" s="437"/>
      <c r="O249" s="437"/>
      <c r="P249" s="437"/>
      <c r="Q249" s="437"/>
      <c r="R249" s="437"/>
      <c r="S249" s="437"/>
      <c r="T249" s="437"/>
      <c r="U249" s="437"/>
      <c r="V249" s="437"/>
      <c r="W249" s="437"/>
      <c r="X249" s="437"/>
      <c r="Y249" s="437"/>
      <c r="Z249" s="437"/>
      <c r="AA249" s="437"/>
      <c r="AB249" s="437"/>
      <c r="AC249" s="437"/>
      <c r="AD249" s="437"/>
      <c r="AE249" s="437"/>
      <c r="AF249" s="437"/>
      <c r="AG249" s="437"/>
      <c r="AH249" s="437"/>
      <c r="AI249" s="437"/>
      <c r="AJ249" s="437"/>
      <c r="AK249" s="437"/>
      <c r="AL249" s="437"/>
      <c r="AM249" s="437"/>
      <c r="AN249" s="437"/>
      <c r="AO249" s="437"/>
      <c r="AP249" s="437"/>
      <c r="AQ249" s="437"/>
      <c r="AR249" s="437"/>
      <c r="AS249" s="437"/>
      <c r="AT249" s="437"/>
      <c r="AU249" s="437"/>
      <c r="AV249" s="437"/>
      <c r="AW249" s="437"/>
      <c r="AX249" s="436">
        <v>244</v>
      </c>
      <c r="AY249" s="490" t="s">
        <v>3024</v>
      </c>
      <c r="AZ249" s="490" t="s">
        <v>3025</v>
      </c>
      <c r="BA249" s="490" t="s">
        <v>3026</v>
      </c>
      <c r="BB249" s="490" t="s">
        <v>3027</v>
      </c>
      <c r="BC249" s="490" t="s">
        <v>3028</v>
      </c>
      <c r="BD249" s="490" t="s">
        <v>3029</v>
      </c>
      <c r="BE249" s="490" t="s">
        <v>3030</v>
      </c>
      <c r="BF249" s="490" t="s">
        <v>3031</v>
      </c>
      <c r="BG249" s="490" t="s">
        <v>3032</v>
      </c>
      <c r="BH249" s="490" t="s">
        <v>3033</v>
      </c>
      <c r="BI249" s="490" t="s">
        <v>3034</v>
      </c>
      <c r="BJ249" s="490" t="s">
        <v>3035</v>
      </c>
      <c r="BK249" s="437"/>
      <c r="BL249" s="437"/>
      <c r="BM249" s="437"/>
      <c r="BN249" s="437"/>
      <c r="BO249" s="437"/>
      <c r="BP249" s="437"/>
    </row>
    <row r="250" spans="1:68">
      <c r="A250" s="437"/>
      <c r="B250" s="437"/>
      <c r="C250" s="437"/>
      <c r="D250" s="437"/>
      <c r="E250" s="437"/>
      <c r="F250" s="437"/>
      <c r="G250" s="437"/>
      <c r="H250" s="437"/>
      <c r="I250" s="437"/>
      <c r="J250" s="437"/>
      <c r="K250" s="437"/>
      <c r="L250" s="437"/>
      <c r="M250" s="437"/>
      <c r="N250" s="437"/>
      <c r="O250" s="437"/>
      <c r="P250" s="437"/>
      <c r="Q250" s="437"/>
      <c r="R250" s="437"/>
      <c r="S250" s="437"/>
      <c r="T250" s="437"/>
      <c r="U250" s="437"/>
      <c r="V250" s="437"/>
      <c r="W250" s="437"/>
      <c r="X250" s="437"/>
      <c r="Y250" s="437"/>
      <c r="Z250" s="437"/>
      <c r="AA250" s="437"/>
      <c r="AB250" s="437"/>
      <c r="AC250" s="437"/>
      <c r="AD250" s="437"/>
      <c r="AE250" s="437"/>
      <c r="AF250" s="437"/>
      <c r="AG250" s="437"/>
      <c r="AH250" s="437"/>
      <c r="AI250" s="437"/>
      <c r="AJ250" s="437"/>
      <c r="AK250" s="437"/>
      <c r="AL250" s="437"/>
      <c r="AM250" s="437"/>
      <c r="AN250" s="437"/>
      <c r="AO250" s="437"/>
      <c r="AP250" s="437"/>
      <c r="AQ250" s="437"/>
      <c r="AR250" s="437"/>
      <c r="AS250" s="437"/>
      <c r="AT250" s="437"/>
      <c r="AU250" s="437"/>
      <c r="AV250" s="437"/>
      <c r="AW250" s="437"/>
      <c r="AX250" s="436">
        <v>245</v>
      </c>
      <c r="AY250" s="490" t="s">
        <v>3036</v>
      </c>
      <c r="AZ250" s="490" t="s">
        <v>3037</v>
      </c>
      <c r="BA250" s="490" t="s">
        <v>3038</v>
      </c>
      <c r="BB250" s="490" t="s">
        <v>3039</v>
      </c>
      <c r="BC250" s="490" t="s">
        <v>3040</v>
      </c>
      <c r="BD250" s="490" t="s">
        <v>3041</v>
      </c>
      <c r="BE250" s="490" t="s">
        <v>3042</v>
      </c>
      <c r="BF250" s="490" t="s">
        <v>3043</v>
      </c>
      <c r="BG250" s="490" t="s">
        <v>3044</v>
      </c>
      <c r="BH250" s="490" t="s">
        <v>2945</v>
      </c>
      <c r="BI250" s="490" t="s">
        <v>3045</v>
      </c>
      <c r="BJ250" s="490" t="s">
        <v>3046</v>
      </c>
      <c r="BK250" s="437"/>
      <c r="BL250" s="437"/>
      <c r="BM250" s="437"/>
      <c r="BN250" s="437"/>
      <c r="BO250" s="437"/>
      <c r="BP250" s="437"/>
    </row>
    <row r="251" spans="1:68">
      <c r="A251" s="437"/>
      <c r="B251" s="437"/>
      <c r="C251" s="437"/>
      <c r="D251" s="437"/>
      <c r="E251" s="437"/>
      <c r="F251" s="437"/>
      <c r="G251" s="437"/>
      <c r="H251" s="437"/>
      <c r="I251" s="437"/>
      <c r="J251" s="437"/>
      <c r="K251" s="437"/>
      <c r="L251" s="437"/>
      <c r="M251" s="437"/>
      <c r="N251" s="437"/>
      <c r="O251" s="437"/>
      <c r="P251" s="437"/>
      <c r="Q251" s="437"/>
      <c r="R251" s="437"/>
      <c r="S251" s="437"/>
      <c r="T251" s="437"/>
      <c r="U251" s="437"/>
      <c r="V251" s="437"/>
      <c r="W251" s="437"/>
      <c r="X251" s="437"/>
      <c r="Y251" s="437"/>
      <c r="Z251" s="437"/>
      <c r="AA251" s="437"/>
      <c r="AB251" s="437"/>
      <c r="AC251" s="437"/>
      <c r="AD251" s="437"/>
      <c r="AE251" s="437"/>
      <c r="AF251" s="437"/>
      <c r="AG251" s="437"/>
      <c r="AH251" s="437"/>
      <c r="AI251" s="437"/>
      <c r="AJ251" s="437"/>
      <c r="AK251" s="437"/>
      <c r="AL251" s="437"/>
      <c r="AM251" s="437"/>
      <c r="AN251" s="437"/>
      <c r="AO251" s="437"/>
      <c r="AP251" s="437"/>
      <c r="AQ251" s="437"/>
      <c r="AR251" s="437"/>
      <c r="AS251" s="437"/>
      <c r="AT251" s="437"/>
      <c r="AU251" s="437"/>
      <c r="AV251" s="437"/>
      <c r="AW251" s="437"/>
      <c r="AX251" s="436">
        <v>246</v>
      </c>
      <c r="AY251" s="490" t="s">
        <v>3047</v>
      </c>
      <c r="AZ251" s="490" t="s">
        <v>3025</v>
      </c>
      <c r="BA251" s="490" t="s">
        <v>3048</v>
      </c>
      <c r="BB251" s="490" t="s">
        <v>2951</v>
      </c>
      <c r="BC251" s="490" t="s">
        <v>2841</v>
      </c>
      <c r="BD251" s="490" t="s">
        <v>3049</v>
      </c>
      <c r="BE251" s="490" t="s">
        <v>3050</v>
      </c>
      <c r="BF251" s="490" t="s">
        <v>3051</v>
      </c>
      <c r="BG251" s="490" t="s">
        <v>3052</v>
      </c>
      <c r="BH251" s="490" t="s">
        <v>3053</v>
      </c>
      <c r="BI251" s="490" t="s">
        <v>2452</v>
      </c>
      <c r="BJ251" s="490" t="s">
        <v>3054</v>
      </c>
      <c r="BK251" s="437"/>
      <c r="BL251" s="437"/>
      <c r="BM251" s="437"/>
      <c r="BN251" s="437"/>
      <c r="BO251" s="437"/>
      <c r="BP251" s="437"/>
    </row>
    <row r="252" spans="1:68">
      <c r="A252" s="437"/>
      <c r="B252" s="437"/>
      <c r="C252" s="437"/>
      <c r="D252" s="437"/>
      <c r="E252" s="437"/>
      <c r="F252" s="437"/>
      <c r="G252" s="437"/>
      <c r="H252" s="437"/>
      <c r="I252" s="437"/>
      <c r="J252" s="437"/>
      <c r="K252" s="437"/>
      <c r="L252" s="437"/>
      <c r="M252" s="437"/>
      <c r="N252" s="437"/>
      <c r="O252" s="437"/>
      <c r="P252" s="437"/>
      <c r="Q252" s="437"/>
      <c r="R252" s="437"/>
      <c r="S252" s="437"/>
      <c r="T252" s="437"/>
      <c r="U252" s="437"/>
      <c r="V252" s="437"/>
      <c r="W252" s="437"/>
      <c r="X252" s="437"/>
      <c r="Y252" s="437"/>
      <c r="Z252" s="437"/>
      <c r="AA252" s="437"/>
      <c r="AB252" s="437"/>
      <c r="AC252" s="437"/>
      <c r="AD252" s="437"/>
      <c r="AE252" s="437"/>
      <c r="AF252" s="437"/>
      <c r="AG252" s="437"/>
      <c r="AH252" s="437"/>
      <c r="AI252" s="437"/>
      <c r="AJ252" s="437"/>
      <c r="AK252" s="437"/>
      <c r="AL252" s="437"/>
      <c r="AM252" s="437"/>
      <c r="AN252" s="437"/>
      <c r="AO252" s="437"/>
      <c r="AP252" s="437"/>
      <c r="AQ252" s="437"/>
      <c r="AR252" s="437"/>
      <c r="AS252" s="437"/>
      <c r="AT252" s="437"/>
      <c r="AU252" s="437"/>
      <c r="AV252" s="437"/>
      <c r="AW252" s="437"/>
      <c r="AX252" s="436">
        <v>247</v>
      </c>
      <c r="AY252" s="490" t="s">
        <v>3055</v>
      </c>
      <c r="AZ252" s="490" t="s">
        <v>2894</v>
      </c>
      <c r="BA252" s="490" t="s">
        <v>3038</v>
      </c>
      <c r="BB252" s="490" t="s">
        <v>3056</v>
      </c>
      <c r="BC252" s="490" t="s">
        <v>3057</v>
      </c>
      <c r="BD252" s="490" t="s">
        <v>3058</v>
      </c>
      <c r="BE252" s="490" t="s">
        <v>3059</v>
      </c>
      <c r="BF252" s="490" t="s">
        <v>3060</v>
      </c>
      <c r="BG252" s="490" t="s">
        <v>3061</v>
      </c>
      <c r="BH252" s="490" t="s">
        <v>3062</v>
      </c>
      <c r="BI252" s="490" t="s">
        <v>3063</v>
      </c>
      <c r="BJ252" s="490" t="s">
        <v>3064</v>
      </c>
      <c r="BK252" s="437"/>
      <c r="BL252" s="437"/>
      <c r="BM252" s="437"/>
      <c r="BN252" s="437"/>
      <c r="BO252" s="437"/>
      <c r="BP252" s="437"/>
    </row>
    <row r="253" spans="1:68">
      <c r="A253" s="437"/>
      <c r="B253" s="437"/>
      <c r="C253" s="437"/>
      <c r="D253" s="437"/>
      <c r="E253" s="437"/>
      <c r="F253" s="437"/>
      <c r="G253" s="437"/>
      <c r="H253" s="437"/>
      <c r="I253" s="437"/>
      <c r="J253" s="437"/>
      <c r="K253" s="437"/>
      <c r="L253" s="437"/>
      <c r="M253" s="437"/>
      <c r="N253" s="437"/>
      <c r="O253" s="437"/>
      <c r="P253" s="437"/>
      <c r="Q253" s="437"/>
      <c r="R253" s="437"/>
      <c r="S253" s="437"/>
      <c r="T253" s="437"/>
      <c r="U253" s="437"/>
      <c r="V253" s="437"/>
      <c r="W253" s="437"/>
      <c r="X253" s="437"/>
      <c r="Y253" s="437"/>
      <c r="Z253" s="437"/>
      <c r="AA253" s="437"/>
      <c r="AB253" s="437"/>
      <c r="AC253" s="437"/>
      <c r="AD253" s="437"/>
      <c r="AE253" s="437"/>
      <c r="AF253" s="437"/>
      <c r="AG253" s="437"/>
      <c r="AH253" s="437"/>
      <c r="AI253" s="437"/>
      <c r="AJ253" s="437"/>
      <c r="AK253" s="437"/>
      <c r="AL253" s="437"/>
      <c r="AM253" s="437"/>
      <c r="AN253" s="437"/>
      <c r="AO253" s="437"/>
      <c r="AP253" s="437"/>
      <c r="AQ253" s="437"/>
      <c r="AR253" s="437"/>
      <c r="AS253" s="437"/>
      <c r="AT253" s="437"/>
      <c r="AU253" s="437"/>
      <c r="AV253" s="437"/>
      <c r="AW253" s="437"/>
      <c r="AX253" s="436">
        <v>248</v>
      </c>
      <c r="AY253" s="490" t="s">
        <v>3047</v>
      </c>
      <c r="AZ253" s="490" t="s">
        <v>3065</v>
      </c>
      <c r="BA253" s="490" t="s">
        <v>2907</v>
      </c>
      <c r="BB253" s="490" t="s">
        <v>443</v>
      </c>
      <c r="BC253" s="490" t="s">
        <v>3066</v>
      </c>
      <c r="BD253" s="490" t="s">
        <v>3067</v>
      </c>
      <c r="BE253" s="490" t="s">
        <v>3068</v>
      </c>
      <c r="BF253" s="490" t="s">
        <v>3069</v>
      </c>
      <c r="BG253" s="490" t="s">
        <v>3070</v>
      </c>
      <c r="BH253" s="490" t="s">
        <v>2977</v>
      </c>
      <c r="BI253" s="490" t="s">
        <v>520</v>
      </c>
      <c r="BJ253" s="490" t="s">
        <v>3071</v>
      </c>
      <c r="BK253" s="437"/>
      <c r="BL253" s="437"/>
      <c r="BM253" s="437"/>
      <c r="BN253" s="437"/>
      <c r="BO253" s="437"/>
      <c r="BP253" s="437"/>
    </row>
    <row r="254" spans="1:68">
      <c r="A254" s="437"/>
      <c r="B254" s="437"/>
      <c r="C254" s="437"/>
      <c r="D254" s="437"/>
      <c r="E254" s="437"/>
      <c r="F254" s="437"/>
      <c r="G254" s="437"/>
      <c r="H254" s="437"/>
      <c r="I254" s="437"/>
      <c r="J254" s="437"/>
      <c r="K254" s="437"/>
      <c r="L254" s="437"/>
      <c r="M254" s="437"/>
      <c r="N254" s="437"/>
      <c r="O254" s="437"/>
      <c r="P254" s="437"/>
      <c r="Q254" s="437"/>
      <c r="R254" s="437"/>
      <c r="S254" s="437"/>
      <c r="T254" s="437"/>
      <c r="U254" s="437"/>
      <c r="V254" s="437"/>
      <c r="W254" s="437"/>
      <c r="X254" s="437"/>
      <c r="Y254" s="437"/>
      <c r="Z254" s="437"/>
      <c r="AA254" s="437"/>
      <c r="AB254" s="437"/>
      <c r="AC254" s="437"/>
      <c r="AD254" s="437"/>
      <c r="AE254" s="437"/>
      <c r="AF254" s="437"/>
      <c r="AG254" s="437"/>
      <c r="AH254" s="437"/>
      <c r="AI254" s="437"/>
      <c r="AJ254" s="437"/>
      <c r="AK254" s="437"/>
      <c r="AL254" s="437"/>
      <c r="AM254" s="437"/>
      <c r="AN254" s="437"/>
      <c r="AO254" s="437"/>
      <c r="AP254" s="437"/>
      <c r="AQ254" s="437"/>
      <c r="AR254" s="437"/>
      <c r="AS254" s="437"/>
      <c r="AT254" s="437"/>
      <c r="AU254" s="437"/>
      <c r="AV254" s="437"/>
      <c r="AW254" s="437"/>
      <c r="AX254" s="436">
        <v>249</v>
      </c>
      <c r="AY254" s="490" t="s">
        <v>2917</v>
      </c>
      <c r="AZ254" s="490" t="s">
        <v>3072</v>
      </c>
      <c r="BA254" s="490" t="s">
        <v>3073</v>
      </c>
      <c r="BB254" s="490" t="s">
        <v>3074</v>
      </c>
      <c r="BC254" s="490" t="s">
        <v>3075</v>
      </c>
      <c r="BD254" s="490" t="s">
        <v>3076</v>
      </c>
      <c r="BE254" s="490" t="s">
        <v>3077</v>
      </c>
      <c r="BF254" s="490" t="s">
        <v>3078</v>
      </c>
      <c r="BG254" s="490" t="s">
        <v>3069</v>
      </c>
      <c r="BH254" s="490" t="s">
        <v>444</v>
      </c>
      <c r="BI254" s="490" t="s">
        <v>3079</v>
      </c>
      <c r="BJ254" s="490" t="s">
        <v>2969</v>
      </c>
      <c r="BK254" s="437"/>
      <c r="BL254" s="437"/>
      <c r="BM254" s="437"/>
      <c r="BN254" s="437"/>
      <c r="BO254" s="437"/>
      <c r="BP254" s="437"/>
    </row>
    <row r="255" spans="1:68">
      <c r="A255" s="437"/>
      <c r="B255" s="437"/>
      <c r="C255" s="437"/>
      <c r="D255" s="437"/>
      <c r="E255" s="437"/>
      <c r="F255" s="437"/>
      <c r="G255" s="437"/>
      <c r="H255" s="437"/>
      <c r="I255" s="437"/>
      <c r="J255" s="437"/>
      <c r="K255" s="437"/>
      <c r="L255" s="437"/>
      <c r="M255" s="437"/>
      <c r="N255" s="437"/>
      <c r="O255" s="437"/>
      <c r="P255" s="437"/>
      <c r="Q255" s="437"/>
      <c r="R255" s="437"/>
      <c r="S255" s="437"/>
      <c r="T255" s="437"/>
      <c r="U255" s="437"/>
      <c r="V255" s="437"/>
      <c r="W255" s="437"/>
      <c r="X255" s="437"/>
      <c r="Y255" s="437"/>
      <c r="Z255" s="437"/>
      <c r="AA255" s="437"/>
      <c r="AB255" s="437"/>
      <c r="AC255" s="437"/>
      <c r="AD255" s="437"/>
      <c r="AE255" s="437"/>
      <c r="AF255" s="437"/>
      <c r="AG255" s="437"/>
      <c r="AH255" s="437"/>
      <c r="AI255" s="437"/>
      <c r="AJ255" s="437"/>
      <c r="AK255" s="437"/>
      <c r="AL255" s="437"/>
      <c r="AM255" s="437"/>
      <c r="AN255" s="437"/>
      <c r="AO255" s="437"/>
      <c r="AP255" s="437"/>
      <c r="AQ255" s="437"/>
      <c r="AR255" s="437"/>
      <c r="AS255" s="437"/>
      <c r="AT255" s="437"/>
      <c r="AU255" s="437"/>
      <c r="AV255" s="437"/>
      <c r="AW255" s="437"/>
      <c r="AX255" s="436">
        <v>250</v>
      </c>
      <c r="AY255" s="490" t="s">
        <v>3080</v>
      </c>
      <c r="AZ255" s="490" t="s">
        <v>3081</v>
      </c>
      <c r="BA255" s="490" t="s">
        <v>3082</v>
      </c>
      <c r="BB255" s="490" t="s">
        <v>3083</v>
      </c>
      <c r="BC255" s="490" t="s">
        <v>3084</v>
      </c>
      <c r="BD255" s="490" t="s">
        <v>3085</v>
      </c>
      <c r="BE255" s="490" t="s">
        <v>3086</v>
      </c>
      <c r="BF255" s="490" t="s">
        <v>3087</v>
      </c>
      <c r="BG255" s="490" t="s">
        <v>3078</v>
      </c>
      <c r="BH255" s="490" t="s">
        <v>3088</v>
      </c>
      <c r="BI255" s="490" t="s">
        <v>3089</v>
      </c>
      <c r="BJ255" s="490" t="s">
        <v>3090</v>
      </c>
      <c r="BK255" s="437"/>
      <c r="BL255" s="437"/>
      <c r="BM255" s="437"/>
      <c r="BN255" s="437"/>
      <c r="BO255" s="437"/>
      <c r="BP255" s="437"/>
    </row>
    <row r="256" spans="1:68">
      <c r="A256" s="437"/>
      <c r="B256" s="437"/>
      <c r="C256" s="437"/>
      <c r="D256" s="437"/>
      <c r="E256" s="437"/>
      <c r="F256" s="437"/>
      <c r="G256" s="437"/>
      <c r="H256" s="437"/>
      <c r="I256" s="437"/>
      <c r="J256" s="437"/>
      <c r="K256" s="437"/>
      <c r="L256" s="437"/>
      <c r="M256" s="437"/>
      <c r="N256" s="437"/>
      <c r="O256" s="437"/>
      <c r="P256" s="437"/>
      <c r="Q256" s="437"/>
      <c r="R256" s="437"/>
      <c r="S256" s="437"/>
      <c r="T256" s="437"/>
      <c r="U256" s="437"/>
      <c r="V256" s="437"/>
      <c r="W256" s="437"/>
      <c r="X256" s="437"/>
      <c r="Y256" s="437"/>
      <c r="Z256" s="437"/>
      <c r="AA256" s="437"/>
      <c r="AB256" s="437"/>
      <c r="AC256" s="437"/>
      <c r="AD256" s="437"/>
      <c r="AE256" s="437"/>
      <c r="AF256" s="437"/>
      <c r="AG256" s="437"/>
      <c r="AH256" s="437"/>
      <c r="AI256" s="437"/>
      <c r="AJ256" s="437"/>
      <c r="AK256" s="437"/>
      <c r="AL256" s="437"/>
      <c r="AM256" s="437"/>
      <c r="AN256" s="437"/>
      <c r="AO256" s="437"/>
      <c r="AP256" s="437"/>
      <c r="AQ256" s="437"/>
      <c r="AR256" s="437"/>
      <c r="AS256" s="437"/>
      <c r="AT256" s="437"/>
      <c r="AU256" s="437"/>
      <c r="AV256" s="437"/>
      <c r="AW256" s="437"/>
      <c r="AX256" s="436">
        <v>251</v>
      </c>
      <c r="AY256" s="490" t="s">
        <v>3091</v>
      </c>
      <c r="AZ256" s="490" t="s">
        <v>3092</v>
      </c>
      <c r="BA256" s="490" t="s">
        <v>3093</v>
      </c>
      <c r="BB256" s="490" t="s">
        <v>3094</v>
      </c>
      <c r="BC256" s="490" t="s">
        <v>3095</v>
      </c>
      <c r="BD256" s="490" t="s">
        <v>3096</v>
      </c>
      <c r="BE256" s="490" t="s">
        <v>3097</v>
      </c>
      <c r="BF256" s="490" t="s">
        <v>3098</v>
      </c>
      <c r="BG256" s="490" t="s">
        <v>3099</v>
      </c>
      <c r="BH256" s="490" t="s">
        <v>3100</v>
      </c>
      <c r="BI256" s="490" t="s">
        <v>3101</v>
      </c>
      <c r="BJ256" s="490" t="s">
        <v>1203</v>
      </c>
      <c r="BK256" s="437"/>
      <c r="BL256" s="437"/>
      <c r="BM256" s="437"/>
      <c r="BN256" s="437"/>
      <c r="BO256" s="437"/>
      <c r="BP256" s="437"/>
    </row>
    <row r="257" spans="1:68">
      <c r="A257" s="437"/>
      <c r="B257" s="437"/>
      <c r="C257" s="437"/>
      <c r="D257" s="437"/>
      <c r="E257" s="437"/>
      <c r="F257" s="437"/>
      <c r="G257" s="437"/>
      <c r="H257" s="437"/>
      <c r="I257" s="437"/>
      <c r="J257" s="437"/>
      <c r="K257" s="437"/>
      <c r="L257" s="437"/>
      <c r="M257" s="437"/>
      <c r="N257" s="437"/>
      <c r="O257" s="437"/>
      <c r="P257" s="437"/>
      <c r="Q257" s="437"/>
      <c r="R257" s="437"/>
      <c r="S257" s="437"/>
      <c r="T257" s="437"/>
      <c r="U257" s="437"/>
      <c r="V257" s="437"/>
      <c r="W257" s="437"/>
      <c r="X257" s="437"/>
      <c r="Y257" s="437"/>
      <c r="Z257" s="437"/>
      <c r="AA257" s="437"/>
      <c r="AB257" s="437"/>
      <c r="AC257" s="437"/>
      <c r="AD257" s="437"/>
      <c r="AE257" s="437"/>
      <c r="AF257" s="437"/>
      <c r="AG257" s="437"/>
      <c r="AH257" s="437"/>
      <c r="AI257" s="437"/>
      <c r="AJ257" s="437"/>
      <c r="AK257" s="437"/>
      <c r="AL257" s="437"/>
      <c r="AM257" s="437"/>
      <c r="AN257" s="437"/>
      <c r="AO257" s="437"/>
      <c r="AP257" s="437"/>
      <c r="AQ257" s="437"/>
      <c r="AR257" s="437"/>
      <c r="AS257" s="437"/>
      <c r="AT257" s="437"/>
      <c r="AU257" s="437"/>
      <c r="AV257" s="437"/>
      <c r="AW257" s="437"/>
      <c r="AX257" s="436">
        <v>252</v>
      </c>
      <c r="AY257" s="490" t="s">
        <v>3102</v>
      </c>
      <c r="AZ257" s="490" t="s">
        <v>3103</v>
      </c>
      <c r="BA257" s="490" t="s">
        <v>3104</v>
      </c>
      <c r="BB257" s="490" t="s">
        <v>3105</v>
      </c>
      <c r="BC257" s="490" t="s">
        <v>767</v>
      </c>
      <c r="BD257" s="490" t="s">
        <v>3106</v>
      </c>
      <c r="BE257" s="490" t="s">
        <v>3107</v>
      </c>
      <c r="BF257" s="490" t="s">
        <v>3108</v>
      </c>
      <c r="BG257" s="490" t="s">
        <v>3109</v>
      </c>
      <c r="BH257" s="490" t="s">
        <v>3110</v>
      </c>
      <c r="BI257" s="490" t="s">
        <v>3111</v>
      </c>
      <c r="BJ257" s="490" t="s">
        <v>3112</v>
      </c>
      <c r="BK257" s="437"/>
      <c r="BL257" s="437"/>
      <c r="BM257" s="437"/>
      <c r="BN257" s="437"/>
      <c r="BO257" s="437"/>
      <c r="BP257" s="437"/>
    </row>
    <row r="258" spans="1:68">
      <c r="A258" s="437"/>
      <c r="B258" s="437"/>
      <c r="C258" s="437"/>
      <c r="D258" s="437"/>
      <c r="E258" s="437"/>
      <c r="F258" s="437"/>
      <c r="G258" s="437"/>
      <c r="H258" s="437"/>
      <c r="I258" s="437"/>
      <c r="J258" s="437"/>
      <c r="K258" s="437"/>
      <c r="L258" s="437"/>
      <c r="M258" s="437"/>
      <c r="N258" s="437"/>
      <c r="O258" s="437"/>
      <c r="P258" s="437"/>
      <c r="Q258" s="437"/>
      <c r="R258" s="437"/>
      <c r="S258" s="437"/>
      <c r="T258" s="437"/>
      <c r="U258" s="437"/>
      <c r="V258" s="437"/>
      <c r="W258" s="437"/>
      <c r="X258" s="437"/>
      <c r="Y258" s="437"/>
      <c r="Z258" s="437"/>
      <c r="AA258" s="437"/>
      <c r="AB258" s="437"/>
      <c r="AC258" s="437"/>
      <c r="AD258" s="437"/>
      <c r="AE258" s="437"/>
      <c r="AF258" s="437"/>
      <c r="AG258" s="437"/>
      <c r="AH258" s="437"/>
      <c r="AI258" s="437"/>
      <c r="AJ258" s="437"/>
      <c r="AK258" s="437"/>
      <c r="AL258" s="437"/>
      <c r="AM258" s="437"/>
      <c r="AN258" s="437"/>
      <c r="AO258" s="437"/>
      <c r="AP258" s="437"/>
      <c r="AQ258" s="437"/>
      <c r="AR258" s="437"/>
      <c r="AS258" s="437"/>
      <c r="AT258" s="437"/>
      <c r="AU258" s="437"/>
      <c r="AV258" s="437"/>
      <c r="AW258" s="437"/>
      <c r="AX258" s="436">
        <v>253</v>
      </c>
      <c r="AY258" s="490" t="s">
        <v>3113</v>
      </c>
      <c r="AZ258" s="490" t="s">
        <v>3114</v>
      </c>
      <c r="BA258" s="490" t="s">
        <v>3115</v>
      </c>
      <c r="BB258" s="490" t="s">
        <v>445</v>
      </c>
      <c r="BC258" s="490" t="s">
        <v>789</v>
      </c>
      <c r="BD258" s="490" t="s">
        <v>3116</v>
      </c>
      <c r="BE258" s="490" t="s">
        <v>3117</v>
      </c>
      <c r="BF258" s="490" t="s">
        <v>3118</v>
      </c>
      <c r="BG258" s="490" t="s">
        <v>3119</v>
      </c>
      <c r="BH258" s="490" t="s">
        <v>3120</v>
      </c>
      <c r="BI258" s="490" t="s">
        <v>3121</v>
      </c>
      <c r="BJ258" s="490" t="s">
        <v>3122</v>
      </c>
      <c r="BK258" s="437"/>
      <c r="BL258" s="437"/>
      <c r="BM258" s="437"/>
      <c r="BN258" s="437"/>
      <c r="BO258" s="437"/>
      <c r="BP258" s="437"/>
    </row>
    <row r="259" spans="1:68">
      <c r="A259" s="437"/>
      <c r="B259" s="437"/>
      <c r="C259" s="437"/>
      <c r="D259" s="437"/>
      <c r="E259" s="437"/>
      <c r="F259" s="437"/>
      <c r="G259" s="437"/>
      <c r="H259" s="437"/>
      <c r="I259" s="437"/>
      <c r="J259" s="437"/>
      <c r="K259" s="437"/>
      <c r="L259" s="437"/>
      <c r="M259" s="437"/>
      <c r="N259" s="437"/>
      <c r="O259" s="437"/>
      <c r="P259" s="437"/>
      <c r="Q259" s="437"/>
      <c r="R259" s="437"/>
      <c r="S259" s="437"/>
      <c r="T259" s="437"/>
      <c r="U259" s="437"/>
      <c r="V259" s="437"/>
      <c r="W259" s="437"/>
      <c r="X259" s="437"/>
      <c r="Y259" s="437"/>
      <c r="Z259" s="437"/>
      <c r="AA259" s="437"/>
      <c r="AB259" s="437"/>
      <c r="AC259" s="437"/>
      <c r="AD259" s="437"/>
      <c r="AE259" s="437"/>
      <c r="AF259" s="437"/>
      <c r="AG259" s="437"/>
      <c r="AH259" s="437"/>
      <c r="AI259" s="437"/>
      <c r="AJ259" s="437"/>
      <c r="AK259" s="437"/>
      <c r="AL259" s="437"/>
      <c r="AM259" s="437"/>
      <c r="AN259" s="437"/>
      <c r="AO259" s="437"/>
      <c r="AP259" s="437"/>
      <c r="AQ259" s="437"/>
      <c r="AR259" s="437"/>
      <c r="AS259" s="437"/>
      <c r="AT259" s="437"/>
      <c r="AU259" s="437"/>
      <c r="AV259" s="437"/>
      <c r="AW259" s="437"/>
      <c r="AX259" s="436">
        <v>254</v>
      </c>
      <c r="AY259" s="490" t="s">
        <v>3123</v>
      </c>
      <c r="AZ259" s="490" t="s">
        <v>3124</v>
      </c>
      <c r="BA259" s="490" t="s">
        <v>3125</v>
      </c>
      <c r="BB259" s="490" t="s">
        <v>3126</v>
      </c>
      <c r="BC259" s="490" t="s">
        <v>3127</v>
      </c>
      <c r="BD259" s="490" t="s">
        <v>779</v>
      </c>
      <c r="BE259" s="490" t="s">
        <v>3128</v>
      </c>
      <c r="BF259" s="490" t="s">
        <v>3129</v>
      </c>
      <c r="BG259" s="490" t="s">
        <v>3118</v>
      </c>
      <c r="BH259" s="490" t="s">
        <v>3130</v>
      </c>
      <c r="BI259" s="490" t="s">
        <v>3131</v>
      </c>
      <c r="BJ259" s="490" t="s">
        <v>1293</v>
      </c>
      <c r="BK259" s="437"/>
      <c r="BL259" s="437"/>
      <c r="BM259" s="437"/>
      <c r="BN259" s="437"/>
      <c r="BO259" s="437"/>
      <c r="BP259" s="437"/>
    </row>
    <row r="260" spans="1:68">
      <c r="A260" s="437"/>
      <c r="B260" s="437"/>
      <c r="C260" s="437"/>
      <c r="D260" s="437"/>
      <c r="E260" s="437"/>
      <c r="F260" s="437"/>
      <c r="G260" s="437"/>
      <c r="H260" s="437"/>
      <c r="I260" s="437"/>
      <c r="J260" s="437"/>
      <c r="K260" s="437"/>
      <c r="L260" s="437"/>
      <c r="M260" s="437"/>
      <c r="N260" s="437"/>
      <c r="O260" s="437"/>
      <c r="P260" s="437"/>
      <c r="Q260" s="437"/>
      <c r="R260" s="437"/>
      <c r="S260" s="437"/>
      <c r="T260" s="437"/>
      <c r="U260" s="437"/>
      <c r="V260" s="437"/>
      <c r="W260" s="437"/>
      <c r="X260" s="437"/>
      <c r="Y260" s="437"/>
      <c r="Z260" s="437"/>
      <c r="AA260" s="437"/>
      <c r="AB260" s="437"/>
      <c r="AC260" s="437"/>
      <c r="AD260" s="437"/>
      <c r="AE260" s="437"/>
      <c r="AF260" s="437"/>
      <c r="AG260" s="437"/>
      <c r="AH260" s="437"/>
      <c r="AI260" s="437"/>
      <c r="AJ260" s="437"/>
      <c r="AK260" s="437"/>
      <c r="AL260" s="437"/>
      <c r="AM260" s="437"/>
      <c r="AN260" s="437"/>
      <c r="AO260" s="437"/>
      <c r="AP260" s="437"/>
      <c r="AQ260" s="437"/>
      <c r="AR260" s="437"/>
      <c r="AS260" s="437"/>
      <c r="AT260" s="437"/>
      <c r="AU260" s="437"/>
      <c r="AV260" s="437"/>
      <c r="AW260" s="437"/>
      <c r="AX260" s="436">
        <v>255</v>
      </c>
      <c r="AY260" s="490" t="s">
        <v>3132</v>
      </c>
      <c r="AZ260" s="490" t="s">
        <v>3133</v>
      </c>
      <c r="BA260" s="490" t="s">
        <v>3134</v>
      </c>
      <c r="BB260" s="490" t="s">
        <v>3135</v>
      </c>
      <c r="BC260" s="490" t="s">
        <v>812</v>
      </c>
      <c r="BD260" s="490" t="s">
        <v>3136</v>
      </c>
      <c r="BE260" s="490" t="s">
        <v>3137</v>
      </c>
      <c r="BF260" s="490" t="s">
        <v>3138</v>
      </c>
      <c r="BG260" s="490" t="s">
        <v>3139</v>
      </c>
      <c r="BH260" s="490" t="s">
        <v>3140</v>
      </c>
      <c r="BI260" s="490" t="s">
        <v>3141</v>
      </c>
      <c r="BJ260" s="490" t="s">
        <v>3142</v>
      </c>
      <c r="BK260" s="437"/>
      <c r="BL260" s="437"/>
      <c r="BM260" s="437"/>
      <c r="BN260" s="437"/>
      <c r="BO260" s="437"/>
      <c r="BP260" s="437"/>
    </row>
    <row r="261" spans="1:68">
      <c r="A261" s="437"/>
      <c r="B261" s="437"/>
      <c r="C261" s="437"/>
      <c r="D261" s="437"/>
      <c r="E261" s="437"/>
      <c r="F261" s="437"/>
      <c r="G261" s="437"/>
      <c r="H261" s="437"/>
      <c r="I261" s="437"/>
      <c r="J261" s="437"/>
      <c r="K261" s="437"/>
      <c r="L261" s="437"/>
      <c r="M261" s="437"/>
      <c r="N261" s="437"/>
      <c r="O261" s="437"/>
      <c r="P261" s="437"/>
      <c r="Q261" s="437"/>
      <c r="R261" s="437"/>
      <c r="S261" s="437"/>
      <c r="T261" s="437"/>
      <c r="U261" s="437"/>
      <c r="V261" s="437"/>
      <c r="W261" s="437"/>
      <c r="X261" s="437"/>
      <c r="Y261" s="437"/>
      <c r="Z261" s="437"/>
      <c r="AA261" s="437"/>
      <c r="AB261" s="437"/>
      <c r="AC261" s="437"/>
      <c r="AD261" s="437"/>
      <c r="AE261" s="437"/>
      <c r="AF261" s="437"/>
      <c r="AG261" s="437"/>
      <c r="AH261" s="437"/>
      <c r="AI261" s="437"/>
      <c r="AJ261" s="437"/>
      <c r="AK261" s="437"/>
      <c r="AL261" s="437"/>
      <c r="AM261" s="437"/>
      <c r="AN261" s="437"/>
      <c r="AO261" s="437"/>
      <c r="AP261" s="437"/>
      <c r="AQ261" s="437"/>
      <c r="AR261" s="437"/>
      <c r="AS261" s="437"/>
      <c r="AT261" s="437"/>
      <c r="AU261" s="437"/>
      <c r="AV261" s="437"/>
      <c r="AW261" s="437"/>
      <c r="AX261" s="436">
        <v>256</v>
      </c>
      <c r="AY261" s="490" t="s">
        <v>3143</v>
      </c>
      <c r="AZ261" s="490" t="s">
        <v>3144</v>
      </c>
      <c r="BA261" s="490" t="s">
        <v>3145</v>
      </c>
      <c r="BB261" s="490" t="s">
        <v>3126</v>
      </c>
      <c r="BC261" s="490" t="s">
        <v>3146</v>
      </c>
      <c r="BD261" s="490" t="s">
        <v>3147</v>
      </c>
      <c r="BE261" s="490" t="s">
        <v>3148</v>
      </c>
      <c r="BF261" s="490" t="s">
        <v>3149</v>
      </c>
      <c r="BG261" s="490" t="s">
        <v>3138</v>
      </c>
      <c r="BH261" s="490" t="s">
        <v>3150</v>
      </c>
      <c r="BI261" s="490" t="s">
        <v>827</v>
      </c>
      <c r="BJ261" s="490" t="s">
        <v>3151</v>
      </c>
      <c r="BK261" s="437"/>
      <c r="BL261" s="437"/>
      <c r="BM261" s="437"/>
      <c r="BN261" s="437"/>
      <c r="BO261" s="437"/>
      <c r="BP261" s="437"/>
    </row>
    <row r="262" spans="1:68">
      <c r="A262" s="437"/>
      <c r="B262" s="437"/>
      <c r="C262" s="437"/>
      <c r="D262" s="437"/>
      <c r="E262" s="437"/>
      <c r="F262" s="437"/>
      <c r="G262" s="437"/>
      <c r="H262" s="437"/>
      <c r="I262" s="437"/>
      <c r="J262" s="437"/>
      <c r="K262" s="437"/>
      <c r="L262" s="437"/>
      <c r="M262" s="437"/>
      <c r="N262" s="437"/>
      <c r="O262" s="437"/>
      <c r="P262" s="437"/>
      <c r="Q262" s="437"/>
      <c r="R262" s="437"/>
      <c r="S262" s="437"/>
      <c r="T262" s="437"/>
      <c r="U262" s="437"/>
      <c r="V262" s="437"/>
      <c r="W262" s="437"/>
      <c r="X262" s="437"/>
      <c r="Y262" s="437"/>
      <c r="Z262" s="437"/>
      <c r="AA262" s="437"/>
      <c r="AB262" s="437"/>
      <c r="AC262" s="437"/>
      <c r="AD262" s="437"/>
      <c r="AE262" s="437"/>
      <c r="AF262" s="437"/>
      <c r="AG262" s="437"/>
      <c r="AH262" s="437"/>
      <c r="AI262" s="437"/>
      <c r="AJ262" s="437"/>
      <c r="AK262" s="437"/>
      <c r="AL262" s="437"/>
      <c r="AM262" s="437"/>
      <c r="AN262" s="437"/>
      <c r="AO262" s="437"/>
      <c r="AP262" s="437"/>
      <c r="AQ262" s="437"/>
      <c r="AR262" s="437"/>
      <c r="AS262" s="437"/>
      <c r="AT262" s="437"/>
      <c r="AU262" s="437"/>
      <c r="AV262" s="437"/>
      <c r="AW262" s="437"/>
      <c r="AX262" s="436">
        <v>257</v>
      </c>
      <c r="AY262" s="490" t="s">
        <v>3152</v>
      </c>
      <c r="AZ262" s="490" t="s">
        <v>3153</v>
      </c>
      <c r="BA262" s="490" t="s">
        <v>3154</v>
      </c>
      <c r="BB262" s="490" t="s">
        <v>3005</v>
      </c>
      <c r="BC262" s="490" t="s">
        <v>3155</v>
      </c>
      <c r="BD262" s="490" t="s">
        <v>2954</v>
      </c>
      <c r="BE262" s="490" t="s">
        <v>3156</v>
      </c>
      <c r="BF262" s="490" t="s">
        <v>3157</v>
      </c>
      <c r="BG262" s="490" t="s">
        <v>3158</v>
      </c>
      <c r="BH262" s="490" t="s">
        <v>446</v>
      </c>
      <c r="BI262" s="490" t="s">
        <v>3159</v>
      </c>
      <c r="BJ262" s="490" t="s">
        <v>2565</v>
      </c>
      <c r="BK262" s="437"/>
      <c r="BL262" s="437"/>
      <c r="BM262" s="437"/>
      <c r="BN262" s="437"/>
      <c r="BO262" s="437"/>
      <c r="BP262" s="437"/>
    </row>
    <row r="263" spans="1:68">
      <c r="A263" s="437"/>
      <c r="B263" s="437"/>
      <c r="C263" s="437"/>
      <c r="D263" s="437"/>
      <c r="E263" s="437"/>
      <c r="F263" s="437"/>
      <c r="G263" s="437"/>
      <c r="H263" s="437"/>
      <c r="I263" s="437"/>
      <c r="J263" s="437"/>
      <c r="K263" s="437"/>
      <c r="L263" s="437"/>
      <c r="M263" s="437"/>
      <c r="N263" s="437"/>
      <c r="O263" s="437"/>
      <c r="P263" s="437"/>
      <c r="Q263" s="437"/>
      <c r="R263" s="437"/>
      <c r="S263" s="437"/>
      <c r="T263" s="437"/>
      <c r="U263" s="437"/>
      <c r="V263" s="437"/>
      <c r="W263" s="437"/>
      <c r="X263" s="437"/>
      <c r="Y263" s="437"/>
      <c r="Z263" s="437"/>
      <c r="AA263" s="437"/>
      <c r="AB263" s="437"/>
      <c r="AC263" s="437"/>
      <c r="AD263" s="437"/>
      <c r="AE263" s="437"/>
      <c r="AF263" s="437"/>
      <c r="AG263" s="437"/>
      <c r="AH263" s="437"/>
      <c r="AI263" s="437"/>
      <c r="AJ263" s="437"/>
      <c r="AK263" s="437"/>
      <c r="AL263" s="437"/>
      <c r="AM263" s="437"/>
      <c r="AN263" s="437"/>
      <c r="AO263" s="437"/>
      <c r="AP263" s="437"/>
      <c r="AQ263" s="437"/>
      <c r="AR263" s="437"/>
      <c r="AS263" s="437"/>
      <c r="AT263" s="437"/>
      <c r="AU263" s="437"/>
      <c r="AV263" s="437"/>
      <c r="AW263" s="437"/>
      <c r="AX263" s="436">
        <v>258</v>
      </c>
      <c r="AY263" s="490" t="s">
        <v>3160</v>
      </c>
      <c r="AZ263" s="490" t="s">
        <v>3161</v>
      </c>
      <c r="BA263" s="490" t="s">
        <v>3162</v>
      </c>
      <c r="BB263" s="490" t="s">
        <v>3163</v>
      </c>
      <c r="BC263" s="490" t="s">
        <v>3164</v>
      </c>
      <c r="BD263" s="490" t="s">
        <v>822</v>
      </c>
      <c r="BE263" s="490" t="s">
        <v>3165</v>
      </c>
      <c r="BF263" s="490" t="s">
        <v>3166</v>
      </c>
      <c r="BG263" s="490" t="s">
        <v>3167</v>
      </c>
      <c r="BH263" s="490" t="s">
        <v>3168</v>
      </c>
      <c r="BI263" s="490" t="s">
        <v>3169</v>
      </c>
      <c r="BJ263" s="490" t="s">
        <v>3170</v>
      </c>
      <c r="BK263" s="437"/>
      <c r="BL263" s="437"/>
      <c r="BM263" s="437"/>
      <c r="BN263" s="437"/>
      <c r="BO263" s="437"/>
      <c r="BP263" s="437"/>
    </row>
    <row r="264" spans="1:68">
      <c r="A264" s="437"/>
      <c r="B264" s="437"/>
      <c r="C264" s="437"/>
      <c r="D264" s="437"/>
      <c r="E264" s="437"/>
      <c r="F264" s="437"/>
      <c r="G264" s="437"/>
      <c r="H264" s="437"/>
      <c r="I264" s="437"/>
      <c r="J264" s="437"/>
      <c r="K264" s="437"/>
      <c r="L264" s="437"/>
      <c r="M264" s="437"/>
      <c r="N264" s="437"/>
      <c r="O264" s="437"/>
      <c r="P264" s="437"/>
      <c r="Q264" s="437"/>
      <c r="R264" s="437"/>
      <c r="S264" s="437"/>
      <c r="T264" s="437"/>
      <c r="U264" s="437"/>
      <c r="V264" s="437"/>
      <c r="W264" s="437"/>
      <c r="X264" s="437"/>
      <c r="Y264" s="437"/>
      <c r="Z264" s="437"/>
      <c r="AA264" s="437"/>
      <c r="AB264" s="437"/>
      <c r="AC264" s="437"/>
      <c r="AD264" s="437"/>
      <c r="AE264" s="437"/>
      <c r="AF264" s="437"/>
      <c r="AG264" s="437"/>
      <c r="AH264" s="437"/>
      <c r="AI264" s="437"/>
      <c r="AJ264" s="437"/>
      <c r="AK264" s="437"/>
      <c r="AL264" s="437"/>
      <c r="AM264" s="437"/>
      <c r="AN264" s="437"/>
      <c r="AO264" s="437"/>
      <c r="AP264" s="437"/>
      <c r="AQ264" s="437"/>
      <c r="AR264" s="437"/>
      <c r="AS264" s="437"/>
      <c r="AT264" s="437"/>
      <c r="AU264" s="437"/>
      <c r="AV264" s="437"/>
      <c r="AW264" s="437"/>
      <c r="AX264" s="436">
        <v>259</v>
      </c>
      <c r="AY264" s="490" t="s">
        <v>3153</v>
      </c>
      <c r="AZ264" s="490" t="s">
        <v>3171</v>
      </c>
      <c r="BA264" s="490" t="s">
        <v>3172</v>
      </c>
      <c r="BB264" s="490" t="s">
        <v>3173</v>
      </c>
      <c r="BC264" s="490" t="s">
        <v>852</v>
      </c>
      <c r="BD264" s="490" t="s">
        <v>3174</v>
      </c>
      <c r="BE264" s="490" t="s">
        <v>3175</v>
      </c>
      <c r="BF264" s="490" t="s">
        <v>3176</v>
      </c>
      <c r="BG264" s="490" t="s">
        <v>3166</v>
      </c>
      <c r="BH264" s="490" t="s">
        <v>3177</v>
      </c>
      <c r="BI264" s="490" t="s">
        <v>3178</v>
      </c>
      <c r="BJ264" s="490" t="s">
        <v>3179</v>
      </c>
      <c r="BK264" s="437"/>
      <c r="BL264" s="437"/>
      <c r="BM264" s="437"/>
      <c r="BN264" s="437"/>
      <c r="BO264" s="437"/>
      <c r="BP264" s="437"/>
    </row>
    <row r="265" spans="1:68">
      <c r="A265" s="437"/>
      <c r="B265" s="437"/>
      <c r="C265" s="437"/>
      <c r="D265" s="437"/>
      <c r="E265" s="437"/>
      <c r="F265" s="437"/>
      <c r="G265" s="437"/>
      <c r="H265" s="437"/>
      <c r="I265" s="437"/>
      <c r="J265" s="437"/>
      <c r="K265" s="437"/>
      <c r="L265" s="437"/>
      <c r="M265" s="437"/>
      <c r="N265" s="437"/>
      <c r="O265" s="437"/>
      <c r="P265" s="437"/>
      <c r="Q265" s="437"/>
      <c r="R265" s="437"/>
      <c r="S265" s="437"/>
      <c r="T265" s="437"/>
      <c r="U265" s="437"/>
      <c r="V265" s="437"/>
      <c r="W265" s="437"/>
      <c r="X265" s="437"/>
      <c r="Y265" s="437"/>
      <c r="Z265" s="437"/>
      <c r="AA265" s="437"/>
      <c r="AB265" s="437"/>
      <c r="AC265" s="437"/>
      <c r="AD265" s="437"/>
      <c r="AE265" s="437"/>
      <c r="AF265" s="437"/>
      <c r="AG265" s="437"/>
      <c r="AH265" s="437"/>
      <c r="AI265" s="437"/>
      <c r="AJ265" s="437"/>
      <c r="AK265" s="437"/>
      <c r="AL265" s="437"/>
      <c r="AM265" s="437"/>
      <c r="AN265" s="437"/>
      <c r="AO265" s="437"/>
      <c r="AP265" s="437"/>
      <c r="AQ265" s="437"/>
      <c r="AR265" s="437"/>
      <c r="AS265" s="437"/>
      <c r="AT265" s="437"/>
      <c r="AU265" s="437"/>
      <c r="AV265" s="437"/>
      <c r="AW265" s="437"/>
      <c r="AX265" s="436">
        <v>260</v>
      </c>
      <c r="AY265" s="490" t="s">
        <v>3180</v>
      </c>
      <c r="AZ265" s="490" t="s">
        <v>3181</v>
      </c>
      <c r="BA265" s="490" t="s">
        <v>3182</v>
      </c>
      <c r="BB265" s="490" t="s">
        <v>3183</v>
      </c>
      <c r="BC265" s="490" t="s">
        <v>3184</v>
      </c>
      <c r="BD265" s="490" t="s">
        <v>3075</v>
      </c>
      <c r="BE265" s="490" t="s">
        <v>3185</v>
      </c>
      <c r="BF265" s="490" t="s">
        <v>3186</v>
      </c>
      <c r="BG265" s="490" t="s">
        <v>3187</v>
      </c>
      <c r="BH265" s="490" t="s">
        <v>3188</v>
      </c>
      <c r="BI265" s="490" t="s">
        <v>3189</v>
      </c>
      <c r="BJ265" s="490" t="s">
        <v>3190</v>
      </c>
      <c r="BK265" s="437"/>
      <c r="BL265" s="437"/>
      <c r="BM265" s="437"/>
      <c r="BN265" s="437"/>
      <c r="BO265" s="437"/>
      <c r="BP265" s="437"/>
    </row>
    <row r="266" spans="1:68">
      <c r="A266" s="437"/>
      <c r="B266" s="437"/>
      <c r="C266" s="437"/>
      <c r="D266" s="437"/>
      <c r="E266" s="437"/>
      <c r="F266" s="437"/>
      <c r="G266" s="437"/>
      <c r="H266" s="437"/>
      <c r="I266" s="437"/>
      <c r="J266" s="437"/>
      <c r="K266" s="437"/>
      <c r="L266" s="437"/>
      <c r="M266" s="437"/>
      <c r="N266" s="437"/>
      <c r="O266" s="437"/>
      <c r="P266" s="437"/>
      <c r="Q266" s="437"/>
      <c r="R266" s="437"/>
      <c r="S266" s="437"/>
      <c r="T266" s="437"/>
      <c r="U266" s="437"/>
      <c r="V266" s="437"/>
      <c r="W266" s="437"/>
      <c r="X266" s="437"/>
      <c r="Y266" s="437"/>
      <c r="Z266" s="437"/>
      <c r="AA266" s="437"/>
      <c r="AB266" s="437"/>
      <c r="AC266" s="437"/>
      <c r="AD266" s="437"/>
      <c r="AE266" s="437"/>
      <c r="AF266" s="437"/>
      <c r="AG266" s="437"/>
      <c r="AH266" s="437"/>
      <c r="AI266" s="437"/>
      <c r="AJ266" s="437"/>
      <c r="AK266" s="437"/>
      <c r="AL266" s="437"/>
      <c r="AM266" s="437"/>
      <c r="AN266" s="437"/>
      <c r="AO266" s="437"/>
      <c r="AP266" s="437"/>
      <c r="AQ266" s="437"/>
      <c r="AR266" s="437"/>
      <c r="AS266" s="437"/>
      <c r="AT266" s="437"/>
      <c r="AU266" s="437"/>
      <c r="AV266" s="437"/>
      <c r="AW266" s="437"/>
      <c r="AX266" s="436">
        <v>261</v>
      </c>
      <c r="AY266" s="490" t="s">
        <v>3191</v>
      </c>
      <c r="AZ266" s="490" t="s">
        <v>3192</v>
      </c>
      <c r="BA266" s="490" t="s">
        <v>3193</v>
      </c>
      <c r="BB266" s="490" t="s">
        <v>447</v>
      </c>
      <c r="BC266" s="490" t="s">
        <v>3194</v>
      </c>
      <c r="BD266" s="490" t="s">
        <v>3195</v>
      </c>
      <c r="BE266" s="490" t="s">
        <v>3196</v>
      </c>
      <c r="BF266" s="490" t="s">
        <v>3197</v>
      </c>
      <c r="BG266" s="490" t="s">
        <v>3186</v>
      </c>
      <c r="BH266" s="490" t="s">
        <v>3109</v>
      </c>
      <c r="BI266" s="490" t="s">
        <v>878</v>
      </c>
      <c r="BJ266" s="490" t="s">
        <v>3198</v>
      </c>
      <c r="BK266" s="437"/>
      <c r="BL266" s="437"/>
      <c r="BM266" s="437"/>
      <c r="BN266" s="437"/>
      <c r="BO266" s="437"/>
      <c r="BP266" s="437"/>
    </row>
    <row r="267" spans="1:68">
      <c r="A267" s="437"/>
      <c r="B267" s="437"/>
      <c r="C267" s="437"/>
      <c r="D267" s="437"/>
      <c r="E267" s="437"/>
      <c r="F267" s="437"/>
      <c r="G267" s="437"/>
      <c r="H267" s="437"/>
      <c r="I267" s="437"/>
      <c r="J267" s="437"/>
      <c r="K267" s="437"/>
      <c r="L267" s="437"/>
      <c r="M267" s="437"/>
      <c r="N267" s="437"/>
      <c r="O267" s="437"/>
      <c r="P267" s="437"/>
      <c r="Q267" s="437"/>
      <c r="R267" s="437"/>
      <c r="S267" s="437"/>
      <c r="T267" s="437"/>
      <c r="U267" s="437"/>
      <c r="V267" s="437"/>
      <c r="W267" s="437"/>
      <c r="X267" s="437"/>
      <c r="Y267" s="437"/>
      <c r="Z267" s="437"/>
      <c r="AA267" s="437"/>
      <c r="AB267" s="437"/>
      <c r="AC267" s="437"/>
      <c r="AD267" s="437"/>
      <c r="AE267" s="437"/>
      <c r="AF267" s="437"/>
      <c r="AG267" s="437"/>
      <c r="AH267" s="437"/>
      <c r="AI267" s="437"/>
      <c r="AJ267" s="437"/>
      <c r="AK267" s="437"/>
      <c r="AL267" s="437"/>
      <c r="AM267" s="437"/>
      <c r="AN267" s="437"/>
      <c r="AO267" s="437"/>
      <c r="AP267" s="437"/>
      <c r="AQ267" s="437"/>
      <c r="AR267" s="437"/>
      <c r="AS267" s="437"/>
      <c r="AT267" s="437"/>
      <c r="AU267" s="437"/>
      <c r="AV267" s="437"/>
      <c r="AW267" s="437"/>
      <c r="AX267" s="436">
        <v>262</v>
      </c>
      <c r="AY267" s="490" t="s">
        <v>3199</v>
      </c>
      <c r="AZ267" s="490" t="s">
        <v>3200</v>
      </c>
      <c r="BA267" s="490" t="s">
        <v>3201</v>
      </c>
      <c r="BB267" s="490" t="s">
        <v>3202</v>
      </c>
      <c r="BC267" s="490" t="s">
        <v>3203</v>
      </c>
      <c r="BD267" s="490" t="s">
        <v>3204</v>
      </c>
      <c r="BE267" s="490" t="s">
        <v>3205</v>
      </c>
      <c r="BF267" s="490" t="s">
        <v>3206</v>
      </c>
      <c r="BG267" s="490" t="s">
        <v>3197</v>
      </c>
      <c r="BH267" s="490" t="s">
        <v>3207</v>
      </c>
      <c r="BI267" s="490" t="s">
        <v>3208</v>
      </c>
      <c r="BJ267" s="490" t="s">
        <v>3209</v>
      </c>
      <c r="BK267" s="437"/>
      <c r="BL267" s="437"/>
      <c r="BM267" s="437"/>
      <c r="BN267" s="437"/>
      <c r="BO267" s="437"/>
      <c r="BP267" s="437"/>
    </row>
    <row r="268" spans="1:68">
      <c r="A268" s="437"/>
      <c r="B268" s="437"/>
      <c r="C268" s="437"/>
      <c r="D268" s="437"/>
      <c r="E268" s="437"/>
      <c r="F268" s="437"/>
      <c r="G268" s="437"/>
      <c r="H268" s="437"/>
      <c r="I268" s="437"/>
      <c r="J268" s="437"/>
      <c r="K268" s="437"/>
      <c r="L268" s="437"/>
      <c r="M268" s="437"/>
      <c r="N268" s="437"/>
      <c r="O268" s="437"/>
      <c r="P268" s="437"/>
      <c r="Q268" s="437"/>
      <c r="R268" s="437"/>
      <c r="S268" s="437"/>
      <c r="T268" s="437"/>
      <c r="U268" s="437"/>
      <c r="V268" s="437"/>
      <c r="W268" s="437"/>
      <c r="X268" s="437"/>
      <c r="Y268" s="437"/>
      <c r="Z268" s="437"/>
      <c r="AA268" s="437"/>
      <c r="AB268" s="437"/>
      <c r="AC268" s="437"/>
      <c r="AD268" s="437"/>
      <c r="AE268" s="437"/>
      <c r="AF268" s="437"/>
      <c r="AG268" s="437"/>
      <c r="AH268" s="437"/>
      <c r="AI268" s="437"/>
      <c r="AJ268" s="437"/>
      <c r="AK268" s="437"/>
      <c r="AL268" s="437"/>
      <c r="AM268" s="437"/>
      <c r="AN268" s="437"/>
      <c r="AO268" s="437"/>
      <c r="AP268" s="437"/>
      <c r="AQ268" s="437"/>
      <c r="AR268" s="437"/>
      <c r="AS268" s="437"/>
      <c r="AT268" s="437"/>
      <c r="AU268" s="437"/>
      <c r="AV268" s="437"/>
      <c r="AW268" s="437"/>
      <c r="AX268" s="436">
        <v>263</v>
      </c>
      <c r="AY268" s="490" t="s">
        <v>3192</v>
      </c>
      <c r="AZ268" s="490" t="s">
        <v>3210</v>
      </c>
      <c r="BA268" s="490" t="s">
        <v>3211</v>
      </c>
      <c r="BB268" s="490" t="s">
        <v>3212</v>
      </c>
      <c r="BC268" s="490" t="s">
        <v>3213</v>
      </c>
      <c r="BD268" s="490" t="s">
        <v>3214</v>
      </c>
      <c r="BE268" s="490" t="s">
        <v>3215</v>
      </c>
      <c r="BF268" s="490" t="s">
        <v>3216</v>
      </c>
      <c r="BG268" s="490" t="s">
        <v>3217</v>
      </c>
      <c r="BH268" s="490" t="s">
        <v>448</v>
      </c>
      <c r="BI268" s="490" t="s">
        <v>298</v>
      </c>
      <c r="BJ268" s="490" t="s">
        <v>3218</v>
      </c>
      <c r="BK268" s="437"/>
      <c r="BL268" s="437"/>
      <c r="BM268" s="437"/>
      <c r="BN268" s="437"/>
      <c r="BO268" s="437"/>
      <c r="BP268" s="437"/>
    </row>
    <row r="269" spans="1:68">
      <c r="A269" s="437"/>
      <c r="B269" s="437"/>
      <c r="C269" s="437"/>
      <c r="D269" s="437"/>
      <c r="E269" s="437"/>
      <c r="F269" s="437"/>
      <c r="G269" s="437"/>
      <c r="H269" s="437"/>
      <c r="I269" s="437"/>
      <c r="J269" s="437"/>
      <c r="K269" s="437"/>
      <c r="L269" s="437"/>
      <c r="M269" s="437"/>
      <c r="N269" s="437"/>
      <c r="O269" s="437"/>
      <c r="P269" s="437"/>
      <c r="Q269" s="437"/>
      <c r="R269" s="437"/>
      <c r="S269" s="437"/>
      <c r="T269" s="437"/>
      <c r="U269" s="437"/>
      <c r="V269" s="437"/>
      <c r="W269" s="437"/>
      <c r="X269" s="437"/>
      <c r="Y269" s="437"/>
      <c r="Z269" s="437"/>
      <c r="AA269" s="437"/>
      <c r="AB269" s="437"/>
      <c r="AC269" s="437"/>
      <c r="AD269" s="437"/>
      <c r="AE269" s="437"/>
      <c r="AF269" s="437"/>
      <c r="AG269" s="437"/>
      <c r="AH269" s="437"/>
      <c r="AI269" s="437"/>
      <c r="AJ269" s="437"/>
      <c r="AK269" s="437"/>
      <c r="AL269" s="437"/>
      <c r="AM269" s="437"/>
      <c r="AN269" s="437"/>
      <c r="AO269" s="437"/>
      <c r="AP269" s="437"/>
      <c r="AQ269" s="437"/>
      <c r="AR269" s="437"/>
      <c r="AS269" s="437"/>
      <c r="AT269" s="437"/>
      <c r="AU269" s="437"/>
      <c r="AV269" s="437"/>
      <c r="AW269" s="437"/>
      <c r="AX269" s="436">
        <v>264</v>
      </c>
      <c r="AY269" s="490" t="s">
        <v>3219</v>
      </c>
      <c r="AZ269" s="490" t="s">
        <v>3220</v>
      </c>
      <c r="BA269" s="490" t="s">
        <v>3221</v>
      </c>
      <c r="BB269" s="490" t="s">
        <v>3222</v>
      </c>
      <c r="BC269" s="490" t="s">
        <v>3223</v>
      </c>
      <c r="BD269" s="490" t="s">
        <v>3224</v>
      </c>
      <c r="BE269" s="490" t="s">
        <v>3225</v>
      </c>
      <c r="BF269" s="490" t="s">
        <v>3226</v>
      </c>
      <c r="BG269" s="490" t="s">
        <v>3216</v>
      </c>
      <c r="BH269" s="490" t="s">
        <v>3227</v>
      </c>
      <c r="BI269" s="490" t="s">
        <v>3228</v>
      </c>
      <c r="BJ269" s="490" t="s">
        <v>3229</v>
      </c>
      <c r="BK269" s="437"/>
      <c r="BL269" s="437"/>
      <c r="BM269" s="437"/>
      <c r="BN269" s="437"/>
      <c r="BO269" s="437"/>
      <c r="BP269" s="437"/>
    </row>
    <row r="270" spans="1:68">
      <c r="A270" s="437"/>
      <c r="B270" s="437"/>
      <c r="C270" s="437"/>
      <c r="D270" s="437"/>
      <c r="E270" s="437"/>
      <c r="F270" s="437"/>
      <c r="G270" s="437"/>
      <c r="H270" s="437"/>
      <c r="I270" s="437"/>
      <c r="J270" s="437"/>
      <c r="K270" s="437"/>
      <c r="L270" s="437"/>
      <c r="M270" s="437"/>
      <c r="N270" s="437"/>
      <c r="O270" s="437"/>
      <c r="P270" s="437"/>
      <c r="Q270" s="437"/>
      <c r="R270" s="437"/>
      <c r="S270" s="437"/>
      <c r="T270" s="437"/>
      <c r="U270" s="437"/>
      <c r="V270" s="437"/>
      <c r="W270" s="437"/>
      <c r="X270" s="437"/>
      <c r="Y270" s="437"/>
      <c r="Z270" s="437"/>
      <c r="AA270" s="437"/>
      <c r="AB270" s="437"/>
      <c r="AC270" s="437"/>
      <c r="AD270" s="437"/>
      <c r="AE270" s="437"/>
      <c r="AF270" s="437"/>
      <c r="AG270" s="437"/>
      <c r="AH270" s="437"/>
      <c r="AI270" s="437"/>
      <c r="AJ270" s="437"/>
      <c r="AK270" s="437"/>
      <c r="AL270" s="437"/>
      <c r="AM270" s="437"/>
      <c r="AN270" s="437"/>
      <c r="AO270" s="437"/>
      <c r="AP270" s="437"/>
      <c r="AQ270" s="437"/>
      <c r="AR270" s="437"/>
      <c r="AS270" s="437"/>
      <c r="AT270" s="437"/>
      <c r="AU270" s="437"/>
      <c r="AV270" s="437"/>
      <c r="AW270" s="437"/>
      <c r="AX270" s="436">
        <v>265</v>
      </c>
      <c r="AY270" s="490" t="s">
        <v>3210</v>
      </c>
      <c r="AZ270" s="490" t="s">
        <v>3230</v>
      </c>
      <c r="BA270" s="490" t="s">
        <v>3231</v>
      </c>
      <c r="BB270" s="490" t="s">
        <v>3232</v>
      </c>
      <c r="BC270" s="490" t="s">
        <v>3233</v>
      </c>
      <c r="BD270" s="490" t="s">
        <v>3127</v>
      </c>
      <c r="BE270" s="490" t="s">
        <v>3234</v>
      </c>
      <c r="BF270" s="490" t="s">
        <v>3235</v>
      </c>
      <c r="BG270" s="490" t="s">
        <v>3236</v>
      </c>
      <c r="BH270" s="490" t="s">
        <v>3138</v>
      </c>
      <c r="BI270" s="490" t="s">
        <v>3237</v>
      </c>
      <c r="BJ270" s="490" t="s">
        <v>3238</v>
      </c>
      <c r="BK270" s="437"/>
      <c r="BL270" s="437"/>
      <c r="BM270" s="437"/>
      <c r="BN270" s="437"/>
      <c r="BO270" s="437"/>
      <c r="BP270" s="437"/>
    </row>
    <row r="271" spans="1:68">
      <c r="A271" s="437"/>
      <c r="B271" s="437"/>
      <c r="C271" s="437"/>
      <c r="D271" s="437"/>
      <c r="E271" s="437"/>
      <c r="F271" s="437"/>
      <c r="G271" s="437"/>
      <c r="H271" s="437"/>
      <c r="I271" s="437"/>
      <c r="J271" s="437"/>
      <c r="K271" s="437"/>
      <c r="L271" s="437"/>
      <c r="M271" s="437"/>
      <c r="N271" s="437"/>
      <c r="O271" s="437"/>
      <c r="P271" s="437"/>
      <c r="Q271" s="437"/>
      <c r="R271" s="437"/>
      <c r="S271" s="437"/>
      <c r="T271" s="437"/>
      <c r="U271" s="437"/>
      <c r="V271" s="437"/>
      <c r="W271" s="437"/>
      <c r="X271" s="437"/>
      <c r="Y271" s="437"/>
      <c r="Z271" s="437"/>
      <c r="AA271" s="437"/>
      <c r="AB271" s="437"/>
      <c r="AC271" s="437"/>
      <c r="AD271" s="437"/>
      <c r="AE271" s="437"/>
      <c r="AF271" s="437"/>
      <c r="AG271" s="437"/>
      <c r="AH271" s="437"/>
      <c r="AI271" s="437"/>
      <c r="AJ271" s="437"/>
      <c r="AK271" s="437"/>
      <c r="AL271" s="437"/>
      <c r="AM271" s="437"/>
      <c r="AN271" s="437"/>
      <c r="AO271" s="437"/>
      <c r="AP271" s="437"/>
      <c r="AQ271" s="437"/>
      <c r="AR271" s="437"/>
      <c r="AS271" s="437"/>
      <c r="AT271" s="437"/>
      <c r="AU271" s="437"/>
      <c r="AV271" s="437"/>
      <c r="AW271" s="437"/>
      <c r="AX271" s="436">
        <v>266</v>
      </c>
      <c r="AY271" s="490" t="s">
        <v>3239</v>
      </c>
      <c r="AZ271" s="490" t="s">
        <v>3240</v>
      </c>
      <c r="BA271" s="490" t="s">
        <v>3241</v>
      </c>
      <c r="BB271" s="490" t="s">
        <v>3242</v>
      </c>
      <c r="BC271" s="490" t="s">
        <v>3243</v>
      </c>
      <c r="BD271" s="490" t="s">
        <v>3244</v>
      </c>
      <c r="BE271" s="490" t="s">
        <v>3245</v>
      </c>
      <c r="BF271" s="490" t="s">
        <v>2584</v>
      </c>
      <c r="BG271" s="490" t="s">
        <v>3246</v>
      </c>
      <c r="BH271" s="490" t="s">
        <v>3247</v>
      </c>
      <c r="BI271" s="490" t="s">
        <v>3248</v>
      </c>
      <c r="BJ271" s="490" t="s">
        <v>3249</v>
      </c>
      <c r="BK271" s="437"/>
      <c r="BL271" s="437"/>
      <c r="BM271" s="437"/>
      <c r="BN271" s="437"/>
      <c r="BO271" s="437"/>
      <c r="BP271" s="437"/>
    </row>
    <row r="272" spans="1:68">
      <c r="A272" s="437"/>
      <c r="B272" s="437"/>
      <c r="C272" s="437"/>
      <c r="D272" s="437"/>
      <c r="E272" s="437"/>
      <c r="F272" s="437"/>
      <c r="G272" s="437"/>
      <c r="H272" s="437"/>
      <c r="I272" s="437"/>
      <c r="J272" s="437"/>
      <c r="K272" s="437"/>
      <c r="L272" s="437"/>
      <c r="M272" s="437"/>
      <c r="N272" s="437"/>
      <c r="O272" s="437"/>
      <c r="P272" s="437"/>
      <c r="Q272" s="437"/>
      <c r="R272" s="437"/>
      <c r="S272" s="437"/>
      <c r="T272" s="437"/>
      <c r="U272" s="437"/>
      <c r="V272" s="437"/>
      <c r="W272" s="437"/>
      <c r="X272" s="437"/>
      <c r="Y272" s="437"/>
      <c r="Z272" s="437"/>
      <c r="AA272" s="437"/>
      <c r="AB272" s="437"/>
      <c r="AC272" s="437"/>
      <c r="AD272" s="437"/>
      <c r="AE272" s="437"/>
      <c r="AF272" s="437"/>
      <c r="AG272" s="437"/>
      <c r="AH272" s="437"/>
      <c r="AI272" s="437"/>
      <c r="AJ272" s="437"/>
      <c r="AK272" s="437"/>
      <c r="AL272" s="437"/>
      <c r="AM272" s="437"/>
      <c r="AN272" s="437"/>
      <c r="AO272" s="437"/>
      <c r="AP272" s="437"/>
      <c r="AQ272" s="437"/>
      <c r="AR272" s="437"/>
      <c r="AS272" s="437"/>
      <c r="AT272" s="437"/>
      <c r="AU272" s="437"/>
      <c r="AV272" s="437"/>
      <c r="AW272" s="437"/>
      <c r="AX272" s="436">
        <v>267</v>
      </c>
      <c r="AY272" s="490" t="s">
        <v>3230</v>
      </c>
      <c r="AZ272" s="490" t="s">
        <v>3250</v>
      </c>
      <c r="BA272" s="490" t="s">
        <v>3251</v>
      </c>
      <c r="BB272" s="490" t="s">
        <v>3252</v>
      </c>
      <c r="BC272" s="490" t="s">
        <v>3253</v>
      </c>
      <c r="BD272" s="490" t="s">
        <v>3254</v>
      </c>
      <c r="BE272" s="490" t="s">
        <v>3255</v>
      </c>
      <c r="BF272" s="490" t="s">
        <v>3256</v>
      </c>
      <c r="BG272" s="490" t="s">
        <v>3257</v>
      </c>
      <c r="BH272" s="490" t="s">
        <v>3258</v>
      </c>
      <c r="BI272" s="490" t="s">
        <v>3259</v>
      </c>
      <c r="BJ272" s="490" t="s">
        <v>3260</v>
      </c>
      <c r="BK272" s="437"/>
      <c r="BL272" s="437"/>
      <c r="BM272" s="437"/>
      <c r="BN272" s="437"/>
      <c r="BO272" s="437"/>
      <c r="BP272" s="437"/>
    </row>
    <row r="273" spans="1:68">
      <c r="A273" s="437"/>
      <c r="B273" s="437"/>
      <c r="C273" s="437"/>
      <c r="D273" s="437"/>
      <c r="E273" s="437"/>
      <c r="F273" s="437"/>
      <c r="G273" s="437"/>
      <c r="H273" s="437"/>
      <c r="I273" s="437"/>
      <c r="J273" s="437"/>
      <c r="K273" s="437"/>
      <c r="L273" s="437"/>
      <c r="M273" s="437"/>
      <c r="N273" s="437"/>
      <c r="O273" s="437"/>
      <c r="P273" s="437"/>
      <c r="Q273" s="437"/>
      <c r="R273" s="437"/>
      <c r="S273" s="437"/>
      <c r="T273" s="437"/>
      <c r="U273" s="437"/>
      <c r="V273" s="437"/>
      <c r="W273" s="437"/>
      <c r="X273" s="437"/>
      <c r="Y273" s="437"/>
      <c r="Z273" s="437"/>
      <c r="AA273" s="437"/>
      <c r="AB273" s="437"/>
      <c r="AC273" s="437"/>
      <c r="AD273" s="437"/>
      <c r="AE273" s="437"/>
      <c r="AF273" s="437"/>
      <c r="AG273" s="437"/>
      <c r="AH273" s="437"/>
      <c r="AI273" s="437"/>
      <c r="AJ273" s="437"/>
      <c r="AK273" s="437"/>
      <c r="AL273" s="437"/>
      <c r="AM273" s="437"/>
      <c r="AN273" s="437"/>
      <c r="AO273" s="437"/>
      <c r="AP273" s="437"/>
      <c r="AQ273" s="437"/>
      <c r="AR273" s="437"/>
      <c r="AS273" s="437"/>
      <c r="AT273" s="437"/>
      <c r="AU273" s="437"/>
      <c r="AV273" s="437"/>
      <c r="AW273" s="437"/>
      <c r="AX273" s="436">
        <v>268</v>
      </c>
      <c r="AY273" s="490" t="s">
        <v>3261</v>
      </c>
      <c r="AZ273" s="490" t="s">
        <v>3262</v>
      </c>
      <c r="BA273" s="490" t="s">
        <v>3263</v>
      </c>
      <c r="BB273" s="490" t="s">
        <v>3264</v>
      </c>
      <c r="BC273" s="490" t="s">
        <v>3265</v>
      </c>
      <c r="BD273" s="490" t="s">
        <v>3266</v>
      </c>
      <c r="BE273" s="490" t="s">
        <v>3267</v>
      </c>
      <c r="BF273" s="490" t="s">
        <v>3268</v>
      </c>
      <c r="BG273" s="490" t="s">
        <v>3256</v>
      </c>
      <c r="BH273" s="490" t="s">
        <v>3269</v>
      </c>
      <c r="BI273" s="490" t="s">
        <v>3270</v>
      </c>
      <c r="BJ273" s="490" t="s">
        <v>3271</v>
      </c>
      <c r="BK273" s="437"/>
      <c r="BL273" s="437"/>
      <c r="BM273" s="437"/>
      <c r="BN273" s="437"/>
      <c r="BO273" s="437"/>
      <c r="BP273" s="437"/>
    </row>
    <row r="274" spans="1:68">
      <c r="A274" s="437"/>
      <c r="B274" s="437"/>
      <c r="C274" s="437"/>
      <c r="D274" s="437"/>
      <c r="E274" s="437"/>
      <c r="F274" s="437"/>
      <c r="G274" s="437"/>
      <c r="H274" s="437"/>
      <c r="I274" s="437"/>
      <c r="J274" s="437"/>
      <c r="K274" s="437"/>
      <c r="L274" s="437"/>
      <c r="M274" s="437"/>
      <c r="N274" s="437"/>
      <c r="O274" s="437"/>
      <c r="P274" s="437"/>
      <c r="Q274" s="437"/>
      <c r="R274" s="437"/>
      <c r="S274" s="437"/>
      <c r="T274" s="437"/>
      <c r="U274" s="437"/>
      <c r="V274" s="437"/>
      <c r="W274" s="437"/>
      <c r="X274" s="437"/>
      <c r="Y274" s="437"/>
      <c r="Z274" s="437"/>
      <c r="AA274" s="437"/>
      <c r="AB274" s="437"/>
      <c r="AC274" s="437"/>
      <c r="AD274" s="437"/>
      <c r="AE274" s="437"/>
      <c r="AF274" s="437"/>
      <c r="AG274" s="437"/>
      <c r="AH274" s="437"/>
      <c r="AI274" s="437"/>
      <c r="AJ274" s="437"/>
      <c r="AK274" s="437"/>
      <c r="AL274" s="437"/>
      <c r="AM274" s="437"/>
      <c r="AN274" s="437"/>
      <c r="AO274" s="437"/>
      <c r="AP274" s="437"/>
      <c r="AQ274" s="437"/>
      <c r="AR274" s="437"/>
      <c r="AS274" s="437"/>
      <c r="AT274" s="437"/>
      <c r="AU274" s="437"/>
      <c r="AV274" s="437"/>
      <c r="AW274" s="437"/>
      <c r="AX274" s="436">
        <v>269</v>
      </c>
      <c r="AY274" s="490" t="s">
        <v>3250</v>
      </c>
      <c r="AZ274" s="490" t="s">
        <v>3272</v>
      </c>
      <c r="BA274" s="490" t="s">
        <v>3273</v>
      </c>
      <c r="BB274" s="490" t="s">
        <v>3274</v>
      </c>
      <c r="BC274" s="490" t="s">
        <v>3275</v>
      </c>
      <c r="BD274" s="490" t="s">
        <v>3276</v>
      </c>
      <c r="BE274" s="490" t="s">
        <v>3277</v>
      </c>
      <c r="BF274" s="490" t="s">
        <v>3278</v>
      </c>
      <c r="BG274" s="490" t="s">
        <v>3279</v>
      </c>
      <c r="BH274" s="490" t="s">
        <v>3187</v>
      </c>
      <c r="BI274" s="490" t="s">
        <v>3280</v>
      </c>
      <c r="BJ274" s="490" t="s">
        <v>3281</v>
      </c>
      <c r="BK274" s="437"/>
      <c r="BL274" s="437"/>
      <c r="BM274" s="437"/>
      <c r="BN274" s="437"/>
      <c r="BO274" s="437"/>
      <c r="BP274" s="437"/>
    </row>
    <row r="275" spans="1:68">
      <c r="A275" s="437"/>
      <c r="B275" s="437"/>
      <c r="C275" s="437"/>
      <c r="D275" s="437"/>
      <c r="E275" s="437"/>
      <c r="F275" s="437"/>
      <c r="G275" s="437"/>
      <c r="H275" s="437"/>
      <c r="I275" s="437"/>
      <c r="J275" s="437"/>
      <c r="K275" s="437"/>
      <c r="L275" s="437"/>
      <c r="M275" s="437"/>
      <c r="N275" s="437"/>
      <c r="O275" s="437"/>
      <c r="P275" s="437"/>
      <c r="Q275" s="437"/>
      <c r="R275" s="437"/>
      <c r="S275" s="437"/>
      <c r="T275" s="437"/>
      <c r="U275" s="437"/>
      <c r="V275" s="437"/>
      <c r="W275" s="437"/>
      <c r="X275" s="437"/>
      <c r="Y275" s="437"/>
      <c r="Z275" s="437"/>
      <c r="AA275" s="437"/>
      <c r="AB275" s="437"/>
      <c r="AC275" s="437"/>
      <c r="AD275" s="437"/>
      <c r="AE275" s="437"/>
      <c r="AF275" s="437"/>
      <c r="AG275" s="437"/>
      <c r="AH275" s="437"/>
      <c r="AI275" s="437"/>
      <c r="AJ275" s="437"/>
      <c r="AK275" s="437"/>
      <c r="AL275" s="437"/>
      <c r="AM275" s="437"/>
      <c r="AN275" s="437"/>
      <c r="AO275" s="437"/>
      <c r="AP275" s="437"/>
      <c r="AQ275" s="437"/>
      <c r="AR275" s="437"/>
      <c r="AS275" s="437"/>
      <c r="AT275" s="437"/>
      <c r="AU275" s="437"/>
      <c r="AV275" s="437"/>
      <c r="AW275" s="437"/>
      <c r="AX275" s="436">
        <v>270</v>
      </c>
      <c r="AY275" s="490" t="s">
        <v>3262</v>
      </c>
      <c r="AZ275" s="490" t="s">
        <v>3282</v>
      </c>
      <c r="BA275" s="490" t="s">
        <v>3283</v>
      </c>
      <c r="BB275" s="490" t="s">
        <v>3284</v>
      </c>
      <c r="BC275" s="490" t="s">
        <v>969</v>
      </c>
      <c r="BD275" s="490" t="s">
        <v>3285</v>
      </c>
      <c r="BE275" s="490" t="s">
        <v>3286</v>
      </c>
      <c r="BF275" s="490" t="s">
        <v>3287</v>
      </c>
      <c r="BG275" s="490" t="s">
        <v>3288</v>
      </c>
      <c r="BH275" s="490" t="s">
        <v>3289</v>
      </c>
      <c r="BI275" s="490" t="s">
        <v>975</v>
      </c>
      <c r="BJ275" s="490" t="s">
        <v>3290</v>
      </c>
      <c r="BK275" s="437"/>
      <c r="BL275" s="437"/>
      <c r="BM275" s="437"/>
      <c r="BN275" s="437"/>
      <c r="BO275" s="437"/>
      <c r="BP275" s="437"/>
    </row>
    <row r="276" spans="1:68">
      <c r="A276" s="437"/>
      <c r="B276" s="437"/>
      <c r="C276" s="437"/>
      <c r="D276" s="437"/>
      <c r="E276" s="437"/>
      <c r="F276" s="437"/>
      <c r="G276" s="437"/>
      <c r="H276" s="437"/>
      <c r="I276" s="437"/>
      <c r="J276" s="437"/>
      <c r="K276" s="437"/>
      <c r="L276" s="437"/>
      <c r="M276" s="437"/>
      <c r="N276" s="437"/>
      <c r="O276" s="437"/>
      <c r="P276" s="437"/>
      <c r="Q276" s="437"/>
      <c r="R276" s="437"/>
      <c r="S276" s="437"/>
      <c r="T276" s="437"/>
      <c r="U276" s="437"/>
      <c r="V276" s="437"/>
      <c r="W276" s="437"/>
      <c r="X276" s="437"/>
      <c r="Y276" s="437"/>
      <c r="Z276" s="437"/>
      <c r="AA276" s="437"/>
      <c r="AB276" s="437"/>
      <c r="AC276" s="437"/>
      <c r="AD276" s="437"/>
      <c r="AE276" s="437"/>
      <c r="AF276" s="437"/>
      <c r="AG276" s="437"/>
      <c r="AH276" s="437"/>
      <c r="AI276" s="437"/>
      <c r="AJ276" s="437"/>
      <c r="AK276" s="437"/>
      <c r="AL276" s="437"/>
      <c r="AM276" s="437"/>
      <c r="AN276" s="437"/>
      <c r="AO276" s="437"/>
      <c r="AP276" s="437"/>
      <c r="AQ276" s="437"/>
      <c r="AR276" s="437"/>
      <c r="AS276" s="437"/>
      <c r="AT276" s="437"/>
      <c r="AU276" s="437"/>
      <c r="AV276" s="437"/>
      <c r="AW276" s="437"/>
      <c r="AX276" s="436">
        <v>271</v>
      </c>
      <c r="AY276" s="490" t="s">
        <v>3291</v>
      </c>
      <c r="AZ276" s="490" t="s">
        <v>3292</v>
      </c>
      <c r="BA276" s="490" t="s">
        <v>3293</v>
      </c>
      <c r="BB276" s="490" t="s">
        <v>3294</v>
      </c>
      <c r="BC276" s="490" t="s">
        <v>3295</v>
      </c>
      <c r="BD276" s="490" t="s">
        <v>3296</v>
      </c>
      <c r="BE276" s="490" t="s">
        <v>3297</v>
      </c>
      <c r="BF276" s="490" t="s">
        <v>3298</v>
      </c>
      <c r="BG276" s="490" t="s">
        <v>3287</v>
      </c>
      <c r="BH276" s="490" t="s">
        <v>3299</v>
      </c>
      <c r="BI276" s="490" t="s">
        <v>3300</v>
      </c>
      <c r="BJ276" s="490" t="s">
        <v>3301</v>
      </c>
      <c r="BK276" s="437"/>
      <c r="BL276" s="437"/>
      <c r="BM276" s="437"/>
      <c r="BN276" s="437"/>
      <c r="BO276" s="437"/>
      <c r="BP276" s="437"/>
    </row>
    <row r="277" spans="1:68">
      <c r="A277" s="437"/>
      <c r="B277" s="437"/>
      <c r="C277" s="437"/>
      <c r="D277" s="437"/>
      <c r="E277" s="437"/>
      <c r="F277" s="437"/>
      <c r="G277" s="437"/>
      <c r="H277" s="437"/>
      <c r="I277" s="437"/>
      <c r="J277" s="437"/>
      <c r="K277" s="437"/>
      <c r="L277" s="437"/>
      <c r="M277" s="437"/>
      <c r="N277" s="437"/>
      <c r="O277" s="437"/>
      <c r="P277" s="437"/>
      <c r="Q277" s="437"/>
      <c r="R277" s="437"/>
      <c r="S277" s="437"/>
      <c r="T277" s="437"/>
      <c r="U277" s="437"/>
      <c r="V277" s="437"/>
      <c r="W277" s="437"/>
      <c r="X277" s="437"/>
      <c r="Y277" s="437"/>
      <c r="Z277" s="437"/>
      <c r="AA277" s="437"/>
      <c r="AB277" s="437"/>
      <c r="AC277" s="437"/>
      <c r="AD277" s="437"/>
      <c r="AE277" s="437"/>
      <c r="AF277" s="437"/>
      <c r="AG277" s="437"/>
      <c r="AH277" s="437"/>
      <c r="AI277" s="437"/>
      <c r="AJ277" s="437"/>
      <c r="AK277" s="437"/>
      <c r="AL277" s="437"/>
      <c r="AM277" s="437"/>
      <c r="AN277" s="437"/>
      <c r="AO277" s="437"/>
      <c r="AP277" s="437"/>
      <c r="AQ277" s="437"/>
      <c r="AR277" s="437"/>
      <c r="AS277" s="437"/>
      <c r="AT277" s="437"/>
      <c r="AU277" s="437"/>
      <c r="AV277" s="437"/>
      <c r="AW277" s="437"/>
      <c r="AX277" s="436">
        <v>272</v>
      </c>
      <c r="AY277" s="490" t="s">
        <v>3302</v>
      </c>
      <c r="AZ277" s="490" t="s">
        <v>3303</v>
      </c>
      <c r="BA277" s="490" t="s">
        <v>3304</v>
      </c>
      <c r="BB277" s="490" t="s">
        <v>3305</v>
      </c>
      <c r="BC277" s="490" t="s">
        <v>3306</v>
      </c>
      <c r="BD277" s="490" t="s">
        <v>3307</v>
      </c>
      <c r="BE277" s="490" t="s">
        <v>3308</v>
      </c>
      <c r="BF277" s="490" t="s">
        <v>3309</v>
      </c>
      <c r="BG277" s="490" t="s">
        <v>3310</v>
      </c>
      <c r="BH277" s="490" t="s">
        <v>3311</v>
      </c>
      <c r="BI277" s="490" t="s">
        <v>996</v>
      </c>
      <c r="BJ277" s="490" t="s">
        <v>976</v>
      </c>
      <c r="BK277" s="437"/>
      <c r="BL277" s="437"/>
      <c r="BM277" s="437"/>
      <c r="BN277" s="437"/>
      <c r="BO277" s="437"/>
      <c r="BP277" s="437"/>
    </row>
    <row r="278" spans="1:68">
      <c r="A278" s="437"/>
      <c r="B278" s="437"/>
      <c r="C278" s="437"/>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c r="AA278" s="437"/>
      <c r="AB278" s="437"/>
      <c r="AC278" s="437"/>
      <c r="AD278" s="437"/>
      <c r="AE278" s="437"/>
      <c r="AF278" s="437"/>
      <c r="AG278" s="437"/>
      <c r="AH278" s="437"/>
      <c r="AI278" s="437"/>
      <c r="AJ278" s="437"/>
      <c r="AK278" s="437"/>
      <c r="AL278" s="437"/>
      <c r="AM278" s="437"/>
      <c r="AN278" s="437"/>
      <c r="AO278" s="437"/>
      <c r="AP278" s="437"/>
      <c r="AQ278" s="437"/>
      <c r="AR278" s="437"/>
      <c r="AS278" s="437"/>
      <c r="AT278" s="437"/>
      <c r="AU278" s="437"/>
      <c r="AV278" s="437"/>
      <c r="AW278" s="437"/>
      <c r="AX278" s="436">
        <v>273</v>
      </c>
      <c r="AY278" s="490" t="s">
        <v>3312</v>
      </c>
      <c r="AZ278" s="490" t="s">
        <v>3313</v>
      </c>
      <c r="BA278" s="490" t="s">
        <v>3314</v>
      </c>
      <c r="BB278" s="490" t="s">
        <v>3315</v>
      </c>
      <c r="BC278" s="490" t="s">
        <v>3316</v>
      </c>
      <c r="BD278" s="490" t="s">
        <v>3317</v>
      </c>
      <c r="BE278" s="490" t="s">
        <v>3318</v>
      </c>
      <c r="BF278" s="490" t="s">
        <v>3319</v>
      </c>
      <c r="BG278" s="490" t="s">
        <v>3320</v>
      </c>
      <c r="BH278" s="490" t="s">
        <v>3321</v>
      </c>
      <c r="BI278" s="490" t="s">
        <v>368</v>
      </c>
      <c r="BJ278" s="490" t="s">
        <v>3322</v>
      </c>
      <c r="BK278" s="437"/>
      <c r="BL278" s="437"/>
      <c r="BM278" s="437"/>
      <c r="BN278" s="437"/>
      <c r="BO278" s="437"/>
      <c r="BP278" s="437"/>
    </row>
    <row r="279" spans="1:68">
      <c r="A279" s="437"/>
      <c r="B279" s="437"/>
      <c r="C279" s="437"/>
      <c r="D279" s="437"/>
      <c r="E279" s="437"/>
      <c r="F279" s="437"/>
      <c r="G279" s="437"/>
      <c r="H279" s="437"/>
      <c r="I279" s="437"/>
      <c r="J279" s="437"/>
      <c r="K279" s="437"/>
      <c r="L279" s="437"/>
      <c r="M279" s="437"/>
      <c r="N279" s="437"/>
      <c r="O279" s="437"/>
      <c r="P279" s="437"/>
      <c r="Q279" s="437"/>
      <c r="R279" s="437"/>
      <c r="S279" s="437"/>
      <c r="T279" s="437"/>
      <c r="U279" s="437"/>
      <c r="V279" s="437"/>
      <c r="W279" s="437"/>
      <c r="X279" s="437"/>
      <c r="Y279" s="437"/>
      <c r="Z279" s="437"/>
      <c r="AA279" s="437"/>
      <c r="AB279" s="437"/>
      <c r="AC279" s="437"/>
      <c r="AD279" s="437"/>
      <c r="AE279" s="437"/>
      <c r="AF279" s="437"/>
      <c r="AG279" s="437"/>
      <c r="AH279" s="437"/>
      <c r="AI279" s="437"/>
      <c r="AJ279" s="437"/>
      <c r="AK279" s="437"/>
      <c r="AL279" s="437"/>
      <c r="AM279" s="437"/>
      <c r="AN279" s="437"/>
      <c r="AO279" s="437"/>
      <c r="AP279" s="437"/>
      <c r="AQ279" s="437"/>
      <c r="AR279" s="437"/>
      <c r="AS279" s="437"/>
      <c r="AT279" s="437"/>
      <c r="AU279" s="437"/>
      <c r="AV279" s="437"/>
      <c r="AW279" s="437"/>
      <c r="AX279" s="436">
        <v>274</v>
      </c>
      <c r="AY279" s="490" t="s">
        <v>3323</v>
      </c>
      <c r="AZ279" s="490" t="s">
        <v>3324</v>
      </c>
      <c r="BA279" s="490" t="s">
        <v>3325</v>
      </c>
      <c r="BB279" s="490" t="s">
        <v>3326</v>
      </c>
      <c r="BC279" s="490" t="s">
        <v>3327</v>
      </c>
      <c r="BD279" s="490" t="s">
        <v>3328</v>
      </c>
      <c r="BE279" s="490" t="s">
        <v>3329</v>
      </c>
      <c r="BF279" s="490" t="s">
        <v>3330</v>
      </c>
      <c r="BG279" s="490" t="s">
        <v>3331</v>
      </c>
      <c r="BH279" s="490" t="s">
        <v>3332</v>
      </c>
      <c r="BI279" s="490" t="s">
        <v>3333</v>
      </c>
      <c r="BJ279" s="490" t="s">
        <v>298</v>
      </c>
      <c r="BK279" s="437"/>
      <c r="BL279" s="437"/>
      <c r="BM279" s="437"/>
      <c r="BN279" s="437"/>
      <c r="BO279" s="437"/>
      <c r="BP279" s="437"/>
    </row>
    <row r="280" spans="1:68">
      <c r="A280" s="437"/>
      <c r="B280" s="437"/>
      <c r="C280" s="437"/>
      <c r="D280" s="437"/>
      <c r="E280" s="437"/>
      <c r="F280" s="437"/>
      <c r="G280" s="437"/>
      <c r="H280" s="437"/>
      <c r="I280" s="437"/>
      <c r="J280" s="437"/>
      <c r="K280" s="437"/>
      <c r="L280" s="437"/>
      <c r="M280" s="437"/>
      <c r="N280" s="437"/>
      <c r="O280" s="437"/>
      <c r="P280" s="437"/>
      <c r="Q280" s="437"/>
      <c r="R280" s="437"/>
      <c r="S280" s="437"/>
      <c r="T280" s="437"/>
      <c r="U280" s="437"/>
      <c r="V280" s="437"/>
      <c r="W280" s="437"/>
      <c r="X280" s="437"/>
      <c r="Y280" s="437"/>
      <c r="Z280" s="437"/>
      <c r="AA280" s="437"/>
      <c r="AB280" s="437"/>
      <c r="AC280" s="437"/>
      <c r="AD280" s="437"/>
      <c r="AE280" s="437"/>
      <c r="AF280" s="437"/>
      <c r="AG280" s="437"/>
      <c r="AH280" s="437"/>
      <c r="AI280" s="437"/>
      <c r="AJ280" s="437"/>
      <c r="AK280" s="437"/>
      <c r="AL280" s="437"/>
      <c r="AM280" s="437"/>
      <c r="AN280" s="437"/>
      <c r="AO280" s="437"/>
      <c r="AP280" s="437"/>
      <c r="AQ280" s="437"/>
      <c r="AR280" s="437"/>
      <c r="AS280" s="437"/>
      <c r="AT280" s="437"/>
      <c r="AU280" s="437"/>
      <c r="AV280" s="437"/>
      <c r="AW280" s="437"/>
      <c r="AX280" s="436">
        <v>275</v>
      </c>
      <c r="AY280" s="490" t="s">
        <v>3334</v>
      </c>
      <c r="AZ280" s="490" t="s">
        <v>3335</v>
      </c>
      <c r="BA280" s="490" t="s">
        <v>3336</v>
      </c>
      <c r="BB280" s="490" t="s">
        <v>3337</v>
      </c>
      <c r="BC280" s="490" t="s">
        <v>3338</v>
      </c>
      <c r="BD280" s="490" t="s">
        <v>3339</v>
      </c>
      <c r="BE280" s="490" t="s">
        <v>3340</v>
      </c>
      <c r="BF280" s="490" t="s">
        <v>3341</v>
      </c>
      <c r="BG280" s="490" t="s">
        <v>3342</v>
      </c>
      <c r="BH280" s="490" t="s">
        <v>3343</v>
      </c>
      <c r="BI280" s="490" t="s">
        <v>3344</v>
      </c>
      <c r="BJ280" s="490" t="s">
        <v>3345</v>
      </c>
      <c r="BK280" s="437"/>
      <c r="BL280" s="437"/>
      <c r="BM280" s="437"/>
      <c r="BN280" s="437"/>
      <c r="BO280" s="437"/>
      <c r="BP280" s="437"/>
    </row>
    <row r="281" spans="1:68">
      <c r="A281" s="437"/>
      <c r="B281" s="437"/>
      <c r="C281" s="437"/>
      <c r="D281" s="437"/>
      <c r="E281" s="437"/>
      <c r="F281" s="437"/>
      <c r="G281" s="437"/>
      <c r="H281" s="437"/>
      <c r="I281" s="437"/>
      <c r="J281" s="437"/>
      <c r="K281" s="437"/>
      <c r="L281" s="437"/>
      <c r="M281" s="437"/>
      <c r="N281" s="437"/>
      <c r="O281" s="437"/>
      <c r="P281" s="437"/>
      <c r="Q281" s="437"/>
      <c r="R281" s="437"/>
      <c r="S281" s="437"/>
      <c r="T281" s="437"/>
      <c r="U281" s="437"/>
      <c r="V281" s="437"/>
      <c r="W281" s="437"/>
      <c r="X281" s="437"/>
      <c r="Y281" s="437"/>
      <c r="Z281" s="437"/>
      <c r="AA281" s="437"/>
      <c r="AB281" s="437"/>
      <c r="AC281" s="437"/>
      <c r="AD281" s="437"/>
      <c r="AE281" s="437"/>
      <c r="AF281" s="437"/>
      <c r="AG281" s="437"/>
      <c r="AH281" s="437"/>
      <c r="AI281" s="437"/>
      <c r="AJ281" s="437"/>
      <c r="AK281" s="437"/>
      <c r="AL281" s="437"/>
      <c r="AM281" s="437"/>
      <c r="AN281" s="437"/>
      <c r="AO281" s="437"/>
      <c r="AP281" s="437"/>
      <c r="AQ281" s="437"/>
      <c r="AR281" s="437"/>
      <c r="AS281" s="437"/>
      <c r="AT281" s="437"/>
      <c r="AU281" s="437"/>
      <c r="AV281" s="437"/>
      <c r="AW281" s="437"/>
      <c r="AX281" s="436">
        <v>276</v>
      </c>
      <c r="AY281" s="490" t="s">
        <v>3346</v>
      </c>
      <c r="AZ281" s="490" t="s">
        <v>3347</v>
      </c>
      <c r="BA281" s="490" t="s">
        <v>3348</v>
      </c>
      <c r="BB281" s="490" t="s">
        <v>3349</v>
      </c>
      <c r="BC281" s="490" t="s">
        <v>3350</v>
      </c>
      <c r="BD281" s="490" t="s">
        <v>1011</v>
      </c>
      <c r="BE281" s="490" t="s">
        <v>3351</v>
      </c>
      <c r="BF281" s="490" t="s">
        <v>3352</v>
      </c>
      <c r="BG281" s="490" t="s">
        <v>3341</v>
      </c>
      <c r="BH281" s="490" t="s">
        <v>3353</v>
      </c>
      <c r="BI281" s="490" t="s">
        <v>1036</v>
      </c>
      <c r="BJ281" s="490" t="s">
        <v>3237</v>
      </c>
      <c r="BK281" s="437"/>
      <c r="BL281" s="437"/>
      <c r="BM281" s="437"/>
      <c r="BN281" s="437"/>
      <c r="BO281" s="437"/>
      <c r="BP281" s="437"/>
    </row>
    <row r="282" spans="1:68">
      <c r="A282" s="437"/>
      <c r="B282" s="437"/>
      <c r="C282" s="437"/>
      <c r="D282" s="437"/>
      <c r="E282" s="437"/>
      <c r="F282" s="437"/>
      <c r="G282" s="437"/>
      <c r="H282" s="437"/>
      <c r="I282" s="437"/>
      <c r="J282" s="437"/>
      <c r="K282" s="437"/>
      <c r="L282" s="437"/>
      <c r="M282" s="437"/>
      <c r="N282" s="437"/>
      <c r="O282" s="437"/>
      <c r="P282" s="437"/>
      <c r="Q282" s="437"/>
      <c r="R282" s="437"/>
      <c r="S282" s="437"/>
      <c r="T282" s="437"/>
      <c r="U282" s="437"/>
      <c r="V282" s="437"/>
      <c r="W282" s="437"/>
      <c r="X282" s="437"/>
      <c r="Y282" s="437"/>
      <c r="Z282" s="437"/>
      <c r="AA282" s="437"/>
      <c r="AB282" s="437"/>
      <c r="AC282" s="437"/>
      <c r="AD282" s="437"/>
      <c r="AE282" s="437"/>
      <c r="AF282" s="437"/>
      <c r="AG282" s="437"/>
      <c r="AH282" s="437"/>
      <c r="AI282" s="437"/>
      <c r="AJ282" s="437"/>
      <c r="AK282" s="437"/>
      <c r="AL282" s="437"/>
      <c r="AM282" s="437"/>
      <c r="AN282" s="437"/>
      <c r="AO282" s="437"/>
      <c r="AP282" s="437"/>
      <c r="AQ282" s="437"/>
      <c r="AR282" s="437"/>
      <c r="AS282" s="437"/>
      <c r="AT282" s="437"/>
      <c r="AU282" s="437"/>
      <c r="AV282" s="437"/>
      <c r="AW282" s="437"/>
      <c r="AX282" s="436">
        <v>277</v>
      </c>
      <c r="AY282" s="490" t="s">
        <v>3354</v>
      </c>
      <c r="AZ282" s="490" t="s">
        <v>3355</v>
      </c>
      <c r="BA282" s="490" t="s">
        <v>3356</v>
      </c>
      <c r="BB282" s="490" t="s">
        <v>3357</v>
      </c>
      <c r="BC282" s="490" t="s">
        <v>3358</v>
      </c>
      <c r="BD282" s="490" t="s">
        <v>3359</v>
      </c>
      <c r="BE282" s="490" t="s">
        <v>3360</v>
      </c>
      <c r="BF282" s="490" t="s">
        <v>3157</v>
      </c>
      <c r="BG282" s="490" t="s">
        <v>3361</v>
      </c>
      <c r="BH282" s="490" t="s">
        <v>3362</v>
      </c>
      <c r="BI282" s="490" t="s">
        <v>1047</v>
      </c>
      <c r="BJ282" s="490" t="s">
        <v>3248</v>
      </c>
      <c r="BK282" s="437"/>
      <c r="BL282" s="437"/>
      <c r="BM282" s="437"/>
      <c r="BN282" s="437"/>
      <c r="BO282" s="437"/>
      <c r="BP282" s="437"/>
    </row>
    <row r="283" spans="1:68">
      <c r="A283" s="437"/>
      <c r="B283" s="437"/>
      <c r="C283" s="437"/>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c r="AA283" s="437"/>
      <c r="AB283" s="437"/>
      <c r="AC283" s="437"/>
      <c r="AD283" s="437"/>
      <c r="AE283" s="437"/>
      <c r="AF283" s="437"/>
      <c r="AG283" s="437"/>
      <c r="AH283" s="437"/>
      <c r="AI283" s="437"/>
      <c r="AJ283" s="437"/>
      <c r="AK283" s="437"/>
      <c r="AL283" s="437"/>
      <c r="AM283" s="437"/>
      <c r="AN283" s="437"/>
      <c r="AO283" s="437"/>
      <c r="AP283" s="437"/>
      <c r="AQ283" s="437"/>
      <c r="AR283" s="437"/>
      <c r="AS283" s="437"/>
      <c r="AT283" s="437"/>
      <c r="AU283" s="437"/>
      <c r="AV283" s="437"/>
      <c r="AW283" s="437"/>
      <c r="AX283" s="436">
        <v>278</v>
      </c>
      <c r="AY283" s="490" t="s">
        <v>3363</v>
      </c>
      <c r="AZ283" s="490" t="s">
        <v>3364</v>
      </c>
      <c r="BA283" s="490" t="s">
        <v>3365</v>
      </c>
      <c r="BB283" s="490" t="s">
        <v>3366</v>
      </c>
      <c r="BC283" s="490" t="s">
        <v>3367</v>
      </c>
      <c r="BD283" s="490" t="s">
        <v>3368</v>
      </c>
      <c r="BE283" s="490" t="s">
        <v>449</v>
      </c>
      <c r="BF283" s="490" t="s">
        <v>3369</v>
      </c>
      <c r="BG283" s="490" t="s">
        <v>3167</v>
      </c>
      <c r="BH283" s="490" t="s">
        <v>3370</v>
      </c>
      <c r="BI283" s="490" t="s">
        <v>3371</v>
      </c>
      <c r="BJ283" s="490" t="s">
        <v>3372</v>
      </c>
      <c r="BK283" s="437"/>
      <c r="BL283" s="437"/>
      <c r="BM283" s="437"/>
      <c r="BN283" s="437"/>
      <c r="BO283" s="437"/>
      <c r="BP283" s="437"/>
    </row>
    <row r="284" spans="1:68">
      <c r="A284" s="437"/>
      <c r="B284" s="437"/>
      <c r="C284" s="437"/>
      <c r="D284" s="437"/>
      <c r="E284" s="437"/>
      <c r="F284" s="437"/>
      <c r="G284" s="437"/>
      <c r="H284" s="437"/>
      <c r="I284" s="437"/>
      <c r="J284" s="437"/>
      <c r="K284" s="437"/>
      <c r="L284" s="437"/>
      <c r="M284" s="437"/>
      <c r="N284" s="437"/>
      <c r="O284" s="437"/>
      <c r="P284" s="437"/>
      <c r="Q284" s="437"/>
      <c r="R284" s="437"/>
      <c r="S284" s="437"/>
      <c r="T284" s="437"/>
      <c r="U284" s="437"/>
      <c r="V284" s="437"/>
      <c r="W284" s="437"/>
      <c r="X284" s="437"/>
      <c r="Y284" s="437"/>
      <c r="Z284" s="437"/>
      <c r="AA284" s="437"/>
      <c r="AB284" s="437"/>
      <c r="AC284" s="437"/>
      <c r="AD284" s="437"/>
      <c r="AE284" s="437"/>
      <c r="AF284" s="437"/>
      <c r="AG284" s="437"/>
      <c r="AH284" s="437"/>
      <c r="AI284" s="437"/>
      <c r="AJ284" s="437"/>
      <c r="AK284" s="437"/>
      <c r="AL284" s="437"/>
      <c r="AM284" s="437"/>
      <c r="AN284" s="437"/>
      <c r="AO284" s="437"/>
      <c r="AP284" s="437"/>
      <c r="AQ284" s="437"/>
      <c r="AR284" s="437"/>
      <c r="AS284" s="437"/>
      <c r="AT284" s="437"/>
      <c r="AU284" s="437"/>
      <c r="AV284" s="437"/>
      <c r="AW284" s="437"/>
      <c r="AX284" s="436">
        <v>279</v>
      </c>
      <c r="AY284" s="490" t="s">
        <v>3355</v>
      </c>
      <c r="AZ284" s="490" t="s">
        <v>3373</v>
      </c>
      <c r="BA284" s="490" t="s">
        <v>3374</v>
      </c>
      <c r="BB284" s="490" t="s">
        <v>3375</v>
      </c>
      <c r="BC284" s="490" t="s">
        <v>3376</v>
      </c>
      <c r="BD284" s="490" t="s">
        <v>3265</v>
      </c>
      <c r="BE284" s="490" t="s">
        <v>3377</v>
      </c>
      <c r="BF284" s="490" t="s">
        <v>3378</v>
      </c>
      <c r="BG284" s="490" t="s">
        <v>3369</v>
      </c>
      <c r="BH284" s="490" t="s">
        <v>3379</v>
      </c>
      <c r="BI284" s="490" t="s">
        <v>3380</v>
      </c>
      <c r="BJ284" s="490" t="s">
        <v>3381</v>
      </c>
      <c r="BK284" s="437"/>
      <c r="BL284" s="437"/>
      <c r="BM284" s="437"/>
      <c r="BN284" s="437"/>
      <c r="BO284" s="437"/>
      <c r="BP284" s="437"/>
    </row>
    <row r="285" spans="1:68">
      <c r="A285" s="437"/>
      <c r="B285" s="437"/>
      <c r="C285" s="437"/>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c r="AA285" s="437"/>
      <c r="AB285" s="437"/>
      <c r="AC285" s="437"/>
      <c r="AD285" s="437"/>
      <c r="AE285" s="437"/>
      <c r="AF285" s="437"/>
      <c r="AG285" s="437"/>
      <c r="AH285" s="437"/>
      <c r="AI285" s="437"/>
      <c r="AJ285" s="437"/>
      <c r="AK285" s="437"/>
      <c r="AL285" s="437"/>
      <c r="AM285" s="437"/>
      <c r="AN285" s="437"/>
      <c r="AO285" s="437"/>
      <c r="AP285" s="437"/>
      <c r="AQ285" s="437"/>
      <c r="AR285" s="437"/>
      <c r="AS285" s="437"/>
      <c r="AT285" s="437"/>
      <c r="AU285" s="437"/>
      <c r="AV285" s="437"/>
      <c r="AW285" s="437"/>
      <c r="AX285" s="436">
        <v>280</v>
      </c>
      <c r="AY285" s="490" t="s">
        <v>3382</v>
      </c>
      <c r="AZ285" s="490" t="s">
        <v>3383</v>
      </c>
      <c r="BA285" s="490" t="s">
        <v>3384</v>
      </c>
      <c r="BB285" s="490" t="s">
        <v>3385</v>
      </c>
      <c r="BC285" s="490" t="s">
        <v>3386</v>
      </c>
      <c r="BD285" s="490" t="s">
        <v>3387</v>
      </c>
      <c r="BE285" s="490" t="s">
        <v>3388</v>
      </c>
      <c r="BF285" s="490" t="s">
        <v>3389</v>
      </c>
      <c r="BG285" s="490" t="s">
        <v>3390</v>
      </c>
      <c r="BH285" s="490" t="s">
        <v>450</v>
      </c>
      <c r="BI285" s="490" t="s">
        <v>1079</v>
      </c>
      <c r="BJ285" s="490" t="s">
        <v>3391</v>
      </c>
      <c r="BK285" s="437"/>
      <c r="BL285" s="437"/>
      <c r="BM285" s="437"/>
      <c r="BN285" s="437"/>
      <c r="BO285" s="437"/>
      <c r="BP285" s="437"/>
    </row>
    <row r="286" spans="1:68">
      <c r="A286" s="437"/>
      <c r="B286" s="437"/>
      <c r="C286" s="437"/>
      <c r="D286" s="437"/>
      <c r="E286" s="437"/>
      <c r="F286" s="437"/>
      <c r="G286" s="437"/>
      <c r="H286" s="437"/>
      <c r="I286" s="437"/>
      <c r="J286" s="437"/>
      <c r="K286" s="437"/>
      <c r="L286" s="437"/>
      <c r="M286" s="437"/>
      <c r="N286" s="437"/>
      <c r="O286" s="437"/>
      <c r="P286" s="437"/>
      <c r="Q286" s="437"/>
      <c r="R286" s="437"/>
      <c r="S286" s="437"/>
      <c r="T286" s="437"/>
      <c r="U286" s="437"/>
      <c r="V286" s="437"/>
      <c r="W286" s="437"/>
      <c r="X286" s="437"/>
      <c r="Y286" s="437"/>
      <c r="Z286" s="437"/>
      <c r="AA286" s="437"/>
      <c r="AB286" s="437"/>
      <c r="AC286" s="437"/>
      <c r="AD286" s="437"/>
      <c r="AE286" s="437"/>
      <c r="AF286" s="437"/>
      <c r="AG286" s="437"/>
      <c r="AH286" s="437"/>
      <c r="AI286" s="437"/>
      <c r="AJ286" s="437"/>
      <c r="AK286" s="437"/>
      <c r="AL286" s="437"/>
      <c r="AM286" s="437"/>
      <c r="AN286" s="437"/>
      <c r="AO286" s="437"/>
      <c r="AP286" s="437"/>
      <c r="AQ286" s="437"/>
      <c r="AR286" s="437"/>
      <c r="AS286" s="437"/>
      <c r="AT286" s="437"/>
      <c r="AU286" s="437"/>
      <c r="AV286" s="437"/>
      <c r="AW286" s="437"/>
      <c r="AX286" s="436">
        <v>281</v>
      </c>
      <c r="AY286" s="490" t="s">
        <v>3373</v>
      </c>
      <c r="AZ286" s="490" t="s">
        <v>3392</v>
      </c>
      <c r="BA286" s="490" t="s">
        <v>3393</v>
      </c>
      <c r="BB286" s="490" t="s">
        <v>3394</v>
      </c>
      <c r="BC286" s="490" t="s">
        <v>3395</v>
      </c>
      <c r="BD286" s="490" t="s">
        <v>3396</v>
      </c>
      <c r="BE286" s="490" t="s">
        <v>451</v>
      </c>
      <c r="BF286" s="490" t="s">
        <v>3397</v>
      </c>
      <c r="BG286" s="490" t="s">
        <v>3389</v>
      </c>
      <c r="BH286" s="490" t="s">
        <v>3398</v>
      </c>
      <c r="BI286" s="490" t="s">
        <v>1088</v>
      </c>
      <c r="BJ286" s="490" t="s">
        <v>369</v>
      </c>
      <c r="BK286" s="437"/>
      <c r="BL286" s="437"/>
      <c r="BM286" s="437"/>
      <c r="BN286" s="437"/>
      <c r="BO286" s="437"/>
      <c r="BP286" s="437"/>
    </row>
    <row r="287" spans="1:68">
      <c r="A287" s="437"/>
      <c r="B287" s="437"/>
      <c r="C287" s="437"/>
      <c r="D287" s="437"/>
      <c r="E287" s="437"/>
      <c r="F287" s="437"/>
      <c r="G287" s="437"/>
      <c r="H287" s="437"/>
      <c r="I287" s="437"/>
      <c r="J287" s="437"/>
      <c r="K287" s="437"/>
      <c r="L287" s="437"/>
      <c r="M287" s="437"/>
      <c r="N287" s="437"/>
      <c r="O287" s="437"/>
      <c r="P287" s="437"/>
      <c r="Q287" s="437"/>
      <c r="R287" s="437"/>
      <c r="S287" s="437"/>
      <c r="T287" s="437"/>
      <c r="U287" s="437"/>
      <c r="V287" s="437"/>
      <c r="W287" s="437"/>
      <c r="X287" s="437"/>
      <c r="Y287" s="437"/>
      <c r="Z287" s="437"/>
      <c r="AA287" s="437"/>
      <c r="AB287" s="437"/>
      <c r="AC287" s="437"/>
      <c r="AD287" s="437"/>
      <c r="AE287" s="437"/>
      <c r="AF287" s="437"/>
      <c r="AG287" s="437"/>
      <c r="AH287" s="437"/>
      <c r="AI287" s="437"/>
      <c r="AJ287" s="437"/>
      <c r="AK287" s="437"/>
      <c r="AL287" s="437"/>
      <c r="AM287" s="437"/>
      <c r="AN287" s="437"/>
      <c r="AO287" s="437"/>
      <c r="AP287" s="437"/>
      <c r="AQ287" s="437"/>
      <c r="AR287" s="437"/>
      <c r="AS287" s="437"/>
      <c r="AT287" s="437"/>
      <c r="AU287" s="437"/>
      <c r="AV287" s="437"/>
      <c r="AW287" s="437"/>
      <c r="AX287" s="436">
        <v>282</v>
      </c>
      <c r="AY287" s="490" t="s">
        <v>3399</v>
      </c>
      <c r="AZ287" s="490" t="s">
        <v>3400</v>
      </c>
      <c r="BA287" s="490" t="s">
        <v>3401</v>
      </c>
      <c r="BB287" s="490" t="s">
        <v>3402</v>
      </c>
      <c r="BC287" s="490" t="s">
        <v>3403</v>
      </c>
      <c r="BD287" s="490" t="s">
        <v>3404</v>
      </c>
      <c r="BE287" s="490" t="s">
        <v>3405</v>
      </c>
      <c r="BF287" s="490" t="s">
        <v>3406</v>
      </c>
      <c r="BG287" s="490" t="s">
        <v>3397</v>
      </c>
      <c r="BH287" s="490" t="s">
        <v>3407</v>
      </c>
      <c r="BI287" s="490" t="s">
        <v>1099</v>
      </c>
      <c r="BJ287" s="490" t="s">
        <v>3408</v>
      </c>
      <c r="BK287" s="437"/>
      <c r="BL287" s="437"/>
      <c r="BM287" s="437"/>
      <c r="BN287" s="437"/>
      <c r="BO287" s="437"/>
      <c r="BP287" s="437"/>
    </row>
    <row r="288" spans="1:68">
      <c r="A288" s="437"/>
      <c r="B288" s="437"/>
      <c r="C288" s="437"/>
      <c r="D288" s="437"/>
      <c r="E288" s="437"/>
      <c r="F288" s="437"/>
      <c r="G288" s="437"/>
      <c r="H288" s="437"/>
      <c r="I288" s="437"/>
      <c r="J288" s="437"/>
      <c r="K288" s="437"/>
      <c r="L288" s="437"/>
      <c r="M288" s="437"/>
      <c r="N288" s="437"/>
      <c r="O288" s="437"/>
      <c r="P288" s="437"/>
      <c r="Q288" s="437"/>
      <c r="R288" s="437"/>
      <c r="S288" s="437"/>
      <c r="T288" s="437"/>
      <c r="U288" s="437"/>
      <c r="V288" s="437"/>
      <c r="W288" s="437"/>
      <c r="X288" s="437"/>
      <c r="Y288" s="437"/>
      <c r="Z288" s="437"/>
      <c r="AA288" s="437"/>
      <c r="AB288" s="437"/>
      <c r="AC288" s="437"/>
      <c r="AD288" s="437"/>
      <c r="AE288" s="437"/>
      <c r="AF288" s="437"/>
      <c r="AG288" s="437"/>
      <c r="AH288" s="437"/>
      <c r="AI288" s="437"/>
      <c r="AJ288" s="437"/>
      <c r="AK288" s="437"/>
      <c r="AL288" s="437"/>
      <c r="AM288" s="437"/>
      <c r="AN288" s="437"/>
      <c r="AO288" s="437"/>
      <c r="AP288" s="437"/>
      <c r="AQ288" s="437"/>
      <c r="AR288" s="437"/>
      <c r="AS288" s="437"/>
      <c r="AT288" s="437"/>
      <c r="AU288" s="437"/>
      <c r="AV288" s="437"/>
      <c r="AW288" s="437"/>
      <c r="AX288" s="436">
        <v>283</v>
      </c>
      <c r="AY288" s="490" t="s">
        <v>3409</v>
      </c>
      <c r="AZ288" s="490" t="s">
        <v>3410</v>
      </c>
      <c r="BA288" s="490" t="s">
        <v>3411</v>
      </c>
      <c r="BB288" s="490" t="s">
        <v>3412</v>
      </c>
      <c r="BC288" s="490" t="s">
        <v>3413</v>
      </c>
      <c r="BD288" s="490" t="s">
        <v>3306</v>
      </c>
      <c r="BE288" s="490" t="s">
        <v>452</v>
      </c>
      <c r="BF288" s="490" t="s">
        <v>3414</v>
      </c>
      <c r="BG288" s="490" t="s">
        <v>3406</v>
      </c>
      <c r="BH288" s="490" t="s">
        <v>3331</v>
      </c>
      <c r="BI288" s="490" t="s">
        <v>1109</v>
      </c>
      <c r="BJ288" s="490" t="s">
        <v>3415</v>
      </c>
      <c r="BK288" s="437"/>
      <c r="BL288" s="437"/>
      <c r="BM288" s="437"/>
      <c r="BN288" s="437"/>
      <c r="BO288" s="437"/>
      <c r="BP288" s="437"/>
    </row>
    <row r="289" spans="1:68">
      <c r="A289" s="437"/>
      <c r="B289" s="437"/>
      <c r="C289" s="437"/>
      <c r="D289" s="437"/>
      <c r="E289" s="437"/>
      <c r="F289" s="437"/>
      <c r="G289" s="437"/>
      <c r="H289" s="437"/>
      <c r="I289" s="437"/>
      <c r="J289" s="437"/>
      <c r="K289" s="437"/>
      <c r="L289" s="437"/>
      <c r="M289" s="437"/>
      <c r="N289" s="437"/>
      <c r="O289" s="437"/>
      <c r="P289" s="437"/>
      <c r="Q289" s="437"/>
      <c r="R289" s="437"/>
      <c r="S289" s="437"/>
      <c r="T289" s="437"/>
      <c r="U289" s="437"/>
      <c r="V289" s="437"/>
      <c r="W289" s="437"/>
      <c r="X289" s="437"/>
      <c r="Y289" s="437"/>
      <c r="Z289" s="437"/>
      <c r="AA289" s="437"/>
      <c r="AB289" s="437"/>
      <c r="AC289" s="437"/>
      <c r="AD289" s="437"/>
      <c r="AE289" s="437"/>
      <c r="AF289" s="437"/>
      <c r="AG289" s="437"/>
      <c r="AH289" s="437"/>
      <c r="AI289" s="437"/>
      <c r="AJ289" s="437"/>
      <c r="AK289" s="437"/>
      <c r="AL289" s="437"/>
      <c r="AM289" s="437"/>
      <c r="AN289" s="437"/>
      <c r="AO289" s="437"/>
      <c r="AP289" s="437"/>
      <c r="AQ289" s="437"/>
      <c r="AR289" s="437"/>
      <c r="AS289" s="437"/>
      <c r="AT289" s="437"/>
      <c r="AU289" s="437"/>
      <c r="AV289" s="437"/>
      <c r="AW289" s="437"/>
      <c r="AX289" s="436">
        <v>284</v>
      </c>
      <c r="AY289" s="490" t="s">
        <v>3400</v>
      </c>
      <c r="AZ289" s="490" t="s">
        <v>3416</v>
      </c>
      <c r="BA289" s="490" t="s">
        <v>3417</v>
      </c>
      <c r="BB289" s="490" t="s">
        <v>3418</v>
      </c>
      <c r="BC289" s="490" t="s">
        <v>3419</v>
      </c>
      <c r="BD289" s="490" t="s">
        <v>3420</v>
      </c>
      <c r="BE289" s="490" t="s">
        <v>3421</v>
      </c>
      <c r="BF289" s="490" t="s">
        <v>3422</v>
      </c>
      <c r="BG289" s="490" t="s">
        <v>3423</v>
      </c>
      <c r="BH289" s="490" t="s">
        <v>3424</v>
      </c>
      <c r="BI289" s="490" t="s">
        <v>3425</v>
      </c>
      <c r="BJ289" s="490" t="s">
        <v>364</v>
      </c>
      <c r="BK289" s="437"/>
      <c r="BL289" s="437"/>
      <c r="BM289" s="437"/>
      <c r="BN289" s="437"/>
      <c r="BO289" s="437"/>
      <c r="BP289" s="437"/>
    </row>
    <row r="290" spans="1:68">
      <c r="A290" s="437"/>
      <c r="B290" s="437"/>
      <c r="C290" s="437"/>
      <c r="D290" s="437"/>
      <c r="E290" s="437"/>
      <c r="F290" s="437"/>
      <c r="G290" s="437"/>
      <c r="H290" s="437"/>
      <c r="I290" s="437"/>
      <c r="J290" s="437"/>
      <c r="K290" s="437"/>
      <c r="L290" s="437"/>
      <c r="M290" s="437"/>
      <c r="N290" s="437"/>
      <c r="O290" s="437"/>
      <c r="P290" s="437"/>
      <c r="Q290" s="437"/>
      <c r="R290" s="437"/>
      <c r="S290" s="437"/>
      <c r="T290" s="437"/>
      <c r="U290" s="437"/>
      <c r="V290" s="437"/>
      <c r="W290" s="437"/>
      <c r="X290" s="437"/>
      <c r="Y290" s="437"/>
      <c r="Z290" s="437"/>
      <c r="AA290" s="437"/>
      <c r="AB290" s="437"/>
      <c r="AC290" s="437"/>
      <c r="AD290" s="437"/>
      <c r="AE290" s="437"/>
      <c r="AF290" s="437"/>
      <c r="AG290" s="437"/>
      <c r="AH290" s="437"/>
      <c r="AI290" s="437"/>
      <c r="AJ290" s="437"/>
      <c r="AK290" s="437"/>
      <c r="AL290" s="437"/>
      <c r="AM290" s="437"/>
      <c r="AN290" s="437"/>
      <c r="AO290" s="437"/>
      <c r="AP290" s="437"/>
      <c r="AQ290" s="437"/>
      <c r="AR290" s="437"/>
      <c r="AS290" s="437"/>
      <c r="AT290" s="437"/>
      <c r="AU290" s="437"/>
      <c r="AV290" s="437"/>
      <c r="AW290" s="437"/>
      <c r="AX290" s="436">
        <v>285</v>
      </c>
      <c r="AY290" s="490" t="s">
        <v>3426</v>
      </c>
      <c r="AZ290" s="490" t="s">
        <v>3427</v>
      </c>
      <c r="BA290" s="490" t="s">
        <v>3428</v>
      </c>
      <c r="BB290" s="490" t="s">
        <v>3429</v>
      </c>
      <c r="BC290" s="490" t="s">
        <v>3430</v>
      </c>
      <c r="BD290" s="490" t="s">
        <v>3431</v>
      </c>
      <c r="BE290" s="490" t="s">
        <v>3414</v>
      </c>
      <c r="BF290" s="490" t="s">
        <v>3432</v>
      </c>
      <c r="BG290" s="490" t="s">
        <v>3422</v>
      </c>
      <c r="BH290" s="490" t="s">
        <v>3433</v>
      </c>
      <c r="BI290" s="490" t="s">
        <v>3434</v>
      </c>
      <c r="BJ290" s="490" t="s">
        <v>1110</v>
      </c>
      <c r="BK290" s="437"/>
      <c r="BL290" s="437"/>
      <c r="BM290" s="437"/>
      <c r="BN290" s="437"/>
      <c r="BO290" s="437"/>
      <c r="BP290" s="437"/>
    </row>
    <row r="291" spans="1:68">
      <c r="A291" s="437"/>
      <c r="B291" s="437"/>
      <c r="C291" s="437"/>
      <c r="D291" s="437"/>
      <c r="E291" s="437"/>
      <c r="F291" s="437"/>
      <c r="G291" s="437"/>
      <c r="H291" s="437"/>
      <c r="I291" s="437"/>
      <c r="J291" s="437"/>
      <c r="K291" s="437"/>
      <c r="L291" s="437"/>
      <c r="M291" s="437"/>
      <c r="N291" s="437"/>
      <c r="O291" s="437"/>
      <c r="P291" s="437"/>
      <c r="Q291" s="437"/>
      <c r="R291" s="437"/>
      <c r="S291" s="437"/>
      <c r="T291" s="437"/>
      <c r="U291" s="437"/>
      <c r="V291" s="437"/>
      <c r="W291" s="437"/>
      <c r="X291" s="437"/>
      <c r="Y291" s="437"/>
      <c r="Z291" s="437"/>
      <c r="AA291" s="437"/>
      <c r="AB291" s="437"/>
      <c r="AC291" s="437"/>
      <c r="AD291" s="437"/>
      <c r="AE291" s="437"/>
      <c r="AF291" s="437"/>
      <c r="AG291" s="437"/>
      <c r="AH291" s="437"/>
      <c r="AI291" s="437"/>
      <c r="AJ291" s="437"/>
      <c r="AK291" s="437"/>
      <c r="AL291" s="437"/>
      <c r="AM291" s="437"/>
      <c r="AN291" s="437"/>
      <c r="AO291" s="437"/>
      <c r="AP291" s="437"/>
      <c r="AQ291" s="437"/>
      <c r="AR291" s="437"/>
      <c r="AS291" s="437"/>
      <c r="AT291" s="437"/>
      <c r="AU291" s="437"/>
      <c r="AV291" s="437"/>
      <c r="AW291" s="437"/>
      <c r="AX291" s="436">
        <v>286</v>
      </c>
      <c r="AY291" s="490" t="s">
        <v>3435</v>
      </c>
      <c r="AZ291" s="490" t="s">
        <v>3436</v>
      </c>
      <c r="BA291" s="490" t="s">
        <v>3437</v>
      </c>
      <c r="BB291" s="490" t="s">
        <v>3438</v>
      </c>
      <c r="BC291" s="490" t="s">
        <v>3439</v>
      </c>
      <c r="BD291" s="490" t="s">
        <v>1116</v>
      </c>
      <c r="BE291" s="490" t="s">
        <v>3440</v>
      </c>
      <c r="BF291" s="490" t="s">
        <v>3441</v>
      </c>
      <c r="BG291" s="490" t="s">
        <v>3432</v>
      </c>
      <c r="BH291" s="490" t="s">
        <v>3442</v>
      </c>
      <c r="BI291" s="490" t="s">
        <v>1144</v>
      </c>
      <c r="BJ291" s="490" t="s">
        <v>3443</v>
      </c>
      <c r="BK291" s="437"/>
      <c r="BL291" s="437"/>
      <c r="BM291" s="437"/>
      <c r="BN291" s="437"/>
      <c r="BO291" s="437"/>
      <c r="BP291" s="437"/>
    </row>
    <row r="292" spans="1:68">
      <c r="A292" s="437"/>
      <c r="B292" s="437"/>
      <c r="C292" s="437"/>
      <c r="D292" s="437"/>
      <c r="E292" s="437"/>
      <c r="F292" s="437"/>
      <c r="G292" s="437"/>
      <c r="H292" s="437"/>
      <c r="I292" s="437"/>
      <c r="J292" s="437"/>
      <c r="K292" s="437"/>
      <c r="L292" s="437"/>
      <c r="M292" s="437"/>
      <c r="N292" s="437"/>
      <c r="O292" s="437"/>
      <c r="P292" s="437"/>
      <c r="Q292" s="437"/>
      <c r="R292" s="437"/>
      <c r="S292" s="437"/>
      <c r="T292" s="437"/>
      <c r="U292" s="437"/>
      <c r="V292" s="437"/>
      <c r="W292" s="437"/>
      <c r="X292" s="437"/>
      <c r="Y292" s="437"/>
      <c r="Z292" s="437"/>
      <c r="AA292" s="437"/>
      <c r="AB292" s="437"/>
      <c r="AC292" s="437"/>
      <c r="AD292" s="437"/>
      <c r="AE292" s="437"/>
      <c r="AF292" s="437"/>
      <c r="AG292" s="437"/>
      <c r="AH292" s="437"/>
      <c r="AI292" s="437"/>
      <c r="AJ292" s="437"/>
      <c r="AK292" s="437"/>
      <c r="AL292" s="437"/>
      <c r="AM292" s="437"/>
      <c r="AN292" s="437"/>
      <c r="AO292" s="437"/>
      <c r="AP292" s="437"/>
      <c r="AQ292" s="437"/>
      <c r="AR292" s="437"/>
      <c r="AS292" s="437"/>
      <c r="AT292" s="437"/>
      <c r="AU292" s="437"/>
      <c r="AV292" s="437"/>
      <c r="AW292" s="437"/>
      <c r="AX292" s="436">
        <v>287</v>
      </c>
      <c r="AY292" s="490" t="s">
        <v>3444</v>
      </c>
      <c r="AZ292" s="490" t="s">
        <v>3445</v>
      </c>
      <c r="BA292" s="490" t="s">
        <v>3446</v>
      </c>
      <c r="BB292" s="490" t="s">
        <v>3447</v>
      </c>
      <c r="BC292" s="490" t="s">
        <v>3448</v>
      </c>
      <c r="BD292" s="490" t="s">
        <v>3449</v>
      </c>
      <c r="BE292" s="490" t="s">
        <v>3450</v>
      </c>
      <c r="BF292" s="490" t="s">
        <v>3451</v>
      </c>
      <c r="BG292" s="490" t="s">
        <v>3441</v>
      </c>
      <c r="BH292" s="490" t="s">
        <v>3258</v>
      </c>
      <c r="BI292" s="490" t="s">
        <v>1156</v>
      </c>
      <c r="BJ292" s="490" t="s">
        <v>1836</v>
      </c>
      <c r="BK292" s="437"/>
      <c r="BL292" s="437"/>
      <c r="BM292" s="437"/>
      <c r="BN292" s="437"/>
      <c r="BO292" s="437"/>
      <c r="BP292" s="437"/>
    </row>
    <row r="293" spans="1:68">
      <c r="A293" s="437"/>
      <c r="B293" s="437"/>
      <c r="C293" s="437"/>
      <c r="D293" s="437"/>
      <c r="E293" s="437"/>
      <c r="F293" s="437"/>
      <c r="G293" s="437"/>
      <c r="H293" s="437"/>
      <c r="I293" s="437"/>
      <c r="J293" s="437"/>
      <c r="K293" s="437"/>
      <c r="L293" s="437"/>
      <c r="M293" s="437"/>
      <c r="N293" s="437"/>
      <c r="O293" s="437"/>
      <c r="P293" s="437"/>
      <c r="Q293" s="437"/>
      <c r="R293" s="437"/>
      <c r="S293" s="437"/>
      <c r="T293" s="437"/>
      <c r="U293" s="437"/>
      <c r="V293" s="437"/>
      <c r="W293" s="437"/>
      <c r="X293" s="437"/>
      <c r="Y293" s="437"/>
      <c r="Z293" s="437"/>
      <c r="AA293" s="437"/>
      <c r="AB293" s="437"/>
      <c r="AC293" s="437"/>
      <c r="AD293" s="437"/>
      <c r="AE293" s="437"/>
      <c r="AF293" s="437"/>
      <c r="AG293" s="437"/>
      <c r="AH293" s="437"/>
      <c r="AI293" s="437"/>
      <c r="AJ293" s="437"/>
      <c r="AK293" s="437"/>
      <c r="AL293" s="437"/>
      <c r="AM293" s="437"/>
      <c r="AN293" s="437"/>
      <c r="AO293" s="437"/>
      <c r="AP293" s="437"/>
      <c r="AQ293" s="437"/>
      <c r="AR293" s="437"/>
      <c r="AS293" s="437"/>
      <c r="AT293" s="437"/>
      <c r="AU293" s="437"/>
      <c r="AV293" s="437"/>
      <c r="AW293" s="437"/>
      <c r="AX293" s="436">
        <v>288</v>
      </c>
      <c r="AY293" s="490" t="s">
        <v>3452</v>
      </c>
      <c r="AZ293" s="490" t="s">
        <v>3453</v>
      </c>
      <c r="BA293" s="490" t="s">
        <v>3454</v>
      </c>
      <c r="BB293" s="490" t="s">
        <v>3455</v>
      </c>
      <c r="BC293" s="490" t="s">
        <v>3456</v>
      </c>
      <c r="BD293" s="490" t="s">
        <v>3457</v>
      </c>
      <c r="BE293" s="490" t="s">
        <v>3458</v>
      </c>
      <c r="BF293" s="490" t="s">
        <v>3459</v>
      </c>
      <c r="BG293" s="490" t="s">
        <v>3451</v>
      </c>
      <c r="BH293" s="490" t="s">
        <v>3460</v>
      </c>
      <c r="BI293" s="490" t="s">
        <v>3461</v>
      </c>
      <c r="BJ293" s="490" t="s">
        <v>3462</v>
      </c>
      <c r="BK293" s="437"/>
      <c r="BL293" s="437"/>
      <c r="BM293" s="437"/>
      <c r="BN293" s="437"/>
      <c r="BO293" s="437"/>
      <c r="BP293" s="437"/>
    </row>
    <row r="294" spans="1:68">
      <c r="A294" s="437"/>
      <c r="B294" s="437"/>
      <c r="C294" s="437"/>
      <c r="D294" s="437"/>
      <c r="E294" s="437"/>
      <c r="F294" s="437"/>
      <c r="G294" s="437"/>
      <c r="H294" s="437"/>
      <c r="I294" s="437"/>
      <c r="J294" s="437"/>
      <c r="K294" s="437"/>
      <c r="L294" s="437"/>
      <c r="M294" s="437"/>
      <c r="N294" s="437"/>
      <c r="O294" s="437"/>
      <c r="P294" s="437"/>
      <c r="Q294" s="437"/>
      <c r="R294" s="437"/>
      <c r="S294" s="437"/>
      <c r="T294" s="437"/>
      <c r="U294" s="437"/>
      <c r="V294" s="437"/>
      <c r="W294" s="437"/>
      <c r="X294" s="437"/>
      <c r="Y294" s="437"/>
      <c r="Z294" s="437"/>
      <c r="AA294" s="437"/>
      <c r="AB294" s="437"/>
      <c r="AC294" s="437"/>
      <c r="AD294" s="437"/>
      <c r="AE294" s="437"/>
      <c r="AF294" s="437"/>
      <c r="AG294" s="437"/>
      <c r="AH294" s="437"/>
      <c r="AI294" s="437"/>
      <c r="AJ294" s="437"/>
      <c r="AK294" s="437"/>
      <c r="AL294" s="437"/>
      <c r="AM294" s="437"/>
      <c r="AN294" s="437"/>
      <c r="AO294" s="437"/>
      <c r="AP294" s="437"/>
      <c r="AQ294" s="437"/>
      <c r="AR294" s="437"/>
      <c r="AS294" s="437"/>
      <c r="AT294" s="437"/>
      <c r="AU294" s="437"/>
      <c r="AV294" s="437"/>
      <c r="AW294" s="437"/>
      <c r="AX294" s="436">
        <v>289</v>
      </c>
      <c r="AY294" s="490" t="s">
        <v>3463</v>
      </c>
      <c r="AZ294" s="490" t="s">
        <v>3464</v>
      </c>
      <c r="BA294" s="490" t="s">
        <v>3465</v>
      </c>
      <c r="BB294" s="490" t="s">
        <v>3466</v>
      </c>
      <c r="BC294" s="490" t="s">
        <v>3467</v>
      </c>
      <c r="BD294" s="490" t="s">
        <v>3468</v>
      </c>
      <c r="BE294" s="490" t="s">
        <v>3469</v>
      </c>
      <c r="BF294" s="490" t="s">
        <v>3470</v>
      </c>
      <c r="BG294" s="490" t="s">
        <v>3471</v>
      </c>
      <c r="BH294" s="490" t="s">
        <v>3390</v>
      </c>
      <c r="BI294" s="490" t="s">
        <v>3472</v>
      </c>
      <c r="BJ294" s="490" t="s">
        <v>1157</v>
      </c>
      <c r="BK294" s="437"/>
      <c r="BL294" s="437"/>
      <c r="BM294" s="437"/>
      <c r="BN294" s="437"/>
      <c r="BO294" s="437"/>
      <c r="BP294" s="437"/>
    </row>
    <row r="295" spans="1:68">
      <c r="A295" s="437"/>
      <c r="B295" s="437"/>
      <c r="C295" s="437"/>
      <c r="D295" s="437"/>
      <c r="E295" s="437"/>
      <c r="F295" s="437"/>
      <c r="G295" s="437"/>
      <c r="H295" s="437"/>
      <c r="I295" s="437"/>
      <c r="J295" s="437"/>
      <c r="K295" s="437"/>
      <c r="L295" s="437"/>
      <c r="M295" s="437"/>
      <c r="N295" s="437"/>
      <c r="O295" s="437"/>
      <c r="P295" s="437"/>
      <c r="Q295" s="437"/>
      <c r="R295" s="437"/>
      <c r="S295" s="437"/>
      <c r="T295" s="437"/>
      <c r="U295" s="437"/>
      <c r="V295" s="437"/>
      <c r="W295" s="437"/>
      <c r="X295" s="437"/>
      <c r="Y295" s="437"/>
      <c r="Z295" s="437"/>
      <c r="AA295" s="437"/>
      <c r="AB295" s="437"/>
      <c r="AC295" s="437"/>
      <c r="AD295" s="437"/>
      <c r="AE295" s="437"/>
      <c r="AF295" s="437"/>
      <c r="AG295" s="437"/>
      <c r="AH295" s="437"/>
      <c r="AI295" s="437"/>
      <c r="AJ295" s="437"/>
      <c r="AK295" s="437"/>
      <c r="AL295" s="437"/>
      <c r="AM295" s="437"/>
      <c r="AN295" s="437"/>
      <c r="AO295" s="437"/>
      <c r="AP295" s="437"/>
      <c r="AQ295" s="437"/>
      <c r="AR295" s="437"/>
      <c r="AS295" s="437"/>
      <c r="AT295" s="437"/>
      <c r="AU295" s="437"/>
      <c r="AV295" s="437"/>
      <c r="AW295" s="437"/>
      <c r="AX295" s="436">
        <v>290</v>
      </c>
      <c r="AY295" s="490" t="s">
        <v>3473</v>
      </c>
      <c r="AZ295" s="490" t="s">
        <v>3474</v>
      </c>
      <c r="BA295" s="490" t="s">
        <v>3475</v>
      </c>
      <c r="BB295" s="490" t="s">
        <v>3476</v>
      </c>
      <c r="BC295" s="490" t="s">
        <v>3477</v>
      </c>
      <c r="BD295" s="490" t="s">
        <v>3478</v>
      </c>
      <c r="BE295" s="490" t="s">
        <v>3479</v>
      </c>
      <c r="BF295" s="490" t="s">
        <v>3480</v>
      </c>
      <c r="BG295" s="490" t="s">
        <v>3470</v>
      </c>
      <c r="BH295" s="490" t="s">
        <v>3481</v>
      </c>
      <c r="BI295" s="490" t="s">
        <v>3482</v>
      </c>
      <c r="BJ295" s="490" t="s">
        <v>3483</v>
      </c>
      <c r="BK295" s="437"/>
      <c r="BL295" s="437"/>
      <c r="BM295" s="437"/>
      <c r="BN295" s="437"/>
      <c r="BO295" s="437"/>
      <c r="BP295" s="437"/>
    </row>
    <row r="296" spans="1:68">
      <c r="A296" s="437"/>
      <c r="B296" s="437"/>
      <c r="C296" s="437"/>
      <c r="D296" s="437"/>
      <c r="E296" s="437"/>
      <c r="F296" s="437"/>
      <c r="G296" s="437"/>
      <c r="H296" s="437"/>
      <c r="I296" s="437"/>
      <c r="J296" s="437"/>
      <c r="K296" s="437"/>
      <c r="L296" s="437"/>
      <c r="M296" s="437"/>
      <c r="N296" s="437"/>
      <c r="O296" s="437"/>
      <c r="P296" s="437"/>
      <c r="Q296" s="437"/>
      <c r="R296" s="437"/>
      <c r="S296" s="437"/>
      <c r="T296" s="437"/>
      <c r="U296" s="437"/>
      <c r="V296" s="437"/>
      <c r="W296" s="437"/>
      <c r="X296" s="437"/>
      <c r="Y296" s="437"/>
      <c r="Z296" s="437"/>
      <c r="AA296" s="437"/>
      <c r="AB296" s="437"/>
      <c r="AC296" s="437"/>
      <c r="AD296" s="437"/>
      <c r="AE296" s="437"/>
      <c r="AF296" s="437"/>
      <c r="AG296" s="437"/>
      <c r="AH296" s="437"/>
      <c r="AI296" s="437"/>
      <c r="AJ296" s="437"/>
      <c r="AK296" s="437"/>
      <c r="AL296" s="437"/>
      <c r="AM296" s="437"/>
      <c r="AN296" s="437"/>
      <c r="AO296" s="437"/>
      <c r="AP296" s="437"/>
      <c r="AQ296" s="437"/>
      <c r="AR296" s="437"/>
      <c r="AS296" s="437"/>
      <c r="AT296" s="437"/>
      <c r="AU296" s="437"/>
      <c r="AV296" s="437"/>
      <c r="AW296" s="437"/>
      <c r="AX296" s="436">
        <v>291</v>
      </c>
      <c r="AY296" s="490" t="s">
        <v>3484</v>
      </c>
      <c r="AZ296" s="490" t="s">
        <v>453</v>
      </c>
      <c r="BA296" s="490" t="s">
        <v>3485</v>
      </c>
      <c r="BB296" s="490" t="s">
        <v>3486</v>
      </c>
      <c r="BC296" s="490" t="s">
        <v>3487</v>
      </c>
      <c r="BD296" s="490" t="s">
        <v>3488</v>
      </c>
      <c r="BE296" s="490" t="s">
        <v>3489</v>
      </c>
      <c r="BF296" s="490" t="s">
        <v>454</v>
      </c>
      <c r="BG296" s="490" t="s">
        <v>3490</v>
      </c>
      <c r="BH296" s="490" t="s">
        <v>3491</v>
      </c>
      <c r="BI296" s="490" t="s">
        <v>3492</v>
      </c>
      <c r="BJ296" s="490" t="s">
        <v>3493</v>
      </c>
      <c r="BK296" s="437"/>
      <c r="BL296" s="437"/>
      <c r="BM296" s="437"/>
      <c r="BN296" s="437"/>
      <c r="BO296" s="437"/>
      <c r="BP296" s="437"/>
    </row>
    <row r="297" spans="1:68">
      <c r="A297" s="437"/>
      <c r="B297" s="437"/>
      <c r="C297" s="437"/>
      <c r="D297" s="437"/>
      <c r="E297" s="437"/>
      <c r="F297" s="437"/>
      <c r="G297" s="437"/>
      <c r="H297" s="437"/>
      <c r="I297" s="437"/>
      <c r="J297" s="437"/>
      <c r="K297" s="437"/>
      <c r="L297" s="437"/>
      <c r="M297" s="437"/>
      <c r="N297" s="437"/>
      <c r="O297" s="437"/>
      <c r="P297" s="437"/>
      <c r="Q297" s="437"/>
      <c r="R297" s="437"/>
      <c r="S297" s="437"/>
      <c r="T297" s="437"/>
      <c r="U297" s="437"/>
      <c r="V297" s="437"/>
      <c r="W297" s="437"/>
      <c r="X297" s="437"/>
      <c r="Y297" s="437"/>
      <c r="Z297" s="437"/>
      <c r="AA297" s="437"/>
      <c r="AB297" s="437"/>
      <c r="AC297" s="437"/>
      <c r="AD297" s="437"/>
      <c r="AE297" s="437"/>
      <c r="AF297" s="437"/>
      <c r="AG297" s="437"/>
      <c r="AH297" s="437"/>
      <c r="AI297" s="437"/>
      <c r="AJ297" s="437"/>
      <c r="AK297" s="437"/>
      <c r="AL297" s="437"/>
      <c r="AM297" s="437"/>
      <c r="AN297" s="437"/>
      <c r="AO297" s="437"/>
      <c r="AP297" s="437"/>
      <c r="AQ297" s="437"/>
      <c r="AR297" s="437"/>
      <c r="AS297" s="437"/>
      <c r="AT297" s="437"/>
      <c r="AU297" s="437"/>
      <c r="AV297" s="437"/>
      <c r="AW297" s="437"/>
      <c r="AX297" s="436">
        <v>292</v>
      </c>
      <c r="AY297" s="490" t="s">
        <v>3494</v>
      </c>
      <c r="AZ297" s="490" t="s">
        <v>3495</v>
      </c>
      <c r="BA297" s="490" t="s">
        <v>3496</v>
      </c>
      <c r="BB297" s="490" t="s">
        <v>3497</v>
      </c>
      <c r="BC297" s="490" t="s">
        <v>1214</v>
      </c>
      <c r="BD297" s="490" t="s">
        <v>3498</v>
      </c>
      <c r="BE297" s="490" t="s">
        <v>3499</v>
      </c>
      <c r="BF297" s="490" t="s">
        <v>3500</v>
      </c>
      <c r="BG297" s="490" t="s">
        <v>455</v>
      </c>
      <c r="BH297" s="490" t="s">
        <v>3501</v>
      </c>
      <c r="BI297" s="490" t="s">
        <v>1209</v>
      </c>
      <c r="BJ297" s="490" t="s">
        <v>3502</v>
      </c>
      <c r="BK297" s="437"/>
      <c r="BL297" s="437"/>
      <c r="BM297" s="437"/>
      <c r="BN297" s="437"/>
      <c r="BO297" s="437"/>
      <c r="BP297" s="437"/>
    </row>
    <row r="298" spans="1:68">
      <c r="A298" s="437"/>
      <c r="B298" s="437"/>
      <c r="C298" s="437"/>
      <c r="D298" s="437"/>
      <c r="E298" s="437"/>
      <c r="F298" s="437"/>
      <c r="G298" s="437"/>
      <c r="H298" s="437"/>
      <c r="I298" s="437"/>
      <c r="J298" s="437"/>
      <c r="K298" s="437"/>
      <c r="L298" s="437"/>
      <c r="M298" s="437"/>
      <c r="N298" s="437"/>
      <c r="O298" s="437"/>
      <c r="P298" s="437"/>
      <c r="Q298" s="437"/>
      <c r="R298" s="437"/>
      <c r="S298" s="437"/>
      <c r="T298" s="437"/>
      <c r="U298" s="437"/>
      <c r="V298" s="437"/>
      <c r="W298" s="437"/>
      <c r="X298" s="437"/>
      <c r="Y298" s="437"/>
      <c r="Z298" s="437"/>
      <c r="AA298" s="437"/>
      <c r="AB298" s="437"/>
      <c r="AC298" s="437"/>
      <c r="AD298" s="437"/>
      <c r="AE298" s="437"/>
      <c r="AF298" s="437"/>
      <c r="AG298" s="437"/>
      <c r="AH298" s="437"/>
      <c r="AI298" s="437"/>
      <c r="AJ298" s="437"/>
      <c r="AK298" s="437"/>
      <c r="AL298" s="437"/>
      <c r="AM298" s="437"/>
      <c r="AN298" s="437"/>
      <c r="AO298" s="437"/>
      <c r="AP298" s="437"/>
      <c r="AQ298" s="437"/>
      <c r="AR298" s="437"/>
      <c r="AS298" s="437"/>
      <c r="AT298" s="437"/>
      <c r="AU298" s="437"/>
      <c r="AV298" s="437"/>
      <c r="AW298" s="437"/>
      <c r="AX298" s="436">
        <v>293</v>
      </c>
      <c r="AY298" s="490" t="s">
        <v>453</v>
      </c>
      <c r="AZ298" s="490" t="s">
        <v>456</v>
      </c>
      <c r="BA298" s="490" t="s">
        <v>3503</v>
      </c>
      <c r="BB298" s="490" t="s">
        <v>3504</v>
      </c>
      <c r="BC298" s="490" t="s">
        <v>3505</v>
      </c>
      <c r="BD298" s="490" t="s">
        <v>3506</v>
      </c>
      <c r="BE298" s="490" t="s">
        <v>457</v>
      </c>
      <c r="BF298" s="490" t="s">
        <v>3507</v>
      </c>
      <c r="BG298" s="490" t="s">
        <v>3508</v>
      </c>
      <c r="BH298" s="490" t="s">
        <v>3509</v>
      </c>
      <c r="BI298" s="490" t="s">
        <v>3510</v>
      </c>
      <c r="BJ298" s="490" t="s">
        <v>3511</v>
      </c>
      <c r="BK298" s="437"/>
      <c r="BL298" s="437"/>
      <c r="BM298" s="437"/>
      <c r="BN298" s="437"/>
      <c r="BO298" s="437"/>
      <c r="BP298" s="437"/>
    </row>
    <row r="299" spans="1:68">
      <c r="A299" s="437"/>
      <c r="B299" s="437"/>
      <c r="C299" s="437"/>
      <c r="D299" s="437"/>
      <c r="E299" s="437"/>
      <c r="F299" s="437"/>
      <c r="G299" s="437"/>
      <c r="H299" s="437"/>
      <c r="I299" s="437"/>
      <c r="J299" s="437"/>
      <c r="K299" s="437"/>
      <c r="L299" s="437"/>
      <c r="M299" s="437"/>
      <c r="N299" s="437"/>
      <c r="O299" s="437"/>
      <c r="P299" s="437"/>
      <c r="Q299" s="437"/>
      <c r="R299" s="437"/>
      <c r="S299" s="437"/>
      <c r="T299" s="437"/>
      <c r="U299" s="437"/>
      <c r="V299" s="437"/>
      <c r="W299" s="437"/>
      <c r="X299" s="437"/>
      <c r="Y299" s="437"/>
      <c r="Z299" s="437"/>
      <c r="AA299" s="437"/>
      <c r="AB299" s="437"/>
      <c r="AC299" s="437"/>
      <c r="AD299" s="437"/>
      <c r="AE299" s="437"/>
      <c r="AF299" s="437"/>
      <c r="AG299" s="437"/>
      <c r="AH299" s="437"/>
      <c r="AI299" s="437"/>
      <c r="AJ299" s="437"/>
      <c r="AK299" s="437"/>
      <c r="AL299" s="437"/>
      <c r="AM299" s="437"/>
      <c r="AN299" s="437"/>
      <c r="AO299" s="437"/>
      <c r="AP299" s="437"/>
      <c r="AQ299" s="437"/>
      <c r="AR299" s="437"/>
      <c r="AS299" s="437"/>
      <c r="AT299" s="437"/>
      <c r="AU299" s="437"/>
      <c r="AV299" s="437"/>
      <c r="AW299" s="437"/>
      <c r="AX299" s="436">
        <v>294</v>
      </c>
      <c r="AY299" s="490" t="s">
        <v>3495</v>
      </c>
      <c r="AZ299" s="490" t="s">
        <v>3512</v>
      </c>
      <c r="BA299" s="490" t="s">
        <v>459</v>
      </c>
      <c r="BB299" s="490" t="s">
        <v>3513</v>
      </c>
      <c r="BC299" s="490" t="s">
        <v>3514</v>
      </c>
      <c r="BD299" s="490" t="s">
        <v>3515</v>
      </c>
      <c r="BE299" s="490" t="s">
        <v>3516</v>
      </c>
      <c r="BF299" s="490" t="s">
        <v>3517</v>
      </c>
      <c r="BG299" s="490" t="s">
        <v>3507</v>
      </c>
      <c r="BH299" s="490" t="s">
        <v>3518</v>
      </c>
      <c r="BI299" s="490" t="s">
        <v>3519</v>
      </c>
      <c r="BJ299" s="490" t="s">
        <v>3520</v>
      </c>
      <c r="BK299" s="437"/>
      <c r="BL299" s="437"/>
      <c r="BM299" s="437"/>
      <c r="BN299" s="437"/>
      <c r="BO299" s="437"/>
      <c r="BP299" s="437"/>
    </row>
    <row r="300" spans="1:68">
      <c r="A300" s="437"/>
      <c r="B300" s="437"/>
      <c r="C300" s="437"/>
      <c r="D300" s="437"/>
      <c r="E300" s="437"/>
      <c r="F300" s="437"/>
      <c r="G300" s="437"/>
      <c r="H300" s="437"/>
      <c r="I300" s="437"/>
      <c r="J300" s="437"/>
      <c r="K300" s="437"/>
      <c r="L300" s="437"/>
      <c r="M300" s="437"/>
      <c r="N300" s="437"/>
      <c r="O300" s="437"/>
      <c r="P300" s="437"/>
      <c r="Q300" s="437"/>
      <c r="R300" s="437"/>
      <c r="S300" s="437"/>
      <c r="T300" s="437"/>
      <c r="U300" s="437"/>
      <c r="V300" s="437"/>
      <c r="W300" s="437"/>
      <c r="X300" s="437"/>
      <c r="Y300" s="437"/>
      <c r="Z300" s="437"/>
      <c r="AA300" s="437"/>
      <c r="AB300" s="437"/>
      <c r="AC300" s="437"/>
      <c r="AD300" s="437"/>
      <c r="AE300" s="437"/>
      <c r="AF300" s="437"/>
      <c r="AG300" s="437"/>
      <c r="AH300" s="437"/>
      <c r="AI300" s="437"/>
      <c r="AJ300" s="437"/>
      <c r="AK300" s="437"/>
      <c r="AL300" s="437"/>
      <c r="AM300" s="437"/>
      <c r="AN300" s="437"/>
      <c r="AO300" s="437"/>
      <c r="AP300" s="437"/>
      <c r="AQ300" s="437"/>
      <c r="AR300" s="437"/>
      <c r="AS300" s="437"/>
      <c r="AT300" s="437"/>
      <c r="AU300" s="437"/>
      <c r="AV300" s="437"/>
      <c r="AW300" s="437"/>
      <c r="AX300" s="436">
        <v>295</v>
      </c>
      <c r="AY300" s="490" t="s">
        <v>460</v>
      </c>
      <c r="AZ300" s="490" t="s">
        <v>461</v>
      </c>
      <c r="BA300" s="490" t="s">
        <v>3521</v>
      </c>
      <c r="BB300" s="490" t="s">
        <v>3522</v>
      </c>
      <c r="BC300" s="490" t="s">
        <v>1222</v>
      </c>
      <c r="BD300" s="490" t="s">
        <v>3419</v>
      </c>
      <c r="BE300" s="490" t="s">
        <v>3523</v>
      </c>
      <c r="BF300" s="490" t="s">
        <v>3524</v>
      </c>
      <c r="BG300" s="490" t="s">
        <v>3525</v>
      </c>
      <c r="BH300" s="490" t="s">
        <v>3526</v>
      </c>
      <c r="BI300" s="490" t="s">
        <v>3527</v>
      </c>
      <c r="BJ300" s="490" t="s">
        <v>1005</v>
      </c>
      <c r="BK300" s="437"/>
      <c r="BL300" s="437"/>
      <c r="BM300" s="437"/>
      <c r="BN300" s="437"/>
      <c r="BO300" s="437"/>
      <c r="BP300" s="437"/>
    </row>
    <row r="301" spans="1:68">
      <c r="A301" s="437"/>
      <c r="B301" s="437"/>
      <c r="C301" s="437"/>
      <c r="D301" s="437"/>
      <c r="E301" s="437"/>
      <c r="F301" s="437"/>
      <c r="G301" s="437"/>
      <c r="H301" s="437"/>
      <c r="I301" s="437"/>
      <c r="J301" s="437"/>
      <c r="K301" s="437"/>
      <c r="L301" s="437"/>
      <c r="M301" s="437"/>
      <c r="N301" s="437"/>
      <c r="O301" s="437"/>
      <c r="P301" s="437"/>
      <c r="Q301" s="437"/>
      <c r="R301" s="437"/>
      <c r="S301" s="437"/>
      <c r="T301" s="437"/>
      <c r="U301" s="437"/>
      <c r="V301" s="437"/>
      <c r="W301" s="437"/>
      <c r="X301" s="437"/>
      <c r="Y301" s="437"/>
      <c r="Z301" s="437"/>
      <c r="AA301" s="437"/>
      <c r="AB301" s="437"/>
      <c r="AC301" s="437"/>
      <c r="AD301" s="437"/>
      <c r="AE301" s="437"/>
      <c r="AF301" s="437"/>
      <c r="AG301" s="437"/>
      <c r="AH301" s="437"/>
      <c r="AI301" s="437"/>
      <c r="AJ301" s="437"/>
      <c r="AK301" s="437"/>
      <c r="AL301" s="437"/>
      <c r="AM301" s="437"/>
      <c r="AN301" s="437"/>
      <c r="AO301" s="437"/>
      <c r="AP301" s="437"/>
      <c r="AQ301" s="437"/>
      <c r="AR301" s="437"/>
      <c r="AS301" s="437"/>
      <c r="AT301" s="437"/>
      <c r="AU301" s="437"/>
      <c r="AV301" s="437"/>
      <c r="AW301" s="437"/>
      <c r="AX301" s="436">
        <v>296</v>
      </c>
      <c r="AY301" s="490" t="s">
        <v>3512</v>
      </c>
      <c r="AZ301" s="490" t="s">
        <v>3528</v>
      </c>
      <c r="BA301" s="490" t="s">
        <v>462</v>
      </c>
      <c r="BB301" s="490" t="s">
        <v>3529</v>
      </c>
      <c r="BC301" s="490" t="s">
        <v>3530</v>
      </c>
      <c r="BD301" s="490" t="s">
        <v>3430</v>
      </c>
      <c r="BE301" s="490" t="s">
        <v>463</v>
      </c>
      <c r="BF301" s="490" t="s">
        <v>3531</v>
      </c>
      <c r="BG301" s="490" t="s">
        <v>3532</v>
      </c>
      <c r="BH301" s="490" t="s">
        <v>3441</v>
      </c>
      <c r="BI301" s="490" t="s">
        <v>3533</v>
      </c>
      <c r="BJ301" s="490" t="s">
        <v>3534</v>
      </c>
      <c r="BK301" s="437"/>
      <c r="BL301" s="437"/>
      <c r="BM301" s="437"/>
      <c r="BN301" s="437"/>
      <c r="BO301" s="437"/>
      <c r="BP301" s="437"/>
    </row>
    <row r="302" spans="1:68">
      <c r="A302" s="437"/>
      <c r="B302" s="437"/>
      <c r="C302" s="437"/>
      <c r="D302" s="437"/>
      <c r="E302" s="437"/>
      <c r="F302" s="437"/>
      <c r="G302" s="437"/>
      <c r="H302" s="437"/>
      <c r="I302" s="437"/>
      <c r="J302" s="437"/>
      <c r="K302" s="437"/>
      <c r="L302" s="437"/>
      <c r="M302" s="437"/>
      <c r="N302" s="437"/>
      <c r="O302" s="437"/>
      <c r="P302" s="437"/>
      <c r="Q302" s="437"/>
      <c r="R302" s="437"/>
      <c r="S302" s="437"/>
      <c r="T302" s="437"/>
      <c r="U302" s="437"/>
      <c r="V302" s="437"/>
      <c r="W302" s="437"/>
      <c r="X302" s="437"/>
      <c r="Y302" s="437"/>
      <c r="Z302" s="437"/>
      <c r="AA302" s="437"/>
      <c r="AB302" s="437"/>
      <c r="AC302" s="437"/>
      <c r="AD302" s="437"/>
      <c r="AE302" s="437"/>
      <c r="AF302" s="437"/>
      <c r="AG302" s="437"/>
      <c r="AH302" s="437"/>
      <c r="AI302" s="437"/>
      <c r="AJ302" s="437"/>
      <c r="AK302" s="437"/>
      <c r="AL302" s="437"/>
      <c r="AM302" s="437"/>
      <c r="AN302" s="437"/>
      <c r="AO302" s="437"/>
      <c r="AP302" s="437"/>
      <c r="AQ302" s="437"/>
      <c r="AR302" s="437"/>
      <c r="AS302" s="437"/>
      <c r="AT302" s="437"/>
      <c r="AU302" s="437"/>
      <c r="AV302" s="437"/>
      <c r="AW302" s="437"/>
      <c r="AX302" s="436">
        <v>297</v>
      </c>
      <c r="AY302" s="490" t="s">
        <v>464</v>
      </c>
      <c r="AZ302" s="490" t="s">
        <v>3535</v>
      </c>
      <c r="BA302" s="490" t="s">
        <v>3536</v>
      </c>
      <c r="BB302" s="490" t="s">
        <v>3537</v>
      </c>
      <c r="BC302" s="490" t="s">
        <v>883</v>
      </c>
      <c r="BD302" s="490" t="s">
        <v>3538</v>
      </c>
      <c r="BE302" s="490" t="s">
        <v>3539</v>
      </c>
      <c r="BF302" s="490" t="s">
        <v>3540</v>
      </c>
      <c r="BG302" s="490" t="s">
        <v>3531</v>
      </c>
      <c r="BH302" s="490" t="s">
        <v>3541</v>
      </c>
      <c r="BI302" s="490" t="s">
        <v>1257</v>
      </c>
      <c r="BJ302" s="490" t="s">
        <v>3542</v>
      </c>
      <c r="BK302" s="437"/>
      <c r="BL302" s="437"/>
      <c r="BM302" s="437"/>
      <c r="BN302" s="437"/>
      <c r="BO302" s="437"/>
      <c r="BP302" s="437"/>
    </row>
    <row r="303" spans="1:68">
      <c r="A303" s="437"/>
      <c r="B303" s="437"/>
      <c r="C303" s="437"/>
      <c r="D303" s="437"/>
      <c r="E303" s="437"/>
      <c r="F303" s="437"/>
      <c r="G303" s="437"/>
      <c r="H303" s="437"/>
      <c r="I303" s="437"/>
      <c r="J303" s="437"/>
      <c r="K303" s="437"/>
      <c r="L303" s="437"/>
      <c r="M303" s="437"/>
      <c r="N303" s="437"/>
      <c r="O303" s="437"/>
      <c r="P303" s="437"/>
      <c r="Q303" s="437"/>
      <c r="R303" s="437"/>
      <c r="S303" s="437"/>
      <c r="T303" s="437"/>
      <c r="U303" s="437"/>
      <c r="V303" s="437"/>
      <c r="W303" s="437"/>
      <c r="X303" s="437"/>
      <c r="Y303" s="437"/>
      <c r="Z303" s="437"/>
      <c r="AA303" s="437"/>
      <c r="AB303" s="437"/>
      <c r="AC303" s="437"/>
      <c r="AD303" s="437"/>
      <c r="AE303" s="437"/>
      <c r="AF303" s="437"/>
      <c r="AG303" s="437"/>
      <c r="AH303" s="437"/>
      <c r="AI303" s="437"/>
      <c r="AJ303" s="437"/>
      <c r="AK303" s="437"/>
      <c r="AL303" s="437"/>
      <c r="AM303" s="437"/>
      <c r="AN303" s="437"/>
      <c r="AO303" s="437"/>
      <c r="AP303" s="437"/>
      <c r="AQ303" s="437"/>
      <c r="AR303" s="437"/>
      <c r="AS303" s="437"/>
      <c r="AT303" s="437"/>
      <c r="AU303" s="437"/>
      <c r="AV303" s="437"/>
      <c r="AW303" s="437"/>
      <c r="AX303" s="436">
        <v>298</v>
      </c>
      <c r="AY303" s="490" t="s">
        <v>3543</v>
      </c>
      <c r="AZ303" s="490" t="s">
        <v>3544</v>
      </c>
      <c r="BA303" s="490" t="s">
        <v>3545</v>
      </c>
      <c r="BB303" s="490" t="s">
        <v>3546</v>
      </c>
      <c r="BC303" s="490" t="s">
        <v>1263</v>
      </c>
      <c r="BD303" s="490" t="s">
        <v>3547</v>
      </c>
      <c r="BE303" s="490" t="s">
        <v>3548</v>
      </c>
      <c r="BF303" s="490" t="s">
        <v>3549</v>
      </c>
      <c r="BG303" s="490" t="s">
        <v>465</v>
      </c>
      <c r="BH303" s="490" t="s">
        <v>3550</v>
      </c>
      <c r="BI303" s="490" t="s">
        <v>3551</v>
      </c>
      <c r="BJ303" s="490" t="s">
        <v>1145</v>
      </c>
      <c r="BK303" s="437"/>
      <c r="BL303" s="437"/>
      <c r="BM303" s="437"/>
      <c r="BN303" s="437"/>
      <c r="BO303" s="437"/>
      <c r="BP303" s="437"/>
    </row>
    <row r="304" spans="1:68">
      <c r="A304" s="437"/>
      <c r="B304" s="437"/>
      <c r="C304" s="437"/>
      <c r="D304" s="437"/>
      <c r="E304" s="437"/>
      <c r="F304" s="437"/>
      <c r="G304" s="437"/>
      <c r="H304" s="437"/>
      <c r="I304" s="437"/>
      <c r="J304" s="437"/>
      <c r="K304" s="437"/>
      <c r="L304" s="437"/>
      <c r="M304" s="437"/>
      <c r="N304" s="437"/>
      <c r="O304" s="437"/>
      <c r="P304" s="437"/>
      <c r="Q304" s="437"/>
      <c r="R304" s="437"/>
      <c r="S304" s="437"/>
      <c r="T304" s="437"/>
      <c r="U304" s="437"/>
      <c r="V304" s="437"/>
      <c r="W304" s="437"/>
      <c r="X304" s="437"/>
      <c r="Y304" s="437"/>
      <c r="Z304" s="437"/>
      <c r="AA304" s="437"/>
      <c r="AB304" s="437"/>
      <c r="AC304" s="437"/>
      <c r="AD304" s="437"/>
      <c r="AE304" s="437"/>
      <c r="AF304" s="437"/>
      <c r="AG304" s="437"/>
      <c r="AH304" s="437"/>
      <c r="AI304" s="437"/>
      <c r="AJ304" s="437"/>
      <c r="AK304" s="437"/>
      <c r="AL304" s="437"/>
      <c r="AM304" s="437"/>
      <c r="AN304" s="437"/>
      <c r="AO304" s="437"/>
      <c r="AP304" s="437"/>
      <c r="AQ304" s="437"/>
      <c r="AR304" s="437"/>
      <c r="AS304" s="437"/>
      <c r="AT304" s="437"/>
      <c r="AU304" s="437"/>
      <c r="AV304" s="437"/>
      <c r="AW304" s="437"/>
      <c r="AX304" s="436">
        <v>299</v>
      </c>
      <c r="AY304" s="490" t="s">
        <v>3552</v>
      </c>
      <c r="AZ304" s="490" t="s">
        <v>3553</v>
      </c>
      <c r="BA304" s="490" t="s">
        <v>3554</v>
      </c>
      <c r="BB304" s="490" t="s">
        <v>3475</v>
      </c>
      <c r="BC304" s="490" t="s">
        <v>3555</v>
      </c>
      <c r="BD304" s="490" t="s">
        <v>3556</v>
      </c>
      <c r="BE304" s="490" t="s">
        <v>478</v>
      </c>
      <c r="BF304" s="490" t="s">
        <v>3557</v>
      </c>
      <c r="BG304" s="490" t="s">
        <v>3558</v>
      </c>
      <c r="BH304" s="490" t="s">
        <v>3559</v>
      </c>
      <c r="BI304" s="490" t="s">
        <v>3560</v>
      </c>
      <c r="BJ304" s="490" t="s">
        <v>3561</v>
      </c>
      <c r="BK304" s="437"/>
      <c r="BL304" s="437"/>
      <c r="BM304" s="437"/>
      <c r="BN304" s="437"/>
      <c r="BO304" s="437"/>
      <c r="BP304" s="437"/>
    </row>
    <row r="305" spans="1:68">
      <c r="A305" s="437"/>
      <c r="B305" s="437"/>
      <c r="C305" s="437"/>
      <c r="D305" s="437"/>
      <c r="E305" s="437"/>
      <c r="F305" s="437"/>
      <c r="G305" s="437"/>
      <c r="H305" s="437"/>
      <c r="I305" s="437"/>
      <c r="J305" s="437"/>
      <c r="K305" s="437"/>
      <c r="L305" s="437"/>
      <c r="M305" s="437"/>
      <c r="N305" s="437"/>
      <c r="O305" s="437"/>
      <c r="P305" s="437"/>
      <c r="Q305" s="437"/>
      <c r="R305" s="437"/>
      <c r="S305" s="437"/>
      <c r="T305" s="437"/>
      <c r="U305" s="437"/>
      <c r="V305" s="437"/>
      <c r="W305" s="437"/>
      <c r="X305" s="437"/>
      <c r="Y305" s="437"/>
      <c r="Z305" s="437"/>
      <c r="AA305" s="437"/>
      <c r="AB305" s="437"/>
      <c r="AC305" s="437"/>
      <c r="AD305" s="437"/>
      <c r="AE305" s="437"/>
      <c r="AF305" s="437"/>
      <c r="AG305" s="437"/>
      <c r="AH305" s="437"/>
      <c r="AI305" s="437"/>
      <c r="AJ305" s="437"/>
      <c r="AK305" s="437"/>
      <c r="AL305" s="437"/>
      <c r="AM305" s="437"/>
      <c r="AN305" s="437"/>
      <c r="AO305" s="437"/>
      <c r="AP305" s="437"/>
      <c r="AQ305" s="437"/>
      <c r="AR305" s="437"/>
      <c r="AS305" s="437"/>
      <c r="AT305" s="437"/>
      <c r="AU305" s="437"/>
      <c r="AV305" s="437"/>
      <c r="AW305" s="437"/>
      <c r="AX305" s="436">
        <v>300</v>
      </c>
      <c r="AY305" s="490" t="s">
        <v>3562</v>
      </c>
      <c r="AZ305" s="490" t="s">
        <v>3563</v>
      </c>
      <c r="BA305" s="490" t="s">
        <v>3564</v>
      </c>
      <c r="BB305" s="490" t="s">
        <v>3485</v>
      </c>
      <c r="BC305" s="490" t="s">
        <v>3565</v>
      </c>
      <c r="BD305" s="490" t="s">
        <v>1264</v>
      </c>
      <c r="BE305" s="490" t="s">
        <v>3566</v>
      </c>
      <c r="BF305" s="490" t="s">
        <v>3567</v>
      </c>
      <c r="BG305" s="490" t="s">
        <v>3568</v>
      </c>
      <c r="BH305" s="490" t="s">
        <v>3569</v>
      </c>
      <c r="BI305" s="490" t="s">
        <v>3570</v>
      </c>
      <c r="BJ305" s="490" t="s">
        <v>3571</v>
      </c>
      <c r="BK305" s="437"/>
      <c r="BL305" s="437"/>
      <c r="BM305" s="437"/>
      <c r="BN305" s="437"/>
      <c r="BO305" s="437"/>
      <c r="BP305" s="437"/>
    </row>
    <row r="306" spans="1:68">
      <c r="A306" s="437"/>
      <c r="B306" s="437"/>
      <c r="C306" s="437"/>
      <c r="D306" s="437"/>
      <c r="E306" s="437"/>
      <c r="F306" s="437"/>
      <c r="G306" s="437"/>
      <c r="H306" s="437"/>
      <c r="I306" s="437"/>
      <c r="J306" s="437"/>
      <c r="K306" s="437"/>
      <c r="L306" s="437"/>
      <c r="M306" s="437"/>
      <c r="N306" s="437"/>
      <c r="O306" s="437"/>
      <c r="P306" s="437"/>
      <c r="Q306" s="437"/>
      <c r="R306" s="437"/>
      <c r="S306" s="437"/>
      <c r="T306" s="437"/>
      <c r="U306" s="437"/>
      <c r="V306" s="437"/>
      <c r="W306" s="437"/>
      <c r="X306" s="437"/>
      <c r="Y306" s="437"/>
      <c r="Z306" s="437"/>
      <c r="AA306" s="437"/>
      <c r="AB306" s="437"/>
      <c r="AC306" s="437"/>
      <c r="AD306" s="437"/>
      <c r="AE306" s="437"/>
      <c r="AF306" s="437"/>
      <c r="AG306" s="437"/>
      <c r="AH306" s="437"/>
      <c r="AI306" s="437"/>
      <c r="AJ306" s="437"/>
      <c r="AK306" s="437"/>
      <c r="AL306" s="437"/>
      <c r="AM306" s="437"/>
      <c r="AN306" s="437"/>
      <c r="AO306" s="437"/>
      <c r="AP306" s="437"/>
      <c r="AQ306" s="437"/>
      <c r="AR306" s="437"/>
      <c r="AS306" s="437"/>
      <c r="AT306" s="437"/>
      <c r="AU306" s="437"/>
      <c r="AV306" s="437"/>
      <c r="AW306" s="437"/>
      <c r="AX306" s="436">
        <v>301</v>
      </c>
      <c r="AY306" s="490" t="s">
        <v>3528</v>
      </c>
      <c r="AZ306" s="490" t="s">
        <v>466</v>
      </c>
      <c r="BA306" s="490" t="s">
        <v>3572</v>
      </c>
      <c r="BB306" s="490" t="s">
        <v>525</v>
      </c>
      <c r="BC306" s="490" t="s">
        <v>1283</v>
      </c>
      <c r="BD306" s="490" t="s">
        <v>3573</v>
      </c>
      <c r="BE306" s="490" t="s">
        <v>3574</v>
      </c>
      <c r="BF306" s="490" t="s">
        <v>3575</v>
      </c>
      <c r="BG306" s="490" t="s">
        <v>3576</v>
      </c>
      <c r="BH306" s="490" t="s">
        <v>3577</v>
      </c>
      <c r="BI306" s="490" t="s">
        <v>3578</v>
      </c>
      <c r="BJ306" s="490" t="s">
        <v>3482</v>
      </c>
      <c r="BK306" s="437"/>
      <c r="BL306" s="437"/>
      <c r="BM306" s="437"/>
      <c r="BN306" s="437"/>
      <c r="BO306" s="437"/>
      <c r="BP306" s="437"/>
    </row>
    <row r="307" spans="1:68">
      <c r="A307" s="437"/>
      <c r="B307" s="437"/>
      <c r="C307" s="437"/>
      <c r="D307" s="437"/>
      <c r="E307" s="437"/>
      <c r="F307" s="437"/>
      <c r="G307" s="437"/>
      <c r="H307" s="437"/>
      <c r="I307" s="437"/>
      <c r="J307" s="437"/>
      <c r="K307" s="437"/>
      <c r="L307" s="437"/>
      <c r="M307" s="437"/>
      <c r="N307" s="437"/>
      <c r="O307" s="437"/>
      <c r="P307" s="437"/>
      <c r="Q307" s="437"/>
      <c r="R307" s="437"/>
      <c r="S307" s="437"/>
      <c r="T307" s="437"/>
      <c r="U307" s="437"/>
      <c r="V307" s="437"/>
      <c r="W307" s="437"/>
      <c r="X307" s="437"/>
      <c r="Y307" s="437"/>
      <c r="Z307" s="437"/>
      <c r="AA307" s="437"/>
      <c r="AB307" s="437"/>
      <c r="AC307" s="437"/>
      <c r="AD307" s="437"/>
      <c r="AE307" s="437"/>
      <c r="AF307" s="437"/>
      <c r="AG307" s="437"/>
      <c r="AH307" s="437"/>
      <c r="AI307" s="437"/>
      <c r="AJ307" s="437"/>
      <c r="AK307" s="437"/>
      <c r="AL307" s="437"/>
      <c r="AM307" s="437"/>
      <c r="AN307" s="437"/>
      <c r="AO307" s="437"/>
      <c r="AP307" s="437"/>
      <c r="AQ307" s="437"/>
      <c r="AR307" s="437"/>
      <c r="AS307" s="437"/>
      <c r="AT307" s="437"/>
      <c r="AU307" s="437"/>
      <c r="AV307" s="437"/>
      <c r="AW307" s="437"/>
      <c r="AX307" s="436">
        <v>302</v>
      </c>
      <c r="AY307" s="490" t="s">
        <v>3579</v>
      </c>
      <c r="AZ307" s="490" t="s">
        <v>3580</v>
      </c>
      <c r="BA307" s="490" t="s">
        <v>467</v>
      </c>
      <c r="BB307" s="490" t="s">
        <v>3581</v>
      </c>
      <c r="BC307" s="490" t="s">
        <v>1304</v>
      </c>
      <c r="BD307" s="490" t="s">
        <v>3582</v>
      </c>
      <c r="BE307" s="490" t="s">
        <v>3583</v>
      </c>
      <c r="BF307" s="490" t="s">
        <v>3584</v>
      </c>
      <c r="BG307" s="490" t="s">
        <v>3585</v>
      </c>
      <c r="BH307" s="490" t="s">
        <v>3586</v>
      </c>
      <c r="BI307" s="490" t="s">
        <v>3587</v>
      </c>
      <c r="BJ307" s="490" t="s">
        <v>3588</v>
      </c>
      <c r="BK307" s="437"/>
      <c r="BL307" s="437"/>
      <c r="BM307" s="437"/>
      <c r="BN307" s="437"/>
      <c r="BO307" s="437"/>
      <c r="BP307" s="437"/>
    </row>
    <row r="308" spans="1:68">
      <c r="A308" s="437"/>
      <c r="B308" s="437"/>
      <c r="C308" s="437"/>
      <c r="D308" s="437"/>
      <c r="E308" s="437"/>
      <c r="F308" s="437"/>
      <c r="G308" s="437"/>
      <c r="H308" s="437"/>
      <c r="I308" s="437"/>
      <c r="J308" s="437"/>
      <c r="K308" s="437"/>
      <c r="L308" s="437"/>
      <c r="M308" s="437"/>
      <c r="N308" s="437"/>
      <c r="O308" s="437"/>
      <c r="P308" s="437"/>
      <c r="Q308" s="437"/>
      <c r="R308" s="437"/>
      <c r="S308" s="437"/>
      <c r="T308" s="437"/>
      <c r="U308" s="437"/>
      <c r="V308" s="437"/>
      <c r="W308" s="437"/>
      <c r="X308" s="437"/>
      <c r="Y308" s="437"/>
      <c r="Z308" s="437"/>
      <c r="AA308" s="437"/>
      <c r="AB308" s="437"/>
      <c r="AC308" s="437"/>
      <c r="AD308" s="437"/>
      <c r="AE308" s="437"/>
      <c r="AF308" s="437"/>
      <c r="AG308" s="437"/>
      <c r="AH308" s="437"/>
      <c r="AI308" s="437"/>
      <c r="AJ308" s="437"/>
      <c r="AK308" s="437"/>
      <c r="AL308" s="437"/>
      <c r="AM308" s="437"/>
      <c r="AN308" s="437"/>
      <c r="AO308" s="437"/>
      <c r="AP308" s="437"/>
      <c r="AQ308" s="437"/>
      <c r="AR308" s="437"/>
      <c r="AS308" s="437"/>
      <c r="AT308" s="437"/>
      <c r="AU308" s="437"/>
      <c r="AV308" s="437"/>
      <c r="AW308" s="437"/>
      <c r="AX308" s="436">
        <v>303</v>
      </c>
      <c r="AY308" s="490" t="s">
        <v>3589</v>
      </c>
      <c r="AZ308" s="490" t="s">
        <v>3590</v>
      </c>
      <c r="BA308" s="490" t="s">
        <v>3591</v>
      </c>
      <c r="BB308" s="490" t="s">
        <v>468</v>
      </c>
      <c r="BC308" s="490" t="s">
        <v>3592</v>
      </c>
      <c r="BD308" s="490" t="s">
        <v>3593</v>
      </c>
      <c r="BE308" s="490" t="s">
        <v>3575</v>
      </c>
      <c r="BF308" s="490" t="s">
        <v>3594</v>
      </c>
      <c r="BG308" s="490" t="s">
        <v>3595</v>
      </c>
      <c r="BH308" s="490" t="s">
        <v>3596</v>
      </c>
      <c r="BI308" s="490" t="s">
        <v>3597</v>
      </c>
      <c r="BJ308" s="490" t="s">
        <v>3598</v>
      </c>
      <c r="BK308" s="437"/>
      <c r="BL308" s="437"/>
      <c r="BM308" s="437"/>
      <c r="BN308" s="437"/>
      <c r="BO308" s="437"/>
      <c r="BP308" s="437"/>
    </row>
    <row r="309" spans="1:68">
      <c r="A309" s="437"/>
      <c r="B309" s="437"/>
      <c r="C309" s="437"/>
      <c r="D309" s="437"/>
      <c r="E309" s="437"/>
      <c r="F309" s="437"/>
      <c r="G309" s="437"/>
      <c r="H309" s="437"/>
      <c r="I309" s="437"/>
      <c r="J309" s="437"/>
      <c r="K309" s="437"/>
      <c r="L309" s="437"/>
      <c r="M309" s="437"/>
      <c r="N309" s="437"/>
      <c r="O309" s="437"/>
      <c r="P309" s="437"/>
      <c r="Q309" s="437"/>
      <c r="R309" s="437"/>
      <c r="S309" s="437"/>
      <c r="T309" s="437"/>
      <c r="U309" s="437"/>
      <c r="V309" s="437"/>
      <c r="W309" s="437"/>
      <c r="X309" s="437"/>
      <c r="Y309" s="437"/>
      <c r="Z309" s="437"/>
      <c r="AA309" s="437"/>
      <c r="AB309" s="437"/>
      <c r="AC309" s="437"/>
      <c r="AD309" s="437"/>
      <c r="AE309" s="437"/>
      <c r="AF309" s="437"/>
      <c r="AG309" s="437"/>
      <c r="AH309" s="437"/>
      <c r="AI309" s="437"/>
      <c r="AJ309" s="437"/>
      <c r="AK309" s="437"/>
      <c r="AL309" s="437"/>
      <c r="AM309" s="437"/>
      <c r="AN309" s="437"/>
      <c r="AO309" s="437"/>
      <c r="AP309" s="437"/>
      <c r="AQ309" s="437"/>
      <c r="AR309" s="437"/>
      <c r="AS309" s="437"/>
      <c r="AT309" s="437"/>
      <c r="AU309" s="437"/>
      <c r="AV309" s="437"/>
      <c r="AW309" s="437"/>
      <c r="AX309" s="436">
        <v>304</v>
      </c>
      <c r="AY309" s="490" t="s">
        <v>3599</v>
      </c>
      <c r="AZ309" s="490" t="s">
        <v>3600</v>
      </c>
      <c r="BA309" s="490" t="s">
        <v>3601</v>
      </c>
      <c r="BB309" s="490" t="s">
        <v>3602</v>
      </c>
      <c r="BC309" s="490" t="s">
        <v>3603</v>
      </c>
      <c r="BD309" s="490" t="s">
        <v>3604</v>
      </c>
      <c r="BE309" s="490" t="s">
        <v>3605</v>
      </c>
      <c r="BF309" s="490" t="s">
        <v>3606</v>
      </c>
      <c r="BG309" s="490" t="s">
        <v>3607</v>
      </c>
      <c r="BH309" s="490" t="s">
        <v>3525</v>
      </c>
      <c r="BI309" s="490" t="s">
        <v>3608</v>
      </c>
      <c r="BJ309" s="490" t="s">
        <v>3510</v>
      </c>
      <c r="BK309" s="437"/>
      <c r="BL309" s="437"/>
      <c r="BM309" s="437"/>
      <c r="BN309" s="437"/>
      <c r="BO309" s="437"/>
      <c r="BP309" s="437"/>
    </row>
    <row r="310" spans="1:68">
      <c r="A310" s="437"/>
      <c r="B310" s="437"/>
      <c r="C310" s="437"/>
      <c r="D310" s="437"/>
      <c r="E310" s="437"/>
      <c r="F310" s="437"/>
      <c r="G310" s="437"/>
      <c r="H310" s="437"/>
      <c r="I310" s="437"/>
      <c r="J310" s="437"/>
      <c r="K310" s="437"/>
      <c r="L310" s="437"/>
      <c r="M310" s="437"/>
      <c r="N310" s="437"/>
      <c r="O310" s="437"/>
      <c r="P310" s="437"/>
      <c r="Q310" s="437"/>
      <c r="R310" s="437"/>
      <c r="S310" s="437"/>
      <c r="T310" s="437"/>
      <c r="U310" s="437"/>
      <c r="V310" s="437"/>
      <c r="W310" s="437"/>
      <c r="X310" s="437"/>
      <c r="Y310" s="437"/>
      <c r="Z310" s="437"/>
      <c r="AA310" s="437"/>
      <c r="AB310" s="437"/>
      <c r="AC310" s="437"/>
      <c r="AD310" s="437"/>
      <c r="AE310" s="437"/>
      <c r="AF310" s="437"/>
      <c r="AG310" s="437"/>
      <c r="AH310" s="437"/>
      <c r="AI310" s="437"/>
      <c r="AJ310" s="437"/>
      <c r="AK310" s="437"/>
      <c r="AL310" s="437"/>
      <c r="AM310" s="437"/>
      <c r="AN310" s="437"/>
      <c r="AO310" s="437"/>
      <c r="AP310" s="437"/>
      <c r="AQ310" s="437"/>
      <c r="AR310" s="437"/>
      <c r="AS310" s="437"/>
      <c r="AT310" s="437"/>
      <c r="AU310" s="437"/>
      <c r="AV310" s="437"/>
      <c r="AW310" s="437"/>
      <c r="AX310" s="436">
        <v>305</v>
      </c>
      <c r="AY310" s="490" t="s">
        <v>3609</v>
      </c>
      <c r="AZ310" s="490" t="s">
        <v>3610</v>
      </c>
      <c r="BA310" s="490" t="s">
        <v>570</v>
      </c>
      <c r="BB310" s="490" t="s">
        <v>3611</v>
      </c>
      <c r="BC310" s="490" t="s">
        <v>1321</v>
      </c>
      <c r="BD310" s="490" t="s">
        <v>3612</v>
      </c>
      <c r="BE310" s="490" t="s">
        <v>3613</v>
      </c>
      <c r="BF310" s="490" t="s">
        <v>3614</v>
      </c>
      <c r="BG310" s="490" t="s">
        <v>3615</v>
      </c>
      <c r="BH310" s="490" t="s">
        <v>3616</v>
      </c>
      <c r="BI310" s="490" t="s">
        <v>3617</v>
      </c>
      <c r="BJ310" s="490" t="s">
        <v>3618</v>
      </c>
      <c r="BK310" s="437"/>
      <c r="BL310" s="437"/>
      <c r="BM310" s="437"/>
      <c r="BN310" s="437"/>
      <c r="BO310" s="437"/>
      <c r="BP310" s="437"/>
    </row>
    <row r="311" spans="1:68">
      <c r="A311" s="437"/>
      <c r="B311" s="437"/>
      <c r="C311" s="437"/>
      <c r="D311" s="437"/>
      <c r="E311" s="437"/>
      <c r="F311" s="437"/>
      <c r="G311" s="437"/>
      <c r="H311" s="437"/>
      <c r="I311" s="437"/>
      <c r="J311" s="437"/>
      <c r="K311" s="437"/>
      <c r="L311" s="437"/>
      <c r="M311" s="437"/>
      <c r="N311" s="437"/>
      <c r="O311" s="437"/>
      <c r="P311" s="437"/>
      <c r="Q311" s="437"/>
      <c r="R311" s="437"/>
      <c r="S311" s="437"/>
      <c r="T311" s="437"/>
      <c r="U311" s="437"/>
      <c r="V311" s="437"/>
      <c r="W311" s="437"/>
      <c r="X311" s="437"/>
      <c r="Y311" s="437"/>
      <c r="Z311" s="437"/>
      <c r="AA311" s="437"/>
      <c r="AB311" s="437"/>
      <c r="AC311" s="437"/>
      <c r="AD311" s="437"/>
      <c r="AE311" s="437"/>
      <c r="AF311" s="437"/>
      <c r="AG311" s="437"/>
      <c r="AH311" s="437"/>
      <c r="AI311" s="437"/>
      <c r="AJ311" s="437"/>
      <c r="AK311" s="437"/>
      <c r="AL311" s="437"/>
      <c r="AM311" s="437"/>
      <c r="AN311" s="437"/>
      <c r="AO311" s="437"/>
      <c r="AP311" s="437"/>
      <c r="AQ311" s="437"/>
      <c r="AR311" s="437"/>
      <c r="AS311" s="437"/>
      <c r="AT311" s="437"/>
      <c r="AU311" s="437"/>
      <c r="AV311" s="437"/>
      <c r="AW311" s="437"/>
      <c r="AX311" s="436">
        <v>306</v>
      </c>
      <c r="AY311" s="490" t="s">
        <v>3600</v>
      </c>
      <c r="AZ311" s="490" t="s">
        <v>3619</v>
      </c>
      <c r="BA311" s="490" t="s">
        <v>3620</v>
      </c>
      <c r="BB311" s="490" t="s">
        <v>3621</v>
      </c>
      <c r="BC311" s="490" t="s">
        <v>3622</v>
      </c>
      <c r="BD311" s="490" t="s">
        <v>1222</v>
      </c>
      <c r="BE311" s="490" t="s">
        <v>3623</v>
      </c>
      <c r="BF311" s="490" t="s">
        <v>529</v>
      </c>
      <c r="BG311" s="490" t="s">
        <v>3624</v>
      </c>
      <c r="BH311" s="490" t="s">
        <v>3625</v>
      </c>
      <c r="BI311" s="490" t="s">
        <v>3626</v>
      </c>
      <c r="BJ311" s="490" t="s">
        <v>3627</v>
      </c>
      <c r="BK311" s="437"/>
      <c r="BL311" s="437"/>
      <c r="BM311" s="437"/>
      <c r="BN311" s="437"/>
      <c r="BO311" s="437"/>
      <c r="BP311" s="437"/>
    </row>
    <row r="312" spans="1:68">
      <c r="A312" s="437"/>
      <c r="B312" s="437"/>
      <c r="C312" s="437"/>
      <c r="D312" s="437"/>
      <c r="E312" s="437"/>
      <c r="F312" s="437"/>
      <c r="G312" s="437"/>
      <c r="H312" s="437"/>
      <c r="I312" s="437"/>
      <c r="J312" s="437"/>
      <c r="K312" s="437"/>
      <c r="L312" s="437"/>
      <c r="M312" s="437"/>
      <c r="N312" s="437"/>
      <c r="O312" s="437"/>
      <c r="P312" s="437"/>
      <c r="Q312" s="437"/>
      <c r="R312" s="437"/>
      <c r="S312" s="437"/>
      <c r="T312" s="437"/>
      <c r="U312" s="437"/>
      <c r="V312" s="437"/>
      <c r="W312" s="437"/>
      <c r="X312" s="437"/>
      <c r="Y312" s="437"/>
      <c r="Z312" s="437"/>
      <c r="AA312" s="437"/>
      <c r="AB312" s="437"/>
      <c r="AC312" s="437"/>
      <c r="AD312" s="437"/>
      <c r="AE312" s="437"/>
      <c r="AF312" s="437"/>
      <c r="AG312" s="437"/>
      <c r="AH312" s="437"/>
      <c r="AI312" s="437"/>
      <c r="AJ312" s="437"/>
      <c r="AK312" s="437"/>
      <c r="AL312" s="437"/>
      <c r="AM312" s="437"/>
      <c r="AN312" s="437"/>
      <c r="AO312" s="437"/>
      <c r="AP312" s="437"/>
      <c r="AQ312" s="437"/>
      <c r="AR312" s="437"/>
      <c r="AS312" s="437"/>
      <c r="AT312" s="437"/>
      <c r="AU312" s="437"/>
      <c r="AV312" s="437"/>
      <c r="AW312" s="437"/>
      <c r="AX312" s="436">
        <v>307</v>
      </c>
      <c r="AY312" s="490" t="s">
        <v>3628</v>
      </c>
      <c r="AZ312" s="490" t="s">
        <v>3629</v>
      </c>
      <c r="BA312" s="490" t="s">
        <v>3630</v>
      </c>
      <c r="BB312" s="490" t="s">
        <v>3631</v>
      </c>
      <c r="BC312" s="490" t="s">
        <v>3632</v>
      </c>
      <c r="BD312" s="490" t="s">
        <v>1331</v>
      </c>
      <c r="BE312" s="490" t="s">
        <v>3633</v>
      </c>
      <c r="BF312" s="490" t="s">
        <v>3634</v>
      </c>
      <c r="BG312" s="490" t="s">
        <v>3635</v>
      </c>
      <c r="BH312" s="490" t="s">
        <v>3636</v>
      </c>
      <c r="BI312" s="490" t="s">
        <v>3637</v>
      </c>
      <c r="BJ312" s="490" t="s">
        <v>3638</v>
      </c>
      <c r="BK312" s="437"/>
      <c r="BL312" s="437"/>
      <c r="BM312" s="437"/>
      <c r="BN312" s="437"/>
      <c r="BO312" s="437"/>
      <c r="BP312" s="437"/>
    </row>
    <row r="313" spans="1:68">
      <c r="A313" s="437"/>
      <c r="B313" s="437"/>
      <c r="C313" s="437"/>
      <c r="D313" s="437"/>
      <c r="E313" s="437"/>
      <c r="F313" s="437"/>
      <c r="G313" s="437"/>
      <c r="H313" s="437"/>
      <c r="I313" s="437"/>
      <c r="J313" s="437"/>
      <c r="K313" s="437"/>
      <c r="L313" s="437"/>
      <c r="M313" s="437"/>
      <c r="N313" s="437"/>
      <c r="O313" s="437"/>
      <c r="P313" s="437"/>
      <c r="Q313" s="437"/>
      <c r="R313" s="437"/>
      <c r="S313" s="437"/>
      <c r="T313" s="437"/>
      <c r="U313" s="437"/>
      <c r="V313" s="437"/>
      <c r="W313" s="437"/>
      <c r="X313" s="437"/>
      <c r="Y313" s="437"/>
      <c r="Z313" s="437"/>
      <c r="AA313" s="437"/>
      <c r="AB313" s="437"/>
      <c r="AC313" s="437"/>
      <c r="AD313" s="437"/>
      <c r="AE313" s="437"/>
      <c r="AF313" s="437"/>
      <c r="AG313" s="437"/>
      <c r="AH313" s="437"/>
      <c r="AI313" s="437"/>
      <c r="AJ313" s="437"/>
      <c r="AK313" s="437"/>
      <c r="AL313" s="437"/>
      <c r="AM313" s="437"/>
      <c r="AN313" s="437"/>
      <c r="AO313" s="437"/>
      <c r="AP313" s="437"/>
      <c r="AQ313" s="437"/>
      <c r="AR313" s="437"/>
      <c r="AS313" s="437"/>
      <c r="AT313" s="437"/>
      <c r="AU313" s="437"/>
      <c r="AV313" s="437"/>
      <c r="AW313" s="437"/>
      <c r="AX313" s="436">
        <v>308</v>
      </c>
      <c r="AY313" s="490" t="s">
        <v>3639</v>
      </c>
      <c r="AZ313" s="490" t="s">
        <v>3640</v>
      </c>
      <c r="BA313" s="490" t="s">
        <v>3641</v>
      </c>
      <c r="BB313" s="490" t="s">
        <v>3642</v>
      </c>
      <c r="BC313" s="490" t="s">
        <v>3643</v>
      </c>
      <c r="BD313" s="490" t="s">
        <v>3644</v>
      </c>
      <c r="BE313" s="490" t="s">
        <v>3645</v>
      </c>
      <c r="BF313" s="490" t="s">
        <v>3646</v>
      </c>
      <c r="BG313" s="490" t="s">
        <v>3647</v>
      </c>
      <c r="BH313" s="490" t="s">
        <v>3648</v>
      </c>
      <c r="BI313" s="490" t="s">
        <v>3649</v>
      </c>
      <c r="BJ313" s="490" t="s">
        <v>3650</v>
      </c>
      <c r="BK313" s="437"/>
      <c r="BL313" s="437"/>
      <c r="BM313" s="437"/>
      <c r="BN313" s="437"/>
      <c r="BO313" s="437"/>
      <c r="BP313" s="437"/>
    </row>
    <row r="314" spans="1:68">
      <c r="A314" s="437"/>
      <c r="B314" s="437"/>
      <c r="C314" s="437"/>
      <c r="D314" s="437"/>
      <c r="E314" s="437"/>
      <c r="F314" s="437"/>
      <c r="G314" s="437"/>
      <c r="H314" s="437"/>
      <c r="I314" s="437"/>
      <c r="J314" s="437"/>
      <c r="K314" s="437"/>
      <c r="L314" s="437"/>
      <c r="M314" s="437"/>
      <c r="N314" s="437"/>
      <c r="O314" s="437"/>
      <c r="P314" s="437"/>
      <c r="Q314" s="437"/>
      <c r="R314" s="437"/>
      <c r="S314" s="437"/>
      <c r="T314" s="437"/>
      <c r="U314" s="437"/>
      <c r="V314" s="437"/>
      <c r="W314" s="437"/>
      <c r="X314" s="437"/>
      <c r="Y314" s="437"/>
      <c r="Z314" s="437"/>
      <c r="AA314" s="437"/>
      <c r="AB314" s="437"/>
      <c r="AC314" s="437"/>
      <c r="AD314" s="437"/>
      <c r="AE314" s="437"/>
      <c r="AF314" s="437"/>
      <c r="AG314" s="437"/>
      <c r="AH314" s="437"/>
      <c r="AI314" s="437"/>
      <c r="AJ314" s="437"/>
      <c r="AK314" s="437"/>
      <c r="AL314" s="437"/>
      <c r="AM314" s="437"/>
      <c r="AN314" s="437"/>
      <c r="AO314" s="437"/>
      <c r="AP314" s="437"/>
      <c r="AQ314" s="437"/>
      <c r="AR314" s="437"/>
      <c r="AS314" s="437"/>
      <c r="AT314" s="437"/>
      <c r="AU314" s="437"/>
      <c r="AV314" s="437"/>
      <c r="AW314" s="437"/>
      <c r="AX314" s="436">
        <v>309</v>
      </c>
      <c r="AY314" s="490" t="s">
        <v>3651</v>
      </c>
      <c r="AZ314" s="490" t="s">
        <v>469</v>
      </c>
      <c r="BA314" s="490" t="s">
        <v>3652</v>
      </c>
      <c r="BB314" s="490" t="s">
        <v>3653</v>
      </c>
      <c r="BC314" s="490" t="s">
        <v>3654</v>
      </c>
      <c r="BD314" s="490" t="s">
        <v>3655</v>
      </c>
      <c r="BE314" s="490" t="s">
        <v>3656</v>
      </c>
      <c r="BF314" s="490" t="s">
        <v>470</v>
      </c>
      <c r="BG314" s="490" t="s">
        <v>3646</v>
      </c>
      <c r="BH314" s="490" t="s">
        <v>3657</v>
      </c>
      <c r="BI314" s="490" t="s">
        <v>566</v>
      </c>
      <c r="BJ314" s="490" t="s">
        <v>3658</v>
      </c>
      <c r="BK314" s="437"/>
      <c r="BL314" s="437"/>
      <c r="BM314" s="437"/>
      <c r="BN314" s="437"/>
      <c r="BO314" s="437"/>
      <c r="BP314" s="437"/>
    </row>
    <row r="315" spans="1:68">
      <c r="A315" s="437"/>
      <c r="B315" s="437"/>
      <c r="C315" s="437"/>
      <c r="D315" s="437"/>
      <c r="E315" s="437"/>
      <c r="F315" s="437"/>
      <c r="G315" s="437"/>
      <c r="H315" s="437"/>
      <c r="I315" s="437"/>
      <c r="J315" s="437"/>
      <c r="K315" s="437"/>
      <c r="L315" s="437"/>
      <c r="M315" s="437"/>
      <c r="N315" s="437"/>
      <c r="O315" s="437"/>
      <c r="P315" s="437"/>
      <c r="Q315" s="437"/>
      <c r="R315" s="437"/>
      <c r="S315" s="437"/>
      <c r="T315" s="437"/>
      <c r="U315" s="437"/>
      <c r="V315" s="437"/>
      <c r="W315" s="437"/>
      <c r="X315" s="437"/>
      <c r="Y315" s="437"/>
      <c r="Z315" s="437"/>
      <c r="AA315" s="437"/>
      <c r="AB315" s="437"/>
      <c r="AC315" s="437"/>
      <c r="AD315" s="437"/>
      <c r="AE315" s="437"/>
      <c r="AF315" s="437"/>
      <c r="AG315" s="437"/>
      <c r="AH315" s="437"/>
      <c r="AI315" s="437"/>
      <c r="AJ315" s="437"/>
      <c r="AK315" s="437"/>
      <c r="AL315" s="437"/>
      <c r="AM315" s="437"/>
      <c r="AN315" s="437"/>
      <c r="AO315" s="437"/>
      <c r="AP315" s="437"/>
      <c r="AQ315" s="437"/>
      <c r="AR315" s="437"/>
      <c r="AS315" s="437"/>
      <c r="AT315" s="437"/>
      <c r="AU315" s="437"/>
      <c r="AV315" s="437"/>
      <c r="AW315" s="437"/>
      <c r="AX315" s="436">
        <v>310</v>
      </c>
      <c r="AY315" s="490" t="s">
        <v>3453</v>
      </c>
      <c r="AZ315" s="490" t="s">
        <v>3659</v>
      </c>
      <c r="BA315" s="490" t="s">
        <v>471</v>
      </c>
      <c r="BB315" s="490" t="s">
        <v>3660</v>
      </c>
      <c r="BC315" s="490" t="s">
        <v>3661</v>
      </c>
      <c r="BD315" s="490" t="s">
        <v>1365</v>
      </c>
      <c r="BE315" s="490" t="s">
        <v>3662</v>
      </c>
      <c r="BF315" s="490" t="s">
        <v>3663</v>
      </c>
      <c r="BG315" s="490" t="s">
        <v>472</v>
      </c>
      <c r="BH315" s="490" t="s">
        <v>3664</v>
      </c>
      <c r="BI315" s="490" t="s">
        <v>3189</v>
      </c>
      <c r="BJ315" s="490" t="s">
        <v>3665</v>
      </c>
      <c r="BK315" s="437"/>
      <c r="BL315" s="437"/>
      <c r="BM315" s="437"/>
      <c r="BN315" s="437"/>
      <c r="BO315" s="437"/>
      <c r="BP315" s="437"/>
    </row>
    <row r="316" spans="1:68">
      <c r="A316" s="437"/>
      <c r="B316" s="437"/>
      <c r="C316" s="437"/>
      <c r="D316" s="437"/>
      <c r="E316" s="437"/>
      <c r="F316" s="437"/>
      <c r="G316" s="437"/>
      <c r="H316" s="437"/>
      <c r="I316" s="437"/>
      <c r="J316" s="437"/>
      <c r="K316" s="437"/>
      <c r="L316" s="437"/>
      <c r="M316" s="437"/>
      <c r="N316" s="437"/>
      <c r="O316" s="437"/>
      <c r="P316" s="437"/>
      <c r="Q316" s="437"/>
      <c r="R316" s="437"/>
      <c r="S316" s="437"/>
      <c r="T316" s="437"/>
      <c r="U316" s="437"/>
      <c r="V316" s="437"/>
      <c r="W316" s="437"/>
      <c r="X316" s="437"/>
      <c r="Y316" s="437"/>
      <c r="Z316" s="437"/>
      <c r="AA316" s="437"/>
      <c r="AB316" s="437"/>
      <c r="AC316" s="437"/>
      <c r="AD316" s="437"/>
      <c r="AE316" s="437"/>
      <c r="AF316" s="437"/>
      <c r="AG316" s="437"/>
      <c r="AH316" s="437"/>
      <c r="AI316" s="437"/>
      <c r="AJ316" s="437"/>
      <c r="AK316" s="437"/>
      <c r="AL316" s="437"/>
      <c r="AM316" s="437"/>
      <c r="AN316" s="437"/>
      <c r="AO316" s="437"/>
      <c r="AP316" s="437"/>
      <c r="AQ316" s="437"/>
      <c r="AR316" s="437"/>
      <c r="AS316" s="437"/>
      <c r="AT316" s="437"/>
      <c r="AU316" s="437"/>
      <c r="AV316" s="437"/>
      <c r="AW316" s="437"/>
      <c r="AX316" s="436">
        <v>311</v>
      </c>
      <c r="AY316" s="490" t="s">
        <v>473</v>
      </c>
      <c r="AZ316" s="490" t="s">
        <v>3666</v>
      </c>
      <c r="BA316" s="490" t="s">
        <v>3667</v>
      </c>
      <c r="BB316" s="490" t="s">
        <v>474</v>
      </c>
      <c r="BC316" s="490" t="s">
        <v>3668</v>
      </c>
      <c r="BD316" s="490" t="s">
        <v>3669</v>
      </c>
      <c r="BE316" s="490" t="s">
        <v>475</v>
      </c>
      <c r="BF316" s="490" t="s">
        <v>3670</v>
      </c>
      <c r="BG316" s="490" t="s">
        <v>3671</v>
      </c>
      <c r="BH316" s="490" t="s">
        <v>3672</v>
      </c>
      <c r="BI316" s="490" t="s">
        <v>3673</v>
      </c>
      <c r="BJ316" s="490" t="s">
        <v>3674</v>
      </c>
      <c r="BK316" s="437"/>
      <c r="BL316" s="437"/>
      <c r="BM316" s="437"/>
      <c r="BN316" s="437"/>
      <c r="BO316" s="437"/>
      <c r="BP316" s="437"/>
    </row>
    <row r="317" spans="1:68">
      <c r="A317" s="437"/>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437"/>
      <c r="AE317" s="437"/>
      <c r="AF317" s="437"/>
      <c r="AG317" s="437"/>
      <c r="AH317" s="437"/>
      <c r="AI317" s="437"/>
      <c r="AJ317" s="437"/>
      <c r="AK317" s="437"/>
      <c r="AL317" s="437"/>
      <c r="AM317" s="437"/>
      <c r="AN317" s="437"/>
      <c r="AO317" s="437"/>
      <c r="AP317" s="437"/>
      <c r="AQ317" s="437"/>
      <c r="AR317" s="437"/>
      <c r="AS317" s="437"/>
      <c r="AT317" s="437"/>
      <c r="AU317" s="437"/>
      <c r="AV317" s="437"/>
      <c r="AW317" s="437"/>
      <c r="AX317" s="436">
        <v>312</v>
      </c>
      <c r="AY317" s="490" t="s">
        <v>476</v>
      </c>
      <c r="AZ317" s="490" t="s">
        <v>1815</v>
      </c>
      <c r="BA317" s="490" t="s">
        <v>3675</v>
      </c>
      <c r="BB317" s="490" t="s">
        <v>3676</v>
      </c>
      <c r="BC317" s="490" t="s">
        <v>3677</v>
      </c>
      <c r="BD317" s="490" t="s">
        <v>3678</v>
      </c>
      <c r="BE317" s="490" t="s">
        <v>597</v>
      </c>
      <c r="BF317" s="490" t="s">
        <v>3679</v>
      </c>
      <c r="BG317" s="490" t="s">
        <v>3680</v>
      </c>
      <c r="BH317" s="490" t="s">
        <v>3681</v>
      </c>
      <c r="BI317" s="490" t="s">
        <v>3682</v>
      </c>
      <c r="BJ317" s="490" t="s">
        <v>3683</v>
      </c>
      <c r="BK317" s="437"/>
      <c r="BL317" s="437"/>
      <c r="BM317" s="437"/>
      <c r="BN317" s="437"/>
      <c r="BO317" s="437"/>
      <c r="BP317" s="437"/>
    </row>
    <row r="318" spans="1:68">
      <c r="A318" s="437"/>
      <c r="B318" s="437"/>
      <c r="C318" s="437"/>
      <c r="D318" s="437"/>
      <c r="E318" s="437"/>
      <c r="F318" s="437"/>
      <c r="G318" s="437"/>
      <c r="H318" s="437"/>
      <c r="I318" s="437"/>
      <c r="J318" s="437"/>
      <c r="K318" s="437"/>
      <c r="L318" s="437"/>
      <c r="M318" s="437"/>
      <c r="N318" s="437"/>
      <c r="O318" s="437"/>
      <c r="P318" s="437"/>
      <c r="Q318" s="437"/>
      <c r="R318" s="437"/>
      <c r="S318" s="437"/>
      <c r="T318" s="437"/>
      <c r="U318" s="437"/>
      <c r="V318" s="437"/>
      <c r="W318" s="437"/>
      <c r="X318" s="437"/>
      <c r="Y318" s="437"/>
      <c r="Z318" s="437"/>
      <c r="AA318" s="437"/>
      <c r="AB318" s="437"/>
      <c r="AC318" s="437"/>
      <c r="AD318" s="437"/>
      <c r="AE318" s="437"/>
      <c r="AF318" s="437"/>
      <c r="AG318" s="437"/>
      <c r="AH318" s="437"/>
      <c r="AI318" s="437"/>
      <c r="AJ318" s="437"/>
      <c r="AK318" s="437"/>
      <c r="AL318" s="437"/>
      <c r="AM318" s="437"/>
      <c r="AN318" s="437"/>
      <c r="AO318" s="437"/>
      <c r="AP318" s="437"/>
      <c r="AQ318" s="437"/>
      <c r="AR318" s="437"/>
      <c r="AS318" s="437"/>
      <c r="AT318" s="437"/>
      <c r="AU318" s="437"/>
      <c r="AV318" s="437"/>
      <c r="AW318" s="437"/>
      <c r="AX318" s="436">
        <v>313</v>
      </c>
      <c r="AY318" s="490" t="s">
        <v>477</v>
      </c>
      <c r="AZ318" s="490" t="s">
        <v>3684</v>
      </c>
      <c r="BA318" s="490" t="s">
        <v>1828</v>
      </c>
      <c r="BB318" s="490" t="s">
        <v>3685</v>
      </c>
      <c r="BC318" s="490" t="s">
        <v>3686</v>
      </c>
      <c r="BD318" s="490" t="s">
        <v>3687</v>
      </c>
      <c r="BE318" s="490" t="s">
        <v>3688</v>
      </c>
      <c r="BF318" s="490" t="s">
        <v>3689</v>
      </c>
      <c r="BG318" s="490" t="s">
        <v>3679</v>
      </c>
      <c r="BH318" s="490" t="s">
        <v>3690</v>
      </c>
      <c r="BI318" s="490" t="s">
        <v>3691</v>
      </c>
      <c r="BJ318" s="490" t="s">
        <v>3692</v>
      </c>
      <c r="BK318" s="437"/>
      <c r="BL318" s="437"/>
      <c r="BM318" s="437"/>
      <c r="BN318" s="437"/>
      <c r="BO318" s="437"/>
      <c r="BP318" s="437"/>
    </row>
    <row r="319" spans="1:68">
      <c r="A319" s="437"/>
      <c r="B319" s="437"/>
      <c r="C319" s="437"/>
      <c r="D319" s="437"/>
      <c r="E319" s="437"/>
      <c r="F319" s="437"/>
      <c r="G319" s="437"/>
      <c r="H319" s="437"/>
      <c r="I319" s="437"/>
      <c r="J319" s="437"/>
      <c r="K319" s="437"/>
      <c r="L319" s="437"/>
      <c r="M319" s="437"/>
      <c r="N319" s="437"/>
      <c r="O319" s="437"/>
      <c r="P319" s="437"/>
      <c r="Q319" s="437"/>
      <c r="R319" s="437"/>
      <c r="S319" s="437"/>
      <c r="T319" s="437"/>
      <c r="U319" s="437"/>
      <c r="V319" s="437"/>
      <c r="W319" s="437"/>
      <c r="X319" s="437"/>
      <c r="Y319" s="437"/>
      <c r="Z319" s="437"/>
      <c r="AA319" s="437"/>
      <c r="AB319" s="437"/>
      <c r="AC319" s="437"/>
      <c r="AD319" s="437"/>
      <c r="AE319" s="437"/>
      <c r="AF319" s="437"/>
      <c r="AG319" s="437"/>
      <c r="AH319" s="437"/>
      <c r="AI319" s="437"/>
      <c r="AJ319" s="437"/>
      <c r="AK319" s="437"/>
      <c r="AL319" s="437"/>
      <c r="AM319" s="437"/>
      <c r="AN319" s="437"/>
      <c r="AO319" s="437"/>
      <c r="AP319" s="437"/>
      <c r="AQ319" s="437"/>
      <c r="AR319" s="437"/>
      <c r="AS319" s="437"/>
      <c r="AT319" s="437"/>
      <c r="AU319" s="437"/>
      <c r="AV319" s="437"/>
      <c r="AW319" s="437"/>
      <c r="AX319" s="436">
        <v>314</v>
      </c>
      <c r="AY319" s="490" t="s">
        <v>1837</v>
      </c>
      <c r="AZ319" s="490" t="s">
        <v>3693</v>
      </c>
      <c r="BA319" s="490" t="s">
        <v>3694</v>
      </c>
      <c r="BB319" s="490" t="s">
        <v>3695</v>
      </c>
      <c r="BC319" s="490" t="s">
        <v>3696</v>
      </c>
      <c r="BD319" s="490" t="s">
        <v>3697</v>
      </c>
      <c r="BE319" s="490" t="s">
        <v>3698</v>
      </c>
      <c r="BF319" s="490" t="s">
        <v>3699</v>
      </c>
      <c r="BG319" s="490" t="s">
        <v>3700</v>
      </c>
      <c r="BH319" s="490" t="s">
        <v>3615</v>
      </c>
      <c r="BI319" s="490" t="s">
        <v>3701</v>
      </c>
      <c r="BJ319" s="490" t="s">
        <v>3702</v>
      </c>
      <c r="BK319" s="437"/>
      <c r="BL319" s="437"/>
      <c r="BM319" s="437"/>
      <c r="BN319" s="437"/>
      <c r="BO319" s="437"/>
      <c r="BP319" s="437"/>
    </row>
    <row r="320" spans="1:68">
      <c r="A320" s="437"/>
      <c r="B320" s="437"/>
      <c r="C320" s="437"/>
      <c r="D320" s="437"/>
      <c r="E320" s="437"/>
      <c r="F320" s="437"/>
      <c r="G320" s="437"/>
      <c r="H320" s="437"/>
      <c r="I320" s="437"/>
      <c r="J320" s="437"/>
      <c r="K320" s="437"/>
      <c r="L320" s="437"/>
      <c r="M320" s="437"/>
      <c r="N320" s="437"/>
      <c r="O320" s="437"/>
      <c r="P320" s="437"/>
      <c r="Q320" s="437"/>
      <c r="R320" s="437"/>
      <c r="S320" s="437"/>
      <c r="T320" s="437"/>
      <c r="U320" s="437"/>
      <c r="V320" s="437"/>
      <c r="W320" s="437"/>
      <c r="X320" s="437"/>
      <c r="Y320" s="437"/>
      <c r="Z320" s="437"/>
      <c r="AA320" s="437"/>
      <c r="AB320" s="437"/>
      <c r="AC320" s="437"/>
      <c r="AD320" s="437"/>
      <c r="AE320" s="437"/>
      <c r="AF320" s="437"/>
      <c r="AG320" s="437"/>
      <c r="AH320" s="437"/>
      <c r="AI320" s="437"/>
      <c r="AJ320" s="437"/>
      <c r="AK320" s="437"/>
      <c r="AL320" s="437"/>
      <c r="AM320" s="437"/>
      <c r="AN320" s="437"/>
      <c r="AO320" s="437"/>
      <c r="AP320" s="437"/>
      <c r="AQ320" s="437"/>
      <c r="AR320" s="437"/>
      <c r="AS320" s="437"/>
      <c r="AT320" s="437"/>
      <c r="AU320" s="437"/>
      <c r="AV320" s="437"/>
      <c r="AW320" s="437"/>
      <c r="AX320" s="436">
        <v>315</v>
      </c>
      <c r="AY320" s="490" t="s">
        <v>3703</v>
      </c>
      <c r="AZ320" s="490" t="s">
        <v>1912</v>
      </c>
      <c r="BA320" s="490" t="s">
        <v>682</v>
      </c>
      <c r="BB320" s="490" t="s">
        <v>3704</v>
      </c>
      <c r="BC320" s="490" t="s">
        <v>3705</v>
      </c>
      <c r="BD320" s="490" t="s">
        <v>3706</v>
      </c>
      <c r="BE320" s="490" t="s">
        <v>3707</v>
      </c>
      <c r="BF320" s="490" t="s">
        <v>3708</v>
      </c>
      <c r="BG320" s="490" t="s">
        <v>3709</v>
      </c>
      <c r="BH320" s="490" t="s">
        <v>3710</v>
      </c>
      <c r="BI320" s="490" t="s">
        <v>3711</v>
      </c>
      <c r="BJ320" s="490" t="s">
        <v>3712</v>
      </c>
      <c r="BK320" s="437"/>
      <c r="BL320" s="437"/>
      <c r="BM320" s="437"/>
      <c r="BN320" s="437"/>
      <c r="BO320" s="437"/>
      <c r="BP320" s="437"/>
    </row>
    <row r="321" spans="1:68">
      <c r="A321" s="437"/>
      <c r="B321" s="437"/>
      <c r="C321" s="437"/>
      <c r="D321" s="437"/>
      <c r="E321" s="437"/>
      <c r="F321" s="437"/>
      <c r="G321" s="437"/>
      <c r="H321" s="437"/>
      <c r="I321" s="437"/>
      <c r="J321" s="437"/>
      <c r="K321" s="437"/>
      <c r="L321" s="437"/>
      <c r="M321" s="437"/>
      <c r="N321" s="437"/>
      <c r="O321" s="437"/>
      <c r="P321" s="437"/>
      <c r="Q321" s="437"/>
      <c r="R321" s="437"/>
      <c r="S321" s="437"/>
      <c r="T321" s="437"/>
      <c r="U321" s="437"/>
      <c r="V321" s="437"/>
      <c r="W321" s="437"/>
      <c r="X321" s="437"/>
      <c r="Y321" s="437"/>
      <c r="Z321" s="437"/>
      <c r="AA321" s="437"/>
      <c r="AB321" s="437"/>
      <c r="AC321" s="437"/>
      <c r="AD321" s="437"/>
      <c r="AE321" s="437"/>
      <c r="AF321" s="437"/>
      <c r="AG321" s="437"/>
      <c r="AH321" s="437"/>
      <c r="AI321" s="437"/>
      <c r="AJ321" s="437"/>
      <c r="AK321" s="437"/>
      <c r="AL321" s="437"/>
      <c r="AM321" s="437"/>
      <c r="AN321" s="437"/>
      <c r="AO321" s="437"/>
      <c r="AP321" s="437"/>
      <c r="AQ321" s="437"/>
      <c r="AR321" s="437"/>
      <c r="AS321" s="437"/>
      <c r="AT321" s="437"/>
      <c r="AU321" s="437"/>
      <c r="AV321" s="437"/>
      <c r="AW321" s="437"/>
      <c r="AX321" s="436">
        <v>316</v>
      </c>
      <c r="AY321" s="490" t="s">
        <v>3693</v>
      </c>
      <c r="AZ321" s="490" t="s">
        <v>3713</v>
      </c>
      <c r="BA321" s="490" t="s">
        <v>1925</v>
      </c>
      <c r="BB321" s="490" t="s">
        <v>3714</v>
      </c>
      <c r="BC321" s="490" t="s">
        <v>1439</v>
      </c>
      <c r="BD321" s="490" t="s">
        <v>3715</v>
      </c>
      <c r="BE321" s="490" t="s">
        <v>3716</v>
      </c>
      <c r="BF321" s="490" t="s">
        <v>3717</v>
      </c>
      <c r="BG321" s="490" t="s">
        <v>3718</v>
      </c>
      <c r="BH321" s="490" t="s">
        <v>3719</v>
      </c>
      <c r="BI321" s="490" t="s">
        <v>3000</v>
      </c>
      <c r="BJ321" s="490" t="s">
        <v>3720</v>
      </c>
      <c r="BK321" s="437"/>
      <c r="BL321" s="437"/>
      <c r="BM321" s="437"/>
      <c r="BN321" s="437"/>
      <c r="BO321" s="437"/>
      <c r="BP321" s="437"/>
    </row>
    <row r="322" spans="1:68">
      <c r="A322" s="437"/>
      <c r="B322" s="437"/>
      <c r="C322" s="437"/>
      <c r="D322" s="437"/>
      <c r="E322" s="437"/>
      <c r="F322" s="437"/>
      <c r="G322" s="437"/>
      <c r="H322" s="437"/>
      <c r="I322" s="437"/>
      <c r="J322" s="437"/>
      <c r="K322" s="437"/>
      <c r="L322" s="437"/>
      <c r="M322" s="437"/>
      <c r="N322" s="437"/>
      <c r="O322" s="437"/>
      <c r="P322" s="437"/>
      <c r="Q322" s="437"/>
      <c r="R322" s="437"/>
      <c r="S322" s="437"/>
      <c r="T322" s="437"/>
      <c r="U322" s="437"/>
      <c r="V322" s="437"/>
      <c r="W322" s="437"/>
      <c r="X322" s="437"/>
      <c r="Y322" s="437"/>
      <c r="Z322" s="437"/>
      <c r="AA322" s="437"/>
      <c r="AB322" s="437"/>
      <c r="AC322" s="437"/>
      <c r="AD322" s="437"/>
      <c r="AE322" s="437"/>
      <c r="AF322" s="437"/>
      <c r="AG322" s="437"/>
      <c r="AH322" s="437"/>
      <c r="AI322" s="437"/>
      <c r="AJ322" s="437"/>
      <c r="AK322" s="437"/>
      <c r="AL322" s="437"/>
      <c r="AM322" s="437"/>
      <c r="AN322" s="437"/>
      <c r="AO322" s="437"/>
      <c r="AP322" s="437"/>
      <c r="AQ322" s="437"/>
      <c r="AR322" s="437"/>
      <c r="AS322" s="437"/>
      <c r="AT322" s="437"/>
      <c r="AU322" s="437"/>
      <c r="AV322" s="437"/>
      <c r="AW322" s="437"/>
      <c r="AX322" s="436">
        <v>317</v>
      </c>
      <c r="AY322" s="490" t="s">
        <v>1934</v>
      </c>
      <c r="AZ322" s="490" t="s">
        <v>3721</v>
      </c>
      <c r="BA322" s="490" t="s">
        <v>704</v>
      </c>
      <c r="BB322" s="490" t="s">
        <v>3722</v>
      </c>
      <c r="BC322" s="490" t="s">
        <v>3723</v>
      </c>
      <c r="BD322" s="490" t="s">
        <v>3724</v>
      </c>
      <c r="BE322" s="490" t="s">
        <v>3725</v>
      </c>
      <c r="BF322" s="490" t="s">
        <v>3726</v>
      </c>
      <c r="BG322" s="490" t="s">
        <v>3717</v>
      </c>
      <c r="BH322" s="490" t="s">
        <v>3727</v>
      </c>
      <c r="BI322" s="490" t="s">
        <v>3728</v>
      </c>
      <c r="BJ322" s="490" t="s">
        <v>3729</v>
      </c>
      <c r="BK322" s="437"/>
      <c r="BL322" s="437"/>
      <c r="BM322" s="437"/>
      <c r="BN322" s="437"/>
      <c r="BO322" s="437"/>
      <c r="BP322" s="437"/>
    </row>
    <row r="323" spans="1:68">
      <c r="A323" s="437"/>
      <c r="B323" s="437"/>
      <c r="C323" s="437"/>
      <c r="D323" s="437"/>
      <c r="E323" s="437"/>
      <c r="F323" s="437"/>
      <c r="G323" s="437"/>
      <c r="H323" s="437"/>
      <c r="I323" s="437"/>
      <c r="J323" s="437"/>
      <c r="K323" s="437"/>
      <c r="L323" s="437"/>
      <c r="M323" s="437"/>
      <c r="N323" s="437"/>
      <c r="O323" s="437"/>
      <c r="P323" s="437"/>
      <c r="Q323" s="437"/>
      <c r="R323" s="437"/>
      <c r="S323" s="437"/>
      <c r="T323" s="437"/>
      <c r="U323" s="437"/>
      <c r="V323" s="437"/>
      <c r="W323" s="437"/>
      <c r="X323" s="437"/>
      <c r="Y323" s="437"/>
      <c r="Z323" s="437"/>
      <c r="AA323" s="437"/>
      <c r="AB323" s="437"/>
      <c r="AC323" s="437"/>
      <c r="AD323" s="437"/>
      <c r="AE323" s="437"/>
      <c r="AF323" s="437"/>
      <c r="AG323" s="437"/>
      <c r="AH323" s="437"/>
      <c r="AI323" s="437"/>
      <c r="AJ323" s="437"/>
      <c r="AK323" s="437"/>
      <c r="AL323" s="437"/>
      <c r="AM323" s="437"/>
      <c r="AN323" s="437"/>
      <c r="AO323" s="437"/>
      <c r="AP323" s="437"/>
      <c r="AQ323" s="437"/>
      <c r="AR323" s="437"/>
      <c r="AS323" s="437"/>
      <c r="AT323" s="437"/>
      <c r="AU323" s="437"/>
      <c r="AV323" s="437"/>
      <c r="AW323" s="437"/>
      <c r="AX323" s="436">
        <v>318</v>
      </c>
      <c r="AY323" s="490" t="s">
        <v>3713</v>
      </c>
      <c r="AZ323" s="490" t="s">
        <v>3171</v>
      </c>
      <c r="BA323" s="490" t="s">
        <v>3730</v>
      </c>
      <c r="BB323" s="490" t="s">
        <v>3731</v>
      </c>
      <c r="BC323" s="490" t="s">
        <v>1979</v>
      </c>
      <c r="BD323" s="490" t="s">
        <v>1440</v>
      </c>
      <c r="BE323" s="490" t="s">
        <v>3732</v>
      </c>
      <c r="BF323" s="490" t="s">
        <v>3733</v>
      </c>
      <c r="BG323" s="490" t="s">
        <v>3734</v>
      </c>
      <c r="BH323" s="490" t="s">
        <v>3735</v>
      </c>
      <c r="BI323" s="490" t="s">
        <v>3736</v>
      </c>
      <c r="BJ323" s="490" t="s">
        <v>3737</v>
      </c>
      <c r="BK323" s="437"/>
      <c r="BL323" s="437"/>
      <c r="BM323" s="437"/>
      <c r="BN323" s="437"/>
      <c r="BO323" s="437"/>
      <c r="BP323" s="437"/>
    </row>
    <row r="324" spans="1:68">
      <c r="A324" s="437"/>
      <c r="B324" s="437"/>
      <c r="C324" s="437"/>
      <c r="D324" s="437"/>
      <c r="E324" s="437"/>
      <c r="F324" s="437"/>
      <c r="G324" s="437"/>
      <c r="H324" s="437"/>
      <c r="I324" s="437"/>
      <c r="J324" s="437"/>
      <c r="K324" s="437"/>
      <c r="L324" s="437"/>
      <c r="M324" s="437"/>
      <c r="N324" s="437"/>
      <c r="O324" s="437"/>
      <c r="P324" s="437"/>
      <c r="Q324" s="437"/>
      <c r="R324" s="437"/>
      <c r="S324" s="437"/>
      <c r="T324" s="437"/>
      <c r="U324" s="437"/>
      <c r="V324" s="437"/>
      <c r="W324" s="437"/>
      <c r="X324" s="437"/>
      <c r="Y324" s="437"/>
      <c r="Z324" s="437"/>
      <c r="AA324" s="437"/>
      <c r="AB324" s="437"/>
      <c r="AC324" s="437"/>
      <c r="AD324" s="437"/>
      <c r="AE324" s="437"/>
      <c r="AF324" s="437"/>
      <c r="AG324" s="437"/>
      <c r="AH324" s="437"/>
      <c r="AI324" s="437"/>
      <c r="AJ324" s="437"/>
      <c r="AK324" s="437"/>
      <c r="AL324" s="437"/>
      <c r="AM324" s="437"/>
      <c r="AN324" s="437"/>
      <c r="AO324" s="437"/>
      <c r="AP324" s="437"/>
      <c r="AQ324" s="437"/>
      <c r="AR324" s="437"/>
      <c r="AS324" s="437"/>
      <c r="AT324" s="437"/>
      <c r="AU324" s="437"/>
      <c r="AV324" s="437"/>
      <c r="AW324" s="437"/>
      <c r="AX324" s="436">
        <v>319</v>
      </c>
      <c r="AY324" s="490" t="s">
        <v>3721</v>
      </c>
      <c r="AZ324" s="490" t="s">
        <v>3738</v>
      </c>
      <c r="BA324" s="490" t="s">
        <v>3182</v>
      </c>
      <c r="BB324" s="490" t="s">
        <v>479</v>
      </c>
      <c r="BC324" s="490" t="s">
        <v>3739</v>
      </c>
      <c r="BD324" s="490" t="s">
        <v>3643</v>
      </c>
      <c r="BE324" s="490" t="s">
        <v>3740</v>
      </c>
      <c r="BF324" s="490" t="s">
        <v>3741</v>
      </c>
      <c r="BG324" s="490" t="s">
        <v>3733</v>
      </c>
      <c r="BH324" s="490" t="s">
        <v>3742</v>
      </c>
      <c r="BI324" s="490" t="s">
        <v>678</v>
      </c>
      <c r="BJ324" s="490" t="s">
        <v>3743</v>
      </c>
      <c r="BK324" s="437"/>
      <c r="BL324" s="437"/>
      <c r="BM324" s="437"/>
      <c r="BN324" s="437"/>
      <c r="BO324" s="437"/>
      <c r="BP324" s="437"/>
    </row>
    <row r="325" spans="1:68">
      <c r="A325" s="437"/>
      <c r="B325" s="437"/>
      <c r="C325" s="437"/>
      <c r="D325" s="437"/>
      <c r="E325" s="437"/>
      <c r="F325" s="437"/>
      <c r="G325" s="437"/>
      <c r="H325" s="437"/>
      <c r="I325" s="437"/>
      <c r="J325" s="437"/>
      <c r="K325" s="437"/>
      <c r="L325" s="437"/>
      <c r="M325" s="437"/>
      <c r="N325" s="437"/>
      <c r="O325" s="437"/>
      <c r="P325" s="437"/>
      <c r="Q325" s="437"/>
      <c r="R325" s="437"/>
      <c r="S325" s="437"/>
      <c r="T325" s="437"/>
      <c r="U325" s="437"/>
      <c r="V325" s="437"/>
      <c r="W325" s="437"/>
      <c r="X325" s="437"/>
      <c r="Y325" s="437"/>
      <c r="Z325" s="437"/>
      <c r="AA325" s="437"/>
      <c r="AB325" s="437"/>
      <c r="AC325" s="437"/>
      <c r="AD325" s="437"/>
      <c r="AE325" s="437"/>
      <c r="AF325" s="437"/>
      <c r="AG325" s="437"/>
      <c r="AH325" s="437"/>
      <c r="AI325" s="437"/>
      <c r="AJ325" s="437"/>
      <c r="AK325" s="437"/>
      <c r="AL325" s="437"/>
      <c r="AM325" s="437"/>
      <c r="AN325" s="437"/>
      <c r="AO325" s="437"/>
      <c r="AP325" s="437"/>
      <c r="AQ325" s="437"/>
      <c r="AR325" s="437"/>
      <c r="AS325" s="437"/>
      <c r="AT325" s="437"/>
      <c r="AU325" s="437"/>
      <c r="AV325" s="437"/>
      <c r="AW325" s="437"/>
      <c r="AX325" s="436">
        <v>320</v>
      </c>
      <c r="AY325" s="490" t="s">
        <v>3191</v>
      </c>
      <c r="AZ325" s="490" t="s">
        <v>3744</v>
      </c>
      <c r="BA325" s="490" t="s">
        <v>3745</v>
      </c>
      <c r="BB325" s="490" t="s">
        <v>3667</v>
      </c>
      <c r="BC325" s="490" t="s">
        <v>3746</v>
      </c>
      <c r="BD325" s="490" t="s">
        <v>1459</v>
      </c>
      <c r="BE325" s="490" t="s">
        <v>3747</v>
      </c>
      <c r="BF325" s="490" t="s">
        <v>3748</v>
      </c>
      <c r="BG325" s="490" t="s">
        <v>3749</v>
      </c>
      <c r="BH325" s="490" t="s">
        <v>3750</v>
      </c>
      <c r="BI325" s="490" t="s">
        <v>3751</v>
      </c>
      <c r="BJ325" s="490" t="s">
        <v>3752</v>
      </c>
      <c r="BK325" s="437"/>
      <c r="BL325" s="437"/>
      <c r="BM325" s="437"/>
      <c r="BN325" s="437"/>
      <c r="BO325" s="437"/>
      <c r="BP325" s="437"/>
    </row>
    <row r="326" spans="1:68">
      <c r="A326" s="437"/>
      <c r="B326" s="437"/>
      <c r="C326" s="437"/>
      <c r="D326" s="437"/>
      <c r="E326" s="437"/>
      <c r="F326" s="437"/>
      <c r="G326" s="437"/>
      <c r="H326" s="437"/>
      <c r="I326" s="437"/>
      <c r="J326" s="437"/>
      <c r="K326" s="437"/>
      <c r="L326" s="437"/>
      <c r="M326" s="437"/>
      <c r="N326" s="437"/>
      <c r="O326" s="437"/>
      <c r="P326" s="437"/>
      <c r="Q326" s="437"/>
      <c r="R326" s="437"/>
      <c r="S326" s="437"/>
      <c r="T326" s="437"/>
      <c r="U326" s="437"/>
      <c r="V326" s="437"/>
      <c r="W326" s="437"/>
      <c r="X326" s="437"/>
      <c r="Y326" s="437"/>
      <c r="Z326" s="437"/>
      <c r="AA326" s="437"/>
      <c r="AB326" s="437"/>
      <c r="AC326" s="437"/>
      <c r="AD326" s="437"/>
      <c r="AE326" s="437"/>
      <c r="AF326" s="437"/>
      <c r="AG326" s="437"/>
      <c r="AH326" s="437"/>
      <c r="AI326" s="437"/>
      <c r="AJ326" s="437"/>
      <c r="AK326" s="437"/>
      <c r="AL326" s="437"/>
      <c r="AM326" s="437"/>
      <c r="AN326" s="437"/>
      <c r="AO326" s="437"/>
      <c r="AP326" s="437"/>
      <c r="AQ326" s="437"/>
      <c r="AR326" s="437"/>
      <c r="AS326" s="437"/>
      <c r="AT326" s="437"/>
      <c r="AU326" s="437"/>
      <c r="AV326" s="437"/>
      <c r="AW326" s="437"/>
      <c r="AX326" s="436">
        <v>321</v>
      </c>
      <c r="AY326" s="490" t="s">
        <v>3753</v>
      </c>
      <c r="AZ326" s="490" t="s">
        <v>3754</v>
      </c>
      <c r="BA326" s="490" t="s">
        <v>3755</v>
      </c>
      <c r="BB326" s="490" t="s">
        <v>744</v>
      </c>
      <c r="BC326" s="490" t="s">
        <v>745</v>
      </c>
      <c r="BD326" s="490" t="s">
        <v>3756</v>
      </c>
      <c r="BE326" s="490" t="s">
        <v>3757</v>
      </c>
      <c r="BF326" s="490" t="s">
        <v>3758</v>
      </c>
      <c r="BG326" s="490" t="s">
        <v>3748</v>
      </c>
      <c r="BH326" s="490" t="s">
        <v>3759</v>
      </c>
      <c r="BI326" s="490" t="s">
        <v>3760</v>
      </c>
      <c r="BJ326" s="490" t="s">
        <v>3301</v>
      </c>
      <c r="BK326" s="437"/>
      <c r="BL326" s="437"/>
      <c r="BM326" s="437"/>
      <c r="BN326" s="437"/>
      <c r="BO326" s="437"/>
      <c r="BP326" s="437"/>
    </row>
    <row r="327" spans="1:68">
      <c r="A327" s="437"/>
      <c r="B327" s="437"/>
      <c r="C327" s="437"/>
      <c r="D327" s="437"/>
      <c r="E327" s="437"/>
      <c r="F327" s="437"/>
      <c r="G327" s="437"/>
      <c r="H327" s="437"/>
      <c r="I327" s="437"/>
      <c r="J327" s="437"/>
      <c r="K327" s="437"/>
      <c r="L327" s="437"/>
      <c r="M327" s="437"/>
      <c r="N327" s="437"/>
      <c r="O327" s="437"/>
      <c r="P327" s="437"/>
      <c r="Q327" s="437"/>
      <c r="R327" s="437"/>
      <c r="S327" s="437"/>
      <c r="T327" s="437"/>
      <c r="U327" s="437"/>
      <c r="V327" s="437"/>
      <c r="W327" s="437"/>
      <c r="X327" s="437"/>
      <c r="Y327" s="437"/>
      <c r="Z327" s="437"/>
      <c r="AA327" s="437"/>
      <c r="AB327" s="437"/>
      <c r="AC327" s="437"/>
      <c r="AD327" s="437"/>
      <c r="AE327" s="437"/>
      <c r="AF327" s="437"/>
      <c r="AG327" s="437"/>
      <c r="AH327" s="437"/>
      <c r="AI327" s="437"/>
      <c r="AJ327" s="437"/>
      <c r="AK327" s="437"/>
      <c r="AL327" s="437"/>
      <c r="AM327" s="437"/>
      <c r="AN327" s="437"/>
      <c r="AO327" s="437"/>
      <c r="AP327" s="437"/>
      <c r="AQ327" s="437"/>
      <c r="AR327" s="437"/>
      <c r="AS327" s="437"/>
      <c r="AT327" s="437"/>
      <c r="AU327" s="437"/>
      <c r="AV327" s="437"/>
      <c r="AW327" s="437"/>
      <c r="AX327" s="436">
        <v>322</v>
      </c>
      <c r="AY327" s="490" t="s">
        <v>3744</v>
      </c>
      <c r="AZ327" s="490" t="s">
        <v>3761</v>
      </c>
      <c r="BA327" s="490" t="s">
        <v>3762</v>
      </c>
      <c r="BB327" s="490" t="s">
        <v>1926</v>
      </c>
      <c r="BC327" s="490" t="s">
        <v>3763</v>
      </c>
      <c r="BD327" s="490" t="s">
        <v>3764</v>
      </c>
      <c r="BE327" s="490" t="s">
        <v>3765</v>
      </c>
      <c r="BF327" s="490" t="s">
        <v>3584</v>
      </c>
      <c r="BG327" s="490" t="s">
        <v>3766</v>
      </c>
      <c r="BH327" s="490" t="s">
        <v>711</v>
      </c>
      <c r="BI327" s="490" t="s">
        <v>3767</v>
      </c>
      <c r="BJ327" s="490" t="s">
        <v>3768</v>
      </c>
      <c r="BK327" s="437"/>
      <c r="BL327" s="437"/>
      <c r="BM327" s="437"/>
      <c r="BN327" s="437"/>
      <c r="BO327" s="437"/>
      <c r="BP327" s="437"/>
    </row>
    <row r="328" spans="1:68">
      <c r="A328" s="437"/>
      <c r="B328" s="437"/>
      <c r="C328" s="437"/>
      <c r="D328" s="437"/>
      <c r="E328" s="437"/>
      <c r="F328" s="437"/>
      <c r="G328" s="437"/>
      <c r="H328" s="437"/>
      <c r="I328" s="437"/>
      <c r="J328" s="437"/>
      <c r="K328" s="437"/>
      <c r="L328" s="437"/>
      <c r="M328" s="437"/>
      <c r="N328" s="437"/>
      <c r="O328" s="437"/>
      <c r="P328" s="437"/>
      <c r="Q328" s="437"/>
      <c r="R328" s="437"/>
      <c r="S328" s="437"/>
      <c r="T328" s="437"/>
      <c r="U328" s="437"/>
      <c r="V328" s="437"/>
      <c r="W328" s="437"/>
      <c r="X328" s="437"/>
      <c r="Y328" s="437"/>
      <c r="Z328" s="437"/>
      <c r="AA328" s="437"/>
      <c r="AB328" s="437"/>
      <c r="AC328" s="437"/>
      <c r="AD328" s="437"/>
      <c r="AE328" s="437"/>
      <c r="AF328" s="437"/>
      <c r="AG328" s="437"/>
      <c r="AH328" s="437"/>
      <c r="AI328" s="437"/>
      <c r="AJ328" s="437"/>
      <c r="AK328" s="437"/>
      <c r="AL328" s="437"/>
      <c r="AM328" s="437"/>
      <c r="AN328" s="437"/>
      <c r="AO328" s="437"/>
      <c r="AP328" s="437"/>
      <c r="AQ328" s="437"/>
      <c r="AR328" s="437"/>
      <c r="AS328" s="437"/>
      <c r="AT328" s="437"/>
      <c r="AU328" s="437"/>
      <c r="AV328" s="437"/>
      <c r="AW328" s="437"/>
      <c r="AX328" s="436">
        <v>323</v>
      </c>
      <c r="AY328" s="490" t="s">
        <v>3769</v>
      </c>
      <c r="AZ328" s="490" t="s">
        <v>3770</v>
      </c>
      <c r="BA328" s="490" t="s">
        <v>3771</v>
      </c>
      <c r="BB328" s="490" t="s">
        <v>3772</v>
      </c>
      <c r="BC328" s="490" t="s">
        <v>3773</v>
      </c>
      <c r="BD328" s="490" t="s">
        <v>3774</v>
      </c>
      <c r="BE328" s="490" t="s">
        <v>3775</v>
      </c>
      <c r="BF328" s="490" t="s">
        <v>3776</v>
      </c>
      <c r="BG328" s="490" t="s">
        <v>3595</v>
      </c>
      <c r="BH328" s="490" t="s">
        <v>3777</v>
      </c>
      <c r="BI328" s="490" t="s">
        <v>3778</v>
      </c>
      <c r="BJ328" s="490" t="s">
        <v>3779</v>
      </c>
      <c r="BK328" s="437"/>
      <c r="BL328" s="437"/>
      <c r="BM328" s="437"/>
      <c r="BN328" s="437"/>
      <c r="BO328" s="437"/>
      <c r="BP328" s="437"/>
    </row>
    <row r="329" spans="1:68">
      <c r="A329" s="437"/>
      <c r="B329" s="437"/>
      <c r="C329" s="437"/>
      <c r="D329" s="437"/>
      <c r="E329" s="437"/>
      <c r="F329" s="437"/>
      <c r="G329" s="437"/>
      <c r="H329" s="437"/>
      <c r="I329" s="437"/>
      <c r="J329" s="437"/>
      <c r="K329" s="437"/>
      <c r="L329" s="437"/>
      <c r="M329" s="437"/>
      <c r="N329" s="437"/>
      <c r="O329" s="437"/>
      <c r="P329" s="437"/>
      <c r="Q329" s="437"/>
      <c r="R329" s="437"/>
      <c r="S329" s="437"/>
      <c r="T329" s="437"/>
      <c r="U329" s="437"/>
      <c r="V329" s="437"/>
      <c r="W329" s="437"/>
      <c r="X329" s="437"/>
      <c r="Y329" s="437"/>
      <c r="Z329" s="437"/>
      <c r="AA329" s="437"/>
      <c r="AB329" s="437"/>
      <c r="AC329" s="437"/>
      <c r="AD329" s="437"/>
      <c r="AE329" s="437"/>
      <c r="AF329" s="437"/>
      <c r="AG329" s="437"/>
      <c r="AH329" s="437"/>
      <c r="AI329" s="437"/>
      <c r="AJ329" s="437"/>
      <c r="AK329" s="437"/>
      <c r="AL329" s="437"/>
      <c r="AM329" s="437"/>
      <c r="AN329" s="437"/>
      <c r="AO329" s="437"/>
      <c r="AP329" s="437"/>
      <c r="AQ329" s="437"/>
      <c r="AR329" s="437"/>
      <c r="AS329" s="437"/>
      <c r="AT329" s="437"/>
      <c r="AU329" s="437"/>
      <c r="AV329" s="437"/>
      <c r="AW329" s="437"/>
      <c r="AX329" s="436">
        <v>324</v>
      </c>
      <c r="AY329" s="490" t="s">
        <v>3761</v>
      </c>
      <c r="AZ329" s="490" t="s">
        <v>3780</v>
      </c>
      <c r="BA329" s="490" t="s">
        <v>3781</v>
      </c>
      <c r="BB329" s="490" t="s">
        <v>3782</v>
      </c>
      <c r="BC329" s="490" t="s">
        <v>3783</v>
      </c>
      <c r="BD329" s="490" t="s">
        <v>3784</v>
      </c>
      <c r="BE329" s="490" t="s">
        <v>3605</v>
      </c>
      <c r="BF329" s="490" t="s">
        <v>3785</v>
      </c>
      <c r="BG329" s="490" t="s">
        <v>3786</v>
      </c>
      <c r="BH329" s="490" t="s">
        <v>3787</v>
      </c>
      <c r="BI329" s="490" t="s">
        <v>3788</v>
      </c>
      <c r="BJ329" s="490" t="s">
        <v>3789</v>
      </c>
      <c r="BK329" s="437"/>
      <c r="BL329" s="437"/>
      <c r="BM329" s="437"/>
      <c r="BN329" s="437"/>
      <c r="BO329" s="437"/>
      <c r="BP329" s="437"/>
    </row>
    <row r="330" spans="1:68">
      <c r="A330" s="437"/>
      <c r="B330" s="437"/>
      <c r="C330" s="437"/>
      <c r="D330" s="437"/>
      <c r="E330" s="437"/>
      <c r="F330" s="437"/>
      <c r="G330" s="437"/>
      <c r="H330" s="437"/>
      <c r="I330" s="437"/>
      <c r="J330" s="437"/>
      <c r="K330" s="437"/>
      <c r="L330" s="437"/>
      <c r="M330" s="437"/>
      <c r="N330" s="437"/>
      <c r="O330" s="437"/>
      <c r="P330" s="437"/>
      <c r="Q330" s="437"/>
      <c r="R330" s="437"/>
      <c r="S330" s="437"/>
      <c r="T330" s="437"/>
      <c r="U330" s="437"/>
      <c r="V330" s="437"/>
      <c r="W330" s="437"/>
      <c r="X330" s="437"/>
      <c r="Y330" s="437"/>
      <c r="Z330" s="437"/>
      <c r="AA330" s="437"/>
      <c r="AB330" s="437"/>
      <c r="AC330" s="437"/>
      <c r="AD330" s="437"/>
      <c r="AE330" s="437"/>
      <c r="AF330" s="437"/>
      <c r="AG330" s="437"/>
      <c r="AH330" s="437"/>
      <c r="AI330" s="437"/>
      <c r="AJ330" s="437"/>
      <c r="AK330" s="437"/>
      <c r="AL330" s="437"/>
      <c r="AM330" s="437"/>
      <c r="AN330" s="437"/>
      <c r="AO330" s="437"/>
      <c r="AP330" s="437"/>
      <c r="AQ330" s="437"/>
      <c r="AR330" s="437"/>
      <c r="AS330" s="437"/>
      <c r="AT330" s="437"/>
      <c r="AU330" s="437"/>
      <c r="AV330" s="437"/>
      <c r="AW330" s="437"/>
      <c r="AX330" s="436">
        <v>325</v>
      </c>
      <c r="AY330" s="490" t="s">
        <v>3790</v>
      </c>
      <c r="AZ330" s="490" t="s">
        <v>3791</v>
      </c>
      <c r="BA330" s="490" t="s">
        <v>3792</v>
      </c>
      <c r="BB330" s="490" t="s">
        <v>2014</v>
      </c>
      <c r="BC330" s="490" t="s">
        <v>785</v>
      </c>
      <c r="BD330" s="490" t="s">
        <v>3793</v>
      </c>
      <c r="BE330" s="490" t="s">
        <v>3794</v>
      </c>
      <c r="BF330" s="490" t="s">
        <v>3795</v>
      </c>
      <c r="BG330" s="490" t="s">
        <v>3785</v>
      </c>
      <c r="BH330" s="490" t="s">
        <v>3796</v>
      </c>
      <c r="BI330" s="490" t="s">
        <v>3797</v>
      </c>
      <c r="BJ330" s="490" t="s">
        <v>3798</v>
      </c>
      <c r="BK330" s="437"/>
      <c r="BL330" s="437"/>
      <c r="BM330" s="437"/>
      <c r="BN330" s="437"/>
      <c r="BO330" s="437"/>
      <c r="BP330" s="437"/>
    </row>
    <row r="331" spans="1:68">
      <c r="A331" s="437"/>
      <c r="B331" s="437"/>
      <c r="C331" s="437"/>
      <c r="D331" s="437"/>
      <c r="E331" s="437"/>
      <c r="F331" s="437"/>
      <c r="G331" s="437"/>
      <c r="H331" s="437"/>
      <c r="I331" s="437"/>
      <c r="J331" s="437"/>
      <c r="K331" s="437"/>
      <c r="L331" s="437"/>
      <c r="M331" s="437"/>
      <c r="N331" s="437"/>
      <c r="O331" s="437"/>
      <c r="P331" s="437"/>
      <c r="Q331" s="437"/>
      <c r="R331" s="437"/>
      <c r="S331" s="437"/>
      <c r="T331" s="437"/>
      <c r="U331" s="437"/>
      <c r="V331" s="437"/>
      <c r="W331" s="437"/>
      <c r="X331" s="437"/>
      <c r="Y331" s="437"/>
      <c r="Z331" s="437"/>
      <c r="AA331" s="437"/>
      <c r="AB331" s="437"/>
      <c r="AC331" s="437"/>
      <c r="AD331" s="437"/>
      <c r="AE331" s="437"/>
      <c r="AF331" s="437"/>
      <c r="AG331" s="437"/>
      <c r="AH331" s="437"/>
      <c r="AI331" s="437"/>
      <c r="AJ331" s="437"/>
      <c r="AK331" s="437"/>
      <c r="AL331" s="437"/>
      <c r="AM331" s="437"/>
      <c r="AN331" s="437"/>
      <c r="AO331" s="437"/>
      <c r="AP331" s="437"/>
      <c r="AQ331" s="437"/>
      <c r="AR331" s="437"/>
      <c r="AS331" s="437"/>
      <c r="AT331" s="437"/>
      <c r="AU331" s="437"/>
      <c r="AV331" s="437"/>
      <c r="AW331" s="437"/>
      <c r="AX331" s="436">
        <v>326</v>
      </c>
      <c r="AY331" s="490" t="s">
        <v>3799</v>
      </c>
      <c r="AZ331" s="490" t="s">
        <v>3800</v>
      </c>
      <c r="BA331" s="490" t="s">
        <v>3801</v>
      </c>
      <c r="BB331" s="490" t="s">
        <v>3802</v>
      </c>
      <c r="BC331" s="490" t="s">
        <v>3803</v>
      </c>
      <c r="BD331" s="490" t="s">
        <v>3804</v>
      </c>
      <c r="BE331" s="490" t="s">
        <v>3805</v>
      </c>
      <c r="BF331" s="490" t="s">
        <v>748</v>
      </c>
      <c r="BG331" s="490" t="s">
        <v>3806</v>
      </c>
      <c r="BH331" s="490" t="s">
        <v>3807</v>
      </c>
      <c r="BI331" s="490" t="s">
        <v>3808</v>
      </c>
      <c r="BJ331" s="490" t="s">
        <v>3809</v>
      </c>
      <c r="BK331" s="437"/>
      <c r="BL331" s="437"/>
      <c r="BM331" s="437"/>
      <c r="BN331" s="437"/>
      <c r="BO331" s="437"/>
      <c r="BP331" s="437"/>
    </row>
    <row r="332" spans="1:68">
      <c r="A332" s="437"/>
      <c r="B332" s="437"/>
      <c r="C332" s="437"/>
      <c r="D332" s="437"/>
      <c r="E332" s="437"/>
      <c r="F332" s="437"/>
      <c r="G332" s="437"/>
      <c r="H332" s="437"/>
      <c r="I332" s="437"/>
      <c r="J332" s="437"/>
      <c r="K332" s="437"/>
      <c r="L332" s="437"/>
      <c r="M332" s="437"/>
      <c r="N332" s="437"/>
      <c r="O332" s="437"/>
      <c r="P332" s="437"/>
      <c r="Q332" s="437"/>
      <c r="R332" s="437"/>
      <c r="S332" s="437"/>
      <c r="T332" s="437"/>
      <c r="U332" s="437"/>
      <c r="V332" s="437"/>
      <c r="W332" s="437"/>
      <c r="X332" s="437"/>
      <c r="Y332" s="437"/>
      <c r="Z332" s="437"/>
      <c r="AA332" s="437"/>
      <c r="AB332" s="437"/>
      <c r="AC332" s="437"/>
      <c r="AD332" s="437"/>
      <c r="AE332" s="437"/>
      <c r="AF332" s="437"/>
      <c r="AG332" s="437"/>
      <c r="AH332" s="437"/>
      <c r="AI332" s="437"/>
      <c r="AJ332" s="437"/>
      <c r="AK332" s="437"/>
      <c r="AL332" s="437"/>
      <c r="AM332" s="437"/>
      <c r="AN332" s="437"/>
      <c r="AO332" s="437"/>
      <c r="AP332" s="437"/>
      <c r="AQ332" s="437"/>
      <c r="AR332" s="437"/>
      <c r="AS332" s="437"/>
      <c r="AT332" s="437"/>
      <c r="AU332" s="437"/>
      <c r="AV332" s="437"/>
      <c r="AW332" s="437"/>
      <c r="AX332" s="436">
        <v>327</v>
      </c>
      <c r="AY332" s="490" t="s">
        <v>3791</v>
      </c>
      <c r="AZ332" s="490" t="s">
        <v>3810</v>
      </c>
      <c r="BA332" s="490" t="s">
        <v>3811</v>
      </c>
      <c r="BB332" s="490" t="s">
        <v>3812</v>
      </c>
      <c r="BC332" s="490" t="s">
        <v>3813</v>
      </c>
      <c r="BD332" s="490" t="s">
        <v>3814</v>
      </c>
      <c r="BE332" s="490" t="s">
        <v>3815</v>
      </c>
      <c r="BF332" s="490" t="s">
        <v>757</v>
      </c>
      <c r="BG332" s="490" t="s">
        <v>3816</v>
      </c>
      <c r="BH332" s="490" t="s">
        <v>3817</v>
      </c>
      <c r="BI332" s="490" t="s">
        <v>3818</v>
      </c>
      <c r="BJ332" s="490" t="s">
        <v>3112</v>
      </c>
      <c r="BK332" s="437"/>
      <c r="BL332" s="437"/>
      <c r="BM332" s="437"/>
      <c r="BN332" s="437"/>
      <c r="BO332" s="437"/>
      <c r="BP332" s="437"/>
    </row>
    <row r="333" spans="1:68">
      <c r="A333" s="437"/>
      <c r="B333" s="437"/>
      <c r="C333" s="437"/>
      <c r="D333" s="437"/>
      <c r="E333" s="437"/>
      <c r="F333" s="437"/>
      <c r="G333" s="437"/>
      <c r="H333" s="437"/>
      <c r="I333" s="437"/>
      <c r="J333" s="437"/>
      <c r="K333" s="437"/>
      <c r="L333" s="437"/>
      <c r="M333" s="437"/>
      <c r="N333" s="437"/>
      <c r="O333" s="437"/>
      <c r="P333" s="437"/>
      <c r="Q333" s="437"/>
      <c r="R333" s="437"/>
      <c r="S333" s="437"/>
      <c r="T333" s="437"/>
      <c r="U333" s="437"/>
      <c r="V333" s="437"/>
      <c r="W333" s="437"/>
      <c r="X333" s="437"/>
      <c r="Y333" s="437"/>
      <c r="Z333" s="437"/>
      <c r="AA333" s="437"/>
      <c r="AB333" s="437"/>
      <c r="AC333" s="437"/>
      <c r="AD333" s="437"/>
      <c r="AE333" s="437"/>
      <c r="AF333" s="437"/>
      <c r="AG333" s="437"/>
      <c r="AH333" s="437"/>
      <c r="AI333" s="437"/>
      <c r="AJ333" s="437"/>
      <c r="AK333" s="437"/>
      <c r="AL333" s="437"/>
      <c r="AM333" s="437"/>
      <c r="AN333" s="437"/>
      <c r="AO333" s="437"/>
      <c r="AP333" s="437"/>
      <c r="AQ333" s="437"/>
      <c r="AR333" s="437"/>
      <c r="AS333" s="437"/>
      <c r="AT333" s="437"/>
      <c r="AU333" s="437"/>
      <c r="AV333" s="437"/>
      <c r="AW333" s="437"/>
      <c r="AX333" s="436">
        <v>328</v>
      </c>
      <c r="AY333" s="490" t="s">
        <v>3819</v>
      </c>
      <c r="AZ333" s="490" t="s">
        <v>3820</v>
      </c>
      <c r="BA333" s="490" t="s">
        <v>3821</v>
      </c>
      <c r="BB333" s="490" t="s">
        <v>3274</v>
      </c>
      <c r="BC333" s="490" t="s">
        <v>3822</v>
      </c>
      <c r="BD333" s="490" t="s">
        <v>3723</v>
      </c>
      <c r="BE333" s="490" t="s">
        <v>748</v>
      </c>
      <c r="BF333" s="490" t="s">
        <v>3823</v>
      </c>
      <c r="BG333" s="490" t="s">
        <v>3824</v>
      </c>
      <c r="BH333" s="490" t="s">
        <v>769</v>
      </c>
      <c r="BI333" s="490" t="s">
        <v>1158</v>
      </c>
      <c r="BJ333" s="490" t="s">
        <v>3825</v>
      </c>
      <c r="BK333" s="437"/>
      <c r="BL333" s="437"/>
      <c r="BM333" s="437"/>
      <c r="BN333" s="437"/>
      <c r="BO333" s="437"/>
      <c r="BP333" s="437"/>
    </row>
    <row r="334" spans="1:68">
      <c r="A334" s="437"/>
      <c r="B334" s="437"/>
      <c r="C334" s="437"/>
      <c r="D334" s="437"/>
      <c r="E334" s="437"/>
      <c r="F334" s="437"/>
      <c r="G334" s="437"/>
      <c r="H334" s="437"/>
      <c r="I334" s="437"/>
      <c r="J334" s="437"/>
      <c r="K334" s="437"/>
      <c r="L334" s="437"/>
      <c r="M334" s="437"/>
      <c r="N334" s="437"/>
      <c r="O334" s="437"/>
      <c r="P334" s="437"/>
      <c r="Q334" s="437"/>
      <c r="R334" s="437"/>
      <c r="S334" s="437"/>
      <c r="T334" s="437"/>
      <c r="U334" s="437"/>
      <c r="V334" s="437"/>
      <c r="W334" s="437"/>
      <c r="X334" s="437"/>
      <c r="Y334" s="437"/>
      <c r="Z334" s="437"/>
      <c r="AA334" s="437"/>
      <c r="AB334" s="437"/>
      <c r="AC334" s="437"/>
      <c r="AD334" s="437"/>
      <c r="AE334" s="437"/>
      <c r="AF334" s="437"/>
      <c r="AG334" s="437"/>
      <c r="AH334" s="437"/>
      <c r="AI334" s="437"/>
      <c r="AJ334" s="437"/>
      <c r="AK334" s="437"/>
      <c r="AL334" s="437"/>
      <c r="AM334" s="437"/>
      <c r="AN334" s="437"/>
      <c r="AO334" s="437"/>
      <c r="AP334" s="437"/>
      <c r="AQ334" s="437"/>
      <c r="AR334" s="437"/>
      <c r="AS334" s="437"/>
      <c r="AT334" s="437"/>
      <c r="AU334" s="437"/>
      <c r="AV334" s="437"/>
      <c r="AW334" s="437"/>
      <c r="AX334" s="436">
        <v>329</v>
      </c>
      <c r="AY334" s="490" t="s">
        <v>3826</v>
      </c>
      <c r="AZ334" s="490" t="s">
        <v>3827</v>
      </c>
      <c r="BA334" s="490" t="s">
        <v>3828</v>
      </c>
      <c r="BB334" s="490" t="s">
        <v>3829</v>
      </c>
      <c r="BC334" s="490" t="s">
        <v>3830</v>
      </c>
      <c r="BD334" s="490" t="s">
        <v>2089</v>
      </c>
      <c r="BE334" s="490" t="s">
        <v>3831</v>
      </c>
      <c r="BF334" s="490" t="s">
        <v>3832</v>
      </c>
      <c r="BG334" s="490" t="s">
        <v>3823</v>
      </c>
      <c r="BH334" s="490" t="s">
        <v>3833</v>
      </c>
      <c r="BI334" s="490" t="s">
        <v>3834</v>
      </c>
      <c r="BJ334" s="490" t="s">
        <v>3736</v>
      </c>
      <c r="BK334" s="437"/>
      <c r="BL334" s="437"/>
      <c r="BM334" s="437"/>
      <c r="BN334" s="437"/>
      <c r="BO334" s="437"/>
      <c r="BP334" s="437"/>
    </row>
    <row r="335" spans="1:68">
      <c r="A335" s="437"/>
      <c r="B335" s="437"/>
      <c r="C335" s="437"/>
      <c r="D335" s="437"/>
      <c r="E335" s="437"/>
      <c r="F335" s="437"/>
      <c r="G335" s="437"/>
      <c r="H335" s="437"/>
      <c r="I335" s="437"/>
      <c r="J335" s="437"/>
      <c r="K335" s="437"/>
      <c r="L335" s="437"/>
      <c r="M335" s="437"/>
      <c r="N335" s="437"/>
      <c r="O335" s="437"/>
      <c r="P335" s="437"/>
      <c r="Q335" s="437"/>
      <c r="R335" s="437"/>
      <c r="S335" s="437"/>
      <c r="T335" s="437"/>
      <c r="U335" s="437"/>
      <c r="V335" s="437"/>
      <c r="W335" s="437"/>
      <c r="X335" s="437"/>
      <c r="Y335" s="437"/>
      <c r="Z335" s="437"/>
      <c r="AA335" s="437"/>
      <c r="AB335" s="437"/>
      <c r="AC335" s="437"/>
      <c r="AD335" s="437"/>
      <c r="AE335" s="437"/>
      <c r="AF335" s="437"/>
      <c r="AG335" s="437"/>
      <c r="AH335" s="437"/>
      <c r="AI335" s="437"/>
      <c r="AJ335" s="437"/>
      <c r="AK335" s="437"/>
      <c r="AL335" s="437"/>
      <c r="AM335" s="437"/>
      <c r="AN335" s="437"/>
      <c r="AO335" s="437"/>
      <c r="AP335" s="437"/>
      <c r="AQ335" s="437"/>
      <c r="AR335" s="437"/>
      <c r="AS335" s="437"/>
      <c r="AT335" s="437"/>
      <c r="AU335" s="437"/>
      <c r="AV335" s="437"/>
      <c r="AW335" s="437"/>
      <c r="AX335" s="436">
        <v>330</v>
      </c>
      <c r="AY335" s="490" t="s">
        <v>3820</v>
      </c>
      <c r="AZ335" s="490" t="s">
        <v>3835</v>
      </c>
      <c r="BA335" s="490" t="s">
        <v>3836</v>
      </c>
      <c r="BB335" s="490" t="s">
        <v>3837</v>
      </c>
      <c r="BC335" s="490" t="s">
        <v>3838</v>
      </c>
      <c r="BD335" s="490" t="s">
        <v>3839</v>
      </c>
      <c r="BE335" s="490" t="s">
        <v>3840</v>
      </c>
      <c r="BF335" s="490" t="s">
        <v>3841</v>
      </c>
      <c r="BG335" s="490" t="s">
        <v>3842</v>
      </c>
      <c r="BH335" s="490" t="s">
        <v>790</v>
      </c>
      <c r="BI335" s="490" t="s">
        <v>3843</v>
      </c>
      <c r="BJ335" s="490" t="s">
        <v>3844</v>
      </c>
      <c r="BK335" s="437"/>
      <c r="BL335" s="437"/>
      <c r="BM335" s="437"/>
      <c r="BN335" s="437"/>
      <c r="BO335" s="437"/>
      <c r="BP335" s="437"/>
    </row>
    <row r="336" spans="1:68">
      <c r="A336" s="437"/>
      <c r="B336" s="437"/>
      <c r="C336" s="437"/>
      <c r="D336" s="437"/>
      <c r="E336" s="437"/>
      <c r="F336" s="437"/>
      <c r="G336" s="437"/>
      <c r="H336" s="437"/>
      <c r="I336" s="437"/>
      <c r="J336" s="437"/>
      <c r="K336" s="437"/>
      <c r="L336" s="437"/>
      <c r="M336" s="437"/>
      <c r="N336" s="437"/>
      <c r="O336" s="437"/>
      <c r="P336" s="437"/>
      <c r="Q336" s="437"/>
      <c r="R336" s="437"/>
      <c r="S336" s="437"/>
      <c r="T336" s="437"/>
      <c r="U336" s="437"/>
      <c r="V336" s="437"/>
      <c r="W336" s="437"/>
      <c r="X336" s="437"/>
      <c r="Y336" s="437"/>
      <c r="Z336" s="437"/>
      <c r="AA336" s="437"/>
      <c r="AB336" s="437"/>
      <c r="AC336" s="437"/>
      <c r="AD336" s="437"/>
      <c r="AE336" s="437"/>
      <c r="AF336" s="437"/>
      <c r="AG336" s="437"/>
      <c r="AH336" s="437"/>
      <c r="AI336" s="437"/>
      <c r="AJ336" s="437"/>
      <c r="AK336" s="437"/>
      <c r="AL336" s="437"/>
      <c r="AM336" s="437"/>
      <c r="AN336" s="437"/>
      <c r="AO336" s="437"/>
      <c r="AP336" s="437"/>
      <c r="AQ336" s="437"/>
      <c r="AR336" s="437"/>
      <c r="AS336" s="437"/>
      <c r="AT336" s="437"/>
      <c r="AU336" s="437"/>
      <c r="AV336" s="437"/>
      <c r="AW336" s="437"/>
      <c r="AX336" s="436">
        <v>331</v>
      </c>
      <c r="AY336" s="490" t="s">
        <v>3845</v>
      </c>
      <c r="AZ336" s="490" t="s">
        <v>3846</v>
      </c>
      <c r="BA336" s="490" t="s">
        <v>3847</v>
      </c>
      <c r="BB336" s="490" t="s">
        <v>3848</v>
      </c>
      <c r="BC336" s="490" t="s">
        <v>1592</v>
      </c>
      <c r="BD336" s="490" t="s">
        <v>3849</v>
      </c>
      <c r="BE336" s="490" t="s">
        <v>3850</v>
      </c>
      <c r="BF336" s="490" t="s">
        <v>3851</v>
      </c>
      <c r="BG336" s="490" t="s">
        <v>3852</v>
      </c>
      <c r="BH336" s="490" t="s">
        <v>3853</v>
      </c>
      <c r="BI336" s="490" t="s">
        <v>3854</v>
      </c>
      <c r="BJ336" s="490" t="s">
        <v>3855</v>
      </c>
      <c r="BK336" s="437"/>
      <c r="BL336" s="437"/>
      <c r="BM336" s="437"/>
      <c r="BN336" s="437"/>
      <c r="BO336" s="437"/>
      <c r="BP336" s="437"/>
    </row>
    <row r="337" spans="1:68">
      <c r="A337" s="437"/>
      <c r="B337" s="437"/>
      <c r="C337" s="437"/>
      <c r="D337" s="437"/>
      <c r="E337" s="437"/>
      <c r="F337" s="437"/>
      <c r="G337" s="437"/>
      <c r="H337" s="437"/>
      <c r="I337" s="437"/>
      <c r="J337" s="437"/>
      <c r="K337" s="437"/>
      <c r="L337" s="437"/>
      <c r="M337" s="437"/>
      <c r="N337" s="437"/>
      <c r="O337" s="437"/>
      <c r="P337" s="437"/>
      <c r="Q337" s="437"/>
      <c r="R337" s="437"/>
      <c r="S337" s="437"/>
      <c r="T337" s="437"/>
      <c r="U337" s="437"/>
      <c r="V337" s="437"/>
      <c r="W337" s="437"/>
      <c r="X337" s="437"/>
      <c r="Y337" s="437"/>
      <c r="Z337" s="437"/>
      <c r="AA337" s="437"/>
      <c r="AB337" s="437"/>
      <c r="AC337" s="437"/>
      <c r="AD337" s="437"/>
      <c r="AE337" s="437"/>
      <c r="AF337" s="437"/>
      <c r="AG337" s="437"/>
      <c r="AH337" s="437"/>
      <c r="AI337" s="437"/>
      <c r="AJ337" s="437"/>
      <c r="AK337" s="437"/>
      <c r="AL337" s="437"/>
      <c r="AM337" s="437"/>
      <c r="AN337" s="437"/>
      <c r="AO337" s="437"/>
      <c r="AP337" s="437"/>
      <c r="AQ337" s="437"/>
      <c r="AR337" s="437"/>
      <c r="AS337" s="437"/>
      <c r="AT337" s="437"/>
      <c r="AU337" s="437"/>
      <c r="AV337" s="437"/>
      <c r="AW337" s="437"/>
      <c r="AX337" s="436">
        <v>332</v>
      </c>
      <c r="AY337" s="490" t="s">
        <v>3856</v>
      </c>
      <c r="AZ337" s="490" t="s">
        <v>3857</v>
      </c>
      <c r="BA337" s="490" t="s">
        <v>1474</v>
      </c>
      <c r="BB337" s="490" t="s">
        <v>858</v>
      </c>
      <c r="BC337" s="490" t="s">
        <v>3858</v>
      </c>
      <c r="BD337" s="490" t="s">
        <v>3859</v>
      </c>
      <c r="BE337" s="490" t="s">
        <v>3860</v>
      </c>
      <c r="BF337" s="490" t="s">
        <v>3861</v>
      </c>
      <c r="BG337" s="490" t="s">
        <v>3862</v>
      </c>
      <c r="BH337" s="490" t="s">
        <v>3681</v>
      </c>
      <c r="BI337" s="490" t="s">
        <v>3863</v>
      </c>
      <c r="BJ337" s="490" t="s">
        <v>3864</v>
      </c>
      <c r="BK337" s="437"/>
      <c r="BL337" s="437"/>
      <c r="BM337" s="437"/>
      <c r="BN337" s="437"/>
      <c r="BO337" s="437"/>
      <c r="BP337" s="437"/>
    </row>
    <row r="338" spans="1:68">
      <c r="A338" s="437"/>
      <c r="B338" s="437"/>
      <c r="C338" s="437"/>
      <c r="D338" s="437"/>
      <c r="E338" s="437"/>
      <c r="F338" s="437"/>
      <c r="G338" s="437"/>
      <c r="H338" s="437"/>
      <c r="I338" s="437"/>
      <c r="J338" s="437"/>
      <c r="K338" s="437"/>
      <c r="L338" s="437"/>
      <c r="M338" s="437"/>
      <c r="N338" s="437"/>
      <c r="O338" s="437"/>
      <c r="P338" s="437"/>
      <c r="Q338" s="437"/>
      <c r="R338" s="437"/>
      <c r="S338" s="437"/>
      <c r="T338" s="437"/>
      <c r="U338" s="437"/>
      <c r="V338" s="437"/>
      <c r="W338" s="437"/>
      <c r="X338" s="437"/>
      <c r="Y338" s="437"/>
      <c r="Z338" s="437"/>
      <c r="AA338" s="437"/>
      <c r="AB338" s="437"/>
      <c r="AC338" s="437"/>
      <c r="AD338" s="437"/>
      <c r="AE338" s="437"/>
      <c r="AF338" s="437"/>
      <c r="AG338" s="437"/>
      <c r="AH338" s="437"/>
      <c r="AI338" s="437"/>
      <c r="AJ338" s="437"/>
      <c r="AK338" s="437"/>
      <c r="AL338" s="437"/>
      <c r="AM338" s="437"/>
      <c r="AN338" s="437"/>
      <c r="AO338" s="437"/>
      <c r="AP338" s="437"/>
      <c r="AQ338" s="437"/>
      <c r="AR338" s="437"/>
      <c r="AS338" s="437"/>
      <c r="AT338" s="437"/>
      <c r="AU338" s="437"/>
      <c r="AV338" s="437"/>
      <c r="AW338" s="437"/>
      <c r="AX338" s="436">
        <v>333</v>
      </c>
      <c r="AY338" s="490" t="s">
        <v>3865</v>
      </c>
      <c r="AZ338" s="490" t="s">
        <v>3866</v>
      </c>
      <c r="BA338" s="490" t="s">
        <v>3867</v>
      </c>
      <c r="BB338" s="490" t="s">
        <v>3868</v>
      </c>
      <c r="BC338" s="490" t="s">
        <v>3869</v>
      </c>
      <c r="BD338" s="490" t="s">
        <v>3870</v>
      </c>
      <c r="BE338" s="490" t="s">
        <v>3871</v>
      </c>
      <c r="BF338" s="490" t="s">
        <v>3872</v>
      </c>
      <c r="BG338" s="490" t="s">
        <v>3861</v>
      </c>
      <c r="BH338" s="490" t="s">
        <v>3873</v>
      </c>
      <c r="BI338" s="490" t="s">
        <v>3527</v>
      </c>
      <c r="BJ338" s="490" t="s">
        <v>824</v>
      </c>
      <c r="BK338" s="437"/>
      <c r="BL338" s="437"/>
      <c r="BM338" s="437"/>
      <c r="BN338" s="437"/>
      <c r="BO338" s="437"/>
      <c r="BP338" s="437"/>
    </row>
    <row r="339" spans="1:68">
      <c r="A339" s="437"/>
      <c r="B339" s="437"/>
      <c r="C339" s="437"/>
      <c r="D339" s="437"/>
      <c r="E339" s="437"/>
      <c r="F339" s="437"/>
      <c r="G339" s="437"/>
      <c r="H339" s="437"/>
      <c r="I339" s="437"/>
      <c r="J339" s="437"/>
      <c r="K339" s="437"/>
      <c r="L339" s="437"/>
      <c r="M339" s="437"/>
      <c r="N339" s="437"/>
      <c r="O339" s="437"/>
      <c r="P339" s="437"/>
      <c r="Q339" s="437"/>
      <c r="R339" s="437"/>
      <c r="S339" s="437"/>
      <c r="T339" s="437"/>
      <c r="U339" s="437"/>
      <c r="V339" s="437"/>
      <c r="W339" s="437"/>
      <c r="X339" s="437"/>
      <c r="Y339" s="437"/>
      <c r="Z339" s="437"/>
      <c r="AA339" s="437"/>
      <c r="AB339" s="437"/>
      <c r="AC339" s="437"/>
      <c r="AD339" s="437"/>
      <c r="AE339" s="437"/>
      <c r="AF339" s="437"/>
      <c r="AG339" s="437"/>
      <c r="AH339" s="437"/>
      <c r="AI339" s="437"/>
      <c r="AJ339" s="437"/>
      <c r="AK339" s="437"/>
      <c r="AL339" s="437"/>
      <c r="AM339" s="437"/>
      <c r="AN339" s="437"/>
      <c r="AO339" s="437"/>
      <c r="AP339" s="437"/>
      <c r="AQ339" s="437"/>
      <c r="AR339" s="437"/>
      <c r="AS339" s="437"/>
      <c r="AT339" s="437"/>
      <c r="AU339" s="437"/>
      <c r="AV339" s="437"/>
      <c r="AW339" s="437"/>
      <c r="AX339" s="436">
        <v>334</v>
      </c>
      <c r="AY339" s="490" t="s">
        <v>3874</v>
      </c>
      <c r="AZ339" s="490" t="s">
        <v>3875</v>
      </c>
      <c r="BA339" s="490" t="s">
        <v>3876</v>
      </c>
      <c r="BB339" s="490" t="s">
        <v>3877</v>
      </c>
      <c r="BC339" s="490" t="s">
        <v>3878</v>
      </c>
      <c r="BD339" s="490" t="s">
        <v>3879</v>
      </c>
      <c r="BE339" s="490" t="s">
        <v>3880</v>
      </c>
      <c r="BF339" s="490" t="s">
        <v>3881</v>
      </c>
      <c r="BG339" s="490" t="s">
        <v>3872</v>
      </c>
      <c r="BH339" s="490" t="s">
        <v>3882</v>
      </c>
      <c r="BI339" s="490" t="s">
        <v>3883</v>
      </c>
      <c r="BJ339" s="490" t="s">
        <v>3884</v>
      </c>
      <c r="BK339" s="437"/>
      <c r="BL339" s="437"/>
      <c r="BM339" s="437"/>
      <c r="BN339" s="437"/>
      <c r="BO339" s="437"/>
      <c r="BP339" s="437"/>
    </row>
    <row r="340" spans="1:68">
      <c r="A340" s="437"/>
      <c r="B340" s="437"/>
      <c r="C340" s="437"/>
      <c r="D340" s="437"/>
      <c r="E340" s="437"/>
      <c r="F340" s="437"/>
      <c r="G340" s="437"/>
      <c r="H340" s="437"/>
      <c r="I340" s="437"/>
      <c r="J340" s="437"/>
      <c r="K340" s="437"/>
      <c r="L340" s="437"/>
      <c r="M340" s="437"/>
      <c r="N340" s="437"/>
      <c r="O340" s="437"/>
      <c r="P340" s="437"/>
      <c r="Q340" s="437"/>
      <c r="R340" s="437"/>
      <c r="S340" s="437"/>
      <c r="T340" s="437"/>
      <c r="U340" s="437"/>
      <c r="V340" s="437"/>
      <c r="W340" s="437"/>
      <c r="X340" s="437"/>
      <c r="Y340" s="437"/>
      <c r="Z340" s="437"/>
      <c r="AA340" s="437"/>
      <c r="AB340" s="437"/>
      <c r="AC340" s="437"/>
      <c r="AD340" s="437"/>
      <c r="AE340" s="437"/>
      <c r="AF340" s="437"/>
      <c r="AG340" s="437"/>
      <c r="AH340" s="437"/>
      <c r="AI340" s="437"/>
      <c r="AJ340" s="437"/>
      <c r="AK340" s="437"/>
      <c r="AL340" s="437"/>
      <c r="AM340" s="437"/>
      <c r="AN340" s="437"/>
      <c r="AO340" s="437"/>
      <c r="AP340" s="437"/>
      <c r="AQ340" s="437"/>
      <c r="AR340" s="437"/>
      <c r="AS340" s="437"/>
      <c r="AT340" s="437"/>
      <c r="AU340" s="437"/>
      <c r="AV340" s="437"/>
      <c r="AW340" s="437"/>
      <c r="AX340" s="436">
        <v>335</v>
      </c>
      <c r="AY340" s="490" t="s">
        <v>3885</v>
      </c>
      <c r="AZ340" s="490" t="s">
        <v>3886</v>
      </c>
      <c r="BA340" s="490" t="s">
        <v>3887</v>
      </c>
      <c r="BB340" s="490" t="s">
        <v>3888</v>
      </c>
      <c r="BC340" s="490" t="s">
        <v>3889</v>
      </c>
      <c r="BD340" s="490" t="s">
        <v>1612</v>
      </c>
      <c r="BE340" s="490" t="s">
        <v>3890</v>
      </c>
      <c r="BF340" s="490" t="s">
        <v>3891</v>
      </c>
      <c r="BG340" s="490" t="s">
        <v>3892</v>
      </c>
      <c r="BH340" s="490" t="s">
        <v>3806</v>
      </c>
      <c r="BI340" s="490" t="s">
        <v>3893</v>
      </c>
      <c r="BJ340" s="490" t="s">
        <v>3894</v>
      </c>
      <c r="BK340" s="437"/>
      <c r="BL340" s="437"/>
      <c r="BM340" s="437"/>
      <c r="BN340" s="437"/>
      <c r="BO340" s="437"/>
      <c r="BP340" s="437"/>
    </row>
    <row r="341" spans="1:68">
      <c r="A341" s="437"/>
      <c r="B341" s="437"/>
      <c r="C341" s="437"/>
      <c r="D341" s="437"/>
      <c r="E341" s="437"/>
      <c r="F341" s="437"/>
      <c r="G341" s="437"/>
      <c r="H341" s="437"/>
      <c r="I341" s="437"/>
      <c r="J341" s="437"/>
      <c r="K341" s="437"/>
      <c r="L341" s="437"/>
      <c r="M341" s="437"/>
      <c r="N341" s="437"/>
      <c r="O341" s="437"/>
      <c r="P341" s="437"/>
      <c r="Q341" s="437"/>
      <c r="R341" s="437"/>
      <c r="S341" s="437"/>
      <c r="T341" s="437"/>
      <c r="U341" s="437"/>
      <c r="V341" s="437"/>
      <c r="W341" s="437"/>
      <c r="X341" s="437"/>
      <c r="Y341" s="437"/>
      <c r="Z341" s="437"/>
      <c r="AA341" s="437"/>
      <c r="AB341" s="437"/>
      <c r="AC341" s="437"/>
      <c r="AD341" s="437"/>
      <c r="AE341" s="437"/>
      <c r="AF341" s="437"/>
      <c r="AG341" s="437"/>
      <c r="AH341" s="437"/>
      <c r="AI341" s="437"/>
      <c r="AJ341" s="437"/>
      <c r="AK341" s="437"/>
      <c r="AL341" s="437"/>
      <c r="AM341" s="437"/>
      <c r="AN341" s="437"/>
      <c r="AO341" s="437"/>
      <c r="AP341" s="437"/>
      <c r="AQ341" s="437"/>
      <c r="AR341" s="437"/>
      <c r="AS341" s="437"/>
      <c r="AT341" s="437"/>
      <c r="AU341" s="437"/>
      <c r="AV341" s="437"/>
      <c r="AW341" s="437"/>
      <c r="AX341" s="436">
        <v>336</v>
      </c>
      <c r="AY341" s="490" t="s">
        <v>3895</v>
      </c>
      <c r="AZ341" s="490" t="s">
        <v>3896</v>
      </c>
      <c r="BA341" s="490" t="s">
        <v>3897</v>
      </c>
      <c r="BB341" s="490" t="s">
        <v>3898</v>
      </c>
      <c r="BC341" s="490" t="s">
        <v>3899</v>
      </c>
      <c r="BD341" s="490" t="s">
        <v>3900</v>
      </c>
      <c r="BE341" s="490" t="s">
        <v>3901</v>
      </c>
      <c r="BF341" s="490" t="s">
        <v>3902</v>
      </c>
      <c r="BG341" s="490" t="s">
        <v>3903</v>
      </c>
      <c r="BH341" s="490" t="s">
        <v>3904</v>
      </c>
      <c r="BI341" s="490" t="s">
        <v>3905</v>
      </c>
      <c r="BJ341" s="490" t="s">
        <v>3906</v>
      </c>
      <c r="BK341" s="437"/>
      <c r="BL341" s="437"/>
      <c r="BM341" s="437"/>
      <c r="BN341" s="437"/>
      <c r="BO341" s="437"/>
      <c r="BP341" s="437"/>
    </row>
    <row r="342" spans="1:68">
      <c r="A342" s="437"/>
      <c r="B342" s="437"/>
      <c r="C342" s="437"/>
      <c r="D342" s="437"/>
      <c r="E342" s="437"/>
      <c r="F342" s="437"/>
      <c r="G342" s="437"/>
      <c r="H342" s="437"/>
      <c r="I342" s="437"/>
      <c r="J342" s="437"/>
      <c r="K342" s="437"/>
      <c r="L342" s="437"/>
      <c r="M342" s="437"/>
      <c r="N342" s="437"/>
      <c r="O342" s="437"/>
      <c r="P342" s="437"/>
      <c r="Q342" s="437"/>
      <c r="R342" s="437"/>
      <c r="S342" s="437"/>
      <c r="T342" s="437"/>
      <c r="U342" s="437"/>
      <c r="V342" s="437"/>
      <c r="W342" s="437"/>
      <c r="X342" s="437"/>
      <c r="Y342" s="437"/>
      <c r="Z342" s="437"/>
      <c r="AA342" s="437"/>
      <c r="AB342" s="437"/>
      <c r="AC342" s="437"/>
      <c r="AD342" s="437"/>
      <c r="AE342" s="437"/>
      <c r="AF342" s="437"/>
      <c r="AG342" s="437"/>
      <c r="AH342" s="437"/>
      <c r="AI342" s="437"/>
      <c r="AJ342" s="437"/>
      <c r="AK342" s="437"/>
      <c r="AL342" s="437"/>
      <c r="AM342" s="437"/>
      <c r="AN342" s="437"/>
      <c r="AO342" s="437"/>
      <c r="AP342" s="437"/>
      <c r="AQ342" s="437"/>
      <c r="AR342" s="437"/>
      <c r="AS342" s="437"/>
      <c r="AT342" s="437"/>
      <c r="AU342" s="437"/>
      <c r="AV342" s="437"/>
      <c r="AW342" s="437"/>
      <c r="AX342" s="436">
        <v>337</v>
      </c>
      <c r="AY342" s="490" t="s">
        <v>3907</v>
      </c>
      <c r="AZ342" s="490" t="s">
        <v>480</v>
      </c>
      <c r="BA342" s="490" t="s">
        <v>3908</v>
      </c>
      <c r="BB342" s="490" t="s">
        <v>3909</v>
      </c>
      <c r="BC342" s="490" t="s">
        <v>1653</v>
      </c>
      <c r="BD342" s="490" t="s">
        <v>3910</v>
      </c>
      <c r="BE342" s="490" t="s">
        <v>3911</v>
      </c>
      <c r="BF342" s="490" t="s">
        <v>3912</v>
      </c>
      <c r="BG342" s="490" t="s">
        <v>3902</v>
      </c>
      <c r="BH342" s="490" t="s">
        <v>3913</v>
      </c>
      <c r="BI342" s="490" t="s">
        <v>3914</v>
      </c>
      <c r="BJ342" s="490" t="s">
        <v>3915</v>
      </c>
      <c r="BK342" s="437"/>
      <c r="BL342" s="437"/>
      <c r="BM342" s="437"/>
      <c r="BN342" s="437"/>
      <c r="BO342" s="437"/>
      <c r="BP342" s="437"/>
    </row>
    <row r="343" spans="1:68">
      <c r="A343" s="437"/>
      <c r="B343" s="437"/>
      <c r="C343" s="437"/>
      <c r="D343" s="437"/>
      <c r="E343" s="437"/>
      <c r="F343" s="437"/>
      <c r="G343" s="437"/>
      <c r="H343" s="437"/>
      <c r="I343" s="437"/>
      <c r="J343" s="437"/>
      <c r="K343" s="437"/>
      <c r="L343" s="437"/>
      <c r="M343" s="437"/>
      <c r="N343" s="437"/>
      <c r="O343" s="437"/>
      <c r="P343" s="437"/>
      <c r="Q343" s="437"/>
      <c r="R343" s="437"/>
      <c r="S343" s="437"/>
      <c r="T343" s="437"/>
      <c r="U343" s="437"/>
      <c r="V343" s="437"/>
      <c r="W343" s="437"/>
      <c r="X343" s="437"/>
      <c r="Y343" s="437"/>
      <c r="Z343" s="437"/>
      <c r="AA343" s="437"/>
      <c r="AB343" s="437"/>
      <c r="AC343" s="437"/>
      <c r="AD343" s="437"/>
      <c r="AE343" s="437"/>
      <c r="AF343" s="437"/>
      <c r="AG343" s="437"/>
      <c r="AH343" s="437"/>
      <c r="AI343" s="437"/>
      <c r="AJ343" s="437"/>
      <c r="AK343" s="437"/>
      <c r="AL343" s="437"/>
      <c r="AM343" s="437"/>
      <c r="AN343" s="437"/>
      <c r="AO343" s="437"/>
      <c r="AP343" s="437"/>
      <c r="AQ343" s="437"/>
      <c r="AR343" s="437"/>
      <c r="AS343" s="437"/>
      <c r="AT343" s="437"/>
      <c r="AU343" s="437"/>
      <c r="AV343" s="437"/>
      <c r="AW343" s="437"/>
      <c r="AX343" s="436">
        <v>338</v>
      </c>
      <c r="AY343" s="490" t="s">
        <v>3916</v>
      </c>
      <c r="AZ343" s="490" t="s">
        <v>3917</v>
      </c>
      <c r="BA343" s="490" t="s">
        <v>3918</v>
      </c>
      <c r="BB343" s="490" t="s">
        <v>3919</v>
      </c>
      <c r="BC343" s="490" t="s">
        <v>3920</v>
      </c>
      <c r="BD343" s="490" t="s">
        <v>3921</v>
      </c>
      <c r="BE343" s="490" t="s">
        <v>3922</v>
      </c>
      <c r="BF343" s="490" t="s">
        <v>3923</v>
      </c>
      <c r="BG343" s="490" t="s">
        <v>3924</v>
      </c>
      <c r="BH343" s="490" t="s">
        <v>3925</v>
      </c>
      <c r="BI343" s="490" t="s">
        <v>3926</v>
      </c>
      <c r="BJ343" s="490" t="s">
        <v>3927</v>
      </c>
      <c r="BK343" s="437"/>
      <c r="BL343" s="437"/>
      <c r="BM343" s="437"/>
      <c r="BN343" s="437"/>
      <c r="BO343" s="437"/>
      <c r="BP343" s="437"/>
    </row>
    <row r="344" spans="1:68">
      <c r="A344" s="437"/>
      <c r="B344" s="437"/>
      <c r="C344" s="437"/>
      <c r="D344" s="437"/>
      <c r="E344" s="437"/>
      <c r="F344" s="437"/>
      <c r="G344" s="437"/>
      <c r="H344" s="437"/>
      <c r="I344" s="437"/>
      <c r="J344" s="437"/>
      <c r="K344" s="437"/>
      <c r="L344" s="437"/>
      <c r="M344" s="437"/>
      <c r="N344" s="437"/>
      <c r="O344" s="437"/>
      <c r="P344" s="437"/>
      <c r="Q344" s="437"/>
      <c r="R344" s="437"/>
      <c r="S344" s="437"/>
      <c r="T344" s="437"/>
      <c r="U344" s="437"/>
      <c r="V344" s="437"/>
      <c r="W344" s="437"/>
      <c r="X344" s="437"/>
      <c r="Y344" s="437"/>
      <c r="Z344" s="437"/>
      <c r="AA344" s="437"/>
      <c r="AB344" s="437"/>
      <c r="AC344" s="437"/>
      <c r="AD344" s="437"/>
      <c r="AE344" s="437"/>
      <c r="AF344" s="437"/>
      <c r="AG344" s="437"/>
      <c r="AH344" s="437"/>
      <c r="AI344" s="437"/>
      <c r="AJ344" s="437"/>
      <c r="AK344" s="437"/>
      <c r="AL344" s="437"/>
      <c r="AM344" s="437"/>
      <c r="AN344" s="437"/>
      <c r="AO344" s="437"/>
      <c r="AP344" s="437"/>
      <c r="AQ344" s="437"/>
      <c r="AR344" s="437"/>
      <c r="AS344" s="437"/>
      <c r="AT344" s="437"/>
      <c r="AU344" s="437"/>
      <c r="AV344" s="437"/>
      <c r="AW344" s="437"/>
      <c r="AX344" s="436">
        <v>339</v>
      </c>
      <c r="AY344" s="490" t="s">
        <v>3928</v>
      </c>
      <c r="AZ344" s="490" t="s">
        <v>3929</v>
      </c>
      <c r="BA344" s="490" t="s">
        <v>481</v>
      </c>
      <c r="BB344" s="490" t="s">
        <v>3930</v>
      </c>
      <c r="BC344" s="490" t="s">
        <v>3931</v>
      </c>
      <c r="BD344" s="490" t="s">
        <v>3932</v>
      </c>
      <c r="BE344" s="490" t="s">
        <v>3933</v>
      </c>
      <c r="BF344" s="490" t="s">
        <v>3934</v>
      </c>
      <c r="BG344" s="490" t="s">
        <v>3923</v>
      </c>
      <c r="BH344" s="490" t="s">
        <v>3935</v>
      </c>
      <c r="BI344" s="490" t="s">
        <v>3936</v>
      </c>
      <c r="BJ344" s="490" t="s">
        <v>1270</v>
      </c>
      <c r="BK344" s="437"/>
      <c r="BL344" s="437"/>
      <c r="BM344" s="437"/>
      <c r="BN344" s="437"/>
      <c r="BO344" s="437"/>
      <c r="BP344" s="437"/>
    </row>
    <row r="345" spans="1:68">
      <c r="A345" s="437"/>
      <c r="B345" s="437"/>
      <c r="C345" s="437"/>
      <c r="D345" s="437"/>
      <c r="E345" s="437"/>
      <c r="F345" s="437"/>
      <c r="G345" s="437"/>
      <c r="H345" s="437"/>
      <c r="I345" s="437"/>
      <c r="J345" s="437"/>
      <c r="K345" s="437"/>
      <c r="L345" s="437"/>
      <c r="M345" s="437"/>
      <c r="N345" s="437"/>
      <c r="O345" s="437"/>
      <c r="P345" s="437"/>
      <c r="Q345" s="437"/>
      <c r="R345" s="437"/>
      <c r="S345" s="437"/>
      <c r="T345" s="437"/>
      <c r="U345" s="437"/>
      <c r="V345" s="437"/>
      <c r="W345" s="437"/>
      <c r="X345" s="437"/>
      <c r="Y345" s="437"/>
      <c r="Z345" s="437"/>
      <c r="AA345" s="437"/>
      <c r="AB345" s="437"/>
      <c r="AC345" s="437"/>
      <c r="AD345" s="437"/>
      <c r="AE345" s="437"/>
      <c r="AF345" s="437"/>
      <c r="AG345" s="437"/>
      <c r="AH345" s="437"/>
      <c r="AI345" s="437"/>
      <c r="AJ345" s="437"/>
      <c r="AK345" s="437"/>
      <c r="AL345" s="437"/>
      <c r="AM345" s="437"/>
      <c r="AN345" s="437"/>
      <c r="AO345" s="437"/>
      <c r="AP345" s="437"/>
      <c r="AQ345" s="437"/>
      <c r="AR345" s="437"/>
      <c r="AS345" s="437"/>
      <c r="AT345" s="437"/>
      <c r="AU345" s="437"/>
      <c r="AV345" s="437"/>
      <c r="AW345" s="437"/>
      <c r="AX345" s="436">
        <v>340</v>
      </c>
      <c r="AY345" s="490" t="s">
        <v>3937</v>
      </c>
      <c r="AZ345" s="490" t="s">
        <v>3938</v>
      </c>
      <c r="BA345" s="490" t="s">
        <v>3939</v>
      </c>
      <c r="BB345" s="490" t="s">
        <v>3940</v>
      </c>
      <c r="BC345" s="490" t="s">
        <v>3941</v>
      </c>
      <c r="BD345" s="490" t="s">
        <v>3942</v>
      </c>
      <c r="BE345" s="490" t="s">
        <v>3943</v>
      </c>
      <c r="BF345" s="490" t="s">
        <v>3944</v>
      </c>
      <c r="BG345" s="490" t="s">
        <v>3934</v>
      </c>
      <c r="BH345" s="490" t="s">
        <v>3852</v>
      </c>
      <c r="BI345" s="490" t="s">
        <v>3945</v>
      </c>
      <c r="BJ345" s="490" t="s">
        <v>3946</v>
      </c>
      <c r="BK345" s="437"/>
      <c r="BL345" s="437"/>
      <c r="BM345" s="437"/>
      <c r="BN345" s="437"/>
      <c r="BO345" s="437"/>
      <c r="BP345" s="437"/>
    </row>
    <row r="346" spans="1:68">
      <c r="A346" s="437"/>
      <c r="B346" s="437"/>
      <c r="C346" s="437"/>
      <c r="D346" s="437"/>
      <c r="E346" s="437"/>
      <c r="F346" s="437"/>
      <c r="G346" s="437"/>
      <c r="H346" s="437"/>
      <c r="I346" s="437"/>
      <c r="J346" s="437"/>
      <c r="K346" s="437"/>
      <c r="L346" s="437"/>
      <c r="M346" s="437"/>
      <c r="N346" s="437"/>
      <c r="O346" s="437"/>
      <c r="P346" s="437"/>
      <c r="Q346" s="437"/>
      <c r="R346" s="437"/>
      <c r="S346" s="437"/>
      <c r="T346" s="437"/>
      <c r="U346" s="437"/>
      <c r="V346" s="437"/>
      <c r="W346" s="437"/>
      <c r="X346" s="437"/>
      <c r="Y346" s="437"/>
      <c r="Z346" s="437"/>
      <c r="AA346" s="437"/>
      <c r="AB346" s="437"/>
      <c r="AC346" s="437"/>
      <c r="AD346" s="437"/>
      <c r="AE346" s="437"/>
      <c r="AF346" s="437"/>
      <c r="AG346" s="437"/>
      <c r="AH346" s="437"/>
      <c r="AI346" s="437"/>
      <c r="AJ346" s="437"/>
      <c r="AK346" s="437"/>
      <c r="AL346" s="437"/>
      <c r="AM346" s="437"/>
      <c r="AN346" s="437"/>
      <c r="AO346" s="437"/>
      <c r="AP346" s="437"/>
      <c r="AQ346" s="437"/>
      <c r="AR346" s="437"/>
      <c r="AS346" s="437"/>
      <c r="AT346" s="437"/>
      <c r="AU346" s="437"/>
      <c r="AV346" s="437"/>
      <c r="AW346" s="437"/>
      <c r="AX346" s="436">
        <v>341</v>
      </c>
      <c r="AY346" s="490" t="s">
        <v>3947</v>
      </c>
      <c r="AZ346" s="490" t="s">
        <v>953</v>
      </c>
      <c r="BA346" s="490" t="s">
        <v>3948</v>
      </c>
      <c r="BB346" s="490" t="s">
        <v>3949</v>
      </c>
      <c r="BC346" s="490" t="s">
        <v>3950</v>
      </c>
      <c r="BD346" s="490" t="s">
        <v>3951</v>
      </c>
      <c r="BE346" s="490" t="s">
        <v>3952</v>
      </c>
      <c r="BF346" s="490" t="s">
        <v>3953</v>
      </c>
      <c r="BG346" s="490" t="s">
        <v>3944</v>
      </c>
      <c r="BH346" s="490" t="s">
        <v>3954</v>
      </c>
      <c r="BI346" s="490" t="s">
        <v>3955</v>
      </c>
      <c r="BJ346" s="490" t="s">
        <v>3956</v>
      </c>
      <c r="BK346" s="437"/>
      <c r="BL346" s="437"/>
      <c r="BM346" s="437"/>
      <c r="BN346" s="437"/>
      <c r="BO346" s="437"/>
      <c r="BP346" s="437"/>
    </row>
    <row r="347" spans="1:68">
      <c r="A347" s="437"/>
      <c r="B347" s="437"/>
      <c r="C347" s="437"/>
      <c r="D347" s="437"/>
      <c r="E347" s="437"/>
      <c r="F347" s="437"/>
      <c r="G347" s="437"/>
      <c r="H347" s="437"/>
      <c r="I347" s="437"/>
      <c r="J347" s="437"/>
      <c r="K347" s="437"/>
      <c r="L347" s="437"/>
      <c r="M347" s="437"/>
      <c r="N347" s="437"/>
      <c r="O347" s="437"/>
      <c r="P347" s="437"/>
      <c r="Q347" s="437"/>
      <c r="R347" s="437"/>
      <c r="S347" s="437"/>
      <c r="T347" s="437"/>
      <c r="U347" s="437"/>
      <c r="V347" s="437"/>
      <c r="W347" s="437"/>
      <c r="X347" s="437"/>
      <c r="Y347" s="437"/>
      <c r="Z347" s="437"/>
      <c r="AA347" s="437"/>
      <c r="AB347" s="437"/>
      <c r="AC347" s="437"/>
      <c r="AD347" s="437"/>
      <c r="AE347" s="437"/>
      <c r="AF347" s="437"/>
      <c r="AG347" s="437"/>
      <c r="AH347" s="437"/>
      <c r="AI347" s="437"/>
      <c r="AJ347" s="437"/>
      <c r="AK347" s="437"/>
      <c r="AL347" s="437"/>
      <c r="AM347" s="437"/>
      <c r="AN347" s="437"/>
      <c r="AO347" s="437"/>
      <c r="AP347" s="437"/>
      <c r="AQ347" s="437"/>
      <c r="AR347" s="437"/>
      <c r="AS347" s="437"/>
      <c r="AT347" s="437"/>
      <c r="AU347" s="437"/>
      <c r="AV347" s="437"/>
      <c r="AW347" s="437"/>
      <c r="AX347" s="436">
        <v>342</v>
      </c>
      <c r="AY347" s="490" t="s">
        <v>3957</v>
      </c>
      <c r="AZ347" s="490" t="s">
        <v>3958</v>
      </c>
      <c r="BA347" s="490" t="s">
        <v>3959</v>
      </c>
      <c r="BB347" s="490" t="s">
        <v>3960</v>
      </c>
      <c r="BC347" s="490" t="s">
        <v>3961</v>
      </c>
      <c r="BD347" s="490" t="s">
        <v>3962</v>
      </c>
      <c r="BE347" s="490" t="s">
        <v>3963</v>
      </c>
      <c r="BF347" s="490" t="s">
        <v>3964</v>
      </c>
      <c r="BG347" s="490" t="s">
        <v>3965</v>
      </c>
      <c r="BH347" s="490" t="s">
        <v>3966</v>
      </c>
      <c r="BI347" s="490" t="s">
        <v>3967</v>
      </c>
      <c r="BJ347" s="490" t="s">
        <v>3968</v>
      </c>
      <c r="BK347" s="437"/>
      <c r="BL347" s="437"/>
      <c r="BM347" s="437"/>
      <c r="BN347" s="437"/>
      <c r="BO347" s="437"/>
      <c r="BP347" s="437"/>
    </row>
    <row r="348" spans="1:68">
      <c r="A348" s="437"/>
      <c r="B348" s="437"/>
      <c r="C348" s="437"/>
      <c r="D348" s="437"/>
      <c r="E348" s="437"/>
      <c r="F348" s="437"/>
      <c r="G348" s="437"/>
      <c r="H348" s="437"/>
      <c r="I348" s="437"/>
      <c r="J348" s="437"/>
      <c r="K348" s="437"/>
      <c r="L348" s="437"/>
      <c r="M348" s="437"/>
      <c r="N348" s="437"/>
      <c r="O348" s="437"/>
      <c r="P348" s="437"/>
      <c r="Q348" s="437"/>
      <c r="R348" s="437"/>
      <c r="S348" s="437"/>
      <c r="T348" s="437"/>
      <c r="U348" s="437"/>
      <c r="V348" s="437"/>
      <c r="W348" s="437"/>
      <c r="X348" s="437"/>
      <c r="Y348" s="437"/>
      <c r="Z348" s="437"/>
      <c r="AA348" s="437"/>
      <c r="AB348" s="437"/>
      <c r="AC348" s="437"/>
      <c r="AD348" s="437"/>
      <c r="AE348" s="437"/>
      <c r="AF348" s="437"/>
      <c r="AG348" s="437"/>
      <c r="AH348" s="437"/>
      <c r="AI348" s="437"/>
      <c r="AJ348" s="437"/>
      <c r="AK348" s="437"/>
      <c r="AL348" s="437"/>
      <c r="AM348" s="437"/>
      <c r="AN348" s="437"/>
      <c r="AO348" s="437"/>
      <c r="AP348" s="437"/>
      <c r="AQ348" s="437"/>
      <c r="AR348" s="437"/>
      <c r="AS348" s="437"/>
      <c r="AT348" s="437"/>
      <c r="AU348" s="437"/>
      <c r="AV348" s="437"/>
      <c r="AW348" s="437"/>
      <c r="AX348" s="436">
        <v>343</v>
      </c>
      <c r="AY348" s="490" t="s">
        <v>3969</v>
      </c>
      <c r="AZ348" s="490" t="s">
        <v>974</v>
      </c>
      <c r="BA348" s="490" t="s">
        <v>3970</v>
      </c>
      <c r="BB348" s="490" t="s">
        <v>3971</v>
      </c>
      <c r="BC348" s="490" t="s">
        <v>3972</v>
      </c>
      <c r="BD348" s="490" t="s">
        <v>3973</v>
      </c>
      <c r="BE348" s="490" t="s">
        <v>3974</v>
      </c>
      <c r="BF348" s="490" t="s">
        <v>3975</v>
      </c>
      <c r="BG348" s="490" t="s">
        <v>3964</v>
      </c>
      <c r="BH348" s="490" t="s">
        <v>3976</v>
      </c>
      <c r="BI348" s="490" t="s">
        <v>3977</v>
      </c>
      <c r="BJ348" s="490" t="s">
        <v>3978</v>
      </c>
      <c r="BK348" s="437"/>
      <c r="BL348" s="437"/>
      <c r="BM348" s="437"/>
      <c r="BN348" s="437"/>
      <c r="BO348" s="437"/>
      <c r="BP348" s="437"/>
    </row>
    <row r="349" spans="1:68">
      <c r="A349" s="437"/>
      <c r="B349" s="437"/>
      <c r="C349" s="437"/>
      <c r="D349" s="437"/>
      <c r="E349" s="437"/>
      <c r="F349" s="437"/>
      <c r="G349" s="437"/>
      <c r="H349" s="437"/>
      <c r="I349" s="437"/>
      <c r="J349" s="437"/>
      <c r="K349" s="437"/>
      <c r="L349" s="437"/>
      <c r="M349" s="437"/>
      <c r="N349" s="437"/>
      <c r="O349" s="437"/>
      <c r="P349" s="437"/>
      <c r="Q349" s="437"/>
      <c r="R349" s="437"/>
      <c r="S349" s="437"/>
      <c r="T349" s="437"/>
      <c r="U349" s="437"/>
      <c r="V349" s="437"/>
      <c r="W349" s="437"/>
      <c r="X349" s="437"/>
      <c r="Y349" s="437"/>
      <c r="Z349" s="437"/>
      <c r="AA349" s="437"/>
      <c r="AB349" s="437"/>
      <c r="AC349" s="437"/>
      <c r="AD349" s="437"/>
      <c r="AE349" s="437"/>
      <c r="AF349" s="437"/>
      <c r="AG349" s="437"/>
      <c r="AH349" s="437"/>
      <c r="AI349" s="437"/>
      <c r="AJ349" s="437"/>
      <c r="AK349" s="437"/>
      <c r="AL349" s="437"/>
      <c r="AM349" s="437"/>
      <c r="AN349" s="437"/>
      <c r="AO349" s="437"/>
      <c r="AP349" s="437"/>
      <c r="AQ349" s="437"/>
      <c r="AR349" s="437"/>
      <c r="AS349" s="437"/>
      <c r="AT349" s="437"/>
      <c r="AU349" s="437"/>
      <c r="AV349" s="437"/>
      <c r="AW349" s="437"/>
      <c r="AX349" s="436">
        <v>344</v>
      </c>
      <c r="AY349" s="490" t="s">
        <v>3979</v>
      </c>
      <c r="AZ349" s="490" t="s">
        <v>985</v>
      </c>
      <c r="BA349" s="490" t="s">
        <v>3980</v>
      </c>
      <c r="BB349" s="490" t="s">
        <v>482</v>
      </c>
      <c r="BC349" s="490" t="s">
        <v>3981</v>
      </c>
      <c r="BD349" s="490" t="s">
        <v>3982</v>
      </c>
      <c r="BE349" s="490" t="s">
        <v>3983</v>
      </c>
      <c r="BF349" s="490" t="s">
        <v>3984</v>
      </c>
      <c r="BG349" s="490" t="s">
        <v>3985</v>
      </c>
      <c r="BH349" s="490" t="s">
        <v>3986</v>
      </c>
      <c r="BI349" s="490" t="s">
        <v>3987</v>
      </c>
      <c r="BJ349" s="490" t="s">
        <v>3627</v>
      </c>
      <c r="BK349" s="437"/>
      <c r="BL349" s="437"/>
      <c r="BM349" s="437"/>
      <c r="BN349" s="437"/>
      <c r="BO349" s="437"/>
      <c r="BP349" s="437"/>
    </row>
    <row r="350" spans="1:68">
      <c r="A350" s="437"/>
      <c r="B350" s="437"/>
      <c r="C350" s="437"/>
      <c r="D350" s="437"/>
      <c r="E350" s="437"/>
      <c r="F350" s="437"/>
      <c r="G350" s="437"/>
      <c r="H350" s="437"/>
      <c r="I350" s="437"/>
      <c r="J350" s="437"/>
      <c r="K350" s="437"/>
      <c r="L350" s="437"/>
      <c r="M350" s="437"/>
      <c r="N350" s="437"/>
      <c r="O350" s="437"/>
      <c r="P350" s="437"/>
      <c r="Q350" s="437"/>
      <c r="R350" s="437"/>
      <c r="S350" s="437"/>
      <c r="T350" s="437"/>
      <c r="U350" s="437"/>
      <c r="V350" s="437"/>
      <c r="W350" s="437"/>
      <c r="X350" s="437"/>
      <c r="Y350" s="437"/>
      <c r="Z350" s="437"/>
      <c r="AA350" s="437"/>
      <c r="AB350" s="437"/>
      <c r="AC350" s="437"/>
      <c r="AD350" s="437"/>
      <c r="AE350" s="437"/>
      <c r="AF350" s="437"/>
      <c r="AG350" s="437"/>
      <c r="AH350" s="437"/>
      <c r="AI350" s="437"/>
      <c r="AJ350" s="437"/>
      <c r="AK350" s="437"/>
      <c r="AL350" s="437"/>
      <c r="AM350" s="437"/>
      <c r="AN350" s="437"/>
      <c r="AO350" s="437"/>
      <c r="AP350" s="437"/>
      <c r="AQ350" s="437"/>
      <c r="AR350" s="437"/>
      <c r="AS350" s="437"/>
      <c r="AT350" s="437"/>
      <c r="AU350" s="437"/>
      <c r="AV350" s="437"/>
      <c r="AW350" s="437"/>
      <c r="AX350" s="436">
        <v>345</v>
      </c>
      <c r="AY350" s="490" t="s">
        <v>3988</v>
      </c>
      <c r="AZ350" s="490" t="s">
        <v>3989</v>
      </c>
      <c r="BA350" s="490" t="s">
        <v>996</v>
      </c>
      <c r="BB350" s="490" t="s">
        <v>3897</v>
      </c>
      <c r="BC350" s="490" t="s">
        <v>3990</v>
      </c>
      <c r="BD350" s="490" t="s">
        <v>3991</v>
      </c>
      <c r="BE350" s="490" t="s">
        <v>3992</v>
      </c>
      <c r="BF350" s="490" t="s">
        <v>3993</v>
      </c>
      <c r="BG350" s="490" t="s">
        <v>3994</v>
      </c>
      <c r="BH350" s="490" t="s">
        <v>3995</v>
      </c>
      <c r="BI350" s="490" t="s">
        <v>3996</v>
      </c>
      <c r="BJ350" s="490" t="s">
        <v>3997</v>
      </c>
      <c r="BK350" s="437"/>
      <c r="BL350" s="437"/>
      <c r="BM350" s="437"/>
      <c r="BN350" s="437"/>
      <c r="BO350" s="437"/>
      <c r="BP350" s="437"/>
    </row>
    <row r="351" spans="1:68">
      <c r="A351" s="437"/>
      <c r="B351" s="437"/>
      <c r="C351" s="437"/>
      <c r="D351" s="437"/>
      <c r="E351" s="437"/>
      <c r="F351" s="437"/>
      <c r="G351" s="437"/>
      <c r="H351" s="437"/>
      <c r="I351" s="437"/>
      <c r="J351" s="437"/>
      <c r="K351" s="437"/>
      <c r="L351" s="437"/>
      <c r="M351" s="437"/>
      <c r="N351" s="437"/>
      <c r="O351" s="437"/>
      <c r="P351" s="437"/>
      <c r="Q351" s="437"/>
      <c r="R351" s="437"/>
      <c r="S351" s="437"/>
      <c r="T351" s="437"/>
      <c r="U351" s="437"/>
      <c r="V351" s="437"/>
      <c r="W351" s="437"/>
      <c r="X351" s="437"/>
      <c r="Y351" s="437"/>
      <c r="Z351" s="437"/>
      <c r="AA351" s="437"/>
      <c r="AB351" s="437"/>
      <c r="AC351" s="437"/>
      <c r="AD351" s="437"/>
      <c r="AE351" s="437"/>
      <c r="AF351" s="437"/>
      <c r="AG351" s="437"/>
      <c r="AH351" s="437"/>
      <c r="AI351" s="437"/>
      <c r="AJ351" s="437"/>
      <c r="AK351" s="437"/>
      <c r="AL351" s="437"/>
      <c r="AM351" s="437"/>
      <c r="AN351" s="437"/>
      <c r="AO351" s="437"/>
      <c r="AP351" s="437"/>
      <c r="AQ351" s="437"/>
      <c r="AR351" s="437"/>
      <c r="AS351" s="437"/>
      <c r="AT351" s="437"/>
      <c r="AU351" s="437"/>
      <c r="AV351" s="437"/>
      <c r="AW351" s="437"/>
      <c r="AX351" s="436">
        <v>346</v>
      </c>
      <c r="AY351" s="490" t="s">
        <v>985</v>
      </c>
      <c r="AZ351" s="490" t="s">
        <v>3998</v>
      </c>
      <c r="BA351" s="490" t="s">
        <v>3999</v>
      </c>
      <c r="BB351" s="490" t="s">
        <v>4000</v>
      </c>
      <c r="BC351" s="490" t="s">
        <v>1006</v>
      </c>
      <c r="BD351" s="490" t="s">
        <v>4001</v>
      </c>
      <c r="BE351" s="490" t="s">
        <v>4002</v>
      </c>
      <c r="BF351" s="490" t="s">
        <v>4003</v>
      </c>
      <c r="BG351" s="490" t="s">
        <v>3993</v>
      </c>
      <c r="BH351" s="490" t="s">
        <v>4004</v>
      </c>
      <c r="BI351" s="490" t="s">
        <v>4005</v>
      </c>
      <c r="BJ351" s="490" t="s">
        <v>3893</v>
      </c>
      <c r="BK351" s="437"/>
      <c r="BL351" s="437"/>
      <c r="BM351" s="437"/>
      <c r="BN351" s="437"/>
      <c r="BO351" s="437"/>
      <c r="BP351" s="437"/>
    </row>
    <row r="352" spans="1:68">
      <c r="A352" s="437"/>
      <c r="B352" s="437"/>
      <c r="C352" s="437"/>
      <c r="D352" s="437"/>
      <c r="E352" s="437"/>
      <c r="F352" s="437"/>
      <c r="G352" s="437"/>
      <c r="H352" s="437"/>
      <c r="I352" s="437"/>
      <c r="J352" s="437"/>
      <c r="K352" s="437"/>
      <c r="L352" s="437"/>
      <c r="M352" s="437"/>
      <c r="N352" s="437"/>
      <c r="O352" s="437"/>
      <c r="P352" s="437"/>
      <c r="Q352" s="437"/>
      <c r="R352" s="437"/>
      <c r="S352" s="437"/>
      <c r="T352" s="437"/>
      <c r="U352" s="437"/>
      <c r="V352" s="437"/>
      <c r="W352" s="437"/>
      <c r="X352" s="437"/>
      <c r="Y352" s="437"/>
      <c r="Z352" s="437"/>
      <c r="AA352" s="437"/>
      <c r="AB352" s="437"/>
      <c r="AC352" s="437"/>
      <c r="AD352" s="437"/>
      <c r="AE352" s="437"/>
      <c r="AF352" s="437"/>
      <c r="AG352" s="437"/>
      <c r="AH352" s="437"/>
      <c r="AI352" s="437"/>
      <c r="AJ352" s="437"/>
      <c r="AK352" s="437"/>
      <c r="AL352" s="437"/>
      <c r="AM352" s="437"/>
      <c r="AN352" s="437"/>
      <c r="AO352" s="437"/>
      <c r="AP352" s="437"/>
      <c r="AQ352" s="437"/>
      <c r="AR352" s="437"/>
      <c r="AS352" s="437"/>
      <c r="AT352" s="437"/>
      <c r="AU352" s="437"/>
      <c r="AV352" s="437"/>
      <c r="AW352" s="437"/>
      <c r="AX352" s="436">
        <v>347</v>
      </c>
      <c r="AY352" s="490" t="s">
        <v>4006</v>
      </c>
      <c r="AZ352" s="490" t="s">
        <v>483</v>
      </c>
      <c r="BA352" s="490" t="s">
        <v>4007</v>
      </c>
      <c r="BB352" s="490" t="s">
        <v>3918</v>
      </c>
      <c r="BC352" s="490" t="s">
        <v>4008</v>
      </c>
      <c r="BD352" s="490" t="s">
        <v>4009</v>
      </c>
      <c r="BE352" s="490" t="s">
        <v>4010</v>
      </c>
      <c r="BF352" s="490" t="s">
        <v>4011</v>
      </c>
      <c r="BG352" s="490" t="s">
        <v>4012</v>
      </c>
      <c r="BH352" s="490" t="s">
        <v>4013</v>
      </c>
      <c r="BI352" s="490" t="s">
        <v>4014</v>
      </c>
      <c r="BJ352" s="490" t="s">
        <v>4015</v>
      </c>
      <c r="BK352" s="437"/>
      <c r="BL352" s="437"/>
      <c r="BM352" s="437"/>
      <c r="BN352" s="437"/>
      <c r="BO352" s="437"/>
      <c r="BP352" s="437"/>
    </row>
    <row r="353" spans="1:68">
      <c r="A353" s="437"/>
      <c r="B353" s="437"/>
      <c r="C353" s="437"/>
      <c r="D353" s="437"/>
      <c r="E353" s="437"/>
      <c r="F353" s="437"/>
      <c r="G353" s="437"/>
      <c r="H353" s="437"/>
      <c r="I353" s="437"/>
      <c r="J353" s="437"/>
      <c r="K353" s="437"/>
      <c r="L353" s="437"/>
      <c r="M353" s="437"/>
      <c r="N353" s="437"/>
      <c r="O353" s="437"/>
      <c r="P353" s="437"/>
      <c r="Q353" s="437"/>
      <c r="R353" s="437"/>
      <c r="S353" s="437"/>
      <c r="T353" s="437"/>
      <c r="U353" s="437"/>
      <c r="V353" s="437"/>
      <c r="W353" s="437"/>
      <c r="X353" s="437"/>
      <c r="Y353" s="437"/>
      <c r="Z353" s="437"/>
      <c r="AA353" s="437"/>
      <c r="AB353" s="437"/>
      <c r="AC353" s="437"/>
      <c r="AD353" s="437"/>
      <c r="AE353" s="437"/>
      <c r="AF353" s="437"/>
      <c r="AG353" s="437"/>
      <c r="AH353" s="437"/>
      <c r="AI353" s="437"/>
      <c r="AJ353" s="437"/>
      <c r="AK353" s="437"/>
      <c r="AL353" s="437"/>
      <c r="AM353" s="437"/>
      <c r="AN353" s="437"/>
      <c r="AO353" s="437"/>
      <c r="AP353" s="437"/>
      <c r="AQ353" s="437"/>
      <c r="AR353" s="437"/>
      <c r="AS353" s="437"/>
      <c r="AT353" s="437"/>
      <c r="AU353" s="437"/>
      <c r="AV353" s="437"/>
      <c r="AW353" s="437"/>
      <c r="AX353" s="436">
        <v>348</v>
      </c>
      <c r="AY353" s="490" t="s">
        <v>4016</v>
      </c>
      <c r="AZ353" s="490" t="s">
        <v>2466</v>
      </c>
      <c r="BA353" s="490" t="s">
        <v>484</v>
      </c>
      <c r="BB353" s="490" t="s">
        <v>481</v>
      </c>
      <c r="BC353" s="490" t="s">
        <v>4017</v>
      </c>
      <c r="BD353" s="490" t="s">
        <v>4018</v>
      </c>
      <c r="BE353" s="490" t="s">
        <v>4019</v>
      </c>
      <c r="BF353" s="490" t="s">
        <v>4020</v>
      </c>
      <c r="BG353" s="490" t="s">
        <v>4011</v>
      </c>
      <c r="BH353" s="490" t="s">
        <v>4021</v>
      </c>
      <c r="BI353" s="490" t="s">
        <v>1778</v>
      </c>
      <c r="BJ353" s="490" t="s">
        <v>1758</v>
      </c>
      <c r="BK353" s="437"/>
      <c r="BL353" s="437"/>
      <c r="BM353" s="437"/>
      <c r="BN353" s="437"/>
      <c r="BO353" s="437"/>
      <c r="BP353" s="437"/>
    </row>
    <row r="354" spans="1:68">
      <c r="A354" s="437"/>
      <c r="B354" s="437"/>
      <c r="C354" s="437"/>
      <c r="D354" s="437"/>
      <c r="E354" s="437"/>
      <c r="F354" s="437"/>
      <c r="G354" s="437"/>
      <c r="H354" s="437"/>
      <c r="I354" s="437"/>
      <c r="J354" s="437"/>
      <c r="K354" s="437"/>
      <c r="L354" s="437"/>
      <c r="M354" s="437"/>
      <c r="N354" s="437"/>
      <c r="O354" s="437"/>
      <c r="P354" s="437"/>
      <c r="Q354" s="437"/>
      <c r="R354" s="437"/>
      <c r="S354" s="437"/>
      <c r="T354" s="437"/>
      <c r="U354" s="437"/>
      <c r="V354" s="437"/>
      <c r="W354" s="437"/>
      <c r="X354" s="437"/>
      <c r="Y354" s="437"/>
      <c r="Z354" s="437"/>
      <c r="AA354" s="437"/>
      <c r="AB354" s="437"/>
      <c r="AC354" s="437"/>
      <c r="AD354" s="437"/>
      <c r="AE354" s="437"/>
      <c r="AF354" s="437"/>
      <c r="AG354" s="437"/>
      <c r="AH354" s="437"/>
      <c r="AI354" s="437"/>
      <c r="AJ354" s="437"/>
      <c r="AK354" s="437"/>
      <c r="AL354" s="437"/>
      <c r="AM354" s="437"/>
      <c r="AN354" s="437"/>
      <c r="AO354" s="437"/>
      <c r="AP354" s="437"/>
      <c r="AQ354" s="437"/>
      <c r="AR354" s="437"/>
      <c r="AS354" s="437"/>
      <c r="AT354" s="437"/>
      <c r="AU354" s="437"/>
      <c r="AV354" s="437"/>
      <c r="AW354" s="437"/>
      <c r="AX354" s="436">
        <v>349</v>
      </c>
      <c r="AY354" s="490" t="s">
        <v>4022</v>
      </c>
      <c r="AZ354" s="490" t="s">
        <v>4023</v>
      </c>
      <c r="BA354" s="490" t="s">
        <v>2476</v>
      </c>
      <c r="BB354" s="490" t="s">
        <v>4024</v>
      </c>
      <c r="BC354" s="490" t="s">
        <v>4025</v>
      </c>
      <c r="BD354" s="490" t="s">
        <v>4026</v>
      </c>
      <c r="BE354" s="490" t="s">
        <v>4027</v>
      </c>
      <c r="BF354" s="490" t="s">
        <v>4028</v>
      </c>
      <c r="BG354" s="490" t="s">
        <v>4029</v>
      </c>
      <c r="BH354" s="490" t="s">
        <v>4030</v>
      </c>
      <c r="BI354" s="490" t="s">
        <v>1789</v>
      </c>
      <c r="BJ354" s="490" t="s">
        <v>3926</v>
      </c>
      <c r="BK354" s="437"/>
      <c r="BL354" s="437"/>
      <c r="BM354" s="437"/>
      <c r="BN354" s="437"/>
      <c r="BO354" s="437"/>
      <c r="BP354" s="437"/>
    </row>
    <row r="355" spans="1:68">
      <c r="A355" s="437"/>
      <c r="B355" s="437"/>
      <c r="C355" s="437"/>
      <c r="D355" s="437"/>
      <c r="E355" s="437"/>
      <c r="F355" s="437"/>
      <c r="G355" s="437"/>
      <c r="H355" s="437"/>
      <c r="I355" s="437"/>
      <c r="J355" s="437"/>
      <c r="K355" s="437"/>
      <c r="L355" s="437"/>
      <c r="M355" s="437"/>
      <c r="N355" s="437"/>
      <c r="O355" s="437"/>
      <c r="P355" s="437"/>
      <c r="Q355" s="437"/>
      <c r="R355" s="437"/>
      <c r="S355" s="437"/>
      <c r="T355" s="437"/>
      <c r="U355" s="437"/>
      <c r="V355" s="437"/>
      <c r="W355" s="437"/>
      <c r="X355" s="437"/>
      <c r="Y355" s="437"/>
      <c r="Z355" s="437"/>
      <c r="AA355" s="437"/>
      <c r="AB355" s="437"/>
      <c r="AC355" s="437"/>
      <c r="AD355" s="437"/>
      <c r="AE355" s="437"/>
      <c r="AF355" s="437"/>
      <c r="AG355" s="437"/>
      <c r="AH355" s="437"/>
      <c r="AI355" s="437"/>
      <c r="AJ355" s="437"/>
      <c r="AK355" s="437"/>
      <c r="AL355" s="437"/>
      <c r="AM355" s="437"/>
      <c r="AN355" s="437"/>
      <c r="AO355" s="437"/>
      <c r="AP355" s="437"/>
      <c r="AQ355" s="437"/>
      <c r="AR355" s="437"/>
      <c r="AS355" s="437"/>
      <c r="AT355" s="437"/>
      <c r="AU355" s="437"/>
      <c r="AV355" s="437"/>
      <c r="AW355" s="437"/>
      <c r="AX355" s="436">
        <v>350</v>
      </c>
      <c r="AY355" s="490" t="s">
        <v>2484</v>
      </c>
      <c r="AZ355" s="490" t="s">
        <v>4031</v>
      </c>
      <c r="BA355" s="490" t="s">
        <v>4032</v>
      </c>
      <c r="BB355" s="490" t="s">
        <v>4033</v>
      </c>
      <c r="BC355" s="490" t="s">
        <v>4034</v>
      </c>
      <c r="BD355" s="490" t="s">
        <v>4035</v>
      </c>
      <c r="BE355" s="490" t="s">
        <v>4036</v>
      </c>
      <c r="BF355" s="490" t="s">
        <v>4037</v>
      </c>
      <c r="BG355" s="490" t="s">
        <v>4028</v>
      </c>
      <c r="BH355" s="490" t="s">
        <v>4038</v>
      </c>
      <c r="BI355" s="490" t="s">
        <v>4039</v>
      </c>
      <c r="BJ355" s="490" t="s">
        <v>1779</v>
      </c>
      <c r="BK355" s="437"/>
      <c r="BL355" s="437"/>
      <c r="BM355" s="437"/>
      <c r="BN355" s="437"/>
      <c r="BO355" s="437"/>
      <c r="BP355" s="437"/>
    </row>
    <row r="356" spans="1:68">
      <c r="A356" s="437"/>
      <c r="B356" s="437"/>
      <c r="C356" s="437"/>
      <c r="D356" s="437"/>
      <c r="E356" s="437"/>
      <c r="F356" s="437"/>
      <c r="G356" s="437"/>
      <c r="H356" s="437"/>
      <c r="I356" s="437"/>
      <c r="J356" s="437"/>
      <c r="K356" s="437"/>
      <c r="L356" s="437"/>
      <c r="M356" s="437"/>
      <c r="N356" s="437"/>
      <c r="O356" s="437"/>
      <c r="P356" s="437"/>
      <c r="Q356" s="437"/>
      <c r="R356" s="437"/>
      <c r="S356" s="437"/>
      <c r="T356" s="437"/>
      <c r="U356" s="437"/>
      <c r="V356" s="437"/>
      <c r="W356" s="437"/>
      <c r="X356" s="437"/>
      <c r="Y356" s="437"/>
      <c r="Z356" s="437"/>
      <c r="AA356" s="437"/>
      <c r="AB356" s="437"/>
      <c r="AC356" s="437"/>
      <c r="AD356" s="437"/>
      <c r="AE356" s="437"/>
      <c r="AF356" s="437"/>
      <c r="AG356" s="437"/>
      <c r="AH356" s="437"/>
      <c r="AI356" s="437"/>
      <c r="AJ356" s="437"/>
      <c r="AK356" s="437"/>
      <c r="AL356" s="437"/>
      <c r="AM356" s="437"/>
      <c r="AN356" s="437"/>
      <c r="AO356" s="437"/>
      <c r="AP356" s="437"/>
      <c r="AQ356" s="437"/>
      <c r="AR356" s="437"/>
      <c r="AS356" s="437"/>
      <c r="AT356" s="437"/>
      <c r="AU356" s="437"/>
      <c r="AV356" s="437"/>
      <c r="AW356" s="437"/>
      <c r="AX356" s="436">
        <v>351</v>
      </c>
      <c r="AY356" s="490" t="s">
        <v>4040</v>
      </c>
      <c r="AZ356" s="490" t="s">
        <v>1057</v>
      </c>
      <c r="BA356" s="490" t="s">
        <v>4041</v>
      </c>
      <c r="BB356" s="490" t="s">
        <v>4042</v>
      </c>
      <c r="BC356" s="490" t="s">
        <v>4043</v>
      </c>
      <c r="BD356" s="490" t="s">
        <v>3941</v>
      </c>
      <c r="BE356" s="490" t="s">
        <v>4044</v>
      </c>
      <c r="BF356" s="490" t="s">
        <v>4045</v>
      </c>
      <c r="BG356" s="490" t="s">
        <v>4046</v>
      </c>
      <c r="BH356" s="490" t="s">
        <v>4047</v>
      </c>
      <c r="BI356" s="490" t="s">
        <v>4048</v>
      </c>
      <c r="BJ356" s="490" t="s">
        <v>1790</v>
      </c>
      <c r="BK356" s="437"/>
      <c r="BL356" s="437"/>
      <c r="BM356" s="437"/>
      <c r="BN356" s="437"/>
      <c r="BO356" s="437"/>
      <c r="BP356" s="437"/>
    </row>
    <row r="357" spans="1:68">
      <c r="A357" s="437"/>
      <c r="B357" s="437"/>
      <c r="C357" s="437"/>
      <c r="D357" s="437"/>
      <c r="E357" s="437"/>
      <c r="F357" s="437"/>
      <c r="G357" s="437"/>
      <c r="H357" s="437"/>
      <c r="I357" s="437"/>
      <c r="J357" s="437"/>
      <c r="K357" s="437"/>
      <c r="L357" s="437"/>
      <c r="M357" s="437"/>
      <c r="N357" s="437"/>
      <c r="O357" s="437"/>
      <c r="P357" s="437"/>
      <c r="Q357" s="437"/>
      <c r="R357" s="437"/>
      <c r="S357" s="437"/>
      <c r="T357" s="437"/>
      <c r="U357" s="437"/>
      <c r="V357" s="437"/>
      <c r="W357" s="437"/>
      <c r="X357" s="437"/>
      <c r="Y357" s="437"/>
      <c r="Z357" s="437"/>
      <c r="AA357" s="437"/>
      <c r="AB357" s="437"/>
      <c r="AC357" s="437"/>
      <c r="AD357" s="437"/>
      <c r="AE357" s="437"/>
      <c r="AF357" s="437"/>
      <c r="AG357" s="437"/>
      <c r="AH357" s="437"/>
      <c r="AI357" s="437"/>
      <c r="AJ357" s="437"/>
      <c r="AK357" s="437"/>
      <c r="AL357" s="437"/>
      <c r="AM357" s="437"/>
      <c r="AN357" s="437"/>
      <c r="AO357" s="437"/>
      <c r="AP357" s="437"/>
      <c r="AQ357" s="437"/>
      <c r="AR357" s="437"/>
      <c r="AS357" s="437"/>
      <c r="AT357" s="437"/>
      <c r="AU357" s="437"/>
      <c r="AV357" s="437"/>
      <c r="AW357" s="437"/>
      <c r="AX357" s="436">
        <v>352</v>
      </c>
      <c r="AY357" s="490" t="s">
        <v>4049</v>
      </c>
      <c r="AZ357" s="490" t="s">
        <v>1067</v>
      </c>
      <c r="BA357" s="490" t="s">
        <v>4050</v>
      </c>
      <c r="BB357" s="490" t="s">
        <v>2455</v>
      </c>
      <c r="BC357" s="490" t="s">
        <v>4051</v>
      </c>
      <c r="BD357" s="490" t="s">
        <v>4052</v>
      </c>
      <c r="BE357" s="490" t="s">
        <v>4053</v>
      </c>
      <c r="BF357" s="490" t="s">
        <v>4054</v>
      </c>
      <c r="BG357" s="490" t="s">
        <v>4055</v>
      </c>
      <c r="BH357" s="490" t="s">
        <v>4056</v>
      </c>
      <c r="BI357" s="490" t="s">
        <v>4057</v>
      </c>
      <c r="BJ357" s="490" t="s">
        <v>4058</v>
      </c>
      <c r="BK357" s="437"/>
      <c r="BL357" s="437"/>
      <c r="BM357" s="437"/>
      <c r="BN357" s="437"/>
      <c r="BO357" s="437"/>
      <c r="BP357" s="437"/>
    </row>
    <row r="358" spans="1:68">
      <c r="A358" s="437"/>
      <c r="B358" s="437"/>
      <c r="C358" s="437"/>
      <c r="D358" s="437"/>
      <c r="E358" s="437"/>
      <c r="F358" s="437"/>
      <c r="G358" s="437"/>
      <c r="H358" s="437"/>
      <c r="I358" s="437"/>
      <c r="J358" s="437"/>
      <c r="K358" s="437"/>
      <c r="L358" s="437"/>
      <c r="M358" s="437"/>
      <c r="N358" s="437"/>
      <c r="O358" s="437"/>
      <c r="P358" s="437"/>
      <c r="Q358" s="437"/>
      <c r="R358" s="437"/>
      <c r="S358" s="437"/>
      <c r="T358" s="437"/>
      <c r="U358" s="437"/>
      <c r="V358" s="437"/>
      <c r="W358" s="437"/>
      <c r="X358" s="437"/>
      <c r="Y358" s="437"/>
      <c r="Z358" s="437"/>
      <c r="AA358" s="437"/>
      <c r="AB358" s="437"/>
      <c r="AC358" s="437"/>
      <c r="AD358" s="437"/>
      <c r="AE358" s="437"/>
      <c r="AF358" s="437"/>
      <c r="AG358" s="437"/>
      <c r="AH358" s="437"/>
      <c r="AI358" s="437"/>
      <c r="AJ358" s="437"/>
      <c r="AK358" s="437"/>
      <c r="AL358" s="437"/>
      <c r="AM358" s="437"/>
      <c r="AN358" s="437"/>
      <c r="AO358" s="437"/>
      <c r="AP358" s="437"/>
      <c r="AQ358" s="437"/>
      <c r="AR358" s="437"/>
      <c r="AS358" s="437"/>
      <c r="AT358" s="437"/>
      <c r="AU358" s="437"/>
      <c r="AV358" s="437"/>
      <c r="AW358" s="437"/>
      <c r="AX358" s="436">
        <v>353</v>
      </c>
      <c r="AY358" s="490" t="s">
        <v>4059</v>
      </c>
      <c r="AZ358" s="490" t="s">
        <v>4060</v>
      </c>
      <c r="BA358" s="490" t="s">
        <v>1079</v>
      </c>
      <c r="BB358" s="490" t="s">
        <v>4061</v>
      </c>
      <c r="BC358" s="490" t="s">
        <v>4062</v>
      </c>
      <c r="BD358" s="490" t="s">
        <v>4063</v>
      </c>
      <c r="BE358" s="490" t="s">
        <v>485</v>
      </c>
      <c r="BF358" s="490" t="s">
        <v>4064</v>
      </c>
      <c r="BG358" s="490" t="s">
        <v>4054</v>
      </c>
      <c r="BH358" s="490" t="s">
        <v>4065</v>
      </c>
      <c r="BI358" s="490" t="s">
        <v>4066</v>
      </c>
      <c r="BJ358" s="490" t="s">
        <v>3967</v>
      </c>
      <c r="BK358" s="437"/>
      <c r="BL358" s="437"/>
      <c r="BM358" s="437"/>
      <c r="BN358" s="437"/>
      <c r="BO358" s="437"/>
      <c r="BP358" s="437"/>
    </row>
    <row r="359" spans="1:68">
      <c r="A359" s="437"/>
      <c r="B359" s="437"/>
      <c r="C359" s="437"/>
      <c r="D359" s="437"/>
      <c r="E359" s="437"/>
      <c r="F359" s="437"/>
      <c r="G359" s="437"/>
      <c r="H359" s="437"/>
      <c r="I359" s="437"/>
      <c r="J359" s="437"/>
      <c r="K359" s="437"/>
      <c r="L359" s="437"/>
      <c r="M359" s="437"/>
      <c r="N359" s="437"/>
      <c r="O359" s="437"/>
      <c r="P359" s="437"/>
      <c r="Q359" s="437"/>
      <c r="R359" s="437"/>
      <c r="S359" s="437"/>
      <c r="T359" s="437"/>
      <c r="U359" s="437"/>
      <c r="V359" s="437"/>
      <c r="W359" s="437"/>
      <c r="X359" s="437"/>
      <c r="Y359" s="437"/>
      <c r="Z359" s="437"/>
      <c r="AA359" s="437"/>
      <c r="AB359" s="437"/>
      <c r="AC359" s="437"/>
      <c r="AD359" s="437"/>
      <c r="AE359" s="437"/>
      <c r="AF359" s="437"/>
      <c r="AG359" s="437"/>
      <c r="AH359" s="437"/>
      <c r="AI359" s="437"/>
      <c r="AJ359" s="437"/>
      <c r="AK359" s="437"/>
      <c r="AL359" s="437"/>
      <c r="AM359" s="437"/>
      <c r="AN359" s="437"/>
      <c r="AO359" s="437"/>
      <c r="AP359" s="437"/>
      <c r="AQ359" s="437"/>
      <c r="AR359" s="437"/>
      <c r="AS359" s="437"/>
      <c r="AT359" s="437"/>
      <c r="AU359" s="437"/>
      <c r="AV359" s="437"/>
      <c r="AW359" s="437"/>
      <c r="AX359" s="436">
        <v>354</v>
      </c>
      <c r="AY359" s="490" t="s">
        <v>1067</v>
      </c>
      <c r="AZ359" s="490" t="s">
        <v>1087</v>
      </c>
      <c r="BA359" s="490" t="s">
        <v>4067</v>
      </c>
      <c r="BB359" s="490" t="s">
        <v>4068</v>
      </c>
      <c r="BC359" s="490" t="s">
        <v>4069</v>
      </c>
      <c r="BD359" s="490" t="s">
        <v>4070</v>
      </c>
      <c r="BE359" s="490" t="s">
        <v>4071</v>
      </c>
      <c r="BF359" s="490" t="s">
        <v>4072</v>
      </c>
      <c r="BG359" s="490" t="s">
        <v>4073</v>
      </c>
      <c r="BH359" s="490" t="s">
        <v>3994</v>
      </c>
      <c r="BI359" s="490" t="s">
        <v>4074</v>
      </c>
      <c r="BJ359" s="490" t="s">
        <v>4075</v>
      </c>
      <c r="BK359" s="437"/>
      <c r="BL359" s="437"/>
      <c r="BM359" s="437"/>
      <c r="BN359" s="437"/>
      <c r="BO359" s="437"/>
      <c r="BP359" s="437"/>
    </row>
    <row r="360" spans="1:68">
      <c r="A360" s="437"/>
      <c r="B360" s="437"/>
      <c r="C360" s="437"/>
      <c r="D360" s="437"/>
      <c r="E360" s="437"/>
      <c r="F360" s="437"/>
      <c r="G360" s="437"/>
      <c r="H360" s="437"/>
      <c r="I360" s="437"/>
      <c r="J360" s="437"/>
      <c r="K360" s="437"/>
      <c r="L360" s="437"/>
      <c r="M360" s="437"/>
      <c r="N360" s="437"/>
      <c r="O360" s="437"/>
      <c r="P360" s="437"/>
      <c r="Q360" s="437"/>
      <c r="R360" s="437"/>
      <c r="S360" s="437"/>
      <c r="T360" s="437"/>
      <c r="U360" s="437"/>
      <c r="V360" s="437"/>
      <c r="W360" s="437"/>
      <c r="X360" s="437"/>
      <c r="Y360" s="437"/>
      <c r="Z360" s="437"/>
      <c r="AA360" s="437"/>
      <c r="AB360" s="437"/>
      <c r="AC360" s="437"/>
      <c r="AD360" s="437"/>
      <c r="AE360" s="437"/>
      <c r="AF360" s="437"/>
      <c r="AG360" s="437"/>
      <c r="AH360" s="437"/>
      <c r="AI360" s="437"/>
      <c r="AJ360" s="437"/>
      <c r="AK360" s="437"/>
      <c r="AL360" s="437"/>
      <c r="AM360" s="437"/>
      <c r="AN360" s="437"/>
      <c r="AO360" s="437"/>
      <c r="AP360" s="437"/>
      <c r="AQ360" s="437"/>
      <c r="AR360" s="437"/>
      <c r="AS360" s="437"/>
      <c r="AT360" s="437"/>
      <c r="AU360" s="437"/>
      <c r="AV360" s="437"/>
      <c r="AW360" s="437"/>
      <c r="AX360" s="436">
        <v>355</v>
      </c>
      <c r="AY360" s="490" t="s">
        <v>4076</v>
      </c>
      <c r="AZ360" s="490" t="s">
        <v>4077</v>
      </c>
      <c r="BA360" s="490" t="s">
        <v>1099</v>
      </c>
      <c r="BB360" s="490" t="s">
        <v>4078</v>
      </c>
      <c r="BC360" s="490" t="s">
        <v>4079</v>
      </c>
      <c r="BD360" s="490" t="s">
        <v>4080</v>
      </c>
      <c r="BE360" s="490" t="s">
        <v>4081</v>
      </c>
      <c r="BF360" s="490" t="s">
        <v>4082</v>
      </c>
      <c r="BG360" s="490" t="s">
        <v>4072</v>
      </c>
      <c r="BH360" s="490" t="s">
        <v>4083</v>
      </c>
      <c r="BI360" s="490" t="s">
        <v>4084</v>
      </c>
      <c r="BJ360" s="490" t="s">
        <v>1834</v>
      </c>
      <c r="BK360" s="437"/>
      <c r="BL360" s="437"/>
      <c r="BM360" s="437"/>
      <c r="BN360" s="437"/>
      <c r="BO360" s="437"/>
      <c r="BP360" s="437"/>
    </row>
    <row r="361" spans="1:68">
      <c r="A361" s="437"/>
      <c r="B361" s="437"/>
      <c r="C361" s="437"/>
      <c r="D361" s="437"/>
      <c r="E361" s="437"/>
      <c r="F361" s="437"/>
      <c r="G361" s="437"/>
      <c r="H361" s="437"/>
      <c r="I361" s="437"/>
      <c r="J361" s="437"/>
      <c r="K361" s="437"/>
      <c r="L361" s="437"/>
      <c r="M361" s="437"/>
      <c r="N361" s="437"/>
      <c r="O361" s="437"/>
      <c r="P361" s="437"/>
      <c r="Q361" s="437"/>
      <c r="R361" s="437"/>
      <c r="S361" s="437"/>
      <c r="T361" s="437"/>
      <c r="U361" s="437"/>
      <c r="V361" s="437"/>
      <c r="W361" s="437"/>
      <c r="X361" s="437"/>
      <c r="Y361" s="437"/>
      <c r="Z361" s="437"/>
      <c r="AA361" s="437"/>
      <c r="AB361" s="437"/>
      <c r="AC361" s="437"/>
      <c r="AD361" s="437"/>
      <c r="AE361" s="437"/>
      <c r="AF361" s="437"/>
      <c r="AG361" s="437"/>
      <c r="AH361" s="437"/>
      <c r="AI361" s="437"/>
      <c r="AJ361" s="437"/>
      <c r="AK361" s="437"/>
      <c r="AL361" s="437"/>
      <c r="AM361" s="437"/>
      <c r="AN361" s="437"/>
      <c r="AO361" s="437"/>
      <c r="AP361" s="437"/>
      <c r="AQ361" s="437"/>
      <c r="AR361" s="437"/>
      <c r="AS361" s="437"/>
      <c r="AT361" s="437"/>
      <c r="AU361" s="437"/>
      <c r="AV361" s="437"/>
      <c r="AW361" s="437"/>
      <c r="AX361" s="436">
        <v>356</v>
      </c>
      <c r="AY361" s="490" t="s">
        <v>1087</v>
      </c>
      <c r="AZ361" s="490" t="s">
        <v>4085</v>
      </c>
      <c r="BA361" s="490" t="s">
        <v>4086</v>
      </c>
      <c r="BB361" s="490" t="s">
        <v>4087</v>
      </c>
      <c r="BC361" s="490" t="s">
        <v>4088</v>
      </c>
      <c r="BD361" s="490" t="s">
        <v>4089</v>
      </c>
      <c r="BE361" s="490" t="s">
        <v>4090</v>
      </c>
      <c r="BF361" s="490" t="s">
        <v>4091</v>
      </c>
      <c r="BG361" s="490" t="s">
        <v>4092</v>
      </c>
      <c r="BH361" s="490" t="s">
        <v>4093</v>
      </c>
      <c r="BI361" s="490" t="s">
        <v>4094</v>
      </c>
      <c r="BJ361" s="490" t="s">
        <v>3996</v>
      </c>
      <c r="BK361" s="437"/>
      <c r="BL361" s="437"/>
      <c r="BM361" s="437"/>
      <c r="BN361" s="437"/>
      <c r="BO361" s="437"/>
      <c r="BP361" s="437"/>
    </row>
    <row r="362" spans="1:68">
      <c r="A362" s="437"/>
      <c r="B362" s="437"/>
      <c r="C362" s="437"/>
      <c r="D362" s="437"/>
      <c r="E362" s="437"/>
      <c r="F362" s="437"/>
      <c r="G362" s="437"/>
      <c r="H362" s="437"/>
      <c r="I362" s="437"/>
      <c r="J362" s="437"/>
      <c r="K362" s="437"/>
      <c r="L362" s="437"/>
      <c r="M362" s="437"/>
      <c r="N362" s="437"/>
      <c r="O362" s="437"/>
      <c r="P362" s="437"/>
      <c r="Q362" s="437"/>
      <c r="R362" s="437"/>
      <c r="S362" s="437"/>
      <c r="T362" s="437"/>
      <c r="U362" s="437"/>
      <c r="V362" s="437"/>
      <c r="W362" s="437"/>
      <c r="X362" s="437"/>
      <c r="Y362" s="437"/>
      <c r="Z362" s="437"/>
      <c r="AA362" s="437"/>
      <c r="AB362" s="437"/>
      <c r="AC362" s="437"/>
      <c r="AD362" s="437"/>
      <c r="AE362" s="437"/>
      <c r="AF362" s="437"/>
      <c r="AG362" s="437"/>
      <c r="AH362" s="437"/>
      <c r="AI362" s="437"/>
      <c r="AJ362" s="437"/>
      <c r="AK362" s="437"/>
      <c r="AL362" s="437"/>
      <c r="AM362" s="437"/>
      <c r="AN362" s="437"/>
      <c r="AO362" s="437"/>
      <c r="AP362" s="437"/>
      <c r="AQ362" s="437"/>
      <c r="AR362" s="437"/>
      <c r="AS362" s="437"/>
      <c r="AT362" s="437"/>
      <c r="AU362" s="437"/>
      <c r="AV362" s="437"/>
      <c r="AW362" s="437"/>
      <c r="AX362" s="436">
        <v>357</v>
      </c>
      <c r="AY362" s="490" t="s">
        <v>4095</v>
      </c>
      <c r="AZ362" s="490" t="s">
        <v>4096</v>
      </c>
      <c r="BA362" s="490" t="s">
        <v>4097</v>
      </c>
      <c r="BB362" s="490" t="s">
        <v>486</v>
      </c>
      <c r="BC362" s="490" t="s">
        <v>1123</v>
      </c>
      <c r="BD362" s="490" t="s">
        <v>4098</v>
      </c>
      <c r="BE362" s="490" t="s">
        <v>4099</v>
      </c>
      <c r="BF362" s="490" t="s">
        <v>4100</v>
      </c>
      <c r="BG362" s="490" t="s">
        <v>4101</v>
      </c>
      <c r="BH362" s="490" t="s">
        <v>4102</v>
      </c>
      <c r="BI362" s="490" t="s">
        <v>4103</v>
      </c>
      <c r="BJ362" s="490" t="s">
        <v>1857</v>
      </c>
      <c r="BK362" s="437"/>
      <c r="BL362" s="437"/>
      <c r="BM362" s="437"/>
      <c r="BN362" s="437"/>
      <c r="BO362" s="437"/>
      <c r="BP362" s="437"/>
    </row>
    <row r="363" spans="1:68">
      <c r="A363" s="437"/>
      <c r="B363" s="437"/>
      <c r="C363" s="437"/>
      <c r="D363" s="437"/>
      <c r="E363" s="437"/>
      <c r="F363" s="437"/>
      <c r="G363" s="437"/>
      <c r="H363" s="437"/>
      <c r="I363" s="437"/>
      <c r="J363" s="437"/>
      <c r="K363" s="437"/>
      <c r="L363" s="437"/>
      <c r="M363" s="437"/>
      <c r="N363" s="437"/>
      <c r="O363" s="437"/>
      <c r="P363" s="437"/>
      <c r="Q363" s="437"/>
      <c r="R363" s="437"/>
      <c r="S363" s="437"/>
      <c r="T363" s="437"/>
      <c r="U363" s="437"/>
      <c r="V363" s="437"/>
      <c r="W363" s="437"/>
      <c r="X363" s="437"/>
      <c r="Y363" s="437"/>
      <c r="Z363" s="437"/>
      <c r="AA363" s="437"/>
      <c r="AB363" s="437"/>
      <c r="AC363" s="437"/>
      <c r="AD363" s="437"/>
      <c r="AE363" s="437"/>
      <c r="AF363" s="437"/>
      <c r="AG363" s="437"/>
      <c r="AH363" s="437"/>
      <c r="AI363" s="437"/>
      <c r="AJ363" s="437"/>
      <c r="AK363" s="437"/>
      <c r="AL363" s="437"/>
      <c r="AM363" s="437"/>
      <c r="AN363" s="437"/>
      <c r="AO363" s="437"/>
      <c r="AP363" s="437"/>
      <c r="AQ363" s="437"/>
      <c r="AR363" s="437"/>
      <c r="AS363" s="437"/>
      <c r="AT363" s="437"/>
      <c r="AU363" s="437"/>
      <c r="AV363" s="437"/>
      <c r="AW363" s="437"/>
      <c r="AX363" s="436">
        <v>358</v>
      </c>
      <c r="AY363" s="490" t="s">
        <v>4104</v>
      </c>
      <c r="AZ363" s="490" t="s">
        <v>4105</v>
      </c>
      <c r="BA363" s="490" t="s">
        <v>4106</v>
      </c>
      <c r="BB363" s="490" t="s">
        <v>2568</v>
      </c>
      <c r="BC363" s="490" t="s">
        <v>4107</v>
      </c>
      <c r="BD363" s="490" t="s">
        <v>4108</v>
      </c>
      <c r="BE363" s="490" t="s">
        <v>4091</v>
      </c>
      <c r="BF363" s="490" t="s">
        <v>4109</v>
      </c>
      <c r="BG363" s="490" t="s">
        <v>4110</v>
      </c>
      <c r="BH363" s="490" t="s">
        <v>4029</v>
      </c>
      <c r="BI363" s="490" t="s">
        <v>4111</v>
      </c>
      <c r="BJ363" s="490" t="s">
        <v>4112</v>
      </c>
      <c r="BK363" s="437"/>
      <c r="BL363" s="437"/>
      <c r="BM363" s="437"/>
      <c r="BN363" s="437"/>
      <c r="BO363" s="437"/>
      <c r="BP363" s="437"/>
    </row>
    <row r="364" spans="1:68">
      <c r="A364" s="437"/>
      <c r="B364" s="437"/>
      <c r="C364" s="437"/>
      <c r="D364" s="437"/>
      <c r="E364" s="437"/>
      <c r="F364" s="437"/>
      <c r="G364" s="437"/>
      <c r="H364" s="437"/>
      <c r="I364" s="437"/>
      <c r="J364" s="437"/>
      <c r="K364" s="437"/>
      <c r="L364" s="437"/>
      <c r="M364" s="437"/>
      <c r="N364" s="437"/>
      <c r="O364" s="437"/>
      <c r="P364" s="437"/>
      <c r="Q364" s="437"/>
      <c r="R364" s="437"/>
      <c r="S364" s="437"/>
      <c r="T364" s="437"/>
      <c r="U364" s="437"/>
      <c r="V364" s="437"/>
      <c r="W364" s="437"/>
      <c r="X364" s="437"/>
      <c r="Y364" s="437"/>
      <c r="Z364" s="437"/>
      <c r="AA364" s="437"/>
      <c r="AB364" s="437"/>
      <c r="AC364" s="437"/>
      <c r="AD364" s="437"/>
      <c r="AE364" s="437"/>
      <c r="AF364" s="437"/>
      <c r="AG364" s="437"/>
      <c r="AH364" s="437"/>
      <c r="AI364" s="437"/>
      <c r="AJ364" s="437"/>
      <c r="AK364" s="437"/>
      <c r="AL364" s="437"/>
      <c r="AM364" s="437"/>
      <c r="AN364" s="437"/>
      <c r="AO364" s="437"/>
      <c r="AP364" s="437"/>
      <c r="AQ364" s="437"/>
      <c r="AR364" s="437"/>
      <c r="AS364" s="437"/>
      <c r="AT364" s="437"/>
      <c r="AU364" s="437"/>
      <c r="AV364" s="437"/>
      <c r="AW364" s="437"/>
      <c r="AX364" s="436">
        <v>359</v>
      </c>
      <c r="AY364" s="490" t="s">
        <v>4113</v>
      </c>
      <c r="AZ364" s="490" t="s">
        <v>4114</v>
      </c>
      <c r="BA364" s="490" t="s">
        <v>4115</v>
      </c>
      <c r="BB364" s="490" t="s">
        <v>4116</v>
      </c>
      <c r="BC364" s="490" t="s">
        <v>4117</v>
      </c>
      <c r="BD364" s="490" t="s">
        <v>4118</v>
      </c>
      <c r="BE364" s="490" t="s">
        <v>4119</v>
      </c>
      <c r="BF364" s="490" t="s">
        <v>4120</v>
      </c>
      <c r="BG364" s="490" t="s">
        <v>4109</v>
      </c>
      <c r="BH364" s="490" t="s">
        <v>4121</v>
      </c>
      <c r="BI364" s="490" t="s">
        <v>4122</v>
      </c>
      <c r="BJ364" s="490" t="s">
        <v>4123</v>
      </c>
      <c r="BK364" s="437"/>
      <c r="BL364" s="437"/>
      <c r="BM364" s="437"/>
      <c r="BN364" s="437"/>
      <c r="BO364" s="437"/>
      <c r="BP364" s="437"/>
    </row>
    <row r="365" spans="1:68">
      <c r="A365" s="437"/>
      <c r="B365" s="437"/>
      <c r="C365" s="437"/>
      <c r="D365" s="437"/>
      <c r="E365" s="437"/>
      <c r="F365" s="437"/>
      <c r="G365" s="437"/>
      <c r="H365" s="437"/>
      <c r="I365" s="437"/>
      <c r="J365" s="437"/>
      <c r="K365" s="437"/>
      <c r="L365" s="437"/>
      <c r="M365" s="437"/>
      <c r="N365" s="437"/>
      <c r="O365" s="437"/>
      <c r="P365" s="437"/>
      <c r="Q365" s="437"/>
      <c r="R365" s="437"/>
      <c r="S365" s="437"/>
      <c r="T365" s="437"/>
      <c r="U365" s="437"/>
      <c r="V365" s="437"/>
      <c r="W365" s="437"/>
      <c r="X365" s="437"/>
      <c r="Y365" s="437"/>
      <c r="Z365" s="437"/>
      <c r="AA365" s="437"/>
      <c r="AB365" s="437"/>
      <c r="AC365" s="437"/>
      <c r="AD365" s="437"/>
      <c r="AE365" s="437"/>
      <c r="AF365" s="437"/>
      <c r="AG365" s="437"/>
      <c r="AH365" s="437"/>
      <c r="AI365" s="437"/>
      <c r="AJ365" s="437"/>
      <c r="AK365" s="437"/>
      <c r="AL365" s="437"/>
      <c r="AM365" s="437"/>
      <c r="AN365" s="437"/>
      <c r="AO365" s="437"/>
      <c r="AP365" s="437"/>
      <c r="AQ365" s="437"/>
      <c r="AR365" s="437"/>
      <c r="AS365" s="437"/>
      <c r="AT365" s="437"/>
      <c r="AU365" s="437"/>
      <c r="AV365" s="437"/>
      <c r="AW365" s="437"/>
      <c r="AX365" s="436">
        <v>360</v>
      </c>
      <c r="AY365" s="490" t="s">
        <v>4124</v>
      </c>
      <c r="AZ365" s="490" t="s">
        <v>4125</v>
      </c>
      <c r="BA365" s="490" t="s">
        <v>4126</v>
      </c>
      <c r="BB365" s="490" t="s">
        <v>4127</v>
      </c>
      <c r="BC365" s="490" t="s">
        <v>770</v>
      </c>
      <c r="BD365" s="490" t="s">
        <v>4128</v>
      </c>
      <c r="BE365" s="490" t="s">
        <v>4129</v>
      </c>
      <c r="BF365" s="490" t="s">
        <v>4130</v>
      </c>
      <c r="BG365" s="490" t="s">
        <v>4131</v>
      </c>
      <c r="BH365" s="490" t="s">
        <v>4132</v>
      </c>
      <c r="BI365" s="490" t="s">
        <v>4133</v>
      </c>
      <c r="BJ365" s="490" t="s">
        <v>4134</v>
      </c>
      <c r="BK365" s="437"/>
      <c r="BL365" s="437"/>
      <c r="BM365" s="437"/>
      <c r="BN365" s="437"/>
      <c r="BO365" s="437"/>
      <c r="BP365" s="437"/>
    </row>
    <row r="366" spans="1:68">
      <c r="A366" s="437"/>
      <c r="B366" s="437"/>
      <c r="C366" s="437"/>
      <c r="D366" s="437"/>
      <c r="E366" s="437"/>
      <c r="F366" s="437"/>
      <c r="G366" s="437"/>
      <c r="H366" s="437"/>
      <c r="I366" s="437"/>
      <c r="J366" s="437"/>
      <c r="K366" s="437"/>
      <c r="L366" s="437"/>
      <c r="M366" s="437"/>
      <c r="N366" s="437"/>
      <c r="O366" s="437"/>
      <c r="P366" s="437"/>
      <c r="Q366" s="437"/>
      <c r="R366" s="437"/>
      <c r="S366" s="437"/>
      <c r="T366" s="437"/>
      <c r="U366" s="437"/>
      <c r="V366" s="437"/>
      <c r="W366" s="437"/>
      <c r="X366" s="437"/>
      <c r="Y366" s="437"/>
      <c r="Z366" s="437"/>
      <c r="AA366" s="437"/>
      <c r="AB366" s="437"/>
      <c r="AC366" s="437"/>
      <c r="AD366" s="437"/>
      <c r="AE366" s="437"/>
      <c r="AF366" s="437"/>
      <c r="AG366" s="437"/>
      <c r="AH366" s="437"/>
      <c r="AI366" s="437"/>
      <c r="AJ366" s="437"/>
      <c r="AK366" s="437"/>
      <c r="AL366" s="437"/>
      <c r="AM366" s="437"/>
      <c r="AN366" s="437"/>
      <c r="AO366" s="437"/>
      <c r="AP366" s="437"/>
      <c r="AQ366" s="437"/>
      <c r="AR366" s="437"/>
      <c r="AS366" s="437"/>
      <c r="AT366" s="437"/>
      <c r="AU366" s="437"/>
      <c r="AV366" s="437"/>
      <c r="AW366" s="437"/>
      <c r="AX366" s="436">
        <v>361</v>
      </c>
      <c r="AY366" s="490" t="s">
        <v>4135</v>
      </c>
      <c r="AZ366" s="490" t="s">
        <v>4136</v>
      </c>
      <c r="BA366" s="490" t="s">
        <v>4137</v>
      </c>
      <c r="BB366" s="490" t="s">
        <v>4138</v>
      </c>
      <c r="BC366" s="490" t="s">
        <v>1913</v>
      </c>
      <c r="BD366" s="490" t="s">
        <v>4139</v>
      </c>
      <c r="BE366" s="490" t="s">
        <v>4140</v>
      </c>
      <c r="BF366" s="490" t="s">
        <v>4141</v>
      </c>
      <c r="BG366" s="490" t="s">
        <v>4142</v>
      </c>
      <c r="BH366" s="490" t="s">
        <v>4143</v>
      </c>
      <c r="BI366" s="490" t="s">
        <v>4144</v>
      </c>
      <c r="BJ366" s="490" t="s">
        <v>1897</v>
      </c>
      <c r="BK366" s="437"/>
      <c r="BL366" s="437"/>
      <c r="BM366" s="437"/>
      <c r="BN366" s="437"/>
      <c r="BO366" s="437"/>
      <c r="BP366" s="437"/>
    </row>
    <row r="367" spans="1:68">
      <c r="A367" s="437"/>
      <c r="B367" s="437"/>
      <c r="C367" s="437"/>
      <c r="D367" s="437"/>
      <c r="E367" s="437"/>
      <c r="F367" s="437"/>
      <c r="G367" s="437"/>
      <c r="H367" s="437"/>
      <c r="I367" s="437"/>
      <c r="J367" s="437"/>
      <c r="K367" s="437"/>
      <c r="L367" s="437"/>
      <c r="M367" s="437"/>
      <c r="N367" s="437"/>
      <c r="O367" s="437"/>
      <c r="P367" s="437"/>
      <c r="Q367" s="437"/>
      <c r="R367" s="437"/>
      <c r="S367" s="437"/>
      <c r="T367" s="437"/>
      <c r="U367" s="437"/>
      <c r="V367" s="437"/>
      <c r="W367" s="437"/>
      <c r="X367" s="437"/>
      <c r="Y367" s="437"/>
      <c r="Z367" s="437"/>
      <c r="AA367" s="437"/>
      <c r="AB367" s="437"/>
      <c r="AC367" s="437"/>
      <c r="AD367" s="437"/>
      <c r="AE367" s="437"/>
      <c r="AF367" s="437"/>
      <c r="AG367" s="437"/>
      <c r="AH367" s="437"/>
      <c r="AI367" s="437"/>
      <c r="AJ367" s="437"/>
      <c r="AK367" s="437"/>
      <c r="AL367" s="437"/>
      <c r="AM367" s="437"/>
      <c r="AN367" s="437"/>
      <c r="AO367" s="437"/>
      <c r="AP367" s="437"/>
      <c r="AQ367" s="437"/>
      <c r="AR367" s="437"/>
      <c r="AS367" s="437"/>
      <c r="AT367" s="437"/>
      <c r="AU367" s="437"/>
      <c r="AV367" s="437"/>
      <c r="AW367" s="437"/>
      <c r="AX367" s="436">
        <v>362</v>
      </c>
      <c r="AY367" s="490" t="s">
        <v>4145</v>
      </c>
      <c r="AZ367" s="490" t="s">
        <v>4146</v>
      </c>
      <c r="BA367" s="490" t="s">
        <v>4147</v>
      </c>
      <c r="BB367" s="490" t="s">
        <v>1178</v>
      </c>
      <c r="BC367" s="490" t="s">
        <v>4148</v>
      </c>
      <c r="BD367" s="490" t="s">
        <v>4149</v>
      </c>
      <c r="BE367" s="490" t="s">
        <v>4150</v>
      </c>
      <c r="BF367" s="490" t="s">
        <v>4151</v>
      </c>
      <c r="BG367" s="490" t="s">
        <v>4152</v>
      </c>
      <c r="BH367" s="490" t="s">
        <v>4153</v>
      </c>
      <c r="BI367" s="490" t="s">
        <v>4154</v>
      </c>
      <c r="BJ367" s="490" t="s">
        <v>4155</v>
      </c>
      <c r="BK367" s="437"/>
      <c r="BL367" s="437"/>
      <c r="BM367" s="437"/>
      <c r="BN367" s="437"/>
      <c r="BO367" s="437"/>
      <c r="BP367" s="437"/>
    </row>
    <row r="368" spans="1:68">
      <c r="A368" s="437"/>
      <c r="B368" s="437"/>
      <c r="C368" s="437"/>
      <c r="D368" s="437"/>
      <c r="E368" s="437"/>
      <c r="F368" s="437"/>
      <c r="G368" s="437"/>
      <c r="H368" s="437"/>
      <c r="I368" s="437"/>
      <c r="J368" s="437"/>
      <c r="K368" s="437"/>
      <c r="L368" s="437"/>
      <c r="M368" s="437"/>
      <c r="N368" s="437"/>
      <c r="O368" s="437"/>
      <c r="P368" s="437"/>
      <c r="Q368" s="437"/>
      <c r="R368" s="437"/>
      <c r="S368" s="437"/>
      <c r="T368" s="437"/>
      <c r="U368" s="437"/>
      <c r="V368" s="437"/>
      <c r="W368" s="437"/>
      <c r="X368" s="437"/>
      <c r="Y368" s="437"/>
      <c r="Z368" s="437"/>
      <c r="AA368" s="437"/>
      <c r="AB368" s="437"/>
      <c r="AC368" s="437"/>
      <c r="AD368" s="437"/>
      <c r="AE368" s="437"/>
      <c r="AF368" s="437"/>
      <c r="AG368" s="437"/>
      <c r="AH368" s="437"/>
      <c r="AI368" s="437"/>
      <c r="AJ368" s="437"/>
      <c r="AK368" s="437"/>
      <c r="AL368" s="437"/>
      <c r="AM368" s="437"/>
      <c r="AN368" s="437"/>
      <c r="AO368" s="437"/>
      <c r="AP368" s="437"/>
      <c r="AQ368" s="437"/>
      <c r="AR368" s="437"/>
      <c r="AS368" s="437"/>
      <c r="AT368" s="437"/>
      <c r="AU368" s="437"/>
      <c r="AV368" s="437"/>
      <c r="AW368" s="437"/>
      <c r="AX368" s="436">
        <v>363</v>
      </c>
      <c r="AY368" s="490" t="s">
        <v>4156</v>
      </c>
      <c r="AZ368" s="490" t="s">
        <v>4157</v>
      </c>
      <c r="BA368" s="490" t="s">
        <v>4158</v>
      </c>
      <c r="BB368" s="490" t="s">
        <v>4159</v>
      </c>
      <c r="BC368" s="490" t="s">
        <v>4160</v>
      </c>
      <c r="BD368" s="490" t="s">
        <v>4161</v>
      </c>
      <c r="BE368" s="490" t="s">
        <v>4162</v>
      </c>
      <c r="BF368" s="490" t="s">
        <v>4163</v>
      </c>
      <c r="BG368" s="490" t="s">
        <v>4151</v>
      </c>
      <c r="BH368" s="490" t="s">
        <v>4164</v>
      </c>
      <c r="BI368" s="490" t="s">
        <v>4165</v>
      </c>
      <c r="BJ368" s="490" t="s">
        <v>4166</v>
      </c>
      <c r="BK368" s="437"/>
      <c r="BL368" s="437"/>
      <c r="BM368" s="437"/>
      <c r="BN368" s="437"/>
      <c r="BO368" s="437"/>
      <c r="BP368" s="437"/>
    </row>
    <row r="369" spans="1:68">
      <c r="A369" s="437"/>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c r="AA369" s="437"/>
      <c r="AB369" s="437"/>
      <c r="AC369" s="437"/>
      <c r="AD369" s="437"/>
      <c r="AE369" s="437"/>
      <c r="AF369" s="437"/>
      <c r="AG369" s="437"/>
      <c r="AH369" s="437"/>
      <c r="AI369" s="437"/>
      <c r="AJ369" s="437"/>
      <c r="AK369" s="437"/>
      <c r="AL369" s="437"/>
      <c r="AM369" s="437"/>
      <c r="AN369" s="437"/>
      <c r="AO369" s="437"/>
      <c r="AP369" s="437"/>
      <c r="AQ369" s="437"/>
      <c r="AR369" s="437"/>
      <c r="AS369" s="437"/>
      <c r="AT369" s="437"/>
      <c r="AU369" s="437"/>
      <c r="AV369" s="437"/>
      <c r="AW369" s="437"/>
      <c r="AX369" s="436">
        <v>364</v>
      </c>
      <c r="AY369" s="490" t="s">
        <v>4167</v>
      </c>
      <c r="AZ369" s="490" t="s">
        <v>4168</v>
      </c>
      <c r="BA369" s="490" t="s">
        <v>4169</v>
      </c>
      <c r="BB369" s="490" t="s">
        <v>1201</v>
      </c>
      <c r="BC369" s="490" t="s">
        <v>4170</v>
      </c>
      <c r="BD369" s="490" t="s">
        <v>4171</v>
      </c>
      <c r="BE369" s="490" t="s">
        <v>4172</v>
      </c>
      <c r="BF369" s="490" t="s">
        <v>4173</v>
      </c>
      <c r="BG369" s="490" t="s">
        <v>4174</v>
      </c>
      <c r="BH369" s="490" t="s">
        <v>4175</v>
      </c>
      <c r="BI369" s="490" t="s">
        <v>4176</v>
      </c>
      <c r="BJ369" s="490" t="s">
        <v>4177</v>
      </c>
      <c r="BK369" s="437"/>
      <c r="BL369" s="437"/>
      <c r="BM369" s="437"/>
      <c r="BN369" s="437"/>
      <c r="BO369" s="437"/>
      <c r="BP369" s="437"/>
    </row>
    <row r="370" spans="1:68">
      <c r="A370" s="437"/>
      <c r="B370" s="437"/>
      <c r="C370" s="437"/>
      <c r="D370" s="437"/>
      <c r="E370" s="437"/>
      <c r="F370" s="437"/>
      <c r="G370" s="437"/>
      <c r="H370" s="437"/>
      <c r="I370" s="437"/>
      <c r="J370" s="437"/>
      <c r="K370" s="437"/>
      <c r="L370" s="437"/>
      <c r="M370" s="437"/>
      <c r="N370" s="437"/>
      <c r="O370" s="437"/>
      <c r="P370" s="437"/>
      <c r="Q370" s="437"/>
      <c r="R370" s="437"/>
      <c r="S370" s="437"/>
      <c r="T370" s="437"/>
      <c r="U370" s="437"/>
      <c r="V370" s="437"/>
      <c r="W370" s="437"/>
      <c r="X370" s="437"/>
      <c r="Y370" s="437"/>
      <c r="Z370" s="437"/>
      <c r="AA370" s="437"/>
      <c r="AB370" s="437"/>
      <c r="AC370" s="437"/>
      <c r="AD370" s="437"/>
      <c r="AE370" s="437"/>
      <c r="AF370" s="437"/>
      <c r="AG370" s="437"/>
      <c r="AH370" s="437"/>
      <c r="AI370" s="437"/>
      <c r="AJ370" s="437"/>
      <c r="AK370" s="437"/>
      <c r="AL370" s="437"/>
      <c r="AM370" s="437"/>
      <c r="AN370" s="437"/>
      <c r="AO370" s="437"/>
      <c r="AP370" s="437"/>
      <c r="AQ370" s="437"/>
      <c r="AR370" s="437"/>
      <c r="AS370" s="437"/>
      <c r="AT370" s="437"/>
      <c r="AU370" s="437"/>
      <c r="AV370" s="437"/>
      <c r="AW370" s="437"/>
      <c r="AX370" s="436">
        <v>365</v>
      </c>
      <c r="AY370" s="490" t="s">
        <v>4178</v>
      </c>
      <c r="AZ370" s="490" t="s">
        <v>4179</v>
      </c>
      <c r="BA370" s="490" t="s">
        <v>4180</v>
      </c>
      <c r="BB370" s="490" t="s">
        <v>4181</v>
      </c>
      <c r="BC370" s="490" t="s">
        <v>4182</v>
      </c>
      <c r="BD370" s="490" t="s">
        <v>4183</v>
      </c>
      <c r="BE370" s="490" t="s">
        <v>4184</v>
      </c>
      <c r="BF370" s="490" t="s">
        <v>4185</v>
      </c>
      <c r="BG370" s="490" t="s">
        <v>4173</v>
      </c>
      <c r="BH370" s="490" t="s">
        <v>4186</v>
      </c>
      <c r="BI370" s="490" t="s">
        <v>4187</v>
      </c>
      <c r="BJ370" s="490" t="s">
        <v>4188</v>
      </c>
      <c r="BK370" s="437"/>
      <c r="BL370" s="437"/>
      <c r="BM370" s="437"/>
      <c r="BN370" s="437"/>
      <c r="BO370" s="437"/>
      <c r="BP370" s="437"/>
    </row>
    <row r="371" spans="1:68">
      <c r="A371" s="437"/>
      <c r="B371" s="437"/>
      <c r="C371" s="437"/>
      <c r="D371" s="437"/>
      <c r="E371" s="437"/>
      <c r="F371" s="437"/>
      <c r="G371" s="437"/>
      <c r="H371" s="437"/>
      <c r="I371" s="437"/>
      <c r="J371" s="437"/>
      <c r="K371" s="437"/>
      <c r="L371" s="437"/>
      <c r="M371" s="437"/>
      <c r="N371" s="437"/>
      <c r="O371" s="437"/>
      <c r="P371" s="437"/>
      <c r="Q371" s="437"/>
      <c r="R371" s="437"/>
      <c r="S371" s="437"/>
      <c r="T371" s="437"/>
      <c r="U371" s="437"/>
      <c r="V371" s="437"/>
      <c r="W371" s="437"/>
      <c r="X371" s="437"/>
      <c r="Y371" s="437"/>
      <c r="Z371" s="437"/>
      <c r="AA371" s="437"/>
      <c r="AB371" s="437"/>
      <c r="AC371" s="437"/>
      <c r="AD371" s="437"/>
      <c r="AE371" s="437"/>
      <c r="AF371" s="437"/>
      <c r="AG371" s="437"/>
      <c r="AH371" s="437"/>
      <c r="AI371" s="437"/>
      <c r="AJ371" s="437"/>
      <c r="AK371" s="437"/>
      <c r="AL371" s="437"/>
      <c r="AM371" s="437"/>
      <c r="AN371" s="437"/>
      <c r="AO371" s="437"/>
      <c r="AP371" s="437"/>
      <c r="AQ371" s="437"/>
      <c r="AR371" s="437"/>
      <c r="AS371" s="437"/>
      <c r="AT371" s="437"/>
      <c r="AU371" s="437"/>
      <c r="AV371" s="437"/>
      <c r="AW371" s="437"/>
      <c r="AX371" s="436">
        <v>366</v>
      </c>
      <c r="AY371" s="490" t="s">
        <v>4189</v>
      </c>
      <c r="AZ371" s="490" t="s">
        <v>4190</v>
      </c>
      <c r="BA371" s="490" t="s">
        <v>4191</v>
      </c>
      <c r="BB371" s="490" t="s">
        <v>4192</v>
      </c>
      <c r="BC371" s="490" t="s">
        <v>4193</v>
      </c>
      <c r="BD371" s="490" t="s">
        <v>1947</v>
      </c>
      <c r="BE371" s="490" t="s">
        <v>4173</v>
      </c>
      <c r="BF371" s="490" t="s">
        <v>4194</v>
      </c>
      <c r="BG371" s="490" t="s">
        <v>4195</v>
      </c>
      <c r="BH371" s="490" t="s">
        <v>4196</v>
      </c>
      <c r="BI371" s="490" t="s">
        <v>4197</v>
      </c>
      <c r="BJ371" s="490" t="s">
        <v>4084</v>
      </c>
      <c r="BK371" s="437"/>
      <c r="BL371" s="437"/>
      <c r="BM371" s="437"/>
      <c r="BN371" s="437"/>
      <c r="BO371" s="437"/>
      <c r="BP371" s="437"/>
    </row>
    <row r="372" spans="1:68">
      <c r="A372" s="437"/>
      <c r="B372" s="437"/>
      <c r="C372" s="437"/>
      <c r="D372" s="437"/>
      <c r="E372" s="437"/>
      <c r="F372" s="437"/>
      <c r="G372" s="437"/>
      <c r="H372" s="437"/>
      <c r="I372" s="437"/>
      <c r="J372" s="437"/>
      <c r="K372" s="437"/>
      <c r="L372" s="437"/>
      <c r="M372" s="437"/>
      <c r="N372" s="437"/>
      <c r="O372" s="437"/>
      <c r="P372" s="437"/>
      <c r="Q372" s="437"/>
      <c r="R372" s="437"/>
      <c r="S372" s="437"/>
      <c r="T372" s="437"/>
      <c r="U372" s="437"/>
      <c r="V372" s="437"/>
      <c r="W372" s="437"/>
      <c r="X372" s="437"/>
      <c r="Y372" s="437"/>
      <c r="Z372" s="437"/>
      <c r="AA372" s="437"/>
      <c r="AB372" s="437"/>
      <c r="AC372" s="437"/>
      <c r="AD372" s="437"/>
      <c r="AE372" s="437"/>
      <c r="AF372" s="437"/>
      <c r="AG372" s="437"/>
      <c r="AH372" s="437"/>
      <c r="AI372" s="437"/>
      <c r="AJ372" s="437"/>
      <c r="AK372" s="437"/>
      <c r="AL372" s="437"/>
      <c r="AM372" s="437"/>
      <c r="AN372" s="437"/>
      <c r="AO372" s="437"/>
      <c r="AP372" s="437"/>
      <c r="AQ372" s="437"/>
      <c r="AR372" s="437"/>
      <c r="AS372" s="437"/>
      <c r="AT372" s="437"/>
      <c r="AU372" s="437"/>
      <c r="AV372" s="437"/>
      <c r="AW372" s="437"/>
      <c r="AX372" s="436">
        <v>367</v>
      </c>
      <c r="AY372" s="490" t="s">
        <v>4198</v>
      </c>
      <c r="AZ372" s="490" t="s">
        <v>3826</v>
      </c>
      <c r="BA372" s="490" t="s">
        <v>4199</v>
      </c>
      <c r="BB372" s="490" t="s">
        <v>4200</v>
      </c>
      <c r="BC372" s="490" t="s">
        <v>4201</v>
      </c>
      <c r="BD372" s="490" t="s">
        <v>4202</v>
      </c>
      <c r="BE372" s="490" t="s">
        <v>4203</v>
      </c>
      <c r="BF372" s="490" t="s">
        <v>4204</v>
      </c>
      <c r="BG372" s="490" t="s">
        <v>4205</v>
      </c>
      <c r="BH372" s="490" t="s">
        <v>4206</v>
      </c>
      <c r="BI372" s="490" t="s">
        <v>4207</v>
      </c>
      <c r="BJ372" s="490" t="s">
        <v>1961</v>
      </c>
      <c r="BK372" s="437"/>
      <c r="BL372" s="437"/>
      <c r="BM372" s="437"/>
      <c r="BN372" s="437"/>
      <c r="BO372" s="437"/>
      <c r="BP372" s="437"/>
    </row>
    <row r="373" spans="1:68">
      <c r="A373" s="437"/>
      <c r="B373" s="437"/>
      <c r="C373" s="437"/>
      <c r="D373" s="437"/>
      <c r="E373" s="437"/>
      <c r="F373" s="437"/>
      <c r="G373" s="437"/>
      <c r="H373" s="437"/>
      <c r="I373" s="437"/>
      <c r="J373" s="437"/>
      <c r="K373" s="437"/>
      <c r="L373" s="437"/>
      <c r="M373" s="437"/>
      <c r="N373" s="437"/>
      <c r="O373" s="437"/>
      <c r="P373" s="437"/>
      <c r="Q373" s="437"/>
      <c r="R373" s="437"/>
      <c r="S373" s="437"/>
      <c r="T373" s="437"/>
      <c r="U373" s="437"/>
      <c r="V373" s="437"/>
      <c r="W373" s="437"/>
      <c r="X373" s="437"/>
      <c r="Y373" s="437"/>
      <c r="Z373" s="437"/>
      <c r="AA373" s="437"/>
      <c r="AB373" s="437"/>
      <c r="AC373" s="437"/>
      <c r="AD373" s="437"/>
      <c r="AE373" s="437"/>
      <c r="AF373" s="437"/>
      <c r="AG373" s="437"/>
      <c r="AH373" s="437"/>
      <c r="AI373" s="437"/>
      <c r="AJ373" s="437"/>
      <c r="AK373" s="437"/>
      <c r="AL373" s="437"/>
      <c r="AM373" s="437"/>
      <c r="AN373" s="437"/>
      <c r="AO373" s="437"/>
      <c r="AP373" s="437"/>
      <c r="AQ373" s="437"/>
      <c r="AR373" s="437"/>
      <c r="AS373" s="437"/>
      <c r="AT373" s="437"/>
      <c r="AU373" s="437"/>
      <c r="AV373" s="437"/>
      <c r="AW373" s="437"/>
      <c r="AX373" s="436">
        <v>368</v>
      </c>
      <c r="AY373" s="490" t="s">
        <v>4208</v>
      </c>
      <c r="AZ373" s="490" t="s">
        <v>3703</v>
      </c>
      <c r="BA373" s="490" t="s">
        <v>4209</v>
      </c>
      <c r="BB373" s="490" t="s">
        <v>4210</v>
      </c>
      <c r="BC373" s="490" t="s">
        <v>4211</v>
      </c>
      <c r="BD373" s="490" t="s">
        <v>4212</v>
      </c>
      <c r="BE373" s="490" t="s">
        <v>4213</v>
      </c>
      <c r="BF373" s="490" t="s">
        <v>4214</v>
      </c>
      <c r="BG373" s="490" t="s">
        <v>4215</v>
      </c>
      <c r="BH373" s="490" t="s">
        <v>4216</v>
      </c>
      <c r="BI373" s="490" t="s">
        <v>4217</v>
      </c>
      <c r="BJ373" s="490" t="s">
        <v>4218</v>
      </c>
      <c r="BK373" s="437"/>
      <c r="BL373" s="437"/>
      <c r="BM373" s="437"/>
      <c r="BN373" s="437"/>
      <c r="BO373" s="437"/>
      <c r="BP373" s="437"/>
    </row>
    <row r="374" spans="1:68">
      <c r="A374" s="437"/>
      <c r="B374" s="437"/>
      <c r="C374" s="437"/>
      <c r="D374" s="437"/>
      <c r="E374" s="437"/>
      <c r="F374" s="437"/>
      <c r="G374" s="437"/>
      <c r="H374" s="437"/>
      <c r="I374" s="437"/>
      <c r="J374" s="437"/>
      <c r="K374" s="437"/>
      <c r="L374" s="437"/>
      <c r="M374" s="437"/>
      <c r="N374" s="437"/>
      <c r="O374" s="437"/>
      <c r="P374" s="437"/>
      <c r="Q374" s="437"/>
      <c r="R374" s="437"/>
      <c r="S374" s="437"/>
      <c r="T374" s="437"/>
      <c r="U374" s="437"/>
      <c r="V374" s="437"/>
      <c r="W374" s="437"/>
      <c r="X374" s="437"/>
      <c r="Y374" s="437"/>
      <c r="Z374" s="437"/>
      <c r="AA374" s="437"/>
      <c r="AB374" s="437"/>
      <c r="AC374" s="437"/>
      <c r="AD374" s="437"/>
      <c r="AE374" s="437"/>
      <c r="AF374" s="437"/>
      <c r="AG374" s="437"/>
      <c r="AH374" s="437"/>
      <c r="AI374" s="437"/>
      <c r="AJ374" s="437"/>
      <c r="AK374" s="437"/>
      <c r="AL374" s="437"/>
      <c r="AM374" s="437"/>
      <c r="AN374" s="437"/>
      <c r="AO374" s="437"/>
      <c r="AP374" s="437"/>
      <c r="AQ374" s="437"/>
      <c r="AR374" s="437"/>
      <c r="AS374" s="437"/>
      <c r="AT374" s="437"/>
      <c r="AU374" s="437"/>
      <c r="AV374" s="437"/>
      <c r="AW374" s="437"/>
      <c r="AX374" s="436">
        <v>369</v>
      </c>
      <c r="AY374" s="490" t="s">
        <v>4219</v>
      </c>
      <c r="AZ374" s="490" t="s">
        <v>4220</v>
      </c>
      <c r="BA374" s="490" t="s">
        <v>4221</v>
      </c>
      <c r="BB374" s="490" t="s">
        <v>4222</v>
      </c>
      <c r="BC374" s="490" t="s">
        <v>4223</v>
      </c>
      <c r="BD374" s="490" t="s">
        <v>4224</v>
      </c>
      <c r="BE374" s="490" t="s">
        <v>4225</v>
      </c>
      <c r="BF374" s="490" t="s">
        <v>4226</v>
      </c>
      <c r="BG374" s="490" t="s">
        <v>4214</v>
      </c>
      <c r="BH374" s="490" t="s">
        <v>4227</v>
      </c>
      <c r="BI374" s="490" t="s">
        <v>4228</v>
      </c>
      <c r="BJ374" s="490" t="s">
        <v>4111</v>
      </c>
      <c r="BK374" s="437"/>
      <c r="BL374" s="437"/>
      <c r="BM374" s="437"/>
      <c r="BN374" s="437"/>
      <c r="BO374" s="437"/>
      <c r="BP374" s="437"/>
    </row>
    <row r="375" spans="1:68">
      <c r="A375" s="437"/>
      <c r="B375" s="437"/>
      <c r="C375" s="437"/>
      <c r="D375" s="437"/>
      <c r="E375" s="437"/>
      <c r="F375" s="437"/>
      <c r="G375" s="437"/>
      <c r="H375" s="437"/>
      <c r="I375" s="437"/>
      <c r="J375" s="437"/>
      <c r="K375" s="437"/>
      <c r="L375" s="437"/>
      <c r="M375" s="437"/>
      <c r="N375" s="437"/>
      <c r="O375" s="437"/>
      <c r="P375" s="437"/>
      <c r="Q375" s="437"/>
      <c r="R375" s="437"/>
      <c r="S375" s="437"/>
      <c r="T375" s="437"/>
      <c r="U375" s="437"/>
      <c r="V375" s="437"/>
      <c r="W375" s="437"/>
      <c r="X375" s="437"/>
      <c r="Y375" s="437"/>
      <c r="Z375" s="437"/>
      <c r="AA375" s="437"/>
      <c r="AB375" s="437"/>
      <c r="AC375" s="437"/>
      <c r="AD375" s="437"/>
      <c r="AE375" s="437"/>
      <c r="AF375" s="437"/>
      <c r="AG375" s="437"/>
      <c r="AH375" s="437"/>
      <c r="AI375" s="437"/>
      <c r="AJ375" s="437"/>
      <c r="AK375" s="437"/>
      <c r="AL375" s="437"/>
      <c r="AM375" s="437"/>
      <c r="AN375" s="437"/>
      <c r="AO375" s="437"/>
      <c r="AP375" s="437"/>
      <c r="AQ375" s="437"/>
      <c r="AR375" s="437"/>
      <c r="AS375" s="437"/>
      <c r="AT375" s="437"/>
      <c r="AU375" s="437"/>
      <c r="AV375" s="437"/>
      <c r="AW375" s="437"/>
      <c r="AX375" s="436">
        <v>370</v>
      </c>
      <c r="AY375" s="490" t="s">
        <v>3780</v>
      </c>
      <c r="AZ375" s="490" t="s">
        <v>4229</v>
      </c>
      <c r="BA375" s="490" t="s">
        <v>4230</v>
      </c>
      <c r="BB375" s="490" t="s">
        <v>4231</v>
      </c>
      <c r="BC375" s="490" t="s">
        <v>4232</v>
      </c>
      <c r="BD375" s="490" t="s">
        <v>4233</v>
      </c>
      <c r="BE375" s="490" t="s">
        <v>4234</v>
      </c>
      <c r="BF375" s="490" t="s">
        <v>4235</v>
      </c>
      <c r="BG375" s="490" t="s">
        <v>4236</v>
      </c>
      <c r="BH375" s="490" t="s">
        <v>4142</v>
      </c>
      <c r="BI375" s="490" t="s">
        <v>4237</v>
      </c>
      <c r="BJ375" s="490" t="s">
        <v>4122</v>
      </c>
      <c r="BK375" s="437"/>
      <c r="BL375" s="437"/>
      <c r="BM375" s="437"/>
      <c r="BN375" s="437"/>
      <c r="BO375" s="437"/>
      <c r="BP375" s="437"/>
    </row>
    <row r="376" spans="1:68">
      <c r="A376" s="437"/>
      <c r="B376" s="437"/>
      <c r="C376" s="437"/>
      <c r="D376" s="437"/>
      <c r="E376" s="437"/>
      <c r="F376" s="437"/>
      <c r="G376" s="437"/>
      <c r="H376" s="437"/>
      <c r="I376" s="437"/>
      <c r="J376" s="437"/>
      <c r="K376" s="437"/>
      <c r="L376" s="437"/>
      <c r="M376" s="437"/>
      <c r="N376" s="437"/>
      <c r="O376" s="437"/>
      <c r="P376" s="437"/>
      <c r="Q376" s="437"/>
      <c r="R376" s="437"/>
      <c r="S376" s="437"/>
      <c r="T376" s="437"/>
      <c r="U376" s="437"/>
      <c r="V376" s="437"/>
      <c r="W376" s="437"/>
      <c r="X376" s="437"/>
      <c r="Y376" s="437"/>
      <c r="Z376" s="437"/>
      <c r="AA376" s="437"/>
      <c r="AB376" s="437"/>
      <c r="AC376" s="437"/>
      <c r="AD376" s="437"/>
      <c r="AE376" s="437"/>
      <c r="AF376" s="437"/>
      <c r="AG376" s="437"/>
      <c r="AH376" s="437"/>
      <c r="AI376" s="437"/>
      <c r="AJ376" s="437"/>
      <c r="AK376" s="437"/>
      <c r="AL376" s="437"/>
      <c r="AM376" s="437"/>
      <c r="AN376" s="437"/>
      <c r="AO376" s="437"/>
      <c r="AP376" s="437"/>
      <c r="AQ376" s="437"/>
      <c r="AR376" s="437"/>
      <c r="AS376" s="437"/>
      <c r="AT376" s="437"/>
      <c r="AU376" s="437"/>
      <c r="AV376" s="437"/>
      <c r="AW376" s="437"/>
      <c r="AX376" s="436">
        <v>371</v>
      </c>
      <c r="AY376" s="490" t="s">
        <v>4220</v>
      </c>
      <c r="AZ376" s="490" t="s">
        <v>3865</v>
      </c>
      <c r="BA376" s="490" t="s">
        <v>4238</v>
      </c>
      <c r="BB376" s="490" t="s">
        <v>4239</v>
      </c>
      <c r="BC376" s="490" t="s">
        <v>4240</v>
      </c>
      <c r="BD376" s="490" t="s">
        <v>886</v>
      </c>
      <c r="BE376" s="490" t="s">
        <v>4241</v>
      </c>
      <c r="BF376" s="490" t="s">
        <v>584</v>
      </c>
      <c r="BG376" s="490" t="s">
        <v>4235</v>
      </c>
      <c r="BH376" s="490" t="s">
        <v>4152</v>
      </c>
      <c r="BI376" s="490" t="s">
        <v>4242</v>
      </c>
      <c r="BJ376" s="490" t="s">
        <v>4133</v>
      </c>
      <c r="BK376" s="437"/>
      <c r="BL376" s="437"/>
      <c r="BM376" s="437"/>
      <c r="BN376" s="437"/>
      <c r="BO376" s="437"/>
      <c r="BP376" s="437"/>
    </row>
    <row r="377" spans="1:68">
      <c r="A377" s="437"/>
      <c r="B377" s="437"/>
      <c r="C377" s="437"/>
      <c r="D377" s="437"/>
      <c r="E377" s="437"/>
      <c r="F377" s="437"/>
      <c r="G377" s="437"/>
      <c r="H377" s="437"/>
      <c r="I377" s="437"/>
      <c r="J377" s="437"/>
      <c r="K377" s="437"/>
      <c r="L377" s="437"/>
      <c r="M377" s="437"/>
      <c r="N377" s="437"/>
      <c r="O377" s="437"/>
      <c r="P377" s="437"/>
      <c r="Q377" s="437"/>
      <c r="R377" s="437"/>
      <c r="S377" s="437"/>
      <c r="T377" s="437"/>
      <c r="U377" s="437"/>
      <c r="V377" s="437"/>
      <c r="W377" s="437"/>
      <c r="X377" s="437"/>
      <c r="Y377" s="437"/>
      <c r="Z377" s="437"/>
      <c r="AA377" s="437"/>
      <c r="AB377" s="437"/>
      <c r="AC377" s="437"/>
      <c r="AD377" s="437"/>
      <c r="AE377" s="437"/>
      <c r="AF377" s="437"/>
      <c r="AG377" s="437"/>
      <c r="AH377" s="437"/>
      <c r="AI377" s="437"/>
      <c r="AJ377" s="437"/>
      <c r="AK377" s="437"/>
      <c r="AL377" s="437"/>
      <c r="AM377" s="437"/>
      <c r="AN377" s="437"/>
      <c r="AO377" s="437"/>
      <c r="AP377" s="437"/>
      <c r="AQ377" s="437"/>
      <c r="AR377" s="437"/>
      <c r="AS377" s="437"/>
      <c r="AT377" s="437"/>
      <c r="AU377" s="437"/>
      <c r="AV377" s="437"/>
      <c r="AW377" s="437"/>
      <c r="AX377" s="436">
        <v>372</v>
      </c>
      <c r="AY377" s="490" t="s">
        <v>4243</v>
      </c>
      <c r="AZ377" s="490" t="s">
        <v>4244</v>
      </c>
      <c r="BA377" s="490" t="s">
        <v>4245</v>
      </c>
      <c r="BB377" s="490" t="s">
        <v>4158</v>
      </c>
      <c r="BC377" s="490" t="s">
        <v>2023</v>
      </c>
      <c r="BD377" s="490" t="s">
        <v>4246</v>
      </c>
      <c r="BE377" s="490" t="s">
        <v>4247</v>
      </c>
      <c r="BF377" s="490" t="s">
        <v>4248</v>
      </c>
      <c r="BG377" s="490" t="s">
        <v>584</v>
      </c>
      <c r="BH377" s="490" t="s">
        <v>4249</v>
      </c>
      <c r="BI377" s="490" t="s">
        <v>4250</v>
      </c>
      <c r="BJ377" s="490" t="s">
        <v>4251</v>
      </c>
      <c r="BK377" s="437"/>
      <c r="BL377" s="437"/>
      <c r="BM377" s="437"/>
      <c r="BN377" s="437"/>
      <c r="BO377" s="437"/>
      <c r="BP377" s="437"/>
    </row>
    <row r="378" spans="1:68">
      <c r="A378" s="437"/>
      <c r="B378" s="437"/>
      <c r="C378" s="437"/>
      <c r="D378" s="437"/>
      <c r="E378" s="437"/>
      <c r="F378" s="437"/>
      <c r="G378" s="437"/>
      <c r="H378" s="437"/>
      <c r="I378" s="437"/>
      <c r="J378" s="437"/>
      <c r="K378" s="437"/>
      <c r="L378" s="437"/>
      <c r="M378" s="437"/>
      <c r="N378" s="437"/>
      <c r="O378" s="437"/>
      <c r="P378" s="437"/>
      <c r="Q378" s="437"/>
      <c r="R378" s="437"/>
      <c r="S378" s="437"/>
      <c r="T378" s="437"/>
      <c r="U378" s="437"/>
      <c r="V378" s="437"/>
      <c r="W378" s="437"/>
      <c r="X378" s="437"/>
      <c r="Y378" s="437"/>
      <c r="Z378" s="437"/>
      <c r="AA378" s="437"/>
      <c r="AB378" s="437"/>
      <c r="AC378" s="437"/>
      <c r="AD378" s="437"/>
      <c r="AE378" s="437"/>
      <c r="AF378" s="437"/>
      <c r="AG378" s="437"/>
      <c r="AH378" s="437"/>
      <c r="AI378" s="437"/>
      <c r="AJ378" s="437"/>
      <c r="AK378" s="437"/>
      <c r="AL378" s="437"/>
      <c r="AM378" s="437"/>
      <c r="AN378" s="437"/>
      <c r="AO378" s="437"/>
      <c r="AP378" s="437"/>
      <c r="AQ378" s="437"/>
      <c r="AR378" s="437"/>
      <c r="AS378" s="437"/>
      <c r="AT378" s="437"/>
      <c r="AU378" s="437"/>
      <c r="AV378" s="437"/>
      <c r="AW378" s="437"/>
      <c r="AX378" s="436">
        <v>373</v>
      </c>
      <c r="AY378" s="490" t="s">
        <v>4252</v>
      </c>
      <c r="AZ378" s="490" t="s">
        <v>4253</v>
      </c>
      <c r="BA378" s="490" t="s">
        <v>4254</v>
      </c>
      <c r="BB378" s="490" t="s">
        <v>4255</v>
      </c>
      <c r="BC378" s="490" t="s">
        <v>4256</v>
      </c>
      <c r="BD378" s="490" t="s">
        <v>4257</v>
      </c>
      <c r="BE378" s="490" t="s">
        <v>4258</v>
      </c>
      <c r="BF378" s="490" t="s">
        <v>4259</v>
      </c>
      <c r="BG378" s="490" t="s">
        <v>4260</v>
      </c>
      <c r="BH378" s="490" t="s">
        <v>4261</v>
      </c>
      <c r="BI378" s="490" t="s">
        <v>4262</v>
      </c>
      <c r="BJ378" s="490" t="s">
        <v>4263</v>
      </c>
      <c r="BK378" s="437"/>
      <c r="BL378" s="437"/>
      <c r="BM378" s="437"/>
      <c r="BN378" s="437"/>
      <c r="BO378" s="437"/>
      <c r="BP378" s="437"/>
    </row>
    <row r="379" spans="1:68">
      <c r="A379" s="437"/>
      <c r="B379" s="437"/>
      <c r="C379" s="437"/>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c r="AA379" s="437"/>
      <c r="AB379" s="437"/>
      <c r="AC379" s="437"/>
      <c r="AD379" s="437"/>
      <c r="AE379" s="437"/>
      <c r="AF379" s="437"/>
      <c r="AG379" s="437"/>
      <c r="AH379" s="437"/>
      <c r="AI379" s="437"/>
      <c r="AJ379" s="437"/>
      <c r="AK379" s="437"/>
      <c r="AL379" s="437"/>
      <c r="AM379" s="437"/>
      <c r="AN379" s="437"/>
      <c r="AO379" s="437"/>
      <c r="AP379" s="437"/>
      <c r="AQ379" s="437"/>
      <c r="AR379" s="437"/>
      <c r="AS379" s="437"/>
      <c r="AT379" s="437"/>
      <c r="AU379" s="437"/>
      <c r="AV379" s="437"/>
      <c r="AW379" s="437"/>
      <c r="AX379" s="436">
        <v>374</v>
      </c>
      <c r="AY379" s="490" t="s">
        <v>4264</v>
      </c>
      <c r="AZ379" s="490" t="s">
        <v>4265</v>
      </c>
      <c r="BA379" s="490" t="s">
        <v>4266</v>
      </c>
      <c r="BB379" s="490" t="s">
        <v>4267</v>
      </c>
      <c r="BC379" s="490" t="s">
        <v>4268</v>
      </c>
      <c r="BD379" s="490" t="s">
        <v>4269</v>
      </c>
      <c r="BE379" s="490" t="s">
        <v>4270</v>
      </c>
      <c r="BF379" s="490" t="s">
        <v>1252</v>
      </c>
      <c r="BG379" s="490" t="s">
        <v>4259</v>
      </c>
      <c r="BH379" s="490" t="s">
        <v>4271</v>
      </c>
      <c r="BI379" s="490" t="s">
        <v>4272</v>
      </c>
      <c r="BJ379" s="490" t="s">
        <v>4273</v>
      </c>
      <c r="BK379" s="437"/>
      <c r="BL379" s="437"/>
      <c r="BM379" s="437"/>
      <c r="BN379" s="437"/>
      <c r="BO379" s="437"/>
      <c r="BP379" s="437"/>
    </row>
    <row r="380" spans="1:68">
      <c r="A380" s="437"/>
      <c r="B380" s="437"/>
      <c r="C380" s="437"/>
      <c r="D380" s="437"/>
      <c r="E380" s="437"/>
      <c r="F380" s="437"/>
      <c r="G380" s="437"/>
      <c r="H380" s="437"/>
      <c r="I380" s="437"/>
      <c r="J380" s="437"/>
      <c r="K380" s="437"/>
      <c r="L380" s="437"/>
      <c r="M380" s="437"/>
      <c r="N380" s="437"/>
      <c r="O380" s="437"/>
      <c r="P380" s="437"/>
      <c r="Q380" s="437"/>
      <c r="R380" s="437"/>
      <c r="S380" s="437"/>
      <c r="T380" s="437"/>
      <c r="U380" s="437"/>
      <c r="V380" s="437"/>
      <c r="W380" s="437"/>
      <c r="X380" s="437"/>
      <c r="Y380" s="437"/>
      <c r="Z380" s="437"/>
      <c r="AA380" s="437"/>
      <c r="AB380" s="437"/>
      <c r="AC380" s="437"/>
      <c r="AD380" s="437"/>
      <c r="AE380" s="437"/>
      <c r="AF380" s="437"/>
      <c r="AG380" s="437"/>
      <c r="AH380" s="437"/>
      <c r="AI380" s="437"/>
      <c r="AJ380" s="437"/>
      <c r="AK380" s="437"/>
      <c r="AL380" s="437"/>
      <c r="AM380" s="437"/>
      <c r="AN380" s="437"/>
      <c r="AO380" s="437"/>
      <c r="AP380" s="437"/>
      <c r="AQ380" s="437"/>
      <c r="AR380" s="437"/>
      <c r="AS380" s="437"/>
      <c r="AT380" s="437"/>
      <c r="AU380" s="437"/>
      <c r="AV380" s="437"/>
      <c r="AW380" s="437"/>
      <c r="AX380" s="436">
        <v>375</v>
      </c>
      <c r="AY380" s="490" t="s">
        <v>3810</v>
      </c>
      <c r="AZ380" s="490" t="s">
        <v>4274</v>
      </c>
      <c r="BA380" s="490" t="s">
        <v>4275</v>
      </c>
      <c r="BB380" s="490" t="s">
        <v>4191</v>
      </c>
      <c r="BC380" s="490" t="s">
        <v>4276</v>
      </c>
      <c r="BD380" s="490" t="s">
        <v>4277</v>
      </c>
      <c r="BE380" s="490" t="s">
        <v>4278</v>
      </c>
      <c r="BF380" s="490" t="s">
        <v>4279</v>
      </c>
      <c r="BG380" s="490" t="s">
        <v>4280</v>
      </c>
      <c r="BH380" s="490" t="s">
        <v>515</v>
      </c>
      <c r="BI380" s="490" t="s">
        <v>4281</v>
      </c>
      <c r="BJ380" s="490" t="s">
        <v>4282</v>
      </c>
      <c r="BK380" s="437"/>
      <c r="BL380" s="437"/>
      <c r="BM380" s="437"/>
      <c r="BN380" s="437"/>
      <c r="BO380" s="437"/>
      <c r="BP380" s="437"/>
    </row>
    <row r="381" spans="1:68">
      <c r="A381" s="437"/>
      <c r="B381" s="437"/>
      <c r="C381" s="437"/>
      <c r="D381" s="437"/>
      <c r="E381" s="437"/>
      <c r="F381" s="437"/>
      <c r="G381" s="437"/>
      <c r="H381" s="437"/>
      <c r="I381" s="437"/>
      <c r="J381" s="437"/>
      <c r="K381" s="437"/>
      <c r="L381" s="437"/>
      <c r="M381" s="437"/>
      <c r="N381" s="437"/>
      <c r="O381" s="437"/>
      <c r="P381" s="437"/>
      <c r="Q381" s="437"/>
      <c r="R381" s="437"/>
      <c r="S381" s="437"/>
      <c r="T381" s="437"/>
      <c r="U381" s="437"/>
      <c r="V381" s="437"/>
      <c r="W381" s="437"/>
      <c r="X381" s="437"/>
      <c r="Y381" s="437"/>
      <c r="Z381" s="437"/>
      <c r="AA381" s="437"/>
      <c r="AB381" s="437"/>
      <c r="AC381" s="437"/>
      <c r="AD381" s="437"/>
      <c r="AE381" s="437"/>
      <c r="AF381" s="437"/>
      <c r="AG381" s="437"/>
      <c r="AH381" s="437"/>
      <c r="AI381" s="437"/>
      <c r="AJ381" s="437"/>
      <c r="AK381" s="437"/>
      <c r="AL381" s="437"/>
      <c r="AM381" s="437"/>
      <c r="AN381" s="437"/>
      <c r="AO381" s="437"/>
      <c r="AP381" s="437"/>
      <c r="AQ381" s="437"/>
      <c r="AR381" s="437"/>
      <c r="AS381" s="437"/>
      <c r="AT381" s="437"/>
      <c r="AU381" s="437"/>
      <c r="AV381" s="437"/>
      <c r="AW381" s="437"/>
      <c r="AX381" s="436">
        <v>376</v>
      </c>
      <c r="AY381" s="490" t="s">
        <v>4283</v>
      </c>
      <c r="AZ381" s="490" t="s">
        <v>4284</v>
      </c>
      <c r="BA381" s="490" t="s">
        <v>4285</v>
      </c>
      <c r="BB381" s="490" t="s">
        <v>4286</v>
      </c>
      <c r="BC381" s="490" t="s">
        <v>4287</v>
      </c>
      <c r="BD381" s="490" t="s">
        <v>4288</v>
      </c>
      <c r="BE381" s="490" t="s">
        <v>1271</v>
      </c>
      <c r="BF381" s="490" t="s">
        <v>4289</v>
      </c>
      <c r="BG381" s="490" t="s">
        <v>4290</v>
      </c>
      <c r="BH381" s="490" t="s">
        <v>4291</v>
      </c>
      <c r="BI381" s="490" t="s">
        <v>4292</v>
      </c>
      <c r="BJ381" s="490" t="s">
        <v>4293</v>
      </c>
      <c r="BK381" s="437"/>
      <c r="BL381" s="437"/>
      <c r="BM381" s="437"/>
      <c r="BN381" s="437"/>
      <c r="BO381" s="437"/>
      <c r="BP381" s="437"/>
    </row>
    <row r="382" spans="1:68">
      <c r="A382" s="437"/>
      <c r="B382" s="437"/>
      <c r="C382" s="437"/>
      <c r="D382" s="437"/>
      <c r="E382" s="437"/>
      <c r="F382" s="437"/>
      <c r="G382" s="437"/>
      <c r="H382" s="437"/>
      <c r="I382" s="437"/>
      <c r="J382" s="437"/>
      <c r="K382" s="437"/>
      <c r="L382" s="437"/>
      <c r="M382" s="437"/>
      <c r="N382" s="437"/>
      <c r="O382" s="437"/>
      <c r="P382" s="437"/>
      <c r="Q382" s="437"/>
      <c r="R382" s="437"/>
      <c r="S382" s="437"/>
      <c r="T382" s="437"/>
      <c r="U382" s="437"/>
      <c r="V382" s="437"/>
      <c r="W382" s="437"/>
      <c r="X382" s="437"/>
      <c r="Y382" s="437"/>
      <c r="Z382" s="437"/>
      <c r="AA382" s="437"/>
      <c r="AB382" s="437"/>
      <c r="AC382" s="437"/>
      <c r="AD382" s="437"/>
      <c r="AE382" s="437"/>
      <c r="AF382" s="437"/>
      <c r="AG382" s="437"/>
      <c r="AH382" s="437"/>
      <c r="AI382" s="437"/>
      <c r="AJ382" s="437"/>
      <c r="AK382" s="437"/>
      <c r="AL382" s="437"/>
      <c r="AM382" s="437"/>
      <c r="AN382" s="437"/>
      <c r="AO382" s="437"/>
      <c r="AP382" s="437"/>
      <c r="AQ382" s="437"/>
      <c r="AR382" s="437"/>
      <c r="AS382" s="437"/>
      <c r="AT382" s="437"/>
      <c r="AU382" s="437"/>
      <c r="AV382" s="437"/>
      <c r="AW382" s="437"/>
      <c r="AX382" s="436">
        <v>377</v>
      </c>
      <c r="AY382" s="490" t="s">
        <v>4294</v>
      </c>
      <c r="AZ382" s="490" t="s">
        <v>4295</v>
      </c>
      <c r="BA382" s="490" t="s">
        <v>4296</v>
      </c>
      <c r="BB382" s="490" t="s">
        <v>4297</v>
      </c>
      <c r="BC382" s="490" t="s">
        <v>4298</v>
      </c>
      <c r="BD382" s="490" t="s">
        <v>4299</v>
      </c>
      <c r="BE382" s="490" t="s">
        <v>4300</v>
      </c>
      <c r="BF382" s="490" t="s">
        <v>526</v>
      </c>
      <c r="BG382" s="490" t="s">
        <v>4301</v>
      </c>
      <c r="BH382" s="490" t="s">
        <v>4302</v>
      </c>
      <c r="BI382" s="490" t="s">
        <v>4303</v>
      </c>
      <c r="BJ382" s="490" t="s">
        <v>4304</v>
      </c>
      <c r="BK382" s="437"/>
      <c r="BL382" s="437"/>
      <c r="BM382" s="437"/>
      <c r="BN382" s="437"/>
      <c r="BO382" s="437"/>
      <c r="BP382" s="437"/>
    </row>
    <row r="383" spans="1:68">
      <c r="A383" s="437"/>
      <c r="B383" s="437"/>
      <c r="C383" s="437"/>
      <c r="D383" s="437"/>
      <c r="E383" s="437"/>
      <c r="F383" s="437"/>
      <c r="G383" s="437"/>
      <c r="H383" s="437"/>
      <c r="I383" s="437"/>
      <c r="J383" s="437"/>
      <c r="K383" s="437"/>
      <c r="L383" s="437"/>
      <c r="M383" s="437"/>
      <c r="N383" s="437"/>
      <c r="O383" s="437"/>
      <c r="P383" s="437"/>
      <c r="Q383" s="437"/>
      <c r="R383" s="437"/>
      <c r="S383" s="437"/>
      <c r="T383" s="437"/>
      <c r="U383" s="437"/>
      <c r="V383" s="437"/>
      <c r="W383" s="437"/>
      <c r="X383" s="437"/>
      <c r="Y383" s="437"/>
      <c r="Z383" s="437"/>
      <c r="AA383" s="437"/>
      <c r="AB383" s="437"/>
      <c r="AC383" s="437"/>
      <c r="AD383" s="437"/>
      <c r="AE383" s="437"/>
      <c r="AF383" s="437"/>
      <c r="AG383" s="437"/>
      <c r="AH383" s="437"/>
      <c r="AI383" s="437"/>
      <c r="AJ383" s="437"/>
      <c r="AK383" s="437"/>
      <c r="AL383" s="437"/>
      <c r="AM383" s="437"/>
      <c r="AN383" s="437"/>
      <c r="AO383" s="437"/>
      <c r="AP383" s="437"/>
      <c r="AQ383" s="437"/>
      <c r="AR383" s="437"/>
      <c r="AS383" s="437"/>
      <c r="AT383" s="437"/>
      <c r="AU383" s="437"/>
      <c r="AV383" s="437"/>
      <c r="AW383" s="437"/>
      <c r="AX383" s="436">
        <v>378</v>
      </c>
      <c r="AY383" s="490" t="s">
        <v>4305</v>
      </c>
      <c r="AZ383" s="490" t="s">
        <v>4306</v>
      </c>
      <c r="BA383" s="490" t="s">
        <v>857</v>
      </c>
      <c r="BB383" s="490" t="s">
        <v>4307</v>
      </c>
      <c r="BC383" s="490" t="s">
        <v>4308</v>
      </c>
      <c r="BD383" s="490" t="s">
        <v>4309</v>
      </c>
      <c r="BE383" s="490" t="s">
        <v>4289</v>
      </c>
      <c r="BF383" s="490" t="s">
        <v>4310</v>
      </c>
      <c r="BG383" s="490" t="s">
        <v>526</v>
      </c>
      <c r="BH383" s="490" t="s">
        <v>4311</v>
      </c>
      <c r="BI383" s="490" t="s">
        <v>4312</v>
      </c>
      <c r="BJ383" s="490" t="s">
        <v>4207</v>
      </c>
      <c r="BK383" s="437"/>
      <c r="BL383" s="437"/>
      <c r="BM383" s="437"/>
      <c r="BN383" s="437"/>
      <c r="BO383" s="437"/>
      <c r="BP383" s="437"/>
    </row>
    <row r="384" spans="1:68">
      <c r="A384" s="437"/>
      <c r="B384" s="437"/>
      <c r="C384" s="437"/>
      <c r="D384" s="437"/>
      <c r="E384" s="437"/>
      <c r="F384" s="437"/>
      <c r="G384" s="437"/>
      <c r="H384" s="437"/>
      <c r="I384" s="437"/>
      <c r="J384" s="437"/>
      <c r="K384" s="437"/>
      <c r="L384" s="437"/>
      <c r="M384" s="437"/>
      <c r="N384" s="437"/>
      <c r="O384" s="437"/>
      <c r="P384" s="437"/>
      <c r="Q384" s="437"/>
      <c r="R384" s="437"/>
      <c r="S384" s="437"/>
      <c r="T384" s="437"/>
      <c r="U384" s="437"/>
      <c r="V384" s="437"/>
      <c r="W384" s="437"/>
      <c r="X384" s="437"/>
      <c r="Y384" s="437"/>
      <c r="Z384" s="437"/>
      <c r="AA384" s="437"/>
      <c r="AB384" s="437"/>
      <c r="AC384" s="437"/>
      <c r="AD384" s="437"/>
      <c r="AE384" s="437"/>
      <c r="AF384" s="437"/>
      <c r="AG384" s="437"/>
      <c r="AH384" s="437"/>
      <c r="AI384" s="437"/>
      <c r="AJ384" s="437"/>
      <c r="AK384" s="437"/>
      <c r="AL384" s="437"/>
      <c r="AM384" s="437"/>
      <c r="AN384" s="437"/>
      <c r="AO384" s="437"/>
      <c r="AP384" s="437"/>
      <c r="AQ384" s="437"/>
      <c r="AR384" s="437"/>
      <c r="AS384" s="437"/>
      <c r="AT384" s="437"/>
      <c r="AU384" s="437"/>
      <c r="AV384" s="437"/>
      <c r="AW384" s="437"/>
      <c r="AX384" s="436">
        <v>379</v>
      </c>
      <c r="AY384" s="490" t="s">
        <v>4295</v>
      </c>
      <c r="AZ384" s="490" t="s">
        <v>4313</v>
      </c>
      <c r="BA384" s="490" t="s">
        <v>4314</v>
      </c>
      <c r="BB384" s="490" t="s">
        <v>4315</v>
      </c>
      <c r="BC384" s="490" t="s">
        <v>4316</v>
      </c>
      <c r="BD384" s="490" t="s">
        <v>4317</v>
      </c>
      <c r="BE384" s="490" t="s">
        <v>4318</v>
      </c>
      <c r="BF384" s="490" t="s">
        <v>4319</v>
      </c>
      <c r="BG384" s="490" t="s">
        <v>538</v>
      </c>
      <c r="BH384" s="490" t="s">
        <v>487</v>
      </c>
      <c r="BI384" s="490" t="s">
        <v>2102</v>
      </c>
      <c r="BJ384" s="490" t="s">
        <v>4320</v>
      </c>
      <c r="BK384" s="437"/>
      <c r="BL384" s="437"/>
      <c r="BM384" s="437"/>
      <c r="BN384" s="437"/>
      <c r="BO384" s="437"/>
      <c r="BP384" s="437"/>
    </row>
    <row r="385" spans="1:68">
      <c r="A385" s="437"/>
      <c r="B385" s="437"/>
      <c r="C385" s="437"/>
      <c r="D385" s="437"/>
      <c r="E385" s="437"/>
      <c r="F385" s="437"/>
      <c r="G385" s="437"/>
      <c r="H385" s="437"/>
      <c r="I385" s="437"/>
      <c r="J385" s="437"/>
      <c r="K385" s="437"/>
      <c r="L385" s="437"/>
      <c r="M385" s="437"/>
      <c r="N385" s="437"/>
      <c r="O385" s="437"/>
      <c r="P385" s="437"/>
      <c r="Q385" s="437"/>
      <c r="R385" s="437"/>
      <c r="S385" s="437"/>
      <c r="T385" s="437"/>
      <c r="U385" s="437"/>
      <c r="V385" s="437"/>
      <c r="W385" s="437"/>
      <c r="X385" s="437"/>
      <c r="Y385" s="437"/>
      <c r="Z385" s="437"/>
      <c r="AA385" s="437"/>
      <c r="AB385" s="437"/>
      <c r="AC385" s="437"/>
      <c r="AD385" s="437"/>
      <c r="AE385" s="437"/>
      <c r="AF385" s="437"/>
      <c r="AG385" s="437"/>
      <c r="AH385" s="437"/>
      <c r="AI385" s="437"/>
      <c r="AJ385" s="437"/>
      <c r="AK385" s="437"/>
      <c r="AL385" s="437"/>
      <c r="AM385" s="437"/>
      <c r="AN385" s="437"/>
      <c r="AO385" s="437"/>
      <c r="AP385" s="437"/>
      <c r="AQ385" s="437"/>
      <c r="AR385" s="437"/>
      <c r="AS385" s="437"/>
      <c r="AT385" s="437"/>
      <c r="AU385" s="437"/>
      <c r="AV385" s="437"/>
      <c r="AW385" s="437"/>
      <c r="AX385" s="436">
        <v>380</v>
      </c>
      <c r="AY385" s="490" t="s">
        <v>4321</v>
      </c>
      <c r="AZ385" s="490" t="s">
        <v>4322</v>
      </c>
      <c r="BA385" s="490" t="s">
        <v>4323</v>
      </c>
      <c r="BB385" s="490" t="s">
        <v>1648</v>
      </c>
      <c r="BC385" s="490" t="s">
        <v>4324</v>
      </c>
      <c r="BD385" s="490" t="s">
        <v>4325</v>
      </c>
      <c r="BE385" s="490" t="s">
        <v>4326</v>
      </c>
      <c r="BF385" s="490" t="s">
        <v>4327</v>
      </c>
      <c r="BG385" s="490" t="s">
        <v>4328</v>
      </c>
      <c r="BH385" s="490" t="s">
        <v>4329</v>
      </c>
      <c r="BI385" s="490" t="s">
        <v>4330</v>
      </c>
      <c r="BJ385" s="490" t="s">
        <v>4331</v>
      </c>
      <c r="BK385" s="437"/>
      <c r="BL385" s="437"/>
      <c r="BM385" s="437"/>
      <c r="BN385" s="437"/>
      <c r="BO385" s="437"/>
      <c r="BP385" s="437"/>
    </row>
    <row r="386" spans="1:68">
      <c r="A386" s="437"/>
      <c r="B386" s="437"/>
      <c r="C386" s="437"/>
      <c r="D386" s="437"/>
      <c r="E386" s="437"/>
      <c r="F386" s="437"/>
      <c r="G386" s="437"/>
      <c r="H386" s="437"/>
      <c r="I386" s="437"/>
      <c r="J386" s="437"/>
      <c r="K386" s="437"/>
      <c r="L386" s="437"/>
      <c r="M386" s="437"/>
      <c r="N386" s="437"/>
      <c r="O386" s="437"/>
      <c r="P386" s="437"/>
      <c r="Q386" s="437"/>
      <c r="R386" s="437"/>
      <c r="S386" s="437"/>
      <c r="T386" s="437"/>
      <c r="U386" s="437"/>
      <c r="V386" s="437"/>
      <c r="W386" s="437"/>
      <c r="X386" s="437"/>
      <c r="Y386" s="437"/>
      <c r="Z386" s="437"/>
      <c r="AA386" s="437"/>
      <c r="AB386" s="437"/>
      <c r="AC386" s="437"/>
      <c r="AD386" s="437"/>
      <c r="AE386" s="437"/>
      <c r="AF386" s="437"/>
      <c r="AG386" s="437"/>
      <c r="AH386" s="437"/>
      <c r="AI386" s="437"/>
      <c r="AJ386" s="437"/>
      <c r="AK386" s="437"/>
      <c r="AL386" s="437"/>
      <c r="AM386" s="437"/>
      <c r="AN386" s="437"/>
      <c r="AO386" s="437"/>
      <c r="AP386" s="437"/>
      <c r="AQ386" s="437"/>
      <c r="AR386" s="437"/>
      <c r="AS386" s="437"/>
      <c r="AT386" s="437"/>
      <c r="AU386" s="437"/>
      <c r="AV386" s="437"/>
      <c r="AW386" s="437"/>
      <c r="AX386" s="436">
        <v>381</v>
      </c>
      <c r="AY386" s="490" t="s">
        <v>4332</v>
      </c>
      <c r="AZ386" s="490" t="s">
        <v>4333</v>
      </c>
      <c r="BA386" s="490" t="s">
        <v>4334</v>
      </c>
      <c r="BB386" s="490" t="s">
        <v>4335</v>
      </c>
      <c r="BC386" s="490" t="s">
        <v>4336</v>
      </c>
      <c r="BD386" s="490" t="s">
        <v>4337</v>
      </c>
      <c r="BE386" s="490" t="s">
        <v>4338</v>
      </c>
      <c r="BF386" s="490" t="s">
        <v>572</v>
      </c>
      <c r="BG386" s="490" t="s">
        <v>4327</v>
      </c>
      <c r="BH386" s="490" t="s">
        <v>584</v>
      </c>
      <c r="BI386" s="490" t="s">
        <v>4339</v>
      </c>
      <c r="BJ386" s="490" t="s">
        <v>4340</v>
      </c>
      <c r="BK386" s="437"/>
      <c r="BL386" s="437"/>
      <c r="BM386" s="437"/>
      <c r="BN386" s="437"/>
      <c r="BO386" s="437"/>
      <c r="BP386" s="437"/>
    </row>
    <row r="387" spans="1:68">
      <c r="A387" s="437"/>
      <c r="B387" s="437"/>
      <c r="C387" s="437"/>
      <c r="D387" s="437"/>
      <c r="E387" s="437"/>
      <c r="F387" s="437"/>
      <c r="G387" s="437"/>
      <c r="H387" s="437"/>
      <c r="I387" s="437"/>
      <c r="J387" s="437"/>
      <c r="K387" s="437"/>
      <c r="L387" s="437"/>
      <c r="M387" s="437"/>
      <c r="N387" s="437"/>
      <c r="O387" s="437"/>
      <c r="P387" s="437"/>
      <c r="Q387" s="437"/>
      <c r="R387" s="437"/>
      <c r="S387" s="437"/>
      <c r="T387" s="437"/>
      <c r="U387" s="437"/>
      <c r="V387" s="437"/>
      <c r="W387" s="437"/>
      <c r="X387" s="437"/>
      <c r="Y387" s="437"/>
      <c r="Z387" s="437"/>
      <c r="AA387" s="437"/>
      <c r="AB387" s="437"/>
      <c r="AC387" s="437"/>
      <c r="AD387" s="437"/>
      <c r="AE387" s="437"/>
      <c r="AF387" s="437"/>
      <c r="AG387" s="437"/>
      <c r="AH387" s="437"/>
      <c r="AI387" s="437"/>
      <c r="AJ387" s="437"/>
      <c r="AK387" s="437"/>
      <c r="AL387" s="437"/>
      <c r="AM387" s="437"/>
      <c r="AN387" s="437"/>
      <c r="AO387" s="437"/>
      <c r="AP387" s="437"/>
      <c r="AQ387" s="437"/>
      <c r="AR387" s="437"/>
      <c r="AS387" s="437"/>
      <c r="AT387" s="437"/>
      <c r="AU387" s="437"/>
      <c r="AV387" s="437"/>
      <c r="AW387" s="437"/>
      <c r="AX387" s="436">
        <v>382</v>
      </c>
      <c r="AY387" s="490" t="s">
        <v>4322</v>
      </c>
      <c r="AZ387" s="490" t="s">
        <v>3857</v>
      </c>
      <c r="BA387" s="490" t="s">
        <v>1380</v>
      </c>
      <c r="BB387" s="490" t="s">
        <v>4341</v>
      </c>
      <c r="BC387" s="490" t="s">
        <v>4342</v>
      </c>
      <c r="BD387" s="490" t="s">
        <v>4343</v>
      </c>
      <c r="BE387" s="490" t="s">
        <v>4344</v>
      </c>
      <c r="BF387" s="490" t="s">
        <v>4345</v>
      </c>
      <c r="BG387" s="490" t="s">
        <v>572</v>
      </c>
      <c r="BH387" s="490" t="s">
        <v>596</v>
      </c>
      <c r="BI387" s="490" t="s">
        <v>4346</v>
      </c>
      <c r="BJ387" s="490" t="s">
        <v>4242</v>
      </c>
      <c r="BK387" s="437"/>
      <c r="BL387" s="437"/>
      <c r="BM387" s="437"/>
      <c r="BN387" s="437"/>
      <c r="BO387" s="437"/>
      <c r="BP387" s="437"/>
    </row>
    <row r="388" spans="1:68">
      <c r="A388" s="437"/>
      <c r="B388" s="437"/>
      <c r="C388" s="437"/>
      <c r="D388" s="437"/>
      <c r="E388" s="437"/>
      <c r="F388" s="437"/>
      <c r="G388" s="437"/>
      <c r="H388" s="437"/>
      <c r="I388" s="437"/>
      <c r="J388" s="437"/>
      <c r="K388" s="437"/>
      <c r="L388" s="437"/>
      <c r="M388" s="437"/>
      <c r="N388" s="437"/>
      <c r="O388" s="437"/>
      <c r="P388" s="437"/>
      <c r="Q388" s="437"/>
      <c r="R388" s="437"/>
      <c r="S388" s="437"/>
      <c r="T388" s="437"/>
      <c r="U388" s="437"/>
      <c r="V388" s="437"/>
      <c r="W388" s="437"/>
      <c r="X388" s="437"/>
      <c r="Y388" s="437"/>
      <c r="Z388" s="437"/>
      <c r="AA388" s="437"/>
      <c r="AB388" s="437"/>
      <c r="AC388" s="437"/>
      <c r="AD388" s="437"/>
      <c r="AE388" s="437"/>
      <c r="AF388" s="437"/>
      <c r="AG388" s="437"/>
      <c r="AH388" s="437"/>
      <c r="AI388" s="437"/>
      <c r="AJ388" s="437"/>
      <c r="AK388" s="437"/>
      <c r="AL388" s="437"/>
      <c r="AM388" s="437"/>
      <c r="AN388" s="437"/>
      <c r="AO388" s="437"/>
      <c r="AP388" s="437"/>
      <c r="AQ388" s="437"/>
      <c r="AR388" s="437"/>
      <c r="AS388" s="437"/>
      <c r="AT388" s="437"/>
      <c r="AU388" s="437"/>
      <c r="AV388" s="437"/>
      <c r="AW388" s="437"/>
      <c r="AX388" s="436">
        <v>383</v>
      </c>
      <c r="AY388" s="490" t="s">
        <v>3846</v>
      </c>
      <c r="AZ388" s="490" t="s">
        <v>4347</v>
      </c>
      <c r="BA388" s="490" t="s">
        <v>3867</v>
      </c>
      <c r="BB388" s="490" t="s">
        <v>4348</v>
      </c>
      <c r="BC388" s="490" t="s">
        <v>4349</v>
      </c>
      <c r="BD388" s="490" t="s">
        <v>4350</v>
      </c>
      <c r="BE388" s="490" t="s">
        <v>4351</v>
      </c>
      <c r="BF388" s="490" t="s">
        <v>4352</v>
      </c>
      <c r="BG388" s="490" t="s">
        <v>4353</v>
      </c>
      <c r="BH388" s="490" t="s">
        <v>4354</v>
      </c>
      <c r="BI388" s="490" t="s">
        <v>4355</v>
      </c>
      <c r="BJ388" s="490" t="s">
        <v>4356</v>
      </c>
      <c r="BK388" s="437"/>
      <c r="BL388" s="437"/>
      <c r="BM388" s="437"/>
      <c r="BN388" s="437"/>
      <c r="BO388" s="437"/>
      <c r="BP388" s="437"/>
    </row>
    <row r="389" spans="1:68">
      <c r="A389" s="437"/>
      <c r="B389" s="437"/>
      <c r="C389" s="437"/>
      <c r="D389" s="437"/>
      <c r="E389" s="437"/>
      <c r="F389" s="437"/>
      <c r="G389" s="437"/>
      <c r="H389" s="437"/>
      <c r="I389" s="437"/>
      <c r="J389" s="437"/>
      <c r="K389" s="437"/>
      <c r="L389" s="437"/>
      <c r="M389" s="437"/>
      <c r="N389" s="437"/>
      <c r="O389" s="437"/>
      <c r="P389" s="437"/>
      <c r="Q389" s="437"/>
      <c r="R389" s="437"/>
      <c r="S389" s="437"/>
      <c r="T389" s="437"/>
      <c r="U389" s="437"/>
      <c r="V389" s="437"/>
      <c r="W389" s="437"/>
      <c r="X389" s="437"/>
      <c r="Y389" s="437"/>
      <c r="Z389" s="437"/>
      <c r="AA389" s="437"/>
      <c r="AB389" s="437"/>
      <c r="AC389" s="437"/>
      <c r="AD389" s="437"/>
      <c r="AE389" s="437"/>
      <c r="AF389" s="437"/>
      <c r="AG389" s="437"/>
      <c r="AH389" s="437"/>
      <c r="AI389" s="437"/>
      <c r="AJ389" s="437"/>
      <c r="AK389" s="437"/>
      <c r="AL389" s="437"/>
      <c r="AM389" s="437"/>
      <c r="AN389" s="437"/>
      <c r="AO389" s="437"/>
      <c r="AP389" s="437"/>
      <c r="AQ389" s="437"/>
      <c r="AR389" s="437"/>
      <c r="AS389" s="437"/>
      <c r="AT389" s="437"/>
      <c r="AU389" s="437"/>
      <c r="AV389" s="437"/>
      <c r="AW389" s="437"/>
      <c r="AX389" s="436">
        <v>384</v>
      </c>
      <c r="AY389" s="490" t="s">
        <v>3874</v>
      </c>
      <c r="AZ389" s="490" t="s">
        <v>4357</v>
      </c>
      <c r="BA389" s="490" t="s">
        <v>4358</v>
      </c>
      <c r="BB389" s="490" t="s">
        <v>4359</v>
      </c>
      <c r="BC389" s="490" t="s">
        <v>4360</v>
      </c>
      <c r="BD389" s="490" t="s">
        <v>4361</v>
      </c>
      <c r="BE389" s="490" t="s">
        <v>4362</v>
      </c>
      <c r="BF389" s="490" t="s">
        <v>4363</v>
      </c>
      <c r="BG389" s="490" t="s">
        <v>4364</v>
      </c>
      <c r="BH389" s="490" t="s">
        <v>4365</v>
      </c>
      <c r="BI389" s="490" t="s">
        <v>4366</v>
      </c>
      <c r="BJ389" s="490" t="s">
        <v>4367</v>
      </c>
      <c r="BK389" s="437"/>
      <c r="BL389" s="437"/>
      <c r="BM389" s="437"/>
      <c r="BN389" s="437"/>
      <c r="BO389" s="437"/>
      <c r="BP389" s="437"/>
    </row>
    <row r="390" spans="1:68">
      <c r="A390" s="437"/>
      <c r="B390" s="437"/>
      <c r="C390" s="437"/>
      <c r="D390" s="437"/>
      <c r="E390" s="437"/>
      <c r="F390" s="437"/>
      <c r="G390" s="437"/>
      <c r="H390" s="437"/>
      <c r="I390" s="437"/>
      <c r="J390" s="437"/>
      <c r="K390" s="437"/>
      <c r="L390" s="437"/>
      <c r="M390" s="437"/>
      <c r="N390" s="437"/>
      <c r="O390" s="437"/>
      <c r="P390" s="437"/>
      <c r="Q390" s="437"/>
      <c r="R390" s="437"/>
      <c r="S390" s="437"/>
      <c r="T390" s="437"/>
      <c r="U390" s="437"/>
      <c r="V390" s="437"/>
      <c r="W390" s="437"/>
      <c r="X390" s="437"/>
      <c r="Y390" s="437"/>
      <c r="Z390" s="437"/>
      <c r="AA390" s="437"/>
      <c r="AB390" s="437"/>
      <c r="AC390" s="437"/>
      <c r="AD390" s="437"/>
      <c r="AE390" s="437"/>
      <c r="AF390" s="437"/>
      <c r="AG390" s="437"/>
      <c r="AH390" s="437"/>
      <c r="AI390" s="437"/>
      <c r="AJ390" s="437"/>
      <c r="AK390" s="437"/>
      <c r="AL390" s="437"/>
      <c r="AM390" s="437"/>
      <c r="AN390" s="437"/>
      <c r="AO390" s="437"/>
      <c r="AP390" s="437"/>
      <c r="AQ390" s="437"/>
      <c r="AR390" s="437"/>
      <c r="AS390" s="437"/>
      <c r="AT390" s="437"/>
      <c r="AU390" s="437"/>
      <c r="AV390" s="437"/>
      <c r="AW390" s="437"/>
      <c r="AX390" s="436">
        <v>385</v>
      </c>
      <c r="AY390" s="490" t="s">
        <v>4368</v>
      </c>
      <c r="AZ390" s="490" t="s">
        <v>4369</v>
      </c>
      <c r="BA390" s="490" t="s">
        <v>4357</v>
      </c>
      <c r="BB390" s="490" t="s">
        <v>4370</v>
      </c>
      <c r="BC390" s="490" t="s">
        <v>4371</v>
      </c>
      <c r="BD390" s="490" t="s">
        <v>4372</v>
      </c>
      <c r="BE390" s="490" t="s">
        <v>4373</v>
      </c>
      <c r="BF390" s="490" t="s">
        <v>4374</v>
      </c>
      <c r="BG390" s="490" t="s">
        <v>4375</v>
      </c>
      <c r="BH390" s="490" t="s">
        <v>630</v>
      </c>
      <c r="BI390" s="490" t="s">
        <v>4376</v>
      </c>
      <c r="BJ390" s="490" t="s">
        <v>4377</v>
      </c>
      <c r="BK390" s="437"/>
      <c r="BL390" s="437"/>
      <c r="BM390" s="437"/>
      <c r="BN390" s="437"/>
      <c r="BO390" s="437"/>
      <c r="BP390" s="437"/>
    </row>
    <row r="391" spans="1:68">
      <c r="A391" s="437"/>
      <c r="B391" s="437"/>
      <c r="C391" s="437"/>
      <c r="D391" s="437"/>
      <c r="E391" s="437"/>
      <c r="F391" s="437"/>
      <c r="G391" s="437"/>
      <c r="H391" s="437"/>
      <c r="I391" s="437"/>
      <c r="J391" s="437"/>
      <c r="K391" s="437"/>
      <c r="L391" s="437"/>
      <c r="M391" s="437"/>
      <c r="N391" s="437"/>
      <c r="O391" s="437"/>
      <c r="P391" s="437"/>
      <c r="Q391" s="437"/>
      <c r="R391" s="437"/>
      <c r="S391" s="437"/>
      <c r="T391" s="437"/>
      <c r="U391" s="437"/>
      <c r="V391" s="437"/>
      <c r="W391" s="437"/>
      <c r="X391" s="437"/>
      <c r="Y391" s="437"/>
      <c r="Z391" s="437"/>
      <c r="AA391" s="437"/>
      <c r="AB391" s="437"/>
      <c r="AC391" s="437"/>
      <c r="AD391" s="437"/>
      <c r="AE391" s="437"/>
      <c r="AF391" s="437"/>
      <c r="AG391" s="437"/>
      <c r="AH391" s="437"/>
      <c r="AI391" s="437"/>
      <c r="AJ391" s="437"/>
      <c r="AK391" s="437"/>
      <c r="AL391" s="437"/>
      <c r="AM391" s="437"/>
      <c r="AN391" s="437"/>
      <c r="AO391" s="437"/>
      <c r="AP391" s="437"/>
      <c r="AQ391" s="437"/>
      <c r="AR391" s="437"/>
      <c r="AS391" s="437"/>
      <c r="AT391" s="437"/>
      <c r="AU391" s="437"/>
      <c r="AV391" s="437"/>
      <c r="AW391" s="437"/>
      <c r="AX391" s="436">
        <v>386</v>
      </c>
      <c r="AY391" s="490" t="s">
        <v>4357</v>
      </c>
      <c r="AZ391" s="490" t="s">
        <v>4378</v>
      </c>
      <c r="BA391" s="490" t="s">
        <v>4379</v>
      </c>
      <c r="BB391" s="490" t="s">
        <v>4380</v>
      </c>
      <c r="BC391" s="490" t="s">
        <v>4381</v>
      </c>
      <c r="BD391" s="490" t="s">
        <v>4382</v>
      </c>
      <c r="BE391" s="490" t="s">
        <v>4383</v>
      </c>
      <c r="BF391" s="490" t="s">
        <v>4384</v>
      </c>
      <c r="BG391" s="490" t="s">
        <v>4385</v>
      </c>
      <c r="BH391" s="490" t="s">
        <v>4386</v>
      </c>
      <c r="BI391" s="490" t="s">
        <v>2183</v>
      </c>
      <c r="BJ391" s="490" t="s">
        <v>4387</v>
      </c>
      <c r="BK391" s="437"/>
      <c r="BL391" s="437"/>
      <c r="BM391" s="437"/>
      <c r="BN391" s="437"/>
      <c r="BO391" s="437"/>
      <c r="BP391" s="437"/>
    </row>
    <row r="392" spans="1:68">
      <c r="A392" s="437"/>
      <c r="B392" s="437"/>
      <c r="C392" s="437"/>
      <c r="D392" s="437"/>
      <c r="E392" s="437"/>
      <c r="F392" s="437"/>
      <c r="G392" s="437"/>
      <c r="H392" s="437"/>
      <c r="I392" s="437"/>
      <c r="J392" s="437"/>
      <c r="K392" s="437"/>
      <c r="L392" s="437"/>
      <c r="M392" s="437"/>
      <c r="N392" s="437"/>
      <c r="O392" s="437"/>
      <c r="P392" s="437"/>
      <c r="Q392" s="437"/>
      <c r="R392" s="437"/>
      <c r="S392" s="437"/>
      <c r="T392" s="437"/>
      <c r="U392" s="437"/>
      <c r="V392" s="437"/>
      <c r="W392" s="437"/>
      <c r="X392" s="437"/>
      <c r="Y392" s="437"/>
      <c r="Z392" s="437"/>
      <c r="AA392" s="437"/>
      <c r="AB392" s="437"/>
      <c r="AC392" s="437"/>
      <c r="AD392" s="437"/>
      <c r="AE392" s="437"/>
      <c r="AF392" s="437"/>
      <c r="AG392" s="437"/>
      <c r="AH392" s="437"/>
      <c r="AI392" s="437"/>
      <c r="AJ392" s="437"/>
      <c r="AK392" s="437"/>
      <c r="AL392" s="437"/>
      <c r="AM392" s="437"/>
      <c r="AN392" s="437"/>
      <c r="AO392" s="437"/>
      <c r="AP392" s="437"/>
      <c r="AQ392" s="437"/>
      <c r="AR392" s="437"/>
      <c r="AS392" s="437"/>
      <c r="AT392" s="437"/>
      <c r="AU392" s="437"/>
      <c r="AV392" s="437"/>
      <c r="AW392" s="437"/>
      <c r="AX392" s="436">
        <v>387</v>
      </c>
      <c r="AY392" s="490" t="s">
        <v>4388</v>
      </c>
      <c r="AZ392" s="490" t="s">
        <v>4389</v>
      </c>
      <c r="BA392" s="490" t="s">
        <v>4390</v>
      </c>
      <c r="BB392" s="490" t="s">
        <v>4391</v>
      </c>
      <c r="BC392" s="490" t="s">
        <v>4392</v>
      </c>
      <c r="BD392" s="490" t="s">
        <v>4393</v>
      </c>
      <c r="BE392" s="490" t="s">
        <v>4374</v>
      </c>
      <c r="BF392" s="490" t="s">
        <v>4394</v>
      </c>
      <c r="BG392" s="490" t="s">
        <v>4395</v>
      </c>
      <c r="BH392" s="490" t="s">
        <v>4396</v>
      </c>
      <c r="BI392" s="490" t="s">
        <v>4397</v>
      </c>
      <c r="BJ392" s="490" t="s">
        <v>4398</v>
      </c>
      <c r="BK392" s="437"/>
      <c r="BL392" s="437"/>
      <c r="BM392" s="437"/>
      <c r="BN392" s="437"/>
      <c r="BO392" s="437"/>
      <c r="BP392" s="437"/>
    </row>
    <row r="393" spans="1:68">
      <c r="A393" s="437"/>
      <c r="B393" s="437"/>
      <c r="C393" s="437"/>
      <c r="D393" s="437"/>
      <c r="E393" s="437"/>
      <c r="F393" s="437"/>
      <c r="G393" s="437"/>
      <c r="H393" s="437"/>
      <c r="I393" s="437"/>
      <c r="J393" s="437"/>
      <c r="K393" s="437"/>
      <c r="L393" s="437"/>
      <c r="M393" s="437"/>
      <c r="N393" s="437"/>
      <c r="O393" s="437"/>
      <c r="P393" s="437"/>
      <c r="Q393" s="437"/>
      <c r="R393" s="437"/>
      <c r="S393" s="437"/>
      <c r="T393" s="437"/>
      <c r="U393" s="437"/>
      <c r="V393" s="437"/>
      <c r="W393" s="437"/>
      <c r="X393" s="437"/>
      <c r="Y393" s="437"/>
      <c r="Z393" s="437"/>
      <c r="AA393" s="437"/>
      <c r="AB393" s="437"/>
      <c r="AC393" s="437"/>
      <c r="AD393" s="437"/>
      <c r="AE393" s="437"/>
      <c r="AF393" s="437"/>
      <c r="AG393" s="437"/>
      <c r="AH393" s="437"/>
      <c r="AI393" s="437"/>
      <c r="AJ393" s="437"/>
      <c r="AK393" s="437"/>
      <c r="AL393" s="437"/>
      <c r="AM393" s="437"/>
      <c r="AN393" s="437"/>
      <c r="AO393" s="437"/>
      <c r="AP393" s="437"/>
      <c r="AQ393" s="437"/>
      <c r="AR393" s="437"/>
      <c r="AS393" s="437"/>
      <c r="AT393" s="437"/>
      <c r="AU393" s="437"/>
      <c r="AV393" s="437"/>
      <c r="AW393" s="437"/>
      <c r="AX393" s="436">
        <v>388</v>
      </c>
      <c r="AY393" s="490" t="s">
        <v>4399</v>
      </c>
      <c r="AZ393" s="490" t="s">
        <v>3684</v>
      </c>
      <c r="BA393" s="490" t="s">
        <v>4400</v>
      </c>
      <c r="BB393" s="490" t="s">
        <v>4401</v>
      </c>
      <c r="BC393" s="490" t="s">
        <v>4402</v>
      </c>
      <c r="BD393" s="490" t="s">
        <v>4403</v>
      </c>
      <c r="BE393" s="490" t="s">
        <v>4384</v>
      </c>
      <c r="BF393" s="490" t="s">
        <v>4404</v>
      </c>
      <c r="BG393" s="490" t="s">
        <v>4405</v>
      </c>
      <c r="BH393" s="490" t="s">
        <v>4406</v>
      </c>
      <c r="BI393" s="490" t="s">
        <v>4407</v>
      </c>
      <c r="BJ393" s="490" t="s">
        <v>4303</v>
      </c>
      <c r="BK393" s="437"/>
      <c r="BL393" s="437"/>
      <c r="BM393" s="437"/>
      <c r="BN393" s="437"/>
      <c r="BO393" s="437"/>
      <c r="BP393" s="437"/>
    </row>
    <row r="394" spans="1:68">
      <c r="A394" s="437"/>
      <c r="B394" s="437"/>
      <c r="C394" s="437"/>
      <c r="D394" s="437"/>
      <c r="E394" s="437"/>
      <c r="F394" s="437"/>
      <c r="G394" s="437"/>
      <c r="H394" s="437"/>
      <c r="I394" s="437"/>
      <c r="J394" s="437"/>
      <c r="K394" s="437"/>
      <c r="L394" s="437"/>
      <c r="M394" s="437"/>
      <c r="N394" s="437"/>
      <c r="O394" s="437"/>
      <c r="P394" s="437"/>
      <c r="Q394" s="437"/>
      <c r="R394" s="437"/>
      <c r="S394" s="437"/>
      <c r="T394" s="437"/>
      <c r="U394" s="437"/>
      <c r="V394" s="437"/>
      <c r="W394" s="437"/>
      <c r="X394" s="437"/>
      <c r="Y394" s="437"/>
      <c r="Z394" s="437"/>
      <c r="AA394" s="437"/>
      <c r="AB394" s="437"/>
      <c r="AC394" s="437"/>
      <c r="AD394" s="437"/>
      <c r="AE394" s="437"/>
      <c r="AF394" s="437"/>
      <c r="AG394" s="437"/>
      <c r="AH394" s="437"/>
      <c r="AI394" s="437"/>
      <c r="AJ394" s="437"/>
      <c r="AK394" s="437"/>
      <c r="AL394" s="437"/>
      <c r="AM394" s="437"/>
      <c r="AN394" s="437"/>
      <c r="AO394" s="437"/>
      <c r="AP394" s="437"/>
      <c r="AQ394" s="437"/>
      <c r="AR394" s="437"/>
      <c r="AS394" s="437"/>
      <c r="AT394" s="437"/>
      <c r="AU394" s="437"/>
      <c r="AV394" s="437"/>
      <c r="AW394" s="437"/>
      <c r="AX394" s="436">
        <v>389</v>
      </c>
      <c r="AY394" s="490" t="s">
        <v>4408</v>
      </c>
      <c r="AZ394" s="490" t="s">
        <v>4409</v>
      </c>
      <c r="BA394" s="490" t="s">
        <v>3694</v>
      </c>
      <c r="BB394" s="490" t="s">
        <v>4410</v>
      </c>
      <c r="BC394" s="490" t="s">
        <v>4411</v>
      </c>
      <c r="BD394" s="490" t="s">
        <v>4412</v>
      </c>
      <c r="BE394" s="490" t="s">
        <v>4413</v>
      </c>
      <c r="BF394" s="490" t="s">
        <v>4414</v>
      </c>
      <c r="BG394" s="490" t="s">
        <v>4415</v>
      </c>
      <c r="BH394" s="490" t="s">
        <v>488</v>
      </c>
      <c r="BI394" s="490" t="s">
        <v>4416</v>
      </c>
      <c r="BJ394" s="490" t="s">
        <v>2193</v>
      </c>
      <c r="BK394" s="437"/>
      <c r="BL394" s="437"/>
      <c r="BM394" s="437"/>
      <c r="BN394" s="437"/>
      <c r="BO394" s="437"/>
      <c r="BP394" s="437"/>
    </row>
    <row r="395" spans="1:68">
      <c r="A395" s="437"/>
      <c r="B395" s="437"/>
      <c r="C395" s="437"/>
      <c r="D395" s="437"/>
      <c r="E395" s="437"/>
      <c r="F395" s="437"/>
      <c r="G395" s="437"/>
      <c r="H395" s="437"/>
      <c r="I395" s="437"/>
      <c r="J395" s="437"/>
      <c r="K395" s="437"/>
      <c r="L395" s="437"/>
      <c r="M395" s="437"/>
      <c r="N395" s="437"/>
      <c r="O395" s="437"/>
      <c r="P395" s="437"/>
      <c r="Q395" s="437"/>
      <c r="R395" s="437"/>
      <c r="S395" s="437"/>
      <c r="T395" s="437"/>
      <c r="U395" s="437"/>
      <c r="V395" s="437"/>
      <c r="W395" s="437"/>
      <c r="X395" s="437"/>
      <c r="Y395" s="437"/>
      <c r="Z395" s="437"/>
      <c r="AA395" s="437"/>
      <c r="AB395" s="437"/>
      <c r="AC395" s="437"/>
      <c r="AD395" s="437"/>
      <c r="AE395" s="437"/>
      <c r="AF395" s="437"/>
      <c r="AG395" s="437"/>
      <c r="AH395" s="437"/>
      <c r="AI395" s="437"/>
      <c r="AJ395" s="437"/>
      <c r="AK395" s="437"/>
      <c r="AL395" s="437"/>
      <c r="AM395" s="437"/>
      <c r="AN395" s="437"/>
      <c r="AO395" s="437"/>
      <c r="AP395" s="437"/>
      <c r="AQ395" s="437"/>
      <c r="AR395" s="437"/>
      <c r="AS395" s="437"/>
      <c r="AT395" s="437"/>
      <c r="AU395" s="437"/>
      <c r="AV395" s="437"/>
      <c r="AW395" s="437"/>
      <c r="AX395" s="436">
        <v>390</v>
      </c>
      <c r="AY395" s="490" t="s">
        <v>3703</v>
      </c>
      <c r="AZ395" s="490" t="s">
        <v>4417</v>
      </c>
      <c r="BA395" s="490" t="s">
        <v>4418</v>
      </c>
      <c r="BB395" s="490" t="s">
        <v>4419</v>
      </c>
      <c r="BC395" s="490" t="s">
        <v>4420</v>
      </c>
      <c r="BD395" s="490" t="s">
        <v>4421</v>
      </c>
      <c r="BE395" s="490" t="s">
        <v>4422</v>
      </c>
      <c r="BF395" s="490" t="s">
        <v>4423</v>
      </c>
      <c r="BG395" s="490" t="s">
        <v>4414</v>
      </c>
      <c r="BH395" s="490" t="s">
        <v>4424</v>
      </c>
      <c r="BI395" s="490" t="s">
        <v>4425</v>
      </c>
      <c r="BJ395" s="490" t="s">
        <v>4426</v>
      </c>
      <c r="BK395" s="437"/>
      <c r="BL395" s="437"/>
      <c r="BM395" s="437"/>
      <c r="BN395" s="437"/>
      <c r="BO395" s="437"/>
      <c r="BP395" s="437"/>
    </row>
    <row r="396" spans="1:68">
      <c r="A396" s="437"/>
      <c r="B396" s="437"/>
      <c r="C396" s="437"/>
      <c r="D396" s="437"/>
      <c r="E396" s="437"/>
      <c r="F396" s="437"/>
      <c r="G396" s="437"/>
      <c r="H396" s="437"/>
      <c r="I396" s="437"/>
      <c r="J396" s="437"/>
      <c r="K396" s="437"/>
      <c r="L396" s="437"/>
      <c r="M396" s="437"/>
      <c r="N396" s="437"/>
      <c r="O396" s="437"/>
      <c r="P396" s="437"/>
      <c r="Q396" s="437"/>
      <c r="R396" s="437"/>
      <c r="S396" s="437"/>
      <c r="T396" s="437"/>
      <c r="U396" s="437"/>
      <c r="V396" s="437"/>
      <c r="W396" s="437"/>
      <c r="X396" s="437"/>
      <c r="Y396" s="437"/>
      <c r="Z396" s="437"/>
      <c r="AA396" s="437"/>
      <c r="AB396" s="437"/>
      <c r="AC396" s="437"/>
      <c r="AD396" s="437"/>
      <c r="AE396" s="437"/>
      <c r="AF396" s="437"/>
      <c r="AG396" s="437"/>
      <c r="AH396" s="437"/>
      <c r="AI396" s="437"/>
      <c r="AJ396" s="437"/>
      <c r="AK396" s="437"/>
      <c r="AL396" s="437"/>
      <c r="AM396" s="437"/>
      <c r="AN396" s="437"/>
      <c r="AO396" s="437"/>
      <c r="AP396" s="437"/>
      <c r="AQ396" s="437"/>
      <c r="AR396" s="437"/>
      <c r="AS396" s="437"/>
      <c r="AT396" s="437"/>
      <c r="AU396" s="437"/>
      <c r="AV396" s="437"/>
      <c r="AW396" s="437"/>
      <c r="AX396" s="436">
        <v>391</v>
      </c>
      <c r="AY396" s="490" t="s">
        <v>4427</v>
      </c>
      <c r="AZ396" s="490" t="s">
        <v>4252</v>
      </c>
      <c r="BA396" s="490" t="s">
        <v>4428</v>
      </c>
      <c r="BB396" s="490" t="s">
        <v>4429</v>
      </c>
      <c r="BC396" s="490" t="s">
        <v>4430</v>
      </c>
      <c r="BD396" s="490" t="s">
        <v>4431</v>
      </c>
      <c r="BE396" s="490" t="s">
        <v>4432</v>
      </c>
      <c r="BF396" s="490" t="s">
        <v>4433</v>
      </c>
      <c r="BG396" s="490" t="s">
        <v>4434</v>
      </c>
      <c r="BH396" s="490" t="s">
        <v>4435</v>
      </c>
      <c r="BI396" s="490" t="s">
        <v>2232</v>
      </c>
      <c r="BJ396" s="490" t="s">
        <v>2214</v>
      </c>
      <c r="BK396" s="437"/>
      <c r="BL396" s="437"/>
      <c r="BM396" s="437"/>
      <c r="BN396" s="437"/>
      <c r="BO396" s="437"/>
      <c r="BP396" s="437"/>
    </row>
    <row r="397" spans="1:68">
      <c r="A397" s="437"/>
      <c r="B397" s="437"/>
      <c r="C397" s="437"/>
      <c r="D397" s="437"/>
      <c r="E397" s="437"/>
      <c r="F397" s="437"/>
      <c r="G397" s="437"/>
      <c r="H397" s="437"/>
      <c r="I397" s="437"/>
      <c r="J397" s="437"/>
      <c r="K397" s="437"/>
      <c r="L397" s="437"/>
      <c r="M397" s="437"/>
      <c r="N397" s="437"/>
      <c r="O397" s="437"/>
      <c r="P397" s="437"/>
      <c r="Q397" s="437"/>
      <c r="R397" s="437"/>
      <c r="S397" s="437"/>
      <c r="T397" s="437"/>
      <c r="U397" s="437"/>
      <c r="V397" s="437"/>
      <c r="W397" s="437"/>
      <c r="X397" s="437"/>
      <c r="Y397" s="437"/>
      <c r="Z397" s="437"/>
      <c r="AA397" s="437"/>
      <c r="AB397" s="437"/>
      <c r="AC397" s="437"/>
      <c r="AD397" s="437"/>
      <c r="AE397" s="437"/>
      <c r="AF397" s="437"/>
      <c r="AG397" s="437"/>
      <c r="AH397" s="437"/>
      <c r="AI397" s="437"/>
      <c r="AJ397" s="437"/>
      <c r="AK397" s="437"/>
      <c r="AL397" s="437"/>
      <c r="AM397" s="437"/>
      <c r="AN397" s="437"/>
      <c r="AO397" s="437"/>
      <c r="AP397" s="437"/>
      <c r="AQ397" s="437"/>
      <c r="AR397" s="437"/>
      <c r="AS397" s="437"/>
      <c r="AT397" s="437"/>
      <c r="AU397" s="437"/>
      <c r="AV397" s="437"/>
      <c r="AW397" s="437"/>
      <c r="AX397" s="436">
        <v>392</v>
      </c>
      <c r="AY397" s="490" t="s">
        <v>4436</v>
      </c>
      <c r="AZ397" s="490" t="s">
        <v>4437</v>
      </c>
      <c r="BA397" s="490" t="s">
        <v>743</v>
      </c>
      <c r="BB397" s="490" t="s">
        <v>3960</v>
      </c>
      <c r="BC397" s="490" t="s">
        <v>4438</v>
      </c>
      <c r="BD397" s="490" t="s">
        <v>489</v>
      </c>
      <c r="BE397" s="490" t="s">
        <v>4423</v>
      </c>
      <c r="BF397" s="490" t="s">
        <v>4439</v>
      </c>
      <c r="BG397" s="490" t="s">
        <v>4440</v>
      </c>
      <c r="BH397" s="490" t="s">
        <v>4441</v>
      </c>
      <c r="BI397" s="490" t="s">
        <v>4442</v>
      </c>
      <c r="BJ397" s="490" t="s">
        <v>4339</v>
      </c>
      <c r="BK397" s="437"/>
      <c r="BL397" s="437"/>
      <c r="BM397" s="437"/>
      <c r="BN397" s="437"/>
      <c r="BO397" s="437"/>
      <c r="BP397" s="437"/>
    </row>
    <row r="398" spans="1:68">
      <c r="A398" s="437"/>
      <c r="B398" s="437"/>
      <c r="C398" s="437"/>
      <c r="D398" s="437"/>
      <c r="E398" s="437"/>
      <c r="F398" s="437"/>
      <c r="G398" s="437"/>
      <c r="H398" s="437"/>
      <c r="I398" s="437"/>
      <c r="J398" s="437"/>
      <c r="K398" s="437"/>
      <c r="L398" s="437"/>
      <c r="M398" s="437"/>
      <c r="N398" s="437"/>
      <c r="O398" s="437"/>
      <c r="P398" s="437"/>
      <c r="Q398" s="437"/>
      <c r="R398" s="437"/>
      <c r="S398" s="437"/>
      <c r="T398" s="437"/>
      <c r="U398" s="437"/>
      <c r="V398" s="437"/>
      <c r="W398" s="437"/>
      <c r="X398" s="437"/>
      <c r="Y398" s="437"/>
      <c r="Z398" s="437"/>
      <c r="AA398" s="437"/>
      <c r="AB398" s="437"/>
      <c r="AC398" s="437"/>
      <c r="AD398" s="437"/>
      <c r="AE398" s="437"/>
      <c r="AF398" s="437"/>
      <c r="AG398" s="437"/>
      <c r="AH398" s="437"/>
      <c r="AI398" s="437"/>
      <c r="AJ398" s="437"/>
      <c r="AK398" s="437"/>
      <c r="AL398" s="437"/>
      <c r="AM398" s="437"/>
      <c r="AN398" s="437"/>
      <c r="AO398" s="437"/>
      <c r="AP398" s="437"/>
      <c r="AQ398" s="437"/>
      <c r="AR398" s="437"/>
      <c r="AS398" s="437"/>
      <c r="AT398" s="437"/>
      <c r="AU398" s="437"/>
      <c r="AV398" s="437"/>
      <c r="AW398" s="437"/>
      <c r="AX398" s="436">
        <v>393</v>
      </c>
      <c r="AY398" s="490" t="s">
        <v>4443</v>
      </c>
      <c r="AZ398" s="490" t="s">
        <v>4444</v>
      </c>
      <c r="BA398" s="490" t="s">
        <v>4445</v>
      </c>
      <c r="BB398" s="490" t="s">
        <v>4446</v>
      </c>
      <c r="BC398" s="490" t="s">
        <v>4447</v>
      </c>
      <c r="BD398" s="490" t="s">
        <v>4448</v>
      </c>
      <c r="BE398" s="490" t="s">
        <v>4449</v>
      </c>
      <c r="BF398" s="490" t="s">
        <v>4450</v>
      </c>
      <c r="BG398" s="490" t="s">
        <v>695</v>
      </c>
      <c r="BH398" s="490" t="s">
        <v>718</v>
      </c>
      <c r="BI398" s="490" t="s">
        <v>4451</v>
      </c>
      <c r="BJ398" s="490" t="s">
        <v>4452</v>
      </c>
      <c r="BK398" s="437"/>
      <c r="BL398" s="437"/>
      <c r="BM398" s="437"/>
      <c r="BN398" s="437"/>
      <c r="BO398" s="437"/>
      <c r="BP398" s="437"/>
    </row>
    <row r="399" spans="1:68">
      <c r="A399" s="437"/>
      <c r="B399" s="437"/>
      <c r="C399" s="437"/>
      <c r="D399" s="437"/>
      <c r="E399" s="437"/>
      <c r="F399" s="437"/>
      <c r="G399" s="437"/>
      <c r="H399" s="437"/>
      <c r="I399" s="437"/>
      <c r="J399" s="437"/>
      <c r="K399" s="437"/>
      <c r="L399" s="437"/>
      <c r="M399" s="437"/>
      <c r="N399" s="437"/>
      <c r="O399" s="437"/>
      <c r="P399" s="437"/>
      <c r="Q399" s="437"/>
      <c r="R399" s="437"/>
      <c r="S399" s="437"/>
      <c r="T399" s="437"/>
      <c r="U399" s="437"/>
      <c r="V399" s="437"/>
      <c r="W399" s="437"/>
      <c r="X399" s="437"/>
      <c r="Y399" s="437"/>
      <c r="Z399" s="437"/>
      <c r="AA399" s="437"/>
      <c r="AB399" s="437"/>
      <c r="AC399" s="437"/>
      <c r="AD399" s="437"/>
      <c r="AE399" s="437"/>
      <c r="AF399" s="437"/>
      <c r="AG399" s="437"/>
      <c r="AH399" s="437"/>
      <c r="AI399" s="437"/>
      <c r="AJ399" s="437"/>
      <c r="AK399" s="437"/>
      <c r="AL399" s="437"/>
      <c r="AM399" s="437"/>
      <c r="AN399" s="437"/>
      <c r="AO399" s="437"/>
      <c r="AP399" s="437"/>
      <c r="AQ399" s="437"/>
      <c r="AR399" s="437"/>
      <c r="AS399" s="437"/>
      <c r="AT399" s="437"/>
      <c r="AU399" s="437"/>
      <c r="AV399" s="437"/>
      <c r="AW399" s="437"/>
      <c r="AX399" s="436">
        <v>394</v>
      </c>
      <c r="AY399" s="490" t="s">
        <v>4437</v>
      </c>
      <c r="AZ399" s="490" t="s">
        <v>4453</v>
      </c>
      <c r="BA399" s="490" t="s">
        <v>4454</v>
      </c>
      <c r="BB399" s="490" t="s">
        <v>4455</v>
      </c>
      <c r="BC399" s="490" t="s">
        <v>4456</v>
      </c>
      <c r="BD399" s="490" t="s">
        <v>4457</v>
      </c>
      <c r="BE399" s="490" t="s">
        <v>4458</v>
      </c>
      <c r="BF399" s="490" t="s">
        <v>2764</v>
      </c>
      <c r="BG399" s="490" t="s">
        <v>4459</v>
      </c>
      <c r="BH399" s="490" t="s">
        <v>4375</v>
      </c>
      <c r="BI399" s="490" t="s">
        <v>4460</v>
      </c>
      <c r="BJ399" s="490" t="s">
        <v>4461</v>
      </c>
      <c r="BK399" s="437"/>
      <c r="BL399" s="437"/>
      <c r="BM399" s="437"/>
      <c r="BN399" s="437"/>
      <c r="BO399" s="437"/>
      <c r="BP399" s="437"/>
    </row>
    <row r="400" spans="1:68">
      <c r="A400" s="437"/>
      <c r="B400" s="437"/>
      <c r="C400" s="437"/>
      <c r="D400" s="437"/>
      <c r="E400" s="437"/>
      <c r="F400" s="437"/>
      <c r="G400" s="437"/>
      <c r="H400" s="437"/>
      <c r="I400" s="437"/>
      <c r="J400" s="437"/>
      <c r="K400" s="437"/>
      <c r="L400" s="437"/>
      <c r="M400" s="437"/>
      <c r="N400" s="437"/>
      <c r="O400" s="437"/>
      <c r="P400" s="437"/>
      <c r="Q400" s="437"/>
      <c r="R400" s="437"/>
      <c r="S400" s="437"/>
      <c r="T400" s="437"/>
      <c r="U400" s="437"/>
      <c r="V400" s="437"/>
      <c r="W400" s="437"/>
      <c r="X400" s="437"/>
      <c r="Y400" s="437"/>
      <c r="Z400" s="437"/>
      <c r="AA400" s="437"/>
      <c r="AB400" s="437"/>
      <c r="AC400" s="437"/>
      <c r="AD400" s="437"/>
      <c r="AE400" s="437"/>
      <c r="AF400" s="437"/>
      <c r="AG400" s="437"/>
      <c r="AH400" s="437"/>
      <c r="AI400" s="437"/>
      <c r="AJ400" s="437"/>
      <c r="AK400" s="437"/>
      <c r="AL400" s="437"/>
      <c r="AM400" s="437"/>
      <c r="AN400" s="437"/>
      <c r="AO400" s="437"/>
      <c r="AP400" s="437"/>
      <c r="AQ400" s="437"/>
      <c r="AR400" s="437"/>
      <c r="AS400" s="437"/>
      <c r="AT400" s="437"/>
      <c r="AU400" s="437"/>
      <c r="AV400" s="437"/>
      <c r="AW400" s="437"/>
      <c r="AX400" s="436">
        <v>395</v>
      </c>
      <c r="AY400" s="490" t="s">
        <v>4444</v>
      </c>
      <c r="AZ400" s="490" t="s">
        <v>4462</v>
      </c>
      <c r="BA400" s="490" t="s">
        <v>4463</v>
      </c>
      <c r="BB400" s="490" t="s">
        <v>4464</v>
      </c>
      <c r="BC400" s="490" t="s">
        <v>2272</v>
      </c>
      <c r="BD400" s="490" t="s">
        <v>4465</v>
      </c>
      <c r="BE400" s="490" t="s">
        <v>4450</v>
      </c>
      <c r="BF400" s="490" t="s">
        <v>4466</v>
      </c>
      <c r="BG400" s="490" t="s">
        <v>2775</v>
      </c>
      <c r="BH400" s="490" t="s">
        <v>736</v>
      </c>
      <c r="BI400" s="490" t="s">
        <v>2276</v>
      </c>
      <c r="BJ400" s="490" t="s">
        <v>4467</v>
      </c>
      <c r="BK400" s="437"/>
      <c r="BL400" s="437"/>
      <c r="BM400" s="437"/>
      <c r="BN400" s="437"/>
      <c r="BO400" s="437"/>
      <c r="BP400" s="437"/>
    </row>
    <row r="401" spans="1:68">
      <c r="A401" s="437"/>
      <c r="B401" s="437"/>
      <c r="C401" s="437"/>
      <c r="D401" s="437"/>
      <c r="E401" s="437"/>
      <c r="F401" s="437"/>
      <c r="G401" s="437"/>
      <c r="H401" s="437"/>
      <c r="I401" s="437"/>
      <c r="J401" s="437"/>
      <c r="K401" s="437"/>
      <c r="L401" s="437"/>
      <c r="M401" s="437"/>
      <c r="N401" s="437"/>
      <c r="O401" s="437"/>
      <c r="P401" s="437"/>
      <c r="Q401" s="437"/>
      <c r="R401" s="437"/>
      <c r="S401" s="437"/>
      <c r="T401" s="437"/>
      <c r="U401" s="437"/>
      <c r="V401" s="437"/>
      <c r="W401" s="437"/>
      <c r="X401" s="437"/>
      <c r="Y401" s="437"/>
      <c r="Z401" s="437"/>
      <c r="AA401" s="437"/>
      <c r="AB401" s="437"/>
      <c r="AC401" s="437"/>
      <c r="AD401" s="437"/>
      <c r="AE401" s="437"/>
      <c r="AF401" s="437"/>
      <c r="AG401" s="437"/>
      <c r="AH401" s="437"/>
      <c r="AI401" s="437"/>
      <c r="AJ401" s="437"/>
      <c r="AK401" s="437"/>
      <c r="AL401" s="437"/>
      <c r="AM401" s="437"/>
      <c r="AN401" s="437"/>
      <c r="AO401" s="437"/>
      <c r="AP401" s="437"/>
      <c r="AQ401" s="437"/>
      <c r="AR401" s="437"/>
      <c r="AS401" s="437"/>
      <c r="AT401" s="437"/>
      <c r="AU401" s="437"/>
      <c r="AV401" s="437"/>
      <c r="AW401" s="437"/>
      <c r="AX401" s="436">
        <v>396</v>
      </c>
      <c r="AY401" s="490" t="s">
        <v>4453</v>
      </c>
      <c r="AZ401" s="490" t="s">
        <v>4468</v>
      </c>
      <c r="BA401" s="490" t="s">
        <v>4469</v>
      </c>
      <c r="BB401" s="490" t="s">
        <v>4470</v>
      </c>
      <c r="BC401" s="490" t="s">
        <v>2282</v>
      </c>
      <c r="BD401" s="490" t="s">
        <v>4471</v>
      </c>
      <c r="BE401" s="490" t="s">
        <v>2764</v>
      </c>
      <c r="BF401" s="490" t="s">
        <v>4472</v>
      </c>
      <c r="BG401" s="490" t="s">
        <v>4473</v>
      </c>
      <c r="BH401" s="490" t="s">
        <v>4474</v>
      </c>
      <c r="BI401" s="490" t="s">
        <v>2288</v>
      </c>
      <c r="BJ401" s="490" t="s">
        <v>4475</v>
      </c>
      <c r="BK401" s="437"/>
      <c r="BL401" s="437"/>
      <c r="BM401" s="437"/>
      <c r="BN401" s="437"/>
      <c r="BO401" s="437"/>
      <c r="BP401" s="437"/>
    </row>
    <row r="402" spans="1:68">
      <c r="A402" s="437"/>
      <c r="B402" s="437"/>
      <c r="C402" s="437"/>
      <c r="D402" s="437"/>
      <c r="E402" s="437"/>
      <c r="F402" s="437"/>
      <c r="G402" s="437"/>
      <c r="H402" s="437"/>
      <c r="I402" s="437"/>
      <c r="J402" s="437"/>
      <c r="K402" s="437"/>
      <c r="L402" s="437"/>
      <c r="M402" s="437"/>
      <c r="N402" s="437"/>
      <c r="O402" s="437"/>
      <c r="P402" s="437"/>
      <c r="Q402" s="437"/>
      <c r="R402" s="437"/>
      <c r="S402" s="437"/>
      <c r="T402" s="437"/>
      <c r="U402" s="437"/>
      <c r="V402" s="437"/>
      <c r="W402" s="437"/>
      <c r="X402" s="437"/>
      <c r="Y402" s="437"/>
      <c r="Z402" s="437"/>
      <c r="AA402" s="437"/>
      <c r="AB402" s="437"/>
      <c r="AC402" s="437"/>
      <c r="AD402" s="437"/>
      <c r="AE402" s="437"/>
      <c r="AF402" s="437"/>
      <c r="AG402" s="437"/>
      <c r="AH402" s="437"/>
      <c r="AI402" s="437"/>
      <c r="AJ402" s="437"/>
      <c r="AK402" s="437"/>
      <c r="AL402" s="437"/>
      <c r="AM402" s="437"/>
      <c r="AN402" s="437"/>
      <c r="AO402" s="437"/>
      <c r="AP402" s="437"/>
      <c r="AQ402" s="437"/>
      <c r="AR402" s="437"/>
      <c r="AS402" s="437"/>
      <c r="AT402" s="437"/>
      <c r="AU402" s="437"/>
      <c r="AV402" s="437"/>
      <c r="AW402" s="437"/>
      <c r="AX402" s="436">
        <v>397</v>
      </c>
      <c r="AY402" s="490" t="s">
        <v>4462</v>
      </c>
      <c r="AZ402" s="490" t="s">
        <v>4476</v>
      </c>
      <c r="BA402" s="490" t="s">
        <v>4477</v>
      </c>
      <c r="BB402" s="490" t="s">
        <v>4478</v>
      </c>
      <c r="BC402" s="490" t="s">
        <v>2294</v>
      </c>
      <c r="BD402" s="490" t="s">
        <v>4479</v>
      </c>
      <c r="BE402" s="490" t="s">
        <v>4480</v>
      </c>
      <c r="BF402" s="490" t="s">
        <v>1500</v>
      </c>
      <c r="BG402" s="490" t="s">
        <v>4481</v>
      </c>
      <c r="BH402" s="490" t="s">
        <v>4482</v>
      </c>
      <c r="BI402" s="490" t="s">
        <v>4483</v>
      </c>
      <c r="BJ402" s="490" t="s">
        <v>4484</v>
      </c>
      <c r="BK402" s="437"/>
      <c r="BL402" s="437"/>
      <c r="BM402" s="437"/>
      <c r="BN402" s="437"/>
      <c r="BO402" s="437"/>
      <c r="BP402" s="437"/>
    </row>
    <row r="403" spans="1:68">
      <c r="A403" s="437"/>
      <c r="B403" s="437"/>
      <c r="C403" s="437"/>
      <c r="D403" s="437"/>
      <c r="E403" s="437"/>
      <c r="F403" s="437"/>
      <c r="G403" s="437"/>
      <c r="H403" s="437"/>
      <c r="I403" s="437"/>
      <c r="J403" s="437"/>
      <c r="K403" s="437"/>
      <c r="L403" s="437"/>
      <c r="M403" s="437"/>
      <c r="N403" s="437"/>
      <c r="O403" s="437"/>
      <c r="P403" s="437"/>
      <c r="Q403" s="437"/>
      <c r="R403" s="437"/>
      <c r="S403" s="437"/>
      <c r="T403" s="437"/>
      <c r="U403" s="437"/>
      <c r="V403" s="437"/>
      <c r="W403" s="437"/>
      <c r="X403" s="437"/>
      <c r="Y403" s="437"/>
      <c r="Z403" s="437"/>
      <c r="AA403" s="437"/>
      <c r="AB403" s="437"/>
      <c r="AC403" s="437"/>
      <c r="AD403" s="437"/>
      <c r="AE403" s="437"/>
      <c r="AF403" s="437"/>
      <c r="AG403" s="437"/>
      <c r="AH403" s="437"/>
      <c r="AI403" s="437"/>
      <c r="AJ403" s="437"/>
      <c r="AK403" s="437"/>
      <c r="AL403" s="437"/>
      <c r="AM403" s="437"/>
      <c r="AN403" s="437"/>
      <c r="AO403" s="437"/>
      <c r="AP403" s="437"/>
      <c r="AQ403" s="437"/>
      <c r="AR403" s="437"/>
      <c r="AS403" s="437"/>
      <c r="AT403" s="437"/>
      <c r="AU403" s="437"/>
      <c r="AV403" s="437"/>
      <c r="AW403" s="437"/>
      <c r="AX403" s="436">
        <v>398</v>
      </c>
      <c r="AY403" s="490" t="s">
        <v>4485</v>
      </c>
      <c r="AZ403" s="490" t="s">
        <v>4486</v>
      </c>
      <c r="BA403" s="490" t="s">
        <v>4487</v>
      </c>
      <c r="BB403" s="490" t="s">
        <v>3772</v>
      </c>
      <c r="BC403" s="490" t="s">
        <v>4488</v>
      </c>
      <c r="BD403" s="490" t="s">
        <v>1542</v>
      </c>
      <c r="BE403" s="490" t="s">
        <v>4489</v>
      </c>
      <c r="BF403" s="490" t="s">
        <v>4490</v>
      </c>
      <c r="BG403" s="490" t="s">
        <v>4491</v>
      </c>
      <c r="BH403" s="490" t="s">
        <v>4492</v>
      </c>
      <c r="BI403" s="490" t="s">
        <v>4493</v>
      </c>
      <c r="BJ403" s="490" t="s">
        <v>4494</v>
      </c>
      <c r="BK403" s="437"/>
      <c r="BL403" s="437"/>
      <c r="BM403" s="437"/>
      <c r="BN403" s="437"/>
      <c r="BO403" s="437"/>
      <c r="BP403" s="437"/>
    </row>
    <row r="404" spans="1:68">
      <c r="A404" s="437"/>
      <c r="B404" s="437"/>
      <c r="C404" s="437"/>
      <c r="D404" s="437"/>
      <c r="E404" s="437"/>
      <c r="F404" s="437"/>
      <c r="G404" s="437"/>
      <c r="H404" s="437"/>
      <c r="I404" s="437"/>
      <c r="J404" s="437"/>
      <c r="K404" s="437"/>
      <c r="L404" s="437"/>
      <c r="M404" s="437"/>
      <c r="N404" s="437"/>
      <c r="O404" s="437"/>
      <c r="P404" s="437"/>
      <c r="Q404" s="437"/>
      <c r="R404" s="437"/>
      <c r="S404" s="437"/>
      <c r="T404" s="437"/>
      <c r="U404" s="437"/>
      <c r="V404" s="437"/>
      <c r="W404" s="437"/>
      <c r="X404" s="437"/>
      <c r="Y404" s="437"/>
      <c r="Z404" s="437"/>
      <c r="AA404" s="437"/>
      <c r="AB404" s="437"/>
      <c r="AC404" s="437"/>
      <c r="AD404" s="437"/>
      <c r="AE404" s="437"/>
      <c r="AF404" s="437"/>
      <c r="AG404" s="437"/>
      <c r="AH404" s="437"/>
      <c r="AI404" s="437"/>
      <c r="AJ404" s="437"/>
      <c r="AK404" s="437"/>
      <c r="AL404" s="437"/>
      <c r="AM404" s="437"/>
      <c r="AN404" s="437"/>
      <c r="AO404" s="437"/>
      <c r="AP404" s="437"/>
      <c r="AQ404" s="437"/>
      <c r="AR404" s="437"/>
      <c r="AS404" s="437"/>
      <c r="AT404" s="437"/>
      <c r="AU404" s="437"/>
      <c r="AV404" s="437"/>
      <c r="AW404" s="437"/>
      <c r="AX404" s="436">
        <v>399</v>
      </c>
      <c r="AY404" s="490" t="s">
        <v>4476</v>
      </c>
      <c r="AZ404" s="490" t="s">
        <v>4495</v>
      </c>
      <c r="BA404" s="490" t="s">
        <v>4496</v>
      </c>
      <c r="BB404" s="490" t="s">
        <v>4497</v>
      </c>
      <c r="BC404" s="490" t="s">
        <v>4381</v>
      </c>
      <c r="BD404" s="490" t="s">
        <v>4498</v>
      </c>
      <c r="BE404" s="490" t="s">
        <v>4499</v>
      </c>
      <c r="BF404" s="490" t="s">
        <v>4500</v>
      </c>
      <c r="BG404" s="490" t="s">
        <v>4501</v>
      </c>
      <c r="BH404" s="490" t="s">
        <v>4502</v>
      </c>
      <c r="BI404" s="490" t="s">
        <v>4503</v>
      </c>
      <c r="BJ404" s="490" t="s">
        <v>2300</v>
      </c>
      <c r="BK404" s="437"/>
      <c r="BL404" s="437"/>
      <c r="BM404" s="437"/>
      <c r="BN404" s="437"/>
      <c r="BO404" s="437"/>
      <c r="BP404" s="437"/>
    </row>
    <row r="405" spans="1:68">
      <c r="A405" s="437"/>
      <c r="B405" s="437"/>
      <c r="C405" s="437"/>
      <c r="D405" s="437"/>
      <c r="E405" s="437"/>
      <c r="F405" s="437"/>
      <c r="G405" s="437"/>
      <c r="H405" s="437"/>
      <c r="I405" s="437"/>
      <c r="J405" s="437"/>
      <c r="K405" s="437"/>
      <c r="L405" s="437"/>
      <c r="M405" s="437"/>
      <c r="N405" s="437"/>
      <c r="O405" s="437"/>
      <c r="P405" s="437"/>
      <c r="Q405" s="437"/>
      <c r="R405" s="437"/>
      <c r="S405" s="437"/>
      <c r="T405" s="437"/>
      <c r="U405" s="437"/>
      <c r="V405" s="437"/>
      <c r="W405" s="437"/>
      <c r="X405" s="437"/>
      <c r="Y405" s="437"/>
      <c r="Z405" s="437"/>
      <c r="AA405" s="437"/>
      <c r="AB405" s="437"/>
      <c r="AC405" s="437"/>
      <c r="AD405" s="437"/>
      <c r="AE405" s="437"/>
      <c r="AF405" s="437"/>
      <c r="AG405" s="437"/>
      <c r="AH405" s="437"/>
      <c r="AI405" s="437"/>
      <c r="AJ405" s="437"/>
      <c r="AK405" s="437"/>
      <c r="AL405" s="437"/>
      <c r="AM405" s="437"/>
      <c r="AN405" s="437"/>
      <c r="AO405" s="437"/>
      <c r="AP405" s="437"/>
      <c r="AQ405" s="437"/>
      <c r="AR405" s="437"/>
      <c r="AS405" s="437"/>
      <c r="AT405" s="437"/>
      <c r="AU405" s="437"/>
      <c r="AV405" s="437"/>
      <c r="AW405" s="437"/>
      <c r="AX405" s="436">
        <v>400</v>
      </c>
      <c r="AY405" s="490" t="s">
        <v>4486</v>
      </c>
      <c r="AZ405" s="490" t="s">
        <v>1890</v>
      </c>
      <c r="BA405" s="490" t="s">
        <v>4504</v>
      </c>
      <c r="BB405" s="490" t="s">
        <v>4428</v>
      </c>
      <c r="BC405" s="490" t="s">
        <v>4505</v>
      </c>
      <c r="BD405" s="490" t="s">
        <v>4506</v>
      </c>
      <c r="BE405" s="490" t="s">
        <v>4507</v>
      </c>
      <c r="BF405" s="490" t="s">
        <v>1511</v>
      </c>
      <c r="BG405" s="490" t="s">
        <v>4508</v>
      </c>
      <c r="BH405" s="490" t="s">
        <v>4509</v>
      </c>
      <c r="BI405" s="490" t="s">
        <v>1514</v>
      </c>
      <c r="BJ405" s="490" t="s">
        <v>4510</v>
      </c>
      <c r="BK405" s="437"/>
      <c r="BL405" s="437"/>
      <c r="BM405" s="437"/>
      <c r="BN405" s="437"/>
      <c r="BO405" s="437"/>
      <c r="BP405" s="437"/>
    </row>
    <row r="406" spans="1:68">
      <c r="A406" s="437"/>
      <c r="B406" s="437"/>
      <c r="C406" s="437"/>
      <c r="D406" s="437"/>
      <c r="E406" s="437"/>
      <c r="F406" s="437"/>
      <c r="G406" s="437"/>
      <c r="H406" s="437"/>
      <c r="I406" s="437"/>
      <c r="J406" s="437"/>
      <c r="K406" s="437"/>
      <c r="L406" s="437"/>
      <c r="M406" s="437"/>
      <c r="N406" s="437"/>
      <c r="O406" s="437"/>
      <c r="P406" s="437"/>
      <c r="Q406" s="437"/>
      <c r="R406" s="437"/>
      <c r="S406" s="437"/>
      <c r="T406" s="437"/>
      <c r="U406" s="437"/>
      <c r="V406" s="437"/>
      <c r="W406" s="437"/>
      <c r="X406" s="437"/>
      <c r="Y406" s="437"/>
      <c r="Z406" s="437"/>
      <c r="AA406" s="437"/>
      <c r="AB406" s="437"/>
      <c r="AC406" s="437"/>
      <c r="AD406" s="437"/>
      <c r="AE406" s="437"/>
      <c r="AF406" s="437"/>
      <c r="AG406" s="437"/>
      <c r="AH406" s="437"/>
      <c r="AI406" s="437"/>
      <c r="AJ406" s="437"/>
      <c r="AK406" s="437"/>
      <c r="AL406" s="437"/>
      <c r="AM406" s="437"/>
      <c r="AN406" s="437"/>
      <c r="AO406" s="437"/>
      <c r="AP406" s="437"/>
      <c r="AQ406" s="437"/>
      <c r="AR406" s="437"/>
      <c r="AS406" s="437"/>
      <c r="AT406" s="437"/>
      <c r="AU406" s="437"/>
      <c r="AV406" s="437"/>
      <c r="AW406" s="437"/>
      <c r="AX406" s="436">
        <v>401</v>
      </c>
      <c r="AY406" s="490" t="s">
        <v>4495</v>
      </c>
      <c r="AZ406" s="490" t="s">
        <v>4511</v>
      </c>
      <c r="BA406" s="490" t="s">
        <v>1902</v>
      </c>
      <c r="BB406" s="490" t="s">
        <v>4512</v>
      </c>
      <c r="BC406" s="490" t="s">
        <v>2331</v>
      </c>
      <c r="BD406" s="490" t="s">
        <v>4513</v>
      </c>
      <c r="BE406" s="490" t="s">
        <v>4514</v>
      </c>
      <c r="BF406" s="490" t="s">
        <v>1543</v>
      </c>
      <c r="BG406" s="490" t="s">
        <v>4515</v>
      </c>
      <c r="BH406" s="490" t="s">
        <v>4516</v>
      </c>
      <c r="BI406" s="490" t="s">
        <v>4517</v>
      </c>
      <c r="BJ406" s="490" t="s">
        <v>4518</v>
      </c>
      <c r="BK406" s="437"/>
      <c r="BL406" s="437"/>
      <c r="BM406" s="437"/>
      <c r="BN406" s="437"/>
      <c r="BO406" s="437"/>
      <c r="BP406" s="437"/>
    </row>
    <row r="407" spans="1:68">
      <c r="A407" s="437"/>
      <c r="B407" s="437"/>
      <c r="C407" s="437"/>
      <c r="D407" s="437"/>
      <c r="E407" s="437"/>
      <c r="F407" s="437"/>
      <c r="G407" s="437"/>
      <c r="H407" s="437"/>
      <c r="I407" s="437"/>
      <c r="J407" s="437"/>
      <c r="K407" s="437"/>
      <c r="L407" s="437"/>
      <c r="M407" s="437"/>
      <c r="N407" s="437"/>
      <c r="O407" s="437"/>
      <c r="P407" s="437"/>
      <c r="Q407" s="437"/>
      <c r="R407" s="437"/>
      <c r="S407" s="437"/>
      <c r="T407" s="437"/>
      <c r="U407" s="437"/>
      <c r="V407" s="437"/>
      <c r="W407" s="437"/>
      <c r="X407" s="437"/>
      <c r="Y407" s="437"/>
      <c r="Z407" s="437"/>
      <c r="AA407" s="437"/>
      <c r="AB407" s="437"/>
      <c r="AC407" s="437"/>
      <c r="AD407" s="437"/>
      <c r="AE407" s="437"/>
      <c r="AF407" s="437"/>
      <c r="AG407" s="437"/>
      <c r="AH407" s="437"/>
      <c r="AI407" s="437"/>
      <c r="AJ407" s="437"/>
      <c r="AK407" s="437"/>
      <c r="AL407" s="437"/>
      <c r="AM407" s="437"/>
      <c r="AN407" s="437"/>
      <c r="AO407" s="437"/>
      <c r="AP407" s="437"/>
      <c r="AQ407" s="437"/>
      <c r="AR407" s="437"/>
      <c r="AS407" s="437"/>
      <c r="AT407" s="437"/>
      <c r="AU407" s="437"/>
      <c r="AV407" s="437"/>
      <c r="AW407" s="437"/>
      <c r="AX407" s="436">
        <v>402</v>
      </c>
      <c r="AY407" s="490" t="s">
        <v>1890</v>
      </c>
      <c r="AZ407" s="490" t="s">
        <v>4519</v>
      </c>
      <c r="BA407" s="490" t="s">
        <v>4520</v>
      </c>
      <c r="BB407" s="490" t="s">
        <v>4521</v>
      </c>
      <c r="BC407" s="490" t="s">
        <v>2341</v>
      </c>
      <c r="BD407" s="490" t="s">
        <v>490</v>
      </c>
      <c r="BE407" s="490" t="s">
        <v>1532</v>
      </c>
      <c r="BF407" s="490" t="s">
        <v>4522</v>
      </c>
      <c r="BG407" s="490" t="s">
        <v>4523</v>
      </c>
      <c r="BH407" s="490" t="s">
        <v>4524</v>
      </c>
      <c r="BI407" s="490" t="s">
        <v>4525</v>
      </c>
      <c r="BJ407" s="490" t="s">
        <v>4526</v>
      </c>
      <c r="BK407" s="437"/>
      <c r="BL407" s="437"/>
      <c r="BM407" s="437"/>
      <c r="BN407" s="437"/>
      <c r="BO407" s="437"/>
      <c r="BP407" s="437"/>
    </row>
    <row r="408" spans="1:68">
      <c r="A408" s="437"/>
      <c r="B408" s="437"/>
      <c r="C408" s="437"/>
      <c r="D408" s="437"/>
      <c r="E408" s="437"/>
      <c r="F408" s="437"/>
      <c r="G408" s="437"/>
      <c r="H408" s="437"/>
      <c r="I408" s="437"/>
      <c r="J408" s="437"/>
      <c r="K408" s="437"/>
      <c r="L408" s="437"/>
      <c r="M408" s="437"/>
      <c r="N408" s="437"/>
      <c r="O408" s="437"/>
      <c r="P408" s="437"/>
      <c r="Q408" s="437"/>
      <c r="R408" s="437"/>
      <c r="S408" s="437"/>
      <c r="T408" s="437"/>
      <c r="U408" s="437"/>
      <c r="V408" s="437"/>
      <c r="W408" s="437"/>
      <c r="X408" s="437"/>
      <c r="Y408" s="437"/>
      <c r="Z408" s="437"/>
      <c r="AA408" s="437"/>
      <c r="AB408" s="437"/>
      <c r="AC408" s="437"/>
      <c r="AD408" s="437"/>
      <c r="AE408" s="437"/>
      <c r="AF408" s="437"/>
      <c r="AG408" s="437"/>
      <c r="AH408" s="437"/>
      <c r="AI408" s="437"/>
      <c r="AJ408" s="437"/>
      <c r="AK408" s="437"/>
      <c r="AL408" s="437"/>
      <c r="AM408" s="437"/>
      <c r="AN408" s="437"/>
      <c r="AO408" s="437"/>
      <c r="AP408" s="437"/>
      <c r="AQ408" s="437"/>
      <c r="AR408" s="437"/>
      <c r="AS408" s="437"/>
      <c r="AT408" s="437"/>
      <c r="AU408" s="437"/>
      <c r="AV408" s="437"/>
      <c r="AW408" s="437"/>
      <c r="AX408" s="436">
        <v>403</v>
      </c>
      <c r="AY408" s="490" t="s">
        <v>4347</v>
      </c>
      <c r="AZ408" s="490" t="s">
        <v>4527</v>
      </c>
      <c r="BA408" s="490" t="s">
        <v>4528</v>
      </c>
      <c r="BB408" s="490" t="s">
        <v>4529</v>
      </c>
      <c r="BC408" s="490" t="s">
        <v>4530</v>
      </c>
      <c r="BD408" s="490" t="s">
        <v>4531</v>
      </c>
      <c r="BE408" s="490" t="s">
        <v>4532</v>
      </c>
      <c r="BF408" s="490" t="s">
        <v>4533</v>
      </c>
      <c r="BG408" s="490" t="s">
        <v>4522</v>
      </c>
      <c r="BH408" s="490" t="s">
        <v>4459</v>
      </c>
      <c r="BI408" s="490" t="s">
        <v>4534</v>
      </c>
      <c r="BJ408" s="490" t="s">
        <v>4535</v>
      </c>
      <c r="BK408" s="437"/>
      <c r="BL408" s="437"/>
      <c r="BM408" s="437"/>
      <c r="BN408" s="437"/>
      <c r="BO408" s="437"/>
      <c r="BP408" s="437"/>
    </row>
    <row r="409" spans="1:68">
      <c r="A409" s="437"/>
      <c r="B409" s="437"/>
      <c r="C409" s="437"/>
      <c r="D409" s="437"/>
      <c r="E409" s="437"/>
      <c r="F409" s="437"/>
      <c r="G409" s="437"/>
      <c r="H409" s="437"/>
      <c r="I409" s="437"/>
      <c r="J409" s="437"/>
      <c r="K409" s="437"/>
      <c r="L409" s="437"/>
      <c r="M409" s="437"/>
      <c r="N409" s="437"/>
      <c r="O409" s="437"/>
      <c r="P409" s="437"/>
      <c r="Q409" s="437"/>
      <c r="R409" s="437"/>
      <c r="S409" s="437"/>
      <c r="T409" s="437"/>
      <c r="U409" s="437"/>
      <c r="V409" s="437"/>
      <c r="W409" s="437"/>
      <c r="X409" s="437"/>
      <c r="Y409" s="437"/>
      <c r="Z409" s="437"/>
      <c r="AA409" s="437"/>
      <c r="AB409" s="437"/>
      <c r="AC409" s="437"/>
      <c r="AD409" s="437"/>
      <c r="AE409" s="437"/>
      <c r="AF409" s="437"/>
      <c r="AG409" s="437"/>
      <c r="AH409" s="437"/>
      <c r="AI409" s="437"/>
      <c r="AJ409" s="437"/>
      <c r="AK409" s="437"/>
      <c r="AL409" s="437"/>
      <c r="AM409" s="437"/>
      <c r="AN409" s="437"/>
      <c r="AO409" s="437"/>
      <c r="AP409" s="437"/>
      <c r="AQ409" s="437"/>
      <c r="AR409" s="437"/>
      <c r="AS409" s="437"/>
      <c r="AT409" s="437"/>
      <c r="AU409" s="437"/>
      <c r="AV409" s="437"/>
      <c r="AW409" s="437"/>
      <c r="AX409" s="436">
        <v>404</v>
      </c>
      <c r="AY409" s="490" t="s">
        <v>4519</v>
      </c>
      <c r="AZ409" s="490" t="s">
        <v>4190</v>
      </c>
      <c r="BA409" s="490" t="s">
        <v>4536</v>
      </c>
      <c r="BB409" s="490" t="s">
        <v>1597</v>
      </c>
      <c r="BC409" s="490" t="s">
        <v>4537</v>
      </c>
      <c r="BD409" s="490" t="s">
        <v>4538</v>
      </c>
      <c r="BE409" s="490" t="s">
        <v>4539</v>
      </c>
      <c r="BF409" s="490" t="s">
        <v>4540</v>
      </c>
      <c r="BG409" s="490" t="s">
        <v>4541</v>
      </c>
      <c r="BH409" s="490" t="s">
        <v>2864</v>
      </c>
      <c r="BI409" s="490" t="s">
        <v>4542</v>
      </c>
      <c r="BJ409" s="490" t="s">
        <v>4451</v>
      </c>
      <c r="BK409" s="437"/>
      <c r="BL409" s="437"/>
      <c r="BM409" s="437"/>
      <c r="BN409" s="437"/>
      <c r="BO409" s="437"/>
      <c r="BP409" s="437"/>
    </row>
    <row r="410" spans="1:68">
      <c r="A410" s="437"/>
      <c r="B410" s="437"/>
      <c r="C410" s="437"/>
      <c r="D410" s="437"/>
      <c r="E410" s="437"/>
      <c r="F410" s="437"/>
      <c r="G410" s="437"/>
      <c r="H410" s="437"/>
      <c r="I410" s="437"/>
      <c r="J410" s="437"/>
      <c r="K410" s="437"/>
      <c r="L410" s="437"/>
      <c r="M410" s="437"/>
      <c r="N410" s="437"/>
      <c r="O410" s="437"/>
      <c r="P410" s="437"/>
      <c r="Q410" s="437"/>
      <c r="R410" s="437"/>
      <c r="S410" s="437"/>
      <c r="T410" s="437"/>
      <c r="U410" s="437"/>
      <c r="V410" s="437"/>
      <c r="W410" s="437"/>
      <c r="X410" s="437"/>
      <c r="Y410" s="437"/>
      <c r="Z410" s="437"/>
      <c r="AA410" s="437"/>
      <c r="AB410" s="437"/>
      <c r="AC410" s="437"/>
      <c r="AD410" s="437"/>
      <c r="AE410" s="437"/>
      <c r="AF410" s="437"/>
      <c r="AG410" s="437"/>
      <c r="AH410" s="437"/>
      <c r="AI410" s="437"/>
      <c r="AJ410" s="437"/>
      <c r="AK410" s="437"/>
      <c r="AL410" s="437"/>
      <c r="AM410" s="437"/>
      <c r="AN410" s="437"/>
      <c r="AO410" s="437"/>
      <c r="AP410" s="437"/>
      <c r="AQ410" s="437"/>
      <c r="AR410" s="437"/>
      <c r="AS410" s="437"/>
      <c r="AT410" s="437"/>
      <c r="AU410" s="437"/>
      <c r="AV410" s="437"/>
      <c r="AW410" s="437"/>
      <c r="AX410" s="436">
        <v>405</v>
      </c>
      <c r="AY410" s="490" t="s">
        <v>4543</v>
      </c>
      <c r="AZ410" s="490" t="s">
        <v>3826</v>
      </c>
      <c r="BA410" s="490" t="s">
        <v>4190</v>
      </c>
      <c r="BB410" s="490" t="s">
        <v>4544</v>
      </c>
      <c r="BC410" s="490" t="s">
        <v>4545</v>
      </c>
      <c r="BD410" s="490" t="s">
        <v>4546</v>
      </c>
      <c r="BE410" s="490" t="s">
        <v>4547</v>
      </c>
      <c r="BF410" s="490" t="s">
        <v>4548</v>
      </c>
      <c r="BG410" s="490" t="s">
        <v>4549</v>
      </c>
      <c r="BH410" s="490" t="s">
        <v>4550</v>
      </c>
      <c r="BI410" s="490" t="s">
        <v>4551</v>
      </c>
      <c r="BJ410" s="490" t="s">
        <v>2357</v>
      </c>
      <c r="BK410" s="437"/>
      <c r="BL410" s="437"/>
      <c r="BM410" s="437"/>
      <c r="BN410" s="437"/>
      <c r="BO410" s="437"/>
      <c r="BP410" s="437"/>
    </row>
    <row r="411" spans="1:68">
      <c r="A411" s="437"/>
      <c r="B411" s="437"/>
      <c r="C411" s="437"/>
      <c r="D411" s="437"/>
      <c r="E411" s="437"/>
      <c r="F411" s="437"/>
      <c r="G411" s="437"/>
      <c r="H411" s="437"/>
      <c r="I411" s="437"/>
      <c r="J411" s="437"/>
      <c r="K411" s="437"/>
      <c r="L411" s="437"/>
      <c r="M411" s="437"/>
      <c r="N411" s="437"/>
      <c r="O411" s="437"/>
      <c r="P411" s="437"/>
      <c r="Q411" s="437"/>
      <c r="R411" s="437"/>
      <c r="S411" s="437"/>
      <c r="T411" s="437"/>
      <c r="U411" s="437"/>
      <c r="V411" s="437"/>
      <c r="W411" s="437"/>
      <c r="X411" s="437"/>
      <c r="Y411" s="437"/>
      <c r="Z411" s="437"/>
      <c r="AA411" s="437"/>
      <c r="AB411" s="437"/>
      <c r="AC411" s="437"/>
      <c r="AD411" s="437"/>
      <c r="AE411" s="437"/>
      <c r="AF411" s="437"/>
      <c r="AG411" s="437"/>
      <c r="AH411" s="437"/>
      <c r="AI411" s="437"/>
      <c r="AJ411" s="437"/>
      <c r="AK411" s="437"/>
      <c r="AL411" s="437"/>
      <c r="AM411" s="437"/>
      <c r="AN411" s="437"/>
      <c r="AO411" s="437"/>
      <c r="AP411" s="437"/>
      <c r="AQ411" s="437"/>
      <c r="AR411" s="437"/>
      <c r="AS411" s="437"/>
      <c r="AT411" s="437"/>
      <c r="AU411" s="437"/>
      <c r="AV411" s="437"/>
      <c r="AW411" s="437"/>
      <c r="AX411" s="436">
        <v>406</v>
      </c>
      <c r="AY411" s="490" t="s">
        <v>4208</v>
      </c>
      <c r="AZ411" s="490" t="s">
        <v>4552</v>
      </c>
      <c r="BA411" s="490" t="s">
        <v>4209</v>
      </c>
      <c r="BB411" s="490" t="s">
        <v>4553</v>
      </c>
      <c r="BC411" s="490" t="s">
        <v>2383</v>
      </c>
      <c r="BD411" s="490" t="s">
        <v>228</v>
      </c>
      <c r="BE411" s="490" t="s">
        <v>4554</v>
      </c>
      <c r="BF411" s="490" t="s">
        <v>4555</v>
      </c>
      <c r="BG411" s="490" t="s">
        <v>4556</v>
      </c>
      <c r="BH411" s="490" t="s">
        <v>4557</v>
      </c>
      <c r="BI411" s="490" t="s">
        <v>4558</v>
      </c>
      <c r="BJ411" s="490" t="s">
        <v>4559</v>
      </c>
      <c r="BK411" s="437"/>
      <c r="BL411" s="437"/>
      <c r="BM411" s="437"/>
      <c r="BN411" s="437"/>
      <c r="BO411" s="437"/>
      <c r="BP411" s="437"/>
    </row>
    <row r="412" spans="1:68">
      <c r="A412" s="437"/>
      <c r="B412" s="437"/>
      <c r="C412" s="437"/>
      <c r="D412" s="437"/>
      <c r="E412" s="437"/>
      <c r="F412" s="437"/>
      <c r="G412" s="437"/>
      <c r="H412" s="437"/>
      <c r="I412" s="437"/>
      <c r="J412" s="437"/>
      <c r="K412" s="437"/>
      <c r="L412" s="437"/>
      <c r="M412" s="437"/>
      <c r="N412" s="437"/>
      <c r="O412" s="437"/>
      <c r="P412" s="437"/>
      <c r="Q412" s="437"/>
      <c r="R412" s="437"/>
      <c r="S412" s="437"/>
      <c r="T412" s="437"/>
      <c r="U412" s="437"/>
      <c r="V412" s="437"/>
      <c r="W412" s="437"/>
      <c r="X412" s="437"/>
      <c r="Y412" s="437"/>
      <c r="Z412" s="437"/>
      <c r="AA412" s="437"/>
      <c r="AB412" s="437"/>
      <c r="AC412" s="437"/>
      <c r="AD412" s="437"/>
      <c r="AE412" s="437"/>
      <c r="AF412" s="437"/>
      <c r="AG412" s="437"/>
      <c r="AH412" s="437"/>
      <c r="AI412" s="437"/>
      <c r="AJ412" s="437"/>
      <c r="AK412" s="437"/>
      <c r="AL412" s="437"/>
      <c r="AM412" s="437"/>
      <c r="AN412" s="437"/>
      <c r="AO412" s="437"/>
      <c r="AP412" s="437"/>
      <c r="AQ412" s="437"/>
      <c r="AR412" s="437"/>
      <c r="AS412" s="437"/>
      <c r="AT412" s="437"/>
      <c r="AU412" s="437"/>
      <c r="AV412" s="437"/>
      <c r="AW412" s="437"/>
      <c r="AX412" s="436">
        <v>407</v>
      </c>
      <c r="AY412" s="490" t="s">
        <v>4219</v>
      </c>
      <c r="AZ412" s="490" t="s">
        <v>4560</v>
      </c>
      <c r="BA412" s="490" t="s">
        <v>4561</v>
      </c>
      <c r="BB412" s="490" t="s">
        <v>4562</v>
      </c>
      <c r="BC412" s="490" t="s">
        <v>2394</v>
      </c>
      <c r="BD412" s="490" t="s">
        <v>1628</v>
      </c>
      <c r="BE412" s="490" t="s">
        <v>4548</v>
      </c>
      <c r="BF412" s="490" t="s">
        <v>4563</v>
      </c>
      <c r="BG412" s="490" t="s">
        <v>4564</v>
      </c>
      <c r="BH412" s="490" t="s">
        <v>4565</v>
      </c>
      <c r="BI412" s="490" t="s">
        <v>4566</v>
      </c>
      <c r="BJ412" s="490" t="s">
        <v>4567</v>
      </c>
      <c r="BK412" s="437"/>
      <c r="BL412" s="437"/>
      <c r="BM412" s="437"/>
      <c r="BN412" s="437"/>
      <c r="BO412" s="437"/>
      <c r="BP412" s="437"/>
    </row>
    <row r="413" spans="1:68">
      <c r="A413" s="437"/>
      <c r="B413" s="437"/>
      <c r="C413" s="437"/>
      <c r="D413" s="437"/>
      <c r="E413" s="437"/>
      <c r="F413" s="437"/>
      <c r="G413" s="437"/>
      <c r="H413" s="437"/>
      <c r="I413" s="437"/>
      <c r="J413" s="437"/>
      <c r="K413" s="437"/>
      <c r="L413" s="437"/>
      <c r="M413" s="437"/>
      <c r="N413" s="437"/>
      <c r="O413" s="437"/>
      <c r="P413" s="437"/>
      <c r="Q413" s="437"/>
      <c r="R413" s="437"/>
      <c r="S413" s="437"/>
      <c r="T413" s="437"/>
      <c r="U413" s="437"/>
      <c r="V413" s="437"/>
      <c r="W413" s="437"/>
      <c r="X413" s="437"/>
      <c r="Y413" s="437"/>
      <c r="Z413" s="437"/>
      <c r="AA413" s="437"/>
      <c r="AB413" s="437"/>
      <c r="AC413" s="437"/>
      <c r="AD413" s="437"/>
      <c r="AE413" s="437"/>
      <c r="AF413" s="437"/>
      <c r="AG413" s="437"/>
      <c r="AH413" s="437"/>
      <c r="AI413" s="437"/>
      <c r="AJ413" s="437"/>
      <c r="AK413" s="437"/>
      <c r="AL413" s="437"/>
      <c r="AM413" s="437"/>
      <c r="AN413" s="437"/>
      <c r="AO413" s="437"/>
      <c r="AP413" s="437"/>
      <c r="AQ413" s="437"/>
      <c r="AR413" s="437"/>
      <c r="AS413" s="437"/>
      <c r="AT413" s="437"/>
      <c r="AU413" s="437"/>
      <c r="AV413" s="437"/>
      <c r="AW413" s="437"/>
      <c r="AX413" s="436">
        <v>408</v>
      </c>
      <c r="AY413" s="490" t="s">
        <v>4568</v>
      </c>
      <c r="AZ413" s="490" t="s">
        <v>4569</v>
      </c>
      <c r="BA413" s="490" t="s">
        <v>4570</v>
      </c>
      <c r="BB413" s="490" t="s">
        <v>4571</v>
      </c>
      <c r="BC413" s="490" t="s">
        <v>4572</v>
      </c>
      <c r="BD413" s="490" t="s">
        <v>2384</v>
      </c>
      <c r="BE413" s="490" t="s">
        <v>4573</v>
      </c>
      <c r="BF413" s="490" t="s">
        <v>4574</v>
      </c>
      <c r="BG413" s="490" t="s">
        <v>848</v>
      </c>
      <c r="BH413" s="490" t="s">
        <v>4575</v>
      </c>
      <c r="BI413" s="490" t="s">
        <v>4576</v>
      </c>
      <c r="BJ413" s="490" t="s">
        <v>2389</v>
      </c>
      <c r="BK413" s="437"/>
      <c r="BL413" s="437"/>
      <c r="BM413" s="437"/>
      <c r="BN413" s="437"/>
      <c r="BO413" s="437"/>
      <c r="BP413" s="437"/>
    </row>
    <row r="414" spans="1:68">
      <c r="A414" s="437"/>
      <c r="B414" s="437"/>
      <c r="C414" s="437"/>
      <c r="D414" s="437"/>
      <c r="E414" s="437"/>
      <c r="F414" s="437"/>
      <c r="G414" s="437"/>
      <c r="H414" s="437"/>
      <c r="I414" s="437"/>
      <c r="J414" s="437"/>
      <c r="K414" s="437"/>
      <c r="L414" s="437"/>
      <c r="M414" s="437"/>
      <c r="N414" s="437"/>
      <c r="O414" s="437"/>
      <c r="P414" s="437"/>
      <c r="Q414" s="437"/>
      <c r="R414" s="437"/>
      <c r="S414" s="437"/>
      <c r="T414" s="437"/>
      <c r="U414" s="437"/>
      <c r="V414" s="437"/>
      <c r="W414" s="437"/>
      <c r="X414" s="437"/>
      <c r="Y414" s="437"/>
      <c r="Z414" s="437"/>
      <c r="AA414" s="437"/>
      <c r="AB414" s="437"/>
      <c r="AC414" s="437"/>
      <c r="AD414" s="437"/>
      <c r="AE414" s="437"/>
      <c r="AF414" s="437"/>
      <c r="AG414" s="437"/>
      <c r="AH414" s="437"/>
      <c r="AI414" s="437"/>
      <c r="AJ414" s="437"/>
      <c r="AK414" s="437"/>
      <c r="AL414" s="437"/>
      <c r="AM414" s="437"/>
      <c r="AN414" s="437"/>
      <c r="AO414" s="437"/>
      <c r="AP414" s="437"/>
      <c r="AQ414" s="437"/>
      <c r="AR414" s="437"/>
      <c r="AS414" s="437"/>
      <c r="AT414" s="437"/>
      <c r="AU414" s="437"/>
      <c r="AV414" s="437"/>
      <c r="AW414" s="437"/>
      <c r="AX414" s="436">
        <v>409</v>
      </c>
      <c r="AY414" s="490" t="s">
        <v>229</v>
      </c>
      <c r="AZ414" s="490" t="s">
        <v>4577</v>
      </c>
      <c r="BA414" s="490" t="s">
        <v>4578</v>
      </c>
      <c r="BB414" s="490" t="s">
        <v>4579</v>
      </c>
      <c r="BC414" s="490" t="s">
        <v>4580</v>
      </c>
      <c r="BD414" s="490" t="s">
        <v>4581</v>
      </c>
      <c r="BE414" s="490" t="s">
        <v>4582</v>
      </c>
      <c r="BF414" s="490" t="s">
        <v>4583</v>
      </c>
      <c r="BG414" s="490" t="s">
        <v>4584</v>
      </c>
      <c r="BH414" s="490" t="s">
        <v>4585</v>
      </c>
      <c r="BI414" s="490" t="s">
        <v>4586</v>
      </c>
      <c r="BJ414" s="490" t="s">
        <v>2401</v>
      </c>
      <c r="BK414" s="437"/>
      <c r="BL414" s="437"/>
      <c r="BM414" s="437"/>
      <c r="BN414" s="437"/>
      <c r="BO414" s="437"/>
      <c r="BP414" s="437"/>
    </row>
    <row r="415" spans="1:68">
      <c r="A415" s="437"/>
      <c r="B415" s="437"/>
      <c r="C415" s="437"/>
      <c r="D415" s="437"/>
      <c r="E415" s="437"/>
      <c r="F415" s="437"/>
      <c r="G415" s="437"/>
      <c r="H415" s="437"/>
      <c r="I415" s="437"/>
      <c r="J415" s="437"/>
      <c r="K415" s="437"/>
      <c r="L415" s="437"/>
      <c r="M415" s="437"/>
      <c r="N415" s="437"/>
      <c r="O415" s="437"/>
      <c r="P415" s="437"/>
      <c r="Q415" s="437"/>
      <c r="R415" s="437"/>
      <c r="S415" s="437"/>
      <c r="T415" s="437"/>
      <c r="U415" s="437"/>
      <c r="V415" s="437"/>
      <c r="W415" s="437"/>
      <c r="X415" s="437"/>
      <c r="Y415" s="437"/>
      <c r="Z415" s="437"/>
      <c r="AA415" s="437"/>
      <c r="AB415" s="437"/>
      <c r="AC415" s="437"/>
      <c r="AD415" s="437"/>
      <c r="AE415" s="437"/>
      <c r="AF415" s="437"/>
      <c r="AG415" s="437"/>
      <c r="AH415" s="437"/>
      <c r="AI415" s="437"/>
      <c r="AJ415" s="437"/>
      <c r="AK415" s="437"/>
      <c r="AL415" s="437"/>
      <c r="AM415" s="437"/>
      <c r="AN415" s="437"/>
      <c r="AO415" s="437"/>
      <c r="AP415" s="437"/>
      <c r="AQ415" s="437"/>
      <c r="AR415" s="437"/>
      <c r="AS415" s="437"/>
      <c r="AT415" s="437"/>
      <c r="AU415" s="437"/>
      <c r="AV415" s="437"/>
      <c r="AW415" s="437"/>
      <c r="AX415" s="436">
        <v>410</v>
      </c>
      <c r="AY415" s="490" t="s">
        <v>4587</v>
      </c>
      <c r="AZ415" s="490" t="s">
        <v>274</v>
      </c>
      <c r="BA415" s="490" t="s">
        <v>4588</v>
      </c>
      <c r="BB415" s="490" t="s">
        <v>1995</v>
      </c>
      <c r="BC415" s="490" t="s">
        <v>2426</v>
      </c>
      <c r="BD415" s="490" t="s">
        <v>4479</v>
      </c>
      <c r="BE415" s="490" t="s">
        <v>4589</v>
      </c>
      <c r="BF415" s="490" t="s">
        <v>4590</v>
      </c>
      <c r="BG415" s="490" t="s">
        <v>4591</v>
      </c>
      <c r="BH415" s="490" t="s">
        <v>892</v>
      </c>
      <c r="BI415" s="490" t="s">
        <v>4592</v>
      </c>
      <c r="BJ415" s="490" t="s">
        <v>4503</v>
      </c>
      <c r="BK415" s="437"/>
      <c r="BL415" s="437"/>
      <c r="BM415" s="437"/>
      <c r="BN415" s="437"/>
      <c r="BO415" s="437"/>
      <c r="BP415" s="437"/>
    </row>
    <row r="416" spans="1:68">
      <c r="A416" s="437"/>
      <c r="B416" s="437"/>
      <c r="C416" s="437"/>
      <c r="D416" s="437"/>
      <c r="E416" s="437"/>
      <c r="F416" s="437"/>
      <c r="G416" s="437"/>
      <c r="H416" s="437"/>
      <c r="I416" s="437"/>
      <c r="J416" s="437"/>
      <c r="K416" s="437"/>
      <c r="L416" s="437"/>
      <c r="M416" s="437"/>
      <c r="N416" s="437"/>
      <c r="O416" s="437"/>
      <c r="P416" s="437"/>
      <c r="Q416" s="437"/>
      <c r="R416" s="437"/>
      <c r="S416" s="437"/>
      <c r="T416" s="437"/>
      <c r="U416" s="437"/>
      <c r="V416" s="437"/>
      <c r="W416" s="437"/>
      <c r="X416" s="437"/>
      <c r="Y416" s="437"/>
      <c r="Z416" s="437"/>
      <c r="AA416" s="437"/>
      <c r="AB416" s="437"/>
      <c r="AC416" s="437"/>
      <c r="AD416" s="437"/>
      <c r="AE416" s="437"/>
      <c r="AF416" s="437"/>
      <c r="AG416" s="437"/>
      <c r="AH416" s="437"/>
      <c r="AI416" s="437"/>
      <c r="AJ416" s="437"/>
      <c r="AK416" s="437"/>
      <c r="AL416" s="437"/>
      <c r="AM416" s="437"/>
      <c r="AN416" s="437"/>
      <c r="AO416" s="437"/>
      <c r="AP416" s="437"/>
      <c r="AQ416" s="437"/>
      <c r="AR416" s="437"/>
      <c r="AS416" s="437"/>
      <c r="AT416" s="437"/>
      <c r="AU416" s="437"/>
      <c r="AV416" s="437"/>
      <c r="AW416" s="437"/>
      <c r="AX416" s="436">
        <v>411</v>
      </c>
      <c r="AY416" s="490" t="s">
        <v>4593</v>
      </c>
      <c r="AZ416" s="490" t="s">
        <v>4594</v>
      </c>
      <c r="BA416" s="490" t="s">
        <v>4595</v>
      </c>
      <c r="BB416" s="490" t="s">
        <v>4596</v>
      </c>
      <c r="BC416" s="490" t="s">
        <v>4597</v>
      </c>
      <c r="BD416" s="490" t="s">
        <v>4598</v>
      </c>
      <c r="BE416" s="490" t="s">
        <v>4599</v>
      </c>
      <c r="BF416" s="490" t="s">
        <v>4600</v>
      </c>
      <c r="BG416" s="490" t="s">
        <v>4601</v>
      </c>
      <c r="BH416" s="490" t="s">
        <v>4602</v>
      </c>
      <c r="BI416" s="490" t="s">
        <v>4603</v>
      </c>
      <c r="BJ416" s="490" t="s">
        <v>4604</v>
      </c>
      <c r="BK416" s="437"/>
      <c r="BL416" s="437"/>
      <c r="BM416" s="437"/>
      <c r="BN416" s="437"/>
      <c r="BO416" s="437"/>
      <c r="BP416" s="437"/>
    </row>
    <row r="417" spans="1:68">
      <c r="A417" s="437"/>
      <c r="B417" s="437"/>
      <c r="C417" s="437"/>
      <c r="D417" s="437"/>
      <c r="E417" s="437"/>
      <c r="F417" s="437"/>
      <c r="G417" s="437"/>
      <c r="H417" s="437"/>
      <c r="I417" s="437"/>
      <c r="J417" s="437"/>
      <c r="K417" s="437"/>
      <c r="L417" s="437"/>
      <c r="M417" s="437"/>
      <c r="N417" s="437"/>
      <c r="O417" s="437"/>
      <c r="P417" s="437"/>
      <c r="Q417" s="437"/>
      <c r="R417" s="437"/>
      <c r="S417" s="437"/>
      <c r="T417" s="437"/>
      <c r="U417" s="437"/>
      <c r="V417" s="437"/>
      <c r="W417" s="437"/>
      <c r="X417" s="437"/>
      <c r="Y417" s="437"/>
      <c r="Z417" s="437"/>
      <c r="AA417" s="437"/>
      <c r="AB417" s="437"/>
      <c r="AC417" s="437"/>
      <c r="AD417" s="437"/>
      <c r="AE417" s="437"/>
      <c r="AF417" s="437"/>
      <c r="AG417" s="437"/>
      <c r="AH417" s="437"/>
      <c r="AI417" s="437"/>
      <c r="AJ417" s="437"/>
      <c r="AK417" s="437"/>
      <c r="AL417" s="437"/>
      <c r="AM417" s="437"/>
      <c r="AN417" s="437"/>
      <c r="AO417" s="437"/>
      <c r="AP417" s="437"/>
      <c r="AQ417" s="437"/>
      <c r="AR417" s="437"/>
      <c r="AS417" s="437"/>
      <c r="AT417" s="437"/>
      <c r="AU417" s="437"/>
      <c r="AV417" s="437"/>
      <c r="AW417" s="437"/>
      <c r="AX417" s="436">
        <v>412</v>
      </c>
      <c r="AY417" s="490" t="s">
        <v>278</v>
      </c>
      <c r="AZ417" s="490" t="s">
        <v>4605</v>
      </c>
      <c r="BA417" s="490" t="s">
        <v>4606</v>
      </c>
      <c r="BB417" s="490" t="s">
        <v>4607</v>
      </c>
      <c r="BC417" s="490" t="s">
        <v>4608</v>
      </c>
      <c r="BD417" s="490" t="s">
        <v>231</v>
      </c>
      <c r="BE417" s="490" t="s">
        <v>4609</v>
      </c>
      <c r="BF417" s="490" t="s">
        <v>4610</v>
      </c>
      <c r="BG417" s="490" t="s">
        <v>4611</v>
      </c>
      <c r="BH417" s="490" t="s">
        <v>4612</v>
      </c>
      <c r="BI417" s="490" t="s">
        <v>4613</v>
      </c>
      <c r="BJ417" s="490" t="s">
        <v>4614</v>
      </c>
      <c r="BK417" s="437"/>
      <c r="BL417" s="437"/>
      <c r="BM417" s="437"/>
      <c r="BN417" s="437"/>
      <c r="BO417" s="437"/>
      <c r="BP417" s="437"/>
    </row>
    <row r="418" spans="1:68">
      <c r="A418" s="437"/>
      <c r="B418" s="437"/>
      <c r="C418" s="437"/>
      <c r="D418" s="437"/>
      <c r="E418" s="437"/>
      <c r="F418" s="437"/>
      <c r="G418" s="437"/>
      <c r="H418" s="437"/>
      <c r="I418" s="437"/>
      <c r="J418" s="437"/>
      <c r="K418" s="437"/>
      <c r="L418" s="437"/>
      <c r="M418" s="437"/>
      <c r="N418" s="437"/>
      <c r="O418" s="437"/>
      <c r="P418" s="437"/>
      <c r="Q418" s="437"/>
      <c r="R418" s="437"/>
      <c r="S418" s="437"/>
      <c r="T418" s="437"/>
      <c r="U418" s="437"/>
      <c r="V418" s="437"/>
      <c r="W418" s="437"/>
      <c r="X418" s="437"/>
      <c r="Y418" s="437"/>
      <c r="Z418" s="437"/>
      <c r="AA418" s="437"/>
      <c r="AB418" s="437"/>
      <c r="AC418" s="437"/>
      <c r="AD418" s="437"/>
      <c r="AE418" s="437"/>
      <c r="AF418" s="437"/>
      <c r="AG418" s="437"/>
      <c r="AH418" s="437"/>
      <c r="AI418" s="437"/>
      <c r="AJ418" s="437"/>
      <c r="AK418" s="437"/>
      <c r="AL418" s="437"/>
      <c r="AM418" s="437"/>
      <c r="AN418" s="437"/>
      <c r="AO418" s="437"/>
      <c r="AP418" s="437"/>
      <c r="AQ418" s="437"/>
      <c r="AR418" s="437"/>
      <c r="AS418" s="437"/>
      <c r="AT418" s="437"/>
      <c r="AU418" s="437"/>
      <c r="AV418" s="437"/>
      <c r="AW418" s="437"/>
      <c r="AX418" s="436">
        <v>413</v>
      </c>
      <c r="AY418" s="490" t="s">
        <v>4615</v>
      </c>
      <c r="AZ418" s="490" t="s">
        <v>4616</v>
      </c>
      <c r="BA418" s="490" t="s">
        <v>4617</v>
      </c>
      <c r="BB418" s="490" t="s">
        <v>4618</v>
      </c>
      <c r="BC418" s="490" t="s">
        <v>4078</v>
      </c>
      <c r="BD418" s="490" t="s">
        <v>4619</v>
      </c>
      <c r="BE418" s="490" t="s">
        <v>4620</v>
      </c>
      <c r="BF418" s="490" t="s">
        <v>4621</v>
      </c>
      <c r="BG418" s="490" t="s">
        <v>4622</v>
      </c>
      <c r="BH418" s="490" t="s">
        <v>4623</v>
      </c>
      <c r="BI418" s="490" t="s">
        <v>4624</v>
      </c>
      <c r="BJ418" s="490" t="s">
        <v>4625</v>
      </c>
      <c r="BK418" s="437"/>
      <c r="BL418" s="437"/>
      <c r="BM418" s="437"/>
      <c r="BN418" s="437"/>
      <c r="BO418" s="437"/>
      <c r="BP418" s="437"/>
    </row>
    <row r="419" spans="1:68">
      <c r="A419" s="437"/>
      <c r="B419" s="437"/>
      <c r="C419" s="437"/>
      <c r="D419" s="437"/>
      <c r="E419" s="437"/>
      <c r="F419" s="437"/>
      <c r="G419" s="437"/>
      <c r="H419" s="437"/>
      <c r="I419" s="437"/>
      <c r="J419" s="437"/>
      <c r="K419" s="437"/>
      <c r="L419" s="437"/>
      <c r="M419" s="437"/>
      <c r="N419" s="437"/>
      <c r="O419" s="437"/>
      <c r="P419" s="437"/>
      <c r="Q419" s="437"/>
      <c r="R419" s="437"/>
      <c r="S419" s="437"/>
      <c r="T419" s="437"/>
      <c r="U419" s="437"/>
      <c r="V419" s="437"/>
      <c r="W419" s="437"/>
      <c r="X419" s="437"/>
      <c r="Y419" s="437"/>
      <c r="Z419" s="437"/>
      <c r="AA419" s="437"/>
      <c r="AB419" s="437"/>
      <c r="AC419" s="437"/>
      <c r="AD419" s="437"/>
      <c r="AE419" s="437"/>
      <c r="AF419" s="437"/>
      <c r="AG419" s="437"/>
      <c r="AH419" s="437"/>
      <c r="AI419" s="437"/>
      <c r="AJ419" s="437"/>
      <c r="AK419" s="437"/>
      <c r="AL419" s="437"/>
      <c r="AM419" s="437"/>
      <c r="AN419" s="437"/>
      <c r="AO419" s="437"/>
      <c r="AP419" s="437"/>
      <c r="AQ419" s="437"/>
      <c r="AR419" s="437"/>
      <c r="AS419" s="437"/>
      <c r="AT419" s="437"/>
      <c r="AU419" s="437"/>
      <c r="AV419" s="437"/>
      <c r="AW419" s="437"/>
      <c r="AX419" s="436">
        <v>414</v>
      </c>
      <c r="AY419" s="490" t="s">
        <v>4626</v>
      </c>
      <c r="AZ419" s="490" t="s">
        <v>4627</v>
      </c>
      <c r="BA419" s="490" t="s">
        <v>4628</v>
      </c>
      <c r="BB419" s="490" t="s">
        <v>4629</v>
      </c>
      <c r="BC419" s="490" t="s">
        <v>4630</v>
      </c>
      <c r="BD419" s="490" t="s">
        <v>4631</v>
      </c>
      <c r="BE419" s="490" t="s">
        <v>4632</v>
      </c>
      <c r="BF419" s="490" t="s">
        <v>4633</v>
      </c>
      <c r="BG419" s="490" t="s">
        <v>910</v>
      </c>
      <c r="BH419" s="490" t="s">
        <v>4634</v>
      </c>
      <c r="BI419" s="490" t="s">
        <v>4635</v>
      </c>
      <c r="BJ419" s="490" t="s">
        <v>4636</v>
      </c>
      <c r="BK419" s="437"/>
      <c r="BL419" s="437"/>
      <c r="BM419" s="437"/>
      <c r="BN419" s="437"/>
      <c r="BO419" s="437"/>
      <c r="BP419" s="437"/>
    </row>
    <row r="420" spans="1:68">
      <c r="A420" s="437"/>
      <c r="B420" s="437"/>
      <c r="C420" s="437"/>
      <c r="D420" s="437"/>
      <c r="E420" s="437"/>
      <c r="F420" s="437"/>
      <c r="G420" s="437"/>
      <c r="H420" s="437"/>
      <c r="I420" s="437"/>
      <c r="J420" s="437"/>
      <c r="K420" s="437"/>
      <c r="L420" s="437"/>
      <c r="M420" s="437"/>
      <c r="N420" s="437"/>
      <c r="O420" s="437"/>
      <c r="P420" s="437"/>
      <c r="Q420" s="437"/>
      <c r="R420" s="437"/>
      <c r="S420" s="437"/>
      <c r="T420" s="437"/>
      <c r="U420" s="437"/>
      <c r="V420" s="437"/>
      <c r="W420" s="437"/>
      <c r="X420" s="437"/>
      <c r="Y420" s="437"/>
      <c r="Z420" s="437"/>
      <c r="AA420" s="437"/>
      <c r="AB420" s="437"/>
      <c r="AC420" s="437"/>
      <c r="AD420" s="437"/>
      <c r="AE420" s="437"/>
      <c r="AF420" s="437"/>
      <c r="AG420" s="437"/>
      <c r="AH420" s="437"/>
      <c r="AI420" s="437"/>
      <c r="AJ420" s="437"/>
      <c r="AK420" s="437"/>
      <c r="AL420" s="437"/>
      <c r="AM420" s="437"/>
      <c r="AN420" s="437"/>
      <c r="AO420" s="437"/>
      <c r="AP420" s="437"/>
      <c r="AQ420" s="437"/>
      <c r="AR420" s="437"/>
      <c r="AS420" s="437"/>
      <c r="AT420" s="437"/>
      <c r="AU420" s="437"/>
      <c r="AV420" s="437"/>
      <c r="AW420" s="437"/>
      <c r="AX420" s="436">
        <v>415</v>
      </c>
      <c r="AY420" s="490" t="s">
        <v>4637</v>
      </c>
      <c r="AZ420" s="490" t="s">
        <v>4638</v>
      </c>
      <c r="BA420" s="490" t="s">
        <v>4639</v>
      </c>
      <c r="BB420" s="490" t="s">
        <v>4297</v>
      </c>
      <c r="BC420" s="490" t="s">
        <v>2476</v>
      </c>
      <c r="BD420" s="490" t="s">
        <v>2456</v>
      </c>
      <c r="BE420" s="490" t="s">
        <v>4640</v>
      </c>
      <c r="BF420" s="490" t="s">
        <v>4641</v>
      </c>
      <c r="BG420" s="490" t="s">
        <v>4633</v>
      </c>
      <c r="BH420" s="490" t="s">
        <v>4642</v>
      </c>
      <c r="BI420" s="490" t="s">
        <v>4643</v>
      </c>
      <c r="BJ420" s="490" t="s">
        <v>2462</v>
      </c>
      <c r="BK420" s="437"/>
      <c r="BL420" s="437"/>
      <c r="BM420" s="437"/>
      <c r="BN420" s="437"/>
      <c r="BO420" s="437"/>
      <c r="BP420" s="437"/>
    </row>
    <row r="421" spans="1:68">
      <c r="A421" s="437"/>
      <c r="B421" s="437"/>
      <c r="C421" s="437"/>
      <c r="D421" s="437"/>
      <c r="E421" s="437"/>
      <c r="F421" s="437"/>
      <c r="G421" s="437"/>
      <c r="H421" s="437"/>
      <c r="I421" s="437"/>
      <c r="J421" s="437"/>
      <c r="K421" s="437"/>
      <c r="L421" s="437"/>
      <c r="M421" s="437"/>
      <c r="N421" s="437"/>
      <c r="O421" s="437"/>
      <c r="P421" s="437"/>
      <c r="Q421" s="437"/>
      <c r="R421" s="437"/>
      <c r="S421" s="437"/>
      <c r="T421" s="437"/>
      <c r="U421" s="437"/>
      <c r="V421" s="437"/>
      <c r="W421" s="437"/>
      <c r="X421" s="437"/>
      <c r="Y421" s="437"/>
      <c r="Z421" s="437"/>
      <c r="AA421" s="437"/>
      <c r="AB421" s="437"/>
      <c r="AC421" s="437"/>
      <c r="AD421" s="437"/>
      <c r="AE421" s="437"/>
      <c r="AF421" s="437"/>
      <c r="AG421" s="437"/>
      <c r="AH421" s="437"/>
      <c r="AI421" s="437"/>
      <c r="AJ421" s="437"/>
      <c r="AK421" s="437"/>
      <c r="AL421" s="437"/>
      <c r="AM421" s="437"/>
      <c r="AN421" s="437"/>
      <c r="AO421" s="437"/>
      <c r="AP421" s="437"/>
      <c r="AQ421" s="437"/>
      <c r="AR421" s="437"/>
      <c r="AS421" s="437"/>
      <c r="AT421" s="437"/>
      <c r="AU421" s="437"/>
      <c r="AV421" s="437"/>
      <c r="AW421" s="437"/>
      <c r="AX421" s="436">
        <v>416</v>
      </c>
      <c r="AY421" s="490" t="s">
        <v>4644</v>
      </c>
      <c r="AZ421" s="490" t="s">
        <v>4645</v>
      </c>
      <c r="BA421" s="490" t="s">
        <v>4646</v>
      </c>
      <c r="BB421" s="490" t="s">
        <v>4647</v>
      </c>
      <c r="BC421" s="490" t="s">
        <v>4648</v>
      </c>
      <c r="BD421" s="490" t="s">
        <v>4545</v>
      </c>
      <c r="BE421" s="490" t="s">
        <v>4649</v>
      </c>
      <c r="BF421" s="490" t="s">
        <v>4650</v>
      </c>
      <c r="BG421" s="490" t="s">
        <v>4651</v>
      </c>
      <c r="BH421" s="490" t="s">
        <v>4652</v>
      </c>
      <c r="BI421" s="490" t="s">
        <v>4653</v>
      </c>
      <c r="BJ421" s="490" t="s">
        <v>4654</v>
      </c>
      <c r="BK421" s="437"/>
      <c r="BL421" s="437"/>
      <c r="BM421" s="437"/>
      <c r="BN421" s="437"/>
      <c r="BO421" s="437"/>
      <c r="BP421" s="437"/>
    </row>
    <row r="422" spans="1:68">
      <c r="A422" s="437"/>
      <c r="B422" s="437"/>
      <c r="C422" s="437"/>
      <c r="D422" s="437"/>
      <c r="E422" s="437"/>
      <c r="F422" s="437"/>
      <c r="G422" s="437"/>
      <c r="H422" s="437"/>
      <c r="I422" s="437"/>
      <c r="J422" s="437"/>
      <c r="K422" s="437"/>
      <c r="L422" s="437"/>
      <c r="M422" s="437"/>
      <c r="N422" s="437"/>
      <c r="O422" s="437"/>
      <c r="P422" s="437"/>
      <c r="Q422" s="437"/>
      <c r="R422" s="437"/>
      <c r="S422" s="437"/>
      <c r="T422" s="437"/>
      <c r="U422" s="437"/>
      <c r="V422" s="437"/>
      <c r="W422" s="437"/>
      <c r="X422" s="437"/>
      <c r="Y422" s="437"/>
      <c r="Z422" s="437"/>
      <c r="AA422" s="437"/>
      <c r="AB422" s="437"/>
      <c r="AC422" s="437"/>
      <c r="AD422" s="437"/>
      <c r="AE422" s="437"/>
      <c r="AF422" s="437"/>
      <c r="AG422" s="437"/>
      <c r="AH422" s="437"/>
      <c r="AI422" s="437"/>
      <c r="AJ422" s="437"/>
      <c r="AK422" s="437"/>
      <c r="AL422" s="437"/>
      <c r="AM422" s="437"/>
      <c r="AN422" s="437"/>
      <c r="AO422" s="437"/>
      <c r="AP422" s="437"/>
      <c r="AQ422" s="437"/>
      <c r="AR422" s="437"/>
      <c r="AS422" s="437"/>
      <c r="AT422" s="437"/>
      <c r="AU422" s="437"/>
      <c r="AV422" s="437"/>
      <c r="AW422" s="437"/>
      <c r="AX422" s="436">
        <v>417</v>
      </c>
      <c r="AY422" s="490" t="s">
        <v>4655</v>
      </c>
      <c r="AZ422" s="490" t="s">
        <v>4656</v>
      </c>
      <c r="BA422" s="490" t="s">
        <v>4657</v>
      </c>
      <c r="BB422" s="490" t="s">
        <v>4570</v>
      </c>
      <c r="BC422" s="490" t="s">
        <v>4658</v>
      </c>
      <c r="BD422" s="490" t="s">
        <v>232</v>
      </c>
      <c r="BE422" s="490" t="s">
        <v>4659</v>
      </c>
      <c r="BF422" s="490" t="s">
        <v>4660</v>
      </c>
      <c r="BG422" s="490" t="s">
        <v>4661</v>
      </c>
      <c r="BH422" s="490" t="s">
        <v>4662</v>
      </c>
      <c r="BI422" s="490" t="s">
        <v>4663</v>
      </c>
      <c r="BJ422" s="490" t="s">
        <v>4664</v>
      </c>
      <c r="BK422" s="437"/>
      <c r="BL422" s="437"/>
      <c r="BM422" s="437"/>
      <c r="BN422" s="437"/>
      <c r="BO422" s="437"/>
      <c r="BP422" s="437"/>
    </row>
    <row r="423" spans="1:68">
      <c r="A423" s="437"/>
      <c r="B423" s="437"/>
      <c r="C423" s="437"/>
      <c r="D423" s="437"/>
      <c r="E423" s="437"/>
      <c r="F423" s="437"/>
      <c r="G423" s="437"/>
      <c r="H423" s="437"/>
      <c r="I423" s="437"/>
      <c r="J423" s="437"/>
      <c r="K423" s="437"/>
      <c r="L423" s="437"/>
      <c r="M423" s="437"/>
      <c r="N423" s="437"/>
      <c r="O423" s="437"/>
      <c r="P423" s="437"/>
      <c r="Q423" s="437"/>
      <c r="R423" s="437"/>
      <c r="S423" s="437"/>
      <c r="T423" s="437"/>
      <c r="U423" s="437"/>
      <c r="V423" s="437"/>
      <c r="W423" s="437"/>
      <c r="X423" s="437"/>
      <c r="Y423" s="437"/>
      <c r="Z423" s="437"/>
      <c r="AA423" s="437"/>
      <c r="AB423" s="437"/>
      <c r="AC423" s="437"/>
      <c r="AD423" s="437"/>
      <c r="AE423" s="437"/>
      <c r="AF423" s="437"/>
      <c r="AG423" s="437"/>
      <c r="AH423" s="437"/>
      <c r="AI423" s="437"/>
      <c r="AJ423" s="437"/>
      <c r="AK423" s="437"/>
      <c r="AL423" s="437"/>
      <c r="AM423" s="437"/>
      <c r="AN423" s="437"/>
      <c r="AO423" s="437"/>
      <c r="AP423" s="437"/>
      <c r="AQ423" s="437"/>
      <c r="AR423" s="437"/>
      <c r="AS423" s="437"/>
      <c r="AT423" s="437"/>
      <c r="AU423" s="437"/>
      <c r="AV423" s="437"/>
      <c r="AW423" s="437"/>
      <c r="AX423" s="436">
        <v>418</v>
      </c>
      <c r="AY423" s="490" t="s">
        <v>4665</v>
      </c>
      <c r="AZ423" s="490" t="s">
        <v>4666</v>
      </c>
      <c r="BA423" s="490" t="s">
        <v>4667</v>
      </c>
      <c r="BB423" s="490" t="s">
        <v>4668</v>
      </c>
      <c r="BC423" s="490" t="s">
        <v>1748</v>
      </c>
      <c r="BD423" s="490" t="s">
        <v>4669</v>
      </c>
      <c r="BE423" s="490" t="s">
        <v>4670</v>
      </c>
      <c r="BF423" s="490" t="s">
        <v>4671</v>
      </c>
      <c r="BG423" s="490" t="s">
        <v>4672</v>
      </c>
      <c r="BH423" s="490" t="s">
        <v>4673</v>
      </c>
      <c r="BI423" s="490" t="s">
        <v>2512</v>
      </c>
      <c r="BJ423" s="490" t="s">
        <v>4566</v>
      </c>
      <c r="BK423" s="437"/>
      <c r="BL423" s="437"/>
      <c r="BM423" s="437"/>
      <c r="BN423" s="437"/>
      <c r="BO423" s="437"/>
      <c r="BP423" s="437"/>
    </row>
    <row r="424" spans="1:68">
      <c r="A424" s="437"/>
      <c r="B424" s="437"/>
      <c r="C424" s="437"/>
      <c r="D424" s="437"/>
      <c r="E424" s="437"/>
      <c r="F424" s="437"/>
      <c r="G424" s="437"/>
      <c r="H424" s="437"/>
      <c r="I424" s="437"/>
      <c r="J424" s="437"/>
      <c r="K424" s="437"/>
      <c r="L424" s="437"/>
      <c r="M424" s="437"/>
      <c r="N424" s="437"/>
      <c r="O424" s="437"/>
      <c r="P424" s="437"/>
      <c r="Q424" s="437"/>
      <c r="R424" s="437"/>
      <c r="S424" s="437"/>
      <c r="T424" s="437"/>
      <c r="U424" s="437"/>
      <c r="V424" s="437"/>
      <c r="W424" s="437"/>
      <c r="X424" s="437"/>
      <c r="Y424" s="437"/>
      <c r="Z424" s="437"/>
      <c r="AA424" s="437"/>
      <c r="AB424" s="437"/>
      <c r="AC424" s="437"/>
      <c r="AD424" s="437"/>
      <c r="AE424" s="437"/>
      <c r="AF424" s="437"/>
      <c r="AG424" s="437"/>
      <c r="AH424" s="437"/>
      <c r="AI424" s="437"/>
      <c r="AJ424" s="437"/>
      <c r="AK424" s="437"/>
      <c r="AL424" s="437"/>
      <c r="AM424" s="437"/>
      <c r="AN424" s="437"/>
      <c r="AO424" s="437"/>
      <c r="AP424" s="437"/>
      <c r="AQ424" s="437"/>
      <c r="AR424" s="437"/>
      <c r="AS424" s="437"/>
      <c r="AT424" s="437"/>
      <c r="AU424" s="437"/>
      <c r="AV424" s="437"/>
      <c r="AW424" s="437"/>
      <c r="AX424" s="436">
        <v>419</v>
      </c>
      <c r="AY424" s="490" t="s">
        <v>4674</v>
      </c>
      <c r="AZ424" s="490" t="s">
        <v>233</v>
      </c>
      <c r="BA424" s="490" t="s">
        <v>4675</v>
      </c>
      <c r="BB424" s="490" t="s">
        <v>983</v>
      </c>
      <c r="BC424" s="490" t="s">
        <v>4676</v>
      </c>
      <c r="BD424" s="490" t="s">
        <v>4572</v>
      </c>
      <c r="BE424" s="490" t="s">
        <v>4677</v>
      </c>
      <c r="BF424" s="490" t="s">
        <v>234</v>
      </c>
      <c r="BG424" s="490" t="s">
        <v>4678</v>
      </c>
      <c r="BH424" s="490" t="s">
        <v>4679</v>
      </c>
      <c r="BI424" s="490" t="s">
        <v>2520</v>
      </c>
      <c r="BJ424" s="490" t="s">
        <v>4576</v>
      </c>
      <c r="BK424" s="437"/>
      <c r="BL424" s="437"/>
      <c r="BM424" s="437"/>
      <c r="BN424" s="437"/>
      <c r="BO424" s="437"/>
      <c r="BP424" s="437"/>
    </row>
    <row r="425" spans="1:68">
      <c r="A425" s="437"/>
      <c r="B425" s="437"/>
      <c r="C425" s="437"/>
      <c r="D425" s="437"/>
      <c r="E425" s="437"/>
      <c r="F425" s="437"/>
      <c r="G425" s="437"/>
      <c r="H425" s="437"/>
      <c r="I425" s="437"/>
      <c r="J425" s="437"/>
      <c r="K425" s="437"/>
      <c r="L425" s="437"/>
      <c r="M425" s="437"/>
      <c r="N425" s="437"/>
      <c r="O425" s="437"/>
      <c r="P425" s="437"/>
      <c r="Q425" s="437"/>
      <c r="R425" s="437"/>
      <c r="S425" s="437"/>
      <c r="T425" s="437"/>
      <c r="U425" s="437"/>
      <c r="V425" s="437"/>
      <c r="W425" s="437"/>
      <c r="X425" s="437"/>
      <c r="Y425" s="437"/>
      <c r="Z425" s="437"/>
      <c r="AA425" s="437"/>
      <c r="AB425" s="437"/>
      <c r="AC425" s="437"/>
      <c r="AD425" s="437"/>
      <c r="AE425" s="437"/>
      <c r="AF425" s="437"/>
      <c r="AG425" s="437"/>
      <c r="AH425" s="437"/>
      <c r="AI425" s="437"/>
      <c r="AJ425" s="437"/>
      <c r="AK425" s="437"/>
      <c r="AL425" s="437"/>
      <c r="AM425" s="437"/>
      <c r="AN425" s="437"/>
      <c r="AO425" s="437"/>
      <c r="AP425" s="437"/>
      <c r="AQ425" s="437"/>
      <c r="AR425" s="437"/>
      <c r="AS425" s="437"/>
      <c r="AT425" s="437"/>
      <c r="AU425" s="437"/>
      <c r="AV425" s="437"/>
      <c r="AW425" s="437"/>
      <c r="AX425" s="436">
        <v>420</v>
      </c>
      <c r="AY425" s="490" t="s">
        <v>4680</v>
      </c>
      <c r="AZ425" s="490" t="s">
        <v>4681</v>
      </c>
      <c r="BA425" s="490" t="s">
        <v>235</v>
      </c>
      <c r="BB425" s="490" t="s">
        <v>4595</v>
      </c>
      <c r="BC425" s="490" t="s">
        <v>4682</v>
      </c>
      <c r="BD425" s="490" t="s">
        <v>4683</v>
      </c>
      <c r="BE425" s="490" t="s">
        <v>4684</v>
      </c>
      <c r="BF425" s="490" t="s">
        <v>4685</v>
      </c>
      <c r="BG425" s="490" t="s">
        <v>4686</v>
      </c>
      <c r="BH425" s="490" t="s">
        <v>4687</v>
      </c>
      <c r="BI425" s="490" t="s">
        <v>4688</v>
      </c>
      <c r="BJ425" s="490" t="s">
        <v>4689</v>
      </c>
      <c r="BK425" s="437"/>
      <c r="BL425" s="437"/>
      <c r="BM425" s="437"/>
      <c r="BN425" s="437"/>
      <c r="BO425" s="437"/>
      <c r="BP425" s="437"/>
    </row>
    <row r="426" spans="1:68">
      <c r="A426" s="437"/>
      <c r="B426" s="437"/>
      <c r="C426" s="437"/>
      <c r="D426" s="437"/>
      <c r="E426" s="437"/>
      <c r="F426" s="437"/>
      <c r="G426" s="437"/>
      <c r="H426" s="437"/>
      <c r="I426" s="437"/>
      <c r="J426" s="437"/>
      <c r="K426" s="437"/>
      <c r="L426" s="437"/>
      <c r="M426" s="437"/>
      <c r="N426" s="437"/>
      <c r="O426" s="437"/>
      <c r="P426" s="437"/>
      <c r="Q426" s="437"/>
      <c r="R426" s="437"/>
      <c r="S426" s="437"/>
      <c r="T426" s="437"/>
      <c r="U426" s="437"/>
      <c r="V426" s="437"/>
      <c r="W426" s="437"/>
      <c r="X426" s="437"/>
      <c r="Y426" s="437"/>
      <c r="Z426" s="437"/>
      <c r="AA426" s="437"/>
      <c r="AB426" s="437"/>
      <c r="AC426" s="437"/>
      <c r="AD426" s="437"/>
      <c r="AE426" s="437"/>
      <c r="AF426" s="437"/>
      <c r="AG426" s="437"/>
      <c r="AH426" s="437"/>
      <c r="AI426" s="437"/>
      <c r="AJ426" s="437"/>
      <c r="AK426" s="437"/>
      <c r="AL426" s="437"/>
      <c r="AM426" s="437"/>
      <c r="AN426" s="437"/>
      <c r="AO426" s="437"/>
      <c r="AP426" s="437"/>
      <c r="AQ426" s="437"/>
      <c r="AR426" s="437"/>
      <c r="AS426" s="437"/>
      <c r="AT426" s="437"/>
      <c r="AU426" s="437"/>
      <c r="AV426" s="437"/>
      <c r="AW426" s="437"/>
      <c r="AX426" s="436">
        <v>421</v>
      </c>
      <c r="AY426" s="490" t="s">
        <v>4690</v>
      </c>
      <c r="AZ426" s="490" t="s">
        <v>4691</v>
      </c>
      <c r="BA426" s="490" t="s">
        <v>982</v>
      </c>
      <c r="BB426" s="490" t="s">
        <v>1003</v>
      </c>
      <c r="BC426" s="490" t="s">
        <v>4692</v>
      </c>
      <c r="BD426" s="490" t="s">
        <v>4693</v>
      </c>
      <c r="BE426" s="490" t="s">
        <v>236</v>
      </c>
      <c r="BF426" s="490" t="s">
        <v>237</v>
      </c>
      <c r="BG426" s="490" t="s">
        <v>4694</v>
      </c>
      <c r="BH426" s="490" t="s">
        <v>4695</v>
      </c>
      <c r="BI426" s="490" t="s">
        <v>4696</v>
      </c>
      <c r="BJ426" s="490" t="s">
        <v>4697</v>
      </c>
      <c r="BK426" s="437"/>
      <c r="BL426" s="437"/>
      <c r="BM426" s="437"/>
      <c r="BN426" s="437"/>
      <c r="BO426" s="437"/>
      <c r="BP426" s="437"/>
    </row>
    <row r="427" spans="1:68">
      <c r="A427" s="437"/>
      <c r="B427" s="437"/>
      <c r="C427" s="437"/>
      <c r="D427" s="437"/>
      <c r="E427" s="437"/>
      <c r="F427" s="437"/>
      <c r="G427" s="437"/>
      <c r="H427" s="437"/>
      <c r="I427" s="437"/>
      <c r="J427" s="437"/>
      <c r="K427" s="437"/>
      <c r="L427" s="437"/>
      <c r="M427" s="437"/>
      <c r="N427" s="437"/>
      <c r="O427" s="437"/>
      <c r="P427" s="437"/>
      <c r="Q427" s="437"/>
      <c r="R427" s="437"/>
      <c r="S427" s="437"/>
      <c r="T427" s="437"/>
      <c r="U427" s="437"/>
      <c r="V427" s="437"/>
      <c r="W427" s="437"/>
      <c r="X427" s="437"/>
      <c r="Y427" s="437"/>
      <c r="Z427" s="437"/>
      <c r="AA427" s="437"/>
      <c r="AB427" s="437"/>
      <c r="AC427" s="437"/>
      <c r="AD427" s="437"/>
      <c r="AE427" s="437"/>
      <c r="AF427" s="437"/>
      <c r="AG427" s="437"/>
      <c r="AH427" s="437"/>
      <c r="AI427" s="437"/>
      <c r="AJ427" s="437"/>
      <c r="AK427" s="437"/>
      <c r="AL427" s="437"/>
      <c r="AM427" s="437"/>
      <c r="AN427" s="437"/>
      <c r="AO427" s="437"/>
      <c r="AP427" s="437"/>
      <c r="AQ427" s="437"/>
      <c r="AR427" s="437"/>
      <c r="AS427" s="437"/>
      <c r="AT427" s="437"/>
      <c r="AU427" s="437"/>
      <c r="AV427" s="437"/>
      <c r="AW427" s="437"/>
      <c r="AX427" s="436">
        <v>422</v>
      </c>
      <c r="AY427" s="490" t="s">
        <v>4698</v>
      </c>
      <c r="AZ427" s="490" t="s">
        <v>4699</v>
      </c>
      <c r="BA427" s="490" t="s">
        <v>993</v>
      </c>
      <c r="BB427" s="490" t="s">
        <v>1013</v>
      </c>
      <c r="BC427" s="490" t="s">
        <v>4700</v>
      </c>
      <c r="BD427" s="490" t="s">
        <v>4701</v>
      </c>
      <c r="BE427" s="490" t="s">
        <v>4702</v>
      </c>
      <c r="BF427" s="490" t="s">
        <v>4703</v>
      </c>
      <c r="BG427" s="490" t="s">
        <v>4704</v>
      </c>
      <c r="BH427" s="490" t="s">
        <v>4705</v>
      </c>
      <c r="BI427" s="490" t="s">
        <v>4706</v>
      </c>
      <c r="BJ427" s="490" t="s">
        <v>4707</v>
      </c>
      <c r="BK427" s="437"/>
      <c r="BL427" s="437"/>
      <c r="BM427" s="437"/>
      <c r="BN427" s="437"/>
      <c r="BO427" s="437"/>
      <c r="BP427" s="437"/>
    </row>
    <row r="428" spans="1:68">
      <c r="A428" s="437"/>
      <c r="B428" s="437"/>
      <c r="C428" s="437"/>
      <c r="D428" s="437"/>
      <c r="E428" s="437"/>
      <c r="F428" s="437"/>
      <c r="G428" s="437"/>
      <c r="H428" s="437"/>
      <c r="I428" s="437"/>
      <c r="J428" s="437"/>
      <c r="K428" s="437"/>
      <c r="L428" s="437"/>
      <c r="M428" s="437"/>
      <c r="N428" s="437"/>
      <c r="O428" s="437"/>
      <c r="P428" s="437"/>
      <c r="Q428" s="437"/>
      <c r="R428" s="437"/>
      <c r="S428" s="437"/>
      <c r="T428" s="437"/>
      <c r="U428" s="437"/>
      <c r="V428" s="437"/>
      <c r="W428" s="437"/>
      <c r="X428" s="437"/>
      <c r="Y428" s="437"/>
      <c r="Z428" s="437"/>
      <c r="AA428" s="437"/>
      <c r="AB428" s="437"/>
      <c r="AC428" s="437"/>
      <c r="AD428" s="437"/>
      <c r="AE428" s="437"/>
      <c r="AF428" s="437"/>
      <c r="AG428" s="437"/>
      <c r="AH428" s="437"/>
      <c r="AI428" s="437"/>
      <c r="AJ428" s="437"/>
      <c r="AK428" s="437"/>
      <c r="AL428" s="437"/>
      <c r="AM428" s="437"/>
      <c r="AN428" s="437"/>
      <c r="AO428" s="437"/>
      <c r="AP428" s="437"/>
      <c r="AQ428" s="437"/>
      <c r="AR428" s="437"/>
      <c r="AS428" s="437"/>
      <c r="AT428" s="437"/>
      <c r="AU428" s="437"/>
      <c r="AV428" s="437"/>
      <c r="AW428" s="437"/>
      <c r="AX428" s="436">
        <v>423</v>
      </c>
      <c r="AY428" s="490" t="s">
        <v>4708</v>
      </c>
      <c r="AZ428" s="490" t="s">
        <v>4709</v>
      </c>
      <c r="BA428" s="490" t="s">
        <v>4710</v>
      </c>
      <c r="BB428" s="490" t="s">
        <v>4711</v>
      </c>
      <c r="BC428" s="490" t="s">
        <v>4712</v>
      </c>
      <c r="BD428" s="490" t="s">
        <v>1804</v>
      </c>
      <c r="BE428" s="490" t="s">
        <v>238</v>
      </c>
      <c r="BF428" s="490" t="s">
        <v>381</v>
      </c>
      <c r="BG428" s="490" t="s">
        <v>1752</v>
      </c>
      <c r="BH428" s="490" t="s">
        <v>4713</v>
      </c>
      <c r="BI428" s="490" t="s">
        <v>4714</v>
      </c>
      <c r="BJ428" s="490" t="s">
        <v>4613</v>
      </c>
      <c r="BK428" s="437"/>
      <c r="BL428" s="437"/>
      <c r="BM428" s="437"/>
      <c r="BN428" s="437"/>
      <c r="BO428" s="437"/>
      <c r="BP428" s="437"/>
    </row>
    <row r="429" spans="1:68">
      <c r="A429" s="437"/>
      <c r="B429" s="437"/>
      <c r="C429" s="437"/>
      <c r="D429" s="437"/>
      <c r="E429" s="437"/>
      <c r="F429" s="437"/>
      <c r="G429" s="437"/>
      <c r="H429" s="437"/>
      <c r="I429" s="437"/>
      <c r="J429" s="437"/>
      <c r="K429" s="437"/>
      <c r="L429" s="437"/>
      <c r="M429" s="437"/>
      <c r="N429" s="437"/>
      <c r="O429" s="437"/>
      <c r="P429" s="437"/>
      <c r="Q429" s="437"/>
      <c r="R429" s="437"/>
      <c r="S429" s="437"/>
      <c r="T429" s="437"/>
      <c r="U429" s="437"/>
      <c r="V429" s="437"/>
      <c r="W429" s="437"/>
      <c r="X429" s="437"/>
      <c r="Y429" s="437"/>
      <c r="Z429" s="437"/>
      <c r="AA429" s="437"/>
      <c r="AB429" s="437"/>
      <c r="AC429" s="437"/>
      <c r="AD429" s="437"/>
      <c r="AE429" s="437"/>
      <c r="AF429" s="437"/>
      <c r="AG429" s="437"/>
      <c r="AH429" s="437"/>
      <c r="AI429" s="437"/>
      <c r="AJ429" s="437"/>
      <c r="AK429" s="437"/>
      <c r="AL429" s="437"/>
      <c r="AM429" s="437"/>
      <c r="AN429" s="437"/>
      <c r="AO429" s="437"/>
      <c r="AP429" s="437"/>
      <c r="AQ429" s="437"/>
      <c r="AR429" s="437"/>
      <c r="AS429" s="437"/>
      <c r="AT429" s="437"/>
      <c r="AU429" s="437"/>
      <c r="AV429" s="437"/>
      <c r="AW429" s="437"/>
      <c r="AX429" s="436">
        <v>424</v>
      </c>
      <c r="AY429" s="490" t="s">
        <v>4715</v>
      </c>
      <c r="AZ429" s="490" t="s">
        <v>4716</v>
      </c>
      <c r="BA429" s="490" t="s">
        <v>4717</v>
      </c>
      <c r="BB429" s="490" t="s">
        <v>4639</v>
      </c>
      <c r="BC429" s="490" t="s">
        <v>239</v>
      </c>
      <c r="BD429" s="490" t="s">
        <v>2546</v>
      </c>
      <c r="BE429" s="490" t="s">
        <v>4703</v>
      </c>
      <c r="BF429" s="490" t="s">
        <v>4718</v>
      </c>
      <c r="BG429" s="490" t="s">
        <v>382</v>
      </c>
      <c r="BH429" s="490" t="s">
        <v>4719</v>
      </c>
      <c r="BI429" s="490" t="s">
        <v>4720</v>
      </c>
      <c r="BJ429" s="490" t="s">
        <v>4721</v>
      </c>
      <c r="BK429" s="437"/>
      <c r="BL429" s="437"/>
      <c r="BM429" s="437"/>
      <c r="BN429" s="437"/>
      <c r="BO429" s="437"/>
      <c r="BP429" s="437"/>
    </row>
    <row r="430" spans="1:68">
      <c r="A430" s="437"/>
      <c r="B430" s="437"/>
      <c r="C430" s="437"/>
      <c r="D430" s="437"/>
      <c r="E430" s="437"/>
      <c r="F430" s="437"/>
      <c r="G430" s="437"/>
      <c r="H430" s="437"/>
      <c r="I430" s="437"/>
      <c r="J430" s="437"/>
      <c r="K430" s="437"/>
      <c r="L430" s="437"/>
      <c r="M430" s="437"/>
      <c r="N430" s="437"/>
      <c r="O430" s="437"/>
      <c r="P430" s="437"/>
      <c r="Q430" s="437"/>
      <c r="R430" s="437"/>
      <c r="S430" s="437"/>
      <c r="T430" s="437"/>
      <c r="U430" s="437"/>
      <c r="V430" s="437"/>
      <c r="W430" s="437"/>
      <c r="X430" s="437"/>
      <c r="Y430" s="437"/>
      <c r="Z430" s="437"/>
      <c r="AA430" s="437"/>
      <c r="AB430" s="437"/>
      <c r="AC430" s="437"/>
      <c r="AD430" s="437"/>
      <c r="AE430" s="437"/>
      <c r="AF430" s="437"/>
      <c r="AG430" s="437"/>
      <c r="AH430" s="437"/>
      <c r="AI430" s="437"/>
      <c r="AJ430" s="437"/>
      <c r="AK430" s="437"/>
      <c r="AL430" s="437"/>
      <c r="AM430" s="437"/>
      <c r="AN430" s="437"/>
      <c r="AO430" s="437"/>
      <c r="AP430" s="437"/>
      <c r="AQ430" s="437"/>
      <c r="AR430" s="437"/>
      <c r="AS430" s="437"/>
      <c r="AT430" s="437"/>
      <c r="AU430" s="437"/>
      <c r="AV430" s="437"/>
      <c r="AW430" s="437"/>
      <c r="AX430" s="436">
        <v>425</v>
      </c>
      <c r="AY430" s="490" t="s">
        <v>4722</v>
      </c>
      <c r="AZ430" s="490" t="s">
        <v>4723</v>
      </c>
      <c r="BA430" s="490" t="s">
        <v>4724</v>
      </c>
      <c r="BB430" s="490" t="s">
        <v>4725</v>
      </c>
      <c r="BC430" s="490" t="s">
        <v>1824</v>
      </c>
      <c r="BD430" s="490" t="s">
        <v>4726</v>
      </c>
      <c r="BE430" s="490" t="s">
        <v>383</v>
      </c>
      <c r="BF430" s="490" t="s">
        <v>373</v>
      </c>
      <c r="BG430" s="490" t="s">
        <v>4727</v>
      </c>
      <c r="BH430" s="490" t="s">
        <v>4728</v>
      </c>
      <c r="BI430" s="490" t="s">
        <v>4729</v>
      </c>
      <c r="BJ430" s="490" t="s">
        <v>4730</v>
      </c>
      <c r="BK430" s="437"/>
      <c r="BL430" s="437"/>
      <c r="BM430" s="437"/>
      <c r="BN430" s="437"/>
      <c r="BO430" s="437"/>
      <c r="BP430" s="437"/>
    </row>
    <row r="431" spans="1:68">
      <c r="A431" s="437"/>
      <c r="B431" s="437"/>
      <c r="C431" s="437"/>
      <c r="D431" s="437"/>
      <c r="E431" s="437"/>
      <c r="F431" s="437"/>
      <c r="G431" s="437"/>
      <c r="H431" s="437"/>
      <c r="I431" s="437"/>
      <c r="J431" s="437"/>
      <c r="K431" s="437"/>
      <c r="L431" s="437"/>
      <c r="M431" s="437"/>
      <c r="N431" s="437"/>
      <c r="O431" s="437"/>
      <c r="P431" s="437"/>
      <c r="Q431" s="437"/>
      <c r="R431" s="437"/>
      <c r="S431" s="437"/>
      <c r="T431" s="437"/>
      <c r="U431" s="437"/>
      <c r="V431" s="437"/>
      <c r="W431" s="437"/>
      <c r="X431" s="437"/>
      <c r="Y431" s="437"/>
      <c r="Z431" s="437"/>
      <c r="AA431" s="437"/>
      <c r="AB431" s="437"/>
      <c r="AC431" s="437"/>
      <c r="AD431" s="437"/>
      <c r="AE431" s="437"/>
      <c r="AF431" s="437"/>
      <c r="AG431" s="437"/>
      <c r="AH431" s="437"/>
      <c r="AI431" s="437"/>
      <c r="AJ431" s="437"/>
      <c r="AK431" s="437"/>
      <c r="AL431" s="437"/>
      <c r="AM431" s="437"/>
      <c r="AN431" s="437"/>
      <c r="AO431" s="437"/>
      <c r="AP431" s="437"/>
      <c r="AQ431" s="437"/>
      <c r="AR431" s="437"/>
      <c r="AS431" s="437"/>
      <c r="AT431" s="437"/>
      <c r="AU431" s="437"/>
      <c r="AV431" s="437"/>
      <c r="AW431" s="437"/>
      <c r="AX431" s="436">
        <v>426</v>
      </c>
      <c r="AY431" s="490" t="s">
        <v>1832</v>
      </c>
      <c r="AZ431" s="490" t="s">
        <v>4731</v>
      </c>
      <c r="BA431" s="490" t="s">
        <v>4723</v>
      </c>
      <c r="BB431" s="490" t="s">
        <v>1055</v>
      </c>
      <c r="BC431" s="490" t="s">
        <v>4732</v>
      </c>
      <c r="BD431" s="490" t="s">
        <v>241</v>
      </c>
      <c r="BE431" s="490" t="s">
        <v>4733</v>
      </c>
      <c r="BF431" s="490" t="s">
        <v>4734</v>
      </c>
      <c r="BG431" s="490" t="s">
        <v>374</v>
      </c>
      <c r="BH431" s="490" t="s">
        <v>4661</v>
      </c>
      <c r="BI431" s="490" t="s">
        <v>4735</v>
      </c>
      <c r="BJ431" s="490" t="s">
        <v>4736</v>
      </c>
      <c r="BK431" s="437"/>
      <c r="BL431" s="437"/>
      <c r="BM431" s="437"/>
      <c r="BN431" s="437"/>
      <c r="BO431" s="437"/>
      <c r="BP431" s="437"/>
    </row>
    <row r="432" spans="1:68">
      <c r="A432" s="437"/>
      <c r="B432" s="437"/>
      <c r="C432" s="437"/>
      <c r="D432" s="437"/>
      <c r="E432" s="437"/>
      <c r="F432" s="437"/>
      <c r="G432" s="437"/>
      <c r="H432" s="437"/>
      <c r="I432" s="437"/>
      <c r="J432" s="437"/>
      <c r="K432" s="437"/>
      <c r="L432" s="437"/>
      <c r="M432" s="437"/>
      <c r="N432" s="437"/>
      <c r="O432" s="437"/>
      <c r="P432" s="437"/>
      <c r="Q432" s="437"/>
      <c r="R432" s="437"/>
      <c r="S432" s="437"/>
      <c r="T432" s="437"/>
      <c r="U432" s="437"/>
      <c r="V432" s="437"/>
      <c r="W432" s="437"/>
      <c r="X432" s="437"/>
      <c r="Y432" s="437"/>
      <c r="Z432" s="437"/>
      <c r="AA432" s="437"/>
      <c r="AB432" s="437"/>
      <c r="AC432" s="437"/>
      <c r="AD432" s="437"/>
      <c r="AE432" s="437"/>
      <c r="AF432" s="437"/>
      <c r="AG432" s="437"/>
      <c r="AH432" s="437"/>
      <c r="AI432" s="437"/>
      <c r="AJ432" s="437"/>
      <c r="AK432" s="437"/>
      <c r="AL432" s="437"/>
      <c r="AM432" s="437"/>
      <c r="AN432" s="437"/>
      <c r="AO432" s="437"/>
      <c r="AP432" s="437"/>
      <c r="AQ432" s="437"/>
      <c r="AR432" s="437"/>
      <c r="AS432" s="437"/>
      <c r="AT432" s="437"/>
      <c r="AU432" s="437"/>
      <c r="AV432" s="437"/>
      <c r="AW432" s="437"/>
      <c r="AX432" s="436">
        <v>427</v>
      </c>
      <c r="AY432" s="490" t="s">
        <v>4737</v>
      </c>
      <c r="AZ432" s="490" t="s">
        <v>4738</v>
      </c>
      <c r="BA432" s="490" t="s">
        <v>243</v>
      </c>
      <c r="BB432" s="490" t="s">
        <v>4667</v>
      </c>
      <c r="BC432" s="490" t="s">
        <v>1846</v>
      </c>
      <c r="BD432" s="490" t="s">
        <v>4739</v>
      </c>
      <c r="BE432" s="490" t="s">
        <v>4740</v>
      </c>
      <c r="BF432" s="490" t="s">
        <v>4741</v>
      </c>
      <c r="BG432" s="490" t="s">
        <v>4742</v>
      </c>
      <c r="BH432" s="490" t="s">
        <v>4743</v>
      </c>
      <c r="BI432" s="490" t="s">
        <v>4744</v>
      </c>
      <c r="BJ432" s="490" t="s">
        <v>4745</v>
      </c>
      <c r="BK432" s="437"/>
      <c r="BL432" s="437"/>
      <c r="BM432" s="437"/>
      <c r="BN432" s="437"/>
      <c r="BO432" s="437"/>
      <c r="BP432" s="437"/>
    </row>
    <row r="433" spans="1:68">
      <c r="A433" s="437"/>
      <c r="B433" s="437"/>
      <c r="C433" s="437"/>
      <c r="D433" s="437"/>
      <c r="E433" s="437"/>
      <c r="F433" s="437"/>
      <c r="G433" s="437"/>
      <c r="H433" s="437"/>
      <c r="I433" s="437"/>
      <c r="J433" s="437"/>
      <c r="K433" s="437"/>
      <c r="L433" s="437"/>
      <c r="M433" s="437"/>
      <c r="N433" s="437"/>
      <c r="O433" s="437"/>
      <c r="P433" s="437"/>
      <c r="Q433" s="437"/>
      <c r="R433" s="437"/>
      <c r="S433" s="437"/>
      <c r="T433" s="437"/>
      <c r="U433" s="437"/>
      <c r="V433" s="437"/>
      <c r="W433" s="437"/>
      <c r="X433" s="437"/>
      <c r="Y433" s="437"/>
      <c r="Z433" s="437"/>
      <c r="AA433" s="437"/>
      <c r="AB433" s="437"/>
      <c r="AC433" s="437"/>
      <c r="AD433" s="437"/>
      <c r="AE433" s="437"/>
      <c r="AF433" s="437"/>
      <c r="AG433" s="437"/>
      <c r="AH433" s="437"/>
      <c r="AI433" s="437"/>
      <c r="AJ433" s="437"/>
      <c r="AK433" s="437"/>
      <c r="AL433" s="437"/>
      <c r="AM433" s="437"/>
      <c r="AN433" s="437"/>
      <c r="AO433" s="437"/>
      <c r="AP433" s="437"/>
      <c r="AQ433" s="437"/>
      <c r="AR433" s="437"/>
      <c r="AS433" s="437"/>
      <c r="AT433" s="437"/>
      <c r="AU433" s="437"/>
      <c r="AV433" s="437"/>
      <c r="AW433" s="437"/>
      <c r="AX433" s="436">
        <v>428</v>
      </c>
      <c r="AY433" s="490" t="s">
        <v>4746</v>
      </c>
      <c r="AZ433" s="490" t="s">
        <v>4747</v>
      </c>
      <c r="BA433" s="490" t="s">
        <v>4748</v>
      </c>
      <c r="BB433" s="490" t="s">
        <v>1076</v>
      </c>
      <c r="BC433" s="490" t="s">
        <v>4749</v>
      </c>
      <c r="BD433" s="490" t="s">
        <v>4750</v>
      </c>
      <c r="BE433" s="490" t="s">
        <v>4751</v>
      </c>
      <c r="BF433" s="490" t="s">
        <v>4752</v>
      </c>
      <c r="BG433" s="490" t="s">
        <v>4753</v>
      </c>
      <c r="BH433" s="490" t="s">
        <v>4754</v>
      </c>
      <c r="BI433" s="490" t="s">
        <v>4755</v>
      </c>
      <c r="BJ433" s="490" t="s">
        <v>4756</v>
      </c>
      <c r="BK433" s="437"/>
      <c r="BL433" s="437"/>
      <c r="BM433" s="437"/>
      <c r="BN433" s="437"/>
      <c r="BO433" s="437"/>
      <c r="BP433" s="437"/>
    </row>
    <row r="434" spans="1:68">
      <c r="A434" s="437"/>
      <c r="B434" s="437"/>
      <c r="C434" s="437"/>
      <c r="D434" s="437"/>
      <c r="E434" s="437"/>
      <c r="F434" s="437"/>
      <c r="G434" s="437"/>
      <c r="H434" s="437"/>
      <c r="I434" s="437"/>
      <c r="J434" s="437"/>
      <c r="K434" s="437"/>
      <c r="L434" s="437"/>
      <c r="M434" s="437"/>
      <c r="N434" s="437"/>
      <c r="O434" s="437"/>
      <c r="P434" s="437"/>
      <c r="Q434" s="437"/>
      <c r="R434" s="437"/>
      <c r="S434" s="437"/>
      <c r="T434" s="437"/>
      <c r="U434" s="437"/>
      <c r="V434" s="437"/>
      <c r="W434" s="437"/>
      <c r="X434" s="437"/>
      <c r="Y434" s="437"/>
      <c r="Z434" s="437"/>
      <c r="AA434" s="437"/>
      <c r="AB434" s="437"/>
      <c r="AC434" s="437"/>
      <c r="AD434" s="437"/>
      <c r="AE434" s="437"/>
      <c r="AF434" s="437"/>
      <c r="AG434" s="437"/>
      <c r="AH434" s="437"/>
      <c r="AI434" s="437"/>
      <c r="AJ434" s="437"/>
      <c r="AK434" s="437"/>
      <c r="AL434" s="437"/>
      <c r="AM434" s="437"/>
      <c r="AN434" s="437"/>
      <c r="AO434" s="437"/>
      <c r="AP434" s="437"/>
      <c r="AQ434" s="437"/>
      <c r="AR434" s="437"/>
      <c r="AS434" s="437"/>
      <c r="AT434" s="437"/>
      <c r="AU434" s="437"/>
      <c r="AV434" s="437"/>
      <c r="AW434" s="437"/>
      <c r="AX434" s="436">
        <v>429</v>
      </c>
      <c r="AY434" s="490" t="s">
        <v>4757</v>
      </c>
      <c r="AZ434" s="490" t="s">
        <v>4758</v>
      </c>
      <c r="BA434" s="490" t="s">
        <v>4759</v>
      </c>
      <c r="BB434" s="490" t="s">
        <v>245</v>
      </c>
      <c r="BC434" s="490" t="s">
        <v>4760</v>
      </c>
      <c r="BD434" s="490" t="s">
        <v>4761</v>
      </c>
      <c r="BE434" s="490" t="s">
        <v>4762</v>
      </c>
      <c r="BF434" s="490" t="s">
        <v>648</v>
      </c>
      <c r="BG434" s="490" t="s">
        <v>4763</v>
      </c>
      <c r="BH434" s="490" t="s">
        <v>4764</v>
      </c>
      <c r="BI434" s="490" t="s">
        <v>4765</v>
      </c>
      <c r="BJ434" s="490" t="s">
        <v>4766</v>
      </c>
      <c r="BK434" s="437"/>
      <c r="BL434" s="437"/>
      <c r="BM434" s="437"/>
      <c r="BN434" s="437"/>
      <c r="BO434" s="437"/>
      <c r="BP434" s="437"/>
    </row>
    <row r="435" spans="1:68">
      <c r="A435" s="437"/>
      <c r="B435" s="437"/>
      <c r="C435" s="437"/>
      <c r="D435" s="437"/>
      <c r="E435" s="437"/>
      <c r="F435" s="437"/>
      <c r="G435" s="437"/>
      <c r="H435" s="437"/>
      <c r="I435" s="437"/>
      <c r="J435" s="437"/>
      <c r="K435" s="437"/>
      <c r="L435" s="437"/>
      <c r="M435" s="437"/>
      <c r="N435" s="437"/>
      <c r="O435" s="437"/>
      <c r="P435" s="437"/>
      <c r="Q435" s="437"/>
      <c r="R435" s="437"/>
      <c r="S435" s="437"/>
      <c r="T435" s="437"/>
      <c r="U435" s="437"/>
      <c r="V435" s="437"/>
      <c r="W435" s="437"/>
      <c r="X435" s="437"/>
      <c r="Y435" s="437"/>
      <c r="Z435" s="437"/>
      <c r="AA435" s="437"/>
      <c r="AB435" s="437"/>
      <c r="AC435" s="437"/>
      <c r="AD435" s="437"/>
      <c r="AE435" s="437"/>
      <c r="AF435" s="437"/>
      <c r="AG435" s="437"/>
      <c r="AH435" s="437"/>
      <c r="AI435" s="437"/>
      <c r="AJ435" s="437"/>
      <c r="AK435" s="437"/>
      <c r="AL435" s="437"/>
      <c r="AM435" s="437"/>
      <c r="AN435" s="437"/>
      <c r="AO435" s="437"/>
      <c r="AP435" s="437"/>
      <c r="AQ435" s="437"/>
      <c r="AR435" s="437"/>
      <c r="AS435" s="437"/>
      <c r="AT435" s="437"/>
      <c r="AU435" s="437"/>
      <c r="AV435" s="437"/>
      <c r="AW435" s="437"/>
      <c r="AX435" s="436">
        <v>430</v>
      </c>
      <c r="AY435" s="490" t="s">
        <v>4767</v>
      </c>
      <c r="AZ435" s="490" t="s">
        <v>4768</v>
      </c>
      <c r="BA435" s="490" t="s">
        <v>4758</v>
      </c>
      <c r="BB435" s="490" t="s">
        <v>4769</v>
      </c>
      <c r="BC435" s="490" t="s">
        <v>4700</v>
      </c>
      <c r="BD435" s="490" t="s">
        <v>4676</v>
      </c>
      <c r="BE435" s="490" t="s">
        <v>4770</v>
      </c>
      <c r="BF435" s="490" t="s">
        <v>4771</v>
      </c>
      <c r="BG435" s="490" t="s">
        <v>246</v>
      </c>
      <c r="BH435" s="490" t="s">
        <v>4772</v>
      </c>
      <c r="BI435" s="490" t="s">
        <v>4773</v>
      </c>
      <c r="BJ435" s="490" t="s">
        <v>2615</v>
      </c>
      <c r="BK435" s="437"/>
      <c r="BL435" s="437"/>
      <c r="BM435" s="437"/>
      <c r="BN435" s="437"/>
      <c r="BO435" s="437"/>
      <c r="BP435" s="437"/>
    </row>
    <row r="436" spans="1:68">
      <c r="A436" s="437"/>
      <c r="B436" s="437"/>
      <c r="C436" s="437"/>
      <c r="D436" s="437"/>
      <c r="E436" s="437"/>
      <c r="F436" s="437"/>
      <c r="G436" s="437"/>
      <c r="H436" s="437"/>
      <c r="I436" s="437"/>
      <c r="J436" s="437"/>
      <c r="K436" s="437"/>
      <c r="L436" s="437"/>
      <c r="M436" s="437"/>
      <c r="N436" s="437"/>
      <c r="O436" s="437"/>
      <c r="P436" s="437"/>
      <c r="Q436" s="437"/>
      <c r="R436" s="437"/>
      <c r="S436" s="437"/>
      <c r="T436" s="437"/>
      <c r="U436" s="437"/>
      <c r="V436" s="437"/>
      <c r="W436" s="437"/>
      <c r="X436" s="437"/>
      <c r="Y436" s="437"/>
      <c r="Z436" s="437"/>
      <c r="AA436" s="437"/>
      <c r="AB436" s="437"/>
      <c r="AC436" s="437"/>
      <c r="AD436" s="437"/>
      <c r="AE436" s="437"/>
      <c r="AF436" s="437"/>
      <c r="AG436" s="437"/>
      <c r="AH436" s="437"/>
      <c r="AI436" s="437"/>
      <c r="AJ436" s="437"/>
      <c r="AK436" s="437"/>
      <c r="AL436" s="437"/>
      <c r="AM436" s="437"/>
      <c r="AN436" s="437"/>
      <c r="AO436" s="437"/>
      <c r="AP436" s="437"/>
      <c r="AQ436" s="437"/>
      <c r="AR436" s="437"/>
      <c r="AS436" s="437"/>
      <c r="AT436" s="437"/>
      <c r="AU436" s="437"/>
      <c r="AV436" s="437"/>
      <c r="AW436" s="437"/>
      <c r="AX436" s="436">
        <v>431</v>
      </c>
      <c r="AY436" s="490" t="s">
        <v>4774</v>
      </c>
      <c r="AZ436" s="490" t="s">
        <v>4775</v>
      </c>
      <c r="BA436" s="490" t="s">
        <v>4776</v>
      </c>
      <c r="BB436" s="490" t="s">
        <v>4777</v>
      </c>
      <c r="BC436" s="490" t="s">
        <v>4778</v>
      </c>
      <c r="BD436" s="490" t="s">
        <v>4779</v>
      </c>
      <c r="BE436" s="490" t="s">
        <v>669</v>
      </c>
      <c r="BF436" s="490" t="s">
        <v>4780</v>
      </c>
      <c r="BG436" s="490" t="s">
        <v>4781</v>
      </c>
      <c r="BH436" s="490" t="s">
        <v>4782</v>
      </c>
      <c r="BI436" s="490" t="s">
        <v>4783</v>
      </c>
      <c r="BJ436" s="490" t="s">
        <v>4784</v>
      </c>
      <c r="BK436" s="437"/>
      <c r="BL436" s="437"/>
      <c r="BM436" s="437"/>
      <c r="BN436" s="437"/>
      <c r="BO436" s="437"/>
      <c r="BP436" s="437"/>
    </row>
    <row r="437" spans="1:68">
      <c r="A437" s="437"/>
      <c r="B437" s="437"/>
      <c r="C437" s="437"/>
      <c r="D437" s="437"/>
      <c r="E437" s="437"/>
      <c r="F437" s="437"/>
      <c r="G437" s="437"/>
      <c r="H437" s="437"/>
      <c r="I437" s="437"/>
      <c r="J437" s="437"/>
      <c r="K437" s="437"/>
      <c r="L437" s="437"/>
      <c r="M437" s="437"/>
      <c r="N437" s="437"/>
      <c r="O437" s="437"/>
      <c r="P437" s="437"/>
      <c r="Q437" s="437"/>
      <c r="R437" s="437"/>
      <c r="S437" s="437"/>
      <c r="T437" s="437"/>
      <c r="U437" s="437"/>
      <c r="V437" s="437"/>
      <c r="W437" s="437"/>
      <c r="X437" s="437"/>
      <c r="Y437" s="437"/>
      <c r="Z437" s="437"/>
      <c r="AA437" s="437"/>
      <c r="AB437" s="437"/>
      <c r="AC437" s="437"/>
      <c r="AD437" s="437"/>
      <c r="AE437" s="437"/>
      <c r="AF437" s="437"/>
      <c r="AG437" s="437"/>
      <c r="AH437" s="437"/>
      <c r="AI437" s="437"/>
      <c r="AJ437" s="437"/>
      <c r="AK437" s="437"/>
      <c r="AL437" s="437"/>
      <c r="AM437" s="437"/>
      <c r="AN437" s="437"/>
      <c r="AO437" s="437"/>
      <c r="AP437" s="437"/>
      <c r="AQ437" s="437"/>
      <c r="AR437" s="437"/>
      <c r="AS437" s="437"/>
      <c r="AT437" s="437"/>
      <c r="AU437" s="437"/>
      <c r="AV437" s="437"/>
      <c r="AW437" s="437"/>
      <c r="AX437" s="436">
        <v>432</v>
      </c>
      <c r="AY437" s="490" t="s">
        <v>1895</v>
      </c>
      <c r="AZ437" s="490" t="s">
        <v>4785</v>
      </c>
      <c r="BA437" s="490" t="s">
        <v>247</v>
      </c>
      <c r="BB437" s="490" t="s">
        <v>1118</v>
      </c>
      <c r="BC437" s="490" t="s">
        <v>4786</v>
      </c>
      <c r="BD437" s="490" t="s">
        <v>4787</v>
      </c>
      <c r="BE437" s="490" t="s">
        <v>4788</v>
      </c>
      <c r="BF437" s="490" t="s">
        <v>4789</v>
      </c>
      <c r="BG437" s="490" t="s">
        <v>4790</v>
      </c>
      <c r="BH437" s="490" t="s">
        <v>4791</v>
      </c>
      <c r="BI437" s="490" t="s">
        <v>4792</v>
      </c>
      <c r="BJ437" s="490" t="s">
        <v>4793</v>
      </c>
      <c r="BK437" s="437"/>
      <c r="BL437" s="437"/>
      <c r="BM437" s="437"/>
      <c r="BN437" s="437"/>
      <c r="BO437" s="437"/>
      <c r="BP437" s="437"/>
    </row>
    <row r="438" spans="1:68">
      <c r="A438" s="437"/>
      <c r="B438" s="437"/>
      <c r="C438" s="437"/>
      <c r="D438" s="437"/>
      <c r="E438" s="437"/>
      <c r="F438" s="437"/>
      <c r="G438" s="437"/>
      <c r="H438" s="437"/>
      <c r="I438" s="437"/>
      <c r="J438" s="437"/>
      <c r="K438" s="437"/>
      <c r="L438" s="437"/>
      <c r="M438" s="437"/>
      <c r="N438" s="437"/>
      <c r="O438" s="437"/>
      <c r="P438" s="437"/>
      <c r="Q438" s="437"/>
      <c r="R438" s="437"/>
      <c r="S438" s="437"/>
      <c r="T438" s="437"/>
      <c r="U438" s="437"/>
      <c r="V438" s="437"/>
      <c r="W438" s="437"/>
      <c r="X438" s="437"/>
      <c r="Y438" s="437"/>
      <c r="Z438" s="437"/>
      <c r="AA438" s="437"/>
      <c r="AB438" s="437"/>
      <c r="AC438" s="437"/>
      <c r="AD438" s="437"/>
      <c r="AE438" s="437"/>
      <c r="AF438" s="437"/>
      <c r="AG438" s="437"/>
      <c r="AH438" s="437"/>
      <c r="AI438" s="437"/>
      <c r="AJ438" s="437"/>
      <c r="AK438" s="437"/>
      <c r="AL438" s="437"/>
      <c r="AM438" s="437"/>
      <c r="AN438" s="437"/>
      <c r="AO438" s="437"/>
      <c r="AP438" s="437"/>
      <c r="AQ438" s="437"/>
      <c r="AR438" s="437"/>
      <c r="AS438" s="437"/>
      <c r="AT438" s="437"/>
      <c r="AU438" s="437"/>
      <c r="AV438" s="437"/>
      <c r="AW438" s="437"/>
      <c r="AX438" s="436">
        <v>433</v>
      </c>
      <c r="AY438" s="490" t="s">
        <v>4794</v>
      </c>
      <c r="AZ438" s="490" t="s">
        <v>4795</v>
      </c>
      <c r="BA438" s="490" t="s">
        <v>4796</v>
      </c>
      <c r="BB438" s="490" t="s">
        <v>4797</v>
      </c>
      <c r="BC438" s="490" t="s">
        <v>4798</v>
      </c>
      <c r="BD438" s="490" t="s">
        <v>4799</v>
      </c>
      <c r="BE438" s="490" t="s">
        <v>4800</v>
      </c>
      <c r="BF438" s="490" t="s">
        <v>4801</v>
      </c>
      <c r="BG438" s="490" t="s">
        <v>4802</v>
      </c>
      <c r="BH438" s="490" t="s">
        <v>4803</v>
      </c>
      <c r="BI438" s="490" t="s">
        <v>4048</v>
      </c>
      <c r="BJ438" s="490" t="s">
        <v>4804</v>
      </c>
      <c r="BK438" s="437"/>
      <c r="BL438" s="437"/>
      <c r="BM438" s="437"/>
      <c r="BN438" s="437"/>
      <c r="BO438" s="437"/>
      <c r="BP438" s="437"/>
    </row>
    <row r="439" spans="1:68">
      <c r="A439" s="437"/>
      <c r="B439" s="437"/>
      <c r="C439" s="437"/>
      <c r="D439" s="437"/>
      <c r="E439" s="437"/>
      <c r="F439" s="437"/>
      <c r="G439" s="437"/>
      <c r="H439" s="437"/>
      <c r="I439" s="437"/>
      <c r="J439" s="437"/>
      <c r="K439" s="437"/>
      <c r="L439" s="437"/>
      <c r="M439" s="437"/>
      <c r="N439" s="437"/>
      <c r="O439" s="437"/>
      <c r="P439" s="437"/>
      <c r="Q439" s="437"/>
      <c r="R439" s="437"/>
      <c r="S439" s="437"/>
      <c r="T439" s="437"/>
      <c r="U439" s="437"/>
      <c r="V439" s="437"/>
      <c r="W439" s="437"/>
      <c r="X439" s="437"/>
      <c r="Y439" s="437"/>
      <c r="Z439" s="437"/>
      <c r="AA439" s="437"/>
      <c r="AB439" s="437"/>
      <c r="AC439" s="437"/>
      <c r="AD439" s="437"/>
      <c r="AE439" s="437"/>
      <c r="AF439" s="437"/>
      <c r="AG439" s="437"/>
      <c r="AH439" s="437"/>
      <c r="AI439" s="437"/>
      <c r="AJ439" s="437"/>
      <c r="AK439" s="437"/>
      <c r="AL439" s="437"/>
      <c r="AM439" s="437"/>
      <c r="AN439" s="437"/>
      <c r="AO439" s="437"/>
      <c r="AP439" s="437"/>
      <c r="AQ439" s="437"/>
      <c r="AR439" s="437"/>
      <c r="AS439" s="437"/>
      <c r="AT439" s="437"/>
      <c r="AU439" s="437"/>
      <c r="AV439" s="437"/>
      <c r="AW439" s="437"/>
      <c r="AX439" s="436">
        <v>434</v>
      </c>
      <c r="AY439" s="490" t="s">
        <v>1917</v>
      </c>
      <c r="AZ439" s="490" t="s">
        <v>4805</v>
      </c>
      <c r="BA439" s="490" t="s">
        <v>4806</v>
      </c>
      <c r="BB439" s="490" t="s">
        <v>4807</v>
      </c>
      <c r="BC439" s="490" t="s">
        <v>4808</v>
      </c>
      <c r="BD439" s="490" t="s">
        <v>4809</v>
      </c>
      <c r="BE439" s="490" t="s">
        <v>4810</v>
      </c>
      <c r="BF439" s="490" t="s">
        <v>4811</v>
      </c>
      <c r="BG439" s="490" t="s">
        <v>1872</v>
      </c>
      <c r="BH439" s="490" t="s">
        <v>4812</v>
      </c>
      <c r="BI439" s="490" t="s">
        <v>4813</v>
      </c>
      <c r="BJ439" s="490" t="s">
        <v>4814</v>
      </c>
      <c r="BK439" s="437"/>
      <c r="BL439" s="437"/>
      <c r="BM439" s="437"/>
      <c r="BN439" s="437"/>
      <c r="BO439" s="437"/>
      <c r="BP439" s="437"/>
    </row>
    <row r="440" spans="1:68">
      <c r="A440" s="437"/>
      <c r="B440" s="437"/>
      <c r="C440" s="437"/>
      <c r="D440" s="437"/>
      <c r="E440" s="437"/>
      <c r="F440" s="437"/>
      <c r="G440" s="437"/>
      <c r="H440" s="437"/>
      <c r="I440" s="437"/>
      <c r="J440" s="437"/>
      <c r="K440" s="437"/>
      <c r="L440" s="437"/>
      <c r="M440" s="437"/>
      <c r="N440" s="437"/>
      <c r="O440" s="437"/>
      <c r="P440" s="437"/>
      <c r="Q440" s="437"/>
      <c r="R440" s="437"/>
      <c r="S440" s="437"/>
      <c r="T440" s="437"/>
      <c r="U440" s="437"/>
      <c r="V440" s="437"/>
      <c r="W440" s="437"/>
      <c r="X440" s="437"/>
      <c r="Y440" s="437"/>
      <c r="Z440" s="437"/>
      <c r="AA440" s="437"/>
      <c r="AB440" s="437"/>
      <c r="AC440" s="437"/>
      <c r="AD440" s="437"/>
      <c r="AE440" s="437"/>
      <c r="AF440" s="437"/>
      <c r="AG440" s="437"/>
      <c r="AH440" s="437"/>
      <c r="AI440" s="437"/>
      <c r="AJ440" s="437"/>
      <c r="AK440" s="437"/>
      <c r="AL440" s="437"/>
      <c r="AM440" s="437"/>
      <c r="AN440" s="437"/>
      <c r="AO440" s="437"/>
      <c r="AP440" s="437"/>
      <c r="AQ440" s="437"/>
      <c r="AR440" s="437"/>
      <c r="AS440" s="437"/>
      <c r="AT440" s="437"/>
      <c r="AU440" s="437"/>
      <c r="AV440" s="437"/>
      <c r="AW440" s="437"/>
      <c r="AX440" s="436">
        <v>435</v>
      </c>
      <c r="AY440" s="490" t="s">
        <v>4815</v>
      </c>
      <c r="AZ440" s="490" t="s">
        <v>4816</v>
      </c>
      <c r="BA440" s="490" t="s">
        <v>4817</v>
      </c>
      <c r="BB440" s="490" t="s">
        <v>4818</v>
      </c>
      <c r="BC440" s="490" t="s">
        <v>2677</v>
      </c>
      <c r="BD440" s="490" t="s">
        <v>4819</v>
      </c>
      <c r="BE440" s="490" t="s">
        <v>4801</v>
      </c>
      <c r="BF440" s="490" t="s">
        <v>240</v>
      </c>
      <c r="BG440" s="490" t="s">
        <v>4811</v>
      </c>
      <c r="BH440" s="490" t="s">
        <v>248</v>
      </c>
      <c r="BI440" s="490" t="s">
        <v>4820</v>
      </c>
      <c r="BJ440" s="490" t="s">
        <v>4821</v>
      </c>
      <c r="BK440" s="437"/>
      <c r="BL440" s="437"/>
      <c r="BM440" s="437"/>
      <c r="BN440" s="437"/>
      <c r="BO440" s="437"/>
      <c r="BP440" s="437"/>
    </row>
    <row r="441" spans="1:68">
      <c r="A441" s="437"/>
      <c r="B441" s="437"/>
      <c r="C441" s="437"/>
      <c r="D441" s="437"/>
      <c r="E441" s="437"/>
      <c r="F441" s="437"/>
      <c r="G441" s="437"/>
      <c r="H441" s="437"/>
      <c r="I441" s="437"/>
      <c r="J441" s="437"/>
      <c r="K441" s="437"/>
      <c r="L441" s="437"/>
      <c r="M441" s="437"/>
      <c r="N441" s="437"/>
      <c r="O441" s="437"/>
      <c r="P441" s="437"/>
      <c r="Q441" s="437"/>
      <c r="R441" s="437"/>
      <c r="S441" s="437"/>
      <c r="T441" s="437"/>
      <c r="U441" s="437"/>
      <c r="V441" s="437"/>
      <c r="W441" s="437"/>
      <c r="X441" s="437"/>
      <c r="Y441" s="437"/>
      <c r="Z441" s="437"/>
      <c r="AA441" s="437"/>
      <c r="AB441" s="437"/>
      <c r="AC441" s="437"/>
      <c r="AD441" s="437"/>
      <c r="AE441" s="437"/>
      <c r="AF441" s="437"/>
      <c r="AG441" s="437"/>
      <c r="AH441" s="437"/>
      <c r="AI441" s="437"/>
      <c r="AJ441" s="437"/>
      <c r="AK441" s="437"/>
      <c r="AL441" s="437"/>
      <c r="AM441" s="437"/>
      <c r="AN441" s="437"/>
      <c r="AO441" s="437"/>
      <c r="AP441" s="437"/>
      <c r="AQ441" s="437"/>
      <c r="AR441" s="437"/>
      <c r="AS441" s="437"/>
      <c r="AT441" s="437"/>
      <c r="AU441" s="437"/>
      <c r="AV441" s="437"/>
      <c r="AW441" s="437"/>
      <c r="AX441" s="436">
        <v>436</v>
      </c>
      <c r="AY441" s="490" t="s">
        <v>4822</v>
      </c>
      <c r="AZ441" s="490" t="s">
        <v>4823</v>
      </c>
      <c r="BA441" s="490" t="s">
        <v>4816</v>
      </c>
      <c r="BB441" s="490" t="s">
        <v>249</v>
      </c>
      <c r="BC441" s="490" t="s">
        <v>4824</v>
      </c>
      <c r="BD441" s="490" t="s">
        <v>1943</v>
      </c>
      <c r="BE441" s="490" t="s">
        <v>4825</v>
      </c>
      <c r="BF441" s="490" t="s">
        <v>1556</v>
      </c>
      <c r="BG441" s="490" t="s">
        <v>242</v>
      </c>
      <c r="BH441" s="490" t="s">
        <v>4826</v>
      </c>
      <c r="BI441" s="490" t="s">
        <v>4827</v>
      </c>
      <c r="BJ441" s="490" t="s">
        <v>4828</v>
      </c>
      <c r="BK441" s="437"/>
      <c r="BL441" s="437"/>
      <c r="BM441" s="437"/>
      <c r="BN441" s="437"/>
      <c r="BO441" s="437"/>
      <c r="BP441" s="437"/>
    </row>
    <row r="442" spans="1:68">
      <c r="A442" s="437"/>
      <c r="B442" s="437"/>
      <c r="C442" s="437"/>
      <c r="D442" s="437"/>
      <c r="E442" s="437"/>
      <c r="F442" s="437"/>
      <c r="G442" s="437"/>
      <c r="H442" s="437"/>
      <c r="I442" s="437"/>
      <c r="J442" s="437"/>
      <c r="K442" s="437"/>
      <c r="L442" s="437"/>
      <c r="M442" s="437"/>
      <c r="N442" s="437"/>
      <c r="O442" s="437"/>
      <c r="P442" s="437"/>
      <c r="Q442" s="437"/>
      <c r="R442" s="437"/>
      <c r="S442" s="437"/>
      <c r="T442" s="437"/>
      <c r="U442" s="437"/>
      <c r="V442" s="437"/>
      <c r="W442" s="437"/>
      <c r="X442" s="437"/>
      <c r="Y442" s="437"/>
      <c r="Z442" s="437"/>
      <c r="AA442" s="437"/>
      <c r="AB442" s="437"/>
      <c r="AC442" s="437"/>
      <c r="AD442" s="437"/>
      <c r="AE442" s="437"/>
      <c r="AF442" s="437"/>
      <c r="AG442" s="437"/>
      <c r="AH442" s="437"/>
      <c r="AI442" s="437"/>
      <c r="AJ442" s="437"/>
      <c r="AK442" s="437"/>
      <c r="AL442" s="437"/>
      <c r="AM442" s="437"/>
      <c r="AN442" s="437"/>
      <c r="AO442" s="437"/>
      <c r="AP442" s="437"/>
      <c r="AQ442" s="437"/>
      <c r="AR442" s="437"/>
      <c r="AS442" s="437"/>
      <c r="AT442" s="437"/>
      <c r="AU442" s="437"/>
      <c r="AV442" s="437"/>
      <c r="AW442" s="437"/>
      <c r="AX442" s="436">
        <v>437</v>
      </c>
      <c r="AY442" s="490" t="s">
        <v>4829</v>
      </c>
      <c r="AZ442" s="490" t="s">
        <v>4830</v>
      </c>
      <c r="BA442" s="490" t="s">
        <v>4831</v>
      </c>
      <c r="BB442" s="490" t="s">
        <v>4748</v>
      </c>
      <c r="BC442" s="490" t="s">
        <v>2063</v>
      </c>
      <c r="BD442" s="490" t="s">
        <v>4732</v>
      </c>
      <c r="BE442" s="490" t="s">
        <v>244</v>
      </c>
      <c r="BF442" s="490" t="s">
        <v>4832</v>
      </c>
      <c r="BG442" s="490" t="s">
        <v>1567</v>
      </c>
      <c r="BH442" s="490" t="s">
        <v>4833</v>
      </c>
      <c r="BI442" s="490" t="s">
        <v>4834</v>
      </c>
      <c r="BJ442" s="490" t="s">
        <v>4835</v>
      </c>
      <c r="BK442" s="437"/>
      <c r="BL442" s="437"/>
      <c r="BM442" s="437"/>
      <c r="BN442" s="437"/>
      <c r="BO442" s="437"/>
      <c r="BP442" s="437"/>
    </row>
    <row r="443" spans="1:68">
      <c r="A443" s="437"/>
      <c r="B443" s="437"/>
      <c r="C443" s="437"/>
      <c r="D443" s="437"/>
      <c r="E443" s="437"/>
      <c r="F443" s="437"/>
      <c r="G443" s="437"/>
      <c r="H443" s="437"/>
      <c r="I443" s="437"/>
      <c r="J443" s="437"/>
      <c r="K443" s="437"/>
      <c r="L443" s="437"/>
      <c r="M443" s="437"/>
      <c r="N443" s="437"/>
      <c r="O443" s="437"/>
      <c r="P443" s="437"/>
      <c r="Q443" s="437"/>
      <c r="R443" s="437"/>
      <c r="S443" s="437"/>
      <c r="T443" s="437"/>
      <c r="U443" s="437"/>
      <c r="V443" s="437"/>
      <c r="W443" s="437"/>
      <c r="X443" s="437"/>
      <c r="Y443" s="437"/>
      <c r="Z443" s="437"/>
      <c r="AA443" s="437"/>
      <c r="AB443" s="437"/>
      <c r="AC443" s="437"/>
      <c r="AD443" s="437"/>
      <c r="AE443" s="437"/>
      <c r="AF443" s="437"/>
      <c r="AG443" s="437"/>
      <c r="AH443" s="437"/>
      <c r="AI443" s="437"/>
      <c r="AJ443" s="437"/>
      <c r="AK443" s="437"/>
      <c r="AL443" s="437"/>
      <c r="AM443" s="437"/>
      <c r="AN443" s="437"/>
      <c r="AO443" s="437"/>
      <c r="AP443" s="437"/>
      <c r="AQ443" s="437"/>
      <c r="AR443" s="437"/>
      <c r="AS443" s="437"/>
      <c r="AT443" s="437"/>
      <c r="AU443" s="437"/>
      <c r="AV443" s="437"/>
      <c r="AW443" s="437"/>
      <c r="AX443" s="436">
        <v>438</v>
      </c>
      <c r="AY443" s="490" t="s">
        <v>4836</v>
      </c>
      <c r="AZ443" s="490" t="s">
        <v>4837</v>
      </c>
      <c r="BA443" s="490" t="s">
        <v>4838</v>
      </c>
      <c r="BB443" s="490" t="s">
        <v>1186</v>
      </c>
      <c r="BC443" s="490" t="s">
        <v>4839</v>
      </c>
      <c r="BD443" s="490" t="s">
        <v>1963</v>
      </c>
      <c r="BE443" s="490" t="s">
        <v>1556</v>
      </c>
      <c r="BF443" s="490" t="s">
        <v>681</v>
      </c>
      <c r="BG443" s="490" t="s">
        <v>1169</v>
      </c>
      <c r="BH443" s="490" t="s">
        <v>4840</v>
      </c>
      <c r="BI443" s="490" t="s">
        <v>4841</v>
      </c>
      <c r="BJ443" s="490" t="s">
        <v>4842</v>
      </c>
      <c r="BK443" s="437"/>
      <c r="BL443" s="437"/>
      <c r="BM443" s="437"/>
      <c r="BN443" s="437"/>
      <c r="BO443" s="437"/>
      <c r="BP443" s="437"/>
    </row>
    <row r="444" spans="1:68">
      <c r="A444" s="437"/>
      <c r="B444" s="437"/>
      <c r="C444" s="437"/>
      <c r="D444" s="437"/>
      <c r="E444" s="437"/>
      <c r="F444" s="437"/>
      <c r="G444" s="437"/>
      <c r="H444" s="437"/>
      <c r="I444" s="437"/>
      <c r="J444" s="437"/>
      <c r="K444" s="437"/>
      <c r="L444" s="437"/>
      <c r="M444" s="437"/>
      <c r="N444" s="437"/>
      <c r="O444" s="437"/>
      <c r="P444" s="437"/>
      <c r="Q444" s="437"/>
      <c r="R444" s="437"/>
      <c r="S444" s="437"/>
      <c r="T444" s="437"/>
      <c r="U444" s="437"/>
      <c r="V444" s="437"/>
      <c r="W444" s="437"/>
      <c r="X444" s="437"/>
      <c r="Y444" s="437"/>
      <c r="Z444" s="437"/>
      <c r="AA444" s="437"/>
      <c r="AB444" s="437"/>
      <c r="AC444" s="437"/>
      <c r="AD444" s="437"/>
      <c r="AE444" s="437"/>
      <c r="AF444" s="437"/>
      <c r="AG444" s="437"/>
      <c r="AH444" s="437"/>
      <c r="AI444" s="437"/>
      <c r="AJ444" s="437"/>
      <c r="AK444" s="437"/>
      <c r="AL444" s="437"/>
      <c r="AM444" s="437"/>
      <c r="AN444" s="437"/>
      <c r="AO444" s="437"/>
      <c r="AP444" s="437"/>
      <c r="AQ444" s="437"/>
      <c r="AR444" s="437"/>
      <c r="AS444" s="437"/>
      <c r="AT444" s="437"/>
      <c r="AU444" s="437"/>
      <c r="AV444" s="437"/>
      <c r="AW444" s="437"/>
      <c r="AX444" s="436">
        <v>439</v>
      </c>
      <c r="AY444" s="490" t="s">
        <v>230</v>
      </c>
      <c r="AZ444" s="490" t="s">
        <v>250</v>
      </c>
      <c r="BA444" s="490" t="s">
        <v>4843</v>
      </c>
      <c r="BB444" s="490" t="s">
        <v>4844</v>
      </c>
      <c r="BC444" s="490" t="s">
        <v>4845</v>
      </c>
      <c r="BD444" s="490" t="s">
        <v>4749</v>
      </c>
      <c r="BE444" s="490" t="s">
        <v>4846</v>
      </c>
      <c r="BF444" s="490" t="s">
        <v>4847</v>
      </c>
      <c r="BG444" s="490" t="s">
        <v>693</v>
      </c>
      <c r="BH444" s="490" t="s">
        <v>251</v>
      </c>
      <c r="BI444" s="490" t="s">
        <v>4848</v>
      </c>
      <c r="BJ444" s="490" t="s">
        <v>4755</v>
      </c>
      <c r="BK444" s="437"/>
      <c r="BL444" s="437"/>
      <c r="BM444" s="437"/>
      <c r="BN444" s="437"/>
      <c r="BO444" s="437"/>
      <c r="BP444" s="437"/>
    </row>
    <row r="445" spans="1:68">
      <c r="A445" s="437"/>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437"/>
      <c r="AE445" s="437"/>
      <c r="AF445" s="437"/>
      <c r="AG445" s="437"/>
      <c r="AH445" s="437"/>
      <c r="AI445" s="437"/>
      <c r="AJ445" s="437"/>
      <c r="AK445" s="437"/>
      <c r="AL445" s="437"/>
      <c r="AM445" s="437"/>
      <c r="AN445" s="437"/>
      <c r="AO445" s="437"/>
      <c r="AP445" s="437"/>
      <c r="AQ445" s="437"/>
      <c r="AR445" s="437"/>
      <c r="AS445" s="437"/>
      <c r="AT445" s="437"/>
      <c r="AU445" s="437"/>
      <c r="AV445" s="437"/>
      <c r="AW445" s="437"/>
      <c r="AX445" s="436">
        <v>440</v>
      </c>
      <c r="AY445" s="490" t="s">
        <v>4849</v>
      </c>
      <c r="AZ445" s="490" t="s">
        <v>4850</v>
      </c>
      <c r="BA445" s="490" t="s">
        <v>4851</v>
      </c>
      <c r="BB445" s="490" t="s">
        <v>4776</v>
      </c>
      <c r="BC445" s="490" t="s">
        <v>4852</v>
      </c>
      <c r="BD445" s="490" t="s">
        <v>4853</v>
      </c>
      <c r="BE445" s="490" t="s">
        <v>702</v>
      </c>
      <c r="BF445" s="490" t="s">
        <v>4854</v>
      </c>
      <c r="BG445" s="490" t="s">
        <v>4855</v>
      </c>
      <c r="BH445" s="490" t="s">
        <v>4856</v>
      </c>
      <c r="BI445" s="490" t="s">
        <v>4857</v>
      </c>
      <c r="BJ445" s="490" t="s">
        <v>4858</v>
      </c>
      <c r="BK445" s="437"/>
      <c r="BL445" s="437"/>
      <c r="BM445" s="437"/>
      <c r="BN445" s="437"/>
      <c r="BO445" s="437"/>
      <c r="BP445" s="437"/>
    </row>
    <row r="446" spans="1:68">
      <c r="A446" s="437"/>
      <c r="B446" s="437"/>
      <c r="C446" s="437"/>
      <c r="D446" s="437"/>
      <c r="E446" s="437"/>
      <c r="F446" s="437"/>
      <c r="G446" s="437"/>
      <c r="H446" s="437"/>
      <c r="I446" s="437"/>
      <c r="J446" s="437"/>
      <c r="K446" s="437"/>
      <c r="L446" s="437"/>
      <c r="M446" s="437"/>
      <c r="N446" s="437"/>
      <c r="O446" s="437"/>
      <c r="P446" s="437"/>
      <c r="Q446" s="437"/>
      <c r="R446" s="437"/>
      <c r="S446" s="437"/>
      <c r="T446" s="437"/>
      <c r="U446" s="437"/>
      <c r="V446" s="437"/>
      <c r="W446" s="437"/>
      <c r="X446" s="437"/>
      <c r="Y446" s="437"/>
      <c r="Z446" s="437"/>
      <c r="AA446" s="437"/>
      <c r="AB446" s="437"/>
      <c r="AC446" s="437"/>
      <c r="AD446" s="437"/>
      <c r="AE446" s="437"/>
      <c r="AF446" s="437"/>
      <c r="AG446" s="437"/>
      <c r="AH446" s="437"/>
      <c r="AI446" s="437"/>
      <c r="AJ446" s="437"/>
      <c r="AK446" s="437"/>
      <c r="AL446" s="437"/>
      <c r="AM446" s="437"/>
      <c r="AN446" s="437"/>
      <c r="AO446" s="437"/>
      <c r="AP446" s="437"/>
      <c r="AQ446" s="437"/>
      <c r="AR446" s="437"/>
      <c r="AS446" s="437"/>
      <c r="AT446" s="437"/>
      <c r="AU446" s="437"/>
      <c r="AV446" s="437"/>
      <c r="AW446" s="437"/>
      <c r="AX446" s="436">
        <v>441</v>
      </c>
      <c r="AY446" s="490" t="s">
        <v>252</v>
      </c>
      <c r="AZ446" s="490" t="s">
        <v>4859</v>
      </c>
      <c r="BA446" s="490" t="s">
        <v>4850</v>
      </c>
      <c r="BB446" s="490" t="s">
        <v>247</v>
      </c>
      <c r="BC446" s="490" t="s">
        <v>4860</v>
      </c>
      <c r="BD446" s="490" t="s">
        <v>4799</v>
      </c>
      <c r="BE446" s="490" t="s">
        <v>4861</v>
      </c>
      <c r="BF446" s="490" t="s">
        <v>1964</v>
      </c>
      <c r="BG446" s="490" t="s">
        <v>4862</v>
      </c>
      <c r="BH446" s="490" t="s">
        <v>1220</v>
      </c>
      <c r="BI446" s="490" t="s">
        <v>4863</v>
      </c>
      <c r="BJ446" s="490" t="s">
        <v>4864</v>
      </c>
      <c r="BK446" s="437"/>
      <c r="BL446" s="437"/>
      <c r="BM446" s="437"/>
      <c r="BN446" s="437"/>
      <c r="BO446" s="437"/>
      <c r="BP446" s="437"/>
    </row>
    <row r="447" spans="1:68">
      <c r="A447" s="437"/>
      <c r="B447" s="437"/>
      <c r="C447" s="437"/>
      <c r="D447" s="437"/>
      <c r="E447" s="437"/>
      <c r="F447" s="437"/>
      <c r="G447" s="437"/>
      <c r="H447" s="437"/>
      <c r="I447" s="437"/>
      <c r="J447" s="437"/>
      <c r="K447" s="437"/>
      <c r="L447" s="437"/>
      <c r="M447" s="437"/>
      <c r="N447" s="437"/>
      <c r="O447" s="437"/>
      <c r="P447" s="437"/>
      <c r="Q447" s="437"/>
      <c r="R447" s="437"/>
      <c r="S447" s="437"/>
      <c r="T447" s="437"/>
      <c r="U447" s="437"/>
      <c r="V447" s="437"/>
      <c r="W447" s="437"/>
      <c r="X447" s="437"/>
      <c r="Y447" s="437"/>
      <c r="Z447" s="437"/>
      <c r="AA447" s="437"/>
      <c r="AB447" s="437"/>
      <c r="AC447" s="437"/>
      <c r="AD447" s="437"/>
      <c r="AE447" s="437"/>
      <c r="AF447" s="437"/>
      <c r="AG447" s="437"/>
      <c r="AH447" s="437"/>
      <c r="AI447" s="437"/>
      <c r="AJ447" s="437"/>
      <c r="AK447" s="437"/>
      <c r="AL447" s="437"/>
      <c r="AM447" s="437"/>
      <c r="AN447" s="437"/>
      <c r="AO447" s="437"/>
      <c r="AP447" s="437"/>
      <c r="AQ447" s="437"/>
      <c r="AR447" s="437"/>
      <c r="AS447" s="437"/>
      <c r="AT447" s="437"/>
      <c r="AU447" s="437"/>
      <c r="AV447" s="437"/>
      <c r="AW447" s="437"/>
      <c r="AX447" s="436">
        <v>442</v>
      </c>
      <c r="AY447" s="490" t="s">
        <v>4865</v>
      </c>
      <c r="AZ447" s="490" t="s">
        <v>4866</v>
      </c>
      <c r="BA447" s="490" t="s">
        <v>4867</v>
      </c>
      <c r="BB447" s="490" t="s">
        <v>4796</v>
      </c>
      <c r="BC447" s="490" t="s">
        <v>4868</v>
      </c>
      <c r="BD447" s="490" t="s">
        <v>4869</v>
      </c>
      <c r="BE447" s="490" t="s">
        <v>4854</v>
      </c>
      <c r="BF447" s="490" t="s">
        <v>4870</v>
      </c>
      <c r="BG447" s="490" t="s">
        <v>1964</v>
      </c>
      <c r="BH447" s="490" t="s">
        <v>4871</v>
      </c>
      <c r="BI447" s="490" t="s">
        <v>4872</v>
      </c>
      <c r="BJ447" s="490" t="s">
        <v>4873</v>
      </c>
      <c r="BK447" s="437"/>
      <c r="BL447" s="437"/>
      <c r="BM447" s="437"/>
      <c r="BN447" s="437"/>
      <c r="BO447" s="437"/>
      <c r="BP447" s="437"/>
    </row>
    <row r="448" spans="1:68">
      <c r="A448" s="437"/>
      <c r="B448" s="437"/>
      <c r="C448" s="437"/>
      <c r="D448" s="437"/>
      <c r="E448" s="437"/>
      <c r="F448" s="437"/>
      <c r="G448" s="437"/>
      <c r="H448" s="437"/>
      <c r="I448" s="437"/>
      <c r="J448" s="437"/>
      <c r="K448" s="437"/>
      <c r="L448" s="437"/>
      <c r="M448" s="437"/>
      <c r="N448" s="437"/>
      <c r="O448" s="437"/>
      <c r="P448" s="437"/>
      <c r="Q448" s="437"/>
      <c r="R448" s="437"/>
      <c r="S448" s="437"/>
      <c r="T448" s="437"/>
      <c r="U448" s="437"/>
      <c r="V448" s="437"/>
      <c r="W448" s="437"/>
      <c r="X448" s="437"/>
      <c r="Y448" s="437"/>
      <c r="Z448" s="437"/>
      <c r="AA448" s="437"/>
      <c r="AB448" s="437"/>
      <c r="AC448" s="437"/>
      <c r="AD448" s="437"/>
      <c r="AE448" s="437"/>
      <c r="AF448" s="437"/>
      <c r="AG448" s="437"/>
      <c r="AH448" s="437"/>
      <c r="AI448" s="437"/>
      <c r="AJ448" s="437"/>
      <c r="AK448" s="437"/>
      <c r="AL448" s="437"/>
      <c r="AM448" s="437"/>
      <c r="AN448" s="437"/>
      <c r="AO448" s="437"/>
      <c r="AP448" s="437"/>
      <c r="AQ448" s="437"/>
      <c r="AR448" s="437"/>
      <c r="AS448" s="437"/>
      <c r="AT448" s="437"/>
      <c r="AU448" s="437"/>
      <c r="AV448" s="437"/>
      <c r="AW448" s="437"/>
      <c r="AX448" s="436">
        <v>443</v>
      </c>
      <c r="AY448" s="490" t="s">
        <v>4874</v>
      </c>
      <c r="AZ448" s="490" t="s">
        <v>253</v>
      </c>
      <c r="BA448" s="490" t="s">
        <v>4866</v>
      </c>
      <c r="BB448" s="490" t="s">
        <v>254</v>
      </c>
      <c r="BC448" s="490" t="s">
        <v>4875</v>
      </c>
      <c r="BD448" s="490" t="s">
        <v>4786</v>
      </c>
      <c r="BE448" s="490" t="s">
        <v>4876</v>
      </c>
      <c r="BF448" s="490" t="s">
        <v>4877</v>
      </c>
      <c r="BG448" s="490" t="s">
        <v>4878</v>
      </c>
      <c r="BH448" s="490" t="s">
        <v>4879</v>
      </c>
      <c r="BI448" s="490" t="s">
        <v>4880</v>
      </c>
      <c r="BJ448" s="490" t="s">
        <v>4881</v>
      </c>
      <c r="BK448" s="437"/>
      <c r="BL448" s="437"/>
      <c r="BM448" s="437"/>
      <c r="BN448" s="437"/>
      <c r="BO448" s="437"/>
      <c r="BP448" s="437"/>
    </row>
    <row r="449" spans="1:68">
      <c r="A449" s="437"/>
      <c r="B449" s="437"/>
      <c r="C449" s="437"/>
      <c r="D449" s="437"/>
      <c r="E449" s="437"/>
      <c r="F449" s="437"/>
      <c r="G449" s="437"/>
      <c r="H449" s="437"/>
      <c r="I449" s="437"/>
      <c r="J449" s="437"/>
      <c r="K449" s="437"/>
      <c r="L449" s="437"/>
      <c r="M449" s="437"/>
      <c r="N449" s="437"/>
      <c r="O449" s="437"/>
      <c r="P449" s="437"/>
      <c r="Q449" s="437"/>
      <c r="R449" s="437"/>
      <c r="S449" s="437"/>
      <c r="T449" s="437"/>
      <c r="U449" s="437"/>
      <c r="V449" s="437"/>
      <c r="W449" s="437"/>
      <c r="X449" s="437"/>
      <c r="Y449" s="437"/>
      <c r="Z449" s="437"/>
      <c r="AA449" s="437"/>
      <c r="AB449" s="437"/>
      <c r="AC449" s="437"/>
      <c r="AD449" s="437"/>
      <c r="AE449" s="437"/>
      <c r="AF449" s="437"/>
      <c r="AG449" s="437"/>
      <c r="AH449" s="437"/>
      <c r="AI449" s="437"/>
      <c r="AJ449" s="437"/>
      <c r="AK449" s="437"/>
      <c r="AL449" s="437"/>
      <c r="AM449" s="437"/>
      <c r="AN449" s="437"/>
      <c r="AO449" s="437"/>
      <c r="AP449" s="437"/>
      <c r="AQ449" s="437"/>
      <c r="AR449" s="437"/>
      <c r="AS449" s="437"/>
      <c r="AT449" s="437"/>
      <c r="AU449" s="437"/>
      <c r="AV449" s="437"/>
      <c r="AW449" s="437"/>
      <c r="AX449" s="436">
        <v>444</v>
      </c>
      <c r="AY449" s="490" t="s">
        <v>4882</v>
      </c>
      <c r="AZ449" s="490" t="s">
        <v>4883</v>
      </c>
      <c r="BA449" s="490" t="s">
        <v>4884</v>
      </c>
      <c r="BB449" s="490" t="s">
        <v>4885</v>
      </c>
      <c r="BC449" s="490" t="s">
        <v>4886</v>
      </c>
      <c r="BD449" s="490" t="s">
        <v>2749</v>
      </c>
      <c r="BE449" s="490" t="s">
        <v>4887</v>
      </c>
      <c r="BF449" s="490" t="s">
        <v>4888</v>
      </c>
      <c r="BG449" s="490" t="s">
        <v>4889</v>
      </c>
      <c r="BH449" s="490" t="s">
        <v>4890</v>
      </c>
      <c r="BI449" s="490" t="s">
        <v>717</v>
      </c>
      <c r="BJ449" s="490" t="s">
        <v>4155</v>
      </c>
      <c r="BK449" s="437"/>
      <c r="BL449" s="437"/>
      <c r="BM449" s="437"/>
      <c r="BN449" s="437"/>
      <c r="BO449" s="437"/>
      <c r="BP449" s="437"/>
    </row>
    <row r="450" spans="1:68">
      <c r="A450" s="437"/>
      <c r="B450" s="437"/>
      <c r="C450" s="437"/>
      <c r="D450" s="437"/>
      <c r="E450" s="437"/>
      <c r="F450" s="437"/>
      <c r="G450" s="437"/>
      <c r="H450" s="437"/>
      <c r="I450" s="437"/>
      <c r="J450" s="437"/>
      <c r="K450" s="437"/>
      <c r="L450" s="437"/>
      <c r="M450" s="437"/>
      <c r="N450" s="437"/>
      <c r="O450" s="437"/>
      <c r="P450" s="437"/>
      <c r="Q450" s="437"/>
      <c r="R450" s="437"/>
      <c r="S450" s="437"/>
      <c r="T450" s="437"/>
      <c r="U450" s="437"/>
      <c r="V450" s="437"/>
      <c r="W450" s="437"/>
      <c r="X450" s="437"/>
      <c r="Y450" s="437"/>
      <c r="Z450" s="437"/>
      <c r="AA450" s="437"/>
      <c r="AB450" s="437"/>
      <c r="AC450" s="437"/>
      <c r="AD450" s="437"/>
      <c r="AE450" s="437"/>
      <c r="AF450" s="437"/>
      <c r="AG450" s="437"/>
      <c r="AH450" s="437"/>
      <c r="AI450" s="437"/>
      <c r="AJ450" s="437"/>
      <c r="AK450" s="437"/>
      <c r="AL450" s="437"/>
      <c r="AM450" s="437"/>
      <c r="AN450" s="437"/>
      <c r="AO450" s="437"/>
      <c r="AP450" s="437"/>
      <c r="AQ450" s="437"/>
      <c r="AR450" s="437"/>
      <c r="AS450" s="437"/>
      <c r="AT450" s="437"/>
      <c r="AU450" s="437"/>
      <c r="AV450" s="437"/>
      <c r="AW450" s="437"/>
      <c r="AX450" s="436">
        <v>445</v>
      </c>
      <c r="AY450" s="490" t="s">
        <v>255</v>
      </c>
      <c r="AZ450" s="490" t="s">
        <v>4891</v>
      </c>
      <c r="BA450" s="490" t="s">
        <v>4892</v>
      </c>
      <c r="BB450" s="490" t="s">
        <v>4893</v>
      </c>
      <c r="BC450" s="490" t="s">
        <v>4894</v>
      </c>
      <c r="BD450" s="490" t="s">
        <v>4895</v>
      </c>
      <c r="BE450" s="490" t="s">
        <v>4896</v>
      </c>
      <c r="BF450" s="490" t="s">
        <v>256</v>
      </c>
      <c r="BG450" s="490" t="s">
        <v>4245</v>
      </c>
      <c r="BH450" s="490" t="s">
        <v>4897</v>
      </c>
      <c r="BI450" s="490" t="s">
        <v>4834</v>
      </c>
      <c r="BJ450" s="490" t="s">
        <v>4898</v>
      </c>
      <c r="BK450" s="437"/>
      <c r="BL450" s="437"/>
      <c r="BM450" s="437"/>
      <c r="BN450" s="437"/>
      <c r="BO450" s="437"/>
      <c r="BP450" s="437"/>
    </row>
    <row r="451" spans="1:68">
      <c r="A451" s="437"/>
      <c r="B451" s="437"/>
      <c r="C451" s="437"/>
      <c r="D451" s="437"/>
      <c r="E451" s="437"/>
      <c r="F451" s="437"/>
      <c r="G451" s="437"/>
      <c r="H451" s="437"/>
      <c r="I451" s="437"/>
      <c r="J451" s="437"/>
      <c r="K451" s="437"/>
      <c r="L451" s="437"/>
      <c r="M451" s="437"/>
      <c r="N451" s="437"/>
      <c r="O451" s="437"/>
      <c r="P451" s="437"/>
      <c r="Q451" s="437"/>
      <c r="R451" s="437"/>
      <c r="S451" s="437"/>
      <c r="T451" s="437"/>
      <c r="U451" s="437"/>
      <c r="V451" s="437"/>
      <c r="W451" s="437"/>
      <c r="X451" s="437"/>
      <c r="Y451" s="437"/>
      <c r="Z451" s="437"/>
      <c r="AA451" s="437"/>
      <c r="AB451" s="437"/>
      <c r="AC451" s="437"/>
      <c r="AD451" s="437"/>
      <c r="AE451" s="437"/>
      <c r="AF451" s="437"/>
      <c r="AG451" s="437"/>
      <c r="AH451" s="437"/>
      <c r="AI451" s="437"/>
      <c r="AJ451" s="437"/>
      <c r="AK451" s="437"/>
      <c r="AL451" s="437"/>
      <c r="AM451" s="437"/>
      <c r="AN451" s="437"/>
      <c r="AO451" s="437"/>
      <c r="AP451" s="437"/>
      <c r="AQ451" s="437"/>
      <c r="AR451" s="437"/>
      <c r="AS451" s="437"/>
      <c r="AT451" s="437"/>
      <c r="AU451" s="437"/>
      <c r="AV451" s="437"/>
      <c r="AW451" s="437"/>
      <c r="AX451" s="436">
        <v>446</v>
      </c>
      <c r="AY451" s="490" t="s">
        <v>4899</v>
      </c>
      <c r="AZ451" s="490" t="s">
        <v>4900</v>
      </c>
      <c r="BA451" s="490" t="s">
        <v>4901</v>
      </c>
      <c r="BB451" s="490" t="s">
        <v>4902</v>
      </c>
      <c r="BC451" s="490" t="s">
        <v>4903</v>
      </c>
      <c r="BD451" s="490" t="s">
        <v>4904</v>
      </c>
      <c r="BE451" s="490" t="s">
        <v>4888</v>
      </c>
      <c r="BF451" s="490" t="s">
        <v>4905</v>
      </c>
      <c r="BG451" s="490" t="s">
        <v>257</v>
      </c>
      <c r="BH451" s="490" t="s">
        <v>1660</v>
      </c>
      <c r="BI451" s="490" t="s">
        <v>4906</v>
      </c>
      <c r="BJ451" s="490" t="s">
        <v>4907</v>
      </c>
      <c r="BK451" s="437"/>
      <c r="BL451" s="437"/>
      <c r="BM451" s="437"/>
      <c r="BN451" s="437"/>
      <c r="BO451" s="437"/>
      <c r="BP451" s="437"/>
    </row>
    <row r="452" spans="1:68">
      <c r="A452" s="437"/>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437"/>
      <c r="AE452" s="437"/>
      <c r="AF452" s="437"/>
      <c r="AG452" s="437"/>
      <c r="AH452" s="437"/>
      <c r="AI452" s="437"/>
      <c r="AJ452" s="437"/>
      <c r="AK452" s="437"/>
      <c r="AL452" s="437"/>
      <c r="AM452" s="437"/>
      <c r="AN452" s="437"/>
      <c r="AO452" s="437"/>
      <c r="AP452" s="437"/>
      <c r="AQ452" s="437"/>
      <c r="AR452" s="437"/>
      <c r="AS452" s="437"/>
      <c r="AT452" s="437"/>
      <c r="AU452" s="437"/>
      <c r="AV452" s="437"/>
      <c r="AW452" s="437"/>
      <c r="AX452" s="436">
        <v>447</v>
      </c>
      <c r="AY452" s="490" t="s">
        <v>4908</v>
      </c>
      <c r="AZ452" s="490" t="s">
        <v>4909</v>
      </c>
      <c r="BA452" s="490" t="s">
        <v>4900</v>
      </c>
      <c r="BB452" s="490" t="s">
        <v>4910</v>
      </c>
      <c r="BC452" s="490" t="s">
        <v>4911</v>
      </c>
      <c r="BD452" s="490" t="s">
        <v>2782</v>
      </c>
      <c r="BE452" s="490" t="s">
        <v>258</v>
      </c>
      <c r="BF452" s="490" t="s">
        <v>4912</v>
      </c>
      <c r="BG452" s="490" t="s">
        <v>4913</v>
      </c>
      <c r="BH452" s="490" t="s">
        <v>4914</v>
      </c>
      <c r="BI452" s="490" t="s">
        <v>4915</v>
      </c>
      <c r="BJ452" s="490" t="s">
        <v>4916</v>
      </c>
      <c r="BK452" s="437"/>
      <c r="BL452" s="437"/>
      <c r="BM452" s="437"/>
      <c r="BN452" s="437"/>
      <c r="BO452" s="437"/>
      <c r="BP452" s="437"/>
    </row>
    <row r="453" spans="1:68">
      <c r="A453" s="437"/>
      <c r="B453" s="437"/>
      <c r="C453" s="437"/>
      <c r="D453" s="437"/>
      <c r="E453" s="437"/>
      <c r="F453" s="437"/>
      <c r="G453" s="437"/>
      <c r="H453" s="437"/>
      <c r="I453" s="437"/>
      <c r="J453" s="437"/>
      <c r="K453" s="437"/>
      <c r="L453" s="437"/>
      <c r="M453" s="437"/>
      <c r="N453" s="437"/>
      <c r="O453" s="437"/>
      <c r="P453" s="437"/>
      <c r="Q453" s="437"/>
      <c r="R453" s="437"/>
      <c r="S453" s="437"/>
      <c r="T453" s="437"/>
      <c r="U453" s="437"/>
      <c r="V453" s="437"/>
      <c r="W453" s="437"/>
      <c r="X453" s="437"/>
      <c r="Y453" s="437"/>
      <c r="Z453" s="437"/>
      <c r="AA453" s="437"/>
      <c r="AB453" s="437"/>
      <c r="AC453" s="437"/>
      <c r="AD453" s="437"/>
      <c r="AE453" s="437"/>
      <c r="AF453" s="437"/>
      <c r="AG453" s="437"/>
      <c r="AH453" s="437"/>
      <c r="AI453" s="437"/>
      <c r="AJ453" s="437"/>
      <c r="AK453" s="437"/>
      <c r="AL453" s="437"/>
      <c r="AM453" s="437"/>
      <c r="AN453" s="437"/>
      <c r="AO453" s="437"/>
      <c r="AP453" s="437"/>
      <c r="AQ453" s="437"/>
      <c r="AR453" s="437"/>
      <c r="AS453" s="437"/>
      <c r="AT453" s="437"/>
      <c r="AU453" s="437"/>
      <c r="AV453" s="437"/>
      <c r="AW453" s="437"/>
      <c r="AX453" s="436">
        <v>448</v>
      </c>
      <c r="AY453" s="490" t="s">
        <v>4917</v>
      </c>
      <c r="AZ453" s="490" t="s">
        <v>4918</v>
      </c>
      <c r="BA453" s="490" t="s">
        <v>4909</v>
      </c>
      <c r="BB453" s="490" t="s">
        <v>259</v>
      </c>
      <c r="BC453" s="490" t="s">
        <v>2062</v>
      </c>
      <c r="BD453" s="490" t="s">
        <v>4919</v>
      </c>
      <c r="BE453" s="490" t="s">
        <v>4920</v>
      </c>
      <c r="BF453" s="490" t="s">
        <v>4921</v>
      </c>
      <c r="BG453" s="490" t="s">
        <v>4922</v>
      </c>
      <c r="BH453" s="490" t="s">
        <v>784</v>
      </c>
      <c r="BI453" s="490" t="s">
        <v>4923</v>
      </c>
      <c r="BJ453" s="490" t="s">
        <v>4834</v>
      </c>
      <c r="BK453" s="437"/>
      <c r="BL453" s="437"/>
      <c r="BM453" s="437"/>
      <c r="BN453" s="437"/>
      <c r="BO453" s="437"/>
      <c r="BP453" s="437"/>
    </row>
    <row r="454" spans="1:68">
      <c r="A454" s="437"/>
      <c r="B454" s="437"/>
      <c r="C454" s="437"/>
      <c r="D454" s="437"/>
      <c r="E454" s="437"/>
      <c r="F454" s="437"/>
      <c r="G454" s="437"/>
      <c r="H454" s="437"/>
      <c r="I454" s="437"/>
      <c r="J454" s="437"/>
      <c r="K454" s="437"/>
      <c r="L454" s="437"/>
      <c r="M454" s="437"/>
      <c r="N454" s="437"/>
      <c r="O454" s="437"/>
      <c r="P454" s="437"/>
      <c r="Q454" s="437"/>
      <c r="R454" s="437"/>
      <c r="S454" s="437"/>
      <c r="T454" s="437"/>
      <c r="U454" s="437"/>
      <c r="V454" s="437"/>
      <c r="W454" s="437"/>
      <c r="X454" s="437"/>
      <c r="Y454" s="437"/>
      <c r="Z454" s="437"/>
      <c r="AA454" s="437"/>
      <c r="AB454" s="437"/>
      <c r="AC454" s="437"/>
      <c r="AD454" s="437"/>
      <c r="AE454" s="437"/>
      <c r="AF454" s="437"/>
      <c r="AG454" s="437"/>
      <c r="AH454" s="437"/>
      <c r="AI454" s="437"/>
      <c r="AJ454" s="437"/>
      <c r="AK454" s="437"/>
      <c r="AL454" s="437"/>
      <c r="AM454" s="437"/>
      <c r="AN454" s="437"/>
      <c r="AO454" s="437"/>
      <c r="AP454" s="437"/>
      <c r="AQ454" s="437"/>
      <c r="AR454" s="437"/>
      <c r="AS454" s="437"/>
      <c r="AT454" s="437"/>
      <c r="AU454" s="437"/>
      <c r="AV454" s="437"/>
      <c r="AW454" s="437"/>
      <c r="AX454" s="436">
        <v>449</v>
      </c>
      <c r="AY454" s="490" t="s">
        <v>4924</v>
      </c>
      <c r="AZ454" s="490" t="s">
        <v>4925</v>
      </c>
      <c r="BA454" s="490" t="s">
        <v>4926</v>
      </c>
      <c r="BB454" s="490" t="s">
        <v>4851</v>
      </c>
      <c r="BC454" s="490" t="s">
        <v>4927</v>
      </c>
      <c r="BD454" s="490" t="s">
        <v>4839</v>
      </c>
      <c r="BE454" s="490" t="s">
        <v>4912</v>
      </c>
      <c r="BF454" s="490" t="s">
        <v>4928</v>
      </c>
      <c r="BG454" s="490" t="s">
        <v>1280</v>
      </c>
      <c r="BH454" s="490" t="s">
        <v>4929</v>
      </c>
      <c r="BI454" s="490" t="s">
        <v>2823</v>
      </c>
      <c r="BJ454" s="490" t="s">
        <v>4930</v>
      </c>
      <c r="BK454" s="437"/>
      <c r="BL454" s="437"/>
      <c r="BM454" s="437"/>
      <c r="BN454" s="437"/>
      <c r="BO454" s="437"/>
      <c r="BP454" s="437"/>
    </row>
    <row r="455" spans="1:68">
      <c r="A455" s="437"/>
      <c r="B455" s="437"/>
      <c r="C455" s="437"/>
      <c r="D455" s="437"/>
      <c r="E455" s="437"/>
      <c r="F455" s="437"/>
      <c r="G455" s="437"/>
      <c r="H455" s="437"/>
      <c r="I455" s="437"/>
      <c r="J455" s="437"/>
      <c r="K455" s="437"/>
      <c r="L455" s="437"/>
      <c r="M455" s="437"/>
      <c r="N455" s="437"/>
      <c r="O455" s="437"/>
      <c r="P455" s="437"/>
      <c r="Q455" s="437"/>
      <c r="R455" s="437"/>
      <c r="S455" s="437"/>
      <c r="T455" s="437"/>
      <c r="U455" s="437"/>
      <c r="V455" s="437"/>
      <c r="W455" s="437"/>
      <c r="X455" s="437"/>
      <c r="Y455" s="437"/>
      <c r="Z455" s="437"/>
      <c r="AA455" s="437"/>
      <c r="AB455" s="437"/>
      <c r="AC455" s="437"/>
      <c r="AD455" s="437"/>
      <c r="AE455" s="437"/>
      <c r="AF455" s="437"/>
      <c r="AG455" s="437"/>
      <c r="AH455" s="437"/>
      <c r="AI455" s="437"/>
      <c r="AJ455" s="437"/>
      <c r="AK455" s="437"/>
      <c r="AL455" s="437"/>
      <c r="AM455" s="437"/>
      <c r="AN455" s="437"/>
      <c r="AO455" s="437"/>
      <c r="AP455" s="437"/>
      <c r="AQ455" s="437"/>
      <c r="AR455" s="437"/>
      <c r="AS455" s="437"/>
      <c r="AT455" s="437"/>
      <c r="AU455" s="437"/>
      <c r="AV455" s="437"/>
      <c r="AW455" s="437"/>
      <c r="AX455" s="436">
        <v>450</v>
      </c>
      <c r="AY455" s="490" t="s">
        <v>4931</v>
      </c>
      <c r="AZ455" s="490" t="s">
        <v>4932</v>
      </c>
      <c r="BA455" s="490" t="s">
        <v>4933</v>
      </c>
      <c r="BB455" s="490" t="s">
        <v>4934</v>
      </c>
      <c r="BC455" s="490" t="s">
        <v>2083</v>
      </c>
      <c r="BD455" s="490" t="s">
        <v>4935</v>
      </c>
      <c r="BE455" s="490" t="s">
        <v>4936</v>
      </c>
      <c r="BF455" s="490" t="s">
        <v>4937</v>
      </c>
      <c r="BG455" s="490" t="s">
        <v>4938</v>
      </c>
      <c r="BH455" s="490" t="s">
        <v>4939</v>
      </c>
      <c r="BI455" s="490" t="s">
        <v>4940</v>
      </c>
      <c r="BJ455" s="490" t="s">
        <v>4848</v>
      </c>
      <c r="BK455" s="437"/>
      <c r="BL455" s="437"/>
      <c r="BM455" s="437"/>
      <c r="BN455" s="437"/>
      <c r="BO455" s="437"/>
      <c r="BP455" s="437"/>
    </row>
    <row r="456" spans="1:68">
      <c r="A456" s="437"/>
      <c r="B456" s="437"/>
      <c r="C456" s="437"/>
      <c r="D456" s="437"/>
      <c r="E456" s="437"/>
      <c r="F456" s="437"/>
      <c r="G456" s="437"/>
      <c r="H456" s="437"/>
      <c r="I456" s="437"/>
      <c r="J456" s="437"/>
      <c r="K456" s="437"/>
      <c r="L456" s="437"/>
      <c r="M456" s="437"/>
      <c r="N456" s="437"/>
      <c r="O456" s="437"/>
      <c r="P456" s="437"/>
      <c r="Q456" s="437"/>
      <c r="R456" s="437"/>
      <c r="S456" s="437"/>
      <c r="T456" s="437"/>
      <c r="U456" s="437"/>
      <c r="V456" s="437"/>
      <c r="W456" s="437"/>
      <c r="X456" s="437"/>
      <c r="Y456" s="437"/>
      <c r="Z456" s="437"/>
      <c r="AA456" s="437"/>
      <c r="AB456" s="437"/>
      <c r="AC456" s="437"/>
      <c r="AD456" s="437"/>
      <c r="AE456" s="437"/>
      <c r="AF456" s="437"/>
      <c r="AG456" s="437"/>
      <c r="AH456" s="437"/>
      <c r="AI456" s="437"/>
      <c r="AJ456" s="437"/>
      <c r="AK456" s="437"/>
      <c r="AL456" s="437"/>
      <c r="AM456" s="437"/>
      <c r="AN456" s="437"/>
      <c r="AO456" s="437"/>
      <c r="AP456" s="437"/>
      <c r="AQ456" s="437"/>
      <c r="AR456" s="437"/>
      <c r="AS456" s="437"/>
      <c r="AT456" s="437"/>
      <c r="AU456" s="437"/>
      <c r="AV456" s="437"/>
      <c r="AW456" s="437"/>
      <c r="AX456" s="436">
        <v>451</v>
      </c>
      <c r="AY456" s="490" t="s">
        <v>4941</v>
      </c>
      <c r="AZ456" s="490" t="s">
        <v>4942</v>
      </c>
      <c r="BA456" s="490" t="s">
        <v>4943</v>
      </c>
      <c r="BB456" s="490" t="s">
        <v>4944</v>
      </c>
      <c r="BC456" s="490" t="s">
        <v>4945</v>
      </c>
      <c r="BD456" s="490" t="s">
        <v>4946</v>
      </c>
      <c r="BE456" s="490" t="s">
        <v>4947</v>
      </c>
      <c r="BF456" s="490" t="s">
        <v>260</v>
      </c>
      <c r="BG456" s="490" t="s">
        <v>4948</v>
      </c>
      <c r="BH456" s="490" t="s">
        <v>4949</v>
      </c>
      <c r="BI456" s="490" t="s">
        <v>4950</v>
      </c>
      <c r="BJ456" s="490" t="s">
        <v>4951</v>
      </c>
      <c r="BK456" s="437"/>
      <c r="BL456" s="437"/>
      <c r="BM456" s="437"/>
      <c r="BN456" s="437"/>
      <c r="BO456" s="437"/>
      <c r="BP456" s="437"/>
    </row>
    <row r="457" spans="1:68">
      <c r="A457" s="437"/>
      <c r="B457" s="437"/>
      <c r="C457" s="437"/>
      <c r="D457" s="437"/>
      <c r="E457" s="437"/>
      <c r="F457" s="437"/>
      <c r="G457" s="437"/>
      <c r="H457" s="437"/>
      <c r="I457" s="437"/>
      <c r="J457" s="437"/>
      <c r="K457" s="437"/>
      <c r="L457" s="437"/>
      <c r="M457" s="437"/>
      <c r="N457" s="437"/>
      <c r="O457" s="437"/>
      <c r="P457" s="437"/>
      <c r="Q457" s="437"/>
      <c r="R457" s="437"/>
      <c r="S457" s="437"/>
      <c r="T457" s="437"/>
      <c r="U457" s="437"/>
      <c r="V457" s="437"/>
      <c r="W457" s="437"/>
      <c r="X457" s="437"/>
      <c r="Y457" s="437"/>
      <c r="Z457" s="437"/>
      <c r="AA457" s="437"/>
      <c r="AB457" s="437"/>
      <c r="AC457" s="437"/>
      <c r="AD457" s="437"/>
      <c r="AE457" s="437"/>
      <c r="AF457" s="437"/>
      <c r="AG457" s="437"/>
      <c r="AH457" s="437"/>
      <c r="AI457" s="437"/>
      <c r="AJ457" s="437"/>
      <c r="AK457" s="437"/>
      <c r="AL457" s="437"/>
      <c r="AM457" s="437"/>
      <c r="AN457" s="437"/>
      <c r="AO457" s="437"/>
      <c r="AP457" s="437"/>
      <c r="AQ457" s="437"/>
      <c r="AR457" s="437"/>
      <c r="AS457" s="437"/>
      <c r="AT457" s="437"/>
      <c r="AU457" s="437"/>
      <c r="AV457" s="437"/>
      <c r="AW457" s="437"/>
      <c r="AX457" s="436">
        <v>452</v>
      </c>
      <c r="AY457" s="490" t="s">
        <v>4952</v>
      </c>
      <c r="AZ457" s="490" t="s">
        <v>4953</v>
      </c>
      <c r="BA457" s="490" t="s">
        <v>1305</v>
      </c>
      <c r="BB457" s="490" t="s">
        <v>4954</v>
      </c>
      <c r="BC457" s="490" t="s">
        <v>4955</v>
      </c>
      <c r="BD457" s="490" t="s">
        <v>4956</v>
      </c>
      <c r="BE457" s="490" t="s">
        <v>4957</v>
      </c>
      <c r="BF457" s="490" t="s">
        <v>4958</v>
      </c>
      <c r="BG457" s="490" t="s">
        <v>261</v>
      </c>
      <c r="BH457" s="490" t="s">
        <v>4959</v>
      </c>
      <c r="BI457" s="490" t="s">
        <v>4960</v>
      </c>
      <c r="BJ457" s="490" t="s">
        <v>4863</v>
      </c>
      <c r="BK457" s="437"/>
      <c r="BL457" s="437"/>
      <c r="BM457" s="437"/>
      <c r="BN457" s="437"/>
      <c r="BO457" s="437"/>
      <c r="BP457" s="437"/>
    </row>
    <row r="458" spans="1:68">
      <c r="A458" s="437"/>
      <c r="B458" s="437"/>
      <c r="C458" s="437"/>
      <c r="D458" s="437"/>
      <c r="E458" s="437"/>
      <c r="F458" s="437"/>
      <c r="G458" s="437"/>
      <c r="H458" s="437"/>
      <c r="I458" s="437"/>
      <c r="J458" s="437"/>
      <c r="K458" s="437"/>
      <c r="L458" s="437"/>
      <c r="M458" s="437"/>
      <c r="N458" s="437"/>
      <c r="O458" s="437"/>
      <c r="P458" s="437"/>
      <c r="Q458" s="437"/>
      <c r="R458" s="437"/>
      <c r="S458" s="437"/>
      <c r="T458" s="437"/>
      <c r="U458" s="437"/>
      <c r="V458" s="437"/>
      <c r="W458" s="437"/>
      <c r="X458" s="437"/>
      <c r="Y458" s="437"/>
      <c r="Z458" s="437"/>
      <c r="AA458" s="437"/>
      <c r="AB458" s="437"/>
      <c r="AC458" s="437"/>
      <c r="AD458" s="437"/>
      <c r="AE458" s="437"/>
      <c r="AF458" s="437"/>
      <c r="AG458" s="437"/>
      <c r="AH458" s="437"/>
      <c r="AI458" s="437"/>
      <c r="AJ458" s="437"/>
      <c r="AK458" s="437"/>
      <c r="AL458" s="437"/>
      <c r="AM458" s="437"/>
      <c r="AN458" s="437"/>
      <c r="AO458" s="437"/>
      <c r="AP458" s="437"/>
      <c r="AQ458" s="437"/>
      <c r="AR458" s="437"/>
      <c r="AS458" s="437"/>
      <c r="AT458" s="437"/>
      <c r="AU458" s="437"/>
      <c r="AV458" s="437"/>
      <c r="AW458" s="437"/>
      <c r="AX458" s="436">
        <v>453</v>
      </c>
      <c r="AY458" s="490" t="s">
        <v>262</v>
      </c>
      <c r="AZ458" s="490" t="s">
        <v>4961</v>
      </c>
      <c r="BA458" s="490" t="s">
        <v>4962</v>
      </c>
      <c r="BB458" s="490" t="s">
        <v>4884</v>
      </c>
      <c r="BC458" s="490" t="s">
        <v>4963</v>
      </c>
      <c r="BD458" s="490" t="s">
        <v>4964</v>
      </c>
      <c r="BE458" s="490" t="s">
        <v>263</v>
      </c>
      <c r="BF458" s="490" t="s">
        <v>4965</v>
      </c>
      <c r="BG458" s="490" t="s">
        <v>4966</v>
      </c>
      <c r="BH458" s="490" t="s">
        <v>4967</v>
      </c>
      <c r="BI458" s="490" t="s">
        <v>4968</v>
      </c>
      <c r="BJ458" s="490" t="s">
        <v>4969</v>
      </c>
      <c r="BK458" s="437"/>
      <c r="BL458" s="437"/>
      <c r="BM458" s="437"/>
      <c r="BN458" s="437"/>
      <c r="BO458" s="437"/>
      <c r="BP458" s="437"/>
    </row>
    <row r="459" spans="1:68">
      <c r="A459" s="437"/>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c r="AA459" s="437"/>
      <c r="AB459" s="437"/>
      <c r="AC459" s="437"/>
      <c r="AD459" s="437"/>
      <c r="AE459" s="437"/>
      <c r="AF459" s="437"/>
      <c r="AG459" s="437"/>
      <c r="AH459" s="437"/>
      <c r="AI459" s="437"/>
      <c r="AJ459" s="437"/>
      <c r="AK459" s="437"/>
      <c r="AL459" s="437"/>
      <c r="AM459" s="437"/>
      <c r="AN459" s="437"/>
      <c r="AO459" s="437"/>
      <c r="AP459" s="437"/>
      <c r="AQ459" s="437"/>
      <c r="AR459" s="437"/>
      <c r="AS459" s="437"/>
      <c r="AT459" s="437"/>
      <c r="AU459" s="437"/>
      <c r="AV459" s="437"/>
      <c r="AW459" s="437"/>
      <c r="AX459" s="436">
        <v>454</v>
      </c>
      <c r="AY459" s="490" t="s">
        <v>4970</v>
      </c>
      <c r="AZ459" s="490" t="s">
        <v>264</v>
      </c>
      <c r="BA459" s="490" t="s">
        <v>4971</v>
      </c>
      <c r="BB459" s="490" t="s">
        <v>4972</v>
      </c>
      <c r="BC459" s="490" t="s">
        <v>4973</v>
      </c>
      <c r="BD459" s="490" t="s">
        <v>4974</v>
      </c>
      <c r="BE459" s="490" t="s">
        <v>4958</v>
      </c>
      <c r="BF459" s="490" t="s">
        <v>265</v>
      </c>
      <c r="BG459" s="490" t="s">
        <v>4975</v>
      </c>
      <c r="BH459" s="490" t="s">
        <v>4976</v>
      </c>
      <c r="BI459" s="490" t="s">
        <v>4977</v>
      </c>
      <c r="BJ459" s="490" t="s">
        <v>4978</v>
      </c>
      <c r="BK459" s="437"/>
      <c r="BL459" s="437"/>
      <c r="BM459" s="437"/>
      <c r="BN459" s="437"/>
      <c r="BO459" s="437"/>
      <c r="BP459" s="437"/>
    </row>
    <row r="460" spans="1:68">
      <c r="A460" s="437"/>
      <c r="B460" s="437"/>
      <c r="C460" s="437"/>
      <c r="D460" s="437"/>
      <c r="E460" s="437"/>
      <c r="F460" s="437"/>
      <c r="G460" s="437"/>
      <c r="H460" s="437"/>
      <c r="I460" s="437"/>
      <c r="J460" s="437"/>
      <c r="K460" s="437"/>
      <c r="L460" s="437"/>
      <c r="M460" s="437"/>
      <c r="N460" s="437"/>
      <c r="O460" s="437"/>
      <c r="P460" s="437"/>
      <c r="Q460" s="437"/>
      <c r="R460" s="437"/>
      <c r="S460" s="437"/>
      <c r="T460" s="437"/>
      <c r="U460" s="437"/>
      <c r="V460" s="437"/>
      <c r="W460" s="437"/>
      <c r="X460" s="437"/>
      <c r="Y460" s="437"/>
      <c r="Z460" s="437"/>
      <c r="AA460" s="437"/>
      <c r="AB460" s="437"/>
      <c r="AC460" s="437"/>
      <c r="AD460" s="437"/>
      <c r="AE460" s="437"/>
      <c r="AF460" s="437"/>
      <c r="AG460" s="437"/>
      <c r="AH460" s="437"/>
      <c r="AI460" s="437"/>
      <c r="AJ460" s="437"/>
      <c r="AK460" s="437"/>
      <c r="AL460" s="437"/>
      <c r="AM460" s="437"/>
      <c r="AN460" s="437"/>
      <c r="AO460" s="437"/>
      <c r="AP460" s="437"/>
      <c r="AQ460" s="437"/>
      <c r="AR460" s="437"/>
      <c r="AS460" s="437"/>
      <c r="AT460" s="437"/>
      <c r="AU460" s="437"/>
      <c r="AV460" s="437"/>
      <c r="AW460" s="437"/>
      <c r="AX460" s="436">
        <v>455</v>
      </c>
      <c r="AY460" s="490" t="s">
        <v>266</v>
      </c>
      <c r="AZ460" s="490" t="s">
        <v>4979</v>
      </c>
      <c r="BA460" s="490" t="s">
        <v>267</v>
      </c>
      <c r="BB460" s="490" t="s">
        <v>4980</v>
      </c>
      <c r="BC460" s="490" t="s">
        <v>2258</v>
      </c>
      <c r="BD460" s="490" t="s">
        <v>4981</v>
      </c>
      <c r="BE460" s="490" t="s">
        <v>4965</v>
      </c>
      <c r="BF460" s="490" t="s">
        <v>4982</v>
      </c>
      <c r="BG460" s="490" t="s">
        <v>4983</v>
      </c>
      <c r="BH460" s="490" t="s">
        <v>268</v>
      </c>
      <c r="BI460" s="490" t="s">
        <v>2880</v>
      </c>
      <c r="BJ460" s="490" t="s">
        <v>829</v>
      </c>
      <c r="BK460" s="437"/>
      <c r="BL460" s="437"/>
      <c r="BM460" s="437"/>
      <c r="BN460" s="437"/>
      <c r="BO460" s="437"/>
      <c r="BP460" s="437"/>
    </row>
    <row r="461" spans="1:68">
      <c r="A461" s="437"/>
      <c r="B461" s="437"/>
      <c r="C461" s="437"/>
      <c r="D461" s="437"/>
      <c r="E461" s="437"/>
      <c r="F461" s="437"/>
      <c r="G461" s="437"/>
      <c r="H461" s="437"/>
      <c r="I461" s="437"/>
      <c r="J461" s="437"/>
      <c r="K461" s="437"/>
      <c r="L461" s="437"/>
      <c r="M461" s="437"/>
      <c r="N461" s="437"/>
      <c r="O461" s="437"/>
      <c r="P461" s="437"/>
      <c r="Q461" s="437"/>
      <c r="R461" s="437"/>
      <c r="S461" s="437"/>
      <c r="T461" s="437"/>
      <c r="U461" s="437"/>
      <c r="V461" s="437"/>
      <c r="W461" s="437"/>
      <c r="X461" s="437"/>
      <c r="Y461" s="437"/>
      <c r="Z461" s="437"/>
      <c r="AA461" s="437"/>
      <c r="AB461" s="437"/>
      <c r="AC461" s="437"/>
      <c r="AD461" s="437"/>
      <c r="AE461" s="437"/>
      <c r="AF461" s="437"/>
      <c r="AG461" s="437"/>
      <c r="AH461" s="437"/>
      <c r="AI461" s="437"/>
      <c r="AJ461" s="437"/>
      <c r="AK461" s="437"/>
      <c r="AL461" s="437"/>
      <c r="AM461" s="437"/>
      <c r="AN461" s="437"/>
      <c r="AO461" s="437"/>
      <c r="AP461" s="437"/>
      <c r="AQ461" s="437"/>
      <c r="AR461" s="437"/>
      <c r="AS461" s="437"/>
      <c r="AT461" s="437"/>
      <c r="AU461" s="437"/>
      <c r="AV461" s="437"/>
      <c r="AW461" s="437"/>
      <c r="AX461" s="436">
        <v>456</v>
      </c>
      <c r="AY461" s="490" t="s">
        <v>4984</v>
      </c>
      <c r="AZ461" s="490" t="s">
        <v>4985</v>
      </c>
      <c r="BA461" s="490" t="s">
        <v>4986</v>
      </c>
      <c r="BB461" s="490" t="s">
        <v>4987</v>
      </c>
      <c r="BC461" s="490" t="s">
        <v>4988</v>
      </c>
      <c r="BD461" s="490" t="s">
        <v>4989</v>
      </c>
      <c r="BE461" s="490" t="s">
        <v>269</v>
      </c>
      <c r="BF461" s="490" t="s">
        <v>4990</v>
      </c>
      <c r="BG461" s="490" t="s">
        <v>4991</v>
      </c>
      <c r="BH461" s="490" t="s">
        <v>4992</v>
      </c>
      <c r="BI461" s="490" t="s">
        <v>4993</v>
      </c>
      <c r="BJ461" s="490" t="s">
        <v>4834</v>
      </c>
      <c r="BK461" s="437"/>
      <c r="BL461" s="437"/>
      <c r="BM461" s="437"/>
      <c r="BN461" s="437"/>
      <c r="BO461" s="437"/>
      <c r="BP461" s="437"/>
    </row>
    <row r="462" spans="1:68">
      <c r="A462" s="437"/>
      <c r="B462" s="437"/>
      <c r="C462" s="437"/>
      <c r="D462" s="437"/>
      <c r="E462" s="437"/>
      <c r="F462" s="437"/>
      <c r="G462" s="437"/>
      <c r="H462" s="437"/>
      <c r="I462" s="437"/>
      <c r="J462" s="437"/>
      <c r="K462" s="437"/>
      <c r="L462" s="437"/>
      <c r="M462" s="437"/>
      <c r="N462" s="437"/>
      <c r="O462" s="437"/>
      <c r="P462" s="437"/>
      <c r="Q462" s="437"/>
      <c r="R462" s="437"/>
      <c r="S462" s="437"/>
      <c r="T462" s="437"/>
      <c r="U462" s="437"/>
      <c r="V462" s="437"/>
      <c r="W462" s="437"/>
      <c r="X462" s="437"/>
      <c r="Y462" s="437"/>
      <c r="Z462" s="437"/>
      <c r="AA462" s="437"/>
      <c r="AB462" s="437"/>
      <c r="AC462" s="437"/>
      <c r="AD462" s="437"/>
      <c r="AE462" s="437"/>
      <c r="AF462" s="437"/>
      <c r="AG462" s="437"/>
      <c r="AH462" s="437"/>
      <c r="AI462" s="437"/>
      <c r="AJ462" s="437"/>
      <c r="AK462" s="437"/>
      <c r="AL462" s="437"/>
      <c r="AM462" s="437"/>
      <c r="AN462" s="437"/>
      <c r="AO462" s="437"/>
      <c r="AP462" s="437"/>
      <c r="AQ462" s="437"/>
      <c r="AR462" s="437"/>
      <c r="AS462" s="437"/>
      <c r="AT462" s="437"/>
      <c r="AU462" s="437"/>
      <c r="AV462" s="437"/>
      <c r="AW462" s="437"/>
      <c r="AX462" s="436">
        <v>457</v>
      </c>
      <c r="AY462" s="490" t="s">
        <v>4994</v>
      </c>
      <c r="AZ462" s="490" t="s">
        <v>4995</v>
      </c>
      <c r="BA462" s="490" t="s">
        <v>4985</v>
      </c>
      <c r="BB462" s="490" t="s">
        <v>4996</v>
      </c>
      <c r="BC462" s="490" t="s">
        <v>2895</v>
      </c>
      <c r="BD462" s="490" t="s">
        <v>4997</v>
      </c>
      <c r="BE462" s="490" t="s">
        <v>4998</v>
      </c>
      <c r="BF462" s="490" t="s">
        <v>4999</v>
      </c>
      <c r="BG462" s="490" t="s">
        <v>5000</v>
      </c>
      <c r="BH462" s="490" t="s">
        <v>5001</v>
      </c>
      <c r="BI462" s="490" t="s">
        <v>5002</v>
      </c>
      <c r="BJ462" s="490" t="s">
        <v>5003</v>
      </c>
      <c r="BK462" s="437"/>
      <c r="BL462" s="437"/>
      <c r="BM462" s="437"/>
      <c r="BN462" s="437"/>
      <c r="BO462" s="437"/>
      <c r="BP462" s="437"/>
    </row>
    <row r="463" spans="1:68">
      <c r="A463" s="437"/>
      <c r="B463" s="437"/>
      <c r="C463" s="437"/>
      <c r="D463" s="437"/>
      <c r="E463" s="437"/>
      <c r="F463" s="437"/>
      <c r="G463" s="437"/>
      <c r="H463" s="437"/>
      <c r="I463" s="437"/>
      <c r="J463" s="437"/>
      <c r="K463" s="437"/>
      <c r="L463" s="437"/>
      <c r="M463" s="437"/>
      <c r="N463" s="437"/>
      <c r="O463" s="437"/>
      <c r="P463" s="437"/>
      <c r="Q463" s="437"/>
      <c r="R463" s="437"/>
      <c r="S463" s="437"/>
      <c r="T463" s="437"/>
      <c r="U463" s="437"/>
      <c r="V463" s="437"/>
      <c r="W463" s="437"/>
      <c r="X463" s="437"/>
      <c r="Y463" s="437"/>
      <c r="Z463" s="437"/>
      <c r="AA463" s="437"/>
      <c r="AB463" s="437"/>
      <c r="AC463" s="437"/>
      <c r="AD463" s="437"/>
      <c r="AE463" s="437"/>
      <c r="AF463" s="437"/>
      <c r="AG463" s="437"/>
      <c r="AH463" s="437"/>
      <c r="AI463" s="437"/>
      <c r="AJ463" s="437"/>
      <c r="AK463" s="437"/>
      <c r="AL463" s="437"/>
      <c r="AM463" s="437"/>
      <c r="AN463" s="437"/>
      <c r="AO463" s="437"/>
      <c r="AP463" s="437"/>
      <c r="AQ463" s="437"/>
      <c r="AR463" s="437"/>
      <c r="AS463" s="437"/>
      <c r="AT463" s="437"/>
      <c r="AU463" s="437"/>
      <c r="AV463" s="437"/>
      <c r="AW463" s="437"/>
      <c r="AX463" s="436">
        <v>458</v>
      </c>
      <c r="AY463" s="490" t="s">
        <v>5004</v>
      </c>
      <c r="AZ463" s="490" t="s">
        <v>5005</v>
      </c>
      <c r="BA463" s="490" t="s">
        <v>5006</v>
      </c>
      <c r="BB463" s="490" t="s">
        <v>5007</v>
      </c>
      <c r="BC463" s="490" t="s">
        <v>5008</v>
      </c>
      <c r="BD463" s="490" t="s">
        <v>5009</v>
      </c>
      <c r="BE463" s="490" t="s">
        <v>5010</v>
      </c>
      <c r="BF463" s="490" t="s">
        <v>270</v>
      </c>
      <c r="BG463" s="490" t="s">
        <v>5011</v>
      </c>
      <c r="BH463" s="490" t="s">
        <v>5012</v>
      </c>
      <c r="BI463" s="490" t="s">
        <v>5013</v>
      </c>
      <c r="BJ463" s="490" t="s">
        <v>4915</v>
      </c>
      <c r="BK463" s="437"/>
      <c r="BL463" s="437"/>
      <c r="BM463" s="437"/>
      <c r="BN463" s="437"/>
      <c r="BO463" s="437"/>
      <c r="BP463" s="437"/>
    </row>
    <row r="464" spans="1:68">
      <c r="A464" s="437"/>
      <c r="B464" s="437"/>
      <c r="C464" s="437"/>
      <c r="D464" s="437"/>
      <c r="E464" s="437"/>
      <c r="F464" s="437"/>
      <c r="G464" s="437"/>
      <c r="H464" s="437"/>
      <c r="I464" s="437"/>
      <c r="J464" s="437"/>
      <c r="K464" s="437"/>
      <c r="L464" s="437"/>
      <c r="M464" s="437"/>
      <c r="N464" s="437"/>
      <c r="O464" s="437"/>
      <c r="P464" s="437"/>
      <c r="Q464" s="437"/>
      <c r="R464" s="437"/>
      <c r="S464" s="437"/>
      <c r="T464" s="437"/>
      <c r="U464" s="437"/>
      <c r="V464" s="437"/>
      <c r="W464" s="437"/>
      <c r="X464" s="437"/>
      <c r="Y464" s="437"/>
      <c r="Z464" s="437"/>
      <c r="AA464" s="437"/>
      <c r="AB464" s="437"/>
      <c r="AC464" s="437"/>
      <c r="AD464" s="437"/>
      <c r="AE464" s="437"/>
      <c r="AF464" s="437"/>
      <c r="AG464" s="437"/>
      <c r="AH464" s="437"/>
      <c r="AI464" s="437"/>
      <c r="AJ464" s="437"/>
      <c r="AK464" s="437"/>
      <c r="AL464" s="437"/>
      <c r="AM464" s="437"/>
      <c r="AN464" s="437"/>
      <c r="AO464" s="437"/>
      <c r="AP464" s="437"/>
      <c r="AQ464" s="437"/>
      <c r="AR464" s="437"/>
      <c r="AS464" s="437"/>
      <c r="AT464" s="437"/>
      <c r="AU464" s="437"/>
      <c r="AV464" s="437"/>
      <c r="AW464" s="437"/>
      <c r="AX464" s="436">
        <v>459</v>
      </c>
      <c r="AY464" s="490" t="s">
        <v>5014</v>
      </c>
      <c r="AZ464" s="490" t="s">
        <v>5015</v>
      </c>
      <c r="BA464" s="490" t="s">
        <v>1378</v>
      </c>
      <c r="BB464" s="490" t="s">
        <v>4933</v>
      </c>
      <c r="BC464" s="490" t="s">
        <v>5016</v>
      </c>
      <c r="BD464" s="490" t="s">
        <v>5017</v>
      </c>
      <c r="BE464" s="490" t="s">
        <v>5018</v>
      </c>
      <c r="BF464" s="490" t="s">
        <v>5019</v>
      </c>
      <c r="BG464" s="490" t="s">
        <v>271</v>
      </c>
      <c r="BH464" s="490" t="s">
        <v>5020</v>
      </c>
      <c r="BI464" s="490" t="s">
        <v>5021</v>
      </c>
      <c r="BJ464" s="490" t="s">
        <v>5022</v>
      </c>
      <c r="BK464" s="437"/>
      <c r="BL464" s="437"/>
      <c r="BM464" s="437"/>
      <c r="BN464" s="437"/>
      <c r="BO464" s="437"/>
      <c r="BP464" s="437"/>
    </row>
    <row r="465" spans="1:68">
      <c r="A465" s="437"/>
      <c r="B465" s="437"/>
      <c r="C465" s="437"/>
      <c r="D465" s="437"/>
      <c r="E465" s="437"/>
      <c r="F465" s="437"/>
      <c r="G465" s="437"/>
      <c r="H465" s="437"/>
      <c r="I465" s="437"/>
      <c r="J465" s="437"/>
      <c r="K465" s="437"/>
      <c r="L465" s="437"/>
      <c r="M465" s="437"/>
      <c r="N465" s="437"/>
      <c r="O465" s="437"/>
      <c r="P465" s="437"/>
      <c r="Q465" s="437"/>
      <c r="R465" s="437"/>
      <c r="S465" s="437"/>
      <c r="T465" s="437"/>
      <c r="U465" s="437"/>
      <c r="V465" s="437"/>
      <c r="W465" s="437"/>
      <c r="X465" s="437"/>
      <c r="Y465" s="437"/>
      <c r="Z465" s="437"/>
      <c r="AA465" s="437"/>
      <c r="AB465" s="437"/>
      <c r="AC465" s="437"/>
      <c r="AD465" s="437"/>
      <c r="AE465" s="437"/>
      <c r="AF465" s="437"/>
      <c r="AG465" s="437"/>
      <c r="AH465" s="437"/>
      <c r="AI465" s="437"/>
      <c r="AJ465" s="437"/>
      <c r="AK465" s="437"/>
      <c r="AL465" s="437"/>
      <c r="AM465" s="437"/>
      <c r="AN465" s="437"/>
      <c r="AO465" s="437"/>
      <c r="AP465" s="437"/>
      <c r="AQ465" s="437"/>
      <c r="AR465" s="437"/>
      <c r="AS465" s="437"/>
      <c r="AT465" s="437"/>
      <c r="AU465" s="437"/>
      <c r="AV465" s="437"/>
      <c r="AW465" s="437"/>
      <c r="AX465" s="436">
        <v>460</v>
      </c>
      <c r="AY465" s="490" t="s">
        <v>272</v>
      </c>
      <c r="AZ465" s="490" t="s">
        <v>5023</v>
      </c>
      <c r="BA465" s="490" t="s">
        <v>5024</v>
      </c>
      <c r="BB465" s="490" t="s">
        <v>1406</v>
      </c>
      <c r="BC465" s="490" t="s">
        <v>2929</v>
      </c>
      <c r="BD465" s="490" t="s">
        <v>5025</v>
      </c>
      <c r="BE465" s="490" t="s">
        <v>273</v>
      </c>
      <c r="BF465" s="490" t="s">
        <v>5026</v>
      </c>
      <c r="BG465" s="490" t="s">
        <v>5027</v>
      </c>
      <c r="BH465" s="490" t="s">
        <v>5028</v>
      </c>
      <c r="BI465" s="490" t="s">
        <v>5029</v>
      </c>
      <c r="BJ465" s="490" t="s">
        <v>5030</v>
      </c>
      <c r="BK465" s="437"/>
      <c r="BL465" s="437"/>
      <c r="BM465" s="437"/>
      <c r="BN465" s="437"/>
      <c r="BO465" s="437"/>
      <c r="BP465" s="437"/>
    </row>
    <row r="466" spans="1:68">
      <c r="A466" s="437"/>
      <c r="B466" s="437"/>
      <c r="C466" s="437"/>
      <c r="D466" s="437"/>
      <c r="E466" s="437"/>
      <c r="F466" s="437"/>
      <c r="G466" s="437"/>
      <c r="H466" s="437"/>
      <c r="I466" s="437"/>
      <c r="J466" s="437"/>
      <c r="K466" s="437"/>
      <c r="L466" s="437"/>
      <c r="M466" s="437"/>
      <c r="N466" s="437"/>
      <c r="O466" s="437"/>
      <c r="P466" s="437"/>
      <c r="Q466" s="437"/>
      <c r="R466" s="437"/>
      <c r="S466" s="437"/>
      <c r="T466" s="437"/>
      <c r="U466" s="437"/>
      <c r="V466" s="437"/>
      <c r="W466" s="437"/>
      <c r="X466" s="437"/>
      <c r="Y466" s="437"/>
      <c r="Z466" s="437"/>
      <c r="AA466" s="437"/>
      <c r="AB466" s="437"/>
      <c r="AC466" s="437"/>
      <c r="AD466" s="437"/>
      <c r="AE466" s="437"/>
      <c r="AF466" s="437"/>
      <c r="AG466" s="437"/>
      <c r="AH466" s="437"/>
      <c r="AI466" s="437"/>
      <c r="AJ466" s="437"/>
      <c r="AK466" s="437"/>
      <c r="AL466" s="437"/>
      <c r="AM466" s="437"/>
      <c r="AN466" s="437"/>
      <c r="AO466" s="437"/>
      <c r="AP466" s="437"/>
      <c r="AQ466" s="437"/>
      <c r="AR466" s="437"/>
      <c r="AS466" s="437"/>
      <c r="AT466" s="437"/>
      <c r="AU466" s="437"/>
      <c r="AV466" s="437"/>
      <c r="AW466" s="437"/>
      <c r="AX466" s="436">
        <v>461</v>
      </c>
      <c r="AY466" s="490" t="s">
        <v>5031</v>
      </c>
      <c r="AZ466" s="490" t="s">
        <v>5032</v>
      </c>
      <c r="BA466" s="490" t="s">
        <v>5033</v>
      </c>
      <c r="BB466" s="490" t="s">
        <v>5034</v>
      </c>
      <c r="BC466" s="490" t="s">
        <v>5035</v>
      </c>
      <c r="BD466" s="490" t="s">
        <v>5036</v>
      </c>
      <c r="BE466" s="490" t="s">
        <v>5037</v>
      </c>
      <c r="BF466" s="490" t="s">
        <v>275</v>
      </c>
      <c r="BG466" s="490" t="s">
        <v>5038</v>
      </c>
      <c r="BH466" s="490" t="s">
        <v>276</v>
      </c>
      <c r="BI466" s="490" t="s">
        <v>5039</v>
      </c>
      <c r="BJ466" s="490" t="s">
        <v>5040</v>
      </c>
      <c r="BK466" s="437"/>
      <c r="BL466" s="437"/>
      <c r="BM466" s="437"/>
      <c r="BN466" s="437"/>
      <c r="BO466" s="437"/>
      <c r="BP466" s="437"/>
    </row>
    <row r="467" spans="1:68">
      <c r="A467" s="437"/>
      <c r="B467" s="437"/>
      <c r="C467" s="437"/>
      <c r="D467" s="437"/>
      <c r="E467" s="437"/>
      <c r="F467" s="437"/>
      <c r="G467" s="437"/>
      <c r="H467" s="437"/>
      <c r="I467" s="437"/>
      <c r="J467" s="437"/>
      <c r="K467" s="437"/>
      <c r="L467" s="437"/>
      <c r="M467" s="437"/>
      <c r="N467" s="437"/>
      <c r="O467" s="437"/>
      <c r="P467" s="437"/>
      <c r="Q467" s="437"/>
      <c r="R467" s="437"/>
      <c r="S467" s="437"/>
      <c r="T467" s="437"/>
      <c r="U467" s="437"/>
      <c r="V467" s="437"/>
      <c r="W467" s="437"/>
      <c r="X467" s="437"/>
      <c r="Y467" s="437"/>
      <c r="Z467" s="437"/>
      <c r="AA467" s="437"/>
      <c r="AB467" s="437"/>
      <c r="AC467" s="437"/>
      <c r="AD467" s="437"/>
      <c r="AE467" s="437"/>
      <c r="AF467" s="437"/>
      <c r="AG467" s="437"/>
      <c r="AH467" s="437"/>
      <c r="AI467" s="437"/>
      <c r="AJ467" s="437"/>
      <c r="AK467" s="437"/>
      <c r="AL467" s="437"/>
      <c r="AM467" s="437"/>
      <c r="AN467" s="437"/>
      <c r="AO467" s="437"/>
      <c r="AP467" s="437"/>
      <c r="AQ467" s="437"/>
      <c r="AR467" s="437"/>
      <c r="AS467" s="437"/>
      <c r="AT467" s="437"/>
      <c r="AU467" s="437"/>
      <c r="AV467" s="437"/>
      <c r="AW467" s="437"/>
      <c r="AX467" s="436">
        <v>462</v>
      </c>
      <c r="AY467" s="490" t="s">
        <v>5033</v>
      </c>
      <c r="AZ467" s="490" t="s">
        <v>5041</v>
      </c>
      <c r="BA467" s="490" t="s">
        <v>5042</v>
      </c>
      <c r="BB467" s="490" t="s">
        <v>1423</v>
      </c>
      <c r="BC467" s="490" t="s">
        <v>2951</v>
      </c>
      <c r="BD467" s="490" t="s">
        <v>2320</v>
      </c>
      <c r="BE467" s="490" t="s">
        <v>5043</v>
      </c>
      <c r="BF467" s="490" t="s">
        <v>5044</v>
      </c>
      <c r="BG467" s="490" t="s">
        <v>277</v>
      </c>
      <c r="BH467" s="490" t="s">
        <v>5045</v>
      </c>
      <c r="BI467" s="490" t="s">
        <v>5046</v>
      </c>
      <c r="BJ467" s="490" t="s">
        <v>5047</v>
      </c>
      <c r="BK467" s="437"/>
      <c r="BL467" s="437"/>
      <c r="BM467" s="437"/>
      <c r="BN467" s="437"/>
      <c r="BO467" s="437"/>
      <c r="BP467" s="437"/>
    </row>
    <row r="468" spans="1:68">
      <c r="A468" s="437"/>
      <c r="B468" s="437"/>
      <c r="C468" s="437"/>
      <c r="D468" s="437"/>
      <c r="E468" s="437"/>
      <c r="F468" s="437"/>
      <c r="G468" s="437"/>
      <c r="H468" s="437"/>
      <c r="I468" s="437"/>
      <c r="J468" s="437"/>
      <c r="K468" s="437"/>
      <c r="L468" s="437"/>
      <c r="M468" s="437"/>
      <c r="N468" s="437"/>
      <c r="O468" s="437"/>
      <c r="P468" s="437"/>
      <c r="Q468" s="437"/>
      <c r="R468" s="437"/>
      <c r="S468" s="437"/>
      <c r="T468" s="437"/>
      <c r="U468" s="437"/>
      <c r="V468" s="437"/>
      <c r="W468" s="437"/>
      <c r="X468" s="437"/>
      <c r="Y468" s="437"/>
      <c r="Z468" s="437"/>
      <c r="AA468" s="437"/>
      <c r="AB468" s="437"/>
      <c r="AC468" s="437"/>
      <c r="AD468" s="437"/>
      <c r="AE468" s="437"/>
      <c r="AF468" s="437"/>
      <c r="AG468" s="437"/>
      <c r="AH468" s="437"/>
      <c r="AI468" s="437"/>
      <c r="AJ468" s="437"/>
      <c r="AK468" s="437"/>
      <c r="AL468" s="437"/>
      <c r="AM468" s="437"/>
      <c r="AN468" s="437"/>
      <c r="AO468" s="437"/>
      <c r="AP468" s="437"/>
      <c r="AQ468" s="437"/>
      <c r="AR468" s="437"/>
      <c r="AS468" s="437"/>
      <c r="AT468" s="437"/>
      <c r="AU468" s="437"/>
      <c r="AV468" s="437"/>
      <c r="AW468" s="437"/>
      <c r="AX468" s="436">
        <v>463</v>
      </c>
      <c r="AY468" s="490" t="s">
        <v>5048</v>
      </c>
      <c r="AZ468" s="490" t="s">
        <v>5049</v>
      </c>
      <c r="BA468" s="490" t="s">
        <v>5041</v>
      </c>
      <c r="BB468" s="490" t="s">
        <v>4971</v>
      </c>
      <c r="BC468" s="490" t="s">
        <v>5050</v>
      </c>
      <c r="BD468" s="490" t="s">
        <v>4530</v>
      </c>
      <c r="BE468" s="490" t="s">
        <v>279</v>
      </c>
      <c r="BF468" s="490" t="s">
        <v>5051</v>
      </c>
      <c r="BG468" s="490" t="s">
        <v>5052</v>
      </c>
      <c r="BH468" s="490" t="s">
        <v>5053</v>
      </c>
      <c r="BI468" s="490" t="s">
        <v>5054</v>
      </c>
      <c r="BJ468" s="490" t="s">
        <v>5055</v>
      </c>
      <c r="BK468" s="437"/>
      <c r="BL468" s="437"/>
      <c r="BM468" s="437"/>
      <c r="BN468" s="437"/>
      <c r="BO468" s="437"/>
      <c r="BP468" s="437"/>
    </row>
    <row r="469" spans="1:68">
      <c r="A469" s="437"/>
      <c r="B469" s="437"/>
      <c r="C469" s="437"/>
      <c r="D469" s="437"/>
      <c r="E469" s="437"/>
      <c r="F469" s="437"/>
      <c r="G469" s="437"/>
      <c r="H469" s="437"/>
      <c r="I469" s="437"/>
      <c r="J469" s="437"/>
      <c r="K469" s="437"/>
      <c r="L469" s="437"/>
      <c r="M469" s="437"/>
      <c r="N469" s="437"/>
      <c r="O469" s="437"/>
      <c r="P469" s="437"/>
      <c r="Q469" s="437"/>
      <c r="R469" s="437"/>
      <c r="S469" s="437"/>
      <c r="T469" s="437"/>
      <c r="U469" s="437"/>
      <c r="V469" s="437"/>
      <c r="W469" s="437"/>
      <c r="X469" s="437"/>
      <c r="Y469" s="437"/>
      <c r="Z469" s="437"/>
      <c r="AA469" s="437"/>
      <c r="AB469" s="437"/>
      <c r="AC469" s="437"/>
      <c r="AD469" s="437"/>
      <c r="AE469" s="437"/>
      <c r="AF469" s="437"/>
      <c r="AG469" s="437"/>
      <c r="AH469" s="437"/>
      <c r="AI469" s="437"/>
      <c r="AJ469" s="437"/>
      <c r="AK469" s="437"/>
      <c r="AL469" s="437"/>
      <c r="AM469" s="437"/>
      <c r="AN469" s="437"/>
      <c r="AO469" s="437"/>
      <c r="AP469" s="437"/>
      <c r="AQ469" s="437"/>
      <c r="AR469" s="437"/>
      <c r="AS469" s="437"/>
      <c r="AT469" s="437"/>
      <c r="AU469" s="437"/>
      <c r="AV469" s="437"/>
      <c r="AW469" s="437"/>
      <c r="AX469" s="436">
        <v>464</v>
      </c>
      <c r="AY469" s="490" t="s">
        <v>5056</v>
      </c>
      <c r="AZ469" s="490" t="s">
        <v>280</v>
      </c>
      <c r="BA469" s="490" t="s">
        <v>1422</v>
      </c>
      <c r="BB469" s="490" t="s">
        <v>281</v>
      </c>
      <c r="BC469" s="490" t="s">
        <v>5057</v>
      </c>
      <c r="BD469" s="490" t="s">
        <v>5058</v>
      </c>
      <c r="BE469" s="490" t="s">
        <v>5059</v>
      </c>
      <c r="BF469" s="490" t="s">
        <v>5060</v>
      </c>
      <c r="BG469" s="490" t="s">
        <v>3089</v>
      </c>
      <c r="BH469" s="490" t="s">
        <v>5061</v>
      </c>
      <c r="BI469" s="490" t="s">
        <v>282</v>
      </c>
      <c r="BJ469" s="490" t="s">
        <v>4968</v>
      </c>
      <c r="BK469" s="437"/>
      <c r="BL469" s="437"/>
      <c r="BM469" s="437"/>
      <c r="BN469" s="437"/>
      <c r="BO469" s="437"/>
      <c r="BP469" s="437"/>
    </row>
    <row r="470" spans="1:68">
      <c r="A470" s="437"/>
      <c r="B470" s="437"/>
      <c r="C470" s="437"/>
      <c r="D470" s="437"/>
      <c r="E470" s="437"/>
      <c r="F470" s="437"/>
      <c r="G470" s="437"/>
      <c r="H470" s="437"/>
      <c r="I470" s="437"/>
      <c r="J470" s="437"/>
      <c r="K470" s="437"/>
      <c r="L470" s="437"/>
      <c r="M470" s="437"/>
      <c r="N470" s="437"/>
      <c r="O470" s="437"/>
      <c r="P470" s="437"/>
      <c r="Q470" s="437"/>
      <c r="R470" s="437"/>
      <c r="S470" s="437"/>
      <c r="T470" s="437"/>
      <c r="U470" s="437"/>
      <c r="V470" s="437"/>
      <c r="W470" s="437"/>
      <c r="X470" s="437"/>
      <c r="Y470" s="437"/>
      <c r="Z470" s="437"/>
      <c r="AA470" s="437"/>
      <c r="AB470" s="437"/>
      <c r="AC470" s="437"/>
      <c r="AD470" s="437"/>
      <c r="AE470" s="437"/>
      <c r="AF470" s="437"/>
      <c r="AG470" s="437"/>
      <c r="AH470" s="437"/>
      <c r="AI470" s="437"/>
      <c r="AJ470" s="437"/>
      <c r="AK470" s="437"/>
      <c r="AL470" s="437"/>
      <c r="AM470" s="437"/>
      <c r="AN470" s="437"/>
      <c r="AO470" s="437"/>
      <c r="AP470" s="437"/>
      <c r="AQ470" s="437"/>
      <c r="AR470" s="437"/>
      <c r="AS470" s="437"/>
      <c r="AT470" s="437"/>
      <c r="AU470" s="437"/>
      <c r="AV470" s="437"/>
      <c r="AW470" s="437"/>
      <c r="AX470" s="436">
        <v>465</v>
      </c>
      <c r="AY470" s="490" t="s">
        <v>5062</v>
      </c>
      <c r="AZ470" s="490" t="s">
        <v>5063</v>
      </c>
      <c r="BA470" s="490" t="s">
        <v>283</v>
      </c>
      <c r="BB470" s="490" t="s">
        <v>5064</v>
      </c>
      <c r="BC470" s="490" t="s">
        <v>2983</v>
      </c>
      <c r="BD470" s="490" t="s">
        <v>5065</v>
      </c>
      <c r="BE470" s="490" t="s">
        <v>5051</v>
      </c>
      <c r="BF470" s="490" t="s">
        <v>5066</v>
      </c>
      <c r="BG470" s="490" t="s">
        <v>5067</v>
      </c>
      <c r="BH470" s="490" t="s">
        <v>5068</v>
      </c>
      <c r="BI470" s="490" t="s">
        <v>5069</v>
      </c>
      <c r="BJ470" s="490" t="s">
        <v>5070</v>
      </c>
      <c r="BK470" s="437"/>
      <c r="BL470" s="437"/>
      <c r="BM470" s="437"/>
      <c r="BN470" s="437"/>
      <c r="BO470" s="437"/>
      <c r="BP470" s="437"/>
    </row>
    <row r="471" spans="1:68">
      <c r="A471" s="437"/>
      <c r="B471" s="437"/>
      <c r="C471" s="437"/>
      <c r="D471" s="437"/>
      <c r="E471" s="437"/>
      <c r="F471" s="437"/>
      <c r="G471" s="437"/>
      <c r="H471" s="437"/>
      <c r="I471" s="437"/>
      <c r="J471" s="437"/>
      <c r="K471" s="437"/>
      <c r="L471" s="437"/>
      <c r="M471" s="437"/>
      <c r="N471" s="437"/>
      <c r="O471" s="437"/>
      <c r="P471" s="437"/>
      <c r="Q471" s="437"/>
      <c r="R471" s="437"/>
      <c r="S471" s="437"/>
      <c r="T471" s="437"/>
      <c r="U471" s="437"/>
      <c r="V471" s="437"/>
      <c r="W471" s="437"/>
      <c r="X471" s="437"/>
      <c r="Y471" s="437"/>
      <c r="Z471" s="437"/>
      <c r="AA471" s="437"/>
      <c r="AB471" s="437"/>
      <c r="AC471" s="437"/>
      <c r="AD471" s="437"/>
      <c r="AE471" s="437"/>
      <c r="AF471" s="437"/>
      <c r="AG471" s="437"/>
      <c r="AH471" s="437"/>
      <c r="AI471" s="437"/>
      <c r="AJ471" s="437"/>
      <c r="AK471" s="437"/>
      <c r="AL471" s="437"/>
      <c r="AM471" s="437"/>
      <c r="AN471" s="437"/>
      <c r="AO471" s="437"/>
      <c r="AP471" s="437"/>
      <c r="AQ471" s="437"/>
      <c r="AR471" s="437"/>
      <c r="AS471" s="437"/>
      <c r="AT471" s="437"/>
      <c r="AU471" s="437"/>
      <c r="AV471" s="437"/>
      <c r="AW471" s="437"/>
      <c r="AX471" s="436">
        <v>466</v>
      </c>
      <c r="AY471" s="490" t="s">
        <v>5071</v>
      </c>
      <c r="AZ471" s="490" t="s">
        <v>5072</v>
      </c>
      <c r="BA471" s="490" t="s">
        <v>5073</v>
      </c>
      <c r="BB471" s="490" t="s">
        <v>5074</v>
      </c>
      <c r="BC471" s="490" t="s">
        <v>2993</v>
      </c>
      <c r="BD471" s="490" t="s">
        <v>5075</v>
      </c>
      <c r="BE471" s="490" t="s">
        <v>5076</v>
      </c>
      <c r="BF471" s="490" t="s">
        <v>5077</v>
      </c>
      <c r="BG471" s="490" t="s">
        <v>5078</v>
      </c>
      <c r="BH471" s="490" t="s">
        <v>5079</v>
      </c>
      <c r="BI471" s="490" t="s">
        <v>5080</v>
      </c>
      <c r="BJ471" s="490" t="s">
        <v>5081</v>
      </c>
      <c r="BK471" s="437"/>
      <c r="BL471" s="437"/>
      <c r="BM471" s="437"/>
      <c r="BN471" s="437"/>
      <c r="BO471" s="437"/>
      <c r="BP471" s="437"/>
    </row>
    <row r="472" spans="1:68">
      <c r="A472" s="437"/>
      <c r="B472" s="437"/>
      <c r="C472" s="437"/>
      <c r="D472" s="437"/>
      <c r="E472" s="437"/>
      <c r="F472" s="437"/>
      <c r="G472" s="437"/>
      <c r="H472" s="437"/>
      <c r="I472" s="437"/>
      <c r="J472" s="437"/>
      <c r="K472" s="437"/>
      <c r="L472" s="437"/>
      <c r="M472" s="437"/>
      <c r="N472" s="437"/>
      <c r="O472" s="437"/>
      <c r="P472" s="437"/>
      <c r="Q472" s="437"/>
      <c r="R472" s="437"/>
      <c r="S472" s="437"/>
      <c r="T472" s="437"/>
      <c r="U472" s="437"/>
      <c r="V472" s="437"/>
      <c r="W472" s="437"/>
      <c r="X472" s="437"/>
      <c r="Y472" s="437"/>
      <c r="Z472" s="437"/>
      <c r="AA472" s="437"/>
      <c r="AB472" s="437"/>
      <c r="AC472" s="437"/>
      <c r="AD472" s="437"/>
      <c r="AE472" s="437"/>
      <c r="AF472" s="437"/>
      <c r="AG472" s="437"/>
      <c r="AH472" s="437"/>
      <c r="AI472" s="437"/>
      <c r="AJ472" s="437"/>
      <c r="AK472" s="437"/>
      <c r="AL472" s="437"/>
      <c r="AM472" s="437"/>
      <c r="AN472" s="437"/>
      <c r="AO472" s="437"/>
      <c r="AP472" s="437"/>
      <c r="AQ472" s="437"/>
      <c r="AR472" s="437"/>
      <c r="AS472" s="437"/>
      <c r="AT472" s="437"/>
      <c r="AU472" s="437"/>
      <c r="AV472" s="437"/>
      <c r="AW472" s="437"/>
      <c r="AX472" s="436">
        <v>467</v>
      </c>
      <c r="AY472" s="490" t="s">
        <v>284</v>
      </c>
      <c r="AZ472" s="490" t="s">
        <v>5082</v>
      </c>
      <c r="BA472" s="490" t="s">
        <v>5083</v>
      </c>
      <c r="BB472" s="490" t="s">
        <v>5084</v>
      </c>
      <c r="BC472" s="490" t="s">
        <v>3004</v>
      </c>
      <c r="BD472" s="490" t="s">
        <v>5085</v>
      </c>
      <c r="BE472" s="490" t="s">
        <v>5086</v>
      </c>
      <c r="BF472" s="490" t="s">
        <v>5087</v>
      </c>
      <c r="BG472" s="490" t="s">
        <v>5088</v>
      </c>
      <c r="BH472" s="490" t="s">
        <v>5089</v>
      </c>
      <c r="BI472" s="490" t="s">
        <v>5090</v>
      </c>
      <c r="BJ472" s="490" t="s">
        <v>5091</v>
      </c>
      <c r="BK472" s="437"/>
      <c r="BL472" s="437"/>
      <c r="BM472" s="437"/>
      <c r="BN472" s="437"/>
      <c r="BO472" s="437"/>
      <c r="BP472" s="437"/>
    </row>
    <row r="473" spans="1:68">
      <c r="A473" s="437"/>
      <c r="B473" s="437"/>
      <c r="C473" s="437"/>
      <c r="D473" s="437"/>
      <c r="E473" s="437"/>
      <c r="F473" s="437"/>
      <c r="G473" s="437"/>
      <c r="H473" s="437"/>
      <c r="I473" s="437"/>
      <c r="J473" s="437"/>
      <c r="K473" s="437"/>
      <c r="L473" s="437"/>
      <c r="M473" s="437"/>
      <c r="N473" s="437"/>
      <c r="O473" s="437"/>
      <c r="P473" s="437"/>
      <c r="Q473" s="437"/>
      <c r="R473" s="437"/>
      <c r="S473" s="437"/>
      <c r="T473" s="437"/>
      <c r="U473" s="437"/>
      <c r="V473" s="437"/>
      <c r="W473" s="437"/>
      <c r="X473" s="437"/>
      <c r="Y473" s="437"/>
      <c r="Z473" s="437"/>
      <c r="AA473" s="437"/>
      <c r="AB473" s="437"/>
      <c r="AC473" s="437"/>
      <c r="AD473" s="437"/>
      <c r="AE473" s="437"/>
      <c r="AF473" s="437"/>
      <c r="AG473" s="437"/>
      <c r="AH473" s="437"/>
      <c r="AI473" s="437"/>
      <c r="AJ473" s="437"/>
      <c r="AK473" s="437"/>
      <c r="AL473" s="437"/>
      <c r="AM473" s="437"/>
      <c r="AN473" s="437"/>
      <c r="AO473" s="437"/>
      <c r="AP473" s="437"/>
      <c r="AQ473" s="437"/>
      <c r="AR473" s="437"/>
      <c r="AS473" s="437"/>
      <c r="AT473" s="437"/>
      <c r="AU473" s="437"/>
      <c r="AV473" s="437"/>
      <c r="AW473" s="437"/>
      <c r="AX473" s="436">
        <v>468</v>
      </c>
      <c r="AY473" s="490" t="s">
        <v>5092</v>
      </c>
      <c r="AZ473" s="490" t="s">
        <v>5093</v>
      </c>
      <c r="BA473" s="490" t="s">
        <v>1460</v>
      </c>
      <c r="BB473" s="490" t="s">
        <v>5094</v>
      </c>
      <c r="BC473" s="490" t="s">
        <v>5095</v>
      </c>
      <c r="BD473" s="490" t="s">
        <v>5096</v>
      </c>
      <c r="BE473" s="490" t="s">
        <v>5097</v>
      </c>
      <c r="BF473" s="490" t="s">
        <v>5098</v>
      </c>
      <c r="BG473" s="490" t="s">
        <v>5099</v>
      </c>
      <c r="BH473" s="490" t="s">
        <v>5100</v>
      </c>
      <c r="BI473" s="490" t="s">
        <v>5101</v>
      </c>
      <c r="BJ473" s="490" t="s">
        <v>5102</v>
      </c>
      <c r="BK473" s="437"/>
      <c r="BL473" s="437"/>
      <c r="BM473" s="437"/>
      <c r="BN473" s="437"/>
      <c r="BO473" s="437"/>
      <c r="BP473" s="437"/>
    </row>
    <row r="474" spans="1:68">
      <c r="A474" s="437"/>
      <c r="B474" s="437"/>
      <c r="C474" s="437"/>
      <c r="D474" s="437"/>
      <c r="E474" s="437"/>
      <c r="F474" s="437"/>
      <c r="G474" s="437"/>
      <c r="H474" s="437"/>
      <c r="I474" s="437"/>
      <c r="J474" s="437"/>
      <c r="K474" s="437"/>
      <c r="L474" s="437"/>
      <c r="M474" s="437"/>
      <c r="N474" s="437"/>
      <c r="O474" s="437"/>
      <c r="P474" s="437"/>
      <c r="Q474" s="437"/>
      <c r="R474" s="437"/>
      <c r="S474" s="437"/>
      <c r="T474" s="437"/>
      <c r="U474" s="437"/>
      <c r="V474" s="437"/>
      <c r="W474" s="437"/>
      <c r="X474" s="437"/>
      <c r="Y474" s="437"/>
      <c r="Z474" s="437"/>
      <c r="AA474" s="437"/>
      <c r="AB474" s="437"/>
      <c r="AC474" s="437"/>
      <c r="AD474" s="437"/>
      <c r="AE474" s="437"/>
      <c r="AF474" s="437"/>
      <c r="AG474" s="437"/>
      <c r="AH474" s="437"/>
      <c r="AI474" s="437"/>
      <c r="AJ474" s="437"/>
      <c r="AK474" s="437"/>
      <c r="AL474" s="437"/>
      <c r="AM474" s="437"/>
      <c r="AN474" s="437"/>
      <c r="AO474" s="437"/>
      <c r="AP474" s="437"/>
      <c r="AQ474" s="437"/>
      <c r="AR474" s="437"/>
      <c r="AS474" s="437"/>
      <c r="AT474" s="437"/>
      <c r="AU474" s="437"/>
      <c r="AV474" s="437"/>
      <c r="AW474" s="437"/>
      <c r="AX474" s="436">
        <v>469</v>
      </c>
      <c r="AY474" s="490" t="s">
        <v>5103</v>
      </c>
      <c r="AZ474" s="490" t="s">
        <v>5104</v>
      </c>
      <c r="BA474" s="490" t="s">
        <v>1470</v>
      </c>
      <c r="BB474" s="490" t="s">
        <v>5105</v>
      </c>
      <c r="BC474" s="490" t="s">
        <v>5106</v>
      </c>
      <c r="BD474" s="490" t="s">
        <v>5107</v>
      </c>
      <c r="BE474" s="490" t="s">
        <v>5108</v>
      </c>
      <c r="BF474" s="490" t="s">
        <v>5109</v>
      </c>
      <c r="BG474" s="490" t="s">
        <v>5110</v>
      </c>
      <c r="BH474" s="490" t="s">
        <v>285</v>
      </c>
      <c r="BI474" s="490" t="s">
        <v>286</v>
      </c>
      <c r="BJ474" s="490" t="s">
        <v>5111</v>
      </c>
      <c r="BK474" s="437"/>
      <c r="BL474" s="437"/>
      <c r="BM474" s="437"/>
      <c r="BN474" s="437"/>
      <c r="BO474" s="437"/>
      <c r="BP474" s="437"/>
    </row>
    <row r="475" spans="1:68">
      <c r="A475" s="437"/>
      <c r="B475" s="437"/>
      <c r="C475" s="437"/>
      <c r="D475" s="437"/>
      <c r="E475" s="437"/>
      <c r="F475" s="437"/>
      <c r="G475" s="437"/>
      <c r="H475" s="437"/>
      <c r="I475" s="437"/>
      <c r="J475" s="437"/>
      <c r="K475" s="437"/>
      <c r="L475" s="437"/>
      <c r="M475" s="437"/>
      <c r="N475" s="437"/>
      <c r="O475" s="437"/>
      <c r="P475" s="437"/>
      <c r="Q475" s="437"/>
      <c r="R475" s="437"/>
      <c r="S475" s="437"/>
      <c r="T475" s="437"/>
      <c r="U475" s="437"/>
      <c r="V475" s="437"/>
      <c r="W475" s="437"/>
      <c r="X475" s="437"/>
      <c r="Y475" s="437"/>
      <c r="Z475" s="437"/>
      <c r="AA475" s="437"/>
      <c r="AB475" s="437"/>
      <c r="AC475" s="437"/>
      <c r="AD475" s="437"/>
      <c r="AE475" s="437"/>
      <c r="AF475" s="437"/>
      <c r="AG475" s="437"/>
      <c r="AH475" s="437"/>
      <c r="AI475" s="437"/>
      <c r="AJ475" s="437"/>
      <c r="AK475" s="437"/>
      <c r="AL475" s="437"/>
      <c r="AM475" s="437"/>
      <c r="AN475" s="437"/>
      <c r="AO475" s="437"/>
      <c r="AP475" s="437"/>
      <c r="AQ475" s="437"/>
      <c r="AR475" s="437"/>
      <c r="AS475" s="437"/>
      <c r="AT475" s="437"/>
      <c r="AU475" s="437"/>
      <c r="AV475" s="437"/>
      <c r="AW475" s="437"/>
      <c r="AX475" s="436">
        <v>470</v>
      </c>
      <c r="AY475" s="490" t="s">
        <v>287</v>
      </c>
      <c r="AZ475" s="490" t="s">
        <v>5112</v>
      </c>
      <c r="BA475" s="490" t="s">
        <v>5113</v>
      </c>
      <c r="BB475" s="490" t="s">
        <v>1505</v>
      </c>
      <c r="BC475" s="490" t="s">
        <v>3038</v>
      </c>
      <c r="BD475" s="490" t="s">
        <v>5114</v>
      </c>
      <c r="BE475" s="490" t="s">
        <v>5115</v>
      </c>
      <c r="BF475" s="490" t="s">
        <v>2248</v>
      </c>
      <c r="BG475" s="490" t="s">
        <v>5116</v>
      </c>
      <c r="BH475" s="490" t="s">
        <v>5117</v>
      </c>
      <c r="BI475" s="490" t="s">
        <v>5118</v>
      </c>
      <c r="BJ475" s="490" t="s">
        <v>5119</v>
      </c>
      <c r="BK475" s="437"/>
      <c r="BL475" s="437"/>
      <c r="BM475" s="437"/>
      <c r="BN475" s="437"/>
      <c r="BO475" s="437"/>
      <c r="BP475" s="437"/>
    </row>
    <row r="476" spans="1:68">
      <c r="A476" s="437"/>
      <c r="B476" s="437"/>
      <c r="C476" s="437"/>
      <c r="D476" s="437"/>
      <c r="E476" s="437"/>
      <c r="F476" s="437"/>
      <c r="G476" s="437"/>
      <c r="H476" s="437"/>
      <c r="I476" s="437"/>
      <c r="J476" s="437"/>
      <c r="K476" s="437"/>
      <c r="L476" s="437"/>
      <c r="M476" s="437"/>
      <c r="N476" s="437"/>
      <c r="O476" s="437"/>
      <c r="P476" s="437"/>
      <c r="Q476" s="437"/>
      <c r="R476" s="437"/>
      <c r="S476" s="437"/>
      <c r="T476" s="437"/>
      <c r="U476" s="437"/>
      <c r="V476" s="437"/>
      <c r="W476" s="437"/>
      <c r="X476" s="437"/>
      <c r="Y476" s="437"/>
      <c r="Z476" s="437"/>
      <c r="AA476" s="437"/>
      <c r="AB476" s="437"/>
      <c r="AC476" s="437"/>
      <c r="AD476" s="437"/>
      <c r="AE476" s="437"/>
      <c r="AF476" s="437"/>
      <c r="AG476" s="437"/>
      <c r="AH476" s="437"/>
      <c r="AI476" s="437"/>
      <c r="AJ476" s="437"/>
      <c r="AK476" s="437"/>
      <c r="AL476" s="437"/>
      <c r="AM476" s="437"/>
      <c r="AN476" s="437"/>
      <c r="AO476" s="437"/>
      <c r="AP476" s="437"/>
      <c r="AQ476" s="437"/>
      <c r="AR476" s="437"/>
      <c r="AS476" s="437"/>
      <c r="AT476" s="437"/>
      <c r="AU476" s="437"/>
      <c r="AV476" s="437"/>
      <c r="AW476" s="437"/>
      <c r="AX476" s="436">
        <v>471</v>
      </c>
      <c r="AY476" s="490" t="s">
        <v>5120</v>
      </c>
      <c r="AZ476" s="490" t="s">
        <v>5121</v>
      </c>
      <c r="BA476" s="490" t="s">
        <v>5122</v>
      </c>
      <c r="BB476" s="490" t="s">
        <v>5123</v>
      </c>
      <c r="BC476" s="490" t="s">
        <v>5124</v>
      </c>
      <c r="BD476" s="490" t="s">
        <v>5125</v>
      </c>
      <c r="BE476" s="490" t="s">
        <v>5126</v>
      </c>
      <c r="BF476" s="490" t="s">
        <v>5127</v>
      </c>
      <c r="BG476" s="490" t="s">
        <v>5128</v>
      </c>
      <c r="BH476" s="490" t="s">
        <v>288</v>
      </c>
      <c r="BI476" s="490" t="s">
        <v>5129</v>
      </c>
      <c r="BJ476" s="490" t="s">
        <v>3033</v>
      </c>
      <c r="BK476" s="437"/>
      <c r="BL476" s="437"/>
      <c r="BM476" s="437"/>
      <c r="BN476" s="437"/>
      <c r="BO476" s="437"/>
      <c r="BP476" s="437"/>
    </row>
    <row r="477" spans="1:68">
      <c r="A477" s="437"/>
      <c r="B477" s="437"/>
      <c r="C477" s="437"/>
      <c r="D477" s="437"/>
      <c r="E477" s="437"/>
      <c r="F477" s="437"/>
      <c r="G477" s="437"/>
      <c r="H477" s="437"/>
      <c r="I477" s="437"/>
      <c r="J477" s="437"/>
      <c r="K477" s="437"/>
      <c r="L477" s="437"/>
      <c r="M477" s="437"/>
      <c r="N477" s="437"/>
      <c r="O477" s="437"/>
      <c r="P477" s="437"/>
      <c r="Q477" s="437"/>
      <c r="R477" s="437"/>
      <c r="S477" s="437"/>
      <c r="T477" s="437"/>
      <c r="U477" s="437"/>
      <c r="V477" s="437"/>
      <c r="W477" s="437"/>
      <c r="X477" s="437"/>
      <c r="Y477" s="437"/>
      <c r="Z477" s="437"/>
      <c r="AA477" s="437"/>
      <c r="AB477" s="437"/>
      <c r="AC477" s="437"/>
      <c r="AD477" s="437"/>
      <c r="AE477" s="437"/>
      <c r="AF477" s="437"/>
      <c r="AG477" s="437"/>
      <c r="AH477" s="437"/>
      <c r="AI477" s="437"/>
      <c r="AJ477" s="437"/>
      <c r="AK477" s="437"/>
      <c r="AL477" s="437"/>
      <c r="AM477" s="437"/>
      <c r="AN477" s="437"/>
      <c r="AO477" s="437"/>
      <c r="AP477" s="437"/>
      <c r="AQ477" s="437"/>
      <c r="AR477" s="437"/>
      <c r="AS477" s="437"/>
      <c r="AT477" s="437"/>
      <c r="AU477" s="437"/>
      <c r="AV477" s="437"/>
      <c r="AW477" s="437"/>
      <c r="AX477" s="436">
        <v>472</v>
      </c>
      <c r="AY477" s="490" t="s">
        <v>5122</v>
      </c>
      <c r="AZ477" s="490" t="s">
        <v>5130</v>
      </c>
      <c r="BA477" s="490" t="s">
        <v>5131</v>
      </c>
      <c r="BB477" s="490" t="s">
        <v>5132</v>
      </c>
      <c r="BC477" s="490" t="s">
        <v>3038</v>
      </c>
      <c r="BD477" s="490" t="s">
        <v>5133</v>
      </c>
      <c r="BE477" s="490" t="s">
        <v>5134</v>
      </c>
      <c r="BF477" s="490" t="s">
        <v>5135</v>
      </c>
      <c r="BG477" s="490" t="s">
        <v>1508</v>
      </c>
      <c r="BH477" s="490" t="s">
        <v>5136</v>
      </c>
      <c r="BI477" s="490" t="s">
        <v>5137</v>
      </c>
      <c r="BJ477" s="490" t="s">
        <v>5039</v>
      </c>
      <c r="BK477" s="437"/>
      <c r="BL477" s="437"/>
      <c r="BM477" s="437"/>
      <c r="BN477" s="437"/>
      <c r="BO477" s="437"/>
      <c r="BP477" s="437"/>
    </row>
    <row r="478" spans="1:68">
      <c r="A478" s="437"/>
      <c r="B478" s="437"/>
      <c r="C478" s="437"/>
      <c r="D478" s="437"/>
      <c r="E478" s="437"/>
      <c r="F478" s="437"/>
      <c r="G478" s="437"/>
      <c r="H478" s="437"/>
      <c r="I478" s="437"/>
      <c r="J478" s="437"/>
      <c r="K478" s="437"/>
      <c r="L478" s="437"/>
      <c r="M478" s="437"/>
      <c r="N478" s="437"/>
      <c r="O478" s="437"/>
      <c r="P478" s="437"/>
      <c r="Q478" s="437"/>
      <c r="R478" s="437"/>
      <c r="S478" s="437"/>
      <c r="T478" s="437"/>
      <c r="U478" s="437"/>
      <c r="V478" s="437"/>
      <c r="W478" s="437"/>
      <c r="X478" s="437"/>
      <c r="Y478" s="437"/>
      <c r="Z478" s="437"/>
      <c r="AA478" s="437"/>
      <c r="AB478" s="437"/>
      <c r="AC478" s="437"/>
      <c r="AD478" s="437"/>
      <c r="AE478" s="437"/>
      <c r="AF478" s="437"/>
      <c r="AG478" s="437"/>
      <c r="AH478" s="437"/>
      <c r="AI478" s="437"/>
      <c r="AJ478" s="437"/>
      <c r="AK478" s="437"/>
      <c r="AL478" s="437"/>
      <c r="AM478" s="437"/>
      <c r="AN478" s="437"/>
      <c r="AO478" s="437"/>
      <c r="AP478" s="437"/>
      <c r="AQ478" s="437"/>
      <c r="AR478" s="437"/>
      <c r="AS478" s="437"/>
      <c r="AT478" s="437"/>
      <c r="AU478" s="437"/>
      <c r="AV478" s="437"/>
      <c r="AW478" s="437"/>
      <c r="AX478" s="436">
        <v>473</v>
      </c>
      <c r="AY478" s="490" t="s">
        <v>5138</v>
      </c>
      <c r="AZ478" s="490" t="s">
        <v>5139</v>
      </c>
      <c r="BA478" s="490" t="s">
        <v>5130</v>
      </c>
      <c r="BB478" s="490" t="s">
        <v>5140</v>
      </c>
      <c r="BC478" s="490" t="s">
        <v>5008</v>
      </c>
      <c r="BD478" s="490" t="s">
        <v>2951</v>
      </c>
      <c r="BE478" s="490" t="s">
        <v>5141</v>
      </c>
      <c r="BF478" s="490" t="s">
        <v>5142</v>
      </c>
      <c r="BG478" s="490" t="s">
        <v>1519</v>
      </c>
      <c r="BH478" s="490" t="s">
        <v>2283</v>
      </c>
      <c r="BI478" s="490" t="s">
        <v>5143</v>
      </c>
      <c r="BJ478" s="490" t="s">
        <v>5144</v>
      </c>
      <c r="BK478" s="437"/>
      <c r="BL478" s="437"/>
      <c r="BM478" s="437"/>
      <c r="BN478" s="437"/>
      <c r="BO478" s="437"/>
      <c r="BP478" s="437"/>
    </row>
    <row r="479" spans="1:68">
      <c r="A479" s="437"/>
      <c r="B479" s="437"/>
      <c r="C479" s="437"/>
      <c r="D479" s="437"/>
      <c r="E479" s="437"/>
      <c r="F479" s="437"/>
      <c r="G479" s="437"/>
      <c r="H479" s="437"/>
      <c r="I479" s="437"/>
      <c r="J479" s="437"/>
      <c r="K479" s="437"/>
      <c r="L479" s="437"/>
      <c r="M479" s="437"/>
      <c r="N479" s="437"/>
      <c r="O479" s="437"/>
      <c r="P479" s="437"/>
      <c r="Q479" s="437"/>
      <c r="R479" s="437"/>
      <c r="S479" s="437"/>
      <c r="T479" s="437"/>
      <c r="U479" s="437"/>
      <c r="V479" s="437"/>
      <c r="W479" s="437"/>
      <c r="X479" s="437"/>
      <c r="Y479" s="437"/>
      <c r="Z479" s="437"/>
      <c r="AA479" s="437"/>
      <c r="AB479" s="437"/>
      <c r="AC479" s="437"/>
      <c r="AD479" s="437"/>
      <c r="AE479" s="437"/>
      <c r="AF479" s="437"/>
      <c r="AG479" s="437"/>
      <c r="AH479" s="437"/>
      <c r="AI479" s="437"/>
      <c r="AJ479" s="437"/>
      <c r="AK479" s="437"/>
      <c r="AL479" s="437"/>
      <c r="AM479" s="437"/>
      <c r="AN479" s="437"/>
      <c r="AO479" s="437"/>
      <c r="AP479" s="437"/>
      <c r="AQ479" s="437"/>
      <c r="AR479" s="437"/>
      <c r="AS479" s="437"/>
      <c r="AT479" s="437"/>
      <c r="AU479" s="437"/>
      <c r="AV479" s="437"/>
      <c r="AW479" s="437"/>
      <c r="AX479" s="436">
        <v>474</v>
      </c>
      <c r="AY479" s="490" t="s">
        <v>5145</v>
      </c>
      <c r="AZ479" s="490" t="s">
        <v>5146</v>
      </c>
      <c r="BA479" s="490" t="s">
        <v>5139</v>
      </c>
      <c r="BB479" s="490" t="s">
        <v>289</v>
      </c>
      <c r="BC479" s="490" t="s">
        <v>3073</v>
      </c>
      <c r="BD479" s="490" t="s">
        <v>5147</v>
      </c>
      <c r="BE479" s="490" t="s">
        <v>5148</v>
      </c>
      <c r="BF479" s="490" t="s">
        <v>2293</v>
      </c>
      <c r="BG479" s="490" t="s">
        <v>1530</v>
      </c>
      <c r="BH479" s="490" t="s">
        <v>290</v>
      </c>
      <c r="BI479" s="490" t="s">
        <v>5149</v>
      </c>
      <c r="BJ479" s="490" t="s">
        <v>5150</v>
      </c>
      <c r="BK479" s="437"/>
      <c r="BL479" s="437"/>
      <c r="BM479" s="437"/>
      <c r="BN479" s="437"/>
      <c r="BO479" s="437"/>
      <c r="BP479" s="437"/>
    </row>
    <row r="480" spans="1:68">
      <c r="A480" s="437"/>
      <c r="B480" s="437"/>
      <c r="C480" s="437"/>
      <c r="D480" s="437"/>
      <c r="E480" s="437"/>
      <c r="F480" s="437"/>
      <c r="G480" s="437"/>
      <c r="H480" s="437"/>
      <c r="I480" s="437"/>
      <c r="J480" s="437"/>
      <c r="K480" s="437"/>
      <c r="L480" s="437"/>
      <c r="M480" s="437"/>
      <c r="N480" s="437"/>
      <c r="O480" s="437"/>
      <c r="P480" s="437"/>
      <c r="Q480" s="437"/>
      <c r="R480" s="437"/>
      <c r="S480" s="437"/>
      <c r="T480" s="437"/>
      <c r="U480" s="437"/>
      <c r="V480" s="437"/>
      <c r="W480" s="437"/>
      <c r="X480" s="437"/>
      <c r="Y480" s="437"/>
      <c r="Z480" s="437"/>
      <c r="AA480" s="437"/>
      <c r="AB480" s="437"/>
      <c r="AC480" s="437"/>
      <c r="AD480" s="437"/>
      <c r="AE480" s="437"/>
      <c r="AF480" s="437"/>
      <c r="AG480" s="437"/>
      <c r="AH480" s="437"/>
      <c r="AI480" s="437"/>
      <c r="AJ480" s="437"/>
      <c r="AK480" s="437"/>
      <c r="AL480" s="437"/>
      <c r="AM480" s="437"/>
      <c r="AN480" s="437"/>
      <c r="AO480" s="437"/>
      <c r="AP480" s="437"/>
      <c r="AQ480" s="437"/>
      <c r="AR480" s="437"/>
      <c r="AS480" s="437"/>
      <c r="AT480" s="437"/>
      <c r="AU480" s="437"/>
      <c r="AV480" s="437"/>
      <c r="AW480" s="437"/>
      <c r="AX480" s="436">
        <v>475</v>
      </c>
      <c r="AY480" s="490" t="s">
        <v>5151</v>
      </c>
      <c r="AZ480" s="490" t="s">
        <v>5152</v>
      </c>
      <c r="BA480" s="490" t="s">
        <v>5153</v>
      </c>
      <c r="BB480" s="490" t="s">
        <v>5073</v>
      </c>
      <c r="BC480" s="490" t="s">
        <v>3082</v>
      </c>
      <c r="BD480" s="490" t="s">
        <v>5057</v>
      </c>
      <c r="BE480" s="490" t="s">
        <v>5154</v>
      </c>
      <c r="BF480" s="490" t="s">
        <v>5044</v>
      </c>
      <c r="BG480" s="490" t="s">
        <v>5155</v>
      </c>
      <c r="BH480" s="490" t="s">
        <v>291</v>
      </c>
      <c r="BI480" s="490" t="s">
        <v>5156</v>
      </c>
      <c r="BJ480" s="490" t="s">
        <v>282</v>
      </c>
      <c r="BK480" s="437"/>
      <c r="BL480" s="437"/>
      <c r="BM480" s="437"/>
      <c r="BN480" s="437"/>
      <c r="BO480" s="437"/>
      <c r="BP480" s="437"/>
    </row>
    <row r="481" spans="1:68">
      <c r="A481" s="437"/>
      <c r="B481" s="437"/>
      <c r="C481" s="437"/>
      <c r="D481" s="437"/>
      <c r="E481" s="437"/>
      <c r="F481" s="437"/>
      <c r="G481" s="437"/>
      <c r="H481" s="437"/>
      <c r="I481" s="437"/>
      <c r="J481" s="437"/>
      <c r="K481" s="437"/>
      <c r="L481" s="437"/>
      <c r="M481" s="437"/>
      <c r="N481" s="437"/>
      <c r="O481" s="437"/>
      <c r="P481" s="437"/>
      <c r="Q481" s="437"/>
      <c r="R481" s="437"/>
      <c r="S481" s="437"/>
      <c r="T481" s="437"/>
      <c r="U481" s="437"/>
      <c r="V481" s="437"/>
      <c r="W481" s="437"/>
      <c r="X481" s="437"/>
      <c r="Y481" s="437"/>
      <c r="Z481" s="437"/>
      <c r="AA481" s="437"/>
      <c r="AB481" s="437"/>
      <c r="AC481" s="437"/>
      <c r="AD481" s="437"/>
      <c r="AE481" s="437"/>
      <c r="AF481" s="437"/>
      <c r="AG481" s="437"/>
      <c r="AH481" s="437"/>
      <c r="AI481" s="437"/>
      <c r="AJ481" s="437"/>
      <c r="AK481" s="437"/>
      <c r="AL481" s="437"/>
      <c r="AM481" s="437"/>
      <c r="AN481" s="437"/>
      <c r="AO481" s="437"/>
      <c r="AP481" s="437"/>
      <c r="AQ481" s="437"/>
      <c r="AR481" s="437"/>
      <c r="AS481" s="437"/>
      <c r="AT481" s="437"/>
      <c r="AU481" s="437"/>
      <c r="AV481" s="437"/>
      <c r="AW481" s="437"/>
      <c r="AX481" s="436">
        <v>476</v>
      </c>
      <c r="AY481" s="490" t="s">
        <v>5157</v>
      </c>
      <c r="AZ481" s="490" t="s">
        <v>5158</v>
      </c>
      <c r="BA481" s="490" t="s">
        <v>5159</v>
      </c>
      <c r="BB481" s="490" t="s">
        <v>1565</v>
      </c>
      <c r="BC481" s="490" t="s">
        <v>3093</v>
      </c>
      <c r="BD481" s="490" t="s">
        <v>292</v>
      </c>
      <c r="BE481" s="490" t="s">
        <v>5160</v>
      </c>
      <c r="BF481" s="490" t="s">
        <v>5161</v>
      </c>
      <c r="BG481" s="490" t="s">
        <v>5052</v>
      </c>
      <c r="BH481" s="490" t="s">
        <v>5162</v>
      </c>
      <c r="BI481" s="490" t="s">
        <v>5163</v>
      </c>
      <c r="BJ481" s="490" t="s">
        <v>5164</v>
      </c>
      <c r="BK481" s="437"/>
      <c r="BL481" s="437"/>
      <c r="BM481" s="437"/>
      <c r="BN481" s="437"/>
      <c r="BO481" s="437"/>
      <c r="BP481" s="437"/>
    </row>
    <row r="482" spans="1:68">
      <c r="A482" s="437"/>
      <c r="B482" s="437"/>
      <c r="C482" s="437"/>
      <c r="D482" s="437"/>
      <c r="E482" s="437"/>
      <c r="F482" s="437"/>
      <c r="G482" s="437"/>
      <c r="H482" s="437"/>
      <c r="I482" s="437"/>
      <c r="J482" s="437"/>
      <c r="K482" s="437"/>
      <c r="L482" s="437"/>
      <c r="M482" s="437"/>
      <c r="N482" s="437"/>
      <c r="O482" s="437"/>
      <c r="P482" s="437"/>
      <c r="Q482" s="437"/>
      <c r="R482" s="437"/>
      <c r="S482" s="437"/>
      <c r="T482" s="437"/>
      <c r="U482" s="437"/>
      <c r="V482" s="437"/>
      <c r="W482" s="437"/>
      <c r="X482" s="437"/>
      <c r="Y482" s="437"/>
      <c r="Z482" s="437"/>
      <c r="AA482" s="437"/>
      <c r="AB482" s="437"/>
      <c r="AC482" s="437"/>
      <c r="AD482" s="437"/>
      <c r="AE482" s="437"/>
      <c r="AF482" s="437"/>
      <c r="AG482" s="437"/>
      <c r="AH482" s="437"/>
      <c r="AI482" s="437"/>
      <c r="AJ482" s="437"/>
      <c r="AK482" s="437"/>
      <c r="AL482" s="437"/>
      <c r="AM482" s="437"/>
      <c r="AN482" s="437"/>
      <c r="AO482" s="437"/>
      <c r="AP482" s="437"/>
      <c r="AQ482" s="437"/>
      <c r="AR482" s="437"/>
      <c r="AS482" s="437"/>
      <c r="AT482" s="437"/>
      <c r="AU482" s="437"/>
      <c r="AV482" s="437"/>
      <c r="AW482" s="437"/>
      <c r="AX482" s="436">
        <v>477</v>
      </c>
      <c r="AY482" s="490" t="s">
        <v>5165</v>
      </c>
      <c r="AZ482" s="490" t="s">
        <v>5166</v>
      </c>
      <c r="BA482" s="490" t="s">
        <v>5167</v>
      </c>
      <c r="BB482" s="490" t="s">
        <v>5168</v>
      </c>
      <c r="BC482" s="490" t="s">
        <v>5169</v>
      </c>
      <c r="BD482" s="490" t="s">
        <v>3083</v>
      </c>
      <c r="BE482" s="490" t="s">
        <v>5059</v>
      </c>
      <c r="BF482" s="490" t="s">
        <v>5170</v>
      </c>
      <c r="BG482" s="490" t="s">
        <v>5171</v>
      </c>
      <c r="BH482" s="490" t="s">
        <v>5172</v>
      </c>
      <c r="BI482" s="490" t="s">
        <v>5173</v>
      </c>
      <c r="BJ482" s="490" t="s">
        <v>5174</v>
      </c>
      <c r="BK482" s="437"/>
      <c r="BL482" s="437"/>
      <c r="BM482" s="437"/>
      <c r="BN482" s="437"/>
      <c r="BO482" s="437"/>
      <c r="BP482" s="437"/>
    </row>
    <row r="483" spans="1:68">
      <c r="A483" s="437"/>
      <c r="B483" s="437"/>
      <c r="C483" s="437"/>
      <c r="D483" s="437"/>
      <c r="E483" s="437"/>
      <c r="F483" s="437"/>
      <c r="G483" s="437"/>
      <c r="H483" s="437"/>
      <c r="I483" s="437"/>
      <c r="J483" s="437"/>
      <c r="K483" s="437"/>
      <c r="L483" s="437"/>
      <c r="M483" s="437"/>
      <c r="N483" s="437"/>
      <c r="O483" s="437"/>
      <c r="P483" s="437"/>
      <c r="Q483" s="437"/>
      <c r="R483" s="437"/>
      <c r="S483" s="437"/>
      <c r="T483" s="437"/>
      <c r="U483" s="437"/>
      <c r="V483" s="437"/>
      <c r="W483" s="437"/>
      <c r="X483" s="437"/>
      <c r="Y483" s="437"/>
      <c r="Z483" s="437"/>
      <c r="AA483" s="437"/>
      <c r="AB483" s="437"/>
      <c r="AC483" s="437"/>
      <c r="AD483" s="437"/>
      <c r="AE483" s="437"/>
      <c r="AF483" s="437"/>
      <c r="AG483" s="437"/>
      <c r="AH483" s="437"/>
      <c r="AI483" s="437"/>
      <c r="AJ483" s="437"/>
      <c r="AK483" s="437"/>
      <c r="AL483" s="437"/>
      <c r="AM483" s="437"/>
      <c r="AN483" s="437"/>
      <c r="AO483" s="437"/>
      <c r="AP483" s="437"/>
      <c r="AQ483" s="437"/>
      <c r="AR483" s="437"/>
      <c r="AS483" s="437"/>
      <c r="AT483" s="437"/>
      <c r="AU483" s="437"/>
      <c r="AV483" s="437"/>
      <c r="AW483" s="437"/>
      <c r="AX483" s="436">
        <v>478</v>
      </c>
      <c r="AY483" s="490" t="s">
        <v>5158</v>
      </c>
      <c r="AZ483" s="490" t="s">
        <v>5175</v>
      </c>
      <c r="BA483" s="490" t="s">
        <v>5176</v>
      </c>
      <c r="BB483" s="490" t="s">
        <v>5177</v>
      </c>
      <c r="BC483" s="490" t="s">
        <v>5178</v>
      </c>
      <c r="BD483" s="490" t="s">
        <v>5179</v>
      </c>
      <c r="BE483" s="490" t="s">
        <v>5180</v>
      </c>
      <c r="BF483" s="490" t="s">
        <v>5181</v>
      </c>
      <c r="BG483" s="490" t="s">
        <v>1569</v>
      </c>
      <c r="BH483" s="490" t="s">
        <v>5182</v>
      </c>
      <c r="BI483" s="490" t="s">
        <v>3119</v>
      </c>
      <c r="BJ483" s="490" t="s">
        <v>5183</v>
      </c>
      <c r="BK483" s="437"/>
      <c r="BL483" s="437"/>
      <c r="BM483" s="437"/>
      <c r="BN483" s="437"/>
      <c r="BO483" s="437"/>
      <c r="BP483" s="437"/>
    </row>
    <row r="484" spans="1:68">
      <c r="A484" s="437"/>
      <c r="B484" s="437"/>
      <c r="C484" s="437"/>
      <c r="D484" s="437"/>
      <c r="E484" s="437"/>
      <c r="F484" s="437"/>
      <c r="G484" s="437"/>
      <c r="H484" s="437"/>
      <c r="I484" s="437"/>
      <c r="J484" s="437"/>
      <c r="K484" s="437"/>
      <c r="L484" s="437"/>
      <c r="M484" s="437"/>
      <c r="N484" s="437"/>
      <c r="O484" s="437"/>
      <c r="P484" s="437"/>
      <c r="Q484" s="437"/>
      <c r="R484" s="437"/>
      <c r="S484" s="437"/>
      <c r="T484" s="437"/>
      <c r="U484" s="437"/>
      <c r="V484" s="437"/>
      <c r="W484" s="437"/>
      <c r="X484" s="437"/>
      <c r="Y484" s="437"/>
      <c r="Z484" s="437"/>
      <c r="AA484" s="437"/>
      <c r="AB484" s="437"/>
      <c r="AC484" s="437"/>
      <c r="AD484" s="437"/>
      <c r="AE484" s="437"/>
      <c r="AF484" s="437"/>
      <c r="AG484" s="437"/>
      <c r="AH484" s="437"/>
      <c r="AI484" s="437"/>
      <c r="AJ484" s="437"/>
      <c r="AK484" s="437"/>
      <c r="AL484" s="437"/>
      <c r="AM484" s="437"/>
      <c r="AN484" s="437"/>
      <c r="AO484" s="437"/>
      <c r="AP484" s="437"/>
      <c r="AQ484" s="437"/>
      <c r="AR484" s="437"/>
      <c r="AS484" s="437"/>
      <c r="AT484" s="437"/>
      <c r="AU484" s="437"/>
      <c r="AV484" s="437"/>
      <c r="AW484" s="437"/>
      <c r="AX484" s="436">
        <v>479</v>
      </c>
      <c r="AY484" s="490" t="s">
        <v>5184</v>
      </c>
      <c r="AZ484" s="490" t="s">
        <v>5185</v>
      </c>
      <c r="BA484" s="490" t="s">
        <v>5175</v>
      </c>
      <c r="BB484" s="490" t="s">
        <v>1595</v>
      </c>
      <c r="BC484" s="490" t="s">
        <v>3125</v>
      </c>
      <c r="BD484" s="490" t="s">
        <v>5186</v>
      </c>
      <c r="BE484" s="490" t="s">
        <v>5187</v>
      </c>
      <c r="BF484" s="490" t="s">
        <v>5188</v>
      </c>
      <c r="BG484" s="490" t="s">
        <v>1580</v>
      </c>
      <c r="BH484" s="490" t="s">
        <v>293</v>
      </c>
      <c r="BI484" s="490" t="s">
        <v>5189</v>
      </c>
      <c r="BJ484" s="490" t="s">
        <v>5190</v>
      </c>
      <c r="BK484" s="437"/>
      <c r="BL484" s="437"/>
      <c r="BM484" s="437"/>
      <c r="BN484" s="437"/>
      <c r="BO484" s="437"/>
      <c r="BP484" s="437"/>
    </row>
    <row r="485" spans="1:68">
      <c r="A485" s="437"/>
      <c r="B485" s="437"/>
      <c r="C485" s="437"/>
      <c r="D485" s="437"/>
      <c r="E485" s="437"/>
      <c r="F485" s="437"/>
      <c r="G485" s="437"/>
      <c r="H485" s="437"/>
      <c r="I485" s="437"/>
      <c r="J485" s="437"/>
      <c r="K485" s="437"/>
      <c r="L485" s="437"/>
      <c r="M485" s="437"/>
      <c r="N485" s="437"/>
      <c r="O485" s="437"/>
      <c r="P485" s="437"/>
      <c r="Q485" s="437"/>
      <c r="R485" s="437"/>
      <c r="S485" s="437"/>
      <c r="T485" s="437"/>
      <c r="U485" s="437"/>
      <c r="V485" s="437"/>
      <c r="W485" s="437"/>
      <c r="X485" s="437"/>
      <c r="Y485" s="437"/>
      <c r="Z485" s="437"/>
      <c r="AA485" s="437"/>
      <c r="AB485" s="437"/>
      <c r="AC485" s="437"/>
      <c r="AD485" s="437"/>
      <c r="AE485" s="437"/>
      <c r="AF485" s="437"/>
      <c r="AG485" s="437"/>
      <c r="AH485" s="437"/>
      <c r="AI485" s="437"/>
      <c r="AJ485" s="437"/>
      <c r="AK485" s="437"/>
      <c r="AL485" s="437"/>
      <c r="AM485" s="437"/>
      <c r="AN485" s="437"/>
      <c r="AO485" s="437"/>
      <c r="AP485" s="437"/>
      <c r="AQ485" s="437"/>
      <c r="AR485" s="437"/>
      <c r="AS485" s="437"/>
      <c r="AT485" s="437"/>
      <c r="AU485" s="437"/>
      <c r="AV485" s="437"/>
      <c r="AW485" s="437"/>
      <c r="AX485" s="436">
        <v>480</v>
      </c>
      <c r="AY485" s="490" t="s">
        <v>5191</v>
      </c>
      <c r="AZ485" s="490" t="s">
        <v>5192</v>
      </c>
      <c r="BA485" s="490" t="s">
        <v>5193</v>
      </c>
      <c r="BB485" s="490" t="s">
        <v>1605</v>
      </c>
      <c r="BC485" s="490" t="s">
        <v>5194</v>
      </c>
      <c r="BD485" s="490" t="s">
        <v>5195</v>
      </c>
      <c r="BE485" s="490" t="s">
        <v>5181</v>
      </c>
      <c r="BF485" s="490" t="s">
        <v>5196</v>
      </c>
      <c r="BG485" s="490" t="s">
        <v>294</v>
      </c>
      <c r="BH485" s="490" t="s">
        <v>5197</v>
      </c>
      <c r="BI485" s="490" t="s">
        <v>5198</v>
      </c>
      <c r="BJ485" s="490" t="s">
        <v>5199</v>
      </c>
      <c r="BK485" s="437"/>
      <c r="BL485" s="437"/>
      <c r="BM485" s="437"/>
      <c r="BN485" s="437"/>
      <c r="BO485" s="437"/>
      <c r="BP485" s="437"/>
    </row>
    <row r="486" spans="1:68">
      <c r="A486" s="437"/>
      <c r="B486" s="437"/>
      <c r="C486" s="437"/>
      <c r="D486" s="437"/>
      <c r="E486" s="437"/>
      <c r="F486" s="437"/>
      <c r="G486" s="437"/>
      <c r="H486" s="437"/>
      <c r="I486" s="437"/>
      <c r="J486" s="437"/>
      <c r="K486" s="437"/>
      <c r="L486" s="437"/>
      <c r="M486" s="437"/>
      <c r="N486" s="437"/>
      <c r="O486" s="437"/>
      <c r="P486" s="437"/>
      <c r="Q486" s="437"/>
      <c r="R486" s="437"/>
      <c r="S486" s="437"/>
      <c r="T486" s="437"/>
      <c r="U486" s="437"/>
      <c r="V486" s="437"/>
      <c r="W486" s="437"/>
      <c r="X486" s="437"/>
      <c r="Y486" s="437"/>
      <c r="Z486" s="437"/>
      <c r="AA486" s="437"/>
      <c r="AB486" s="437"/>
      <c r="AC486" s="437"/>
      <c r="AD486" s="437"/>
      <c r="AE486" s="437"/>
      <c r="AF486" s="437"/>
      <c r="AG486" s="437"/>
      <c r="AH486" s="437"/>
      <c r="AI486" s="437"/>
      <c r="AJ486" s="437"/>
      <c r="AK486" s="437"/>
      <c r="AL486" s="437"/>
      <c r="AM486" s="437"/>
      <c r="AN486" s="437"/>
      <c r="AO486" s="437"/>
      <c r="AP486" s="437"/>
      <c r="AQ486" s="437"/>
      <c r="AR486" s="437"/>
      <c r="AS486" s="437"/>
      <c r="AT486" s="437"/>
      <c r="AU486" s="437"/>
      <c r="AV486" s="437"/>
      <c r="AW486" s="437"/>
      <c r="AX486" s="436">
        <v>481</v>
      </c>
      <c r="AY486" s="490" t="s">
        <v>5200</v>
      </c>
      <c r="AZ486" s="490" t="s">
        <v>5201</v>
      </c>
      <c r="BA486" s="490" t="s">
        <v>5202</v>
      </c>
      <c r="BB486" s="490" t="s">
        <v>5131</v>
      </c>
      <c r="BC486" s="490" t="s">
        <v>5203</v>
      </c>
      <c r="BD486" s="490" t="s">
        <v>3126</v>
      </c>
      <c r="BE486" s="490" t="s">
        <v>5204</v>
      </c>
      <c r="BF486" s="490" t="s">
        <v>5205</v>
      </c>
      <c r="BG486" s="490" t="s">
        <v>5206</v>
      </c>
      <c r="BH486" s="490" t="s">
        <v>5207</v>
      </c>
      <c r="BI486" s="490" t="s">
        <v>2363</v>
      </c>
      <c r="BJ486" s="490" t="s">
        <v>3130</v>
      </c>
      <c r="BK486" s="437"/>
      <c r="BL486" s="437"/>
      <c r="BM486" s="437"/>
      <c r="BN486" s="437"/>
      <c r="BO486" s="437"/>
      <c r="BP486" s="437"/>
    </row>
    <row r="487" spans="1:68">
      <c r="A487" s="437"/>
      <c r="B487" s="437"/>
      <c r="C487" s="437"/>
      <c r="D487" s="437"/>
      <c r="E487" s="437"/>
      <c r="F487" s="437"/>
      <c r="G487" s="437"/>
      <c r="H487" s="437"/>
      <c r="I487" s="437"/>
      <c r="J487" s="437"/>
      <c r="K487" s="437"/>
      <c r="L487" s="437"/>
      <c r="M487" s="437"/>
      <c r="N487" s="437"/>
      <c r="O487" s="437"/>
      <c r="P487" s="437"/>
      <c r="Q487" s="437"/>
      <c r="R487" s="437"/>
      <c r="S487" s="437"/>
      <c r="T487" s="437"/>
      <c r="U487" s="437"/>
      <c r="V487" s="437"/>
      <c r="W487" s="437"/>
      <c r="X487" s="437"/>
      <c r="Y487" s="437"/>
      <c r="Z487" s="437"/>
      <c r="AA487" s="437"/>
      <c r="AB487" s="437"/>
      <c r="AC487" s="437"/>
      <c r="AD487" s="437"/>
      <c r="AE487" s="437"/>
      <c r="AF487" s="437"/>
      <c r="AG487" s="437"/>
      <c r="AH487" s="437"/>
      <c r="AI487" s="437"/>
      <c r="AJ487" s="437"/>
      <c r="AK487" s="437"/>
      <c r="AL487" s="437"/>
      <c r="AM487" s="437"/>
      <c r="AN487" s="437"/>
      <c r="AO487" s="437"/>
      <c r="AP487" s="437"/>
      <c r="AQ487" s="437"/>
      <c r="AR487" s="437"/>
      <c r="AS487" s="437"/>
      <c r="AT487" s="437"/>
      <c r="AU487" s="437"/>
      <c r="AV487" s="437"/>
      <c r="AW487" s="437"/>
      <c r="AX487" s="436">
        <v>482</v>
      </c>
      <c r="AY487" s="490" t="s">
        <v>5208</v>
      </c>
      <c r="AZ487" s="490" t="s">
        <v>5209</v>
      </c>
      <c r="BA487" s="490" t="s">
        <v>296</v>
      </c>
      <c r="BB487" s="490" t="s">
        <v>5210</v>
      </c>
      <c r="BC487" s="490" t="s">
        <v>5211</v>
      </c>
      <c r="BD487" s="490" t="s">
        <v>5212</v>
      </c>
      <c r="BE487" s="490" t="s">
        <v>5213</v>
      </c>
      <c r="BF487" s="490" t="s">
        <v>5214</v>
      </c>
      <c r="BG487" s="490" t="s">
        <v>5215</v>
      </c>
      <c r="BH487" s="490" t="s">
        <v>2373</v>
      </c>
      <c r="BI487" s="490" t="s">
        <v>5216</v>
      </c>
      <c r="BJ487" s="490" t="s">
        <v>5217</v>
      </c>
      <c r="BK487" s="437"/>
      <c r="BL487" s="437"/>
      <c r="BM487" s="437"/>
      <c r="BN487" s="437"/>
      <c r="BO487" s="437"/>
      <c r="BP487" s="437"/>
    </row>
    <row r="488" spans="1:68">
      <c r="A488" s="437"/>
      <c r="B488" s="437"/>
      <c r="C488" s="437"/>
      <c r="D488" s="437"/>
      <c r="E488" s="437"/>
      <c r="F488" s="437"/>
      <c r="G488" s="437"/>
      <c r="H488" s="437"/>
      <c r="I488" s="437"/>
      <c r="J488" s="437"/>
      <c r="K488" s="437"/>
      <c r="L488" s="437"/>
      <c r="M488" s="437"/>
      <c r="N488" s="437"/>
      <c r="O488" s="437"/>
      <c r="P488" s="437"/>
      <c r="Q488" s="437"/>
      <c r="R488" s="437"/>
      <c r="S488" s="437"/>
      <c r="T488" s="437"/>
      <c r="U488" s="437"/>
      <c r="V488" s="437"/>
      <c r="W488" s="437"/>
      <c r="X488" s="437"/>
      <c r="Y488" s="437"/>
      <c r="Z488" s="437"/>
      <c r="AA488" s="437"/>
      <c r="AB488" s="437"/>
      <c r="AC488" s="437"/>
      <c r="AD488" s="437"/>
      <c r="AE488" s="437"/>
      <c r="AF488" s="437"/>
      <c r="AG488" s="437"/>
      <c r="AH488" s="437"/>
      <c r="AI488" s="437"/>
      <c r="AJ488" s="437"/>
      <c r="AK488" s="437"/>
      <c r="AL488" s="437"/>
      <c r="AM488" s="437"/>
      <c r="AN488" s="437"/>
      <c r="AO488" s="437"/>
      <c r="AP488" s="437"/>
      <c r="AQ488" s="437"/>
      <c r="AR488" s="437"/>
      <c r="AS488" s="437"/>
      <c r="AT488" s="437"/>
      <c r="AU488" s="437"/>
      <c r="AV488" s="437"/>
      <c r="AW488" s="437"/>
      <c r="AX488" s="436">
        <v>483</v>
      </c>
      <c r="AY488" s="490" t="s">
        <v>5218</v>
      </c>
      <c r="AZ488" s="490" t="s">
        <v>5219</v>
      </c>
      <c r="BA488" s="490" t="s">
        <v>5220</v>
      </c>
      <c r="BB488" s="490" t="s">
        <v>5221</v>
      </c>
      <c r="BC488" s="490" t="s">
        <v>3162</v>
      </c>
      <c r="BD488" s="490" t="s">
        <v>3126</v>
      </c>
      <c r="BE488" s="490" t="s">
        <v>5222</v>
      </c>
      <c r="BF488" s="490" t="s">
        <v>5223</v>
      </c>
      <c r="BG488" s="490" t="s">
        <v>1616</v>
      </c>
      <c r="BH488" s="490" t="s">
        <v>1639</v>
      </c>
      <c r="BI488" s="490" t="s">
        <v>5224</v>
      </c>
      <c r="BJ488" s="490" t="s">
        <v>5225</v>
      </c>
      <c r="BK488" s="437"/>
      <c r="BL488" s="437"/>
      <c r="BM488" s="437"/>
      <c r="BN488" s="437"/>
      <c r="BO488" s="437"/>
      <c r="BP488" s="437"/>
    </row>
    <row r="489" spans="1:68">
      <c r="A489" s="437"/>
      <c r="B489" s="437"/>
      <c r="C489" s="437"/>
      <c r="D489" s="437"/>
      <c r="E489" s="437"/>
      <c r="F489" s="437"/>
      <c r="G489" s="437"/>
      <c r="H489" s="437"/>
      <c r="I489" s="437"/>
      <c r="J489" s="437"/>
      <c r="K489" s="437"/>
      <c r="L489" s="437"/>
      <c r="M489" s="437"/>
      <c r="N489" s="437"/>
      <c r="O489" s="437"/>
      <c r="P489" s="437"/>
      <c r="Q489" s="437"/>
      <c r="R489" s="437"/>
      <c r="S489" s="437"/>
      <c r="T489" s="437"/>
      <c r="U489" s="437"/>
      <c r="V489" s="437"/>
      <c r="W489" s="437"/>
      <c r="X489" s="437"/>
      <c r="Y489" s="437"/>
      <c r="Z489" s="437"/>
      <c r="AA489" s="437"/>
      <c r="AB489" s="437"/>
      <c r="AC489" s="437"/>
      <c r="AD489" s="437"/>
      <c r="AE489" s="437"/>
      <c r="AF489" s="437"/>
      <c r="AG489" s="437"/>
      <c r="AH489" s="437"/>
      <c r="AI489" s="437"/>
      <c r="AJ489" s="437"/>
      <c r="AK489" s="437"/>
      <c r="AL489" s="437"/>
      <c r="AM489" s="437"/>
      <c r="AN489" s="437"/>
      <c r="AO489" s="437"/>
      <c r="AP489" s="437"/>
      <c r="AQ489" s="437"/>
      <c r="AR489" s="437"/>
      <c r="AS489" s="437"/>
      <c r="AT489" s="437"/>
      <c r="AU489" s="437"/>
      <c r="AV489" s="437"/>
      <c r="AW489" s="437"/>
      <c r="AX489" s="436">
        <v>484</v>
      </c>
      <c r="AY489" s="490" t="s">
        <v>5226</v>
      </c>
      <c r="AZ489" s="490" t="s">
        <v>5227</v>
      </c>
      <c r="BA489" s="490" t="s">
        <v>5228</v>
      </c>
      <c r="BB489" s="490" t="s">
        <v>5229</v>
      </c>
      <c r="BC489" s="490" t="s">
        <v>3172</v>
      </c>
      <c r="BD489" s="490" t="s">
        <v>5107</v>
      </c>
      <c r="BE489" s="490" t="s">
        <v>5230</v>
      </c>
      <c r="BF489" s="490" t="s">
        <v>5231</v>
      </c>
      <c r="BG489" s="490" t="s">
        <v>1627</v>
      </c>
      <c r="BH489" s="490" t="s">
        <v>5232</v>
      </c>
      <c r="BI489" s="490" t="s">
        <v>5233</v>
      </c>
      <c r="BJ489" s="490" t="s">
        <v>5234</v>
      </c>
      <c r="BK489" s="437"/>
      <c r="BL489" s="437"/>
      <c r="BM489" s="437"/>
      <c r="BN489" s="437"/>
      <c r="BO489" s="437"/>
      <c r="BP489" s="437"/>
    </row>
    <row r="490" spans="1:68">
      <c r="A490" s="437"/>
      <c r="B490" s="437"/>
      <c r="C490" s="437"/>
      <c r="D490" s="437"/>
      <c r="E490" s="437"/>
      <c r="F490" s="437"/>
      <c r="G490" s="437"/>
      <c r="H490" s="437"/>
      <c r="I490" s="437"/>
      <c r="J490" s="437"/>
      <c r="K490" s="437"/>
      <c r="L490" s="437"/>
      <c r="M490" s="437"/>
      <c r="N490" s="437"/>
      <c r="O490" s="437"/>
      <c r="P490" s="437"/>
      <c r="Q490" s="437"/>
      <c r="R490" s="437"/>
      <c r="S490" s="437"/>
      <c r="T490" s="437"/>
      <c r="U490" s="437"/>
      <c r="V490" s="437"/>
      <c r="W490" s="437"/>
      <c r="X490" s="437"/>
      <c r="Y490" s="437"/>
      <c r="Z490" s="437"/>
      <c r="AA490" s="437"/>
      <c r="AB490" s="437"/>
      <c r="AC490" s="437"/>
      <c r="AD490" s="437"/>
      <c r="AE490" s="437"/>
      <c r="AF490" s="437"/>
      <c r="AG490" s="437"/>
      <c r="AH490" s="437"/>
      <c r="AI490" s="437"/>
      <c r="AJ490" s="437"/>
      <c r="AK490" s="437"/>
      <c r="AL490" s="437"/>
      <c r="AM490" s="437"/>
      <c r="AN490" s="437"/>
      <c r="AO490" s="437"/>
      <c r="AP490" s="437"/>
      <c r="AQ490" s="437"/>
      <c r="AR490" s="437"/>
      <c r="AS490" s="437"/>
      <c r="AT490" s="437"/>
      <c r="AU490" s="437"/>
      <c r="AV490" s="437"/>
      <c r="AW490" s="437"/>
      <c r="AX490" s="436">
        <v>485</v>
      </c>
      <c r="AY490" s="490" t="s">
        <v>5235</v>
      </c>
      <c r="AZ490" s="490" t="s">
        <v>295</v>
      </c>
      <c r="BA490" s="490" t="s">
        <v>297</v>
      </c>
      <c r="BB490" s="490" t="s">
        <v>5236</v>
      </c>
      <c r="BC490" s="490" t="s">
        <v>5237</v>
      </c>
      <c r="BD490" s="490" t="s">
        <v>5238</v>
      </c>
      <c r="BE490" s="490" t="s">
        <v>5239</v>
      </c>
      <c r="BF490" s="490" t="s">
        <v>2405</v>
      </c>
      <c r="BG490" s="490" t="s">
        <v>5240</v>
      </c>
      <c r="BH490" s="490" t="s">
        <v>5136</v>
      </c>
      <c r="BI490" s="490" t="s">
        <v>5241</v>
      </c>
      <c r="BJ490" s="490" t="s">
        <v>5242</v>
      </c>
      <c r="BK490" s="437"/>
      <c r="BL490" s="437"/>
      <c r="BM490" s="437"/>
      <c r="BN490" s="437"/>
      <c r="BO490" s="437"/>
      <c r="BP490" s="437"/>
    </row>
    <row r="491" spans="1:68">
      <c r="A491" s="437"/>
      <c r="B491" s="437"/>
      <c r="C491" s="437"/>
      <c r="D491" s="437"/>
      <c r="E491" s="437"/>
      <c r="F491" s="437"/>
      <c r="G491" s="437"/>
      <c r="H491" s="437"/>
      <c r="I491" s="437"/>
      <c r="J491" s="437"/>
      <c r="K491" s="437"/>
      <c r="L491" s="437"/>
      <c r="M491" s="437"/>
      <c r="N491" s="437"/>
      <c r="O491" s="437"/>
      <c r="P491" s="437"/>
      <c r="Q491" s="437"/>
      <c r="R491" s="437"/>
      <c r="S491" s="437"/>
      <c r="T491" s="437"/>
      <c r="U491" s="437"/>
      <c r="V491" s="437"/>
      <c r="W491" s="437"/>
      <c r="X491" s="437"/>
      <c r="Y491" s="437"/>
      <c r="Z491" s="437"/>
      <c r="AA491" s="437"/>
      <c r="AB491" s="437"/>
      <c r="AC491" s="437"/>
      <c r="AD491" s="437"/>
      <c r="AE491" s="437"/>
      <c r="AF491" s="437"/>
      <c r="AG491" s="437"/>
      <c r="AH491" s="437"/>
      <c r="AI491" s="437"/>
      <c r="AJ491" s="437"/>
      <c r="AK491" s="437"/>
      <c r="AL491" s="437"/>
      <c r="AM491" s="437"/>
      <c r="AN491" s="437"/>
      <c r="AO491" s="437"/>
      <c r="AP491" s="437"/>
      <c r="AQ491" s="437"/>
      <c r="AR491" s="437"/>
      <c r="AS491" s="437"/>
      <c r="AT491" s="437"/>
      <c r="AU491" s="437"/>
      <c r="AV491" s="437"/>
      <c r="AW491" s="437"/>
      <c r="AX491" s="436">
        <v>486</v>
      </c>
      <c r="AY491" s="490" t="s">
        <v>5243</v>
      </c>
      <c r="AZ491" s="490" t="s">
        <v>5244</v>
      </c>
      <c r="BA491" s="490" t="s">
        <v>5245</v>
      </c>
      <c r="BB491" s="490" t="s">
        <v>1666</v>
      </c>
      <c r="BC491" s="490" t="s">
        <v>5246</v>
      </c>
      <c r="BD491" s="490" t="s">
        <v>3173</v>
      </c>
      <c r="BE491" s="490" t="s">
        <v>5247</v>
      </c>
      <c r="BF491" s="490" t="s">
        <v>5248</v>
      </c>
      <c r="BG491" s="490" t="s">
        <v>5249</v>
      </c>
      <c r="BH491" s="490" t="s">
        <v>5250</v>
      </c>
      <c r="BI491" s="490" t="s">
        <v>5251</v>
      </c>
      <c r="BJ491" s="490" t="s">
        <v>5252</v>
      </c>
      <c r="BK491" s="437"/>
      <c r="BL491" s="437"/>
      <c r="BM491" s="437"/>
      <c r="BN491" s="437"/>
      <c r="BO491" s="437"/>
      <c r="BP491" s="437"/>
    </row>
    <row r="492" spans="1:68">
      <c r="A492" s="437"/>
      <c r="B492" s="437"/>
      <c r="C492" s="437"/>
      <c r="D492" s="437"/>
      <c r="E492" s="437"/>
      <c r="F492" s="437"/>
      <c r="G492" s="437"/>
      <c r="H492" s="437"/>
      <c r="I492" s="437"/>
      <c r="J492" s="437"/>
      <c r="K492" s="437"/>
      <c r="L492" s="437"/>
      <c r="M492" s="437"/>
      <c r="N492" s="437"/>
      <c r="O492" s="437"/>
      <c r="P492" s="437"/>
      <c r="Q492" s="437"/>
      <c r="R492" s="437"/>
      <c r="S492" s="437"/>
      <c r="T492" s="437"/>
      <c r="U492" s="437"/>
      <c r="V492" s="437"/>
      <c r="W492" s="437"/>
      <c r="X492" s="437"/>
      <c r="Y492" s="437"/>
      <c r="Z492" s="437"/>
      <c r="AA492" s="437"/>
      <c r="AB492" s="437"/>
      <c r="AC492" s="437"/>
      <c r="AD492" s="437"/>
      <c r="AE492" s="437"/>
      <c r="AF492" s="437"/>
      <c r="AG492" s="437"/>
      <c r="AH492" s="437"/>
      <c r="AI492" s="437"/>
      <c r="AJ492" s="437"/>
      <c r="AK492" s="437"/>
      <c r="AL492" s="437"/>
      <c r="AM492" s="437"/>
      <c r="AN492" s="437"/>
      <c r="AO492" s="437"/>
      <c r="AP492" s="437"/>
      <c r="AQ492" s="437"/>
      <c r="AR492" s="437"/>
      <c r="AS492" s="437"/>
      <c r="AT492" s="437"/>
      <c r="AU492" s="437"/>
      <c r="AV492" s="437"/>
      <c r="AW492" s="437"/>
      <c r="AX492" s="436">
        <v>487</v>
      </c>
      <c r="AY492" s="490" t="s">
        <v>5253</v>
      </c>
      <c r="AZ492" s="490" t="s">
        <v>5254</v>
      </c>
      <c r="BA492" s="490" t="s">
        <v>5166</v>
      </c>
      <c r="BB492" s="490" t="s">
        <v>5255</v>
      </c>
      <c r="BC492" s="490" t="s">
        <v>5256</v>
      </c>
      <c r="BD492" s="490" t="s">
        <v>5257</v>
      </c>
      <c r="BE492" s="490" t="s">
        <v>5258</v>
      </c>
      <c r="BF492" s="490" t="s">
        <v>5259</v>
      </c>
      <c r="BG492" s="490" t="s">
        <v>1661</v>
      </c>
      <c r="BH492" s="490" t="s">
        <v>5260</v>
      </c>
      <c r="BI492" s="490" t="s">
        <v>5261</v>
      </c>
      <c r="BJ492" s="490" t="s">
        <v>5262</v>
      </c>
      <c r="BK492" s="437"/>
      <c r="BL492" s="437"/>
      <c r="BM492" s="437"/>
      <c r="BN492" s="437"/>
      <c r="BO492" s="437"/>
      <c r="BP492" s="437"/>
    </row>
    <row r="493" spans="1:68">
      <c r="A493" s="437"/>
      <c r="B493" s="437"/>
      <c r="C493" s="437"/>
      <c r="D493" s="437"/>
      <c r="E493" s="437"/>
      <c r="F493" s="437"/>
      <c r="G493" s="437"/>
      <c r="H493" s="437"/>
      <c r="I493" s="437"/>
      <c r="J493" s="437"/>
      <c r="K493" s="437"/>
      <c r="L493" s="437"/>
      <c r="M493" s="437"/>
      <c r="N493" s="437"/>
      <c r="O493" s="437"/>
      <c r="P493" s="437"/>
      <c r="Q493" s="437"/>
      <c r="R493" s="437"/>
      <c r="S493" s="437"/>
      <c r="T493" s="437"/>
      <c r="U493" s="437"/>
      <c r="V493" s="437"/>
      <c r="W493" s="437"/>
      <c r="X493" s="437"/>
      <c r="Y493" s="437"/>
      <c r="Z493" s="437"/>
      <c r="AA493" s="437"/>
      <c r="AB493" s="437"/>
      <c r="AC493" s="437"/>
      <c r="AD493" s="437"/>
      <c r="AE493" s="437"/>
      <c r="AF493" s="437"/>
      <c r="AG493" s="437"/>
      <c r="AH493" s="437"/>
      <c r="AI493" s="437"/>
      <c r="AJ493" s="437"/>
      <c r="AK493" s="437"/>
      <c r="AL493" s="437"/>
      <c r="AM493" s="437"/>
      <c r="AN493" s="437"/>
      <c r="AO493" s="437"/>
      <c r="AP493" s="437"/>
      <c r="AQ493" s="437"/>
      <c r="AR493" s="437"/>
      <c r="AS493" s="437"/>
      <c r="AT493" s="437"/>
      <c r="AU493" s="437"/>
      <c r="AV493" s="437"/>
      <c r="AW493" s="437"/>
      <c r="AX493" s="436">
        <v>488</v>
      </c>
      <c r="AY493" s="490" t="s">
        <v>5263</v>
      </c>
      <c r="AZ493" s="490" t="s">
        <v>5264</v>
      </c>
      <c r="BA493" s="490" t="s">
        <v>5265</v>
      </c>
      <c r="BB493" s="490" t="s">
        <v>5266</v>
      </c>
      <c r="BC493" s="490" t="s">
        <v>5267</v>
      </c>
      <c r="BD493" s="490" t="s">
        <v>5268</v>
      </c>
      <c r="BE493" s="490" t="s">
        <v>5269</v>
      </c>
      <c r="BF493" s="490" t="s">
        <v>2435</v>
      </c>
      <c r="BG493" s="490" t="s">
        <v>5270</v>
      </c>
      <c r="BH493" s="490" t="s">
        <v>5271</v>
      </c>
      <c r="BI493" s="490" t="s">
        <v>5272</v>
      </c>
      <c r="BJ493" s="490" t="s">
        <v>5173</v>
      </c>
      <c r="BK493" s="437"/>
      <c r="BL493" s="437"/>
      <c r="BM493" s="437"/>
      <c r="BN493" s="437"/>
      <c r="BO493" s="437"/>
      <c r="BP493" s="437"/>
    </row>
    <row r="494" spans="1:68">
      <c r="A494" s="437"/>
      <c r="B494" s="437"/>
      <c r="C494" s="437"/>
      <c r="D494" s="437"/>
      <c r="E494" s="437"/>
      <c r="F494" s="437"/>
      <c r="G494" s="437"/>
      <c r="H494" s="437"/>
      <c r="I494" s="437"/>
      <c r="J494" s="437"/>
      <c r="K494" s="437"/>
      <c r="L494" s="437"/>
      <c r="M494" s="437"/>
      <c r="N494" s="437"/>
      <c r="O494" s="437"/>
      <c r="P494" s="437"/>
      <c r="Q494" s="437"/>
      <c r="R494" s="437"/>
      <c r="S494" s="437"/>
      <c r="T494" s="437"/>
      <c r="U494" s="437"/>
      <c r="V494" s="437"/>
      <c r="W494" s="437"/>
      <c r="X494" s="437"/>
      <c r="Y494" s="437"/>
      <c r="Z494" s="437"/>
      <c r="AA494" s="437"/>
      <c r="AB494" s="437"/>
      <c r="AC494" s="437"/>
      <c r="AD494" s="437"/>
      <c r="AE494" s="437"/>
      <c r="AF494" s="437"/>
      <c r="AG494" s="437"/>
      <c r="AH494" s="437"/>
      <c r="AI494" s="437"/>
      <c r="AJ494" s="437"/>
      <c r="AK494" s="437"/>
      <c r="AL494" s="437"/>
      <c r="AM494" s="437"/>
      <c r="AN494" s="437"/>
      <c r="AO494" s="437"/>
      <c r="AP494" s="437"/>
      <c r="AQ494" s="437"/>
      <c r="AR494" s="437"/>
      <c r="AS494" s="437"/>
      <c r="AT494" s="437"/>
      <c r="AU494" s="437"/>
      <c r="AV494" s="437"/>
      <c r="AW494" s="437"/>
      <c r="AX494" s="436">
        <v>489</v>
      </c>
      <c r="AY494" s="490" t="s">
        <v>5273</v>
      </c>
      <c r="AZ494" s="490" t="s">
        <v>5274</v>
      </c>
      <c r="BA494" s="490" t="s">
        <v>5275</v>
      </c>
      <c r="BB494" s="490" t="s">
        <v>5193</v>
      </c>
      <c r="BC494" s="490" t="s">
        <v>5276</v>
      </c>
      <c r="BD494" s="490" t="s">
        <v>5277</v>
      </c>
      <c r="BE494" s="490" t="s">
        <v>5278</v>
      </c>
      <c r="BF494" s="490" t="s">
        <v>5279</v>
      </c>
      <c r="BG494" s="490" t="s">
        <v>2445</v>
      </c>
      <c r="BH494" s="490" t="s">
        <v>307</v>
      </c>
      <c r="BI494" s="490" t="s">
        <v>5280</v>
      </c>
      <c r="BJ494" s="490" t="s">
        <v>5281</v>
      </c>
      <c r="BK494" s="437"/>
      <c r="BL494" s="437"/>
      <c r="BM494" s="437"/>
      <c r="BN494" s="437"/>
      <c r="BO494" s="437"/>
      <c r="BP494" s="437"/>
    </row>
    <row r="495" spans="1:68">
      <c r="A495" s="437"/>
      <c r="B495" s="437"/>
      <c r="C495" s="437"/>
      <c r="D495" s="437"/>
      <c r="E495" s="437"/>
      <c r="F495" s="437"/>
      <c r="G495" s="437"/>
      <c r="H495" s="437"/>
      <c r="I495" s="437"/>
      <c r="J495" s="437"/>
      <c r="K495" s="437"/>
      <c r="L495" s="437"/>
      <c r="M495" s="437"/>
      <c r="N495" s="437"/>
      <c r="O495" s="437"/>
      <c r="P495" s="437"/>
      <c r="Q495" s="437"/>
      <c r="R495" s="437"/>
      <c r="S495" s="437"/>
      <c r="T495" s="437"/>
      <c r="U495" s="437"/>
      <c r="V495" s="437"/>
      <c r="W495" s="437"/>
      <c r="X495" s="437"/>
      <c r="Y495" s="437"/>
      <c r="Z495" s="437"/>
      <c r="AA495" s="437"/>
      <c r="AB495" s="437"/>
      <c r="AC495" s="437"/>
      <c r="AD495" s="437"/>
      <c r="AE495" s="437"/>
      <c r="AF495" s="437"/>
      <c r="AG495" s="437"/>
      <c r="AH495" s="437"/>
      <c r="AI495" s="437"/>
      <c r="AJ495" s="437"/>
      <c r="AK495" s="437"/>
      <c r="AL495" s="437"/>
      <c r="AM495" s="437"/>
      <c r="AN495" s="437"/>
      <c r="AO495" s="437"/>
      <c r="AP495" s="437"/>
      <c r="AQ495" s="437"/>
      <c r="AR495" s="437"/>
      <c r="AS495" s="437"/>
      <c r="AT495" s="437"/>
      <c r="AU495" s="437"/>
      <c r="AV495" s="437"/>
      <c r="AW495" s="437"/>
      <c r="AX495" s="436">
        <v>490</v>
      </c>
      <c r="AY495" s="490" t="s">
        <v>5282</v>
      </c>
      <c r="AZ495" s="490" t="s">
        <v>5283</v>
      </c>
      <c r="BA495" s="490" t="s">
        <v>299</v>
      </c>
      <c r="BB495" s="490" t="s">
        <v>5202</v>
      </c>
      <c r="BC495" s="490" t="s">
        <v>5284</v>
      </c>
      <c r="BD495" s="490" t="s">
        <v>5285</v>
      </c>
      <c r="BE495" s="490" t="s">
        <v>2435</v>
      </c>
      <c r="BF495" s="490" t="s">
        <v>5286</v>
      </c>
      <c r="BG495" s="490" t="s">
        <v>300</v>
      </c>
      <c r="BH495" s="490" t="s">
        <v>1715</v>
      </c>
      <c r="BI495" s="490" t="s">
        <v>5287</v>
      </c>
      <c r="BJ495" s="490" t="s">
        <v>5288</v>
      </c>
      <c r="BK495" s="437"/>
      <c r="BL495" s="437"/>
      <c r="BM495" s="437"/>
      <c r="BN495" s="437"/>
      <c r="BO495" s="437"/>
      <c r="BP495" s="437"/>
    </row>
    <row r="496" spans="1:68">
      <c r="A496" s="437"/>
      <c r="B496" s="437"/>
      <c r="C496" s="437"/>
      <c r="D496" s="437"/>
      <c r="E496" s="437"/>
      <c r="F496" s="437"/>
      <c r="G496" s="437"/>
      <c r="H496" s="437"/>
      <c r="I496" s="437"/>
      <c r="J496" s="437"/>
      <c r="K496" s="437"/>
      <c r="L496" s="437"/>
      <c r="M496" s="437"/>
      <c r="N496" s="437"/>
      <c r="O496" s="437"/>
      <c r="P496" s="437"/>
      <c r="Q496" s="437"/>
      <c r="R496" s="437"/>
      <c r="S496" s="437"/>
      <c r="T496" s="437"/>
      <c r="U496" s="437"/>
      <c r="V496" s="437"/>
      <c r="W496" s="437"/>
      <c r="X496" s="437"/>
      <c r="Y496" s="437"/>
      <c r="Z496" s="437"/>
      <c r="AA496" s="437"/>
      <c r="AB496" s="437"/>
      <c r="AC496" s="437"/>
      <c r="AD496" s="437"/>
      <c r="AE496" s="437"/>
      <c r="AF496" s="437"/>
      <c r="AG496" s="437"/>
      <c r="AH496" s="437"/>
      <c r="AI496" s="437"/>
      <c r="AJ496" s="437"/>
      <c r="AK496" s="437"/>
      <c r="AL496" s="437"/>
      <c r="AM496" s="437"/>
      <c r="AN496" s="437"/>
      <c r="AO496" s="437"/>
      <c r="AP496" s="437"/>
      <c r="AQ496" s="437"/>
      <c r="AR496" s="437"/>
      <c r="AS496" s="437"/>
      <c r="AT496" s="437"/>
      <c r="AU496" s="437"/>
      <c r="AV496" s="437"/>
      <c r="AW496" s="437"/>
      <c r="AX496" s="436">
        <v>491</v>
      </c>
      <c r="AY496" s="490" t="s">
        <v>5289</v>
      </c>
      <c r="AZ496" s="490" t="s">
        <v>5290</v>
      </c>
      <c r="BA496" s="490" t="s">
        <v>1700</v>
      </c>
      <c r="BB496" s="490" t="s">
        <v>301</v>
      </c>
      <c r="BC496" s="490" t="s">
        <v>5291</v>
      </c>
      <c r="BD496" s="490" t="s">
        <v>5292</v>
      </c>
      <c r="BE496" s="490" t="s">
        <v>5293</v>
      </c>
      <c r="BF496" s="490" t="s">
        <v>1026</v>
      </c>
      <c r="BG496" s="490" t="s">
        <v>5294</v>
      </c>
      <c r="BH496" s="490" t="s">
        <v>5215</v>
      </c>
      <c r="BI496" s="490" t="s">
        <v>5295</v>
      </c>
      <c r="BJ496" s="490" t="s">
        <v>5296</v>
      </c>
      <c r="BK496" s="437"/>
      <c r="BL496" s="437"/>
      <c r="BM496" s="437"/>
      <c r="BN496" s="437"/>
      <c r="BO496" s="437"/>
      <c r="BP496" s="437"/>
    </row>
    <row r="497" spans="1:68">
      <c r="A497" s="437"/>
      <c r="B497" s="437"/>
      <c r="C497" s="437"/>
      <c r="D497" s="437"/>
      <c r="E497" s="437"/>
      <c r="F497" s="437"/>
      <c r="G497" s="437"/>
      <c r="H497" s="437"/>
      <c r="I497" s="437"/>
      <c r="J497" s="437"/>
      <c r="K497" s="437"/>
      <c r="L497" s="437"/>
      <c r="M497" s="437"/>
      <c r="N497" s="437"/>
      <c r="O497" s="437"/>
      <c r="P497" s="437"/>
      <c r="Q497" s="437"/>
      <c r="R497" s="437"/>
      <c r="S497" s="437"/>
      <c r="T497" s="437"/>
      <c r="U497" s="437"/>
      <c r="V497" s="437"/>
      <c r="W497" s="437"/>
      <c r="X497" s="437"/>
      <c r="Y497" s="437"/>
      <c r="Z497" s="437"/>
      <c r="AA497" s="437"/>
      <c r="AB497" s="437"/>
      <c r="AC497" s="437"/>
      <c r="AD497" s="437"/>
      <c r="AE497" s="437"/>
      <c r="AF497" s="437"/>
      <c r="AG497" s="437"/>
      <c r="AH497" s="437"/>
      <c r="AI497" s="437"/>
      <c r="AJ497" s="437"/>
      <c r="AK497" s="437"/>
      <c r="AL497" s="437"/>
      <c r="AM497" s="437"/>
      <c r="AN497" s="437"/>
      <c r="AO497" s="437"/>
      <c r="AP497" s="437"/>
      <c r="AQ497" s="437"/>
      <c r="AR497" s="437"/>
      <c r="AS497" s="437"/>
      <c r="AT497" s="437"/>
      <c r="AU497" s="437"/>
      <c r="AV497" s="437"/>
      <c r="AW497" s="437"/>
      <c r="AX497" s="436">
        <v>492</v>
      </c>
      <c r="AY497" s="490" t="s">
        <v>5283</v>
      </c>
      <c r="AZ497" s="490" t="s">
        <v>5297</v>
      </c>
      <c r="BA497" s="490" t="s">
        <v>1711</v>
      </c>
      <c r="BB497" s="490" t="s">
        <v>5298</v>
      </c>
      <c r="BC497" s="490" t="s">
        <v>5299</v>
      </c>
      <c r="BD497" s="490" t="s">
        <v>5300</v>
      </c>
      <c r="BE497" s="490" t="s">
        <v>5301</v>
      </c>
      <c r="BF497" s="490" t="s">
        <v>5302</v>
      </c>
      <c r="BG497" s="490" t="s">
        <v>1036</v>
      </c>
      <c r="BH497" s="490" t="s">
        <v>5303</v>
      </c>
      <c r="BI497" s="490" t="s">
        <v>5304</v>
      </c>
      <c r="BJ497" s="490" t="s">
        <v>2363</v>
      </c>
      <c r="BK497" s="437"/>
      <c r="BL497" s="437"/>
      <c r="BM497" s="437"/>
      <c r="BN497" s="437"/>
      <c r="BO497" s="437"/>
      <c r="BP497" s="437"/>
    </row>
    <row r="498" spans="1:68">
      <c r="A498" s="437"/>
      <c r="B498" s="437"/>
      <c r="C498" s="437"/>
      <c r="D498" s="437"/>
      <c r="E498" s="437"/>
      <c r="F498" s="437"/>
      <c r="G498" s="437"/>
      <c r="H498" s="437"/>
      <c r="I498" s="437"/>
      <c r="J498" s="437"/>
      <c r="K498" s="437"/>
      <c r="L498" s="437"/>
      <c r="M498" s="437"/>
      <c r="N498" s="437"/>
      <c r="O498" s="437"/>
      <c r="P498" s="437"/>
      <c r="Q498" s="437"/>
      <c r="R498" s="437"/>
      <c r="S498" s="437"/>
      <c r="T498" s="437"/>
      <c r="U498" s="437"/>
      <c r="V498" s="437"/>
      <c r="W498" s="437"/>
      <c r="X498" s="437"/>
      <c r="Y498" s="437"/>
      <c r="Z498" s="437"/>
      <c r="AA498" s="437"/>
      <c r="AB498" s="437"/>
      <c r="AC498" s="437"/>
      <c r="AD498" s="437"/>
      <c r="AE498" s="437"/>
      <c r="AF498" s="437"/>
      <c r="AG498" s="437"/>
      <c r="AH498" s="437"/>
      <c r="AI498" s="437"/>
      <c r="AJ498" s="437"/>
      <c r="AK498" s="437"/>
      <c r="AL498" s="437"/>
      <c r="AM498" s="437"/>
      <c r="AN498" s="437"/>
      <c r="AO498" s="437"/>
      <c r="AP498" s="437"/>
      <c r="AQ498" s="437"/>
      <c r="AR498" s="437"/>
      <c r="AS498" s="437"/>
      <c r="AT498" s="437"/>
      <c r="AU498" s="437"/>
      <c r="AV498" s="437"/>
      <c r="AW498" s="437"/>
      <c r="AX498" s="436">
        <v>493</v>
      </c>
      <c r="AY498" s="490" t="s">
        <v>5290</v>
      </c>
      <c r="AZ498" s="490" t="s">
        <v>5305</v>
      </c>
      <c r="BA498" s="490" t="s">
        <v>5297</v>
      </c>
      <c r="BB498" s="490" t="s">
        <v>5306</v>
      </c>
      <c r="BC498" s="490" t="s">
        <v>5307</v>
      </c>
      <c r="BD498" s="490" t="s">
        <v>5308</v>
      </c>
      <c r="BE498" s="490" t="s">
        <v>1045</v>
      </c>
      <c r="BF498" s="490" t="s">
        <v>5309</v>
      </c>
      <c r="BG498" s="490" t="s">
        <v>5310</v>
      </c>
      <c r="BH498" s="490" t="s">
        <v>5311</v>
      </c>
      <c r="BI498" s="490" t="s">
        <v>5312</v>
      </c>
      <c r="BJ498" s="490" t="s">
        <v>5313</v>
      </c>
      <c r="BK498" s="437"/>
      <c r="BL498" s="437"/>
      <c r="BM498" s="437"/>
      <c r="BN498" s="437"/>
      <c r="BO498" s="437"/>
      <c r="BP498" s="437"/>
    </row>
    <row r="499" spans="1:68">
      <c r="A499" s="437"/>
      <c r="B499" s="437"/>
      <c r="C499" s="437"/>
      <c r="D499" s="437"/>
      <c r="E499" s="437"/>
      <c r="F499" s="437"/>
      <c r="G499" s="437"/>
      <c r="H499" s="437"/>
      <c r="I499" s="437"/>
      <c r="J499" s="437"/>
      <c r="K499" s="437"/>
      <c r="L499" s="437"/>
      <c r="M499" s="437"/>
      <c r="N499" s="437"/>
      <c r="O499" s="437"/>
      <c r="P499" s="437"/>
      <c r="Q499" s="437"/>
      <c r="R499" s="437"/>
      <c r="S499" s="437"/>
      <c r="T499" s="437"/>
      <c r="U499" s="437"/>
      <c r="V499" s="437"/>
      <c r="W499" s="437"/>
      <c r="X499" s="437"/>
      <c r="Y499" s="437"/>
      <c r="Z499" s="437"/>
      <c r="AA499" s="437"/>
      <c r="AB499" s="437"/>
      <c r="AC499" s="437"/>
      <c r="AD499" s="437"/>
      <c r="AE499" s="437"/>
      <c r="AF499" s="437"/>
      <c r="AG499" s="437"/>
      <c r="AH499" s="437"/>
      <c r="AI499" s="437"/>
      <c r="AJ499" s="437"/>
      <c r="AK499" s="437"/>
      <c r="AL499" s="437"/>
      <c r="AM499" s="437"/>
      <c r="AN499" s="437"/>
      <c r="AO499" s="437"/>
      <c r="AP499" s="437"/>
      <c r="AQ499" s="437"/>
      <c r="AR499" s="437"/>
      <c r="AS499" s="437"/>
      <c r="AT499" s="437"/>
      <c r="AU499" s="437"/>
      <c r="AV499" s="437"/>
      <c r="AW499" s="437"/>
      <c r="AX499" s="436">
        <v>494</v>
      </c>
      <c r="AY499" s="490" t="s">
        <v>5314</v>
      </c>
      <c r="AZ499" s="490" t="s">
        <v>5315</v>
      </c>
      <c r="BA499" s="490" t="s">
        <v>5316</v>
      </c>
      <c r="BB499" s="490" t="s">
        <v>297</v>
      </c>
      <c r="BC499" s="490" t="s">
        <v>5317</v>
      </c>
      <c r="BD499" s="490" t="s">
        <v>2543</v>
      </c>
      <c r="BE499" s="490" t="s">
        <v>5318</v>
      </c>
      <c r="BF499" s="490" t="s">
        <v>5319</v>
      </c>
      <c r="BG499" s="490" t="s">
        <v>5320</v>
      </c>
      <c r="BH499" s="490" t="s">
        <v>5240</v>
      </c>
      <c r="BI499" s="490" t="s">
        <v>5321</v>
      </c>
      <c r="BJ499" s="490" t="s">
        <v>5322</v>
      </c>
      <c r="BK499" s="437"/>
      <c r="BL499" s="437"/>
      <c r="BM499" s="437"/>
      <c r="BN499" s="437"/>
      <c r="BO499" s="437"/>
      <c r="BP499" s="437"/>
    </row>
    <row r="500" spans="1:68">
      <c r="A500" s="437"/>
      <c r="B500" s="437"/>
      <c r="C500" s="437"/>
      <c r="D500" s="437"/>
      <c r="E500" s="437"/>
      <c r="F500" s="437"/>
      <c r="G500" s="437"/>
      <c r="H500" s="437"/>
      <c r="I500" s="437"/>
      <c r="J500" s="437"/>
      <c r="K500" s="437"/>
      <c r="L500" s="437"/>
      <c r="M500" s="437"/>
      <c r="N500" s="437"/>
      <c r="O500" s="437"/>
      <c r="P500" s="437"/>
      <c r="Q500" s="437"/>
      <c r="R500" s="437"/>
      <c r="S500" s="437"/>
      <c r="T500" s="437"/>
      <c r="U500" s="437"/>
      <c r="V500" s="437"/>
      <c r="W500" s="437"/>
      <c r="X500" s="437"/>
      <c r="Y500" s="437"/>
      <c r="Z500" s="437"/>
      <c r="AA500" s="437"/>
      <c r="AB500" s="437"/>
      <c r="AC500" s="437"/>
      <c r="AD500" s="437"/>
      <c r="AE500" s="437"/>
      <c r="AF500" s="437"/>
      <c r="AG500" s="437"/>
      <c r="AH500" s="437"/>
      <c r="AI500" s="437"/>
      <c r="AJ500" s="437"/>
      <c r="AK500" s="437"/>
      <c r="AL500" s="437"/>
      <c r="AM500" s="437"/>
      <c r="AN500" s="437"/>
      <c r="AO500" s="437"/>
      <c r="AP500" s="437"/>
      <c r="AQ500" s="437"/>
      <c r="AR500" s="437"/>
      <c r="AS500" s="437"/>
      <c r="AT500" s="437"/>
      <c r="AU500" s="437"/>
      <c r="AV500" s="437"/>
      <c r="AW500" s="437"/>
      <c r="AX500" s="436">
        <v>495</v>
      </c>
      <c r="AY500" s="490" t="s">
        <v>5323</v>
      </c>
      <c r="AZ500" s="490" t="s">
        <v>5324</v>
      </c>
      <c r="BA500" s="490" t="s">
        <v>302</v>
      </c>
      <c r="BB500" s="490" t="s">
        <v>5325</v>
      </c>
      <c r="BC500" s="490" t="s">
        <v>5326</v>
      </c>
      <c r="BD500" s="490" t="s">
        <v>3264</v>
      </c>
      <c r="BE500" s="490" t="s">
        <v>5309</v>
      </c>
      <c r="BF500" s="490" t="s">
        <v>5327</v>
      </c>
      <c r="BG500" s="490" t="s">
        <v>2506</v>
      </c>
      <c r="BH500" s="490" t="s">
        <v>5328</v>
      </c>
      <c r="BI500" s="490" t="s">
        <v>3288</v>
      </c>
      <c r="BJ500" s="490" t="s">
        <v>5329</v>
      </c>
      <c r="BK500" s="437"/>
      <c r="BL500" s="437"/>
      <c r="BM500" s="437"/>
      <c r="BN500" s="437"/>
      <c r="BO500" s="437"/>
      <c r="BP500" s="437"/>
    </row>
    <row r="501" spans="1:68">
      <c r="A501" s="437"/>
      <c r="B501" s="437"/>
      <c r="C501" s="437"/>
      <c r="D501" s="437"/>
      <c r="E501" s="437"/>
      <c r="F501" s="437"/>
      <c r="G501" s="437"/>
      <c r="H501" s="437"/>
      <c r="I501" s="437"/>
      <c r="J501" s="437"/>
      <c r="K501" s="437"/>
      <c r="L501" s="437"/>
      <c r="M501" s="437"/>
      <c r="N501" s="437"/>
      <c r="O501" s="437"/>
      <c r="P501" s="437"/>
      <c r="Q501" s="437"/>
      <c r="R501" s="437"/>
      <c r="S501" s="437"/>
      <c r="T501" s="437"/>
      <c r="U501" s="437"/>
      <c r="V501" s="437"/>
      <c r="W501" s="437"/>
      <c r="X501" s="437"/>
      <c r="Y501" s="437"/>
      <c r="Z501" s="437"/>
      <c r="AA501" s="437"/>
      <c r="AB501" s="437"/>
      <c r="AC501" s="437"/>
      <c r="AD501" s="437"/>
      <c r="AE501" s="437"/>
      <c r="AF501" s="437"/>
      <c r="AG501" s="437"/>
      <c r="AH501" s="437"/>
      <c r="AI501" s="437"/>
      <c r="AJ501" s="437"/>
      <c r="AK501" s="437"/>
      <c r="AL501" s="437"/>
      <c r="AM501" s="437"/>
      <c r="AN501" s="437"/>
      <c r="AO501" s="437"/>
      <c r="AP501" s="437"/>
      <c r="AQ501" s="437"/>
      <c r="AR501" s="437"/>
      <c r="AS501" s="437"/>
      <c r="AT501" s="437"/>
      <c r="AU501" s="437"/>
      <c r="AV501" s="437"/>
      <c r="AW501" s="437"/>
      <c r="AX501" s="436">
        <v>496</v>
      </c>
      <c r="AY501" s="490" t="s">
        <v>5330</v>
      </c>
      <c r="AZ501" s="490" t="s">
        <v>5331</v>
      </c>
      <c r="BA501" s="490" t="s">
        <v>5332</v>
      </c>
      <c r="BB501" s="490" t="s">
        <v>5333</v>
      </c>
      <c r="BC501" s="490" t="s">
        <v>5334</v>
      </c>
      <c r="BD501" s="490" t="s">
        <v>5335</v>
      </c>
      <c r="BE501" s="490" t="s">
        <v>5319</v>
      </c>
      <c r="BF501" s="490" t="s">
        <v>5336</v>
      </c>
      <c r="BG501" s="490" t="s">
        <v>312</v>
      </c>
      <c r="BH501" s="490" t="s">
        <v>5337</v>
      </c>
      <c r="BI501" s="490" t="s">
        <v>5338</v>
      </c>
      <c r="BJ501" s="490" t="s">
        <v>5241</v>
      </c>
      <c r="BK501" s="437"/>
      <c r="BL501" s="437"/>
      <c r="BM501" s="437"/>
      <c r="BN501" s="437"/>
      <c r="BO501" s="437"/>
      <c r="BP501" s="437"/>
    </row>
    <row r="502" spans="1:68">
      <c r="A502" s="437"/>
      <c r="B502" s="437"/>
      <c r="C502" s="437"/>
      <c r="D502" s="437"/>
      <c r="E502" s="437"/>
      <c r="F502" s="437"/>
      <c r="G502" s="437"/>
      <c r="H502" s="437"/>
      <c r="I502" s="437"/>
      <c r="J502" s="437"/>
      <c r="K502" s="437"/>
      <c r="L502" s="437"/>
      <c r="M502" s="437"/>
      <c r="N502" s="437"/>
      <c r="O502" s="437"/>
      <c r="P502" s="437"/>
      <c r="Q502" s="437"/>
      <c r="R502" s="437"/>
      <c r="S502" s="437"/>
      <c r="T502" s="437"/>
      <c r="U502" s="437"/>
      <c r="V502" s="437"/>
      <c r="W502" s="437"/>
      <c r="X502" s="437"/>
      <c r="Y502" s="437"/>
      <c r="Z502" s="437"/>
      <c r="AA502" s="437"/>
      <c r="AB502" s="437"/>
      <c r="AC502" s="437"/>
      <c r="AD502" s="437"/>
      <c r="AE502" s="437"/>
      <c r="AF502" s="437"/>
      <c r="AG502" s="437"/>
      <c r="AH502" s="437"/>
      <c r="AI502" s="437"/>
      <c r="AJ502" s="437"/>
      <c r="AK502" s="437"/>
      <c r="AL502" s="437"/>
      <c r="AM502" s="437"/>
      <c r="AN502" s="437"/>
      <c r="AO502" s="437"/>
      <c r="AP502" s="437"/>
      <c r="AQ502" s="437"/>
      <c r="AR502" s="437"/>
      <c r="AS502" s="437"/>
      <c r="AT502" s="437"/>
      <c r="AU502" s="437"/>
      <c r="AV502" s="437"/>
      <c r="AW502" s="437"/>
      <c r="AX502" s="436">
        <v>497</v>
      </c>
      <c r="AY502" s="490" t="s">
        <v>5339</v>
      </c>
      <c r="AZ502" s="490" t="s">
        <v>5340</v>
      </c>
      <c r="BA502" s="490" t="s">
        <v>5341</v>
      </c>
      <c r="BB502" s="490" t="s">
        <v>5342</v>
      </c>
      <c r="BC502" s="490" t="s">
        <v>5343</v>
      </c>
      <c r="BD502" s="490" t="s">
        <v>5344</v>
      </c>
      <c r="BE502" s="490" t="s">
        <v>5345</v>
      </c>
      <c r="BF502" s="490" t="s">
        <v>5346</v>
      </c>
      <c r="BG502" s="490" t="s">
        <v>5347</v>
      </c>
      <c r="BH502" s="490" t="s">
        <v>5348</v>
      </c>
      <c r="BI502" s="490" t="s">
        <v>5349</v>
      </c>
      <c r="BJ502" s="490" t="s">
        <v>5350</v>
      </c>
      <c r="BK502" s="437"/>
      <c r="BL502" s="437"/>
      <c r="BM502" s="437"/>
      <c r="BN502" s="437"/>
      <c r="BO502" s="437"/>
      <c r="BP502" s="437"/>
    </row>
    <row r="503" spans="1:68">
      <c r="A503" s="437"/>
      <c r="B503" s="437"/>
      <c r="C503" s="437"/>
      <c r="D503" s="437"/>
      <c r="E503" s="437"/>
      <c r="F503" s="437"/>
      <c r="G503" s="437"/>
      <c r="H503" s="437"/>
      <c r="I503" s="437"/>
      <c r="J503" s="437"/>
      <c r="K503" s="437"/>
      <c r="L503" s="437"/>
      <c r="M503" s="437"/>
      <c r="N503" s="437"/>
      <c r="O503" s="437"/>
      <c r="P503" s="437"/>
      <c r="Q503" s="437"/>
      <c r="R503" s="437"/>
      <c r="S503" s="437"/>
      <c r="T503" s="437"/>
      <c r="U503" s="437"/>
      <c r="V503" s="437"/>
      <c r="W503" s="437"/>
      <c r="X503" s="437"/>
      <c r="Y503" s="437"/>
      <c r="Z503" s="437"/>
      <c r="AA503" s="437"/>
      <c r="AB503" s="437"/>
      <c r="AC503" s="437"/>
      <c r="AD503" s="437"/>
      <c r="AE503" s="437"/>
      <c r="AF503" s="437"/>
      <c r="AG503" s="437"/>
      <c r="AH503" s="437"/>
      <c r="AI503" s="437"/>
      <c r="AJ503" s="437"/>
      <c r="AK503" s="437"/>
      <c r="AL503" s="437"/>
      <c r="AM503" s="437"/>
      <c r="AN503" s="437"/>
      <c r="AO503" s="437"/>
      <c r="AP503" s="437"/>
      <c r="AQ503" s="437"/>
      <c r="AR503" s="437"/>
      <c r="AS503" s="437"/>
      <c r="AT503" s="437"/>
      <c r="AU503" s="437"/>
      <c r="AV503" s="437"/>
      <c r="AW503" s="437"/>
      <c r="AX503" s="436">
        <v>498</v>
      </c>
      <c r="AY503" s="490" t="s">
        <v>5351</v>
      </c>
      <c r="AZ503" s="490" t="s">
        <v>5352</v>
      </c>
      <c r="BA503" s="490" t="s">
        <v>5353</v>
      </c>
      <c r="BB503" s="490" t="s">
        <v>5354</v>
      </c>
      <c r="BC503" s="490" t="s">
        <v>5355</v>
      </c>
      <c r="BD503" s="490" t="s">
        <v>5356</v>
      </c>
      <c r="BE503" s="490" t="s">
        <v>5336</v>
      </c>
      <c r="BF503" s="490" t="s">
        <v>5357</v>
      </c>
      <c r="BG503" s="490" t="s">
        <v>5358</v>
      </c>
      <c r="BH503" s="490" t="s">
        <v>2536</v>
      </c>
      <c r="BI503" s="490" t="s">
        <v>5359</v>
      </c>
      <c r="BJ503" s="490" t="s">
        <v>5360</v>
      </c>
      <c r="BK503" s="437"/>
      <c r="BL503" s="437"/>
      <c r="BM503" s="437"/>
      <c r="BN503" s="437"/>
      <c r="BO503" s="437"/>
      <c r="BP503" s="437"/>
    </row>
    <row r="504" spans="1:68">
      <c r="A504" s="437"/>
      <c r="B504" s="437"/>
      <c r="C504" s="437"/>
      <c r="D504" s="437"/>
      <c r="E504" s="437"/>
      <c r="F504" s="437"/>
      <c r="G504" s="437"/>
      <c r="H504" s="437"/>
      <c r="I504" s="437"/>
      <c r="J504" s="437"/>
      <c r="K504" s="437"/>
      <c r="L504" s="437"/>
      <c r="M504" s="437"/>
      <c r="N504" s="437"/>
      <c r="O504" s="437"/>
      <c r="P504" s="437"/>
      <c r="Q504" s="437"/>
      <c r="R504" s="437"/>
      <c r="S504" s="437"/>
      <c r="T504" s="437"/>
      <c r="U504" s="437"/>
      <c r="V504" s="437"/>
      <c r="W504" s="437"/>
      <c r="X504" s="437"/>
      <c r="Y504" s="437"/>
      <c r="Z504" s="437"/>
      <c r="AA504" s="437"/>
      <c r="AB504" s="437"/>
      <c r="AC504" s="437"/>
      <c r="AD504" s="437"/>
      <c r="AE504" s="437"/>
      <c r="AF504" s="437"/>
      <c r="AG504" s="437"/>
      <c r="AH504" s="437"/>
      <c r="AI504" s="437"/>
      <c r="AJ504" s="437"/>
      <c r="AK504" s="437"/>
      <c r="AL504" s="437"/>
      <c r="AM504" s="437"/>
      <c r="AN504" s="437"/>
      <c r="AO504" s="437"/>
      <c r="AP504" s="437"/>
      <c r="AQ504" s="437"/>
      <c r="AR504" s="437"/>
      <c r="AS504" s="437"/>
      <c r="AT504" s="437"/>
      <c r="AU504" s="437"/>
      <c r="AV504" s="437"/>
      <c r="AW504" s="437"/>
      <c r="AX504" s="436">
        <v>499</v>
      </c>
      <c r="AY504" s="490" t="s">
        <v>5361</v>
      </c>
      <c r="AZ504" s="490" t="s">
        <v>5362</v>
      </c>
      <c r="BA504" s="490" t="s">
        <v>5363</v>
      </c>
      <c r="BB504" s="490" t="s">
        <v>303</v>
      </c>
      <c r="BC504" s="490" t="s">
        <v>5364</v>
      </c>
      <c r="BD504" s="490" t="s">
        <v>5365</v>
      </c>
      <c r="BE504" s="490" t="s">
        <v>5346</v>
      </c>
      <c r="BF504" s="490" t="s">
        <v>5366</v>
      </c>
      <c r="BG504" s="490" t="s">
        <v>403</v>
      </c>
      <c r="BH504" s="490" t="s">
        <v>1813</v>
      </c>
      <c r="BI504" s="490" t="s">
        <v>5367</v>
      </c>
      <c r="BJ504" s="490" t="s">
        <v>5368</v>
      </c>
      <c r="BK504" s="437"/>
      <c r="BL504" s="437"/>
      <c r="BM504" s="437"/>
      <c r="BN504" s="437"/>
      <c r="BO504" s="437"/>
      <c r="BP504" s="437"/>
    </row>
    <row r="505" spans="1:68">
      <c r="A505" s="437"/>
      <c r="B505" s="437"/>
      <c r="C505" s="437"/>
      <c r="D505" s="437"/>
      <c r="E505" s="437"/>
      <c r="F505" s="437"/>
      <c r="G505" s="437"/>
      <c r="H505" s="437"/>
      <c r="I505" s="437"/>
      <c r="J505" s="437"/>
      <c r="K505" s="437"/>
      <c r="L505" s="437"/>
      <c r="M505" s="437"/>
      <c r="N505" s="437"/>
      <c r="O505" s="437"/>
      <c r="P505" s="437"/>
      <c r="Q505" s="437"/>
      <c r="R505" s="437"/>
      <c r="S505" s="437"/>
      <c r="T505" s="437"/>
      <c r="U505" s="437"/>
      <c r="V505" s="437"/>
      <c r="W505" s="437"/>
      <c r="X505" s="437"/>
      <c r="Y505" s="437"/>
      <c r="Z505" s="437"/>
      <c r="AA505" s="437"/>
      <c r="AB505" s="437"/>
      <c r="AC505" s="437"/>
      <c r="AD505" s="437"/>
      <c r="AE505" s="437"/>
      <c r="AF505" s="437"/>
      <c r="AG505" s="437"/>
      <c r="AH505" s="437"/>
      <c r="AI505" s="437"/>
      <c r="AJ505" s="437"/>
      <c r="AK505" s="437"/>
      <c r="AL505" s="437"/>
      <c r="AM505" s="437"/>
      <c r="AN505" s="437"/>
      <c r="AO505" s="437"/>
      <c r="AP505" s="437"/>
      <c r="AQ505" s="437"/>
      <c r="AR505" s="437"/>
      <c r="AS505" s="437"/>
      <c r="AT505" s="437"/>
      <c r="AU505" s="437"/>
      <c r="AV505" s="437"/>
      <c r="AW505" s="437"/>
      <c r="AX505" s="436">
        <v>500</v>
      </c>
      <c r="AY505" s="490" t="s">
        <v>5369</v>
      </c>
      <c r="AZ505" s="490" t="s">
        <v>5370</v>
      </c>
      <c r="BA505" s="490" t="s">
        <v>304</v>
      </c>
      <c r="BB505" s="490" t="s">
        <v>5371</v>
      </c>
      <c r="BC505" s="490" t="s">
        <v>5372</v>
      </c>
      <c r="BD505" s="490" t="s">
        <v>5373</v>
      </c>
      <c r="BE505" s="490" t="s">
        <v>5374</v>
      </c>
      <c r="BF505" s="490" t="s">
        <v>5375</v>
      </c>
      <c r="BG505" s="490" t="s">
        <v>5376</v>
      </c>
      <c r="BH505" s="490" t="s">
        <v>5377</v>
      </c>
      <c r="BI505" s="490" t="s">
        <v>5378</v>
      </c>
      <c r="BJ505" s="490" t="s">
        <v>5379</v>
      </c>
      <c r="BK505" s="437"/>
      <c r="BL505" s="437"/>
      <c r="BM505" s="437"/>
      <c r="BN505" s="437"/>
      <c r="BO505" s="437"/>
      <c r="BP505" s="437"/>
    </row>
    <row r="506" spans="1:68">
      <c r="A506" s="437"/>
      <c r="B506" s="437"/>
      <c r="C506" s="437"/>
      <c r="D506" s="437"/>
      <c r="E506" s="437"/>
      <c r="F506" s="437"/>
      <c r="G506" s="437"/>
      <c r="H506" s="437"/>
      <c r="I506" s="437"/>
      <c r="J506" s="437"/>
      <c r="K506" s="437"/>
      <c r="L506" s="437"/>
      <c r="M506" s="437"/>
      <c r="N506" s="437"/>
      <c r="O506" s="437"/>
      <c r="P506" s="437"/>
      <c r="Q506" s="437"/>
      <c r="R506" s="437"/>
      <c r="S506" s="437"/>
      <c r="T506" s="437"/>
      <c r="U506" s="437"/>
      <c r="V506" s="437"/>
      <c r="W506" s="437"/>
      <c r="X506" s="437"/>
      <c r="Y506" s="437"/>
      <c r="Z506" s="437"/>
      <c r="AA506" s="437"/>
      <c r="AB506" s="437"/>
      <c r="AC506" s="437"/>
      <c r="AD506" s="437"/>
      <c r="AE506" s="437"/>
      <c r="AF506" s="437"/>
      <c r="AG506" s="437"/>
      <c r="AH506" s="437"/>
      <c r="AI506" s="437"/>
      <c r="AJ506" s="437"/>
      <c r="AK506" s="437"/>
      <c r="AL506" s="437"/>
      <c r="AM506" s="437"/>
      <c r="AN506" s="437"/>
      <c r="AO506" s="437"/>
      <c r="AP506" s="437"/>
      <c r="AQ506" s="437"/>
      <c r="AR506" s="437"/>
      <c r="AS506" s="437"/>
      <c r="AT506" s="437"/>
      <c r="AU506" s="437"/>
      <c r="AV506" s="437"/>
      <c r="AW506" s="437"/>
      <c r="AX506" s="436">
        <v>501</v>
      </c>
      <c r="AY506" s="490" t="s">
        <v>5380</v>
      </c>
      <c r="AZ506" s="490" t="s">
        <v>5381</v>
      </c>
      <c r="BA506" s="490" t="s">
        <v>5382</v>
      </c>
      <c r="BB506" s="490" t="s">
        <v>1831</v>
      </c>
      <c r="BC506" s="490" t="s">
        <v>5383</v>
      </c>
      <c r="BD506" s="490" t="s">
        <v>5384</v>
      </c>
      <c r="BE506" s="490" t="s">
        <v>5366</v>
      </c>
      <c r="BF506" s="490" t="s">
        <v>5385</v>
      </c>
      <c r="BG506" s="490" t="s">
        <v>5386</v>
      </c>
      <c r="BH506" s="490" t="s">
        <v>1134</v>
      </c>
      <c r="BI506" s="490" t="s">
        <v>5387</v>
      </c>
      <c r="BJ506" s="490" t="s">
        <v>5388</v>
      </c>
      <c r="BK506" s="437"/>
      <c r="BL506" s="437"/>
      <c r="BM506" s="437"/>
      <c r="BN506" s="437"/>
      <c r="BO506" s="437"/>
      <c r="BP506" s="437"/>
    </row>
    <row r="507" spans="1:68">
      <c r="A507" s="437"/>
      <c r="B507" s="437"/>
      <c r="C507" s="437"/>
      <c r="D507" s="437"/>
      <c r="E507" s="437"/>
      <c r="F507" s="437"/>
      <c r="G507" s="437"/>
      <c r="H507" s="437"/>
      <c r="I507" s="437"/>
      <c r="J507" s="437"/>
      <c r="K507" s="437"/>
      <c r="L507" s="437"/>
      <c r="M507" s="437"/>
      <c r="N507" s="437"/>
      <c r="O507" s="437"/>
      <c r="P507" s="437"/>
      <c r="Q507" s="437"/>
      <c r="R507" s="437"/>
      <c r="S507" s="437"/>
      <c r="T507" s="437"/>
      <c r="U507" s="437"/>
      <c r="V507" s="437"/>
      <c r="W507" s="437"/>
      <c r="X507" s="437"/>
      <c r="Y507" s="437"/>
      <c r="Z507" s="437"/>
      <c r="AA507" s="437"/>
      <c r="AB507" s="437"/>
      <c r="AC507" s="437"/>
      <c r="AD507" s="437"/>
      <c r="AE507" s="437"/>
      <c r="AF507" s="437"/>
      <c r="AG507" s="437"/>
      <c r="AH507" s="437"/>
      <c r="AI507" s="437"/>
      <c r="AJ507" s="437"/>
      <c r="AK507" s="437"/>
      <c r="AL507" s="437"/>
      <c r="AM507" s="437"/>
      <c r="AN507" s="437"/>
      <c r="AO507" s="437"/>
      <c r="AP507" s="437"/>
      <c r="AQ507" s="437"/>
      <c r="AR507" s="437"/>
      <c r="AS507" s="437"/>
      <c r="AT507" s="437"/>
      <c r="AU507" s="437"/>
      <c r="AV507" s="437"/>
      <c r="AW507" s="437"/>
      <c r="AX507" s="436">
        <v>502</v>
      </c>
      <c r="AY507" s="490" t="s">
        <v>5389</v>
      </c>
      <c r="AZ507" s="490" t="s">
        <v>5390</v>
      </c>
      <c r="BA507" s="490" t="s">
        <v>5381</v>
      </c>
      <c r="BB507" s="490" t="s">
        <v>5391</v>
      </c>
      <c r="BC507" s="490" t="s">
        <v>5392</v>
      </c>
      <c r="BD507" s="490" t="s">
        <v>5393</v>
      </c>
      <c r="BE507" s="490" t="s">
        <v>5375</v>
      </c>
      <c r="BF507" s="490" t="s">
        <v>5394</v>
      </c>
      <c r="BG507" s="490" t="s">
        <v>2578</v>
      </c>
      <c r="BH507" s="490" t="s">
        <v>5395</v>
      </c>
      <c r="BI507" s="490" t="s">
        <v>5396</v>
      </c>
      <c r="BJ507" s="490" t="s">
        <v>5397</v>
      </c>
      <c r="BK507" s="437"/>
      <c r="BL507" s="437"/>
      <c r="BM507" s="437"/>
      <c r="BN507" s="437"/>
      <c r="BO507" s="437"/>
      <c r="BP507" s="437"/>
    </row>
    <row r="508" spans="1:68">
      <c r="A508" s="437"/>
      <c r="B508" s="437"/>
      <c r="C508" s="437"/>
      <c r="D508" s="437"/>
      <c r="E508" s="437"/>
      <c r="F508" s="437"/>
      <c r="G508" s="437"/>
      <c r="H508" s="437"/>
      <c r="I508" s="437"/>
      <c r="J508" s="437"/>
      <c r="K508" s="437"/>
      <c r="L508" s="437"/>
      <c r="M508" s="437"/>
      <c r="N508" s="437"/>
      <c r="O508" s="437"/>
      <c r="P508" s="437"/>
      <c r="Q508" s="437"/>
      <c r="R508" s="437"/>
      <c r="S508" s="437"/>
      <c r="T508" s="437"/>
      <c r="U508" s="437"/>
      <c r="V508" s="437"/>
      <c r="W508" s="437"/>
      <c r="X508" s="437"/>
      <c r="Y508" s="437"/>
      <c r="Z508" s="437"/>
      <c r="AA508" s="437"/>
      <c r="AB508" s="437"/>
      <c r="AC508" s="437"/>
      <c r="AD508" s="437"/>
      <c r="AE508" s="437"/>
      <c r="AF508" s="437"/>
      <c r="AG508" s="437"/>
      <c r="AH508" s="437"/>
      <c r="AI508" s="437"/>
      <c r="AJ508" s="437"/>
      <c r="AK508" s="437"/>
      <c r="AL508" s="437"/>
      <c r="AM508" s="437"/>
      <c r="AN508" s="437"/>
      <c r="AO508" s="437"/>
      <c r="AP508" s="437"/>
      <c r="AQ508" s="437"/>
      <c r="AR508" s="437"/>
      <c r="AS508" s="437"/>
      <c r="AT508" s="437"/>
      <c r="AU508" s="437"/>
      <c r="AV508" s="437"/>
      <c r="AW508" s="437"/>
      <c r="AX508" s="436">
        <v>503</v>
      </c>
      <c r="AY508" s="490" t="s">
        <v>5398</v>
      </c>
      <c r="AZ508" s="490" t="s">
        <v>5399</v>
      </c>
      <c r="BA508" s="490" t="s">
        <v>5400</v>
      </c>
      <c r="BB508" s="490" t="s">
        <v>5401</v>
      </c>
      <c r="BC508" s="490" t="s">
        <v>5402</v>
      </c>
      <c r="BD508" s="490" t="s">
        <v>5403</v>
      </c>
      <c r="BE508" s="490" t="s">
        <v>5385</v>
      </c>
      <c r="BF508" s="490" t="s">
        <v>2588</v>
      </c>
      <c r="BG508" s="490" t="s">
        <v>400</v>
      </c>
      <c r="BH508" s="490" t="s">
        <v>2628</v>
      </c>
      <c r="BI508" s="490" t="s">
        <v>5224</v>
      </c>
      <c r="BJ508" s="490" t="s">
        <v>5404</v>
      </c>
      <c r="BK508" s="437"/>
      <c r="BL508" s="437"/>
      <c r="BM508" s="437"/>
      <c r="BN508" s="437"/>
      <c r="BO508" s="437"/>
      <c r="BP508" s="437"/>
    </row>
    <row r="509" spans="1:68">
      <c r="A509" s="437"/>
      <c r="B509" s="437"/>
      <c r="C509" s="437"/>
      <c r="D509" s="437"/>
      <c r="E509" s="437"/>
      <c r="F509" s="437"/>
      <c r="G509" s="437"/>
      <c r="H509" s="437"/>
      <c r="I509" s="437"/>
      <c r="J509" s="437"/>
      <c r="K509" s="437"/>
      <c r="L509" s="437"/>
      <c r="M509" s="437"/>
      <c r="N509" s="437"/>
      <c r="O509" s="437"/>
      <c r="P509" s="437"/>
      <c r="Q509" s="437"/>
      <c r="R509" s="437"/>
      <c r="S509" s="437"/>
      <c r="T509" s="437"/>
      <c r="U509" s="437"/>
      <c r="V509" s="437"/>
      <c r="W509" s="437"/>
      <c r="X509" s="437"/>
      <c r="Y509" s="437"/>
      <c r="Z509" s="437"/>
      <c r="AA509" s="437"/>
      <c r="AB509" s="437"/>
      <c r="AC509" s="437"/>
      <c r="AD509" s="437"/>
      <c r="AE509" s="437"/>
      <c r="AF509" s="437"/>
      <c r="AG509" s="437"/>
      <c r="AH509" s="437"/>
      <c r="AI509" s="437"/>
      <c r="AJ509" s="437"/>
      <c r="AK509" s="437"/>
      <c r="AL509" s="437"/>
      <c r="AM509" s="437"/>
      <c r="AN509" s="437"/>
      <c r="AO509" s="437"/>
      <c r="AP509" s="437"/>
      <c r="AQ509" s="437"/>
      <c r="AR509" s="437"/>
      <c r="AS509" s="437"/>
      <c r="AT509" s="437"/>
      <c r="AU509" s="437"/>
      <c r="AV509" s="437"/>
      <c r="AW509" s="437"/>
      <c r="AX509" s="436">
        <v>504</v>
      </c>
      <c r="AY509" s="490" t="s">
        <v>5405</v>
      </c>
      <c r="AZ509" s="490" t="s">
        <v>5406</v>
      </c>
      <c r="BA509" s="490" t="s">
        <v>5407</v>
      </c>
      <c r="BB509" s="490" t="s">
        <v>305</v>
      </c>
      <c r="BC509" s="490" t="s">
        <v>5408</v>
      </c>
      <c r="BD509" s="490" t="s">
        <v>5409</v>
      </c>
      <c r="BE509" s="490" t="s">
        <v>5410</v>
      </c>
      <c r="BF509" s="490" t="s">
        <v>5411</v>
      </c>
      <c r="BG509" s="490" t="s">
        <v>2598</v>
      </c>
      <c r="BH509" s="490" t="s">
        <v>5412</v>
      </c>
      <c r="BI509" s="490" t="s">
        <v>5413</v>
      </c>
      <c r="BJ509" s="490" t="s">
        <v>5414</v>
      </c>
      <c r="BK509" s="437"/>
      <c r="BL509" s="437"/>
      <c r="BM509" s="437"/>
      <c r="BN509" s="437"/>
      <c r="BO509" s="437"/>
      <c r="BP509" s="437"/>
    </row>
    <row r="510" spans="1:68">
      <c r="A510" s="437"/>
      <c r="B510" s="437"/>
      <c r="C510" s="437"/>
      <c r="D510" s="437"/>
      <c r="E510" s="437"/>
      <c r="F510" s="437"/>
      <c r="G510" s="437"/>
      <c r="H510" s="437"/>
      <c r="I510" s="437"/>
      <c r="J510" s="437"/>
      <c r="K510" s="437"/>
      <c r="L510" s="437"/>
      <c r="M510" s="437"/>
      <c r="N510" s="437"/>
      <c r="O510" s="437"/>
      <c r="P510" s="437"/>
      <c r="Q510" s="437"/>
      <c r="R510" s="437"/>
      <c r="S510" s="437"/>
      <c r="T510" s="437"/>
      <c r="U510" s="437"/>
      <c r="V510" s="437"/>
      <c r="W510" s="437"/>
      <c r="X510" s="437"/>
      <c r="Y510" s="437"/>
      <c r="Z510" s="437"/>
      <c r="AA510" s="437"/>
      <c r="AB510" s="437"/>
      <c r="AC510" s="437"/>
      <c r="AD510" s="437"/>
      <c r="AE510" s="437"/>
      <c r="AF510" s="437"/>
      <c r="AG510" s="437"/>
      <c r="AH510" s="437"/>
      <c r="AI510" s="437"/>
      <c r="AJ510" s="437"/>
      <c r="AK510" s="437"/>
      <c r="AL510" s="437"/>
      <c r="AM510" s="437"/>
      <c r="AN510" s="437"/>
      <c r="AO510" s="437"/>
      <c r="AP510" s="437"/>
      <c r="AQ510" s="437"/>
      <c r="AR510" s="437"/>
      <c r="AS510" s="437"/>
      <c r="AT510" s="437"/>
      <c r="AU510" s="437"/>
      <c r="AV510" s="437"/>
      <c r="AW510" s="437"/>
      <c r="AX510" s="436">
        <v>505</v>
      </c>
      <c r="AY510" s="490" t="s">
        <v>5415</v>
      </c>
      <c r="AZ510" s="490" t="s">
        <v>4709</v>
      </c>
      <c r="BA510" s="490" t="s">
        <v>5406</v>
      </c>
      <c r="BB510" s="490" t="s">
        <v>5416</v>
      </c>
      <c r="BC510" s="490" t="s">
        <v>5417</v>
      </c>
      <c r="BD510" s="490" t="s">
        <v>5418</v>
      </c>
      <c r="BE510" s="490" t="s">
        <v>2588</v>
      </c>
      <c r="BF510" s="490" t="s">
        <v>5419</v>
      </c>
      <c r="BG510" s="490" t="s">
        <v>5420</v>
      </c>
      <c r="BH510" s="490" t="s">
        <v>312</v>
      </c>
      <c r="BI510" s="490" t="s">
        <v>5421</v>
      </c>
      <c r="BJ510" s="490" t="s">
        <v>5422</v>
      </c>
      <c r="BK510" s="437"/>
      <c r="BL510" s="437"/>
      <c r="BM510" s="437"/>
      <c r="BN510" s="437"/>
      <c r="BO510" s="437"/>
      <c r="BP510" s="437"/>
    </row>
    <row r="511" spans="1:68">
      <c r="A511" s="437"/>
      <c r="B511" s="437"/>
      <c r="C511" s="437"/>
      <c r="D511" s="437"/>
      <c r="E511" s="437"/>
      <c r="F511" s="437"/>
      <c r="G511" s="437"/>
      <c r="H511" s="437"/>
      <c r="I511" s="437"/>
      <c r="J511" s="437"/>
      <c r="K511" s="437"/>
      <c r="L511" s="437"/>
      <c r="M511" s="437"/>
      <c r="N511" s="437"/>
      <c r="O511" s="437"/>
      <c r="P511" s="437"/>
      <c r="Q511" s="437"/>
      <c r="R511" s="437"/>
      <c r="S511" s="437"/>
      <c r="T511" s="437"/>
      <c r="U511" s="437"/>
      <c r="V511" s="437"/>
      <c r="W511" s="437"/>
      <c r="X511" s="437"/>
      <c r="Y511" s="437"/>
      <c r="Z511" s="437"/>
      <c r="AA511" s="437"/>
      <c r="AB511" s="437"/>
      <c r="AC511" s="437"/>
      <c r="AD511" s="437"/>
      <c r="AE511" s="437"/>
      <c r="AF511" s="437"/>
      <c r="AG511" s="437"/>
      <c r="AH511" s="437"/>
      <c r="AI511" s="437"/>
      <c r="AJ511" s="437"/>
      <c r="AK511" s="437"/>
      <c r="AL511" s="437"/>
      <c r="AM511" s="437"/>
      <c r="AN511" s="437"/>
      <c r="AO511" s="437"/>
      <c r="AP511" s="437"/>
      <c r="AQ511" s="437"/>
      <c r="AR511" s="437"/>
      <c r="AS511" s="437"/>
      <c r="AT511" s="437"/>
      <c r="AU511" s="437"/>
      <c r="AV511" s="437"/>
      <c r="AW511" s="437"/>
      <c r="AX511" s="436">
        <v>506</v>
      </c>
      <c r="AY511" s="490" t="s">
        <v>5423</v>
      </c>
      <c r="AZ511" s="490" t="s">
        <v>5424</v>
      </c>
      <c r="BA511" s="490" t="s">
        <v>4717</v>
      </c>
      <c r="BB511" s="490" t="s">
        <v>306</v>
      </c>
      <c r="BC511" s="490" t="s">
        <v>5425</v>
      </c>
      <c r="BD511" s="490" t="s">
        <v>5426</v>
      </c>
      <c r="BE511" s="490" t="s">
        <v>5411</v>
      </c>
      <c r="BF511" s="490" t="s">
        <v>5357</v>
      </c>
      <c r="BG511" s="490" t="s">
        <v>5427</v>
      </c>
      <c r="BH511" s="490" t="s">
        <v>5428</v>
      </c>
      <c r="BI511" s="490" t="s">
        <v>5429</v>
      </c>
      <c r="BJ511" s="490" t="s">
        <v>5430</v>
      </c>
      <c r="BK511" s="437"/>
      <c r="BL511" s="437"/>
      <c r="BM511" s="437"/>
      <c r="BN511" s="437"/>
      <c r="BO511" s="437"/>
      <c r="BP511" s="437"/>
    </row>
    <row r="512" spans="1:68">
      <c r="A512" s="437"/>
      <c r="B512" s="437"/>
      <c r="C512" s="437"/>
      <c r="D512" s="437"/>
      <c r="E512" s="437"/>
      <c r="F512" s="437"/>
      <c r="G512" s="437"/>
      <c r="H512" s="437"/>
      <c r="I512" s="437"/>
      <c r="J512" s="437"/>
      <c r="K512" s="437"/>
      <c r="L512" s="437"/>
      <c r="M512" s="437"/>
      <c r="N512" s="437"/>
      <c r="O512" s="437"/>
      <c r="P512" s="437"/>
      <c r="Q512" s="437"/>
      <c r="R512" s="437"/>
      <c r="S512" s="437"/>
      <c r="T512" s="437"/>
      <c r="U512" s="437"/>
      <c r="V512" s="437"/>
      <c r="W512" s="437"/>
      <c r="X512" s="437"/>
      <c r="Y512" s="437"/>
      <c r="Z512" s="437"/>
      <c r="AA512" s="437"/>
      <c r="AB512" s="437"/>
      <c r="AC512" s="437"/>
      <c r="AD512" s="437"/>
      <c r="AE512" s="437"/>
      <c r="AF512" s="437"/>
      <c r="AG512" s="437"/>
      <c r="AH512" s="437"/>
      <c r="AI512" s="437"/>
      <c r="AJ512" s="437"/>
      <c r="AK512" s="437"/>
      <c r="AL512" s="437"/>
      <c r="AM512" s="437"/>
      <c r="AN512" s="437"/>
      <c r="AO512" s="437"/>
      <c r="AP512" s="437"/>
      <c r="AQ512" s="437"/>
      <c r="AR512" s="437"/>
      <c r="AS512" s="437"/>
      <c r="AT512" s="437"/>
      <c r="AU512" s="437"/>
      <c r="AV512" s="437"/>
      <c r="AW512" s="437"/>
      <c r="AX512" s="436">
        <v>507</v>
      </c>
      <c r="AY512" s="490" t="s">
        <v>4722</v>
      </c>
      <c r="AZ512" s="490" t="s">
        <v>5431</v>
      </c>
      <c r="BA512" s="490" t="s">
        <v>5432</v>
      </c>
      <c r="BB512" s="490" t="s">
        <v>5433</v>
      </c>
      <c r="BC512" s="490" t="s">
        <v>5434</v>
      </c>
      <c r="BD512" s="490" t="s">
        <v>5435</v>
      </c>
      <c r="BE512" s="490" t="s">
        <v>5436</v>
      </c>
      <c r="BF512" s="490" t="s">
        <v>5437</v>
      </c>
      <c r="BG512" s="490" t="s">
        <v>403</v>
      </c>
      <c r="BH512" s="490" t="s">
        <v>5438</v>
      </c>
      <c r="BI512" s="490" t="s">
        <v>5439</v>
      </c>
      <c r="BJ512" s="490" t="s">
        <v>5440</v>
      </c>
      <c r="BK512" s="437"/>
      <c r="BL512" s="437"/>
      <c r="BM512" s="437"/>
      <c r="BN512" s="437"/>
      <c r="BO512" s="437"/>
      <c r="BP512" s="437"/>
    </row>
    <row r="513" spans="1:68">
      <c r="A513" s="437"/>
      <c r="B513" s="437"/>
      <c r="C513" s="437"/>
      <c r="D513" s="437"/>
      <c r="E513" s="437"/>
      <c r="F513" s="437"/>
      <c r="G513" s="437"/>
      <c r="H513" s="437"/>
      <c r="I513" s="437"/>
      <c r="J513" s="437"/>
      <c r="K513" s="437"/>
      <c r="L513" s="437"/>
      <c r="M513" s="437"/>
      <c r="N513" s="437"/>
      <c r="O513" s="437"/>
      <c r="P513" s="437"/>
      <c r="Q513" s="437"/>
      <c r="R513" s="437"/>
      <c r="S513" s="437"/>
      <c r="T513" s="437"/>
      <c r="U513" s="437"/>
      <c r="V513" s="437"/>
      <c r="W513" s="437"/>
      <c r="X513" s="437"/>
      <c r="Y513" s="437"/>
      <c r="Z513" s="437"/>
      <c r="AA513" s="437"/>
      <c r="AB513" s="437"/>
      <c r="AC513" s="437"/>
      <c r="AD513" s="437"/>
      <c r="AE513" s="437"/>
      <c r="AF513" s="437"/>
      <c r="AG513" s="437"/>
      <c r="AH513" s="437"/>
      <c r="AI513" s="437"/>
      <c r="AJ513" s="437"/>
      <c r="AK513" s="437"/>
      <c r="AL513" s="437"/>
      <c r="AM513" s="437"/>
      <c r="AN513" s="437"/>
      <c r="AO513" s="437"/>
      <c r="AP513" s="437"/>
      <c r="AQ513" s="437"/>
      <c r="AR513" s="437"/>
      <c r="AS513" s="437"/>
      <c r="AT513" s="437"/>
      <c r="AU513" s="437"/>
      <c r="AV513" s="437"/>
      <c r="AW513" s="437"/>
      <c r="AX513" s="436">
        <v>508</v>
      </c>
      <c r="AY513" s="490" t="s">
        <v>5424</v>
      </c>
      <c r="AZ513" s="490" t="s">
        <v>5441</v>
      </c>
      <c r="BA513" s="490" t="s">
        <v>5442</v>
      </c>
      <c r="BB513" s="490" t="s">
        <v>5443</v>
      </c>
      <c r="BC513" s="490" t="s">
        <v>5444</v>
      </c>
      <c r="BD513" s="490" t="s">
        <v>5445</v>
      </c>
      <c r="BE513" s="490" t="s">
        <v>5374</v>
      </c>
      <c r="BF513" s="490" t="s">
        <v>5446</v>
      </c>
      <c r="BG513" s="490" t="s">
        <v>5447</v>
      </c>
      <c r="BH513" s="490" t="s">
        <v>5448</v>
      </c>
      <c r="BI513" s="490" t="s">
        <v>5449</v>
      </c>
      <c r="BJ513" s="490" t="s">
        <v>5450</v>
      </c>
      <c r="BK513" s="437"/>
      <c r="BL513" s="437"/>
      <c r="BM513" s="437"/>
      <c r="BN513" s="437"/>
      <c r="BO513" s="437"/>
      <c r="BP513" s="437"/>
    </row>
    <row r="514" spans="1:68">
      <c r="A514" s="437"/>
      <c r="B514" s="437"/>
      <c r="C514" s="437"/>
      <c r="D514" s="437"/>
      <c r="E514" s="437"/>
      <c r="F514" s="437"/>
      <c r="G514" s="437"/>
      <c r="H514" s="437"/>
      <c r="I514" s="437"/>
      <c r="J514" s="437"/>
      <c r="K514" s="437"/>
      <c r="L514" s="437"/>
      <c r="M514" s="437"/>
      <c r="N514" s="437"/>
      <c r="O514" s="437"/>
      <c r="P514" s="437"/>
      <c r="Q514" s="437"/>
      <c r="R514" s="437"/>
      <c r="S514" s="437"/>
      <c r="T514" s="437"/>
      <c r="U514" s="437"/>
      <c r="V514" s="437"/>
      <c r="W514" s="437"/>
      <c r="X514" s="437"/>
      <c r="Y514" s="437"/>
      <c r="Z514" s="437"/>
      <c r="AA514" s="437"/>
      <c r="AB514" s="437"/>
      <c r="AC514" s="437"/>
      <c r="AD514" s="437"/>
      <c r="AE514" s="437"/>
      <c r="AF514" s="437"/>
      <c r="AG514" s="437"/>
      <c r="AH514" s="437"/>
      <c r="AI514" s="437"/>
      <c r="AJ514" s="437"/>
      <c r="AK514" s="437"/>
      <c r="AL514" s="437"/>
      <c r="AM514" s="437"/>
      <c r="AN514" s="437"/>
      <c r="AO514" s="437"/>
      <c r="AP514" s="437"/>
      <c r="AQ514" s="437"/>
      <c r="AR514" s="437"/>
      <c r="AS514" s="437"/>
      <c r="AT514" s="437"/>
      <c r="AU514" s="437"/>
      <c r="AV514" s="437"/>
      <c r="AW514" s="437"/>
      <c r="AX514" s="436">
        <v>509</v>
      </c>
      <c r="AY514" s="490" t="s">
        <v>5451</v>
      </c>
      <c r="AZ514" s="490" t="s">
        <v>308</v>
      </c>
      <c r="BA514" s="490" t="s">
        <v>5452</v>
      </c>
      <c r="BB514" s="490" t="s">
        <v>309</v>
      </c>
      <c r="BC514" s="490" t="s">
        <v>5453</v>
      </c>
      <c r="BD514" s="490" t="s">
        <v>5454</v>
      </c>
      <c r="BE514" s="490" t="s">
        <v>5455</v>
      </c>
      <c r="BF514" s="490" t="s">
        <v>5456</v>
      </c>
      <c r="BG514" s="490" t="s">
        <v>406</v>
      </c>
      <c r="BH514" s="490" t="s">
        <v>5457</v>
      </c>
      <c r="BI514" s="490" t="s">
        <v>5458</v>
      </c>
      <c r="BJ514" s="490" t="s">
        <v>5459</v>
      </c>
      <c r="BK514" s="437"/>
      <c r="BL514" s="437"/>
      <c r="BM514" s="437"/>
      <c r="BN514" s="437"/>
      <c r="BO514" s="437"/>
      <c r="BP514" s="437"/>
    </row>
    <row r="515" spans="1:68">
      <c r="A515" s="437"/>
      <c r="B515" s="437"/>
      <c r="C515" s="437"/>
      <c r="D515" s="437"/>
      <c r="E515" s="437"/>
      <c r="F515" s="437"/>
      <c r="G515" s="437"/>
      <c r="H515" s="437"/>
      <c r="I515" s="437"/>
      <c r="J515" s="437"/>
      <c r="K515" s="437"/>
      <c r="L515" s="437"/>
      <c r="M515" s="437"/>
      <c r="N515" s="437"/>
      <c r="O515" s="437"/>
      <c r="P515" s="437"/>
      <c r="Q515" s="437"/>
      <c r="R515" s="437"/>
      <c r="S515" s="437"/>
      <c r="T515" s="437"/>
      <c r="U515" s="437"/>
      <c r="V515" s="437"/>
      <c r="W515" s="437"/>
      <c r="X515" s="437"/>
      <c r="Y515" s="437"/>
      <c r="Z515" s="437"/>
      <c r="AA515" s="437"/>
      <c r="AB515" s="437"/>
      <c r="AC515" s="437"/>
      <c r="AD515" s="437"/>
      <c r="AE515" s="437"/>
      <c r="AF515" s="437"/>
      <c r="AG515" s="437"/>
      <c r="AH515" s="437"/>
      <c r="AI515" s="437"/>
      <c r="AJ515" s="437"/>
      <c r="AK515" s="437"/>
      <c r="AL515" s="437"/>
      <c r="AM515" s="437"/>
      <c r="AN515" s="437"/>
      <c r="AO515" s="437"/>
      <c r="AP515" s="437"/>
      <c r="AQ515" s="437"/>
      <c r="AR515" s="437"/>
      <c r="AS515" s="437"/>
      <c r="AT515" s="437"/>
      <c r="AU515" s="437"/>
      <c r="AV515" s="437"/>
      <c r="AW515" s="437"/>
      <c r="AX515" s="436">
        <v>510</v>
      </c>
      <c r="AY515" s="490" t="s">
        <v>5460</v>
      </c>
      <c r="AZ515" s="490" t="s">
        <v>5461</v>
      </c>
      <c r="BA515" s="490" t="s">
        <v>310</v>
      </c>
      <c r="BB515" s="490" t="s">
        <v>5382</v>
      </c>
      <c r="BC515" s="490" t="s">
        <v>5462</v>
      </c>
      <c r="BD515" s="490" t="s">
        <v>5463</v>
      </c>
      <c r="BE515" s="490" t="s">
        <v>5464</v>
      </c>
      <c r="BF515" s="490" t="s">
        <v>5465</v>
      </c>
      <c r="BG515" s="490" t="s">
        <v>5466</v>
      </c>
      <c r="BH515" s="490" t="s">
        <v>5467</v>
      </c>
      <c r="BI515" s="490" t="s">
        <v>5468</v>
      </c>
      <c r="BJ515" s="490" t="s">
        <v>5367</v>
      </c>
      <c r="BK515" s="437"/>
      <c r="BL515" s="437"/>
      <c r="BM515" s="437"/>
      <c r="BN515" s="437"/>
      <c r="BO515" s="437"/>
      <c r="BP515" s="437"/>
    </row>
    <row r="516" spans="1:68">
      <c r="A516" s="437"/>
      <c r="B516" s="437"/>
      <c r="C516" s="437"/>
      <c r="D516" s="437"/>
      <c r="E516" s="437"/>
      <c r="F516" s="437"/>
      <c r="G516" s="437"/>
      <c r="H516" s="437"/>
      <c r="I516" s="437"/>
      <c r="J516" s="437"/>
      <c r="K516" s="437"/>
      <c r="L516" s="437"/>
      <c r="M516" s="437"/>
      <c r="N516" s="437"/>
      <c r="O516" s="437"/>
      <c r="P516" s="437"/>
      <c r="Q516" s="437"/>
      <c r="R516" s="437"/>
      <c r="S516" s="437"/>
      <c r="T516" s="437"/>
      <c r="U516" s="437"/>
      <c r="V516" s="437"/>
      <c r="W516" s="437"/>
      <c r="X516" s="437"/>
      <c r="Y516" s="437"/>
      <c r="Z516" s="437"/>
      <c r="AA516" s="437"/>
      <c r="AB516" s="437"/>
      <c r="AC516" s="437"/>
      <c r="AD516" s="437"/>
      <c r="AE516" s="437"/>
      <c r="AF516" s="437"/>
      <c r="AG516" s="437"/>
      <c r="AH516" s="437"/>
      <c r="AI516" s="437"/>
      <c r="AJ516" s="437"/>
      <c r="AK516" s="437"/>
      <c r="AL516" s="437"/>
      <c r="AM516" s="437"/>
      <c r="AN516" s="437"/>
      <c r="AO516" s="437"/>
      <c r="AP516" s="437"/>
      <c r="AQ516" s="437"/>
      <c r="AR516" s="437"/>
      <c r="AS516" s="437"/>
      <c r="AT516" s="437"/>
      <c r="AU516" s="437"/>
      <c r="AV516" s="437"/>
      <c r="AW516" s="437"/>
      <c r="AX516" s="436">
        <v>511</v>
      </c>
      <c r="AY516" s="490" t="s">
        <v>5469</v>
      </c>
      <c r="AZ516" s="490" t="s">
        <v>5470</v>
      </c>
      <c r="BA516" s="490" t="s">
        <v>5471</v>
      </c>
      <c r="BB516" s="490" t="s">
        <v>5472</v>
      </c>
      <c r="BC516" s="490" t="s">
        <v>5473</v>
      </c>
      <c r="BD516" s="490" t="s">
        <v>5474</v>
      </c>
      <c r="BE516" s="490" t="s">
        <v>5475</v>
      </c>
      <c r="BF516" s="490" t="s">
        <v>5476</v>
      </c>
      <c r="BG516" s="490" t="s">
        <v>5477</v>
      </c>
      <c r="BH516" s="490" t="s">
        <v>2669</v>
      </c>
      <c r="BI516" s="490" t="s">
        <v>5478</v>
      </c>
      <c r="BJ516" s="490" t="s">
        <v>5479</v>
      </c>
      <c r="BK516" s="437"/>
      <c r="BL516" s="437"/>
      <c r="BM516" s="437"/>
      <c r="BN516" s="437"/>
      <c r="BO516" s="437"/>
      <c r="BP516" s="437"/>
    </row>
    <row r="517" spans="1:68">
      <c r="A517" s="437"/>
      <c r="B517" s="437"/>
      <c r="C517" s="437"/>
      <c r="D517" s="437"/>
      <c r="E517" s="437"/>
      <c r="F517" s="437"/>
      <c r="G517" s="437"/>
      <c r="H517" s="437"/>
      <c r="I517" s="437"/>
      <c r="J517" s="437"/>
      <c r="K517" s="437"/>
      <c r="L517" s="437"/>
      <c r="M517" s="437"/>
      <c r="N517" s="437"/>
      <c r="O517" s="437"/>
      <c r="P517" s="437"/>
      <c r="Q517" s="437"/>
      <c r="R517" s="437"/>
      <c r="S517" s="437"/>
      <c r="T517" s="437"/>
      <c r="U517" s="437"/>
      <c r="V517" s="437"/>
      <c r="W517" s="437"/>
      <c r="X517" s="437"/>
      <c r="Y517" s="437"/>
      <c r="Z517" s="437"/>
      <c r="AA517" s="437"/>
      <c r="AB517" s="437"/>
      <c r="AC517" s="437"/>
      <c r="AD517" s="437"/>
      <c r="AE517" s="437"/>
      <c r="AF517" s="437"/>
      <c r="AG517" s="437"/>
      <c r="AH517" s="437"/>
      <c r="AI517" s="437"/>
      <c r="AJ517" s="437"/>
      <c r="AK517" s="437"/>
      <c r="AL517" s="437"/>
      <c r="AM517" s="437"/>
      <c r="AN517" s="437"/>
      <c r="AO517" s="437"/>
      <c r="AP517" s="437"/>
      <c r="AQ517" s="437"/>
      <c r="AR517" s="437"/>
      <c r="AS517" s="437"/>
      <c r="AT517" s="437"/>
      <c r="AU517" s="437"/>
      <c r="AV517" s="437"/>
      <c r="AW517" s="437"/>
      <c r="AX517" s="436">
        <v>512</v>
      </c>
      <c r="AY517" s="490" t="s">
        <v>5480</v>
      </c>
      <c r="AZ517" s="490" t="s">
        <v>5481</v>
      </c>
      <c r="BA517" s="490" t="s">
        <v>5482</v>
      </c>
      <c r="BB517" s="490" t="s">
        <v>5483</v>
      </c>
      <c r="BC517" s="490" t="s">
        <v>5484</v>
      </c>
      <c r="BD517" s="490" t="s">
        <v>5485</v>
      </c>
      <c r="BE517" s="490" t="s">
        <v>5465</v>
      </c>
      <c r="BF517" s="490" t="s">
        <v>5486</v>
      </c>
      <c r="BG517" s="490" t="s">
        <v>1932</v>
      </c>
      <c r="BH517" s="490" t="s">
        <v>400</v>
      </c>
      <c r="BI517" s="490" t="s">
        <v>5487</v>
      </c>
      <c r="BJ517" s="490" t="s">
        <v>5488</v>
      </c>
      <c r="BK517" s="437"/>
      <c r="BL517" s="437"/>
      <c r="BM517" s="437"/>
      <c r="BN517" s="437"/>
      <c r="BO517" s="437"/>
      <c r="BP517" s="437"/>
    </row>
    <row r="518" spans="1:68">
      <c r="A518" s="437"/>
      <c r="B518" s="437"/>
      <c r="C518" s="437"/>
      <c r="D518" s="437"/>
      <c r="E518" s="437"/>
      <c r="F518" s="437"/>
      <c r="G518" s="437"/>
      <c r="H518" s="437"/>
      <c r="I518" s="437"/>
      <c r="J518" s="437"/>
      <c r="K518" s="437"/>
      <c r="L518" s="437"/>
      <c r="M518" s="437"/>
      <c r="N518" s="437"/>
      <c r="O518" s="437"/>
      <c r="P518" s="437"/>
      <c r="Q518" s="437"/>
      <c r="R518" s="437"/>
      <c r="S518" s="437"/>
      <c r="T518" s="437"/>
      <c r="U518" s="437"/>
      <c r="V518" s="437"/>
      <c r="W518" s="437"/>
      <c r="X518" s="437"/>
      <c r="Y518" s="437"/>
      <c r="Z518" s="437"/>
      <c r="AA518" s="437"/>
      <c r="AB518" s="437"/>
      <c r="AC518" s="437"/>
      <c r="AD518" s="437"/>
      <c r="AE518" s="437"/>
      <c r="AF518" s="437"/>
      <c r="AG518" s="437"/>
      <c r="AH518" s="437"/>
      <c r="AI518" s="437"/>
      <c r="AJ518" s="437"/>
      <c r="AK518" s="437"/>
      <c r="AL518" s="437"/>
      <c r="AM518" s="437"/>
      <c r="AN518" s="437"/>
      <c r="AO518" s="437"/>
      <c r="AP518" s="437"/>
      <c r="AQ518" s="437"/>
      <c r="AR518" s="437"/>
      <c r="AS518" s="437"/>
      <c r="AT518" s="437"/>
      <c r="AU518" s="437"/>
      <c r="AV518" s="437"/>
      <c r="AW518" s="437"/>
      <c r="AX518" s="436">
        <v>513</v>
      </c>
      <c r="AY518" s="490" t="s">
        <v>5489</v>
      </c>
      <c r="AZ518" s="490" t="s">
        <v>5490</v>
      </c>
      <c r="BA518" s="490" t="s">
        <v>5491</v>
      </c>
      <c r="BB518" s="490" t="s">
        <v>5492</v>
      </c>
      <c r="BC518" s="490" t="s">
        <v>5493</v>
      </c>
      <c r="BD518" s="490" t="s">
        <v>5494</v>
      </c>
      <c r="BE518" s="490" t="s">
        <v>5495</v>
      </c>
      <c r="BF518" s="490" t="s">
        <v>5496</v>
      </c>
      <c r="BG518" s="490" t="s">
        <v>5497</v>
      </c>
      <c r="BH518" s="490" t="s">
        <v>2688</v>
      </c>
      <c r="BI518" s="490" t="s">
        <v>5498</v>
      </c>
      <c r="BJ518" s="490" t="s">
        <v>5499</v>
      </c>
      <c r="BK518" s="437"/>
      <c r="BL518" s="437"/>
      <c r="BM518" s="437"/>
      <c r="BN518" s="437"/>
      <c r="BO518" s="437"/>
      <c r="BP518" s="437"/>
    </row>
    <row r="519" spans="1:68">
      <c r="A519" s="437"/>
      <c r="B519" s="437"/>
      <c r="C519" s="437"/>
      <c r="D519" s="437"/>
      <c r="E519" s="437"/>
      <c r="F519" s="437"/>
      <c r="G519" s="437"/>
      <c r="H519" s="437"/>
      <c r="I519" s="437"/>
      <c r="J519" s="437"/>
      <c r="K519" s="437"/>
      <c r="L519" s="437"/>
      <c r="M519" s="437"/>
      <c r="N519" s="437"/>
      <c r="O519" s="437"/>
      <c r="P519" s="437"/>
      <c r="Q519" s="437"/>
      <c r="R519" s="437"/>
      <c r="S519" s="437"/>
      <c r="T519" s="437"/>
      <c r="U519" s="437"/>
      <c r="V519" s="437"/>
      <c r="W519" s="437"/>
      <c r="X519" s="437"/>
      <c r="Y519" s="437"/>
      <c r="Z519" s="437"/>
      <c r="AA519" s="437"/>
      <c r="AB519" s="437"/>
      <c r="AC519" s="437"/>
      <c r="AD519" s="437"/>
      <c r="AE519" s="437"/>
      <c r="AF519" s="437"/>
      <c r="AG519" s="437"/>
      <c r="AH519" s="437"/>
      <c r="AI519" s="437"/>
      <c r="AJ519" s="437"/>
      <c r="AK519" s="437"/>
      <c r="AL519" s="437"/>
      <c r="AM519" s="437"/>
      <c r="AN519" s="437"/>
      <c r="AO519" s="437"/>
      <c r="AP519" s="437"/>
      <c r="AQ519" s="437"/>
      <c r="AR519" s="437"/>
      <c r="AS519" s="437"/>
      <c r="AT519" s="437"/>
      <c r="AU519" s="437"/>
      <c r="AV519" s="437"/>
      <c r="AW519" s="437"/>
      <c r="AX519" s="436">
        <v>514</v>
      </c>
      <c r="AY519" s="490" t="s">
        <v>5500</v>
      </c>
      <c r="AZ519" s="490" t="s">
        <v>5501</v>
      </c>
      <c r="BA519" s="490" t="s">
        <v>5502</v>
      </c>
      <c r="BB519" s="490" t="s">
        <v>5503</v>
      </c>
      <c r="BC519" s="490" t="s">
        <v>5504</v>
      </c>
      <c r="BD519" s="490" t="s">
        <v>5505</v>
      </c>
      <c r="BE519" s="490" t="s">
        <v>5506</v>
      </c>
      <c r="BF519" s="490" t="s">
        <v>5507</v>
      </c>
      <c r="BG519" s="490" t="s">
        <v>5508</v>
      </c>
      <c r="BH519" s="490" t="s">
        <v>5420</v>
      </c>
      <c r="BI519" s="490" t="s">
        <v>5509</v>
      </c>
      <c r="BJ519" s="490" t="s">
        <v>5322</v>
      </c>
      <c r="BK519" s="437"/>
      <c r="BL519" s="437"/>
      <c r="BM519" s="437"/>
      <c r="BN519" s="437"/>
      <c r="BO519" s="437"/>
      <c r="BP519" s="437"/>
    </row>
    <row r="520" spans="1:68">
      <c r="A520" s="437"/>
      <c r="B520" s="437"/>
      <c r="C520" s="437"/>
      <c r="D520" s="437"/>
      <c r="E520" s="437"/>
      <c r="F520" s="437"/>
      <c r="G520" s="437"/>
      <c r="H520" s="437"/>
      <c r="I520" s="437"/>
      <c r="J520" s="437"/>
      <c r="K520" s="437"/>
      <c r="L520" s="437"/>
      <c r="M520" s="437"/>
      <c r="N520" s="437"/>
      <c r="O520" s="437"/>
      <c r="P520" s="437"/>
      <c r="Q520" s="437"/>
      <c r="R520" s="437"/>
      <c r="S520" s="437"/>
      <c r="T520" s="437"/>
      <c r="U520" s="437"/>
      <c r="V520" s="437"/>
      <c r="W520" s="437"/>
      <c r="X520" s="437"/>
      <c r="Y520" s="437"/>
      <c r="Z520" s="437"/>
      <c r="AA520" s="437"/>
      <c r="AB520" s="437"/>
      <c r="AC520" s="437"/>
      <c r="AD520" s="437"/>
      <c r="AE520" s="437"/>
      <c r="AF520" s="437"/>
      <c r="AG520" s="437"/>
      <c r="AH520" s="437"/>
      <c r="AI520" s="437"/>
      <c r="AJ520" s="437"/>
      <c r="AK520" s="437"/>
      <c r="AL520" s="437"/>
      <c r="AM520" s="437"/>
      <c r="AN520" s="437"/>
      <c r="AO520" s="437"/>
      <c r="AP520" s="437"/>
      <c r="AQ520" s="437"/>
      <c r="AR520" s="437"/>
      <c r="AS520" s="437"/>
      <c r="AT520" s="437"/>
      <c r="AU520" s="437"/>
      <c r="AV520" s="437"/>
      <c r="AW520" s="437"/>
      <c r="AX520" s="436">
        <v>515</v>
      </c>
      <c r="AY520" s="490" t="s">
        <v>5510</v>
      </c>
      <c r="AZ520" s="490" t="s">
        <v>5511</v>
      </c>
      <c r="BA520" s="490" t="s">
        <v>5512</v>
      </c>
      <c r="BB520" s="490" t="s">
        <v>4797</v>
      </c>
      <c r="BC520" s="490" t="s">
        <v>5513</v>
      </c>
      <c r="BD520" s="490" t="s">
        <v>5514</v>
      </c>
      <c r="BE520" s="490" t="s">
        <v>5496</v>
      </c>
      <c r="BF520" s="490" t="s">
        <v>5515</v>
      </c>
      <c r="BG520" s="490" t="s">
        <v>5516</v>
      </c>
      <c r="BH520" s="490" t="s">
        <v>311</v>
      </c>
      <c r="BI520" s="490" t="s">
        <v>5517</v>
      </c>
      <c r="BJ520" s="490" t="s">
        <v>5518</v>
      </c>
      <c r="BK520" s="437"/>
      <c r="BL520" s="437"/>
      <c r="BM520" s="437"/>
      <c r="BN520" s="437"/>
      <c r="BO520" s="437"/>
      <c r="BP520" s="437"/>
    </row>
    <row r="521" spans="1:68">
      <c r="A521" s="437"/>
      <c r="B521" s="437"/>
      <c r="C521" s="437"/>
      <c r="D521" s="437"/>
      <c r="E521" s="437"/>
      <c r="F521" s="437"/>
      <c r="G521" s="437"/>
      <c r="H521" s="437"/>
      <c r="I521" s="437"/>
      <c r="J521" s="437"/>
      <c r="K521" s="437"/>
      <c r="L521" s="437"/>
      <c r="M521" s="437"/>
      <c r="N521" s="437"/>
      <c r="O521" s="437"/>
      <c r="P521" s="437"/>
      <c r="Q521" s="437"/>
      <c r="R521" s="437"/>
      <c r="S521" s="437"/>
      <c r="T521" s="437"/>
      <c r="U521" s="437"/>
      <c r="V521" s="437"/>
      <c r="W521" s="437"/>
      <c r="X521" s="437"/>
      <c r="Y521" s="437"/>
      <c r="Z521" s="437"/>
      <c r="AA521" s="437"/>
      <c r="AB521" s="437"/>
      <c r="AC521" s="437"/>
      <c r="AD521" s="437"/>
      <c r="AE521" s="437"/>
      <c r="AF521" s="437"/>
      <c r="AG521" s="437"/>
      <c r="AH521" s="437"/>
      <c r="AI521" s="437"/>
      <c r="AJ521" s="437"/>
      <c r="AK521" s="437"/>
      <c r="AL521" s="437"/>
      <c r="AM521" s="437"/>
      <c r="AN521" s="437"/>
      <c r="AO521" s="437"/>
      <c r="AP521" s="437"/>
      <c r="AQ521" s="437"/>
      <c r="AR521" s="437"/>
      <c r="AS521" s="437"/>
      <c r="AT521" s="437"/>
      <c r="AU521" s="437"/>
      <c r="AV521" s="437"/>
      <c r="AW521" s="437"/>
      <c r="AX521" s="436">
        <v>516</v>
      </c>
      <c r="AY521" s="490" t="s">
        <v>5519</v>
      </c>
      <c r="AZ521" s="490" t="s">
        <v>1448</v>
      </c>
      <c r="BA521" s="490" t="s">
        <v>5511</v>
      </c>
      <c r="BB521" s="490" t="s">
        <v>5520</v>
      </c>
      <c r="BC521" s="490" t="s">
        <v>5521</v>
      </c>
      <c r="BD521" s="490" t="s">
        <v>5522</v>
      </c>
      <c r="BE521" s="490" t="s">
        <v>5523</v>
      </c>
      <c r="BF521" s="490" t="s">
        <v>5524</v>
      </c>
      <c r="BG521" s="490" t="s">
        <v>5525</v>
      </c>
      <c r="BH521" s="490" t="s">
        <v>5448</v>
      </c>
      <c r="BI521" s="490" t="s">
        <v>5526</v>
      </c>
      <c r="BJ521" s="490" t="s">
        <v>5421</v>
      </c>
      <c r="BK521" s="437"/>
      <c r="BL521" s="437"/>
      <c r="BM521" s="437"/>
      <c r="BN521" s="437"/>
      <c r="BO521" s="437"/>
      <c r="BP521" s="437"/>
    </row>
    <row r="522" spans="1:68">
      <c r="A522" s="437"/>
      <c r="B522" s="437"/>
      <c r="C522" s="437"/>
      <c r="D522" s="437"/>
      <c r="E522" s="437"/>
      <c r="F522" s="437"/>
      <c r="G522" s="437"/>
      <c r="H522" s="437"/>
      <c r="I522" s="437"/>
      <c r="J522" s="437"/>
      <c r="K522" s="437"/>
      <c r="L522" s="437"/>
      <c r="M522" s="437"/>
      <c r="N522" s="437"/>
      <c r="O522" s="437"/>
      <c r="P522" s="437"/>
      <c r="Q522" s="437"/>
      <c r="R522" s="437"/>
      <c r="S522" s="437"/>
      <c r="T522" s="437"/>
      <c r="U522" s="437"/>
      <c r="V522" s="437"/>
      <c r="W522" s="437"/>
      <c r="X522" s="437"/>
      <c r="Y522" s="437"/>
      <c r="Z522" s="437"/>
      <c r="AA522" s="437"/>
      <c r="AB522" s="437"/>
      <c r="AC522" s="437"/>
      <c r="AD522" s="437"/>
      <c r="AE522" s="437"/>
      <c r="AF522" s="437"/>
      <c r="AG522" s="437"/>
      <c r="AH522" s="437"/>
      <c r="AI522" s="437"/>
      <c r="AJ522" s="437"/>
      <c r="AK522" s="437"/>
      <c r="AL522" s="437"/>
      <c r="AM522" s="437"/>
      <c r="AN522" s="437"/>
      <c r="AO522" s="437"/>
      <c r="AP522" s="437"/>
      <c r="AQ522" s="437"/>
      <c r="AR522" s="437"/>
      <c r="AS522" s="437"/>
      <c r="AT522" s="437"/>
      <c r="AU522" s="437"/>
      <c r="AV522" s="437"/>
      <c r="AW522" s="437"/>
      <c r="AX522" s="436">
        <v>517</v>
      </c>
      <c r="AY522" s="490" t="s">
        <v>5527</v>
      </c>
      <c r="AZ522" s="490" t="s">
        <v>308</v>
      </c>
      <c r="BA522" s="490" t="s">
        <v>1458</v>
      </c>
      <c r="BB522" s="490" t="s">
        <v>5528</v>
      </c>
      <c r="BC522" s="490" t="s">
        <v>5529</v>
      </c>
      <c r="BD522" s="490" t="s">
        <v>5530</v>
      </c>
      <c r="BE522" s="490" t="s">
        <v>5531</v>
      </c>
      <c r="BF522" s="490" t="s">
        <v>5532</v>
      </c>
      <c r="BG522" s="490" t="s">
        <v>5533</v>
      </c>
      <c r="BH522" s="490" t="s">
        <v>5534</v>
      </c>
      <c r="BI522" s="490" t="s">
        <v>5535</v>
      </c>
      <c r="BJ522" s="490" t="s">
        <v>5536</v>
      </c>
      <c r="BK522" s="437"/>
      <c r="BL522" s="437"/>
      <c r="BM522" s="437"/>
      <c r="BN522" s="437"/>
      <c r="BO522" s="437"/>
      <c r="BP522" s="437"/>
    </row>
    <row r="523" spans="1:68">
      <c r="A523" s="437"/>
      <c r="B523" s="437"/>
      <c r="C523" s="437"/>
      <c r="D523" s="437"/>
      <c r="E523" s="437"/>
      <c r="F523" s="437"/>
      <c r="G523" s="437"/>
      <c r="H523" s="437"/>
      <c r="I523" s="437"/>
      <c r="J523" s="437"/>
      <c r="K523" s="437"/>
      <c r="L523" s="437"/>
      <c r="M523" s="437"/>
      <c r="N523" s="437"/>
      <c r="O523" s="437"/>
      <c r="P523" s="437"/>
      <c r="Q523" s="437"/>
      <c r="R523" s="437"/>
      <c r="S523" s="437"/>
      <c r="T523" s="437"/>
      <c r="U523" s="437"/>
      <c r="V523" s="437"/>
      <c r="W523" s="437"/>
      <c r="X523" s="437"/>
      <c r="Y523" s="437"/>
      <c r="Z523" s="437"/>
      <c r="AA523" s="437"/>
      <c r="AB523" s="437"/>
      <c r="AC523" s="437"/>
      <c r="AD523" s="437"/>
      <c r="AE523" s="437"/>
      <c r="AF523" s="437"/>
      <c r="AG523" s="437"/>
      <c r="AH523" s="437"/>
      <c r="AI523" s="437"/>
      <c r="AJ523" s="437"/>
      <c r="AK523" s="437"/>
      <c r="AL523" s="437"/>
      <c r="AM523" s="437"/>
      <c r="AN523" s="437"/>
      <c r="AO523" s="437"/>
      <c r="AP523" s="437"/>
      <c r="AQ523" s="437"/>
      <c r="AR523" s="437"/>
      <c r="AS523" s="437"/>
      <c r="AT523" s="437"/>
      <c r="AU523" s="437"/>
      <c r="AV523" s="437"/>
      <c r="AW523" s="437"/>
      <c r="AX523" s="436">
        <v>518</v>
      </c>
      <c r="AY523" s="490" t="s">
        <v>1448</v>
      </c>
      <c r="AZ523" s="490" t="s">
        <v>5537</v>
      </c>
      <c r="BA523" s="490" t="s">
        <v>310</v>
      </c>
      <c r="BB523" s="490" t="s">
        <v>5538</v>
      </c>
      <c r="BC523" s="490" t="s">
        <v>5539</v>
      </c>
      <c r="BD523" s="490" t="s">
        <v>5540</v>
      </c>
      <c r="BE523" s="490" t="s">
        <v>5524</v>
      </c>
      <c r="BF523" s="490" t="s">
        <v>5541</v>
      </c>
      <c r="BG523" s="490" t="s">
        <v>5542</v>
      </c>
      <c r="BH523" s="490" t="s">
        <v>406</v>
      </c>
      <c r="BI523" s="490" t="s">
        <v>5543</v>
      </c>
      <c r="BJ523" s="490" t="s">
        <v>5544</v>
      </c>
      <c r="BK523" s="437"/>
      <c r="BL523" s="437"/>
      <c r="BM523" s="437"/>
      <c r="BN523" s="437"/>
      <c r="BO523" s="437"/>
      <c r="BP523" s="437"/>
    </row>
    <row r="524" spans="1:68">
      <c r="A524" s="437"/>
      <c r="B524" s="437"/>
      <c r="C524" s="437"/>
      <c r="D524" s="437"/>
      <c r="E524" s="437"/>
      <c r="F524" s="437"/>
      <c r="G524" s="437"/>
      <c r="H524" s="437"/>
      <c r="I524" s="437"/>
      <c r="J524" s="437"/>
      <c r="K524" s="437"/>
      <c r="L524" s="437"/>
      <c r="M524" s="437"/>
      <c r="N524" s="437"/>
      <c r="O524" s="437"/>
      <c r="P524" s="437"/>
      <c r="Q524" s="437"/>
      <c r="R524" s="437"/>
      <c r="S524" s="437"/>
      <c r="T524" s="437"/>
      <c r="U524" s="437"/>
      <c r="V524" s="437"/>
      <c r="W524" s="437"/>
      <c r="X524" s="437"/>
      <c r="Y524" s="437"/>
      <c r="Z524" s="437"/>
      <c r="AA524" s="437"/>
      <c r="AB524" s="437"/>
      <c r="AC524" s="437"/>
      <c r="AD524" s="437"/>
      <c r="AE524" s="437"/>
      <c r="AF524" s="437"/>
      <c r="AG524" s="437"/>
      <c r="AH524" s="437"/>
      <c r="AI524" s="437"/>
      <c r="AJ524" s="437"/>
      <c r="AK524" s="437"/>
      <c r="AL524" s="437"/>
      <c r="AM524" s="437"/>
      <c r="AN524" s="437"/>
      <c r="AO524" s="437"/>
      <c r="AP524" s="437"/>
      <c r="AQ524" s="437"/>
      <c r="AR524" s="437"/>
      <c r="AS524" s="437"/>
      <c r="AT524" s="437"/>
      <c r="AU524" s="437"/>
      <c r="AV524" s="437"/>
      <c r="AW524" s="437"/>
      <c r="AX524" s="436">
        <v>519</v>
      </c>
      <c r="AY524" s="490" t="s">
        <v>5469</v>
      </c>
      <c r="AZ524" s="490" t="s">
        <v>5545</v>
      </c>
      <c r="BA524" s="490" t="s">
        <v>5546</v>
      </c>
      <c r="BB524" s="490" t="s">
        <v>310</v>
      </c>
      <c r="BC524" s="490" t="s">
        <v>2904</v>
      </c>
      <c r="BD524" s="490" t="s">
        <v>5547</v>
      </c>
      <c r="BE524" s="490" t="s">
        <v>5548</v>
      </c>
      <c r="BF524" s="490" t="s">
        <v>5549</v>
      </c>
      <c r="BG524" s="490" t="s">
        <v>5550</v>
      </c>
      <c r="BH524" s="490" t="s">
        <v>2021</v>
      </c>
      <c r="BI524" s="490" t="s">
        <v>5551</v>
      </c>
      <c r="BJ524" s="490" t="s">
        <v>5552</v>
      </c>
      <c r="BK524" s="437"/>
      <c r="BL524" s="437"/>
      <c r="BM524" s="437"/>
      <c r="BN524" s="437"/>
      <c r="BO524" s="437"/>
      <c r="BP524" s="437"/>
    </row>
    <row r="525" spans="1:68">
      <c r="A525" s="437"/>
      <c r="B525" s="437"/>
      <c r="C525" s="437"/>
      <c r="D525" s="437"/>
      <c r="E525" s="437"/>
      <c r="F525" s="437"/>
      <c r="G525" s="437"/>
      <c r="H525" s="437"/>
      <c r="I525" s="437"/>
      <c r="J525" s="437"/>
      <c r="K525" s="437"/>
      <c r="L525" s="437"/>
      <c r="M525" s="437"/>
      <c r="N525" s="437"/>
      <c r="O525" s="437"/>
      <c r="P525" s="437"/>
      <c r="Q525" s="437"/>
      <c r="R525" s="437"/>
      <c r="S525" s="437"/>
      <c r="T525" s="437"/>
      <c r="U525" s="437"/>
      <c r="V525" s="437"/>
      <c r="W525" s="437"/>
      <c r="X525" s="437"/>
      <c r="Y525" s="437"/>
      <c r="Z525" s="437"/>
      <c r="AA525" s="437"/>
      <c r="AB525" s="437"/>
      <c r="AC525" s="437"/>
      <c r="AD525" s="437"/>
      <c r="AE525" s="437"/>
      <c r="AF525" s="437"/>
      <c r="AG525" s="437"/>
      <c r="AH525" s="437"/>
      <c r="AI525" s="437"/>
      <c r="AJ525" s="437"/>
      <c r="AK525" s="437"/>
      <c r="AL525" s="437"/>
      <c r="AM525" s="437"/>
      <c r="AN525" s="437"/>
      <c r="AO525" s="437"/>
      <c r="AP525" s="437"/>
      <c r="AQ525" s="437"/>
      <c r="AR525" s="437"/>
      <c r="AS525" s="437"/>
      <c r="AT525" s="437"/>
      <c r="AU525" s="437"/>
      <c r="AV525" s="437"/>
      <c r="AW525" s="437"/>
      <c r="AX525" s="436">
        <v>520</v>
      </c>
      <c r="AY525" s="490" t="s">
        <v>5553</v>
      </c>
      <c r="AZ525" s="490" t="s">
        <v>5554</v>
      </c>
      <c r="BA525" s="490" t="s">
        <v>5555</v>
      </c>
      <c r="BB525" s="490" t="s">
        <v>5556</v>
      </c>
      <c r="BC525" s="490" t="s">
        <v>5557</v>
      </c>
      <c r="BD525" s="490" t="s">
        <v>5558</v>
      </c>
      <c r="BE525" s="490" t="s">
        <v>5559</v>
      </c>
      <c r="BF525" s="490" t="s">
        <v>5560</v>
      </c>
      <c r="BG525" s="490" t="s">
        <v>5561</v>
      </c>
      <c r="BH525" s="490" t="s">
        <v>5562</v>
      </c>
      <c r="BI525" s="490" t="s">
        <v>5563</v>
      </c>
      <c r="BJ525" s="490" t="s">
        <v>5564</v>
      </c>
      <c r="BK525" s="437"/>
      <c r="BL525" s="437"/>
      <c r="BM525" s="437"/>
      <c r="BN525" s="437"/>
      <c r="BO525" s="437"/>
      <c r="BP525" s="437"/>
    </row>
    <row r="526" spans="1:68">
      <c r="A526" s="437"/>
      <c r="B526" s="437"/>
      <c r="C526" s="437"/>
      <c r="D526" s="437"/>
      <c r="E526" s="437"/>
      <c r="F526" s="437"/>
      <c r="G526" s="437"/>
      <c r="H526" s="437"/>
      <c r="I526" s="437"/>
      <c r="J526" s="437"/>
      <c r="K526" s="437"/>
      <c r="L526" s="437"/>
      <c r="M526" s="437"/>
      <c r="N526" s="437"/>
      <c r="O526" s="437"/>
      <c r="P526" s="437"/>
      <c r="Q526" s="437"/>
      <c r="R526" s="437"/>
      <c r="S526" s="437"/>
      <c r="T526" s="437"/>
      <c r="U526" s="437"/>
      <c r="V526" s="437"/>
      <c r="W526" s="437"/>
      <c r="X526" s="437"/>
      <c r="Y526" s="437"/>
      <c r="Z526" s="437"/>
      <c r="AA526" s="437"/>
      <c r="AB526" s="437"/>
      <c r="AC526" s="437"/>
      <c r="AD526" s="437"/>
      <c r="AE526" s="437"/>
      <c r="AF526" s="437"/>
      <c r="AG526" s="437"/>
      <c r="AH526" s="437"/>
      <c r="AI526" s="437"/>
      <c r="AJ526" s="437"/>
      <c r="AK526" s="437"/>
      <c r="AL526" s="437"/>
      <c r="AM526" s="437"/>
      <c r="AN526" s="437"/>
      <c r="AO526" s="437"/>
      <c r="AP526" s="437"/>
      <c r="AQ526" s="437"/>
      <c r="AR526" s="437"/>
      <c r="AS526" s="437"/>
      <c r="AT526" s="437"/>
      <c r="AU526" s="437"/>
      <c r="AV526" s="437"/>
      <c r="AW526" s="437"/>
      <c r="AX526" s="436">
        <v>521</v>
      </c>
      <c r="AY526" s="490" t="s">
        <v>5545</v>
      </c>
      <c r="AZ526" s="490" t="s">
        <v>5565</v>
      </c>
      <c r="BA526" s="490" t="s">
        <v>5566</v>
      </c>
      <c r="BB526" s="490" t="s">
        <v>5482</v>
      </c>
      <c r="BC526" s="490" t="s">
        <v>5567</v>
      </c>
      <c r="BD526" s="490" t="s">
        <v>5568</v>
      </c>
      <c r="BE526" s="490" t="s">
        <v>5569</v>
      </c>
      <c r="BF526" s="490" t="s">
        <v>5570</v>
      </c>
      <c r="BG526" s="490" t="s">
        <v>5571</v>
      </c>
      <c r="BH526" s="490" t="s">
        <v>5572</v>
      </c>
      <c r="BI526" s="490" t="s">
        <v>5573</v>
      </c>
      <c r="BJ526" s="490" t="s">
        <v>5574</v>
      </c>
      <c r="BK526" s="437"/>
      <c r="BL526" s="437"/>
      <c r="BM526" s="437"/>
      <c r="BN526" s="437"/>
      <c r="BO526" s="437"/>
      <c r="BP526" s="437"/>
    </row>
    <row r="527" spans="1:68">
      <c r="A527" s="437"/>
      <c r="B527" s="437"/>
      <c r="C527" s="437"/>
      <c r="D527" s="437"/>
      <c r="E527" s="437"/>
      <c r="F527" s="437"/>
      <c r="G527" s="437"/>
      <c r="H527" s="437"/>
      <c r="I527" s="437"/>
      <c r="J527" s="437"/>
      <c r="K527" s="437"/>
      <c r="L527" s="437"/>
      <c r="M527" s="437"/>
      <c r="N527" s="437"/>
      <c r="O527" s="437"/>
      <c r="P527" s="437"/>
      <c r="Q527" s="437"/>
      <c r="R527" s="437"/>
      <c r="S527" s="437"/>
      <c r="T527" s="437"/>
      <c r="U527" s="437"/>
      <c r="V527" s="437"/>
      <c r="W527" s="437"/>
      <c r="X527" s="437"/>
      <c r="Y527" s="437"/>
      <c r="Z527" s="437"/>
      <c r="AA527" s="437"/>
      <c r="AB527" s="437"/>
      <c r="AC527" s="437"/>
      <c r="AD527" s="437"/>
      <c r="AE527" s="437"/>
      <c r="AF527" s="437"/>
      <c r="AG527" s="437"/>
      <c r="AH527" s="437"/>
      <c r="AI527" s="437"/>
      <c r="AJ527" s="437"/>
      <c r="AK527" s="437"/>
      <c r="AL527" s="437"/>
      <c r="AM527" s="437"/>
      <c r="AN527" s="437"/>
      <c r="AO527" s="437"/>
      <c r="AP527" s="437"/>
      <c r="AQ527" s="437"/>
      <c r="AR527" s="437"/>
      <c r="AS527" s="437"/>
      <c r="AT527" s="437"/>
      <c r="AU527" s="437"/>
      <c r="AV527" s="437"/>
      <c r="AW527" s="437"/>
      <c r="AX527" s="436">
        <v>522</v>
      </c>
      <c r="AY527" s="490" t="s">
        <v>5554</v>
      </c>
      <c r="AZ527" s="490" t="s">
        <v>5575</v>
      </c>
      <c r="BA527" s="490" t="s">
        <v>2025</v>
      </c>
      <c r="BB527" s="490" t="s">
        <v>313</v>
      </c>
      <c r="BC527" s="490" t="s">
        <v>5576</v>
      </c>
      <c r="BD527" s="490" t="s">
        <v>5577</v>
      </c>
      <c r="BE527" s="490" t="s">
        <v>5578</v>
      </c>
      <c r="BF527" s="490" t="s">
        <v>5579</v>
      </c>
      <c r="BG527" s="490" t="s">
        <v>5580</v>
      </c>
      <c r="BH527" s="490" t="s">
        <v>2053</v>
      </c>
      <c r="BI527" s="490" t="s">
        <v>5581</v>
      </c>
      <c r="BJ527" s="490" t="s">
        <v>5582</v>
      </c>
      <c r="BK527" s="437"/>
      <c r="BL527" s="437"/>
      <c r="BM527" s="437"/>
      <c r="BN527" s="437"/>
      <c r="BO527" s="437"/>
      <c r="BP527" s="437"/>
    </row>
    <row r="528" spans="1:68">
      <c r="A528" s="437"/>
      <c r="B528" s="437"/>
      <c r="C528" s="437"/>
      <c r="D528" s="437"/>
      <c r="E528" s="437"/>
      <c r="F528" s="437"/>
      <c r="G528" s="437"/>
      <c r="H528" s="437"/>
      <c r="I528" s="437"/>
      <c r="J528" s="437"/>
      <c r="K528" s="437"/>
      <c r="L528" s="437"/>
      <c r="M528" s="437"/>
      <c r="N528" s="437"/>
      <c r="O528" s="437"/>
      <c r="P528" s="437"/>
      <c r="Q528" s="437"/>
      <c r="R528" s="437"/>
      <c r="S528" s="437"/>
      <c r="T528" s="437"/>
      <c r="U528" s="437"/>
      <c r="V528" s="437"/>
      <c r="W528" s="437"/>
      <c r="X528" s="437"/>
      <c r="Y528" s="437"/>
      <c r="Z528" s="437"/>
      <c r="AA528" s="437"/>
      <c r="AB528" s="437"/>
      <c r="AC528" s="437"/>
      <c r="AD528" s="437"/>
      <c r="AE528" s="437"/>
      <c r="AF528" s="437"/>
      <c r="AG528" s="437"/>
      <c r="AH528" s="437"/>
      <c r="AI528" s="437"/>
      <c r="AJ528" s="437"/>
      <c r="AK528" s="437"/>
      <c r="AL528" s="437"/>
      <c r="AM528" s="437"/>
      <c r="AN528" s="437"/>
      <c r="AO528" s="437"/>
      <c r="AP528" s="437"/>
      <c r="AQ528" s="437"/>
      <c r="AR528" s="437"/>
      <c r="AS528" s="437"/>
      <c r="AT528" s="437"/>
      <c r="AU528" s="437"/>
      <c r="AV528" s="437"/>
      <c r="AW528" s="437"/>
      <c r="AX528" s="436">
        <v>523</v>
      </c>
      <c r="AY528" s="490" t="s">
        <v>5583</v>
      </c>
      <c r="AZ528" s="490" t="s">
        <v>5584</v>
      </c>
      <c r="BA528" s="490" t="s">
        <v>5585</v>
      </c>
      <c r="BB528" s="490" t="s">
        <v>5502</v>
      </c>
      <c r="BC528" s="490" t="s">
        <v>5586</v>
      </c>
      <c r="BD528" s="490" t="s">
        <v>5587</v>
      </c>
      <c r="BE528" s="490" t="s">
        <v>5570</v>
      </c>
      <c r="BF528" s="490" t="s">
        <v>5588</v>
      </c>
      <c r="BG528" s="490" t="s">
        <v>411</v>
      </c>
      <c r="BH528" s="490" t="s">
        <v>2791</v>
      </c>
      <c r="BI528" s="490" t="s">
        <v>5589</v>
      </c>
      <c r="BJ528" s="490" t="s">
        <v>5487</v>
      </c>
      <c r="BK528" s="437"/>
      <c r="BL528" s="437"/>
      <c r="BM528" s="437"/>
      <c r="BN528" s="437"/>
      <c r="BO528" s="437"/>
      <c r="BP528" s="437"/>
    </row>
    <row r="529" spans="1:68">
      <c r="A529" s="437"/>
      <c r="B529" s="437"/>
      <c r="C529" s="437"/>
      <c r="D529" s="437"/>
      <c r="E529" s="437"/>
      <c r="F529" s="437"/>
      <c r="G529" s="437"/>
      <c r="H529" s="437"/>
      <c r="I529" s="437"/>
      <c r="J529" s="437"/>
      <c r="K529" s="437"/>
      <c r="L529" s="437"/>
      <c r="M529" s="437"/>
      <c r="N529" s="437"/>
      <c r="O529" s="437"/>
      <c r="P529" s="437"/>
      <c r="Q529" s="437"/>
      <c r="R529" s="437"/>
      <c r="S529" s="437"/>
      <c r="T529" s="437"/>
      <c r="U529" s="437"/>
      <c r="V529" s="437"/>
      <c r="W529" s="437"/>
      <c r="X529" s="437"/>
      <c r="Y529" s="437"/>
      <c r="Z529" s="437"/>
      <c r="AA529" s="437"/>
      <c r="AB529" s="437"/>
      <c r="AC529" s="437"/>
      <c r="AD529" s="437"/>
      <c r="AE529" s="437"/>
      <c r="AF529" s="437"/>
      <c r="AG529" s="437"/>
      <c r="AH529" s="437"/>
      <c r="AI529" s="437"/>
      <c r="AJ529" s="437"/>
      <c r="AK529" s="437"/>
      <c r="AL529" s="437"/>
      <c r="AM529" s="437"/>
      <c r="AN529" s="437"/>
      <c r="AO529" s="437"/>
      <c r="AP529" s="437"/>
      <c r="AQ529" s="437"/>
      <c r="AR529" s="437"/>
      <c r="AS529" s="437"/>
      <c r="AT529" s="437"/>
      <c r="AU529" s="437"/>
      <c r="AV529" s="437"/>
      <c r="AW529" s="437"/>
      <c r="AX529" s="436">
        <v>524</v>
      </c>
      <c r="AY529" s="490" t="s">
        <v>5590</v>
      </c>
      <c r="AZ529" s="490" t="s">
        <v>5591</v>
      </c>
      <c r="BA529" s="490" t="s">
        <v>5584</v>
      </c>
      <c r="BB529" s="490" t="s">
        <v>314</v>
      </c>
      <c r="BC529" s="490" t="s">
        <v>5592</v>
      </c>
      <c r="BD529" s="490" t="s">
        <v>5593</v>
      </c>
      <c r="BE529" s="490" t="s">
        <v>5594</v>
      </c>
      <c r="BF529" s="490" t="s">
        <v>5595</v>
      </c>
      <c r="BG529" s="490" t="s">
        <v>5596</v>
      </c>
      <c r="BH529" s="490" t="s">
        <v>5516</v>
      </c>
      <c r="BI529" s="490" t="s">
        <v>5597</v>
      </c>
      <c r="BJ529" s="490" t="s">
        <v>5598</v>
      </c>
      <c r="BK529" s="437"/>
      <c r="BL529" s="437"/>
      <c r="BM529" s="437"/>
      <c r="BN529" s="437"/>
      <c r="BO529" s="437"/>
      <c r="BP529" s="437"/>
    </row>
    <row r="530" spans="1:68">
      <c r="A530" s="437"/>
      <c r="B530" s="437"/>
      <c r="C530" s="437"/>
      <c r="D530" s="437"/>
      <c r="E530" s="437"/>
      <c r="F530" s="437"/>
      <c r="G530" s="437"/>
      <c r="H530" s="437"/>
      <c r="I530" s="437"/>
      <c r="J530" s="437"/>
      <c r="K530" s="437"/>
      <c r="L530" s="437"/>
      <c r="M530" s="437"/>
      <c r="N530" s="437"/>
      <c r="O530" s="437"/>
      <c r="P530" s="437"/>
      <c r="Q530" s="437"/>
      <c r="R530" s="437"/>
      <c r="S530" s="437"/>
      <c r="T530" s="437"/>
      <c r="U530" s="437"/>
      <c r="V530" s="437"/>
      <c r="W530" s="437"/>
      <c r="X530" s="437"/>
      <c r="Y530" s="437"/>
      <c r="Z530" s="437"/>
      <c r="AA530" s="437"/>
      <c r="AB530" s="437"/>
      <c r="AC530" s="437"/>
      <c r="AD530" s="437"/>
      <c r="AE530" s="437"/>
      <c r="AF530" s="437"/>
      <c r="AG530" s="437"/>
      <c r="AH530" s="437"/>
      <c r="AI530" s="437"/>
      <c r="AJ530" s="437"/>
      <c r="AK530" s="437"/>
      <c r="AL530" s="437"/>
      <c r="AM530" s="437"/>
      <c r="AN530" s="437"/>
      <c r="AO530" s="437"/>
      <c r="AP530" s="437"/>
      <c r="AQ530" s="437"/>
      <c r="AR530" s="437"/>
      <c r="AS530" s="437"/>
      <c r="AT530" s="437"/>
      <c r="AU530" s="437"/>
      <c r="AV530" s="437"/>
      <c r="AW530" s="437"/>
      <c r="AX530" s="436">
        <v>525</v>
      </c>
      <c r="AY530" s="490" t="s">
        <v>5599</v>
      </c>
      <c r="AZ530" s="490" t="s">
        <v>5600</v>
      </c>
      <c r="BA530" s="490" t="s">
        <v>5591</v>
      </c>
      <c r="BB530" s="490" t="s">
        <v>5601</v>
      </c>
      <c r="BC530" s="490" t="s">
        <v>5602</v>
      </c>
      <c r="BD530" s="490" t="s">
        <v>5603</v>
      </c>
      <c r="BE530" s="490" t="s">
        <v>5588</v>
      </c>
      <c r="BF530" s="490" t="s">
        <v>5604</v>
      </c>
      <c r="BG530" s="490" t="s">
        <v>2809</v>
      </c>
      <c r="BH530" s="490" t="s">
        <v>5605</v>
      </c>
      <c r="BI530" s="490" t="s">
        <v>5606</v>
      </c>
      <c r="BJ530" s="490" t="s">
        <v>5607</v>
      </c>
      <c r="BK530" s="437"/>
      <c r="BL530" s="437"/>
      <c r="BM530" s="437"/>
      <c r="BN530" s="437"/>
      <c r="BO530" s="437"/>
      <c r="BP530" s="437"/>
    </row>
    <row r="531" spans="1:68">
      <c r="A531" s="437"/>
      <c r="B531" s="437"/>
      <c r="C531" s="437"/>
      <c r="D531" s="437"/>
      <c r="E531" s="437"/>
      <c r="F531" s="437"/>
      <c r="G531" s="437"/>
      <c r="H531" s="437"/>
      <c r="I531" s="437"/>
      <c r="J531" s="437"/>
      <c r="K531" s="437"/>
      <c r="L531" s="437"/>
      <c r="M531" s="437"/>
      <c r="N531" s="437"/>
      <c r="O531" s="437"/>
      <c r="P531" s="437"/>
      <c r="Q531" s="437"/>
      <c r="R531" s="437"/>
      <c r="S531" s="437"/>
      <c r="T531" s="437"/>
      <c r="U531" s="437"/>
      <c r="V531" s="437"/>
      <c r="W531" s="437"/>
      <c r="X531" s="437"/>
      <c r="Y531" s="437"/>
      <c r="Z531" s="437"/>
      <c r="AA531" s="437"/>
      <c r="AB531" s="437"/>
      <c r="AC531" s="437"/>
      <c r="AD531" s="437"/>
      <c r="AE531" s="437"/>
      <c r="AF531" s="437"/>
      <c r="AG531" s="437"/>
      <c r="AH531" s="437"/>
      <c r="AI531" s="437"/>
      <c r="AJ531" s="437"/>
      <c r="AK531" s="437"/>
      <c r="AL531" s="437"/>
      <c r="AM531" s="437"/>
      <c r="AN531" s="437"/>
      <c r="AO531" s="437"/>
      <c r="AP531" s="437"/>
      <c r="AQ531" s="437"/>
      <c r="AR531" s="437"/>
      <c r="AS531" s="437"/>
      <c r="AT531" s="437"/>
      <c r="AU531" s="437"/>
      <c r="AV531" s="437"/>
      <c r="AW531" s="437"/>
      <c r="AX531" s="436">
        <v>526</v>
      </c>
      <c r="AY531" s="490" t="s">
        <v>5591</v>
      </c>
      <c r="AZ531" s="490" t="s">
        <v>5608</v>
      </c>
      <c r="BA531" s="490" t="s">
        <v>5609</v>
      </c>
      <c r="BB531" s="490" t="s">
        <v>1554</v>
      </c>
      <c r="BC531" s="490" t="s">
        <v>5610</v>
      </c>
      <c r="BD531" s="490" t="s">
        <v>5513</v>
      </c>
      <c r="BE531" s="490" t="s">
        <v>5595</v>
      </c>
      <c r="BF531" s="490" t="s">
        <v>5611</v>
      </c>
      <c r="BG531" s="490" t="s">
        <v>5612</v>
      </c>
      <c r="BH531" s="490" t="s">
        <v>5613</v>
      </c>
      <c r="BI531" s="490" t="s">
        <v>5614</v>
      </c>
      <c r="BJ531" s="490" t="s">
        <v>5615</v>
      </c>
      <c r="BK531" s="437"/>
      <c r="BL531" s="437"/>
      <c r="BM531" s="437"/>
      <c r="BN531" s="437"/>
      <c r="BO531" s="437"/>
      <c r="BP531" s="437"/>
    </row>
    <row r="532" spans="1:68">
      <c r="A532" s="437"/>
      <c r="B532" s="437"/>
      <c r="C532" s="437"/>
      <c r="D532" s="437"/>
      <c r="E532" s="437"/>
      <c r="F532" s="437"/>
      <c r="G532" s="437"/>
      <c r="H532" s="437"/>
      <c r="I532" s="437"/>
      <c r="J532" s="437"/>
      <c r="K532" s="437"/>
      <c r="L532" s="437"/>
      <c r="M532" s="437"/>
      <c r="N532" s="437"/>
      <c r="O532" s="437"/>
      <c r="P532" s="437"/>
      <c r="Q532" s="437"/>
      <c r="R532" s="437"/>
      <c r="S532" s="437"/>
      <c r="T532" s="437"/>
      <c r="U532" s="437"/>
      <c r="V532" s="437"/>
      <c r="W532" s="437"/>
      <c r="X532" s="437"/>
      <c r="Y532" s="437"/>
      <c r="Z532" s="437"/>
      <c r="AA532" s="437"/>
      <c r="AB532" s="437"/>
      <c r="AC532" s="437"/>
      <c r="AD532" s="437"/>
      <c r="AE532" s="437"/>
      <c r="AF532" s="437"/>
      <c r="AG532" s="437"/>
      <c r="AH532" s="437"/>
      <c r="AI532" s="437"/>
      <c r="AJ532" s="437"/>
      <c r="AK532" s="437"/>
      <c r="AL532" s="437"/>
      <c r="AM532" s="437"/>
      <c r="AN532" s="437"/>
      <c r="AO532" s="437"/>
      <c r="AP532" s="437"/>
      <c r="AQ532" s="437"/>
      <c r="AR532" s="437"/>
      <c r="AS532" s="437"/>
      <c r="AT532" s="437"/>
      <c r="AU532" s="437"/>
      <c r="AV532" s="437"/>
      <c r="AW532" s="437"/>
      <c r="AX532" s="436">
        <v>527</v>
      </c>
      <c r="AY532" s="490" t="s">
        <v>5600</v>
      </c>
      <c r="AZ532" s="490" t="s">
        <v>5616</v>
      </c>
      <c r="BA532" s="490" t="s">
        <v>5608</v>
      </c>
      <c r="BB532" s="490" t="s">
        <v>310</v>
      </c>
      <c r="BC532" s="490" t="s">
        <v>5617</v>
      </c>
      <c r="BD532" s="490" t="s">
        <v>5521</v>
      </c>
      <c r="BE532" s="490" t="s">
        <v>5618</v>
      </c>
      <c r="BF532" s="490" t="s">
        <v>5619</v>
      </c>
      <c r="BG532" s="490" t="s">
        <v>2829</v>
      </c>
      <c r="BH532" s="490" t="s">
        <v>5620</v>
      </c>
      <c r="BI532" s="490" t="s">
        <v>3585</v>
      </c>
      <c r="BJ532" s="490" t="s">
        <v>5621</v>
      </c>
      <c r="BK532" s="437"/>
      <c r="BL532" s="437"/>
      <c r="BM532" s="437"/>
      <c r="BN532" s="437"/>
      <c r="BO532" s="437"/>
      <c r="BP532" s="437"/>
    </row>
    <row r="533" spans="1:68">
      <c r="A533" s="437"/>
      <c r="B533" s="437"/>
      <c r="C533" s="437"/>
      <c r="D533" s="437"/>
      <c r="E533" s="437"/>
      <c r="F533" s="437"/>
      <c r="G533" s="437"/>
      <c r="H533" s="437"/>
      <c r="I533" s="437"/>
      <c r="J533" s="437"/>
      <c r="K533" s="437"/>
      <c r="L533" s="437"/>
      <c r="M533" s="437"/>
      <c r="N533" s="437"/>
      <c r="O533" s="437"/>
      <c r="P533" s="437"/>
      <c r="Q533" s="437"/>
      <c r="R533" s="437"/>
      <c r="S533" s="437"/>
      <c r="T533" s="437"/>
      <c r="U533" s="437"/>
      <c r="V533" s="437"/>
      <c r="W533" s="437"/>
      <c r="X533" s="437"/>
      <c r="Y533" s="437"/>
      <c r="Z533" s="437"/>
      <c r="AA533" s="437"/>
      <c r="AB533" s="437"/>
      <c r="AC533" s="437"/>
      <c r="AD533" s="437"/>
      <c r="AE533" s="437"/>
      <c r="AF533" s="437"/>
      <c r="AG533" s="437"/>
      <c r="AH533" s="437"/>
      <c r="AI533" s="437"/>
      <c r="AJ533" s="437"/>
      <c r="AK533" s="437"/>
      <c r="AL533" s="437"/>
      <c r="AM533" s="437"/>
      <c r="AN533" s="437"/>
      <c r="AO533" s="437"/>
      <c r="AP533" s="437"/>
      <c r="AQ533" s="437"/>
      <c r="AR533" s="437"/>
      <c r="AS533" s="437"/>
      <c r="AT533" s="437"/>
      <c r="AU533" s="437"/>
      <c r="AV533" s="437"/>
      <c r="AW533" s="437"/>
      <c r="AX533" s="436">
        <v>528</v>
      </c>
      <c r="AY533" s="490" t="s">
        <v>5622</v>
      </c>
      <c r="AZ533" s="490" t="s">
        <v>5623</v>
      </c>
      <c r="BA533" s="490" t="s">
        <v>2088</v>
      </c>
      <c r="BB533" s="490" t="s">
        <v>5624</v>
      </c>
      <c r="BC533" s="490" t="s">
        <v>5625</v>
      </c>
      <c r="BD533" s="490" t="s">
        <v>5626</v>
      </c>
      <c r="BE533" s="490" t="s">
        <v>5611</v>
      </c>
      <c r="BF533" s="490" t="s">
        <v>5627</v>
      </c>
      <c r="BG533" s="490" t="s">
        <v>5628</v>
      </c>
      <c r="BH533" s="490" t="s">
        <v>405</v>
      </c>
      <c r="BI533" s="490" t="s">
        <v>5629</v>
      </c>
      <c r="BJ533" s="490" t="s">
        <v>5630</v>
      </c>
      <c r="BK533" s="437"/>
      <c r="BL533" s="437"/>
      <c r="BM533" s="437"/>
      <c r="BN533" s="437"/>
      <c r="BO533" s="437"/>
      <c r="BP533" s="437"/>
    </row>
    <row r="534" spans="1:68">
      <c r="A534" s="437"/>
      <c r="B534" s="437"/>
      <c r="C534" s="437"/>
      <c r="D534" s="437"/>
      <c r="E534" s="437"/>
      <c r="F534" s="437"/>
      <c r="G534" s="437"/>
      <c r="H534" s="437"/>
      <c r="I534" s="437"/>
      <c r="J534" s="437"/>
      <c r="K534" s="437"/>
      <c r="L534" s="437"/>
      <c r="M534" s="437"/>
      <c r="N534" s="437"/>
      <c r="O534" s="437"/>
      <c r="P534" s="437"/>
      <c r="Q534" s="437"/>
      <c r="R534" s="437"/>
      <c r="S534" s="437"/>
      <c r="T534" s="437"/>
      <c r="U534" s="437"/>
      <c r="V534" s="437"/>
      <c r="W534" s="437"/>
      <c r="X534" s="437"/>
      <c r="Y534" s="437"/>
      <c r="Z534" s="437"/>
      <c r="AA534" s="437"/>
      <c r="AB534" s="437"/>
      <c r="AC534" s="437"/>
      <c r="AD534" s="437"/>
      <c r="AE534" s="437"/>
      <c r="AF534" s="437"/>
      <c r="AG534" s="437"/>
      <c r="AH534" s="437"/>
      <c r="AI534" s="437"/>
      <c r="AJ534" s="437"/>
      <c r="AK534" s="437"/>
      <c r="AL534" s="437"/>
      <c r="AM534" s="437"/>
      <c r="AN534" s="437"/>
      <c r="AO534" s="437"/>
      <c r="AP534" s="437"/>
      <c r="AQ534" s="437"/>
      <c r="AR534" s="437"/>
      <c r="AS534" s="437"/>
      <c r="AT534" s="437"/>
      <c r="AU534" s="437"/>
      <c r="AV534" s="437"/>
      <c r="AW534" s="437"/>
      <c r="AX534" s="436">
        <v>529</v>
      </c>
      <c r="AY534" s="490" t="s">
        <v>5616</v>
      </c>
      <c r="AZ534" s="490" t="s">
        <v>5631</v>
      </c>
      <c r="BA534" s="490" t="s">
        <v>5632</v>
      </c>
      <c r="BB534" s="490" t="s">
        <v>5555</v>
      </c>
      <c r="BC534" s="490" t="s">
        <v>5633</v>
      </c>
      <c r="BD534" s="490" t="s">
        <v>5634</v>
      </c>
      <c r="BE534" s="490" t="s">
        <v>5619</v>
      </c>
      <c r="BF534" s="490" t="s">
        <v>5635</v>
      </c>
      <c r="BG534" s="490" t="s">
        <v>315</v>
      </c>
      <c r="BH534" s="490" t="s">
        <v>5636</v>
      </c>
      <c r="BI534" s="490" t="s">
        <v>5637</v>
      </c>
      <c r="BJ534" s="490" t="s">
        <v>5638</v>
      </c>
      <c r="BK534" s="437"/>
      <c r="BL534" s="437"/>
      <c r="BM534" s="437"/>
      <c r="BN534" s="437"/>
      <c r="BO534" s="437"/>
      <c r="BP534" s="437"/>
    </row>
    <row r="535" spans="1:68">
      <c r="A535" s="437"/>
      <c r="B535" s="437"/>
      <c r="C535" s="437"/>
      <c r="D535" s="437"/>
      <c r="E535" s="437"/>
      <c r="F535" s="437"/>
      <c r="G535" s="437"/>
      <c r="H535" s="437"/>
      <c r="I535" s="437"/>
      <c r="J535" s="437"/>
      <c r="K535" s="437"/>
      <c r="L535" s="437"/>
      <c r="M535" s="437"/>
      <c r="N535" s="437"/>
      <c r="O535" s="437"/>
      <c r="P535" s="437"/>
      <c r="Q535" s="437"/>
      <c r="R535" s="437"/>
      <c r="S535" s="437"/>
      <c r="T535" s="437"/>
      <c r="U535" s="437"/>
      <c r="V535" s="437"/>
      <c r="W535" s="437"/>
      <c r="X535" s="437"/>
      <c r="Y535" s="437"/>
      <c r="Z535" s="437"/>
      <c r="AA535" s="437"/>
      <c r="AB535" s="437"/>
      <c r="AC535" s="437"/>
      <c r="AD535" s="437"/>
      <c r="AE535" s="437"/>
      <c r="AF535" s="437"/>
      <c r="AG535" s="437"/>
      <c r="AH535" s="437"/>
      <c r="AI535" s="437"/>
      <c r="AJ535" s="437"/>
      <c r="AK535" s="437"/>
      <c r="AL535" s="437"/>
      <c r="AM535" s="437"/>
      <c r="AN535" s="437"/>
      <c r="AO535" s="437"/>
      <c r="AP535" s="437"/>
      <c r="AQ535" s="437"/>
      <c r="AR535" s="437"/>
      <c r="AS535" s="437"/>
      <c r="AT535" s="437"/>
      <c r="AU535" s="437"/>
      <c r="AV535" s="437"/>
      <c r="AW535" s="437"/>
      <c r="AX535" s="436">
        <v>530</v>
      </c>
      <c r="AY535" s="490" t="s">
        <v>5639</v>
      </c>
      <c r="AZ535" s="490" t="s">
        <v>5640</v>
      </c>
      <c r="BA535" s="490" t="s">
        <v>5641</v>
      </c>
      <c r="BB535" s="490" t="s">
        <v>5642</v>
      </c>
      <c r="BC535" s="490" t="s">
        <v>2903</v>
      </c>
      <c r="BD535" s="490" t="s">
        <v>5643</v>
      </c>
      <c r="BE535" s="490" t="s">
        <v>5644</v>
      </c>
      <c r="BF535" s="490" t="s">
        <v>5645</v>
      </c>
      <c r="BG535" s="490" t="s">
        <v>5646</v>
      </c>
      <c r="BH535" s="490" t="s">
        <v>5647</v>
      </c>
      <c r="BI535" s="490" t="s">
        <v>5648</v>
      </c>
      <c r="BJ535" s="490" t="s">
        <v>5649</v>
      </c>
      <c r="BK535" s="437"/>
      <c r="BL535" s="437"/>
      <c r="BM535" s="437"/>
      <c r="BN535" s="437"/>
      <c r="BO535" s="437"/>
      <c r="BP535" s="437"/>
    </row>
    <row r="536" spans="1:68">
      <c r="A536" s="437"/>
      <c r="B536" s="437"/>
      <c r="C536" s="437"/>
      <c r="D536" s="437"/>
      <c r="E536" s="437"/>
      <c r="F536" s="437"/>
      <c r="G536" s="437"/>
      <c r="H536" s="437"/>
      <c r="I536" s="437"/>
      <c r="J536" s="437"/>
      <c r="K536" s="437"/>
      <c r="L536" s="437"/>
      <c r="M536" s="437"/>
      <c r="N536" s="437"/>
      <c r="O536" s="437"/>
      <c r="P536" s="437"/>
      <c r="Q536" s="437"/>
      <c r="R536" s="437"/>
      <c r="S536" s="437"/>
      <c r="T536" s="437"/>
      <c r="U536" s="437"/>
      <c r="V536" s="437"/>
      <c r="W536" s="437"/>
      <c r="X536" s="437"/>
      <c r="Y536" s="437"/>
      <c r="Z536" s="437"/>
      <c r="AA536" s="437"/>
      <c r="AB536" s="437"/>
      <c r="AC536" s="437"/>
      <c r="AD536" s="437"/>
      <c r="AE536" s="437"/>
      <c r="AF536" s="437"/>
      <c r="AG536" s="437"/>
      <c r="AH536" s="437"/>
      <c r="AI536" s="437"/>
      <c r="AJ536" s="437"/>
      <c r="AK536" s="437"/>
      <c r="AL536" s="437"/>
      <c r="AM536" s="437"/>
      <c r="AN536" s="437"/>
      <c r="AO536" s="437"/>
      <c r="AP536" s="437"/>
      <c r="AQ536" s="437"/>
      <c r="AR536" s="437"/>
      <c r="AS536" s="437"/>
      <c r="AT536" s="437"/>
      <c r="AU536" s="437"/>
      <c r="AV536" s="437"/>
      <c r="AW536" s="437"/>
      <c r="AX536" s="436">
        <v>531</v>
      </c>
      <c r="AY536" s="490" t="s">
        <v>5650</v>
      </c>
      <c r="AZ536" s="490" t="s">
        <v>5651</v>
      </c>
      <c r="BA536" s="490" t="s">
        <v>5652</v>
      </c>
      <c r="BB536" s="490" t="s">
        <v>5653</v>
      </c>
      <c r="BC536" s="490" t="s">
        <v>5654</v>
      </c>
      <c r="BD536" s="490" t="s">
        <v>5655</v>
      </c>
      <c r="BE536" s="490" t="s">
        <v>5656</v>
      </c>
      <c r="BF536" s="490" t="s">
        <v>5657</v>
      </c>
      <c r="BG536" s="490" t="s">
        <v>5658</v>
      </c>
      <c r="BH536" s="490" t="s">
        <v>5659</v>
      </c>
      <c r="BI536" s="490" t="s">
        <v>5660</v>
      </c>
      <c r="BJ536" s="490" t="s">
        <v>5563</v>
      </c>
      <c r="BK536" s="437"/>
      <c r="BL536" s="437"/>
      <c r="BM536" s="437"/>
      <c r="BN536" s="437"/>
      <c r="BO536" s="437"/>
      <c r="BP536" s="437"/>
    </row>
    <row r="537" spans="1:68">
      <c r="A537" s="437"/>
      <c r="B537" s="437"/>
      <c r="C537" s="437"/>
      <c r="D537" s="437"/>
      <c r="E537" s="437"/>
      <c r="F537" s="437"/>
      <c r="G537" s="437"/>
      <c r="H537" s="437"/>
      <c r="I537" s="437"/>
      <c r="J537" s="437"/>
      <c r="K537" s="437"/>
      <c r="L537" s="437"/>
      <c r="M537" s="437"/>
      <c r="N537" s="437"/>
      <c r="O537" s="437"/>
      <c r="P537" s="437"/>
      <c r="Q537" s="437"/>
      <c r="R537" s="437"/>
      <c r="S537" s="437"/>
      <c r="T537" s="437"/>
      <c r="U537" s="437"/>
      <c r="V537" s="437"/>
      <c r="W537" s="437"/>
      <c r="X537" s="437"/>
      <c r="Y537" s="437"/>
      <c r="Z537" s="437"/>
      <c r="AA537" s="437"/>
      <c r="AB537" s="437"/>
      <c r="AC537" s="437"/>
      <c r="AD537" s="437"/>
      <c r="AE537" s="437"/>
      <c r="AF537" s="437"/>
      <c r="AG537" s="437"/>
      <c r="AH537" s="437"/>
      <c r="AI537" s="437"/>
      <c r="AJ537" s="437"/>
      <c r="AK537" s="437"/>
      <c r="AL537" s="437"/>
      <c r="AM537" s="437"/>
      <c r="AN537" s="437"/>
      <c r="AO537" s="437"/>
      <c r="AP537" s="437"/>
      <c r="AQ537" s="437"/>
      <c r="AR537" s="437"/>
      <c r="AS537" s="437"/>
      <c r="AT537" s="437"/>
      <c r="AU537" s="437"/>
      <c r="AV537" s="437"/>
      <c r="AW537" s="437"/>
      <c r="AX537" s="436">
        <v>532</v>
      </c>
      <c r="AY537" s="490" t="s">
        <v>5640</v>
      </c>
      <c r="AZ537" s="490" t="s">
        <v>5661</v>
      </c>
      <c r="BA537" s="490" t="s">
        <v>5651</v>
      </c>
      <c r="BB537" s="490" t="s">
        <v>5662</v>
      </c>
      <c r="BC537" s="490" t="s">
        <v>5663</v>
      </c>
      <c r="BD537" s="490" t="s">
        <v>5664</v>
      </c>
      <c r="BE537" s="490" t="s">
        <v>5665</v>
      </c>
      <c r="BF537" s="490" t="s">
        <v>5666</v>
      </c>
      <c r="BG537" s="490" t="s">
        <v>5667</v>
      </c>
      <c r="BH537" s="490" t="s">
        <v>5668</v>
      </c>
      <c r="BI537" s="490" t="s">
        <v>5669</v>
      </c>
      <c r="BJ537" s="490" t="s">
        <v>5670</v>
      </c>
      <c r="BK537" s="437"/>
      <c r="BL537" s="437"/>
      <c r="BM537" s="437"/>
      <c r="BN537" s="437"/>
      <c r="BO537" s="437"/>
      <c r="BP537" s="437"/>
    </row>
    <row r="538" spans="1:68">
      <c r="A538" s="437"/>
      <c r="B538" s="437"/>
      <c r="C538" s="437"/>
      <c r="D538" s="437"/>
      <c r="E538" s="437"/>
      <c r="F538" s="437"/>
      <c r="G538" s="437"/>
      <c r="H538" s="437"/>
      <c r="I538" s="437"/>
      <c r="J538" s="437"/>
      <c r="K538" s="437"/>
      <c r="L538" s="437"/>
      <c r="M538" s="437"/>
      <c r="N538" s="437"/>
      <c r="O538" s="437"/>
      <c r="P538" s="437"/>
      <c r="Q538" s="437"/>
      <c r="R538" s="437"/>
      <c r="S538" s="437"/>
      <c r="T538" s="437"/>
      <c r="U538" s="437"/>
      <c r="V538" s="437"/>
      <c r="W538" s="437"/>
      <c r="X538" s="437"/>
      <c r="Y538" s="437"/>
      <c r="Z538" s="437"/>
      <c r="AA538" s="437"/>
      <c r="AB538" s="437"/>
      <c r="AC538" s="437"/>
      <c r="AD538" s="437"/>
      <c r="AE538" s="437"/>
      <c r="AF538" s="437"/>
      <c r="AG538" s="437"/>
      <c r="AH538" s="437"/>
      <c r="AI538" s="437"/>
      <c r="AJ538" s="437"/>
      <c r="AK538" s="437"/>
      <c r="AL538" s="437"/>
      <c r="AM538" s="437"/>
      <c r="AN538" s="437"/>
      <c r="AO538" s="437"/>
      <c r="AP538" s="437"/>
      <c r="AQ538" s="437"/>
      <c r="AR538" s="437"/>
      <c r="AS538" s="437"/>
      <c r="AT538" s="437"/>
      <c r="AU538" s="437"/>
      <c r="AV538" s="437"/>
      <c r="AW538" s="437"/>
      <c r="AX538" s="436">
        <v>533</v>
      </c>
      <c r="AY538" s="490" t="s">
        <v>5671</v>
      </c>
      <c r="AZ538" s="490" t="s">
        <v>5672</v>
      </c>
      <c r="BA538" s="490" t="s">
        <v>5673</v>
      </c>
      <c r="BB538" s="490" t="s">
        <v>5674</v>
      </c>
      <c r="BC538" s="490" t="s">
        <v>5675</v>
      </c>
      <c r="BD538" s="490" t="s">
        <v>5676</v>
      </c>
      <c r="BE538" s="490" t="s">
        <v>5657</v>
      </c>
      <c r="BF538" s="490" t="s">
        <v>5677</v>
      </c>
      <c r="BG538" s="490" t="s">
        <v>5678</v>
      </c>
      <c r="BH538" s="490" t="s">
        <v>2886</v>
      </c>
      <c r="BI538" s="490" t="s">
        <v>5679</v>
      </c>
      <c r="BJ538" s="490" t="s">
        <v>5680</v>
      </c>
      <c r="BK538" s="437"/>
      <c r="BL538" s="437"/>
      <c r="BM538" s="437"/>
      <c r="BN538" s="437"/>
      <c r="BO538" s="437"/>
      <c r="BP538" s="437"/>
    </row>
    <row r="539" spans="1:68">
      <c r="A539" s="437"/>
      <c r="B539" s="437"/>
      <c r="C539" s="437"/>
      <c r="D539" s="437"/>
      <c r="E539" s="437"/>
      <c r="F539" s="437"/>
      <c r="G539" s="437"/>
      <c r="H539" s="437"/>
      <c r="I539" s="437"/>
      <c r="J539" s="437"/>
      <c r="K539" s="437"/>
      <c r="L539" s="437"/>
      <c r="M539" s="437"/>
      <c r="N539" s="437"/>
      <c r="O539" s="437"/>
      <c r="P539" s="437"/>
      <c r="Q539" s="437"/>
      <c r="R539" s="437"/>
      <c r="S539" s="437"/>
      <c r="T539" s="437"/>
      <c r="U539" s="437"/>
      <c r="V539" s="437"/>
      <c r="W539" s="437"/>
      <c r="X539" s="437"/>
      <c r="Y539" s="437"/>
      <c r="Z539" s="437"/>
      <c r="AA539" s="437"/>
      <c r="AB539" s="437"/>
      <c r="AC539" s="437"/>
      <c r="AD539" s="437"/>
      <c r="AE539" s="437"/>
      <c r="AF539" s="437"/>
      <c r="AG539" s="437"/>
      <c r="AH539" s="437"/>
      <c r="AI539" s="437"/>
      <c r="AJ539" s="437"/>
      <c r="AK539" s="437"/>
      <c r="AL539" s="437"/>
      <c r="AM539" s="437"/>
      <c r="AN539" s="437"/>
      <c r="AO539" s="437"/>
      <c r="AP539" s="437"/>
      <c r="AQ539" s="437"/>
      <c r="AR539" s="437"/>
      <c r="AS539" s="437"/>
      <c r="AT539" s="437"/>
      <c r="AU539" s="437"/>
      <c r="AV539" s="437"/>
      <c r="AW539" s="437"/>
      <c r="AX539" s="436">
        <v>534</v>
      </c>
      <c r="AY539" s="490" t="s">
        <v>5681</v>
      </c>
      <c r="AZ539" s="490" t="s">
        <v>5682</v>
      </c>
      <c r="BA539" s="490" t="s">
        <v>5683</v>
      </c>
      <c r="BB539" s="490" t="s">
        <v>5684</v>
      </c>
      <c r="BC539" s="490" t="s">
        <v>2947</v>
      </c>
      <c r="BD539" s="490" t="s">
        <v>5685</v>
      </c>
      <c r="BE539" s="490" t="s">
        <v>5686</v>
      </c>
      <c r="BF539" s="490" t="s">
        <v>2894</v>
      </c>
      <c r="BG539" s="490" t="s">
        <v>2161</v>
      </c>
      <c r="BH539" s="490" t="s">
        <v>5687</v>
      </c>
      <c r="BI539" s="490" t="s">
        <v>5688</v>
      </c>
      <c r="BJ539" s="490" t="s">
        <v>5689</v>
      </c>
      <c r="BK539" s="437"/>
      <c r="BL539" s="437"/>
      <c r="BM539" s="437"/>
      <c r="BN539" s="437"/>
      <c r="BO539" s="437"/>
      <c r="BP539" s="437"/>
    </row>
    <row r="540" spans="1:68">
      <c r="A540" s="437"/>
      <c r="B540" s="437"/>
      <c r="C540" s="437"/>
      <c r="D540" s="437"/>
      <c r="E540" s="437"/>
      <c r="F540" s="437"/>
      <c r="G540" s="437"/>
      <c r="H540" s="437"/>
      <c r="I540" s="437"/>
      <c r="J540" s="437"/>
      <c r="K540" s="437"/>
      <c r="L540" s="437"/>
      <c r="M540" s="437"/>
      <c r="N540" s="437"/>
      <c r="O540" s="437"/>
      <c r="P540" s="437"/>
      <c r="Q540" s="437"/>
      <c r="R540" s="437"/>
      <c r="S540" s="437"/>
      <c r="T540" s="437"/>
      <c r="U540" s="437"/>
      <c r="V540" s="437"/>
      <c r="W540" s="437"/>
      <c r="X540" s="437"/>
      <c r="Y540" s="437"/>
      <c r="Z540" s="437"/>
      <c r="AA540" s="437"/>
      <c r="AB540" s="437"/>
      <c r="AC540" s="437"/>
      <c r="AD540" s="437"/>
      <c r="AE540" s="437"/>
      <c r="AF540" s="437"/>
      <c r="AG540" s="437"/>
      <c r="AH540" s="437"/>
      <c r="AI540" s="437"/>
      <c r="AJ540" s="437"/>
      <c r="AK540" s="437"/>
      <c r="AL540" s="437"/>
      <c r="AM540" s="437"/>
      <c r="AN540" s="437"/>
      <c r="AO540" s="437"/>
      <c r="AP540" s="437"/>
      <c r="AQ540" s="437"/>
      <c r="AR540" s="437"/>
      <c r="AS540" s="437"/>
      <c r="AT540" s="437"/>
      <c r="AU540" s="437"/>
      <c r="AV540" s="437"/>
      <c r="AW540" s="437"/>
      <c r="AX540" s="436">
        <v>535</v>
      </c>
      <c r="AY540" s="490" t="s">
        <v>5690</v>
      </c>
      <c r="AZ540" s="490" t="s">
        <v>5691</v>
      </c>
      <c r="BA540" s="490" t="s">
        <v>5692</v>
      </c>
      <c r="BB540" s="490" t="s">
        <v>5609</v>
      </c>
      <c r="BC540" s="490" t="s">
        <v>5693</v>
      </c>
      <c r="BD540" s="490" t="s">
        <v>5694</v>
      </c>
      <c r="BE540" s="490" t="s">
        <v>5695</v>
      </c>
      <c r="BF540" s="490" t="s">
        <v>5696</v>
      </c>
      <c r="BG540" s="490" t="s">
        <v>5697</v>
      </c>
      <c r="BH540" s="490" t="s">
        <v>5698</v>
      </c>
      <c r="BI540" s="490" t="s">
        <v>316</v>
      </c>
      <c r="BJ540" s="490" t="s">
        <v>5699</v>
      </c>
      <c r="BK540" s="437"/>
      <c r="BL540" s="437"/>
      <c r="BM540" s="437"/>
      <c r="BN540" s="437"/>
      <c r="BO540" s="437"/>
      <c r="BP540" s="437"/>
    </row>
    <row r="541" spans="1:68">
      <c r="A541" s="437"/>
      <c r="B541" s="437"/>
      <c r="C541" s="437"/>
      <c r="D541" s="437"/>
      <c r="E541" s="437"/>
      <c r="F541" s="437"/>
      <c r="G541" s="437"/>
      <c r="H541" s="437"/>
      <c r="I541" s="437"/>
      <c r="J541" s="437"/>
      <c r="K541" s="437"/>
      <c r="L541" s="437"/>
      <c r="M541" s="437"/>
      <c r="N541" s="437"/>
      <c r="O541" s="437"/>
      <c r="P541" s="437"/>
      <c r="Q541" s="437"/>
      <c r="R541" s="437"/>
      <c r="S541" s="437"/>
      <c r="T541" s="437"/>
      <c r="U541" s="437"/>
      <c r="V541" s="437"/>
      <c r="W541" s="437"/>
      <c r="X541" s="437"/>
      <c r="Y541" s="437"/>
      <c r="Z541" s="437"/>
      <c r="AA541" s="437"/>
      <c r="AB541" s="437"/>
      <c r="AC541" s="437"/>
      <c r="AD541" s="437"/>
      <c r="AE541" s="437"/>
      <c r="AF541" s="437"/>
      <c r="AG541" s="437"/>
      <c r="AH541" s="437"/>
      <c r="AI541" s="437"/>
      <c r="AJ541" s="437"/>
      <c r="AK541" s="437"/>
      <c r="AL541" s="437"/>
      <c r="AM541" s="437"/>
      <c r="AN541" s="437"/>
      <c r="AO541" s="437"/>
      <c r="AP541" s="437"/>
      <c r="AQ541" s="437"/>
      <c r="AR541" s="437"/>
      <c r="AS541" s="437"/>
      <c r="AT541" s="437"/>
      <c r="AU541" s="437"/>
      <c r="AV541" s="437"/>
      <c r="AW541" s="437"/>
      <c r="AX541" s="436">
        <v>536</v>
      </c>
      <c r="AY541" s="490" t="s">
        <v>5700</v>
      </c>
      <c r="AZ541" s="490" t="s">
        <v>2966</v>
      </c>
      <c r="BA541" s="490" t="s">
        <v>5701</v>
      </c>
      <c r="BB541" s="490" t="s">
        <v>5702</v>
      </c>
      <c r="BC541" s="490" t="s">
        <v>5703</v>
      </c>
      <c r="BD541" s="490" t="s">
        <v>5704</v>
      </c>
      <c r="BE541" s="490" t="s">
        <v>5705</v>
      </c>
      <c r="BF541" s="490" t="s">
        <v>5706</v>
      </c>
      <c r="BG541" s="490" t="s">
        <v>5707</v>
      </c>
      <c r="BH541" s="490" t="s">
        <v>5708</v>
      </c>
      <c r="BI541" s="490" t="s">
        <v>5709</v>
      </c>
      <c r="BJ541" s="490" t="s">
        <v>5710</v>
      </c>
      <c r="BK541" s="437"/>
      <c r="BL541" s="437"/>
      <c r="BM541" s="437"/>
      <c r="BN541" s="437"/>
      <c r="BO541" s="437"/>
      <c r="BP541" s="437"/>
    </row>
    <row r="542" spans="1:68">
      <c r="A542" s="437"/>
      <c r="B542" s="437"/>
      <c r="C542" s="437"/>
      <c r="D542" s="437"/>
      <c r="E542" s="437"/>
      <c r="F542" s="437"/>
      <c r="G542" s="437"/>
      <c r="H542" s="437"/>
      <c r="I542" s="437"/>
      <c r="J542" s="437"/>
      <c r="K542" s="437"/>
      <c r="L542" s="437"/>
      <c r="M542" s="437"/>
      <c r="N542" s="437"/>
      <c r="O542" s="437"/>
      <c r="P542" s="437"/>
      <c r="Q542" s="437"/>
      <c r="R542" s="437"/>
      <c r="S542" s="437"/>
      <c r="T542" s="437"/>
      <c r="U542" s="437"/>
      <c r="V542" s="437"/>
      <c r="W542" s="437"/>
      <c r="X542" s="437"/>
      <c r="Y542" s="437"/>
      <c r="Z542" s="437"/>
      <c r="AA542" s="437"/>
      <c r="AB542" s="437"/>
      <c r="AC542" s="437"/>
      <c r="AD542" s="437"/>
      <c r="AE542" s="437"/>
      <c r="AF542" s="437"/>
      <c r="AG542" s="437"/>
      <c r="AH542" s="437"/>
      <c r="AI542" s="437"/>
      <c r="AJ542" s="437"/>
      <c r="AK542" s="437"/>
      <c r="AL542" s="437"/>
      <c r="AM542" s="437"/>
      <c r="AN542" s="437"/>
      <c r="AO542" s="437"/>
      <c r="AP542" s="437"/>
      <c r="AQ542" s="437"/>
      <c r="AR542" s="437"/>
      <c r="AS542" s="437"/>
      <c r="AT542" s="437"/>
      <c r="AU542" s="437"/>
      <c r="AV542" s="437"/>
      <c r="AW542" s="437"/>
      <c r="AX542" s="436">
        <v>537</v>
      </c>
      <c r="AY542" s="490" t="s">
        <v>5711</v>
      </c>
      <c r="AZ542" s="490" t="s">
        <v>317</v>
      </c>
      <c r="BA542" s="490" t="s">
        <v>5712</v>
      </c>
      <c r="BB542" s="490" t="s">
        <v>5713</v>
      </c>
      <c r="BC542" s="490" t="s">
        <v>5714</v>
      </c>
      <c r="BD542" s="490" t="s">
        <v>5715</v>
      </c>
      <c r="BE542" s="490" t="s">
        <v>5716</v>
      </c>
      <c r="BF542" s="490" t="s">
        <v>2928</v>
      </c>
      <c r="BG542" s="490" t="s">
        <v>2194</v>
      </c>
      <c r="BH542" s="490" t="s">
        <v>2930</v>
      </c>
      <c r="BI542" s="490" t="s">
        <v>5717</v>
      </c>
      <c r="BJ542" s="490" t="s">
        <v>5718</v>
      </c>
      <c r="BK542" s="437"/>
      <c r="BL542" s="437"/>
      <c r="BM542" s="437"/>
      <c r="BN542" s="437"/>
      <c r="BO542" s="437"/>
      <c r="BP542" s="437"/>
    </row>
    <row r="543" spans="1:68">
      <c r="A543" s="437"/>
      <c r="B543" s="437"/>
      <c r="C543" s="437"/>
      <c r="D543" s="437"/>
      <c r="E543" s="437"/>
      <c r="F543" s="437"/>
      <c r="G543" s="437"/>
      <c r="H543" s="437"/>
      <c r="I543" s="437"/>
      <c r="J543" s="437"/>
      <c r="K543" s="437"/>
      <c r="L543" s="437"/>
      <c r="M543" s="437"/>
      <c r="N543" s="437"/>
      <c r="O543" s="437"/>
      <c r="P543" s="437"/>
      <c r="Q543" s="437"/>
      <c r="R543" s="437"/>
      <c r="S543" s="437"/>
      <c r="T543" s="437"/>
      <c r="U543" s="437"/>
      <c r="V543" s="437"/>
      <c r="W543" s="437"/>
      <c r="X543" s="437"/>
      <c r="Y543" s="437"/>
      <c r="Z543" s="437"/>
      <c r="AA543" s="437"/>
      <c r="AB543" s="437"/>
      <c r="AC543" s="437"/>
      <c r="AD543" s="437"/>
      <c r="AE543" s="437"/>
      <c r="AF543" s="437"/>
      <c r="AG543" s="437"/>
      <c r="AH543" s="437"/>
      <c r="AI543" s="437"/>
      <c r="AJ543" s="437"/>
      <c r="AK543" s="437"/>
      <c r="AL543" s="437"/>
      <c r="AM543" s="437"/>
      <c r="AN543" s="437"/>
      <c r="AO543" s="437"/>
      <c r="AP543" s="437"/>
      <c r="AQ543" s="437"/>
      <c r="AR543" s="437"/>
      <c r="AS543" s="437"/>
      <c r="AT543" s="437"/>
      <c r="AU543" s="437"/>
      <c r="AV543" s="437"/>
      <c r="AW543" s="437"/>
      <c r="AX543" s="436">
        <v>538</v>
      </c>
      <c r="AY543" s="490" t="s">
        <v>5719</v>
      </c>
      <c r="AZ543" s="490" t="s">
        <v>318</v>
      </c>
      <c r="BA543" s="490" t="s">
        <v>319</v>
      </c>
      <c r="BB543" s="490" t="s">
        <v>5720</v>
      </c>
      <c r="BC543" s="490" t="s">
        <v>4062</v>
      </c>
      <c r="BD543" s="490" t="s">
        <v>5721</v>
      </c>
      <c r="BE543" s="490" t="s">
        <v>5722</v>
      </c>
      <c r="BF543" s="490" t="s">
        <v>5723</v>
      </c>
      <c r="BG543" s="490" t="s">
        <v>5724</v>
      </c>
      <c r="BH543" s="490" t="s">
        <v>294</v>
      </c>
      <c r="BI543" s="490" t="s">
        <v>5725</v>
      </c>
      <c r="BJ543" s="490" t="s">
        <v>320</v>
      </c>
      <c r="BK543" s="437"/>
      <c r="BL543" s="437"/>
      <c r="BM543" s="437"/>
      <c r="BN543" s="437"/>
      <c r="BO543" s="437"/>
      <c r="BP543" s="437"/>
    </row>
    <row r="544" spans="1:68">
      <c r="A544" s="437"/>
      <c r="B544" s="437"/>
      <c r="C544" s="437"/>
      <c r="D544" s="437"/>
      <c r="E544" s="437"/>
      <c r="F544" s="437"/>
      <c r="G544" s="437"/>
      <c r="H544" s="437"/>
      <c r="I544" s="437"/>
      <c r="J544" s="437"/>
      <c r="K544" s="437"/>
      <c r="L544" s="437"/>
      <c r="M544" s="437"/>
      <c r="N544" s="437"/>
      <c r="O544" s="437"/>
      <c r="P544" s="437"/>
      <c r="Q544" s="437"/>
      <c r="R544" s="437"/>
      <c r="S544" s="437"/>
      <c r="T544" s="437"/>
      <c r="U544" s="437"/>
      <c r="V544" s="437"/>
      <c r="W544" s="437"/>
      <c r="X544" s="437"/>
      <c r="Y544" s="437"/>
      <c r="Z544" s="437"/>
      <c r="AA544" s="437"/>
      <c r="AB544" s="437"/>
      <c r="AC544" s="437"/>
      <c r="AD544" s="437"/>
      <c r="AE544" s="437"/>
      <c r="AF544" s="437"/>
      <c r="AG544" s="437"/>
      <c r="AH544" s="437"/>
      <c r="AI544" s="437"/>
      <c r="AJ544" s="437"/>
      <c r="AK544" s="437"/>
      <c r="AL544" s="437"/>
      <c r="AM544" s="437"/>
      <c r="AN544" s="437"/>
      <c r="AO544" s="437"/>
      <c r="AP544" s="437"/>
      <c r="AQ544" s="437"/>
      <c r="AR544" s="437"/>
      <c r="AS544" s="437"/>
      <c r="AT544" s="437"/>
      <c r="AU544" s="437"/>
      <c r="AV544" s="437"/>
      <c r="AW544" s="437"/>
      <c r="AX544" s="436">
        <v>539</v>
      </c>
      <c r="AY544" s="490" t="s">
        <v>5726</v>
      </c>
      <c r="AZ544" s="490" t="s">
        <v>2997</v>
      </c>
      <c r="BA544" s="490" t="s">
        <v>321</v>
      </c>
      <c r="BB544" s="490" t="s">
        <v>5727</v>
      </c>
      <c r="BC544" s="490" t="s">
        <v>645</v>
      </c>
      <c r="BD544" s="490" t="s">
        <v>5728</v>
      </c>
      <c r="BE544" s="490" t="s">
        <v>5729</v>
      </c>
      <c r="BF544" s="490" t="s">
        <v>5730</v>
      </c>
      <c r="BG544" s="490" t="s">
        <v>322</v>
      </c>
      <c r="BH544" s="490" t="s">
        <v>5731</v>
      </c>
      <c r="BI544" s="490" t="s">
        <v>5732</v>
      </c>
      <c r="BJ544" s="490" t="s">
        <v>5733</v>
      </c>
      <c r="BK544" s="437"/>
      <c r="BL544" s="437"/>
      <c r="BM544" s="437"/>
      <c r="BN544" s="437"/>
      <c r="BO544" s="437"/>
      <c r="BP544" s="437"/>
    </row>
    <row r="545" spans="1:68">
      <c r="A545" s="437"/>
      <c r="B545" s="437"/>
      <c r="C545" s="437"/>
      <c r="D545" s="437"/>
      <c r="E545" s="437"/>
      <c r="F545" s="437"/>
      <c r="G545" s="437"/>
      <c r="H545" s="437"/>
      <c r="I545" s="437"/>
      <c r="J545" s="437"/>
      <c r="K545" s="437"/>
      <c r="L545" s="437"/>
      <c r="M545" s="437"/>
      <c r="N545" s="437"/>
      <c r="O545" s="437"/>
      <c r="P545" s="437"/>
      <c r="Q545" s="437"/>
      <c r="R545" s="437"/>
      <c r="S545" s="437"/>
      <c r="T545" s="437"/>
      <c r="U545" s="437"/>
      <c r="V545" s="437"/>
      <c r="W545" s="437"/>
      <c r="X545" s="437"/>
      <c r="Y545" s="437"/>
      <c r="Z545" s="437"/>
      <c r="AA545" s="437"/>
      <c r="AB545" s="437"/>
      <c r="AC545" s="437"/>
      <c r="AD545" s="437"/>
      <c r="AE545" s="437"/>
      <c r="AF545" s="437"/>
      <c r="AG545" s="437"/>
      <c r="AH545" s="437"/>
      <c r="AI545" s="437"/>
      <c r="AJ545" s="437"/>
      <c r="AK545" s="437"/>
      <c r="AL545" s="437"/>
      <c r="AM545" s="437"/>
      <c r="AN545" s="437"/>
      <c r="AO545" s="437"/>
      <c r="AP545" s="437"/>
      <c r="AQ545" s="437"/>
      <c r="AR545" s="437"/>
      <c r="AS545" s="437"/>
      <c r="AT545" s="437"/>
      <c r="AU545" s="437"/>
      <c r="AV545" s="437"/>
      <c r="AW545" s="437"/>
      <c r="AX545" s="436">
        <v>540</v>
      </c>
      <c r="AY545" s="490" t="s">
        <v>5734</v>
      </c>
      <c r="AZ545" s="490" t="s">
        <v>5735</v>
      </c>
      <c r="BA545" s="490" t="s">
        <v>5736</v>
      </c>
      <c r="BB545" s="490" t="s">
        <v>5737</v>
      </c>
      <c r="BC545" s="490" t="s">
        <v>3012</v>
      </c>
      <c r="BD545" s="490" t="s">
        <v>5738</v>
      </c>
      <c r="BE545" s="490" t="s">
        <v>5739</v>
      </c>
      <c r="BF545" s="490" t="s">
        <v>5740</v>
      </c>
      <c r="BG545" s="490" t="s">
        <v>5741</v>
      </c>
      <c r="BH545" s="490" t="s">
        <v>5742</v>
      </c>
      <c r="BI545" s="490" t="s">
        <v>5743</v>
      </c>
      <c r="BJ545" s="490" t="s">
        <v>5744</v>
      </c>
      <c r="BK545" s="437"/>
      <c r="BL545" s="437"/>
      <c r="BM545" s="437"/>
      <c r="BN545" s="437"/>
      <c r="BO545" s="437"/>
      <c r="BP545" s="437"/>
    </row>
    <row r="546" spans="1:68">
      <c r="A546" s="437"/>
      <c r="B546" s="437"/>
      <c r="C546" s="437"/>
      <c r="D546" s="437"/>
      <c r="E546" s="437"/>
      <c r="F546" s="437"/>
      <c r="G546" s="437"/>
      <c r="H546" s="437"/>
      <c r="I546" s="437"/>
      <c r="J546" s="437"/>
      <c r="K546" s="437"/>
      <c r="L546" s="437"/>
      <c r="M546" s="437"/>
      <c r="N546" s="437"/>
      <c r="O546" s="437"/>
      <c r="P546" s="437"/>
      <c r="Q546" s="437"/>
      <c r="R546" s="437"/>
      <c r="S546" s="437"/>
      <c r="T546" s="437"/>
      <c r="U546" s="437"/>
      <c r="V546" s="437"/>
      <c r="W546" s="437"/>
      <c r="X546" s="437"/>
      <c r="Y546" s="437"/>
      <c r="Z546" s="437"/>
      <c r="AA546" s="437"/>
      <c r="AB546" s="437"/>
      <c r="AC546" s="437"/>
      <c r="AD546" s="437"/>
      <c r="AE546" s="437"/>
      <c r="AF546" s="437"/>
      <c r="AG546" s="437"/>
      <c r="AH546" s="437"/>
      <c r="AI546" s="437"/>
      <c r="AJ546" s="437"/>
      <c r="AK546" s="437"/>
      <c r="AL546" s="437"/>
      <c r="AM546" s="437"/>
      <c r="AN546" s="437"/>
      <c r="AO546" s="437"/>
      <c r="AP546" s="437"/>
      <c r="AQ546" s="437"/>
      <c r="AR546" s="437"/>
      <c r="AS546" s="437"/>
      <c r="AT546" s="437"/>
      <c r="AU546" s="437"/>
      <c r="AV546" s="437"/>
      <c r="AW546" s="437"/>
      <c r="AX546" s="436">
        <v>541</v>
      </c>
      <c r="AY546" s="490" t="s">
        <v>3019</v>
      </c>
      <c r="AZ546" s="490" t="s">
        <v>5745</v>
      </c>
      <c r="BA546" s="490" t="s">
        <v>5746</v>
      </c>
      <c r="BB546" s="490" t="s">
        <v>5747</v>
      </c>
      <c r="BC546" s="490" t="s">
        <v>4148</v>
      </c>
      <c r="BD546" s="490" t="s">
        <v>5748</v>
      </c>
      <c r="BE546" s="490" t="s">
        <v>5749</v>
      </c>
      <c r="BF546" s="490" t="s">
        <v>5750</v>
      </c>
      <c r="BG546" s="490" t="s">
        <v>5751</v>
      </c>
      <c r="BH546" s="490" t="s">
        <v>2973</v>
      </c>
      <c r="BI546" s="490" t="s">
        <v>5752</v>
      </c>
      <c r="BJ546" s="490" t="s">
        <v>5648</v>
      </c>
      <c r="BK546" s="437"/>
      <c r="BL546" s="437"/>
      <c r="BM546" s="437"/>
      <c r="BN546" s="437"/>
      <c r="BO546" s="437"/>
      <c r="BP546" s="437"/>
    </row>
    <row r="547" spans="1:68">
      <c r="A547" s="437"/>
      <c r="B547" s="437"/>
      <c r="C547" s="437"/>
      <c r="D547" s="437"/>
      <c r="E547" s="437"/>
      <c r="F547" s="437"/>
      <c r="G547" s="437"/>
      <c r="H547" s="437"/>
      <c r="I547" s="437"/>
      <c r="J547" s="437"/>
      <c r="K547" s="437"/>
      <c r="L547" s="437"/>
      <c r="M547" s="437"/>
      <c r="N547" s="437"/>
      <c r="O547" s="437"/>
      <c r="P547" s="437"/>
      <c r="Q547" s="437"/>
      <c r="R547" s="437"/>
      <c r="S547" s="437"/>
      <c r="T547" s="437"/>
      <c r="U547" s="437"/>
      <c r="V547" s="437"/>
      <c r="W547" s="437"/>
      <c r="X547" s="437"/>
      <c r="Y547" s="437"/>
      <c r="Z547" s="437"/>
      <c r="AA547" s="437"/>
      <c r="AB547" s="437"/>
      <c r="AC547" s="437"/>
      <c r="AD547" s="437"/>
      <c r="AE547" s="437"/>
      <c r="AF547" s="437"/>
      <c r="AG547" s="437"/>
      <c r="AH547" s="437"/>
      <c r="AI547" s="437"/>
      <c r="AJ547" s="437"/>
      <c r="AK547" s="437"/>
      <c r="AL547" s="437"/>
      <c r="AM547" s="437"/>
      <c r="AN547" s="437"/>
      <c r="AO547" s="437"/>
      <c r="AP547" s="437"/>
      <c r="AQ547" s="437"/>
      <c r="AR547" s="437"/>
      <c r="AS547" s="437"/>
      <c r="AT547" s="437"/>
      <c r="AU547" s="437"/>
      <c r="AV547" s="437"/>
      <c r="AW547" s="437"/>
      <c r="AX547" s="436">
        <v>542</v>
      </c>
      <c r="AY547" s="490" t="s">
        <v>5753</v>
      </c>
      <c r="AZ547" s="490" t="s">
        <v>5754</v>
      </c>
      <c r="BA547" s="490" t="s">
        <v>5755</v>
      </c>
      <c r="BB547" s="490" t="s">
        <v>2264</v>
      </c>
      <c r="BC547" s="490" t="s">
        <v>3034</v>
      </c>
      <c r="BD547" s="490" t="s">
        <v>5756</v>
      </c>
      <c r="BE547" s="490" t="s">
        <v>5757</v>
      </c>
      <c r="BF547" s="490" t="s">
        <v>5758</v>
      </c>
      <c r="BG547" s="490" t="s">
        <v>2245</v>
      </c>
      <c r="BH547" s="490" t="s">
        <v>5759</v>
      </c>
      <c r="BI547" s="490" t="s">
        <v>5760</v>
      </c>
      <c r="BJ547" s="490" t="s">
        <v>3710</v>
      </c>
      <c r="BK547" s="437"/>
      <c r="BL547" s="437"/>
      <c r="BM547" s="437"/>
      <c r="BN547" s="437"/>
      <c r="BO547" s="437"/>
      <c r="BP547" s="437"/>
    </row>
    <row r="548" spans="1:68">
      <c r="A548" s="437"/>
      <c r="B548" s="437"/>
      <c r="C548" s="437"/>
      <c r="D548" s="437"/>
      <c r="E548" s="437"/>
      <c r="F548" s="437"/>
      <c r="G548" s="437"/>
      <c r="H548" s="437"/>
      <c r="I548" s="437"/>
      <c r="J548" s="437"/>
      <c r="K548" s="437"/>
      <c r="L548" s="437"/>
      <c r="M548" s="437"/>
      <c r="N548" s="437"/>
      <c r="O548" s="437"/>
      <c r="P548" s="437"/>
      <c r="Q548" s="437"/>
      <c r="R548" s="437"/>
      <c r="S548" s="437"/>
      <c r="T548" s="437"/>
      <c r="U548" s="437"/>
      <c r="V548" s="437"/>
      <c r="W548" s="437"/>
      <c r="X548" s="437"/>
      <c r="Y548" s="437"/>
      <c r="Z548" s="437"/>
      <c r="AA548" s="437"/>
      <c r="AB548" s="437"/>
      <c r="AC548" s="437"/>
      <c r="AD548" s="437"/>
      <c r="AE548" s="437"/>
      <c r="AF548" s="437"/>
      <c r="AG548" s="437"/>
      <c r="AH548" s="437"/>
      <c r="AI548" s="437"/>
      <c r="AJ548" s="437"/>
      <c r="AK548" s="437"/>
      <c r="AL548" s="437"/>
      <c r="AM548" s="437"/>
      <c r="AN548" s="437"/>
      <c r="AO548" s="437"/>
      <c r="AP548" s="437"/>
      <c r="AQ548" s="437"/>
      <c r="AR548" s="437"/>
      <c r="AS548" s="437"/>
      <c r="AT548" s="437"/>
      <c r="AU548" s="437"/>
      <c r="AV548" s="437"/>
      <c r="AW548" s="437"/>
      <c r="AX548" s="436">
        <v>543</v>
      </c>
      <c r="AY548" s="490" t="s">
        <v>5761</v>
      </c>
      <c r="AZ548" s="490" t="s">
        <v>5762</v>
      </c>
      <c r="BA548" s="490" t="s">
        <v>5763</v>
      </c>
      <c r="BB548" s="490" t="s">
        <v>5683</v>
      </c>
      <c r="BC548" s="490" t="s">
        <v>5764</v>
      </c>
      <c r="BD548" s="490" t="s">
        <v>5765</v>
      </c>
      <c r="BE548" s="490" t="s">
        <v>5766</v>
      </c>
      <c r="BF548" s="490" t="s">
        <v>5767</v>
      </c>
      <c r="BG548" s="490" t="s">
        <v>2257</v>
      </c>
      <c r="BH548" s="490" t="s">
        <v>5768</v>
      </c>
      <c r="BI548" s="490" t="s">
        <v>5769</v>
      </c>
      <c r="BJ548" s="490" t="s">
        <v>3719</v>
      </c>
      <c r="BK548" s="437"/>
      <c r="BL548" s="437"/>
      <c r="BM548" s="437"/>
      <c r="BN548" s="437"/>
      <c r="BO548" s="437"/>
      <c r="BP548" s="437"/>
    </row>
    <row r="549" spans="1:68">
      <c r="A549" s="437"/>
      <c r="B549" s="437"/>
      <c r="C549" s="437"/>
      <c r="D549" s="437"/>
      <c r="E549" s="437"/>
      <c r="F549" s="437"/>
      <c r="G549" s="437"/>
      <c r="H549" s="437"/>
      <c r="I549" s="437"/>
      <c r="J549" s="437"/>
      <c r="K549" s="437"/>
      <c r="L549" s="437"/>
      <c r="M549" s="437"/>
      <c r="N549" s="437"/>
      <c r="O549" s="437"/>
      <c r="P549" s="437"/>
      <c r="Q549" s="437"/>
      <c r="R549" s="437"/>
      <c r="S549" s="437"/>
      <c r="T549" s="437"/>
      <c r="U549" s="437"/>
      <c r="V549" s="437"/>
      <c r="W549" s="437"/>
      <c r="X549" s="437"/>
      <c r="Y549" s="437"/>
      <c r="Z549" s="437"/>
      <c r="AA549" s="437"/>
      <c r="AB549" s="437"/>
      <c r="AC549" s="437"/>
      <c r="AD549" s="437"/>
      <c r="AE549" s="437"/>
      <c r="AF549" s="437"/>
      <c r="AG549" s="437"/>
      <c r="AH549" s="437"/>
      <c r="AI549" s="437"/>
      <c r="AJ549" s="437"/>
      <c r="AK549" s="437"/>
      <c r="AL549" s="437"/>
      <c r="AM549" s="437"/>
      <c r="AN549" s="437"/>
      <c r="AO549" s="437"/>
      <c r="AP549" s="437"/>
      <c r="AQ549" s="437"/>
      <c r="AR549" s="437"/>
      <c r="AS549" s="437"/>
      <c r="AT549" s="437"/>
      <c r="AU549" s="437"/>
      <c r="AV549" s="437"/>
      <c r="AW549" s="437"/>
      <c r="AX549" s="436">
        <v>544</v>
      </c>
      <c r="AY549" s="490" t="s">
        <v>5770</v>
      </c>
      <c r="AZ549" s="490" t="s">
        <v>5771</v>
      </c>
      <c r="BA549" s="490" t="s">
        <v>5772</v>
      </c>
      <c r="BB549" s="490" t="s">
        <v>5773</v>
      </c>
      <c r="BC549" s="490" t="s">
        <v>5237</v>
      </c>
      <c r="BD549" s="490" t="s">
        <v>5774</v>
      </c>
      <c r="BE549" s="490" t="s">
        <v>5775</v>
      </c>
      <c r="BF549" s="490" t="s">
        <v>5776</v>
      </c>
      <c r="BG549" s="490" t="s">
        <v>2268</v>
      </c>
      <c r="BH549" s="490" t="s">
        <v>5777</v>
      </c>
      <c r="BI549" s="490" t="s">
        <v>5778</v>
      </c>
      <c r="BJ549" s="490" t="s">
        <v>5779</v>
      </c>
      <c r="BK549" s="437"/>
      <c r="BL549" s="437"/>
      <c r="BM549" s="437"/>
      <c r="BN549" s="437"/>
      <c r="BO549" s="437"/>
      <c r="BP549" s="437"/>
    </row>
    <row r="550" spans="1:68">
      <c r="A550" s="437"/>
      <c r="B550" s="437"/>
      <c r="C550" s="437"/>
      <c r="D550" s="437"/>
      <c r="E550" s="437"/>
      <c r="F550" s="437"/>
      <c r="G550" s="437"/>
      <c r="H550" s="437"/>
      <c r="I550" s="437"/>
      <c r="J550" s="437"/>
      <c r="K550" s="437"/>
      <c r="L550" s="437"/>
      <c r="M550" s="437"/>
      <c r="N550" s="437"/>
      <c r="O550" s="437"/>
      <c r="P550" s="437"/>
      <c r="Q550" s="437"/>
      <c r="R550" s="437"/>
      <c r="S550" s="437"/>
      <c r="T550" s="437"/>
      <c r="U550" s="437"/>
      <c r="V550" s="437"/>
      <c r="W550" s="437"/>
      <c r="X550" s="437"/>
      <c r="Y550" s="437"/>
      <c r="Z550" s="437"/>
      <c r="AA550" s="437"/>
      <c r="AB550" s="437"/>
      <c r="AC550" s="437"/>
      <c r="AD550" s="437"/>
      <c r="AE550" s="437"/>
      <c r="AF550" s="437"/>
      <c r="AG550" s="437"/>
      <c r="AH550" s="437"/>
      <c r="AI550" s="437"/>
      <c r="AJ550" s="437"/>
      <c r="AK550" s="437"/>
      <c r="AL550" s="437"/>
      <c r="AM550" s="437"/>
      <c r="AN550" s="437"/>
      <c r="AO550" s="437"/>
      <c r="AP550" s="437"/>
      <c r="AQ550" s="437"/>
      <c r="AR550" s="437"/>
      <c r="AS550" s="437"/>
      <c r="AT550" s="437"/>
      <c r="AU550" s="437"/>
      <c r="AV550" s="437"/>
      <c r="AW550" s="437"/>
      <c r="AX550" s="436">
        <v>545</v>
      </c>
      <c r="AY550" s="490" t="s">
        <v>5780</v>
      </c>
      <c r="AZ550" s="490" t="s">
        <v>323</v>
      </c>
      <c r="BA550" s="490" t="s">
        <v>5781</v>
      </c>
      <c r="BB550" s="490" t="s">
        <v>5782</v>
      </c>
      <c r="BC550" s="490" t="s">
        <v>5783</v>
      </c>
      <c r="BD550" s="490" t="s">
        <v>5784</v>
      </c>
      <c r="BE550" s="490" t="s">
        <v>5785</v>
      </c>
      <c r="BF550" s="490" t="s">
        <v>5786</v>
      </c>
      <c r="BG550" s="490" t="s">
        <v>324</v>
      </c>
      <c r="BH550" s="490" t="s">
        <v>5787</v>
      </c>
      <c r="BI550" s="490" t="s">
        <v>3749</v>
      </c>
      <c r="BJ550" s="490" t="s">
        <v>5788</v>
      </c>
      <c r="BK550" s="437"/>
      <c r="BL550" s="437"/>
      <c r="BM550" s="437"/>
      <c r="BN550" s="437"/>
      <c r="BO550" s="437"/>
      <c r="BP550" s="437"/>
    </row>
    <row r="551" spans="1:68">
      <c r="A551" s="437"/>
      <c r="B551" s="437"/>
      <c r="C551" s="437"/>
      <c r="D551" s="437"/>
      <c r="E551" s="437"/>
      <c r="F551" s="437"/>
      <c r="G551" s="437"/>
      <c r="H551" s="437"/>
      <c r="I551" s="437"/>
      <c r="J551" s="437"/>
      <c r="K551" s="437"/>
      <c r="L551" s="437"/>
      <c r="M551" s="437"/>
      <c r="N551" s="437"/>
      <c r="O551" s="437"/>
      <c r="P551" s="437"/>
      <c r="Q551" s="437"/>
      <c r="R551" s="437"/>
      <c r="S551" s="437"/>
      <c r="T551" s="437"/>
      <c r="U551" s="437"/>
      <c r="V551" s="437"/>
      <c r="W551" s="437"/>
      <c r="X551" s="437"/>
      <c r="Y551" s="437"/>
      <c r="Z551" s="437"/>
      <c r="AA551" s="437"/>
      <c r="AB551" s="437"/>
      <c r="AC551" s="437"/>
      <c r="AD551" s="437"/>
      <c r="AE551" s="437"/>
      <c r="AF551" s="437"/>
      <c r="AG551" s="437"/>
      <c r="AH551" s="437"/>
      <c r="AI551" s="437"/>
      <c r="AJ551" s="437"/>
      <c r="AK551" s="437"/>
      <c r="AL551" s="437"/>
      <c r="AM551" s="437"/>
      <c r="AN551" s="437"/>
      <c r="AO551" s="437"/>
      <c r="AP551" s="437"/>
      <c r="AQ551" s="437"/>
      <c r="AR551" s="437"/>
      <c r="AS551" s="437"/>
      <c r="AT551" s="437"/>
      <c r="AU551" s="437"/>
      <c r="AV551" s="437"/>
      <c r="AW551" s="437"/>
      <c r="AX551" s="436">
        <v>546</v>
      </c>
      <c r="AY551" s="490" t="s">
        <v>5789</v>
      </c>
      <c r="AZ551" s="490" t="s">
        <v>5790</v>
      </c>
      <c r="BA551" s="490" t="s">
        <v>325</v>
      </c>
      <c r="BB551" s="490" t="s">
        <v>5712</v>
      </c>
      <c r="BC551" s="490" t="s">
        <v>5791</v>
      </c>
      <c r="BD551" s="490" t="s">
        <v>5792</v>
      </c>
      <c r="BE551" s="490" t="s">
        <v>5793</v>
      </c>
      <c r="BF551" s="490" t="s">
        <v>5794</v>
      </c>
      <c r="BG551" s="490" t="s">
        <v>5795</v>
      </c>
      <c r="BH551" s="490" t="s">
        <v>5796</v>
      </c>
      <c r="BI551" s="490" t="s">
        <v>5797</v>
      </c>
      <c r="BJ551" s="490" t="s">
        <v>5798</v>
      </c>
      <c r="BK551" s="437"/>
      <c r="BL551" s="437"/>
      <c r="BM551" s="437"/>
      <c r="BN551" s="437"/>
      <c r="BO551" s="437"/>
      <c r="BP551" s="437"/>
    </row>
    <row r="552" spans="1:68">
      <c r="A552" s="437"/>
      <c r="B552" s="437"/>
      <c r="C552" s="437"/>
      <c r="D552" s="437"/>
      <c r="E552" s="437"/>
      <c r="F552" s="437"/>
      <c r="G552" s="437"/>
      <c r="H552" s="437"/>
      <c r="I552" s="437"/>
      <c r="J552" s="437"/>
      <c r="K552" s="437"/>
      <c r="L552" s="437"/>
      <c r="M552" s="437"/>
      <c r="N552" s="437"/>
      <c r="O552" s="437"/>
      <c r="P552" s="437"/>
      <c r="Q552" s="437"/>
      <c r="R552" s="437"/>
      <c r="S552" s="437"/>
      <c r="T552" s="437"/>
      <c r="U552" s="437"/>
      <c r="V552" s="437"/>
      <c r="W552" s="437"/>
      <c r="X552" s="437"/>
      <c r="Y552" s="437"/>
      <c r="Z552" s="437"/>
      <c r="AA552" s="437"/>
      <c r="AB552" s="437"/>
      <c r="AC552" s="437"/>
      <c r="AD552" s="437"/>
      <c r="AE552" s="437"/>
      <c r="AF552" s="437"/>
      <c r="AG552" s="437"/>
      <c r="AH552" s="437"/>
      <c r="AI552" s="437"/>
      <c r="AJ552" s="437"/>
      <c r="AK552" s="437"/>
      <c r="AL552" s="437"/>
      <c r="AM552" s="437"/>
      <c r="AN552" s="437"/>
      <c r="AO552" s="437"/>
      <c r="AP552" s="437"/>
      <c r="AQ552" s="437"/>
      <c r="AR552" s="437"/>
      <c r="AS552" s="437"/>
      <c r="AT552" s="437"/>
      <c r="AU552" s="437"/>
      <c r="AV552" s="437"/>
      <c r="AW552" s="437"/>
      <c r="AX552" s="436">
        <v>547</v>
      </c>
      <c r="AY552" s="490" t="s">
        <v>5799</v>
      </c>
      <c r="AZ552" s="490" t="s">
        <v>5800</v>
      </c>
      <c r="BA552" s="490" t="s">
        <v>5790</v>
      </c>
      <c r="BB552" s="490" t="s">
        <v>326</v>
      </c>
      <c r="BC552" s="490" t="s">
        <v>5801</v>
      </c>
      <c r="BD552" s="490" t="s">
        <v>5703</v>
      </c>
      <c r="BE552" s="490" t="s">
        <v>5802</v>
      </c>
      <c r="BF552" s="490" t="s">
        <v>5803</v>
      </c>
      <c r="BG552" s="490" t="s">
        <v>327</v>
      </c>
      <c r="BH552" s="490" t="s">
        <v>5804</v>
      </c>
      <c r="BI552" s="490" t="s">
        <v>5805</v>
      </c>
      <c r="BJ552" s="490" t="s">
        <v>5806</v>
      </c>
      <c r="BK552" s="437"/>
      <c r="BL552" s="437"/>
      <c r="BM552" s="437"/>
      <c r="BN552" s="437"/>
      <c r="BO552" s="437"/>
      <c r="BP552" s="437"/>
    </row>
    <row r="553" spans="1:68">
      <c r="A553" s="437"/>
      <c r="B553" s="437"/>
      <c r="C553" s="437"/>
      <c r="D553" s="437"/>
      <c r="E553" s="437"/>
      <c r="F553" s="437"/>
      <c r="G553" s="437"/>
      <c r="H553" s="437"/>
      <c r="I553" s="437"/>
      <c r="J553" s="437"/>
      <c r="K553" s="437"/>
      <c r="L553" s="437"/>
      <c r="M553" s="437"/>
      <c r="N553" s="437"/>
      <c r="O553" s="437"/>
      <c r="P553" s="437"/>
      <c r="Q553" s="437"/>
      <c r="R553" s="437"/>
      <c r="S553" s="437"/>
      <c r="T553" s="437"/>
      <c r="U553" s="437"/>
      <c r="V553" s="437"/>
      <c r="W553" s="437"/>
      <c r="X553" s="437"/>
      <c r="Y553" s="437"/>
      <c r="Z553" s="437"/>
      <c r="AA553" s="437"/>
      <c r="AB553" s="437"/>
      <c r="AC553" s="437"/>
      <c r="AD553" s="437"/>
      <c r="AE553" s="437"/>
      <c r="AF553" s="437"/>
      <c r="AG553" s="437"/>
      <c r="AH553" s="437"/>
      <c r="AI553" s="437"/>
      <c r="AJ553" s="437"/>
      <c r="AK553" s="437"/>
      <c r="AL553" s="437"/>
      <c r="AM553" s="437"/>
      <c r="AN553" s="437"/>
      <c r="AO553" s="437"/>
      <c r="AP553" s="437"/>
      <c r="AQ553" s="437"/>
      <c r="AR553" s="437"/>
      <c r="AS553" s="437"/>
      <c r="AT553" s="437"/>
      <c r="AU553" s="437"/>
      <c r="AV553" s="437"/>
      <c r="AW553" s="437"/>
      <c r="AX553" s="436">
        <v>548</v>
      </c>
      <c r="AY553" s="490" t="s">
        <v>328</v>
      </c>
      <c r="AZ553" s="490" t="s">
        <v>5807</v>
      </c>
      <c r="BA553" s="490" t="s">
        <v>5800</v>
      </c>
      <c r="BB553" s="490" t="s">
        <v>5808</v>
      </c>
      <c r="BC553" s="490" t="s">
        <v>2188</v>
      </c>
      <c r="BD553" s="490" t="s">
        <v>5809</v>
      </c>
      <c r="BE553" s="490" t="s">
        <v>5810</v>
      </c>
      <c r="BF553" s="490" t="s">
        <v>5794</v>
      </c>
      <c r="BG553" s="490" t="s">
        <v>5811</v>
      </c>
      <c r="BH553" s="490" t="s">
        <v>322</v>
      </c>
      <c r="BI553" s="490" t="s">
        <v>5629</v>
      </c>
      <c r="BJ553" s="490" t="s">
        <v>5812</v>
      </c>
      <c r="BK553" s="437"/>
      <c r="BL553" s="437"/>
      <c r="BM553" s="437"/>
      <c r="BN553" s="437"/>
      <c r="BO553" s="437"/>
      <c r="BP553" s="437"/>
    </row>
    <row r="554" spans="1:68">
      <c r="A554" s="437"/>
      <c r="B554" s="437"/>
      <c r="C554" s="437"/>
      <c r="D554" s="437"/>
      <c r="E554" s="437"/>
      <c r="F554" s="437"/>
      <c r="G554" s="437"/>
      <c r="H554" s="437"/>
      <c r="I554" s="437"/>
      <c r="J554" s="437"/>
      <c r="K554" s="437"/>
      <c r="L554" s="437"/>
      <c r="M554" s="437"/>
      <c r="N554" s="437"/>
      <c r="O554" s="437"/>
      <c r="P554" s="437"/>
      <c r="Q554" s="437"/>
      <c r="R554" s="437"/>
      <c r="S554" s="437"/>
      <c r="T554" s="437"/>
      <c r="U554" s="437"/>
      <c r="V554" s="437"/>
      <c r="W554" s="437"/>
      <c r="X554" s="437"/>
      <c r="Y554" s="437"/>
      <c r="Z554" s="437"/>
      <c r="AA554" s="437"/>
      <c r="AB554" s="437"/>
      <c r="AC554" s="437"/>
      <c r="AD554" s="437"/>
      <c r="AE554" s="437"/>
      <c r="AF554" s="437"/>
      <c r="AG554" s="437"/>
      <c r="AH554" s="437"/>
      <c r="AI554" s="437"/>
      <c r="AJ554" s="437"/>
      <c r="AK554" s="437"/>
      <c r="AL554" s="437"/>
      <c r="AM554" s="437"/>
      <c r="AN554" s="437"/>
      <c r="AO554" s="437"/>
      <c r="AP554" s="437"/>
      <c r="AQ554" s="437"/>
      <c r="AR554" s="437"/>
      <c r="AS554" s="437"/>
      <c r="AT554" s="437"/>
      <c r="AU554" s="437"/>
      <c r="AV554" s="437"/>
      <c r="AW554" s="437"/>
      <c r="AX554" s="436">
        <v>549</v>
      </c>
      <c r="AY554" s="490" t="s">
        <v>5813</v>
      </c>
      <c r="AZ554" s="490" t="s">
        <v>5814</v>
      </c>
      <c r="BA554" s="490" t="s">
        <v>5815</v>
      </c>
      <c r="BB554" s="490" t="s">
        <v>5816</v>
      </c>
      <c r="BC554" s="490" t="s">
        <v>5817</v>
      </c>
      <c r="BD554" s="490" t="s">
        <v>4171</v>
      </c>
      <c r="BE554" s="490" t="s">
        <v>5818</v>
      </c>
      <c r="BF554" s="490" t="s">
        <v>2894</v>
      </c>
      <c r="BG554" s="490" t="s">
        <v>327</v>
      </c>
      <c r="BH554" s="490" t="s">
        <v>5819</v>
      </c>
      <c r="BI554" s="490" t="s">
        <v>5820</v>
      </c>
      <c r="BJ554" s="490" t="s">
        <v>5821</v>
      </c>
      <c r="BK554" s="437"/>
      <c r="BL554" s="437"/>
      <c r="BM554" s="437"/>
      <c r="BN554" s="437"/>
      <c r="BO554" s="437"/>
      <c r="BP554" s="437"/>
    </row>
    <row r="555" spans="1:68">
      <c r="A555" s="437"/>
      <c r="B555" s="437"/>
      <c r="C555" s="437"/>
      <c r="D555" s="437"/>
      <c r="E555" s="437"/>
      <c r="F555" s="437"/>
      <c r="G555" s="437"/>
      <c r="H555" s="437"/>
      <c r="I555" s="437"/>
      <c r="J555" s="437"/>
      <c r="K555" s="437"/>
      <c r="L555" s="437"/>
      <c r="M555" s="437"/>
      <c r="N555" s="437"/>
      <c r="O555" s="437"/>
      <c r="P555" s="437"/>
      <c r="Q555" s="437"/>
      <c r="R555" s="437"/>
      <c r="S555" s="437"/>
      <c r="T555" s="437"/>
      <c r="U555" s="437"/>
      <c r="V555" s="437"/>
      <c r="W555" s="437"/>
      <c r="X555" s="437"/>
      <c r="Y555" s="437"/>
      <c r="Z555" s="437"/>
      <c r="AA555" s="437"/>
      <c r="AB555" s="437"/>
      <c r="AC555" s="437"/>
      <c r="AD555" s="437"/>
      <c r="AE555" s="437"/>
      <c r="AF555" s="437"/>
      <c r="AG555" s="437"/>
      <c r="AH555" s="437"/>
      <c r="AI555" s="437"/>
      <c r="AJ555" s="437"/>
      <c r="AK555" s="437"/>
      <c r="AL555" s="437"/>
      <c r="AM555" s="437"/>
      <c r="AN555" s="437"/>
      <c r="AO555" s="437"/>
      <c r="AP555" s="437"/>
      <c r="AQ555" s="437"/>
      <c r="AR555" s="437"/>
      <c r="AS555" s="437"/>
      <c r="AT555" s="437"/>
      <c r="AU555" s="437"/>
      <c r="AV555" s="437"/>
      <c r="AW555" s="437"/>
      <c r="AX555" s="436">
        <v>550</v>
      </c>
      <c r="AY555" s="490" t="s">
        <v>5822</v>
      </c>
      <c r="AZ555" s="490" t="s">
        <v>5823</v>
      </c>
      <c r="BA555" s="490" t="s">
        <v>5824</v>
      </c>
      <c r="BB555" s="490" t="s">
        <v>5825</v>
      </c>
      <c r="BC555" s="490" t="s">
        <v>5826</v>
      </c>
      <c r="BD555" s="490" t="s">
        <v>761</v>
      </c>
      <c r="BE555" s="490" t="s">
        <v>5810</v>
      </c>
      <c r="BF555" s="490" t="s">
        <v>5827</v>
      </c>
      <c r="BG555" s="490" t="s">
        <v>5697</v>
      </c>
      <c r="BH555" s="490" t="s">
        <v>5751</v>
      </c>
      <c r="BI555" s="490" t="s">
        <v>5828</v>
      </c>
      <c r="BJ555" s="490" t="s">
        <v>5829</v>
      </c>
      <c r="BK555" s="437"/>
      <c r="BL555" s="437"/>
      <c r="BM555" s="437"/>
      <c r="BN555" s="437"/>
      <c r="BO555" s="437"/>
      <c r="BP555" s="437"/>
    </row>
    <row r="556" spans="1:68">
      <c r="A556" s="437"/>
      <c r="B556" s="437"/>
      <c r="C556" s="437"/>
      <c r="D556" s="437"/>
      <c r="E556" s="437"/>
      <c r="F556" s="437"/>
      <c r="G556" s="437"/>
      <c r="H556" s="437"/>
      <c r="I556" s="437"/>
      <c r="J556" s="437"/>
      <c r="K556" s="437"/>
      <c r="L556" s="437"/>
      <c r="M556" s="437"/>
      <c r="N556" s="437"/>
      <c r="O556" s="437"/>
      <c r="P556" s="437"/>
      <c r="Q556" s="437"/>
      <c r="R556" s="437"/>
      <c r="S556" s="437"/>
      <c r="T556" s="437"/>
      <c r="U556" s="437"/>
      <c r="V556" s="437"/>
      <c r="W556" s="437"/>
      <c r="X556" s="437"/>
      <c r="Y556" s="437"/>
      <c r="Z556" s="437"/>
      <c r="AA556" s="437"/>
      <c r="AB556" s="437"/>
      <c r="AC556" s="437"/>
      <c r="AD556" s="437"/>
      <c r="AE556" s="437"/>
      <c r="AF556" s="437"/>
      <c r="AG556" s="437"/>
      <c r="AH556" s="437"/>
      <c r="AI556" s="437"/>
      <c r="AJ556" s="437"/>
      <c r="AK556" s="437"/>
      <c r="AL556" s="437"/>
      <c r="AM556" s="437"/>
      <c r="AN556" s="437"/>
      <c r="AO556" s="437"/>
      <c r="AP556" s="437"/>
      <c r="AQ556" s="437"/>
      <c r="AR556" s="437"/>
      <c r="AS556" s="437"/>
      <c r="AT556" s="437"/>
      <c r="AU556" s="437"/>
      <c r="AV556" s="437"/>
      <c r="AW556" s="437"/>
      <c r="AX556" s="436">
        <v>551</v>
      </c>
      <c r="AY556" s="490" t="s">
        <v>3117</v>
      </c>
      <c r="AZ556" s="490" t="s">
        <v>5830</v>
      </c>
      <c r="BA556" s="490" t="s">
        <v>2333</v>
      </c>
      <c r="BB556" s="490" t="s">
        <v>5831</v>
      </c>
      <c r="BC556" s="490" t="s">
        <v>5832</v>
      </c>
      <c r="BD556" s="490" t="s">
        <v>5833</v>
      </c>
      <c r="BE556" s="490" t="s">
        <v>5705</v>
      </c>
      <c r="BF556" s="490" t="s">
        <v>5834</v>
      </c>
      <c r="BG556" s="490" t="s">
        <v>2337</v>
      </c>
      <c r="BH556" s="490" t="s">
        <v>5835</v>
      </c>
      <c r="BI556" s="490" t="s">
        <v>5836</v>
      </c>
      <c r="BJ556" s="490" t="s">
        <v>5837</v>
      </c>
      <c r="BK556" s="437"/>
      <c r="BL556" s="437"/>
      <c r="BM556" s="437"/>
      <c r="BN556" s="437"/>
      <c r="BO556" s="437"/>
      <c r="BP556" s="437"/>
    </row>
    <row r="557" spans="1:68">
      <c r="A557" s="437"/>
      <c r="B557" s="437"/>
      <c r="C557" s="437"/>
      <c r="D557" s="437"/>
      <c r="E557" s="437"/>
      <c r="F557" s="437"/>
      <c r="G557" s="437"/>
      <c r="H557" s="437"/>
      <c r="I557" s="437"/>
      <c r="J557" s="437"/>
      <c r="K557" s="437"/>
      <c r="L557" s="437"/>
      <c r="M557" s="437"/>
      <c r="N557" s="437"/>
      <c r="O557" s="437"/>
      <c r="P557" s="437"/>
      <c r="Q557" s="437"/>
      <c r="R557" s="437"/>
      <c r="S557" s="437"/>
      <c r="T557" s="437"/>
      <c r="U557" s="437"/>
      <c r="V557" s="437"/>
      <c r="W557" s="437"/>
      <c r="X557" s="437"/>
      <c r="Y557" s="437"/>
      <c r="Z557" s="437"/>
      <c r="AA557" s="437"/>
      <c r="AB557" s="437"/>
      <c r="AC557" s="437"/>
      <c r="AD557" s="437"/>
      <c r="AE557" s="437"/>
      <c r="AF557" s="437"/>
      <c r="AG557" s="437"/>
      <c r="AH557" s="437"/>
      <c r="AI557" s="437"/>
      <c r="AJ557" s="437"/>
      <c r="AK557" s="437"/>
      <c r="AL557" s="437"/>
      <c r="AM557" s="437"/>
      <c r="AN557" s="437"/>
      <c r="AO557" s="437"/>
      <c r="AP557" s="437"/>
      <c r="AQ557" s="437"/>
      <c r="AR557" s="437"/>
      <c r="AS557" s="437"/>
      <c r="AT557" s="437"/>
      <c r="AU557" s="437"/>
      <c r="AV557" s="437"/>
      <c r="AW557" s="437"/>
      <c r="AX557" s="436">
        <v>552</v>
      </c>
      <c r="AY557" s="490" t="s">
        <v>5838</v>
      </c>
      <c r="AZ557" s="490" t="s">
        <v>5839</v>
      </c>
      <c r="BA557" s="490" t="s">
        <v>5830</v>
      </c>
      <c r="BB557" s="490" t="s">
        <v>2364</v>
      </c>
      <c r="BC557" s="490" t="s">
        <v>5840</v>
      </c>
      <c r="BD557" s="490" t="s">
        <v>4257</v>
      </c>
      <c r="BE557" s="490" t="s">
        <v>5841</v>
      </c>
      <c r="BF557" s="490" t="s">
        <v>5842</v>
      </c>
      <c r="BG557" s="490" t="s">
        <v>2348</v>
      </c>
      <c r="BH557" s="490" t="s">
        <v>2370</v>
      </c>
      <c r="BI557" s="490" t="s">
        <v>5843</v>
      </c>
      <c r="BJ557" s="490" t="s">
        <v>5844</v>
      </c>
      <c r="BK557" s="437"/>
      <c r="BL557" s="437"/>
      <c r="BM557" s="437"/>
      <c r="BN557" s="437"/>
      <c r="BO557" s="437"/>
      <c r="BP557" s="437"/>
    </row>
    <row r="558" spans="1:68">
      <c r="A558" s="437"/>
      <c r="B558" s="437"/>
      <c r="C558" s="437"/>
      <c r="D558" s="437"/>
      <c r="E558" s="437"/>
      <c r="F558" s="437"/>
      <c r="G558" s="437"/>
      <c r="H558" s="437"/>
      <c r="I558" s="437"/>
      <c r="J558" s="437"/>
      <c r="K558" s="437"/>
      <c r="L558" s="437"/>
      <c r="M558" s="437"/>
      <c r="N558" s="437"/>
      <c r="O558" s="437"/>
      <c r="P558" s="437"/>
      <c r="Q558" s="437"/>
      <c r="R558" s="437"/>
      <c r="S558" s="437"/>
      <c r="T558" s="437"/>
      <c r="U558" s="437"/>
      <c r="V558" s="437"/>
      <c r="W558" s="437"/>
      <c r="X558" s="437"/>
      <c r="Y558" s="437"/>
      <c r="Z558" s="437"/>
      <c r="AA558" s="437"/>
      <c r="AB558" s="437"/>
      <c r="AC558" s="437"/>
      <c r="AD558" s="437"/>
      <c r="AE558" s="437"/>
      <c r="AF558" s="437"/>
      <c r="AG558" s="437"/>
      <c r="AH558" s="437"/>
      <c r="AI558" s="437"/>
      <c r="AJ558" s="437"/>
      <c r="AK558" s="437"/>
      <c r="AL558" s="437"/>
      <c r="AM558" s="437"/>
      <c r="AN558" s="437"/>
      <c r="AO558" s="437"/>
      <c r="AP558" s="437"/>
      <c r="AQ558" s="437"/>
      <c r="AR558" s="437"/>
      <c r="AS558" s="437"/>
      <c r="AT558" s="437"/>
      <c r="AU558" s="437"/>
      <c r="AV558" s="437"/>
      <c r="AW558" s="437"/>
      <c r="AX558" s="436">
        <v>553</v>
      </c>
      <c r="AY558" s="490" t="s">
        <v>5845</v>
      </c>
      <c r="AZ558" s="490" t="s">
        <v>5846</v>
      </c>
      <c r="BA558" s="490" t="s">
        <v>5847</v>
      </c>
      <c r="BB558" s="490" t="s">
        <v>5848</v>
      </c>
      <c r="BC558" s="490" t="s">
        <v>5849</v>
      </c>
      <c r="BD558" s="490" t="s">
        <v>5850</v>
      </c>
      <c r="BE558" s="490" t="s">
        <v>5851</v>
      </c>
      <c r="BF558" s="490" t="s">
        <v>5852</v>
      </c>
      <c r="BG558" s="490" t="s">
        <v>2358</v>
      </c>
      <c r="BH558" s="490" t="s">
        <v>5853</v>
      </c>
      <c r="BI558" s="490" t="s">
        <v>5854</v>
      </c>
      <c r="BJ558" s="490" t="s">
        <v>5855</v>
      </c>
      <c r="BK558" s="437"/>
      <c r="BL558" s="437"/>
      <c r="BM558" s="437"/>
      <c r="BN558" s="437"/>
      <c r="BO558" s="437"/>
      <c r="BP558" s="437"/>
    </row>
    <row r="559" spans="1:68">
      <c r="A559" s="437"/>
      <c r="B559" s="437"/>
      <c r="C559" s="437"/>
      <c r="D559" s="437"/>
      <c r="E559" s="437"/>
      <c r="F559" s="437"/>
      <c r="G559" s="437"/>
      <c r="H559" s="437"/>
      <c r="I559" s="437"/>
      <c r="J559" s="437"/>
      <c r="K559" s="437"/>
      <c r="L559" s="437"/>
      <c r="M559" s="437"/>
      <c r="N559" s="437"/>
      <c r="O559" s="437"/>
      <c r="P559" s="437"/>
      <c r="Q559" s="437"/>
      <c r="R559" s="437"/>
      <c r="S559" s="437"/>
      <c r="T559" s="437"/>
      <c r="U559" s="437"/>
      <c r="V559" s="437"/>
      <c r="W559" s="437"/>
      <c r="X559" s="437"/>
      <c r="Y559" s="437"/>
      <c r="Z559" s="437"/>
      <c r="AA559" s="437"/>
      <c r="AB559" s="437"/>
      <c r="AC559" s="437"/>
      <c r="AD559" s="437"/>
      <c r="AE559" s="437"/>
      <c r="AF559" s="437"/>
      <c r="AG559" s="437"/>
      <c r="AH559" s="437"/>
      <c r="AI559" s="437"/>
      <c r="AJ559" s="437"/>
      <c r="AK559" s="437"/>
      <c r="AL559" s="437"/>
      <c r="AM559" s="437"/>
      <c r="AN559" s="437"/>
      <c r="AO559" s="437"/>
      <c r="AP559" s="437"/>
      <c r="AQ559" s="437"/>
      <c r="AR559" s="437"/>
      <c r="AS559" s="437"/>
      <c r="AT559" s="437"/>
      <c r="AU559" s="437"/>
      <c r="AV559" s="437"/>
      <c r="AW559" s="437"/>
      <c r="AX559" s="436">
        <v>554</v>
      </c>
      <c r="AY559" s="490" t="s">
        <v>5856</v>
      </c>
      <c r="AZ559" s="490" t="s">
        <v>5857</v>
      </c>
      <c r="BA559" s="490" t="s">
        <v>5846</v>
      </c>
      <c r="BB559" s="490" t="s">
        <v>5858</v>
      </c>
      <c r="BC559" s="490" t="s">
        <v>3828</v>
      </c>
      <c r="BD559" s="490" t="s">
        <v>5859</v>
      </c>
      <c r="BE559" s="490" t="s">
        <v>5860</v>
      </c>
      <c r="BF559" s="490" t="s">
        <v>5861</v>
      </c>
      <c r="BG559" s="490" t="s">
        <v>5862</v>
      </c>
      <c r="BH559" s="490" t="s">
        <v>329</v>
      </c>
      <c r="BI559" s="490" t="s">
        <v>3823</v>
      </c>
      <c r="BJ559" s="490" t="s">
        <v>5863</v>
      </c>
      <c r="BK559" s="437"/>
      <c r="BL559" s="437"/>
      <c r="BM559" s="437"/>
      <c r="BN559" s="437"/>
      <c r="BO559" s="437"/>
      <c r="BP559" s="437"/>
    </row>
    <row r="560" spans="1:68">
      <c r="A560" s="437"/>
      <c r="B560" s="437"/>
      <c r="C560" s="437"/>
      <c r="D560" s="437"/>
      <c r="E560" s="437"/>
      <c r="F560" s="437"/>
      <c r="G560" s="437"/>
      <c r="H560" s="437"/>
      <c r="I560" s="437"/>
      <c r="J560" s="437"/>
      <c r="K560" s="437"/>
      <c r="L560" s="437"/>
      <c r="M560" s="437"/>
      <c r="N560" s="437"/>
      <c r="O560" s="437"/>
      <c r="P560" s="437"/>
      <c r="Q560" s="437"/>
      <c r="R560" s="437"/>
      <c r="S560" s="437"/>
      <c r="T560" s="437"/>
      <c r="U560" s="437"/>
      <c r="V560" s="437"/>
      <c r="W560" s="437"/>
      <c r="X560" s="437"/>
      <c r="Y560" s="437"/>
      <c r="Z560" s="437"/>
      <c r="AA560" s="437"/>
      <c r="AB560" s="437"/>
      <c r="AC560" s="437"/>
      <c r="AD560" s="437"/>
      <c r="AE560" s="437"/>
      <c r="AF560" s="437"/>
      <c r="AG560" s="437"/>
      <c r="AH560" s="437"/>
      <c r="AI560" s="437"/>
      <c r="AJ560" s="437"/>
      <c r="AK560" s="437"/>
      <c r="AL560" s="437"/>
      <c r="AM560" s="437"/>
      <c r="AN560" s="437"/>
      <c r="AO560" s="437"/>
      <c r="AP560" s="437"/>
      <c r="AQ560" s="437"/>
      <c r="AR560" s="437"/>
      <c r="AS560" s="437"/>
      <c r="AT560" s="437"/>
      <c r="AU560" s="437"/>
      <c r="AV560" s="437"/>
      <c r="AW560" s="437"/>
      <c r="AX560" s="436">
        <v>555</v>
      </c>
      <c r="AY560" s="490" t="s">
        <v>3156</v>
      </c>
      <c r="AZ560" s="490" t="s">
        <v>5864</v>
      </c>
      <c r="BA560" s="490" t="s">
        <v>5865</v>
      </c>
      <c r="BB560" s="490" t="s">
        <v>330</v>
      </c>
      <c r="BC560" s="490" t="s">
        <v>5866</v>
      </c>
      <c r="BD560" s="490" t="s">
        <v>5335</v>
      </c>
      <c r="BE560" s="490" t="s">
        <v>5867</v>
      </c>
      <c r="BF560" s="490" t="s">
        <v>5868</v>
      </c>
      <c r="BG560" s="490" t="s">
        <v>5869</v>
      </c>
      <c r="BH560" s="490" t="s">
        <v>5870</v>
      </c>
      <c r="BI560" s="490" t="s">
        <v>3842</v>
      </c>
      <c r="BJ560" s="490" t="s">
        <v>5871</v>
      </c>
      <c r="BK560" s="437"/>
      <c r="BL560" s="437"/>
      <c r="BM560" s="437"/>
      <c r="BN560" s="437"/>
      <c r="BO560" s="437"/>
      <c r="BP560" s="437"/>
    </row>
    <row r="561" spans="1:68">
      <c r="A561" s="437"/>
      <c r="B561" s="437"/>
      <c r="C561" s="437"/>
      <c r="D561" s="437"/>
      <c r="E561" s="437"/>
      <c r="F561" s="437"/>
      <c r="G561" s="437"/>
      <c r="H561" s="437"/>
      <c r="I561" s="437"/>
      <c r="J561" s="437"/>
      <c r="K561" s="437"/>
      <c r="L561" s="437"/>
      <c r="M561" s="437"/>
      <c r="N561" s="437"/>
      <c r="O561" s="437"/>
      <c r="P561" s="437"/>
      <c r="Q561" s="437"/>
      <c r="R561" s="437"/>
      <c r="S561" s="437"/>
      <c r="T561" s="437"/>
      <c r="U561" s="437"/>
      <c r="V561" s="437"/>
      <c r="W561" s="437"/>
      <c r="X561" s="437"/>
      <c r="Y561" s="437"/>
      <c r="Z561" s="437"/>
      <c r="AA561" s="437"/>
      <c r="AB561" s="437"/>
      <c r="AC561" s="437"/>
      <c r="AD561" s="437"/>
      <c r="AE561" s="437"/>
      <c r="AF561" s="437"/>
      <c r="AG561" s="437"/>
      <c r="AH561" s="437"/>
      <c r="AI561" s="437"/>
      <c r="AJ561" s="437"/>
      <c r="AK561" s="437"/>
      <c r="AL561" s="437"/>
      <c r="AM561" s="437"/>
      <c r="AN561" s="437"/>
      <c r="AO561" s="437"/>
      <c r="AP561" s="437"/>
      <c r="AQ561" s="437"/>
      <c r="AR561" s="437"/>
      <c r="AS561" s="437"/>
      <c r="AT561" s="437"/>
      <c r="AU561" s="437"/>
      <c r="AV561" s="437"/>
      <c r="AW561" s="437"/>
      <c r="AX561" s="436">
        <v>556</v>
      </c>
      <c r="AY561" s="490" t="s">
        <v>5872</v>
      </c>
      <c r="AZ561" s="490" t="s">
        <v>5873</v>
      </c>
      <c r="BA561" s="490" t="s">
        <v>5874</v>
      </c>
      <c r="BB561" s="490" t="s">
        <v>5875</v>
      </c>
      <c r="BC561" s="490" t="s">
        <v>5876</v>
      </c>
      <c r="BD561" s="490" t="s">
        <v>5877</v>
      </c>
      <c r="BE561" s="490" t="s">
        <v>5878</v>
      </c>
      <c r="BF561" s="490" t="s">
        <v>5879</v>
      </c>
      <c r="BG561" s="490" t="s">
        <v>2390</v>
      </c>
      <c r="BH561" s="490" t="s">
        <v>331</v>
      </c>
      <c r="BI561" s="490" t="s">
        <v>3127</v>
      </c>
      <c r="BJ561" s="490" t="s">
        <v>3833</v>
      </c>
      <c r="BK561" s="437"/>
      <c r="BL561" s="437"/>
      <c r="BM561" s="437"/>
      <c r="BN561" s="437"/>
      <c r="BO561" s="437"/>
      <c r="BP561" s="437"/>
    </row>
    <row r="562" spans="1:68">
      <c r="A562" s="437"/>
      <c r="B562" s="437"/>
      <c r="C562" s="437"/>
      <c r="D562" s="437"/>
      <c r="E562" s="437"/>
      <c r="F562" s="437"/>
      <c r="G562" s="437"/>
      <c r="H562" s="437"/>
      <c r="I562" s="437"/>
      <c r="J562" s="437"/>
      <c r="K562" s="437"/>
      <c r="L562" s="437"/>
      <c r="M562" s="437"/>
      <c r="N562" s="437"/>
      <c r="O562" s="437"/>
      <c r="P562" s="437"/>
      <c r="Q562" s="437"/>
      <c r="R562" s="437"/>
      <c r="S562" s="437"/>
      <c r="T562" s="437"/>
      <c r="U562" s="437"/>
      <c r="V562" s="437"/>
      <c r="W562" s="437"/>
      <c r="X562" s="437"/>
      <c r="Y562" s="437"/>
      <c r="Z562" s="437"/>
      <c r="AA562" s="437"/>
      <c r="AB562" s="437"/>
      <c r="AC562" s="437"/>
      <c r="AD562" s="437"/>
      <c r="AE562" s="437"/>
      <c r="AF562" s="437"/>
      <c r="AG562" s="437"/>
      <c r="AH562" s="437"/>
      <c r="AI562" s="437"/>
      <c r="AJ562" s="437"/>
      <c r="AK562" s="437"/>
      <c r="AL562" s="437"/>
      <c r="AM562" s="437"/>
      <c r="AN562" s="437"/>
      <c r="AO562" s="437"/>
      <c r="AP562" s="437"/>
      <c r="AQ562" s="437"/>
      <c r="AR562" s="437"/>
      <c r="AS562" s="437"/>
      <c r="AT562" s="437"/>
      <c r="AU562" s="437"/>
      <c r="AV562" s="437"/>
      <c r="AW562" s="437"/>
      <c r="AX562" s="436">
        <v>557</v>
      </c>
      <c r="AY562" s="490" t="s">
        <v>5880</v>
      </c>
      <c r="AZ562" s="490" t="s">
        <v>5881</v>
      </c>
      <c r="BA562" s="490" t="s">
        <v>5873</v>
      </c>
      <c r="BB562" s="490" t="s">
        <v>5882</v>
      </c>
      <c r="BC562" s="490" t="s">
        <v>3617</v>
      </c>
      <c r="BD562" s="490" t="s">
        <v>5883</v>
      </c>
      <c r="BE562" s="490" t="s">
        <v>5884</v>
      </c>
      <c r="BF562" s="490" t="s">
        <v>5885</v>
      </c>
      <c r="BG562" s="490" t="s">
        <v>332</v>
      </c>
      <c r="BH562" s="490" t="s">
        <v>5886</v>
      </c>
      <c r="BI562" s="490" t="s">
        <v>3862</v>
      </c>
      <c r="BJ562" s="490" t="s">
        <v>5887</v>
      </c>
      <c r="BK562" s="437"/>
      <c r="BL562" s="437"/>
      <c r="BM562" s="437"/>
      <c r="BN562" s="437"/>
      <c r="BO562" s="437"/>
      <c r="BP562" s="437"/>
    </row>
    <row r="563" spans="1:68">
      <c r="A563" s="437"/>
      <c r="B563" s="437"/>
      <c r="C563" s="437"/>
      <c r="D563" s="437"/>
      <c r="E563" s="437"/>
      <c r="F563" s="437"/>
      <c r="G563" s="437"/>
      <c r="H563" s="437"/>
      <c r="I563" s="437"/>
      <c r="J563" s="437"/>
      <c r="K563" s="437"/>
      <c r="L563" s="437"/>
      <c r="M563" s="437"/>
      <c r="N563" s="437"/>
      <c r="O563" s="437"/>
      <c r="P563" s="437"/>
      <c r="Q563" s="437"/>
      <c r="R563" s="437"/>
      <c r="S563" s="437"/>
      <c r="T563" s="437"/>
      <c r="U563" s="437"/>
      <c r="V563" s="437"/>
      <c r="W563" s="437"/>
      <c r="X563" s="437"/>
      <c r="Y563" s="437"/>
      <c r="Z563" s="437"/>
      <c r="AA563" s="437"/>
      <c r="AB563" s="437"/>
      <c r="AC563" s="437"/>
      <c r="AD563" s="437"/>
      <c r="AE563" s="437"/>
      <c r="AF563" s="437"/>
      <c r="AG563" s="437"/>
      <c r="AH563" s="437"/>
      <c r="AI563" s="437"/>
      <c r="AJ563" s="437"/>
      <c r="AK563" s="437"/>
      <c r="AL563" s="437"/>
      <c r="AM563" s="437"/>
      <c r="AN563" s="437"/>
      <c r="AO563" s="437"/>
      <c r="AP563" s="437"/>
      <c r="AQ563" s="437"/>
      <c r="AR563" s="437"/>
      <c r="AS563" s="437"/>
      <c r="AT563" s="437"/>
      <c r="AU563" s="437"/>
      <c r="AV563" s="437"/>
      <c r="AW563" s="437"/>
      <c r="AX563" s="436">
        <v>558</v>
      </c>
      <c r="AY563" s="490" t="s">
        <v>5888</v>
      </c>
      <c r="AZ563" s="490" t="s">
        <v>5889</v>
      </c>
      <c r="BA563" s="490" t="s">
        <v>5890</v>
      </c>
      <c r="BB563" s="490" t="s">
        <v>5891</v>
      </c>
      <c r="BC563" s="490" t="s">
        <v>578</v>
      </c>
      <c r="BD563" s="490" t="s">
        <v>5892</v>
      </c>
      <c r="BE563" s="490" t="s">
        <v>5893</v>
      </c>
      <c r="BF563" s="490" t="s">
        <v>5894</v>
      </c>
      <c r="BG563" s="490" t="s">
        <v>5895</v>
      </c>
      <c r="BH563" s="490" t="s">
        <v>331</v>
      </c>
      <c r="BI563" s="490" t="s">
        <v>5896</v>
      </c>
      <c r="BJ563" s="490" t="s">
        <v>5897</v>
      </c>
      <c r="BK563" s="437"/>
      <c r="BL563" s="437"/>
      <c r="BM563" s="437"/>
      <c r="BN563" s="437"/>
      <c r="BO563" s="437"/>
      <c r="BP563" s="437"/>
    </row>
    <row r="564" spans="1:68">
      <c r="A564" s="437"/>
      <c r="B564" s="437"/>
      <c r="C564" s="437"/>
      <c r="D564" s="437"/>
      <c r="E564" s="437"/>
      <c r="F564" s="437"/>
      <c r="G564" s="437"/>
      <c r="H564" s="437"/>
      <c r="I564" s="437"/>
      <c r="J564" s="437"/>
      <c r="K564" s="437"/>
      <c r="L564" s="437"/>
      <c r="M564" s="437"/>
      <c r="N564" s="437"/>
      <c r="O564" s="437"/>
      <c r="P564" s="437"/>
      <c r="Q564" s="437"/>
      <c r="R564" s="437"/>
      <c r="S564" s="437"/>
      <c r="T564" s="437"/>
      <c r="U564" s="437"/>
      <c r="V564" s="437"/>
      <c r="W564" s="437"/>
      <c r="X564" s="437"/>
      <c r="Y564" s="437"/>
      <c r="Z564" s="437"/>
      <c r="AA564" s="437"/>
      <c r="AB564" s="437"/>
      <c r="AC564" s="437"/>
      <c r="AD564" s="437"/>
      <c r="AE564" s="437"/>
      <c r="AF564" s="437"/>
      <c r="AG564" s="437"/>
      <c r="AH564" s="437"/>
      <c r="AI564" s="437"/>
      <c r="AJ564" s="437"/>
      <c r="AK564" s="437"/>
      <c r="AL564" s="437"/>
      <c r="AM564" s="437"/>
      <c r="AN564" s="437"/>
      <c r="AO564" s="437"/>
      <c r="AP564" s="437"/>
      <c r="AQ564" s="437"/>
      <c r="AR564" s="437"/>
      <c r="AS564" s="437"/>
      <c r="AT564" s="437"/>
      <c r="AU564" s="437"/>
      <c r="AV564" s="437"/>
      <c r="AW564" s="437"/>
      <c r="AX564" s="436">
        <v>559</v>
      </c>
      <c r="AY564" s="490" t="s">
        <v>5898</v>
      </c>
      <c r="AZ564" s="490" t="s">
        <v>5899</v>
      </c>
      <c r="BA564" s="490" t="s">
        <v>5889</v>
      </c>
      <c r="BB564" s="490" t="s">
        <v>5824</v>
      </c>
      <c r="BC564" s="490" t="s">
        <v>3876</v>
      </c>
      <c r="BD564" s="490" t="s">
        <v>3198</v>
      </c>
      <c r="BE564" s="490" t="s">
        <v>5900</v>
      </c>
      <c r="BF564" s="490" t="s">
        <v>5901</v>
      </c>
      <c r="BG564" s="490" t="s">
        <v>333</v>
      </c>
      <c r="BH564" s="490" t="s">
        <v>5777</v>
      </c>
      <c r="BI564" s="490" t="s">
        <v>5902</v>
      </c>
      <c r="BJ564" s="490" t="s">
        <v>5733</v>
      </c>
      <c r="BK564" s="437"/>
      <c r="BL564" s="437"/>
      <c r="BM564" s="437"/>
      <c r="BN564" s="437"/>
      <c r="BO564" s="437"/>
      <c r="BP564" s="437"/>
    </row>
    <row r="565" spans="1:68">
      <c r="A565" s="437"/>
      <c r="B565" s="437"/>
      <c r="C565" s="437"/>
      <c r="D565" s="437"/>
      <c r="E565" s="437"/>
      <c r="F565" s="437"/>
      <c r="G565" s="437"/>
      <c r="H565" s="437"/>
      <c r="I565" s="437"/>
      <c r="J565" s="437"/>
      <c r="K565" s="437"/>
      <c r="L565" s="437"/>
      <c r="M565" s="437"/>
      <c r="N565" s="437"/>
      <c r="O565" s="437"/>
      <c r="P565" s="437"/>
      <c r="Q565" s="437"/>
      <c r="R565" s="437"/>
      <c r="S565" s="437"/>
      <c r="T565" s="437"/>
      <c r="U565" s="437"/>
      <c r="V565" s="437"/>
      <c r="W565" s="437"/>
      <c r="X565" s="437"/>
      <c r="Y565" s="437"/>
      <c r="Z565" s="437"/>
      <c r="AA565" s="437"/>
      <c r="AB565" s="437"/>
      <c r="AC565" s="437"/>
      <c r="AD565" s="437"/>
      <c r="AE565" s="437"/>
      <c r="AF565" s="437"/>
      <c r="AG565" s="437"/>
      <c r="AH565" s="437"/>
      <c r="AI565" s="437"/>
      <c r="AJ565" s="437"/>
      <c r="AK565" s="437"/>
      <c r="AL565" s="437"/>
      <c r="AM565" s="437"/>
      <c r="AN565" s="437"/>
      <c r="AO565" s="437"/>
      <c r="AP565" s="437"/>
      <c r="AQ565" s="437"/>
      <c r="AR565" s="437"/>
      <c r="AS565" s="437"/>
      <c r="AT565" s="437"/>
      <c r="AU565" s="437"/>
      <c r="AV565" s="437"/>
      <c r="AW565" s="437"/>
      <c r="AX565" s="436">
        <v>560</v>
      </c>
      <c r="AY565" s="490" t="s">
        <v>5903</v>
      </c>
      <c r="AZ565" s="490" t="s">
        <v>334</v>
      </c>
      <c r="BA565" s="490" t="s">
        <v>5899</v>
      </c>
      <c r="BB565" s="490" t="s">
        <v>5904</v>
      </c>
      <c r="BC565" s="490" t="s">
        <v>5905</v>
      </c>
      <c r="BD565" s="490" t="s">
        <v>5906</v>
      </c>
      <c r="BE565" s="490" t="s">
        <v>5907</v>
      </c>
      <c r="BF565" s="490" t="s">
        <v>5908</v>
      </c>
      <c r="BG565" s="490" t="s">
        <v>2433</v>
      </c>
      <c r="BH565" s="490" t="s">
        <v>5909</v>
      </c>
      <c r="BI565" s="490" t="s">
        <v>5910</v>
      </c>
      <c r="BJ565" s="490" t="s">
        <v>3873</v>
      </c>
      <c r="BK565" s="437"/>
      <c r="BL565" s="437"/>
      <c r="BM565" s="437"/>
      <c r="BN565" s="437"/>
      <c r="BO565" s="437"/>
      <c r="BP565" s="437"/>
    </row>
    <row r="566" spans="1:68">
      <c r="A566" s="437"/>
      <c r="B566" s="437"/>
      <c r="C566" s="437"/>
      <c r="D566" s="437"/>
      <c r="E566" s="437"/>
      <c r="F566" s="437"/>
      <c r="G566" s="437"/>
      <c r="H566" s="437"/>
      <c r="I566" s="437"/>
      <c r="J566" s="437"/>
      <c r="K566" s="437"/>
      <c r="L566" s="437"/>
      <c r="M566" s="437"/>
      <c r="N566" s="437"/>
      <c r="O566" s="437"/>
      <c r="P566" s="437"/>
      <c r="Q566" s="437"/>
      <c r="R566" s="437"/>
      <c r="S566" s="437"/>
      <c r="T566" s="437"/>
      <c r="U566" s="437"/>
      <c r="V566" s="437"/>
      <c r="W566" s="437"/>
      <c r="X566" s="437"/>
      <c r="Y566" s="437"/>
      <c r="Z566" s="437"/>
      <c r="AA566" s="437"/>
      <c r="AB566" s="437"/>
      <c r="AC566" s="437"/>
      <c r="AD566" s="437"/>
      <c r="AE566" s="437"/>
      <c r="AF566" s="437"/>
      <c r="AG566" s="437"/>
      <c r="AH566" s="437"/>
      <c r="AI566" s="437"/>
      <c r="AJ566" s="437"/>
      <c r="AK566" s="437"/>
      <c r="AL566" s="437"/>
      <c r="AM566" s="437"/>
      <c r="AN566" s="437"/>
      <c r="AO566" s="437"/>
      <c r="AP566" s="437"/>
      <c r="AQ566" s="437"/>
      <c r="AR566" s="437"/>
      <c r="AS566" s="437"/>
      <c r="AT566" s="437"/>
      <c r="AU566" s="437"/>
      <c r="AV566" s="437"/>
      <c r="AW566" s="437"/>
      <c r="AX566" s="436">
        <v>561</v>
      </c>
      <c r="AY566" s="490" t="s">
        <v>335</v>
      </c>
      <c r="AZ566" s="490" t="s">
        <v>5911</v>
      </c>
      <c r="BA566" s="490" t="s">
        <v>5912</v>
      </c>
      <c r="BB566" s="490" t="s">
        <v>5913</v>
      </c>
      <c r="BC566" s="490" t="s">
        <v>5914</v>
      </c>
      <c r="BD566" s="490" t="s">
        <v>5915</v>
      </c>
      <c r="BE566" s="490" t="s">
        <v>5901</v>
      </c>
      <c r="BF566" s="490" t="s">
        <v>714</v>
      </c>
      <c r="BG566" s="490" t="s">
        <v>336</v>
      </c>
      <c r="BH566" s="490" t="s">
        <v>2464</v>
      </c>
      <c r="BI566" s="490" t="s">
        <v>3903</v>
      </c>
      <c r="BJ566" s="490" t="s">
        <v>5916</v>
      </c>
      <c r="BK566" s="437"/>
      <c r="BL566" s="437"/>
      <c r="BM566" s="437"/>
      <c r="BN566" s="437"/>
      <c r="BO566" s="437"/>
      <c r="BP566" s="437"/>
    </row>
    <row r="567" spans="1:68">
      <c r="A567" s="437"/>
      <c r="B567" s="437"/>
      <c r="C567" s="437"/>
      <c r="D567" s="437"/>
      <c r="E567" s="437"/>
      <c r="F567" s="437"/>
      <c r="G567" s="437"/>
      <c r="H567" s="437"/>
      <c r="I567" s="437"/>
      <c r="J567" s="437"/>
      <c r="K567" s="437"/>
      <c r="L567" s="437"/>
      <c r="M567" s="437"/>
      <c r="N567" s="437"/>
      <c r="O567" s="437"/>
      <c r="P567" s="437"/>
      <c r="Q567" s="437"/>
      <c r="R567" s="437"/>
      <c r="S567" s="437"/>
      <c r="T567" s="437"/>
      <c r="U567" s="437"/>
      <c r="V567" s="437"/>
      <c r="W567" s="437"/>
      <c r="X567" s="437"/>
      <c r="Y567" s="437"/>
      <c r="Z567" s="437"/>
      <c r="AA567" s="437"/>
      <c r="AB567" s="437"/>
      <c r="AC567" s="437"/>
      <c r="AD567" s="437"/>
      <c r="AE567" s="437"/>
      <c r="AF567" s="437"/>
      <c r="AG567" s="437"/>
      <c r="AH567" s="437"/>
      <c r="AI567" s="437"/>
      <c r="AJ567" s="437"/>
      <c r="AK567" s="437"/>
      <c r="AL567" s="437"/>
      <c r="AM567" s="437"/>
      <c r="AN567" s="437"/>
      <c r="AO567" s="437"/>
      <c r="AP567" s="437"/>
      <c r="AQ567" s="437"/>
      <c r="AR567" s="437"/>
      <c r="AS567" s="437"/>
      <c r="AT567" s="437"/>
      <c r="AU567" s="437"/>
      <c r="AV567" s="437"/>
      <c r="AW567" s="437"/>
      <c r="AX567" s="436">
        <v>562</v>
      </c>
      <c r="AY567" s="490" t="s">
        <v>5917</v>
      </c>
      <c r="AZ567" s="490" t="s">
        <v>5918</v>
      </c>
      <c r="BA567" s="490" t="s">
        <v>5911</v>
      </c>
      <c r="BB567" s="490" t="s">
        <v>5919</v>
      </c>
      <c r="BC567" s="490" t="s">
        <v>5920</v>
      </c>
      <c r="BD567" s="490" t="s">
        <v>5921</v>
      </c>
      <c r="BE567" s="490" t="s">
        <v>5922</v>
      </c>
      <c r="BF567" s="490" t="s">
        <v>5923</v>
      </c>
      <c r="BG567" s="490" t="s">
        <v>725</v>
      </c>
      <c r="BH567" s="490" t="s">
        <v>5924</v>
      </c>
      <c r="BI567" s="490" t="s">
        <v>3184</v>
      </c>
      <c r="BJ567" s="490" t="s">
        <v>5836</v>
      </c>
      <c r="BK567" s="437"/>
      <c r="BL567" s="437"/>
      <c r="BM567" s="437"/>
      <c r="BN567" s="437"/>
      <c r="BO567" s="437"/>
      <c r="BP567" s="437"/>
    </row>
    <row r="568" spans="1:68">
      <c r="A568" s="437"/>
      <c r="B568" s="437"/>
      <c r="C568" s="437"/>
      <c r="D568" s="437"/>
      <c r="E568" s="437"/>
      <c r="F568" s="437"/>
      <c r="G568" s="437"/>
      <c r="H568" s="437"/>
      <c r="I568" s="437"/>
      <c r="J568" s="437"/>
      <c r="K568" s="437"/>
      <c r="L568" s="437"/>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6">
        <v>563</v>
      </c>
      <c r="AY568" s="490" t="s">
        <v>5925</v>
      </c>
      <c r="AZ568" s="490" t="s">
        <v>5926</v>
      </c>
      <c r="BA568" s="490" t="s">
        <v>5927</v>
      </c>
      <c r="BB568" s="490" t="s">
        <v>5846</v>
      </c>
      <c r="BC568" s="490" t="s">
        <v>5928</v>
      </c>
      <c r="BD568" s="490" t="s">
        <v>5929</v>
      </c>
      <c r="BE568" s="490" t="s">
        <v>732</v>
      </c>
      <c r="BF568" s="490" t="s">
        <v>5930</v>
      </c>
      <c r="BG568" s="490" t="s">
        <v>5931</v>
      </c>
      <c r="BH568" s="490" t="s">
        <v>5932</v>
      </c>
      <c r="BI568" s="490" t="s">
        <v>5933</v>
      </c>
      <c r="BJ568" s="490" t="s">
        <v>5934</v>
      </c>
      <c r="BK568" s="437"/>
      <c r="BL568" s="437"/>
      <c r="BM568" s="437"/>
      <c r="BN568" s="437"/>
      <c r="BO568" s="437"/>
      <c r="BP568" s="437"/>
    </row>
    <row r="569" spans="1:68">
      <c r="A569" s="437"/>
      <c r="B569" s="437"/>
      <c r="C569" s="437"/>
      <c r="D569" s="437"/>
      <c r="E569" s="437"/>
      <c r="F569" s="437"/>
      <c r="G569" s="437"/>
      <c r="H569" s="437"/>
      <c r="I569" s="437"/>
      <c r="J569" s="437"/>
      <c r="K569" s="437"/>
      <c r="L569" s="437"/>
      <c r="M569" s="437"/>
      <c r="N569" s="437"/>
      <c r="O569" s="437"/>
      <c r="P569" s="437"/>
      <c r="Q569" s="437"/>
      <c r="R569" s="437"/>
      <c r="S569" s="437"/>
      <c r="T569" s="437"/>
      <c r="U569" s="437"/>
      <c r="V569" s="437"/>
      <c r="W569" s="437"/>
      <c r="X569" s="437"/>
      <c r="Y569" s="437"/>
      <c r="Z569" s="437"/>
      <c r="AA569" s="437"/>
      <c r="AB569" s="437"/>
      <c r="AC569" s="437"/>
      <c r="AD569" s="437"/>
      <c r="AE569" s="437"/>
      <c r="AF569" s="437"/>
      <c r="AG569" s="437"/>
      <c r="AH569" s="437"/>
      <c r="AI569" s="437"/>
      <c r="AJ569" s="437"/>
      <c r="AK569" s="437"/>
      <c r="AL569" s="437"/>
      <c r="AM569" s="437"/>
      <c r="AN569" s="437"/>
      <c r="AO569" s="437"/>
      <c r="AP569" s="437"/>
      <c r="AQ569" s="437"/>
      <c r="AR569" s="437"/>
      <c r="AS569" s="437"/>
      <c r="AT569" s="437"/>
      <c r="AU569" s="437"/>
      <c r="AV569" s="437"/>
      <c r="AW569" s="437"/>
      <c r="AX569" s="436">
        <v>564</v>
      </c>
      <c r="AY569" s="490" t="s">
        <v>5935</v>
      </c>
      <c r="AZ569" s="490" t="s">
        <v>5353</v>
      </c>
      <c r="BA569" s="490" t="s">
        <v>5936</v>
      </c>
      <c r="BB569" s="490" t="s">
        <v>5937</v>
      </c>
      <c r="BC569" s="490" t="s">
        <v>5938</v>
      </c>
      <c r="BD569" s="490" t="s">
        <v>5939</v>
      </c>
      <c r="BE569" s="490" t="s">
        <v>5940</v>
      </c>
      <c r="BF569" s="490" t="s">
        <v>5941</v>
      </c>
      <c r="BG569" s="490" t="s">
        <v>5942</v>
      </c>
      <c r="BH569" s="490" t="s">
        <v>5943</v>
      </c>
      <c r="BI569" s="490" t="s">
        <v>5944</v>
      </c>
      <c r="BJ569" s="490" t="s">
        <v>5945</v>
      </c>
      <c r="BK569" s="437"/>
      <c r="BL569" s="437"/>
      <c r="BM569" s="437"/>
      <c r="BN569" s="437"/>
      <c r="BO569" s="437"/>
      <c r="BP569" s="437"/>
    </row>
    <row r="570" spans="1:68">
      <c r="A570" s="437"/>
      <c r="B570" s="437"/>
      <c r="C570" s="437"/>
      <c r="D570" s="437"/>
      <c r="E570" s="437"/>
      <c r="F570" s="437"/>
      <c r="G570" s="437"/>
      <c r="H570" s="437"/>
      <c r="I570" s="437"/>
      <c r="J570" s="437"/>
      <c r="K570" s="437"/>
      <c r="L570" s="437"/>
      <c r="M570" s="437"/>
      <c r="N570" s="437"/>
      <c r="O570" s="437"/>
      <c r="P570" s="437"/>
      <c r="Q570" s="437"/>
      <c r="R570" s="437"/>
      <c r="S570" s="437"/>
      <c r="T570" s="437"/>
      <c r="U570" s="437"/>
      <c r="V570" s="437"/>
      <c r="W570" s="437"/>
      <c r="X570" s="437"/>
      <c r="Y570" s="437"/>
      <c r="Z570" s="437"/>
      <c r="AA570" s="437"/>
      <c r="AB570" s="437"/>
      <c r="AC570" s="437"/>
      <c r="AD570" s="437"/>
      <c r="AE570" s="437"/>
      <c r="AF570" s="437"/>
      <c r="AG570" s="437"/>
      <c r="AH570" s="437"/>
      <c r="AI570" s="437"/>
      <c r="AJ570" s="437"/>
      <c r="AK570" s="437"/>
      <c r="AL570" s="437"/>
      <c r="AM570" s="437"/>
      <c r="AN570" s="437"/>
      <c r="AO570" s="437"/>
      <c r="AP570" s="437"/>
      <c r="AQ570" s="437"/>
      <c r="AR570" s="437"/>
      <c r="AS570" s="437"/>
      <c r="AT570" s="437"/>
      <c r="AU570" s="437"/>
      <c r="AV570" s="437"/>
      <c r="AW570" s="437"/>
      <c r="AX570" s="436">
        <v>565</v>
      </c>
      <c r="AY570" s="490" t="s">
        <v>5946</v>
      </c>
      <c r="AZ570" s="490" t="s">
        <v>5947</v>
      </c>
      <c r="BA570" s="490" t="s">
        <v>5948</v>
      </c>
      <c r="BB570" s="490" t="s">
        <v>5949</v>
      </c>
      <c r="BC570" s="490" t="s">
        <v>5950</v>
      </c>
      <c r="BD570" s="490" t="s">
        <v>5951</v>
      </c>
      <c r="BE570" s="490" t="s">
        <v>5930</v>
      </c>
      <c r="BF570" s="490" t="s">
        <v>5952</v>
      </c>
      <c r="BG570" s="490" t="s">
        <v>5953</v>
      </c>
      <c r="BH570" s="490" t="s">
        <v>5954</v>
      </c>
      <c r="BI570" s="490" t="s">
        <v>5955</v>
      </c>
      <c r="BJ570" s="490" t="s">
        <v>5956</v>
      </c>
      <c r="BK570" s="437"/>
      <c r="BL570" s="437"/>
      <c r="BM570" s="437"/>
      <c r="BN570" s="437"/>
      <c r="BO570" s="437"/>
      <c r="BP570" s="437"/>
    </row>
    <row r="571" spans="1:68">
      <c r="A571" s="437"/>
      <c r="B571" s="437"/>
      <c r="C571" s="437"/>
      <c r="D571" s="437"/>
      <c r="E571" s="437"/>
      <c r="F571" s="437"/>
      <c r="G571" s="437"/>
      <c r="H571" s="437"/>
      <c r="I571" s="437"/>
      <c r="J571" s="437"/>
      <c r="K571" s="437"/>
      <c r="L571" s="437"/>
      <c r="M571" s="437"/>
      <c r="N571" s="437"/>
      <c r="O571" s="437"/>
      <c r="P571" s="437"/>
      <c r="Q571" s="437"/>
      <c r="R571" s="437"/>
      <c r="S571" s="437"/>
      <c r="T571" s="437"/>
      <c r="U571" s="437"/>
      <c r="V571" s="437"/>
      <c r="W571" s="437"/>
      <c r="X571" s="437"/>
      <c r="Y571" s="437"/>
      <c r="Z571" s="437"/>
      <c r="AA571" s="437"/>
      <c r="AB571" s="437"/>
      <c r="AC571" s="437"/>
      <c r="AD571" s="437"/>
      <c r="AE571" s="437"/>
      <c r="AF571" s="437"/>
      <c r="AG571" s="437"/>
      <c r="AH571" s="437"/>
      <c r="AI571" s="437"/>
      <c r="AJ571" s="437"/>
      <c r="AK571" s="437"/>
      <c r="AL571" s="437"/>
      <c r="AM571" s="437"/>
      <c r="AN571" s="437"/>
      <c r="AO571" s="437"/>
      <c r="AP571" s="437"/>
      <c r="AQ571" s="437"/>
      <c r="AR571" s="437"/>
      <c r="AS571" s="437"/>
      <c r="AT571" s="437"/>
      <c r="AU571" s="437"/>
      <c r="AV571" s="437"/>
      <c r="AW571" s="437"/>
      <c r="AX571" s="436">
        <v>566</v>
      </c>
      <c r="AY571" s="490" t="s">
        <v>5957</v>
      </c>
      <c r="AZ571" s="490" t="s">
        <v>5958</v>
      </c>
      <c r="BA571" s="490" t="s">
        <v>5947</v>
      </c>
      <c r="BB571" s="490" t="s">
        <v>5959</v>
      </c>
      <c r="BC571" s="490" t="s">
        <v>5960</v>
      </c>
      <c r="BD571" s="490" t="s">
        <v>5961</v>
      </c>
      <c r="BE571" s="490" t="s">
        <v>5962</v>
      </c>
      <c r="BF571" s="490" t="s">
        <v>5963</v>
      </c>
      <c r="BG571" s="490" t="s">
        <v>5964</v>
      </c>
      <c r="BH571" s="490" t="s">
        <v>337</v>
      </c>
      <c r="BI571" s="490" t="s">
        <v>5965</v>
      </c>
      <c r="BJ571" s="490" t="s">
        <v>5966</v>
      </c>
      <c r="BK571" s="437"/>
      <c r="BL571" s="437"/>
      <c r="BM571" s="437"/>
      <c r="BN571" s="437"/>
      <c r="BO571" s="437"/>
      <c r="BP571" s="437"/>
    </row>
    <row r="572" spans="1:68">
      <c r="A572" s="437"/>
      <c r="B572" s="437"/>
      <c r="C572" s="437"/>
      <c r="D572" s="437"/>
      <c r="E572" s="437"/>
      <c r="F572" s="437"/>
      <c r="G572" s="437"/>
      <c r="H572" s="437"/>
      <c r="I572" s="437"/>
      <c r="J572" s="437"/>
      <c r="K572" s="437"/>
      <c r="L572" s="437"/>
      <c r="M572" s="437"/>
      <c r="N572" s="437"/>
      <c r="O572" s="437"/>
      <c r="P572" s="437"/>
      <c r="Q572" s="437"/>
      <c r="R572" s="437"/>
      <c r="S572" s="437"/>
      <c r="T572" s="437"/>
      <c r="U572" s="437"/>
      <c r="V572" s="437"/>
      <c r="W572" s="437"/>
      <c r="X572" s="437"/>
      <c r="Y572" s="437"/>
      <c r="Z572" s="437"/>
      <c r="AA572" s="437"/>
      <c r="AB572" s="437"/>
      <c r="AC572" s="437"/>
      <c r="AD572" s="437"/>
      <c r="AE572" s="437"/>
      <c r="AF572" s="437"/>
      <c r="AG572" s="437"/>
      <c r="AH572" s="437"/>
      <c r="AI572" s="437"/>
      <c r="AJ572" s="437"/>
      <c r="AK572" s="437"/>
      <c r="AL572" s="437"/>
      <c r="AM572" s="437"/>
      <c r="AN572" s="437"/>
      <c r="AO572" s="437"/>
      <c r="AP572" s="437"/>
      <c r="AQ572" s="437"/>
      <c r="AR572" s="437"/>
      <c r="AS572" s="437"/>
      <c r="AT572" s="437"/>
      <c r="AU572" s="437"/>
      <c r="AV572" s="437"/>
      <c r="AW572" s="437"/>
      <c r="AX572" s="436">
        <v>567</v>
      </c>
      <c r="AY572" s="490" t="s">
        <v>5967</v>
      </c>
      <c r="AZ572" s="490" t="s">
        <v>5968</v>
      </c>
      <c r="BA572" s="490" t="s">
        <v>5969</v>
      </c>
      <c r="BB572" s="490" t="s">
        <v>5890</v>
      </c>
      <c r="BC572" s="490" t="s">
        <v>5970</v>
      </c>
      <c r="BD572" s="490" t="s">
        <v>5971</v>
      </c>
      <c r="BE572" s="490" t="s">
        <v>5952</v>
      </c>
      <c r="BF572" s="490" t="s">
        <v>5972</v>
      </c>
      <c r="BG572" s="490" t="s">
        <v>426</v>
      </c>
      <c r="BH572" s="490" t="s">
        <v>5973</v>
      </c>
      <c r="BI572" s="490" t="s">
        <v>5974</v>
      </c>
      <c r="BJ572" s="490" t="s">
        <v>3127</v>
      </c>
      <c r="BK572" s="437"/>
      <c r="BL572" s="437"/>
      <c r="BM572" s="437"/>
      <c r="BN572" s="437"/>
      <c r="BO572" s="437"/>
      <c r="BP572" s="437"/>
    </row>
    <row r="573" spans="1:68">
      <c r="A573" s="437"/>
      <c r="B573" s="437"/>
      <c r="C573" s="437"/>
      <c r="D573" s="437"/>
      <c r="E573" s="437"/>
      <c r="F573" s="437"/>
      <c r="G573" s="437"/>
      <c r="H573" s="437"/>
      <c r="I573" s="437"/>
      <c r="J573" s="437"/>
      <c r="K573" s="437"/>
      <c r="L573" s="437"/>
      <c r="M573" s="437"/>
      <c r="N573" s="437"/>
      <c r="O573" s="437"/>
      <c r="P573" s="437"/>
      <c r="Q573" s="437"/>
      <c r="R573" s="437"/>
      <c r="S573" s="437"/>
      <c r="T573" s="437"/>
      <c r="U573" s="437"/>
      <c r="V573" s="437"/>
      <c r="W573" s="437"/>
      <c r="X573" s="437"/>
      <c r="Y573" s="437"/>
      <c r="Z573" s="437"/>
      <c r="AA573" s="437"/>
      <c r="AB573" s="437"/>
      <c r="AC573" s="437"/>
      <c r="AD573" s="437"/>
      <c r="AE573" s="437"/>
      <c r="AF573" s="437"/>
      <c r="AG573" s="437"/>
      <c r="AH573" s="437"/>
      <c r="AI573" s="437"/>
      <c r="AJ573" s="437"/>
      <c r="AK573" s="437"/>
      <c r="AL573" s="437"/>
      <c r="AM573" s="437"/>
      <c r="AN573" s="437"/>
      <c r="AO573" s="437"/>
      <c r="AP573" s="437"/>
      <c r="AQ573" s="437"/>
      <c r="AR573" s="437"/>
      <c r="AS573" s="437"/>
      <c r="AT573" s="437"/>
      <c r="AU573" s="437"/>
      <c r="AV573" s="437"/>
      <c r="AW573" s="437"/>
      <c r="AX573" s="436">
        <v>568</v>
      </c>
      <c r="AY573" s="490" t="s">
        <v>5975</v>
      </c>
      <c r="AZ573" s="490" t="s">
        <v>5976</v>
      </c>
      <c r="BA573" s="490" t="s">
        <v>2508</v>
      </c>
      <c r="BB573" s="490" t="s">
        <v>5977</v>
      </c>
      <c r="BC573" s="490" t="s">
        <v>3970</v>
      </c>
      <c r="BD573" s="490" t="s">
        <v>5978</v>
      </c>
      <c r="BE573" s="490" t="s">
        <v>5979</v>
      </c>
      <c r="BF573" s="490" t="s">
        <v>5980</v>
      </c>
      <c r="BG573" s="490" t="s">
        <v>5981</v>
      </c>
      <c r="BH573" s="490" t="s">
        <v>5982</v>
      </c>
      <c r="BI573" s="490" t="s">
        <v>5983</v>
      </c>
      <c r="BJ573" s="490" t="s">
        <v>5984</v>
      </c>
      <c r="BK573" s="437"/>
      <c r="BL573" s="437"/>
      <c r="BM573" s="437"/>
      <c r="BN573" s="437"/>
      <c r="BO573" s="437"/>
      <c r="BP573" s="437"/>
    </row>
    <row r="574" spans="1:68">
      <c r="A574" s="437"/>
      <c r="B574" s="437"/>
      <c r="C574" s="437"/>
      <c r="D574" s="437"/>
      <c r="E574" s="437"/>
      <c r="F574" s="437"/>
      <c r="G574" s="437"/>
      <c r="H574" s="437"/>
      <c r="I574" s="437"/>
      <c r="J574" s="437"/>
      <c r="K574" s="437"/>
      <c r="L574" s="437"/>
      <c r="M574" s="437"/>
      <c r="N574" s="437"/>
      <c r="O574" s="437"/>
      <c r="P574" s="437"/>
      <c r="Q574" s="437"/>
      <c r="R574" s="437"/>
      <c r="S574" s="437"/>
      <c r="T574" s="437"/>
      <c r="U574" s="437"/>
      <c r="V574" s="437"/>
      <c r="W574" s="437"/>
      <c r="X574" s="437"/>
      <c r="Y574" s="437"/>
      <c r="Z574" s="437"/>
      <c r="AA574" s="437"/>
      <c r="AB574" s="437"/>
      <c r="AC574" s="437"/>
      <c r="AD574" s="437"/>
      <c r="AE574" s="437"/>
      <c r="AF574" s="437"/>
      <c r="AG574" s="437"/>
      <c r="AH574" s="437"/>
      <c r="AI574" s="437"/>
      <c r="AJ574" s="437"/>
      <c r="AK574" s="437"/>
      <c r="AL574" s="437"/>
      <c r="AM574" s="437"/>
      <c r="AN574" s="437"/>
      <c r="AO574" s="437"/>
      <c r="AP574" s="437"/>
      <c r="AQ574" s="437"/>
      <c r="AR574" s="437"/>
      <c r="AS574" s="437"/>
      <c r="AT574" s="437"/>
      <c r="AU574" s="437"/>
      <c r="AV574" s="437"/>
      <c r="AW574" s="437"/>
      <c r="AX574" s="436">
        <v>569</v>
      </c>
      <c r="AY574" s="490" t="s">
        <v>5985</v>
      </c>
      <c r="AZ574" s="490" t="s">
        <v>5986</v>
      </c>
      <c r="BA574" s="490" t="s">
        <v>5976</v>
      </c>
      <c r="BB574" s="490" t="s">
        <v>5987</v>
      </c>
      <c r="BC574" s="490" t="s">
        <v>5988</v>
      </c>
      <c r="BD574" s="490" t="s">
        <v>701</v>
      </c>
      <c r="BE574" s="490" t="s">
        <v>5972</v>
      </c>
      <c r="BF574" s="490" t="s">
        <v>5989</v>
      </c>
      <c r="BG574" s="490" t="s">
        <v>5990</v>
      </c>
      <c r="BH574" s="490" t="s">
        <v>3252</v>
      </c>
      <c r="BI574" s="490" t="s">
        <v>5991</v>
      </c>
      <c r="BJ574" s="490" t="s">
        <v>5992</v>
      </c>
      <c r="BK574" s="437"/>
      <c r="BL574" s="437"/>
      <c r="BM574" s="437"/>
      <c r="BN574" s="437"/>
      <c r="BO574" s="437"/>
      <c r="BP574" s="437"/>
    </row>
    <row r="575" spans="1:68">
      <c r="A575" s="437"/>
      <c r="B575" s="437"/>
      <c r="C575" s="437"/>
      <c r="D575" s="437"/>
      <c r="E575" s="437"/>
      <c r="F575" s="437"/>
      <c r="G575" s="437"/>
      <c r="H575" s="437"/>
      <c r="I575" s="437"/>
      <c r="J575" s="437"/>
      <c r="K575" s="437"/>
      <c r="L575" s="437"/>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6">
        <v>570</v>
      </c>
      <c r="AY575" s="490" t="s">
        <v>5993</v>
      </c>
      <c r="AZ575" s="490" t="s">
        <v>5994</v>
      </c>
      <c r="BA575" s="490" t="s">
        <v>5995</v>
      </c>
      <c r="BB575" s="490" t="s">
        <v>5996</v>
      </c>
      <c r="BC575" s="490" t="s">
        <v>996</v>
      </c>
      <c r="BD575" s="490" t="s">
        <v>3971</v>
      </c>
      <c r="BE575" s="490" t="s">
        <v>5997</v>
      </c>
      <c r="BF575" s="490" t="s">
        <v>5998</v>
      </c>
      <c r="BG575" s="490" t="s">
        <v>5999</v>
      </c>
      <c r="BH575" s="490" t="s">
        <v>338</v>
      </c>
      <c r="BI575" s="490" t="s">
        <v>6000</v>
      </c>
      <c r="BJ575" s="490" t="s">
        <v>6001</v>
      </c>
      <c r="BK575" s="437"/>
      <c r="BL575" s="437"/>
      <c r="BM575" s="437"/>
      <c r="BN575" s="437"/>
      <c r="BO575" s="437"/>
      <c r="BP575" s="437"/>
    </row>
    <row r="576" spans="1:68">
      <c r="A576" s="437"/>
      <c r="B576" s="437"/>
      <c r="C576" s="437"/>
      <c r="D576" s="437"/>
      <c r="E576" s="437"/>
      <c r="F576" s="437"/>
      <c r="G576" s="437"/>
      <c r="H576" s="437"/>
      <c r="I576" s="437"/>
      <c r="J576" s="437"/>
      <c r="K576" s="437"/>
      <c r="L576" s="437"/>
      <c r="M576" s="437"/>
      <c r="N576" s="437"/>
      <c r="O576" s="437"/>
      <c r="P576" s="437"/>
      <c r="Q576" s="437"/>
      <c r="R576" s="437"/>
      <c r="S576" s="437"/>
      <c r="T576" s="437"/>
      <c r="U576" s="437"/>
      <c r="V576" s="437"/>
      <c r="W576" s="437"/>
      <c r="X576" s="437"/>
      <c r="Y576" s="437"/>
      <c r="Z576" s="437"/>
      <c r="AA576" s="437"/>
      <c r="AB576" s="437"/>
      <c r="AC576" s="437"/>
      <c r="AD576" s="437"/>
      <c r="AE576" s="437"/>
      <c r="AF576" s="437"/>
      <c r="AG576" s="437"/>
      <c r="AH576" s="437"/>
      <c r="AI576" s="437"/>
      <c r="AJ576" s="437"/>
      <c r="AK576" s="437"/>
      <c r="AL576" s="437"/>
      <c r="AM576" s="437"/>
      <c r="AN576" s="437"/>
      <c r="AO576" s="437"/>
      <c r="AP576" s="437"/>
      <c r="AQ576" s="437"/>
      <c r="AR576" s="437"/>
      <c r="AS576" s="437"/>
      <c r="AT576" s="437"/>
      <c r="AU576" s="437"/>
      <c r="AV576" s="437"/>
      <c r="AW576" s="437"/>
      <c r="AX576" s="436">
        <v>571</v>
      </c>
      <c r="AY576" s="490" t="s">
        <v>6002</v>
      </c>
      <c r="AZ576" s="490" t="s">
        <v>6003</v>
      </c>
      <c r="BA576" s="490" t="s">
        <v>6004</v>
      </c>
      <c r="BB576" s="490" t="s">
        <v>6005</v>
      </c>
      <c r="BC576" s="490" t="s">
        <v>3999</v>
      </c>
      <c r="BD576" s="490" t="s">
        <v>6006</v>
      </c>
      <c r="BE576" s="490" t="s">
        <v>5989</v>
      </c>
      <c r="BF576" s="490" t="s">
        <v>6007</v>
      </c>
      <c r="BG576" s="490" t="s">
        <v>6008</v>
      </c>
      <c r="BH576" s="490" t="s">
        <v>818</v>
      </c>
      <c r="BI576" s="490" t="s">
        <v>6009</v>
      </c>
      <c r="BJ576" s="490" t="s">
        <v>6010</v>
      </c>
      <c r="BK576" s="437"/>
      <c r="BL576" s="437"/>
      <c r="BM576" s="437"/>
      <c r="BN576" s="437"/>
      <c r="BO576" s="437"/>
      <c r="BP576" s="437"/>
    </row>
    <row r="577" spans="1:68">
      <c r="A577" s="437"/>
      <c r="B577" s="437"/>
      <c r="C577" s="437"/>
      <c r="D577" s="437"/>
      <c r="E577" s="437"/>
      <c r="F577" s="437"/>
      <c r="G577" s="437"/>
      <c r="H577" s="437"/>
      <c r="I577" s="437"/>
      <c r="J577" s="437"/>
      <c r="K577" s="437"/>
      <c r="L577" s="437"/>
      <c r="M577" s="437"/>
      <c r="N577" s="437"/>
      <c r="O577" s="437"/>
      <c r="P577" s="437"/>
      <c r="Q577" s="437"/>
      <c r="R577" s="437"/>
      <c r="S577" s="437"/>
      <c r="T577" s="437"/>
      <c r="U577" s="437"/>
      <c r="V577" s="437"/>
      <c r="W577" s="437"/>
      <c r="X577" s="437"/>
      <c r="Y577" s="437"/>
      <c r="Z577" s="437"/>
      <c r="AA577" s="437"/>
      <c r="AB577" s="437"/>
      <c r="AC577" s="437"/>
      <c r="AD577" s="437"/>
      <c r="AE577" s="437"/>
      <c r="AF577" s="437"/>
      <c r="AG577" s="437"/>
      <c r="AH577" s="437"/>
      <c r="AI577" s="437"/>
      <c r="AJ577" s="437"/>
      <c r="AK577" s="437"/>
      <c r="AL577" s="437"/>
      <c r="AM577" s="437"/>
      <c r="AN577" s="437"/>
      <c r="AO577" s="437"/>
      <c r="AP577" s="437"/>
      <c r="AQ577" s="437"/>
      <c r="AR577" s="437"/>
      <c r="AS577" s="437"/>
      <c r="AT577" s="437"/>
      <c r="AU577" s="437"/>
      <c r="AV577" s="437"/>
      <c r="AW577" s="437"/>
      <c r="AX577" s="436">
        <v>572</v>
      </c>
      <c r="AY577" s="490" t="s">
        <v>6011</v>
      </c>
      <c r="AZ577" s="490" t="s">
        <v>6012</v>
      </c>
      <c r="BA577" s="490" t="s">
        <v>6013</v>
      </c>
      <c r="BB577" s="490" t="s">
        <v>6014</v>
      </c>
      <c r="BC577" s="490" t="s">
        <v>6015</v>
      </c>
      <c r="BD577" s="490" t="s">
        <v>5914</v>
      </c>
      <c r="BE577" s="490" t="s">
        <v>5998</v>
      </c>
      <c r="BF577" s="490" t="s">
        <v>6016</v>
      </c>
      <c r="BG577" s="490" t="s">
        <v>6017</v>
      </c>
      <c r="BH577" s="490" t="s">
        <v>6018</v>
      </c>
      <c r="BI577" s="490" t="s">
        <v>4012</v>
      </c>
      <c r="BJ577" s="490" t="s">
        <v>6019</v>
      </c>
      <c r="BK577" s="437"/>
      <c r="BL577" s="437"/>
      <c r="BM577" s="437"/>
      <c r="BN577" s="437"/>
      <c r="BO577" s="437"/>
      <c r="BP577" s="437"/>
    </row>
    <row r="578" spans="1:68">
      <c r="A578" s="437"/>
      <c r="B578" s="437"/>
      <c r="C578" s="437"/>
      <c r="D578" s="437"/>
      <c r="E578" s="437"/>
      <c r="F578" s="437"/>
      <c r="G578" s="437"/>
      <c r="H578" s="437"/>
      <c r="I578" s="437"/>
      <c r="J578" s="437"/>
      <c r="K578" s="437"/>
      <c r="L578" s="437"/>
      <c r="M578" s="437"/>
      <c r="N578" s="437"/>
      <c r="O578" s="437"/>
      <c r="P578" s="437"/>
      <c r="Q578" s="437"/>
      <c r="R578" s="437"/>
      <c r="S578" s="437"/>
      <c r="T578" s="437"/>
      <c r="U578" s="437"/>
      <c r="V578" s="437"/>
      <c r="W578" s="437"/>
      <c r="X578" s="437"/>
      <c r="Y578" s="437"/>
      <c r="Z578" s="437"/>
      <c r="AA578" s="437"/>
      <c r="AB578" s="437"/>
      <c r="AC578" s="437"/>
      <c r="AD578" s="437"/>
      <c r="AE578" s="437"/>
      <c r="AF578" s="437"/>
      <c r="AG578" s="437"/>
      <c r="AH578" s="437"/>
      <c r="AI578" s="437"/>
      <c r="AJ578" s="437"/>
      <c r="AK578" s="437"/>
      <c r="AL578" s="437"/>
      <c r="AM578" s="437"/>
      <c r="AN578" s="437"/>
      <c r="AO578" s="437"/>
      <c r="AP578" s="437"/>
      <c r="AQ578" s="437"/>
      <c r="AR578" s="437"/>
      <c r="AS578" s="437"/>
      <c r="AT578" s="437"/>
      <c r="AU578" s="437"/>
      <c r="AV578" s="437"/>
      <c r="AW578" s="437"/>
      <c r="AX578" s="436">
        <v>573</v>
      </c>
      <c r="AY578" s="490" t="s">
        <v>6020</v>
      </c>
      <c r="AZ578" s="490" t="s">
        <v>6021</v>
      </c>
      <c r="BA578" s="490" t="s">
        <v>339</v>
      </c>
      <c r="BB578" s="490" t="s">
        <v>6022</v>
      </c>
      <c r="BC578" s="490" t="s">
        <v>6023</v>
      </c>
      <c r="BD578" s="490" t="s">
        <v>6024</v>
      </c>
      <c r="BE578" s="490" t="s">
        <v>6025</v>
      </c>
      <c r="BF578" s="490" t="s">
        <v>6026</v>
      </c>
      <c r="BG578" s="490" t="s">
        <v>340</v>
      </c>
      <c r="BH578" s="490" t="s">
        <v>6027</v>
      </c>
      <c r="BI578" s="490" t="s">
        <v>6028</v>
      </c>
      <c r="BJ578" s="490" t="s">
        <v>6029</v>
      </c>
      <c r="BK578" s="437"/>
      <c r="BL578" s="437"/>
      <c r="BM578" s="437"/>
      <c r="BN578" s="437"/>
      <c r="BO578" s="437"/>
      <c r="BP578" s="437"/>
    </row>
    <row r="579" spans="1:68">
      <c r="A579" s="437"/>
      <c r="B579" s="437"/>
      <c r="C579" s="437"/>
      <c r="D579" s="437"/>
      <c r="E579" s="437"/>
      <c r="F579" s="437"/>
      <c r="G579" s="437"/>
      <c r="H579" s="437"/>
      <c r="I579" s="437"/>
      <c r="J579" s="437"/>
      <c r="K579" s="437"/>
      <c r="L579" s="437"/>
      <c r="M579" s="437"/>
      <c r="N579" s="437"/>
      <c r="O579" s="437"/>
      <c r="P579" s="437"/>
      <c r="Q579" s="437"/>
      <c r="R579" s="437"/>
      <c r="S579" s="437"/>
      <c r="T579" s="437"/>
      <c r="U579" s="437"/>
      <c r="V579" s="437"/>
      <c r="W579" s="437"/>
      <c r="X579" s="437"/>
      <c r="Y579" s="437"/>
      <c r="Z579" s="437"/>
      <c r="AA579" s="437"/>
      <c r="AB579" s="437"/>
      <c r="AC579" s="437"/>
      <c r="AD579" s="437"/>
      <c r="AE579" s="437"/>
      <c r="AF579" s="437"/>
      <c r="AG579" s="437"/>
      <c r="AH579" s="437"/>
      <c r="AI579" s="437"/>
      <c r="AJ579" s="437"/>
      <c r="AK579" s="437"/>
      <c r="AL579" s="437"/>
      <c r="AM579" s="437"/>
      <c r="AN579" s="437"/>
      <c r="AO579" s="437"/>
      <c r="AP579" s="437"/>
      <c r="AQ579" s="437"/>
      <c r="AR579" s="437"/>
      <c r="AS579" s="437"/>
      <c r="AT579" s="437"/>
      <c r="AU579" s="437"/>
      <c r="AV579" s="437"/>
      <c r="AW579" s="437"/>
      <c r="AX579" s="436">
        <v>574</v>
      </c>
      <c r="AY579" s="490" t="s">
        <v>6030</v>
      </c>
      <c r="AZ579" s="490" t="s">
        <v>6031</v>
      </c>
      <c r="BA579" s="490" t="s">
        <v>6021</v>
      </c>
      <c r="BB579" s="490" t="s">
        <v>6032</v>
      </c>
      <c r="BC579" s="490" t="s">
        <v>2476</v>
      </c>
      <c r="BD579" s="490" t="s">
        <v>5928</v>
      </c>
      <c r="BE579" s="490" t="s">
        <v>6033</v>
      </c>
      <c r="BF579" s="490" t="s">
        <v>6034</v>
      </c>
      <c r="BG579" s="490" t="s">
        <v>6035</v>
      </c>
      <c r="BH579" s="490" t="s">
        <v>6036</v>
      </c>
      <c r="BI579" s="490" t="s">
        <v>6037</v>
      </c>
      <c r="BJ579" s="490" t="s">
        <v>6038</v>
      </c>
      <c r="BK579" s="437"/>
      <c r="BL579" s="437"/>
      <c r="BM579" s="437"/>
      <c r="BN579" s="437"/>
      <c r="BO579" s="437"/>
      <c r="BP579" s="437"/>
    </row>
    <row r="580" spans="1:68">
      <c r="A580" s="437"/>
      <c r="B580" s="437"/>
      <c r="C580" s="437"/>
      <c r="D580" s="437"/>
      <c r="E580" s="437"/>
      <c r="F580" s="437"/>
      <c r="G580" s="437"/>
      <c r="H580" s="437"/>
      <c r="I580" s="437"/>
      <c r="J580" s="437"/>
      <c r="K580" s="437"/>
      <c r="L580" s="437"/>
      <c r="M580" s="437"/>
      <c r="N580" s="437"/>
      <c r="O580" s="437"/>
      <c r="P580" s="437"/>
      <c r="Q580" s="437"/>
      <c r="R580" s="437"/>
      <c r="S580" s="437"/>
      <c r="T580" s="437"/>
      <c r="U580" s="437"/>
      <c r="V580" s="437"/>
      <c r="W580" s="437"/>
      <c r="X580" s="437"/>
      <c r="Y580" s="437"/>
      <c r="Z580" s="437"/>
      <c r="AA580" s="437"/>
      <c r="AB580" s="437"/>
      <c r="AC580" s="437"/>
      <c r="AD580" s="437"/>
      <c r="AE580" s="437"/>
      <c r="AF580" s="437"/>
      <c r="AG580" s="437"/>
      <c r="AH580" s="437"/>
      <c r="AI580" s="437"/>
      <c r="AJ580" s="437"/>
      <c r="AK580" s="437"/>
      <c r="AL580" s="437"/>
      <c r="AM580" s="437"/>
      <c r="AN580" s="437"/>
      <c r="AO580" s="437"/>
      <c r="AP580" s="437"/>
      <c r="AQ580" s="437"/>
      <c r="AR580" s="437"/>
      <c r="AS580" s="437"/>
      <c r="AT580" s="437"/>
      <c r="AU580" s="437"/>
      <c r="AV580" s="437"/>
      <c r="AW580" s="437"/>
      <c r="AX580" s="436">
        <v>575</v>
      </c>
      <c r="AY580" s="490" t="s">
        <v>6039</v>
      </c>
      <c r="AZ580" s="490" t="s">
        <v>5864</v>
      </c>
      <c r="BA580" s="490" t="s">
        <v>6040</v>
      </c>
      <c r="BB580" s="490" t="s">
        <v>6041</v>
      </c>
      <c r="BC580" s="490" t="s">
        <v>4032</v>
      </c>
      <c r="BD580" s="490" t="s">
        <v>5938</v>
      </c>
      <c r="BE580" s="490" t="s">
        <v>6042</v>
      </c>
      <c r="BF580" s="490" t="s">
        <v>6043</v>
      </c>
      <c r="BG580" s="490" t="s">
        <v>6044</v>
      </c>
      <c r="BH580" s="490" t="s">
        <v>6045</v>
      </c>
      <c r="BI580" s="490" t="s">
        <v>6046</v>
      </c>
      <c r="BJ580" s="490" t="s">
        <v>6047</v>
      </c>
      <c r="BK580" s="437"/>
      <c r="BL580" s="437"/>
      <c r="BM580" s="437"/>
      <c r="BN580" s="437"/>
      <c r="BO580" s="437"/>
      <c r="BP580" s="437"/>
    </row>
    <row r="581" spans="1:68">
      <c r="A581" s="437"/>
      <c r="B581" s="437"/>
      <c r="C581" s="437"/>
      <c r="D581" s="437"/>
      <c r="E581" s="437"/>
      <c r="F581" s="437"/>
      <c r="G581" s="437"/>
      <c r="H581" s="437"/>
      <c r="I581" s="437"/>
      <c r="J581" s="437"/>
      <c r="K581" s="437"/>
      <c r="L581" s="437"/>
      <c r="M581" s="437"/>
      <c r="N581" s="437"/>
      <c r="O581" s="437"/>
      <c r="P581" s="437"/>
      <c r="Q581" s="437"/>
      <c r="R581" s="437"/>
      <c r="S581" s="437"/>
      <c r="T581" s="437"/>
      <c r="U581" s="437"/>
      <c r="V581" s="437"/>
      <c r="W581" s="437"/>
      <c r="X581" s="437"/>
      <c r="Y581" s="437"/>
      <c r="Z581" s="437"/>
      <c r="AA581" s="437"/>
      <c r="AB581" s="437"/>
      <c r="AC581" s="437"/>
      <c r="AD581" s="437"/>
      <c r="AE581" s="437"/>
      <c r="AF581" s="437"/>
      <c r="AG581" s="437"/>
      <c r="AH581" s="437"/>
      <c r="AI581" s="437"/>
      <c r="AJ581" s="437"/>
      <c r="AK581" s="437"/>
      <c r="AL581" s="437"/>
      <c r="AM581" s="437"/>
      <c r="AN581" s="437"/>
      <c r="AO581" s="437"/>
      <c r="AP581" s="437"/>
      <c r="AQ581" s="437"/>
      <c r="AR581" s="437"/>
      <c r="AS581" s="437"/>
      <c r="AT581" s="437"/>
      <c r="AU581" s="437"/>
      <c r="AV581" s="437"/>
      <c r="AW581" s="437"/>
      <c r="AX581" s="436">
        <v>576</v>
      </c>
      <c r="AY581" s="490" t="s">
        <v>341</v>
      </c>
      <c r="AZ581" s="490" t="s">
        <v>6048</v>
      </c>
      <c r="BA581" s="490" t="s">
        <v>5874</v>
      </c>
      <c r="BB581" s="490" t="s">
        <v>6049</v>
      </c>
      <c r="BC581" s="490" t="s">
        <v>6050</v>
      </c>
      <c r="BD581" s="490" t="s">
        <v>6051</v>
      </c>
      <c r="BE581" s="490" t="s">
        <v>6052</v>
      </c>
      <c r="BF581" s="490" t="s">
        <v>6053</v>
      </c>
      <c r="BG581" s="490" t="s">
        <v>6054</v>
      </c>
      <c r="BH581" s="490" t="s">
        <v>6055</v>
      </c>
      <c r="BI581" s="490" t="s">
        <v>6056</v>
      </c>
      <c r="BJ581" s="490" t="s">
        <v>6057</v>
      </c>
      <c r="BK581" s="437"/>
      <c r="BL581" s="437"/>
      <c r="BM581" s="437"/>
      <c r="BN581" s="437"/>
      <c r="BO581" s="437"/>
      <c r="BP581" s="437"/>
    </row>
    <row r="582" spans="1:68">
      <c r="A582" s="437"/>
      <c r="B582" s="437"/>
      <c r="C582" s="437"/>
      <c r="D582" s="437"/>
      <c r="E582" s="437"/>
      <c r="F582" s="437"/>
      <c r="G582" s="437"/>
      <c r="H582" s="437"/>
      <c r="I582" s="437"/>
      <c r="J582" s="437"/>
      <c r="K582" s="437"/>
      <c r="L582" s="437"/>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6">
        <v>577</v>
      </c>
      <c r="AY582" s="490" t="s">
        <v>6058</v>
      </c>
      <c r="AZ582" s="490" t="s">
        <v>6059</v>
      </c>
      <c r="BA582" s="490" t="s">
        <v>6048</v>
      </c>
      <c r="BB582" s="490" t="s">
        <v>6060</v>
      </c>
      <c r="BC582" s="490" t="s">
        <v>6061</v>
      </c>
      <c r="BD582" s="490" t="s">
        <v>6062</v>
      </c>
      <c r="BE582" s="490" t="s">
        <v>6063</v>
      </c>
      <c r="BF582" s="490" t="s">
        <v>6064</v>
      </c>
      <c r="BG582" s="490" t="s">
        <v>6065</v>
      </c>
      <c r="BH582" s="490" t="s">
        <v>6066</v>
      </c>
      <c r="BI582" s="490" t="s">
        <v>6067</v>
      </c>
      <c r="BJ582" s="490" t="s">
        <v>6068</v>
      </c>
      <c r="BK582" s="437"/>
      <c r="BL582" s="437"/>
      <c r="BM582" s="437"/>
      <c r="BN582" s="437"/>
      <c r="BO582" s="437"/>
      <c r="BP582" s="437"/>
    </row>
    <row r="583" spans="1:68">
      <c r="A583" s="437"/>
      <c r="B583" s="437"/>
      <c r="C583" s="437"/>
      <c r="D583" s="437"/>
      <c r="E583" s="437"/>
      <c r="F583" s="437"/>
      <c r="G583" s="437"/>
      <c r="H583" s="437"/>
      <c r="I583" s="437"/>
      <c r="J583" s="437"/>
      <c r="K583" s="437"/>
      <c r="L583" s="437"/>
      <c r="M583" s="437"/>
      <c r="N583" s="437"/>
      <c r="O583" s="437"/>
      <c r="P583" s="437"/>
      <c r="Q583" s="437"/>
      <c r="R583" s="437"/>
      <c r="S583" s="437"/>
      <c r="T583" s="437"/>
      <c r="U583" s="437"/>
      <c r="V583" s="437"/>
      <c r="W583" s="437"/>
      <c r="X583" s="437"/>
      <c r="Y583" s="437"/>
      <c r="Z583" s="437"/>
      <c r="AA583" s="437"/>
      <c r="AB583" s="437"/>
      <c r="AC583" s="437"/>
      <c r="AD583" s="437"/>
      <c r="AE583" s="437"/>
      <c r="AF583" s="437"/>
      <c r="AG583" s="437"/>
      <c r="AH583" s="437"/>
      <c r="AI583" s="437"/>
      <c r="AJ583" s="437"/>
      <c r="AK583" s="437"/>
      <c r="AL583" s="437"/>
      <c r="AM583" s="437"/>
      <c r="AN583" s="437"/>
      <c r="AO583" s="437"/>
      <c r="AP583" s="437"/>
      <c r="AQ583" s="437"/>
      <c r="AR583" s="437"/>
      <c r="AS583" s="437"/>
      <c r="AT583" s="437"/>
      <c r="AU583" s="437"/>
      <c r="AV583" s="437"/>
      <c r="AW583" s="437"/>
      <c r="AX583" s="436">
        <v>578</v>
      </c>
      <c r="AY583" s="490" t="s">
        <v>6069</v>
      </c>
      <c r="AZ583" s="490" t="s">
        <v>6070</v>
      </c>
      <c r="BA583" s="490" t="s">
        <v>6071</v>
      </c>
      <c r="BB583" s="490" t="s">
        <v>6072</v>
      </c>
      <c r="BC583" s="490" t="s">
        <v>1079</v>
      </c>
      <c r="BD583" s="490" t="s">
        <v>6073</v>
      </c>
      <c r="BE583" s="490" t="s">
        <v>6074</v>
      </c>
      <c r="BF583" s="490" t="s">
        <v>6075</v>
      </c>
      <c r="BG583" s="490" t="s">
        <v>6076</v>
      </c>
      <c r="BH583" s="490" t="s">
        <v>6077</v>
      </c>
      <c r="BI583" s="490" t="s">
        <v>6078</v>
      </c>
      <c r="BJ583" s="490" t="s">
        <v>4047</v>
      </c>
      <c r="BK583" s="437"/>
      <c r="BL583" s="437"/>
      <c r="BM583" s="437"/>
      <c r="BN583" s="437"/>
      <c r="BO583" s="437"/>
      <c r="BP583" s="437"/>
    </row>
    <row r="584" spans="1:68">
      <c r="A584" s="437"/>
      <c r="B584" s="437"/>
      <c r="C584" s="437"/>
      <c r="D584" s="437"/>
      <c r="E584" s="437"/>
      <c r="F584" s="437"/>
      <c r="G584" s="437"/>
      <c r="H584" s="437"/>
      <c r="I584" s="437"/>
      <c r="J584" s="437"/>
      <c r="K584" s="437"/>
      <c r="L584" s="437"/>
      <c r="M584" s="437"/>
      <c r="N584" s="437"/>
      <c r="O584" s="437"/>
      <c r="P584" s="437"/>
      <c r="Q584" s="437"/>
      <c r="R584" s="437"/>
      <c r="S584" s="437"/>
      <c r="T584" s="437"/>
      <c r="U584" s="437"/>
      <c r="V584" s="437"/>
      <c r="W584" s="437"/>
      <c r="X584" s="437"/>
      <c r="Y584" s="437"/>
      <c r="Z584" s="437"/>
      <c r="AA584" s="437"/>
      <c r="AB584" s="437"/>
      <c r="AC584" s="437"/>
      <c r="AD584" s="437"/>
      <c r="AE584" s="437"/>
      <c r="AF584" s="437"/>
      <c r="AG584" s="437"/>
      <c r="AH584" s="437"/>
      <c r="AI584" s="437"/>
      <c r="AJ584" s="437"/>
      <c r="AK584" s="437"/>
      <c r="AL584" s="437"/>
      <c r="AM584" s="437"/>
      <c r="AN584" s="437"/>
      <c r="AO584" s="437"/>
      <c r="AP584" s="437"/>
      <c r="AQ584" s="437"/>
      <c r="AR584" s="437"/>
      <c r="AS584" s="437"/>
      <c r="AT584" s="437"/>
      <c r="AU584" s="437"/>
      <c r="AV584" s="437"/>
      <c r="AW584" s="437"/>
      <c r="AX584" s="436">
        <v>579</v>
      </c>
      <c r="AY584" s="490" t="s">
        <v>342</v>
      </c>
      <c r="AZ584" s="490" t="s">
        <v>6079</v>
      </c>
      <c r="BA584" s="490" t="s">
        <v>6070</v>
      </c>
      <c r="BB584" s="490" t="s">
        <v>6080</v>
      </c>
      <c r="BC584" s="490" t="s">
        <v>4067</v>
      </c>
      <c r="BD584" s="490" t="s">
        <v>4078</v>
      </c>
      <c r="BE584" s="490" t="s">
        <v>6081</v>
      </c>
      <c r="BF584" s="490" t="s">
        <v>6082</v>
      </c>
      <c r="BG584" s="490" t="s">
        <v>6083</v>
      </c>
      <c r="BH584" s="490" t="s">
        <v>6084</v>
      </c>
      <c r="BI584" s="490" t="s">
        <v>6085</v>
      </c>
      <c r="BJ584" s="490" t="s">
        <v>6086</v>
      </c>
      <c r="BK584" s="437"/>
      <c r="BL584" s="437"/>
      <c r="BM584" s="437"/>
      <c r="BN584" s="437"/>
      <c r="BO584" s="437"/>
      <c r="BP584" s="437"/>
    </row>
    <row r="585" spans="1:68">
      <c r="A585" s="437"/>
      <c r="B585" s="437"/>
      <c r="C585" s="437"/>
      <c r="D585" s="437"/>
      <c r="E585" s="437"/>
      <c r="F585" s="437"/>
      <c r="G585" s="437"/>
      <c r="H585" s="437"/>
      <c r="I585" s="437"/>
      <c r="J585" s="437"/>
      <c r="K585" s="437"/>
      <c r="L585" s="437"/>
      <c r="M585" s="437"/>
      <c r="N585" s="437"/>
      <c r="O585" s="437"/>
      <c r="P585" s="437"/>
      <c r="Q585" s="437"/>
      <c r="R585" s="437"/>
      <c r="S585" s="437"/>
      <c r="T585" s="437"/>
      <c r="U585" s="437"/>
      <c r="V585" s="437"/>
      <c r="W585" s="437"/>
      <c r="X585" s="437"/>
      <c r="Y585" s="437"/>
      <c r="Z585" s="437"/>
      <c r="AA585" s="437"/>
      <c r="AB585" s="437"/>
      <c r="AC585" s="437"/>
      <c r="AD585" s="437"/>
      <c r="AE585" s="437"/>
      <c r="AF585" s="437"/>
      <c r="AG585" s="437"/>
      <c r="AH585" s="437"/>
      <c r="AI585" s="437"/>
      <c r="AJ585" s="437"/>
      <c r="AK585" s="437"/>
      <c r="AL585" s="437"/>
      <c r="AM585" s="437"/>
      <c r="AN585" s="437"/>
      <c r="AO585" s="437"/>
      <c r="AP585" s="437"/>
      <c r="AQ585" s="437"/>
      <c r="AR585" s="437"/>
      <c r="AS585" s="437"/>
      <c r="AT585" s="437"/>
      <c r="AU585" s="437"/>
      <c r="AV585" s="437"/>
      <c r="AW585" s="437"/>
      <c r="AX585" s="436">
        <v>580</v>
      </c>
      <c r="AY585" s="490" t="s">
        <v>343</v>
      </c>
      <c r="AZ585" s="490" t="s">
        <v>6087</v>
      </c>
      <c r="BA585" s="490" t="s">
        <v>6079</v>
      </c>
      <c r="BB585" s="490" t="s">
        <v>6088</v>
      </c>
      <c r="BC585" s="490" t="s">
        <v>1099</v>
      </c>
      <c r="BD585" s="490" t="s">
        <v>6089</v>
      </c>
      <c r="BE585" s="490" t="s">
        <v>6090</v>
      </c>
      <c r="BF585" s="490" t="s">
        <v>6091</v>
      </c>
      <c r="BG585" s="490" t="s">
        <v>6092</v>
      </c>
      <c r="BH585" s="490" t="s">
        <v>6093</v>
      </c>
      <c r="BI585" s="490" t="s">
        <v>6094</v>
      </c>
      <c r="BJ585" s="490" t="s">
        <v>6095</v>
      </c>
      <c r="BK585" s="437"/>
      <c r="BL585" s="437"/>
      <c r="BM585" s="437"/>
      <c r="BN585" s="437"/>
      <c r="BO585" s="437"/>
      <c r="BP585" s="437"/>
    </row>
    <row r="586" spans="1:68">
      <c r="A586" s="437"/>
      <c r="B586" s="437"/>
      <c r="C586" s="437"/>
      <c r="D586" s="437"/>
      <c r="E586" s="437"/>
      <c r="F586" s="437"/>
      <c r="G586" s="437"/>
      <c r="H586" s="437"/>
      <c r="I586" s="437"/>
      <c r="J586" s="437"/>
      <c r="K586" s="437"/>
      <c r="L586" s="437"/>
      <c r="M586" s="437"/>
      <c r="N586" s="437"/>
      <c r="O586" s="437"/>
      <c r="P586" s="437"/>
      <c r="Q586" s="437"/>
      <c r="R586" s="437"/>
      <c r="S586" s="437"/>
      <c r="T586" s="437"/>
      <c r="U586" s="437"/>
      <c r="V586" s="437"/>
      <c r="W586" s="437"/>
      <c r="X586" s="437"/>
      <c r="Y586" s="437"/>
      <c r="Z586" s="437"/>
      <c r="AA586" s="437"/>
      <c r="AB586" s="437"/>
      <c r="AC586" s="437"/>
      <c r="AD586" s="437"/>
      <c r="AE586" s="437"/>
      <c r="AF586" s="437"/>
      <c r="AG586" s="437"/>
      <c r="AH586" s="437"/>
      <c r="AI586" s="437"/>
      <c r="AJ586" s="437"/>
      <c r="AK586" s="437"/>
      <c r="AL586" s="437"/>
      <c r="AM586" s="437"/>
      <c r="AN586" s="437"/>
      <c r="AO586" s="437"/>
      <c r="AP586" s="437"/>
      <c r="AQ586" s="437"/>
      <c r="AR586" s="437"/>
      <c r="AS586" s="437"/>
      <c r="AT586" s="437"/>
      <c r="AU586" s="437"/>
      <c r="AV586" s="437"/>
      <c r="AW586" s="437"/>
      <c r="AX586" s="436">
        <v>581</v>
      </c>
      <c r="AY586" s="490" t="s">
        <v>344</v>
      </c>
      <c r="AZ586" s="490" t="s">
        <v>6096</v>
      </c>
      <c r="BA586" s="490" t="s">
        <v>6087</v>
      </c>
      <c r="BB586" s="490" t="s">
        <v>6013</v>
      </c>
      <c r="BC586" s="490" t="s">
        <v>4086</v>
      </c>
      <c r="BD586" s="490" t="s">
        <v>6097</v>
      </c>
      <c r="BE586" s="490" t="s">
        <v>6082</v>
      </c>
      <c r="BF586" s="490" t="s">
        <v>6098</v>
      </c>
      <c r="BG586" s="490" t="s">
        <v>6099</v>
      </c>
      <c r="BH586" s="490" t="s">
        <v>6100</v>
      </c>
      <c r="BI586" s="490" t="s">
        <v>6101</v>
      </c>
      <c r="BJ586" s="490" t="s">
        <v>6000</v>
      </c>
      <c r="BK586" s="437"/>
      <c r="BL586" s="437"/>
      <c r="BM586" s="437"/>
      <c r="BN586" s="437"/>
      <c r="BO586" s="437"/>
      <c r="BP586" s="437"/>
    </row>
    <row r="587" spans="1:68">
      <c r="A587" s="437"/>
      <c r="B587" s="437"/>
      <c r="C587" s="437"/>
      <c r="D587" s="437"/>
      <c r="E587" s="437"/>
      <c r="F587" s="437"/>
      <c r="G587" s="437"/>
      <c r="H587" s="437"/>
      <c r="I587" s="437"/>
      <c r="J587" s="437"/>
      <c r="K587" s="437"/>
      <c r="L587" s="437"/>
      <c r="M587" s="437"/>
      <c r="N587" s="437"/>
      <c r="O587" s="437"/>
      <c r="P587" s="437"/>
      <c r="Q587" s="437"/>
      <c r="R587" s="437"/>
      <c r="S587" s="437"/>
      <c r="T587" s="437"/>
      <c r="U587" s="437"/>
      <c r="V587" s="437"/>
      <c r="W587" s="437"/>
      <c r="X587" s="437"/>
      <c r="Y587" s="437"/>
      <c r="Z587" s="437"/>
      <c r="AA587" s="437"/>
      <c r="AB587" s="437"/>
      <c r="AC587" s="437"/>
      <c r="AD587" s="437"/>
      <c r="AE587" s="437"/>
      <c r="AF587" s="437"/>
      <c r="AG587" s="437"/>
      <c r="AH587" s="437"/>
      <c r="AI587" s="437"/>
      <c r="AJ587" s="437"/>
      <c r="AK587" s="437"/>
      <c r="AL587" s="437"/>
      <c r="AM587" s="437"/>
      <c r="AN587" s="437"/>
      <c r="AO587" s="437"/>
      <c r="AP587" s="437"/>
      <c r="AQ587" s="437"/>
      <c r="AR587" s="437"/>
      <c r="AS587" s="437"/>
      <c r="AT587" s="437"/>
      <c r="AU587" s="437"/>
      <c r="AV587" s="437"/>
      <c r="AW587" s="437"/>
      <c r="AX587" s="436">
        <v>582</v>
      </c>
      <c r="AY587" s="490" t="s">
        <v>6102</v>
      </c>
      <c r="AZ587" s="490" t="s">
        <v>6103</v>
      </c>
      <c r="BA587" s="490" t="s">
        <v>6104</v>
      </c>
      <c r="BB587" s="490" t="s">
        <v>6105</v>
      </c>
      <c r="BC587" s="490" t="s">
        <v>6106</v>
      </c>
      <c r="BD587" s="490" t="s">
        <v>3897</v>
      </c>
      <c r="BE587" s="490" t="s">
        <v>6107</v>
      </c>
      <c r="BF587" s="490" t="s">
        <v>6108</v>
      </c>
      <c r="BG587" s="490" t="s">
        <v>6109</v>
      </c>
      <c r="BH587" s="490" t="s">
        <v>345</v>
      </c>
      <c r="BI587" s="490" t="s">
        <v>6110</v>
      </c>
      <c r="BJ587" s="490" t="s">
        <v>6111</v>
      </c>
      <c r="BK587" s="437"/>
      <c r="BL587" s="437"/>
      <c r="BM587" s="437"/>
      <c r="BN587" s="437"/>
      <c r="BO587" s="437"/>
      <c r="BP587" s="437"/>
    </row>
    <row r="588" spans="1:68">
      <c r="A588" s="437"/>
      <c r="B588" s="437"/>
      <c r="C588" s="437"/>
      <c r="D588" s="437"/>
      <c r="E588" s="437"/>
      <c r="F588" s="437"/>
      <c r="G588" s="437"/>
      <c r="H588" s="437"/>
      <c r="I588" s="437"/>
      <c r="J588" s="437"/>
      <c r="K588" s="437"/>
      <c r="L588" s="437"/>
      <c r="M588" s="437"/>
      <c r="N588" s="437"/>
      <c r="O588" s="437"/>
      <c r="P588" s="437"/>
      <c r="Q588" s="437"/>
      <c r="R588" s="437"/>
      <c r="S588" s="437"/>
      <c r="T588" s="437"/>
      <c r="U588" s="437"/>
      <c r="V588" s="437"/>
      <c r="W588" s="437"/>
      <c r="X588" s="437"/>
      <c r="Y588" s="437"/>
      <c r="Z588" s="437"/>
      <c r="AA588" s="437"/>
      <c r="AB588" s="437"/>
      <c r="AC588" s="437"/>
      <c r="AD588" s="437"/>
      <c r="AE588" s="437"/>
      <c r="AF588" s="437"/>
      <c r="AG588" s="437"/>
      <c r="AH588" s="437"/>
      <c r="AI588" s="437"/>
      <c r="AJ588" s="437"/>
      <c r="AK588" s="437"/>
      <c r="AL588" s="437"/>
      <c r="AM588" s="437"/>
      <c r="AN588" s="437"/>
      <c r="AO588" s="437"/>
      <c r="AP588" s="437"/>
      <c r="AQ588" s="437"/>
      <c r="AR588" s="437"/>
      <c r="AS588" s="437"/>
      <c r="AT588" s="437"/>
      <c r="AU588" s="437"/>
      <c r="AV588" s="437"/>
      <c r="AW588" s="437"/>
      <c r="AX588" s="436">
        <v>583</v>
      </c>
      <c r="AY588" s="490" t="s">
        <v>6096</v>
      </c>
      <c r="AZ588" s="490" t="s">
        <v>6112</v>
      </c>
      <c r="BA588" s="490" t="s">
        <v>6103</v>
      </c>
      <c r="BB588" s="490" t="s">
        <v>6113</v>
      </c>
      <c r="BC588" s="490" t="s">
        <v>6114</v>
      </c>
      <c r="BD588" s="490" t="s">
        <v>4087</v>
      </c>
      <c r="BE588" s="490" t="s">
        <v>6098</v>
      </c>
      <c r="BF588" s="490" t="s">
        <v>6115</v>
      </c>
      <c r="BG588" s="490" t="s">
        <v>6116</v>
      </c>
      <c r="BH588" s="490" t="s">
        <v>6117</v>
      </c>
      <c r="BI588" s="490" t="s">
        <v>6118</v>
      </c>
      <c r="BJ588" s="490" t="s">
        <v>6119</v>
      </c>
      <c r="BK588" s="437"/>
      <c r="BL588" s="437"/>
      <c r="BM588" s="437"/>
      <c r="BN588" s="437"/>
      <c r="BO588" s="437"/>
      <c r="BP588" s="437"/>
    </row>
    <row r="589" spans="1:68">
      <c r="A589" s="437"/>
      <c r="B589" s="437"/>
      <c r="C589" s="437"/>
      <c r="D589" s="437"/>
      <c r="E589" s="437"/>
      <c r="F589" s="437"/>
      <c r="G589" s="437"/>
      <c r="H589" s="437"/>
      <c r="I589" s="437"/>
      <c r="J589" s="437"/>
      <c r="K589" s="437"/>
      <c r="L589" s="437"/>
      <c r="M589" s="437"/>
      <c r="N589" s="437"/>
      <c r="O589" s="437"/>
      <c r="P589" s="437"/>
      <c r="Q589" s="437"/>
      <c r="R589" s="437"/>
      <c r="S589" s="437"/>
      <c r="T589" s="437"/>
      <c r="U589" s="437"/>
      <c r="V589" s="437"/>
      <c r="W589" s="437"/>
      <c r="X589" s="437"/>
      <c r="Y589" s="437"/>
      <c r="Z589" s="437"/>
      <c r="AA589" s="437"/>
      <c r="AB589" s="437"/>
      <c r="AC589" s="437"/>
      <c r="AD589" s="437"/>
      <c r="AE589" s="437"/>
      <c r="AF589" s="437"/>
      <c r="AG589" s="437"/>
      <c r="AH589" s="437"/>
      <c r="AI589" s="437"/>
      <c r="AJ589" s="437"/>
      <c r="AK589" s="437"/>
      <c r="AL589" s="437"/>
      <c r="AM589" s="437"/>
      <c r="AN589" s="437"/>
      <c r="AO589" s="437"/>
      <c r="AP589" s="437"/>
      <c r="AQ589" s="437"/>
      <c r="AR589" s="437"/>
      <c r="AS589" s="437"/>
      <c r="AT589" s="437"/>
      <c r="AU589" s="437"/>
      <c r="AV589" s="437"/>
      <c r="AW589" s="437"/>
      <c r="AX589" s="436">
        <v>584</v>
      </c>
      <c r="AY589" s="490" t="s">
        <v>346</v>
      </c>
      <c r="AZ589" s="490" t="s">
        <v>6120</v>
      </c>
      <c r="BA589" s="490" t="s">
        <v>6112</v>
      </c>
      <c r="BB589" s="490" t="s">
        <v>6121</v>
      </c>
      <c r="BC589" s="490" t="s">
        <v>4115</v>
      </c>
      <c r="BD589" s="490" t="s">
        <v>6122</v>
      </c>
      <c r="BE589" s="490" t="s">
        <v>6123</v>
      </c>
      <c r="BF589" s="490" t="s">
        <v>6124</v>
      </c>
      <c r="BG589" s="490" t="s">
        <v>6125</v>
      </c>
      <c r="BH589" s="490" t="s">
        <v>3402</v>
      </c>
      <c r="BI589" s="490" t="s">
        <v>6126</v>
      </c>
      <c r="BJ589" s="490" t="s">
        <v>6127</v>
      </c>
      <c r="BK589" s="437"/>
      <c r="BL589" s="437"/>
      <c r="BM589" s="437"/>
      <c r="BN589" s="437"/>
      <c r="BO589" s="437"/>
      <c r="BP589" s="437"/>
    </row>
    <row r="590" spans="1:68">
      <c r="A590" s="437"/>
      <c r="B590" s="437"/>
      <c r="C590" s="437"/>
      <c r="D590" s="437"/>
      <c r="E590" s="437"/>
      <c r="F590" s="437"/>
      <c r="G590" s="437"/>
      <c r="H590" s="437"/>
      <c r="I590" s="437"/>
      <c r="J590" s="437"/>
      <c r="K590" s="437"/>
      <c r="L590" s="437"/>
      <c r="M590" s="437"/>
      <c r="N590" s="437"/>
      <c r="O590" s="437"/>
      <c r="P590" s="437"/>
      <c r="Q590" s="437"/>
      <c r="R590" s="437"/>
      <c r="S590" s="437"/>
      <c r="T590" s="437"/>
      <c r="U590" s="437"/>
      <c r="V590" s="437"/>
      <c r="W590" s="437"/>
      <c r="X590" s="437"/>
      <c r="Y590" s="437"/>
      <c r="Z590" s="437"/>
      <c r="AA590" s="437"/>
      <c r="AB590" s="437"/>
      <c r="AC590" s="437"/>
      <c r="AD590" s="437"/>
      <c r="AE590" s="437"/>
      <c r="AF590" s="437"/>
      <c r="AG590" s="437"/>
      <c r="AH590" s="437"/>
      <c r="AI590" s="437"/>
      <c r="AJ590" s="437"/>
      <c r="AK590" s="437"/>
      <c r="AL590" s="437"/>
      <c r="AM590" s="437"/>
      <c r="AN590" s="437"/>
      <c r="AO590" s="437"/>
      <c r="AP590" s="437"/>
      <c r="AQ590" s="437"/>
      <c r="AR590" s="437"/>
      <c r="AS590" s="437"/>
      <c r="AT590" s="437"/>
      <c r="AU590" s="437"/>
      <c r="AV590" s="437"/>
      <c r="AW590" s="437"/>
      <c r="AX590" s="436">
        <v>585</v>
      </c>
      <c r="AY590" s="490" t="s">
        <v>6128</v>
      </c>
      <c r="AZ590" s="490" t="s">
        <v>6129</v>
      </c>
      <c r="BA590" s="490" t="s">
        <v>6120</v>
      </c>
      <c r="BB590" s="490" t="s">
        <v>5949</v>
      </c>
      <c r="BC590" s="490" t="s">
        <v>4126</v>
      </c>
      <c r="BD590" s="490" t="s">
        <v>241</v>
      </c>
      <c r="BE590" s="490" t="s">
        <v>6130</v>
      </c>
      <c r="BF590" s="490" t="s">
        <v>6131</v>
      </c>
      <c r="BG590" s="490" t="s">
        <v>6132</v>
      </c>
      <c r="BH590" s="490" t="s">
        <v>6133</v>
      </c>
      <c r="BI590" s="490" t="s">
        <v>6134</v>
      </c>
      <c r="BJ590" s="490" t="s">
        <v>6037</v>
      </c>
      <c r="BK590" s="437"/>
      <c r="BL590" s="437"/>
      <c r="BM590" s="437"/>
      <c r="BN590" s="437"/>
      <c r="BO590" s="437"/>
      <c r="BP590" s="437"/>
    </row>
    <row r="591" spans="1:68">
      <c r="A591" s="437"/>
      <c r="B591" s="437"/>
      <c r="C591" s="437"/>
      <c r="D591" s="437"/>
      <c r="E591" s="437"/>
      <c r="F591" s="437"/>
      <c r="G591" s="437"/>
      <c r="H591" s="437"/>
      <c r="I591" s="437"/>
      <c r="J591" s="437"/>
      <c r="K591" s="437"/>
      <c r="L591" s="437"/>
      <c r="M591" s="437"/>
      <c r="N591" s="437"/>
      <c r="O591" s="437"/>
      <c r="P591" s="437"/>
      <c r="Q591" s="437"/>
      <c r="R591" s="437"/>
      <c r="S591" s="437"/>
      <c r="T591" s="437"/>
      <c r="U591" s="437"/>
      <c r="V591" s="437"/>
      <c r="W591" s="437"/>
      <c r="X591" s="437"/>
      <c r="Y591" s="437"/>
      <c r="Z591" s="437"/>
      <c r="AA591" s="437"/>
      <c r="AB591" s="437"/>
      <c r="AC591" s="437"/>
      <c r="AD591" s="437"/>
      <c r="AE591" s="437"/>
      <c r="AF591" s="437"/>
      <c r="AG591" s="437"/>
      <c r="AH591" s="437"/>
      <c r="AI591" s="437"/>
      <c r="AJ591" s="437"/>
      <c r="AK591" s="437"/>
      <c r="AL591" s="437"/>
      <c r="AM591" s="437"/>
      <c r="AN591" s="437"/>
      <c r="AO591" s="437"/>
      <c r="AP591" s="437"/>
      <c r="AQ591" s="437"/>
      <c r="AR591" s="437"/>
      <c r="AS591" s="437"/>
      <c r="AT591" s="437"/>
      <c r="AU591" s="437"/>
      <c r="AV591" s="437"/>
      <c r="AW591" s="437"/>
      <c r="AX591" s="436">
        <v>586</v>
      </c>
      <c r="AY591" s="490" t="s">
        <v>6135</v>
      </c>
      <c r="AZ591" s="490" t="s">
        <v>6136</v>
      </c>
      <c r="BA591" s="490" t="s">
        <v>6129</v>
      </c>
      <c r="BB591" s="490" t="s">
        <v>6137</v>
      </c>
      <c r="BC591" s="490" t="s">
        <v>6138</v>
      </c>
      <c r="BD591" s="490" t="s">
        <v>6139</v>
      </c>
      <c r="BE591" s="490" t="s">
        <v>6124</v>
      </c>
      <c r="BF591" s="490" t="s">
        <v>6140</v>
      </c>
      <c r="BG591" s="490" t="s">
        <v>6141</v>
      </c>
      <c r="BH591" s="490" t="s">
        <v>6142</v>
      </c>
      <c r="BI591" s="490" t="s">
        <v>6143</v>
      </c>
      <c r="BJ591" s="490" t="s">
        <v>6144</v>
      </c>
      <c r="BK591" s="437"/>
      <c r="BL591" s="437"/>
      <c r="BM591" s="437"/>
      <c r="BN591" s="437"/>
      <c r="BO591" s="437"/>
      <c r="BP591" s="437"/>
    </row>
    <row r="592" spans="1:68">
      <c r="A592" s="437"/>
      <c r="B592" s="437"/>
      <c r="C592" s="437"/>
      <c r="D592" s="437"/>
      <c r="E592" s="437"/>
      <c r="F592" s="437"/>
      <c r="G592" s="437"/>
      <c r="H592" s="437"/>
      <c r="I592" s="437"/>
      <c r="J592" s="437"/>
      <c r="K592" s="437"/>
      <c r="L592" s="437"/>
      <c r="M592" s="437"/>
      <c r="N592" s="437"/>
      <c r="O592" s="437"/>
      <c r="P592" s="437"/>
      <c r="Q592" s="437"/>
      <c r="R592" s="437"/>
      <c r="S592" s="437"/>
      <c r="T592" s="437"/>
      <c r="U592" s="437"/>
      <c r="V592" s="437"/>
      <c r="W592" s="437"/>
      <c r="X592" s="437"/>
      <c r="Y592" s="437"/>
      <c r="Z592" s="437"/>
      <c r="AA592" s="437"/>
      <c r="AB592" s="437"/>
      <c r="AC592" s="437"/>
      <c r="AD592" s="437"/>
      <c r="AE592" s="437"/>
      <c r="AF592" s="437"/>
      <c r="AG592" s="437"/>
      <c r="AH592" s="437"/>
      <c r="AI592" s="437"/>
      <c r="AJ592" s="437"/>
      <c r="AK592" s="437"/>
      <c r="AL592" s="437"/>
      <c r="AM592" s="437"/>
      <c r="AN592" s="437"/>
      <c r="AO592" s="437"/>
      <c r="AP592" s="437"/>
      <c r="AQ592" s="437"/>
      <c r="AR592" s="437"/>
      <c r="AS592" s="437"/>
      <c r="AT592" s="437"/>
      <c r="AU592" s="437"/>
      <c r="AV592" s="437"/>
      <c r="AW592" s="437"/>
      <c r="AX592" s="436">
        <v>587</v>
      </c>
      <c r="AY592" s="490" t="s">
        <v>6145</v>
      </c>
      <c r="AZ592" s="490" t="s">
        <v>347</v>
      </c>
      <c r="BA592" s="490" t="s">
        <v>6146</v>
      </c>
      <c r="BB592" s="490" t="s">
        <v>6071</v>
      </c>
      <c r="BC592" s="490" t="s">
        <v>6147</v>
      </c>
      <c r="BD592" s="490" t="s">
        <v>4127</v>
      </c>
      <c r="BE592" s="490" t="s">
        <v>6148</v>
      </c>
      <c r="BF592" s="490" t="s">
        <v>6149</v>
      </c>
      <c r="BG592" s="490" t="s">
        <v>6150</v>
      </c>
      <c r="BH592" s="490" t="s">
        <v>6151</v>
      </c>
      <c r="BI592" s="490" t="s">
        <v>6152</v>
      </c>
      <c r="BJ592" s="490" t="s">
        <v>6153</v>
      </c>
      <c r="BK592" s="437"/>
      <c r="BL592" s="437"/>
      <c r="BM592" s="437"/>
      <c r="BN592" s="437"/>
      <c r="BO592" s="437"/>
      <c r="BP592" s="437"/>
    </row>
    <row r="593" spans="1:68">
      <c r="A593" s="437"/>
      <c r="B593" s="437"/>
      <c r="C593" s="437"/>
      <c r="D593" s="437"/>
      <c r="E593" s="437"/>
      <c r="F593" s="437"/>
      <c r="G593" s="437"/>
      <c r="H593" s="437"/>
      <c r="I593" s="437"/>
      <c r="J593" s="437"/>
      <c r="K593" s="437"/>
      <c r="L593" s="437"/>
      <c r="M593" s="437"/>
      <c r="N593" s="437"/>
      <c r="O593" s="437"/>
      <c r="P593" s="437"/>
      <c r="Q593" s="437"/>
      <c r="R593" s="437"/>
      <c r="S593" s="437"/>
      <c r="T593" s="437"/>
      <c r="U593" s="437"/>
      <c r="V593" s="437"/>
      <c r="W593" s="437"/>
      <c r="X593" s="437"/>
      <c r="Y593" s="437"/>
      <c r="Z593" s="437"/>
      <c r="AA593" s="437"/>
      <c r="AB593" s="437"/>
      <c r="AC593" s="437"/>
      <c r="AD593" s="437"/>
      <c r="AE593" s="437"/>
      <c r="AF593" s="437"/>
      <c r="AG593" s="437"/>
      <c r="AH593" s="437"/>
      <c r="AI593" s="437"/>
      <c r="AJ593" s="437"/>
      <c r="AK593" s="437"/>
      <c r="AL593" s="437"/>
      <c r="AM593" s="437"/>
      <c r="AN593" s="437"/>
      <c r="AO593" s="437"/>
      <c r="AP593" s="437"/>
      <c r="AQ593" s="437"/>
      <c r="AR593" s="437"/>
      <c r="AS593" s="437"/>
      <c r="AT593" s="437"/>
      <c r="AU593" s="437"/>
      <c r="AV593" s="437"/>
      <c r="AW593" s="437"/>
      <c r="AX593" s="436">
        <v>588</v>
      </c>
      <c r="AY593" s="490" t="s">
        <v>6154</v>
      </c>
      <c r="AZ593" s="490" t="s">
        <v>6155</v>
      </c>
      <c r="BA593" s="490" t="s">
        <v>347</v>
      </c>
      <c r="BB593" s="490" t="s">
        <v>6156</v>
      </c>
      <c r="BC593" s="490" t="s">
        <v>6157</v>
      </c>
      <c r="BD593" s="490" t="s">
        <v>6158</v>
      </c>
      <c r="BE593" s="490" t="s">
        <v>6159</v>
      </c>
      <c r="BF593" s="490" t="s">
        <v>6160</v>
      </c>
      <c r="BG593" s="490" t="s">
        <v>6161</v>
      </c>
      <c r="BH593" s="490" t="s">
        <v>6162</v>
      </c>
      <c r="BI593" s="490" t="s">
        <v>6163</v>
      </c>
      <c r="BJ593" s="490" t="s">
        <v>4143</v>
      </c>
      <c r="BK593" s="437"/>
      <c r="BL593" s="437"/>
      <c r="BM593" s="437"/>
      <c r="BN593" s="437"/>
      <c r="BO593" s="437"/>
      <c r="BP593" s="437"/>
    </row>
    <row r="594" spans="1:68">
      <c r="A594" s="437"/>
      <c r="B594" s="437"/>
      <c r="C594" s="437"/>
      <c r="D594" s="437"/>
      <c r="E594" s="437"/>
      <c r="F594" s="437"/>
      <c r="G594" s="437"/>
      <c r="H594" s="437"/>
      <c r="I594" s="437"/>
      <c r="J594" s="437"/>
      <c r="K594" s="437"/>
      <c r="L594" s="437"/>
      <c r="M594" s="437"/>
      <c r="N594" s="437"/>
      <c r="O594" s="437"/>
      <c r="P594" s="437"/>
      <c r="Q594" s="437"/>
      <c r="R594" s="437"/>
      <c r="S594" s="437"/>
      <c r="T594" s="437"/>
      <c r="U594" s="437"/>
      <c r="V594" s="437"/>
      <c r="W594" s="437"/>
      <c r="X594" s="437"/>
      <c r="Y594" s="437"/>
      <c r="Z594" s="437"/>
      <c r="AA594" s="437"/>
      <c r="AB594" s="437"/>
      <c r="AC594" s="437"/>
      <c r="AD594" s="437"/>
      <c r="AE594" s="437"/>
      <c r="AF594" s="437"/>
      <c r="AG594" s="437"/>
      <c r="AH594" s="437"/>
      <c r="AI594" s="437"/>
      <c r="AJ594" s="437"/>
      <c r="AK594" s="437"/>
      <c r="AL594" s="437"/>
      <c r="AM594" s="437"/>
      <c r="AN594" s="437"/>
      <c r="AO594" s="437"/>
      <c r="AP594" s="437"/>
      <c r="AQ594" s="437"/>
      <c r="AR594" s="437"/>
      <c r="AS594" s="437"/>
      <c r="AT594" s="437"/>
      <c r="AU594" s="437"/>
      <c r="AV594" s="437"/>
      <c r="AW594" s="437"/>
      <c r="AX594" s="436">
        <v>589</v>
      </c>
      <c r="AY594" s="490" t="s">
        <v>348</v>
      </c>
      <c r="AZ594" s="490" t="s">
        <v>6164</v>
      </c>
      <c r="BA594" s="490" t="s">
        <v>6165</v>
      </c>
      <c r="BB594" s="490" t="s">
        <v>6166</v>
      </c>
      <c r="BC594" s="490" t="s">
        <v>6167</v>
      </c>
      <c r="BD594" s="490" t="s">
        <v>3493</v>
      </c>
      <c r="BE594" s="490" t="s">
        <v>6168</v>
      </c>
      <c r="BF594" s="490" t="s">
        <v>6169</v>
      </c>
      <c r="BG594" s="490" t="s">
        <v>6170</v>
      </c>
      <c r="BH594" s="490" t="s">
        <v>6171</v>
      </c>
      <c r="BI594" s="490" t="s">
        <v>6172</v>
      </c>
      <c r="BJ594" s="490" t="s">
        <v>6173</v>
      </c>
      <c r="BK594" s="437"/>
      <c r="BL594" s="437"/>
      <c r="BM594" s="437"/>
      <c r="BN594" s="437"/>
      <c r="BO594" s="437"/>
      <c r="BP594" s="437"/>
    </row>
    <row r="595" spans="1:68">
      <c r="A595" s="437"/>
      <c r="B595" s="437"/>
      <c r="C595" s="437"/>
      <c r="D595" s="437"/>
      <c r="E595" s="437"/>
      <c r="F595" s="437"/>
      <c r="G595" s="437"/>
      <c r="H595" s="437"/>
      <c r="I595" s="437"/>
      <c r="J595" s="437"/>
      <c r="K595" s="437"/>
      <c r="L595" s="437"/>
      <c r="M595" s="437"/>
      <c r="N595" s="437"/>
      <c r="O595" s="437"/>
      <c r="P595" s="437"/>
      <c r="Q595" s="437"/>
      <c r="R595" s="437"/>
      <c r="S595" s="437"/>
      <c r="T595" s="437"/>
      <c r="U595" s="437"/>
      <c r="V595" s="437"/>
      <c r="W595" s="437"/>
      <c r="X595" s="437"/>
      <c r="Y595" s="437"/>
      <c r="Z595" s="437"/>
      <c r="AA595" s="437"/>
      <c r="AB595" s="437"/>
      <c r="AC595" s="437"/>
      <c r="AD595" s="437"/>
      <c r="AE595" s="437"/>
      <c r="AF595" s="437"/>
      <c r="AG595" s="437"/>
      <c r="AH595" s="437"/>
      <c r="AI595" s="437"/>
      <c r="AJ595" s="437"/>
      <c r="AK595" s="437"/>
      <c r="AL595" s="437"/>
      <c r="AM595" s="437"/>
      <c r="AN595" s="437"/>
      <c r="AO595" s="437"/>
      <c r="AP595" s="437"/>
      <c r="AQ595" s="437"/>
      <c r="AR595" s="437"/>
      <c r="AS595" s="437"/>
      <c r="AT595" s="437"/>
      <c r="AU595" s="437"/>
      <c r="AV595" s="437"/>
      <c r="AW595" s="437"/>
      <c r="AX595" s="436">
        <v>590</v>
      </c>
      <c r="AY595" s="490" t="s">
        <v>6174</v>
      </c>
      <c r="AZ595" s="490" t="s">
        <v>349</v>
      </c>
      <c r="BA595" s="490" t="s">
        <v>6175</v>
      </c>
      <c r="BB595" s="490" t="s">
        <v>6176</v>
      </c>
      <c r="BC595" s="490" t="s">
        <v>4180</v>
      </c>
      <c r="BD595" s="490" t="s">
        <v>6177</v>
      </c>
      <c r="BE595" s="490" t="s">
        <v>6178</v>
      </c>
      <c r="BF595" s="490" t="s">
        <v>625</v>
      </c>
      <c r="BG595" s="490" t="s">
        <v>6179</v>
      </c>
      <c r="BH595" s="490" t="s">
        <v>6180</v>
      </c>
      <c r="BI595" s="490" t="s">
        <v>6181</v>
      </c>
      <c r="BJ595" s="490" t="s">
        <v>6182</v>
      </c>
      <c r="BK595" s="437"/>
      <c r="BL595" s="437"/>
      <c r="BM595" s="437"/>
      <c r="BN595" s="437"/>
      <c r="BO595" s="437"/>
      <c r="BP595" s="437"/>
    </row>
    <row r="596" spans="1:68">
      <c r="A596" s="437"/>
      <c r="B596" s="437"/>
      <c r="C596" s="437"/>
      <c r="D596" s="437"/>
      <c r="E596" s="437"/>
      <c r="F596" s="437"/>
      <c r="G596" s="437"/>
      <c r="H596" s="437"/>
      <c r="I596" s="437"/>
      <c r="J596" s="437"/>
      <c r="K596" s="437"/>
      <c r="L596" s="437"/>
      <c r="M596" s="437"/>
      <c r="N596" s="437"/>
      <c r="O596" s="437"/>
      <c r="P596" s="437"/>
      <c r="Q596" s="437"/>
      <c r="R596" s="437"/>
      <c r="S596" s="437"/>
      <c r="T596" s="437"/>
      <c r="U596" s="437"/>
      <c r="V596" s="437"/>
      <c r="W596" s="437"/>
      <c r="X596" s="437"/>
      <c r="Y596" s="437"/>
      <c r="Z596" s="437"/>
      <c r="AA596" s="437"/>
      <c r="AB596" s="437"/>
      <c r="AC596" s="437"/>
      <c r="AD596" s="437"/>
      <c r="AE596" s="437"/>
      <c r="AF596" s="437"/>
      <c r="AG596" s="437"/>
      <c r="AH596" s="437"/>
      <c r="AI596" s="437"/>
      <c r="AJ596" s="437"/>
      <c r="AK596" s="437"/>
      <c r="AL596" s="437"/>
      <c r="AM596" s="437"/>
      <c r="AN596" s="437"/>
      <c r="AO596" s="437"/>
      <c r="AP596" s="437"/>
      <c r="AQ596" s="437"/>
      <c r="AR596" s="437"/>
      <c r="AS596" s="437"/>
      <c r="AT596" s="437"/>
      <c r="AU596" s="437"/>
      <c r="AV596" s="437"/>
      <c r="AW596" s="437"/>
      <c r="AX596" s="436">
        <v>591</v>
      </c>
      <c r="AY596" s="490" t="s">
        <v>6183</v>
      </c>
      <c r="AZ596" s="490" t="s">
        <v>6184</v>
      </c>
      <c r="BA596" s="490" t="s">
        <v>350</v>
      </c>
      <c r="BB596" s="490" t="s">
        <v>6185</v>
      </c>
      <c r="BC596" s="490" t="s">
        <v>509</v>
      </c>
      <c r="BD596" s="490" t="s">
        <v>3511</v>
      </c>
      <c r="BE596" s="490" t="s">
        <v>6186</v>
      </c>
      <c r="BF596" s="490" t="s">
        <v>6187</v>
      </c>
      <c r="BG596" s="490" t="s">
        <v>6188</v>
      </c>
      <c r="BH596" s="490" t="s">
        <v>6189</v>
      </c>
      <c r="BI596" s="490" t="s">
        <v>6190</v>
      </c>
      <c r="BJ596" s="490" t="s">
        <v>6191</v>
      </c>
      <c r="BK596" s="437"/>
      <c r="BL596" s="437"/>
      <c r="BM596" s="437"/>
      <c r="BN596" s="437"/>
      <c r="BO596" s="437"/>
      <c r="BP596" s="437"/>
    </row>
    <row r="597" spans="1:68">
      <c r="A597" s="437"/>
      <c r="B597" s="437"/>
      <c r="C597" s="437"/>
      <c r="D597" s="437"/>
      <c r="E597" s="437"/>
      <c r="F597" s="437"/>
      <c r="G597" s="437"/>
      <c r="H597" s="437"/>
      <c r="I597" s="437"/>
      <c r="J597" s="437"/>
      <c r="K597" s="437"/>
      <c r="L597" s="437"/>
      <c r="M597" s="437"/>
      <c r="N597" s="437"/>
      <c r="O597" s="437"/>
      <c r="P597" s="437"/>
      <c r="Q597" s="437"/>
      <c r="R597" s="437"/>
      <c r="S597" s="437"/>
      <c r="T597" s="437"/>
      <c r="U597" s="437"/>
      <c r="V597" s="437"/>
      <c r="W597" s="437"/>
      <c r="X597" s="437"/>
      <c r="Y597" s="437"/>
      <c r="Z597" s="437"/>
      <c r="AA597" s="437"/>
      <c r="AB597" s="437"/>
      <c r="AC597" s="437"/>
      <c r="AD597" s="437"/>
      <c r="AE597" s="437"/>
      <c r="AF597" s="437"/>
      <c r="AG597" s="437"/>
      <c r="AH597" s="437"/>
      <c r="AI597" s="437"/>
      <c r="AJ597" s="437"/>
      <c r="AK597" s="437"/>
      <c r="AL597" s="437"/>
      <c r="AM597" s="437"/>
      <c r="AN597" s="437"/>
      <c r="AO597" s="437"/>
      <c r="AP597" s="437"/>
      <c r="AQ597" s="437"/>
      <c r="AR597" s="437"/>
      <c r="AS597" s="437"/>
      <c r="AT597" s="437"/>
      <c r="AU597" s="437"/>
      <c r="AV597" s="437"/>
      <c r="AW597" s="437"/>
      <c r="AX597" s="436">
        <v>592</v>
      </c>
      <c r="AY597" s="490" t="s">
        <v>6192</v>
      </c>
      <c r="AZ597" s="490" t="s">
        <v>6193</v>
      </c>
      <c r="BA597" s="490" t="s">
        <v>6184</v>
      </c>
      <c r="BB597" s="490" t="s">
        <v>6194</v>
      </c>
      <c r="BC597" s="490" t="s">
        <v>6195</v>
      </c>
      <c r="BD597" s="490" t="s">
        <v>6196</v>
      </c>
      <c r="BE597" s="490" t="s">
        <v>6197</v>
      </c>
      <c r="BF597" s="490" t="s">
        <v>6198</v>
      </c>
      <c r="BG597" s="490" t="s">
        <v>501</v>
      </c>
      <c r="BH597" s="490" t="s">
        <v>6199</v>
      </c>
      <c r="BI597" s="490" t="s">
        <v>6200</v>
      </c>
      <c r="BJ597" s="490" t="s">
        <v>6201</v>
      </c>
      <c r="BK597" s="437"/>
      <c r="BL597" s="437"/>
      <c r="BM597" s="437"/>
      <c r="BN597" s="437"/>
      <c r="BO597" s="437"/>
      <c r="BP597" s="437"/>
    </row>
    <row r="598" spans="1:68">
      <c r="A598" s="437"/>
      <c r="B598" s="437"/>
      <c r="C598" s="437"/>
      <c r="D598" s="437"/>
      <c r="E598" s="437"/>
      <c r="F598" s="437"/>
      <c r="G598" s="437"/>
      <c r="H598" s="437"/>
      <c r="I598" s="437"/>
      <c r="J598" s="437"/>
      <c r="K598" s="437"/>
      <c r="L598" s="437"/>
      <c r="M598" s="437"/>
      <c r="N598" s="437"/>
      <c r="O598" s="437"/>
      <c r="P598" s="437"/>
      <c r="Q598" s="437"/>
      <c r="R598" s="437"/>
      <c r="S598" s="437"/>
      <c r="T598" s="437"/>
      <c r="U598" s="437"/>
      <c r="V598" s="437"/>
      <c r="W598" s="437"/>
      <c r="X598" s="437"/>
      <c r="Y598" s="437"/>
      <c r="Z598" s="437"/>
      <c r="AA598" s="437"/>
      <c r="AB598" s="437"/>
      <c r="AC598" s="437"/>
      <c r="AD598" s="437"/>
      <c r="AE598" s="437"/>
      <c r="AF598" s="437"/>
      <c r="AG598" s="437"/>
      <c r="AH598" s="437"/>
      <c r="AI598" s="437"/>
      <c r="AJ598" s="437"/>
      <c r="AK598" s="437"/>
      <c r="AL598" s="437"/>
      <c r="AM598" s="437"/>
      <c r="AN598" s="437"/>
      <c r="AO598" s="437"/>
      <c r="AP598" s="437"/>
      <c r="AQ598" s="437"/>
      <c r="AR598" s="437"/>
      <c r="AS598" s="437"/>
      <c r="AT598" s="437"/>
      <c r="AU598" s="437"/>
      <c r="AV598" s="437"/>
      <c r="AW598" s="437"/>
      <c r="AX598" s="436">
        <v>593</v>
      </c>
      <c r="AY598" s="490" t="s">
        <v>6202</v>
      </c>
      <c r="AZ598" s="490" t="s">
        <v>6203</v>
      </c>
      <c r="BA598" s="490" t="s">
        <v>507</v>
      </c>
      <c r="BB598" s="490" t="s">
        <v>6204</v>
      </c>
      <c r="BC598" s="490" t="s">
        <v>823</v>
      </c>
      <c r="BD598" s="490" t="s">
        <v>4000</v>
      </c>
      <c r="BE598" s="490" t="s">
        <v>6205</v>
      </c>
      <c r="BF598" s="490" t="s">
        <v>6206</v>
      </c>
      <c r="BG598" s="490" t="s">
        <v>513</v>
      </c>
      <c r="BH598" s="490" t="s">
        <v>6207</v>
      </c>
      <c r="BI598" s="490" t="s">
        <v>6208</v>
      </c>
      <c r="BJ598" s="490" t="s">
        <v>6209</v>
      </c>
      <c r="BK598" s="437"/>
      <c r="BL598" s="437"/>
      <c r="BM598" s="437"/>
      <c r="BN598" s="437"/>
      <c r="BO598" s="437"/>
      <c r="BP598" s="437"/>
    </row>
    <row r="599" spans="1:68">
      <c r="A599" s="437"/>
      <c r="B599" s="437"/>
      <c r="C599" s="437"/>
      <c r="D599" s="437"/>
      <c r="E599" s="437"/>
      <c r="F599" s="437"/>
      <c r="G599" s="437"/>
      <c r="H599" s="437"/>
      <c r="I599" s="437"/>
      <c r="J599" s="437"/>
      <c r="K599" s="437"/>
      <c r="L599" s="437"/>
      <c r="M599" s="437"/>
      <c r="N599" s="437"/>
      <c r="O599" s="437"/>
      <c r="P599" s="437"/>
      <c r="Q599" s="437"/>
      <c r="R599" s="437"/>
      <c r="S599" s="437"/>
      <c r="T599" s="437"/>
      <c r="U599" s="437"/>
      <c r="V599" s="437"/>
      <c r="W599" s="437"/>
      <c r="X599" s="437"/>
      <c r="Y599" s="437"/>
      <c r="Z599" s="437"/>
      <c r="AA599" s="437"/>
      <c r="AB599" s="437"/>
      <c r="AC599" s="437"/>
      <c r="AD599" s="437"/>
      <c r="AE599" s="437"/>
      <c r="AF599" s="437"/>
      <c r="AG599" s="437"/>
      <c r="AH599" s="437"/>
      <c r="AI599" s="437"/>
      <c r="AJ599" s="437"/>
      <c r="AK599" s="437"/>
      <c r="AL599" s="437"/>
      <c r="AM599" s="437"/>
      <c r="AN599" s="437"/>
      <c r="AO599" s="437"/>
      <c r="AP599" s="437"/>
      <c r="AQ599" s="437"/>
      <c r="AR599" s="437"/>
      <c r="AS599" s="437"/>
      <c r="AT599" s="437"/>
      <c r="AU599" s="437"/>
      <c r="AV599" s="437"/>
      <c r="AW599" s="437"/>
      <c r="AX599" s="436">
        <v>594</v>
      </c>
      <c r="AY599" s="490" t="s">
        <v>6210</v>
      </c>
      <c r="AZ599" s="490" t="s">
        <v>6211</v>
      </c>
      <c r="BA599" s="490" t="s">
        <v>6212</v>
      </c>
      <c r="BB599" s="490" t="s">
        <v>6120</v>
      </c>
      <c r="BC599" s="490" t="s">
        <v>6213</v>
      </c>
      <c r="BD599" s="490" t="s">
        <v>6214</v>
      </c>
      <c r="BE599" s="490" t="s">
        <v>6215</v>
      </c>
      <c r="BF599" s="490" t="s">
        <v>6216</v>
      </c>
      <c r="BG599" s="490" t="s">
        <v>6217</v>
      </c>
      <c r="BH599" s="490" t="s">
        <v>6218</v>
      </c>
      <c r="BI599" s="490" t="s">
        <v>4235</v>
      </c>
      <c r="BJ599" s="490" t="s">
        <v>6219</v>
      </c>
      <c r="BK599" s="437"/>
      <c r="BL599" s="437"/>
      <c r="BM599" s="437"/>
      <c r="BN599" s="437"/>
      <c r="BO599" s="437"/>
      <c r="BP599" s="437"/>
    </row>
    <row r="600" spans="1:68">
      <c r="A600" s="437"/>
      <c r="B600" s="437"/>
      <c r="C600" s="437"/>
      <c r="D600" s="437"/>
      <c r="E600" s="437"/>
      <c r="F600" s="437"/>
      <c r="G600" s="437"/>
      <c r="H600" s="437"/>
      <c r="I600" s="437"/>
      <c r="J600" s="437"/>
      <c r="K600" s="437"/>
      <c r="L600" s="437"/>
      <c r="M600" s="437"/>
      <c r="N600" s="437"/>
      <c r="O600" s="437"/>
      <c r="P600" s="437"/>
      <c r="Q600" s="437"/>
      <c r="R600" s="437"/>
      <c r="S600" s="437"/>
      <c r="T600" s="437"/>
      <c r="U600" s="437"/>
      <c r="V600" s="437"/>
      <c r="W600" s="437"/>
      <c r="X600" s="437"/>
      <c r="Y600" s="437"/>
      <c r="Z600" s="437"/>
      <c r="AA600" s="437"/>
      <c r="AB600" s="437"/>
      <c r="AC600" s="437"/>
      <c r="AD600" s="437"/>
      <c r="AE600" s="437"/>
      <c r="AF600" s="437"/>
      <c r="AG600" s="437"/>
      <c r="AH600" s="437"/>
      <c r="AI600" s="437"/>
      <c r="AJ600" s="437"/>
      <c r="AK600" s="437"/>
      <c r="AL600" s="437"/>
      <c r="AM600" s="437"/>
      <c r="AN600" s="437"/>
      <c r="AO600" s="437"/>
      <c r="AP600" s="437"/>
      <c r="AQ600" s="437"/>
      <c r="AR600" s="437"/>
      <c r="AS600" s="437"/>
      <c r="AT600" s="437"/>
      <c r="AU600" s="437"/>
      <c r="AV600" s="437"/>
      <c r="AW600" s="437"/>
      <c r="AX600" s="436">
        <v>595</v>
      </c>
      <c r="AY600" s="490" t="s">
        <v>6220</v>
      </c>
      <c r="AZ600" s="490" t="s">
        <v>6221</v>
      </c>
      <c r="BA600" s="490" t="s">
        <v>6211</v>
      </c>
      <c r="BB600" s="490" t="s">
        <v>6222</v>
      </c>
      <c r="BC600" s="490" t="s">
        <v>4230</v>
      </c>
      <c r="BD600" s="490" t="s">
        <v>351</v>
      </c>
      <c r="BE600" s="490" t="s">
        <v>6206</v>
      </c>
      <c r="BF600" s="490" t="s">
        <v>6223</v>
      </c>
      <c r="BG600" s="490" t="s">
        <v>6224</v>
      </c>
      <c r="BH600" s="490" t="s">
        <v>6225</v>
      </c>
      <c r="BI600" s="490" t="s">
        <v>6226</v>
      </c>
      <c r="BJ600" s="490" t="s">
        <v>6227</v>
      </c>
      <c r="BK600" s="437"/>
      <c r="BL600" s="437"/>
      <c r="BM600" s="437"/>
      <c r="BN600" s="437"/>
      <c r="BO600" s="437"/>
      <c r="BP600" s="437"/>
    </row>
    <row r="601" spans="1:68">
      <c r="A601" s="437"/>
      <c r="B601" s="437"/>
      <c r="C601" s="437"/>
      <c r="D601" s="437"/>
      <c r="E601" s="437"/>
      <c r="F601" s="437"/>
      <c r="G601" s="437"/>
      <c r="H601" s="437"/>
      <c r="I601" s="437"/>
      <c r="J601" s="437"/>
      <c r="K601" s="437"/>
      <c r="L601" s="437"/>
      <c r="M601" s="437"/>
      <c r="N601" s="437"/>
      <c r="O601" s="437"/>
      <c r="P601" s="437"/>
      <c r="Q601" s="437"/>
      <c r="R601" s="437"/>
      <c r="S601" s="437"/>
      <c r="T601" s="437"/>
      <c r="U601" s="437"/>
      <c r="V601" s="437"/>
      <c r="W601" s="437"/>
      <c r="X601" s="437"/>
      <c r="Y601" s="437"/>
      <c r="Z601" s="437"/>
      <c r="AA601" s="437"/>
      <c r="AB601" s="437"/>
      <c r="AC601" s="437"/>
      <c r="AD601" s="437"/>
      <c r="AE601" s="437"/>
      <c r="AF601" s="437"/>
      <c r="AG601" s="437"/>
      <c r="AH601" s="437"/>
      <c r="AI601" s="437"/>
      <c r="AJ601" s="437"/>
      <c r="AK601" s="437"/>
      <c r="AL601" s="437"/>
      <c r="AM601" s="437"/>
      <c r="AN601" s="437"/>
      <c r="AO601" s="437"/>
      <c r="AP601" s="437"/>
      <c r="AQ601" s="437"/>
      <c r="AR601" s="437"/>
      <c r="AS601" s="437"/>
      <c r="AT601" s="437"/>
      <c r="AU601" s="437"/>
      <c r="AV601" s="437"/>
      <c r="AW601" s="437"/>
      <c r="AX601" s="436">
        <v>596</v>
      </c>
      <c r="AY601" s="490" t="s">
        <v>6228</v>
      </c>
      <c r="AZ601" s="490" t="s">
        <v>6229</v>
      </c>
      <c r="BA601" s="490" t="s">
        <v>6230</v>
      </c>
      <c r="BB601" s="490" t="s">
        <v>6231</v>
      </c>
      <c r="BC601" s="490" t="s">
        <v>6232</v>
      </c>
      <c r="BD601" s="490" t="s">
        <v>4116</v>
      </c>
      <c r="BE601" s="490" t="s">
        <v>6216</v>
      </c>
      <c r="BF601" s="490" t="s">
        <v>6233</v>
      </c>
      <c r="BG601" s="490" t="s">
        <v>6234</v>
      </c>
      <c r="BH601" s="490" t="s">
        <v>6235</v>
      </c>
      <c r="BI601" s="490" t="s">
        <v>6236</v>
      </c>
      <c r="BJ601" s="490" t="s">
        <v>6237</v>
      </c>
      <c r="BK601" s="437"/>
      <c r="BL601" s="437"/>
      <c r="BM601" s="437"/>
      <c r="BN601" s="437"/>
      <c r="BO601" s="437"/>
      <c r="BP601" s="437"/>
    </row>
    <row r="602" spans="1:68">
      <c r="A602" s="437"/>
      <c r="B602" s="437"/>
      <c r="C602" s="437"/>
      <c r="D602" s="437"/>
      <c r="E602" s="437"/>
      <c r="F602" s="437"/>
      <c r="G602" s="437"/>
      <c r="H602" s="437"/>
      <c r="I602" s="437"/>
      <c r="J602" s="437"/>
      <c r="K602" s="437"/>
      <c r="L602" s="437"/>
      <c r="M602" s="437"/>
      <c r="N602" s="437"/>
      <c r="O602" s="437"/>
      <c r="P602" s="437"/>
      <c r="Q602" s="437"/>
      <c r="R602" s="437"/>
      <c r="S602" s="437"/>
      <c r="T602" s="437"/>
      <c r="U602" s="437"/>
      <c r="V602" s="437"/>
      <c r="W602" s="437"/>
      <c r="X602" s="437"/>
      <c r="Y602" s="437"/>
      <c r="Z602" s="437"/>
      <c r="AA602" s="437"/>
      <c r="AB602" s="437"/>
      <c r="AC602" s="437"/>
      <c r="AD602" s="437"/>
      <c r="AE602" s="437"/>
      <c r="AF602" s="437"/>
      <c r="AG602" s="437"/>
      <c r="AH602" s="437"/>
      <c r="AI602" s="437"/>
      <c r="AJ602" s="437"/>
      <c r="AK602" s="437"/>
      <c r="AL602" s="437"/>
      <c r="AM602" s="437"/>
      <c r="AN602" s="437"/>
      <c r="AO602" s="437"/>
      <c r="AP602" s="437"/>
      <c r="AQ602" s="437"/>
      <c r="AR602" s="437"/>
      <c r="AS602" s="437"/>
      <c r="AT602" s="437"/>
      <c r="AU602" s="437"/>
      <c r="AV602" s="437"/>
      <c r="AW602" s="437"/>
      <c r="AX602" s="436">
        <v>597</v>
      </c>
      <c r="AY602" s="490" t="s">
        <v>6238</v>
      </c>
      <c r="AZ602" s="490" t="s">
        <v>6239</v>
      </c>
      <c r="BA602" s="490" t="s">
        <v>6240</v>
      </c>
      <c r="BB602" s="490" t="s">
        <v>6241</v>
      </c>
      <c r="BC602" s="490" t="s">
        <v>1237</v>
      </c>
      <c r="BD602" s="490" t="s">
        <v>6242</v>
      </c>
      <c r="BE602" s="490" t="s">
        <v>6243</v>
      </c>
      <c r="BF602" s="490" t="s">
        <v>6244</v>
      </c>
      <c r="BG602" s="490" t="s">
        <v>6245</v>
      </c>
      <c r="BH602" s="490" t="s">
        <v>6246</v>
      </c>
      <c r="BI602" s="490" t="s">
        <v>584</v>
      </c>
      <c r="BJ602" s="490" t="s">
        <v>6143</v>
      </c>
      <c r="BK602" s="437"/>
      <c r="BL602" s="437"/>
      <c r="BM602" s="437"/>
      <c r="BN602" s="437"/>
      <c r="BO602" s="437"/>
      <c r="BP602" s="437"/>
    </row>
    <row r="603" spans="1:68">
      <c r="A603" s="437"/>
      <c r="B603" s="437"/>
      <c r="C603" s="437"/>
      <c r="D603" s="437"/>
      <c r="E603" s="437"/>
      <c r="F603" s="437"/>
      <c r="G603" s="437"/>
      <c r="H603" s="437"/>
      <c r="I603" s="437"/>
      <c r="J603" s="437"/>
      <c r="K603" s="437"/>
      <c r="L603" s="437"/>
      <c r="M603" s="437"/>
      <c r="N603" s="437"/>
      <c r="O603" s="437"/>
      <c r="P603" s="437"/>
      <c r="Q603" s="437"/>
      <c r="R603" s="437"/>
      <c r="S603" s="437"/>
      <c r="T603" s="437"/>
      <c r="U603" s="437"/>
      <c r="V603" s="437"/>
      <c r="W603" s="437"/>
      <c r="X603" s="437"/>
      <c r="Y603" s="437"/>
      <c r="Z603" s="437"/>
      <c r="AA603" s="437"/>
      <c r="AB603" s="437"/>
      <c r="AC603" s="437"/>
      <c r="AD603" s="437"/>
      <c r="AE603" s="437"/>
      <c r="AF603" s="437"/>
      <c r="AG603" s="437"/>
      <c r="AH603" s="437"/>
      <c r="AI603" s="437"/>
      <c r="AJ603" s="437"/>
      <c r="AK603" s="437"/>
      <c r="AL603" s="437"/>
      <c r="AM603" s="437"/>
      <c r="AN603" s="437"/>
      <c r="AO603" s="437"/>
      <c r="AP603" s="437"/>
      <c r="AQ603" s="437"/>
      <c r="AR603" s="437"/>
      <c r="AS603" s="437"/>
      <c r="AT603" s="437"/>
      <c r="AU603" s="437"/>
      <c r="AV603" s="437"/>
      <c r="AW603" s="437"/>
      <c r="AX603" s="436">
        <v>598</v>
      </c>
      <c r="AY603" s="490" t="s">
        <v>6247</v>
      </c>
      <c r="AZ603" s="490" t="s">
        <v>6248</v>
      </c>
      <c r="BA603" s="490" t="s">
        <v>6249</v>
      </c>
      <c r="BB603" s="490" t="s">
        <v>6250</v>
      </c>
      <c r="BC603" s="490" t="s">
        <v>6251</v>
      </c>
      <c r="BD603" s="490" t="s">
        <v>6252</v>
      </c>
      <c r="BE603" s="490" t="s">
        <v>6233</v>
      </c>
      <c r="BF603" s="490" t="s">
        <v>522</v>
      </c>
      <c r="BG603" s="490" t="s">
        <v>6253</v>
      </c>
      <c r="BH603" s="490" t="s">
        <v>6254</v>
      </c>
      <c r="BI603" s="490" t="s">
        <v>6255</v>
      </c>
      <c r="BJ603" s="490" t="s">
        <v>6152</v>
      </c>
      <c r="BK603" s="437"/>
      <c r="BL603" s="437"/>
      <c r="BM603" s="437"/>
      <c r="BN603" s="437"/>
      <c r="BO603" s="437"/>
      <c r="BP603" s="437"/>
    </row>
    <row r="604" spans="1:68">
      <c r="A604" s="437"/>
      <c r="B604" s="437"/>
      <c r="C604" s="437"/>
      <c r="D604" s="437"/>
      <c r="E604" s="437"/>
      <c r="F604" s="437"/>
      <c r="G604" s="437"/>
      <c r="H604" s="437"/>
      <c r="I604" s="437"/>
      <c r="J604" s="437"/>
      <c r="K604" s="437"/>
      <c r="L604" s="437"/>
      <c r="M604" s="437"/>
      <c r="N604" s="437"/>
      <c r="O604" s="437"/>
      <c r="P604" s="437"/>
      <c r="Q604" s="437"/>
      <c r="R604" s="437"/>
      <c r="S604" s="437"/>
      <c r="T604" s="437"/>
      <c r="U604" s="437"/>
      <c r="V604" s="437"/>
      <c r="W604" s="437"/>
      <c r="X604" s="437"/>
      <c r="Y604" s="437"/>
      <c r="Z604" s="437"/>
      <c r="AA604" s="437"/>
      <c r="AB604" s="437"/>
      <c r="AC604" s="437"/>
      <c r="AD604" s="437"/>
      <c r="AE604" s="437"/>
      <c r="AF604" s="437"/>
      <c r="AG604" s="437"/>
      <c r="AH604" s="437"/>
      <c r="AI604" s="437"/>
      <c r="AJ604" s="437"/>
      <c r="AK604" s="437"/>
      <c r="AL604" s="437"/>
      <c r="AM604" s="437"/>
      <c r="AN604" s="437"/>
      <c r="AO604" s="437"/>
      <c r="AP604" s="437"/>
      <c r="AQ604" s="437"/>
      <c r="AR604" s="437"/>
      <c r="AS604" s="437"/>
      <c r="AT604" s="437"/>
      <c r="AU604" s="437"/>
      <c r="AV604" s="437"/>
      <c r="AW604" s="437"/>
      <c r="AX604" s="436">
        <v>599</v>
      </c>
      <c r="AY604" s="490" t="s">
        <v>6256</v>
      </c>
      <c r="AZ604" s="490" t="s">
        <v>492</v>
      </c>
      <c r="BA604" s="490" t="s">
        <v>6257</v>
      </c>
      <c r="BB604" s="490" t="s">
        <v>6258</v>
      </c>
      <c r="BC604" s="490" t="s">
        <v>6259</v>
      </c>
      <c r="BD604" s="490" t="s">
        <v>6157</v>
      </c>
      <c r="BE604" s="490" t="s">
        <v>6260</v>
      </c>
      <c r="BF604" s="490" t="s">
        <v>6261</v>
      </c>
      <c r="BG604" s="490" t="s">
        <v>6262</v>
      </c>
      <c r="BH604" s="490" t="s">
        <v>6263</v>
      </c>
      <c r="BI604" s="490" t="s">
        <v>3934</v>
      </c>
      <c r="BJ604" s="490" t="s">
        <v>6264</v>
      </c>
      <c r="BK604" s="437"/>
      <c r="BL604" s="437"/>
      <c r="BM604" s="437"/>
      <c r="BN604" s="437"/>
      <c r="BO604" s="437"/>
      <c r="BP604" s="437"/>
    </row>
    <row r="605" spans="1:68">
      <c r="A605" s="437"/>
      <c r="B605" s="437"/>
      <c r="C605" s="437"/>
      <c r="D605" s="437"/>
      <c r="E605" s="437"/>
      <c r="F605" s="437"/>
      <c r="G605" s="437"/>
      <c r="H605" s="437"/>
      <c r="I605" s="437"/>
      <c r="J605" s="437"/>
      <c r="K605" s="437"/>
      <c r="L605" s="437"/>
      <c r="M605" s="437"/>
      <c r="N605" s="437"/>
      <c r="O605" s="437"/>
      <c r="P605" s="437"/>
      <c r="Q605" s="437"/>
      <c r="R605" s="437"/>
      <c r="S605" s="437"/>
      <c r="T605" s="437"/>
      <c r="U605" s="437"/>
      <c r="V605" s="437"/>
      <c r="W605" s="437"/>
      <c r="X605" s="437"/>
      <c r="Y605" s="437"/>
      <c r="Z605" s="437"/>
      <c r="AA605" s="437"/>
      <c r="AB605" s="437"/>
      <c r="AC605" s="437"/>
      <c r="AD605" s="437"/>
      <c r="AE605" s="437"/>
      <c r="AF605" s="437"/>
      <c r="AG605" s="437"/>
      <c r="AH605" s="437"/>
      <c r="AI605" s="437"/>
      <c r="AJ605" s="437"/>
      <c r="AK605" s="437"/>
      <c r="AL605" s="437"/>
      <c r="AM605" s="437"/>
      <c r="AN605" s="437"/>
      <c r="AO605" s="437"/>
      <c r="AP605" s="437"/>
      <c r="AQ605" s="437"/>
      <c r="AR605" s="437"/>
      <c r="AS605" s="437"/>
      <c r="AT605" s="437"/>
      <c r="AU605" s="437"/>
      <c r="AV605" s="437"/>
      <c r="AW605" s="437"/>
      <c r="AX605" s="436">
        <v>600</v>
      </c>
      <c r="AY605" s="490" t="s">
        <v>6265</v>
      </c>
      <c r="AZ605" s="490" t="s">
        <v>709</v>
      </c>
      <c r="BA605" s="490" t="s">
        <v>2831</v>
      </c>
      <c r="BB605" s="490" t="s">
        <v>6266</v>
      </c>
      <c r="BC605" s="490" t="s">
        <v>6267</v>
      </c>
      <c r="BD605" s="490" t="s">
        <v>6268</v>
      </c>
      <c r="BE605" s="490" t="s">
        <v>6269</v>
      </c>
      <c r="BF605" s="490" t="s">
        <v>6270</v>
      </c>
      <c r="BG605" s="490" t="s">
        <v>6271</v>
      </c>
      <c r="BH605" s="490" t="s">
        <v>6272</v>
      </c>
      <c r="BI605" s="490" t="s">
        <v>4280</v>
      </c>
      <c r="BJ605" s="490" t="s">
        <v>6273</v>
      </c>
      <c r="BK605" s="437"/>
      <c r="BL605" s="437"/>
      <c r="BM605" s="437"/>
      <c r="BN605" s="437"/>
      <c r="BO605" s="437"/>
      <c r="BP605" s="437"/>
    </row>
    <row r="606" spans="1:68">
      <c r="A606" s="437"/>
      <c r="B606" s="437"/>
      <c r="C606" s="437"/>
      <c r="D606" s="437"/>
      <c r="E606" s="437"/>
      <c r="F606" s="437"/>
      <c r="G606" s="437"/>
      <c r="H606" s="437"/>
      <c r="I606" s="437"/>
      <c r="J606" s="437"/>
      <c r="K606" s="437"/>
      <c r="L606" s="437"/>
      <c r="M606" s="437"/>
      <c r="N606" s="437"/>
      <c r="O606" s="437"/>
      <c r="P606" s="437"/>
      <c r="Q606" s="437"/>
      <c r="R606" s="437"/>
      <c r="S606" s="437"/>
      <c r="T606" s="437"/>
      <c r="U606" s="437"/>
      <c r="V606" s="437"/>
      <c r="W606" s="437"/>
      <c r="X606" s="437"/>
      <c r="Y606" s="437"/>
      <c r="Z606" s="437"/>
      <c r="AA606" s="437"/>
      <c r="AB606" s="437"/>
      <c r="AC606" s="437"/>
      <c r="AD606" s="437"/>
      <c r="AE606" s="437"/>
      <c r="AF606" s="437"/>
      <c r="AG606" s="437"/>
      <c r="AH606" s="437"/>
      <c r="AI606" s="437"/>
      <c r="AJ606" s="437"/>
      <c r="AK606" s="437"/>
      <c r="AL606" s="437"/>
      <c r="AM606" s="437"/>
      <c r="AN606" s="437"/>
      <c r="AO606" s="437"/>
      <c r="AP606" s="437"/>
      <c r="AQ606" s="437"/>
      <c r="AR606" s="437"/>
      <c r="AS606" s="437"/>
      <c r="AT606" s="437"/>
      <c r="AU606" s="437"/>
      <c r="AV606" s="437"/>
      <c r="AW606" s="437"/>
      <c r="AX606" s="437"/>
      <c r="AY606" s="437"/>
      <c r="AZ606" s="437"/>
      <c r="BA606" s="437"/>
      <c r="BB606" s="437"/>
      <c r="BC606" s="437"/>
      <c r="BD606" s="437"/>
      <c r="BE606" s="437"/>
      <c r="BF606" s="437"/>
      <c r="BG606" s="437"/>
      <c r="BH606" s="437"/>
      <c r="BI606" s="437"/>
      <c r="BJ606" s="437"/>
      <c r="BK606" s="437"/>
      <c r="BL606" s="437"/>
      <c r="BM606" s="437"/>
      <c r="BN606" s="437"/>
      <c r="BO606" s="437"/>
      <c r="BP606" s="437"/>
    </row>
    <row r="607" spans="1:68">
      <c r="A607" s="437"/>
      <c r="B607" s="437"/>
      <c r="C607" s="437"/>
      <c r="D607" s="437"/>
      <c r="E607" s="437"/>
      <c r="F607" s="437"/>
      <c r="G607" s="437"/>
      <c r="H607" s="437"/>
      <c r="I607" s="437"/>
      <c r="J607" s="437"/>
      <c r="K607" s="437"/>
      <c r="L607" s="437"/>
      <c r="M607" s="437"/>
      <c r="N607" s="437"/>
      <c r="O607" s="437"/>
      <c r="P607" s="437"/>
      <c r="Q607" s="437"/>
      <c r="R607" s="437"/>
      <c r="S607" s="437"/>
      <c r="T607" s="437"/>
      <c r="U607" s="437"/>
      <c r="V607" s="437"/>
      <c r="W607" s="437"/>
      <c r="X607" s="437"/>
      <c r="Y607" s="437"/>
      <c r="Z607" s="437"/>
      <c r="AA607" s="437"/>
      <c r="AB607" s="437"/>
      <c r="AC607" s="437"/>
      <c r="AD607" s="437"/>
      <c r="AE607" s="437"/>
      <c r="AF607" s="437"/>
      <c r="AG607" s="437"/>
      <c r="AH607" s="437"/>
      <c r="AI607" s="437"/>
      <c r="AJ607" s="437"/>
      <c r="AK607" s="437"/>
      <c r="AL607" s="437"/>
      <c r="AM607" s="437"/>
      <c r="AN607" s="437"/>
      <c r="AO607" s="437"/>
      <c r="AP607" s="437"/>
      <c r="AQ607" s="437"/>
      <c r="AR607" s="437"/>
      <c r="AS607" s="437"/>
      <c r="AT607" s="437"/>
      <c r="AU607" s="437"/>
      <c r="AV607" s="437"/>
      <c r="AW607" s="437"/>
      <c r="AX607" s="437"/>
      <c r="AY607" s="437"/>
      <c r="AZ607" s="437"/>
      <c r="BA607" s="437"/>
      <c r="BB607" s="437"/>
      <c r="BC607" s="437"/>
      <c r="BD607" s="437"/>
      <c r="BE607" s="437"/>
      <c r="BF607" s="437"/>
      <c r="BG607" s="437"/>
      <c r="BH607" s="437"/>
      <c r="BI607" s="437"/>
      <c r="BJ607" s="437"/>
      <c r="BK607" s="437"/>
      <c r="BL607" s="437"/>
      <c r="BM607" s="437"/>
      <c r="BN607" s="437"/>
      <c r="BO607" s="437"/>
      <c r="BP607" s="437"/>
    </row>
    <row r="608" spans="1:68">
      <c r="A608" s="437"/>
      <c r="B608" s="437"/>
      <c r="C608" s="437"/>
      <c r="D608" s="437"/>
      <c r="E608" s="437"/>
      <c r="F608" s="437"/>
      <c r="G608" s="437"/>
      <c r="H608" s="437"/>
      <c r="I608" s="437"/>
      <c r="J608" s="437"/>
      <c r="K608" s="437"/>
      <c r="L608" s="437"/>
      <c r="M608" s="437"/>
      <c r="N608" s="437"/>
      <c r="O608" s="437"/>
      <c r="P608" s="437"/>
      <c r="Q608" s="437"/>
      <c r="R608" s="437"/>
      <c r="S608" s="437"/>
      <c r="T608" s="437"/>
      <c r="U608" s="437"/>
      <c r="V608" s="437"/>
      <c r="W608" s="437"/>
      <c r="X608" s="437"/>
      <c r="Y608" s="437"/>
      <c r="Z608" s="437"/>
      <c r="AA608" s="437"/>
      <c r="AB608" s="437"/>
      <c r="AC608" s="437"/>
      <c r="AD608" s="437"/>
      <c r="AE608" s="437"/>
      <c r="AF608" s="437"/>
      <c r="AG608" s="437"/>
      <c r="AH608" s="437"/>
      <c r="AI608" s="437"/>
      <c r="AJ608" s="437"/>
      <c r="AK608" s="437"/>
      <c r="AL608" s="437"/>
      <c r="AM608" s="437"/>
      <c r="AN608" s="437"/>
      <c r="AO608" s="437"/>
      <c r="AP608" s="437"/>
      <c r="AQ608" s="437"/>
      <c r="AR608" s="437"/>
      <c r="AS608" s="437"/>
      <c r="AT608" s="437"/>
      <c r="AU608" s="437"/>
      <c r="AV608" s="437"/>
      <c r="AW608" s="437"/>
      <c r="AX608" s="437"/>
      <c r="AY608" s="437"/>
      <c r="AZ608" s="437"/>
      <c r="BA608" s="437"/>
      <c r="BB608" s="437"/>
      <c r="BC608" s="437"/>
      <c r="BD608" s="437"/>
      <c r="BE608" s="437"/>
      <c r="BF608" s="437"/>
      <c r="BG608" s="437"/>
      <c r="BH608" s="437"/>
      <c r="BI608" s="437"/>
      <c r="BJ608" s="437"/>
      <c r="BK608" s="437"/>
      <c r="BL608" s="437"/>
      <c r="BM608" s="437"/>
      <c r="BN608" s="437"/>
      <c r="BO608" s="437"/>
      <c r="BP608" s="437"/>
    </row>
    <row r="609" spans="1:68">
      <c r="A609" s="437"/>
      <c r="B609" s="437"/>
      <c r="C609" s="437"/>
      <c r="D609" s="437"/>
      <c r="E609" s="437"/>
      <c r="F609" s="437"/>
      <c r="G609" s="437"/>
      <c r="H609" s="437"/>
      <c r="I609" s="437"/>
      <c r="J609" s="437"/>
      <c r="K609" s="437"/>
      <c r="L609" s="437"/>
      <c r="M609" s="437"/>
      <c r="N609" s="437"/>
      <c r="O609" s="437"/>
      <c r="P609" s="437"/>
      <c r="Q609" s="437"/>
      <c r="R609" s="437"/>
      <c r="S609" s="437"/>
      <c r="T609" s="437"/>
      <c r="U609" s="437"/>
      <c r="V609" s="437"/>
      <c r="W609" s="437"/>
      <c r="X609" s="437"/>
      <c r="Y609" s="437"/>
      <c r="Z609" s="437"/>
      <c r="AA609" s="437"/>
      <c r="AB609" s="437"/>
      <c r="AC609" s="437"/>
      <c r="AD609" s="437"/>
      <c r="AE609" s="437"/>
      <c r="AF609" s="437"/>
      <c r="AG609" s="437"/>
      <c r="AH609" s="437"/>
      <c r="AI609" s="437"/>
      <c r="AJ609" s="437"/>
      <c r="AK609" s="437"/>
      <c r="AL609" s="437"/>
      <c r="AM609" s="437"/>
      <c r="AN609" s="437"/>
      <c r="AO609" s="437"/>
      <c r="AP609" s="437"/>
      <c r="AQ609" s="437"/>
      <c r="AR609" s="437"/>
      <c r="AS609" s="437"/>
      <c r="AT609" s="437"/>
      <c r="AU609" s="437"/>
      <c r="AV609" s="437"/>
      <c r="AW609" s="437"/>
      <c r="AX609" s="437"/>
      <c r="AY609" s="437"/>
      <c r="AZ609" s="437"/>
      <c r="BA609" s="437"/>
      <c r="BB609" s="437"/>
      <c r="BC609" s="437"/>
      <c r="BD609" s="437"/>
      <c r="BE609" s="437"/>
      <c r="BF609" s="437"/>
      <c r="BG609" s="437"/>
      <c r="BH609" s="437"/>
      <c r="BI609" s="437"/>
      <c r="BJ609" s="437"/>
      <c r="BK609" s="437"/>
      <c r="BL609" s="437"/>
      <c r="BM609" s="437"/>
      <c r="BN609" s="437"/>
      <c r="BO609" s="437"/>
      <c r="BP609" s="437"/>
    </row>
    <row r="610" spans="1:68">
      <c r="A610" s="437"/>
      <c r="B610" s="437"/>
      <c r="C610" s="437"/>
      <c r="D610" s="437"/>
      <c r="E610" s="437"/>
      <c r="F610" s="437"/>
      <c r="G610" s="437"/>
      <c r="H610" s="437"/>
      <c r="I610" s="437"/>
      <c r="J610" s="437"/>
      <c r="K610" s="437"/>
      <c r="L610" s="437"/>
      <c r="M610" s="437"/>
      <c r="N610" s="437"/>
      <c r="O610" s="437"/>
      <c r="P610" s="437"/>
      <c r="Q610" s="437"/>
      <c r="R610" s="437"/>
      <c r="S610" s="437"/>
      <c r="T610" s="437"/>
      <c r="U610" s="437"/>
      <c r="V610" s="437"/>
      <c r="W610" s="437"/>
      <c r="X610" s="437"/>
      <c r="Y610" s="437"/>
      <c r="Z610" s="437"/>
      <c r="AA610" s="437"/>
      <c r="AB610" s="437"/>
      <c r="AC610" s="437"/>
      <c r="AD610" s="437"/>
      <c r="AE610" s="437"/>
      <c r="AF610" s="437"/>
      <c r="AG610" s="437"/>
      <c r="AH610" s="437"/>
      <c r="AI610" s="437"/>
      <c r="AJ610" s="437"/>
      <c r="AK610" s="437"/>
      <c r="AL610" s="437"/>
      <c r="AM610" s="437"/>
      <c r="AN610" s="437"/>
      <c r="AO610" s="437"/>
      <c r="AP610" s="437"/>
      <c r="AQ610" s="437"/>
      <c r="AR610" s="437"/>
      <c r="AS610" s="437"/>
      <c r="AT610" s="437"/>
      <c r="AU610" s="437"/>
      <c r="AV610" s="437"/>
      <c r="AW610" s="437"/>
      <c r="AX610" s="437"/>
      <c r="AY610" s="437"/>
      <c r="AZ610" s="437"/>
      <c r="BA610" s="437"/>
      <c r="BB610" s="437"/>
      <c r="BC610" s="437"/>
      <c r="BD610" s="437"/>
      <c r="BE610" s="437"/>
      <c r="BF610" s="437"/>
      <c r="BG610" s="437"/>
      <c r="BH610" s="437"/>
      <c r="BI610" s="437"/>
      <c r="BJ610" s="437"/>
      <c r="BK610" s="437"/>
      <c r="BL610" s="437"/>
      <c r="BM610" s="437"/>
      <c r="BN610" s="437"/>
      <c r="BO610" s="437"/>
      <c r="BP610" s="437"/>
    </row>
    <row r="611" spans="1:68">
      <c r="A611" s="437"/>
      <c r="B611" s="437"/>
      <c r="C611" s="437"/>
      <c r="D611" s="437"/>
      <c r="E611" s="437"/>
      <c r="F611" s="437"/>
      <c r="G611" s="437"/>
      <c r="H611" s="437"/>
      <c r="I611" s="437"/>
      <c r="J611" s="437"/>
      <c r="K611" s="437"/>
      <c r="L611" s="437"/>
      <c r="M611" s="437"/>
      <c r="N611" s="437"/>
      <c r="O611" s="437"/>
      <c r="P611" s="437"/>
      <c r="Q611" s="437"/>
      <c r="R611" s="437"/>
      <c r="S611" s="437"/>
      <c r="T611" s="437"/>
      <c r="U611" s="437"/>
      <c r="V611" s="437"/>
      <c r="W611" s="437"/>
      <c r="X611" s="437"/>
      <c r="Y611" s="437"/>
      <c r="Z611" s="437"/>
      <c r="AA611" s="437"/>
      <c r="AB611" s="437"/>
      <c r="AC611" s="437"/>
      <c r="AD611" s="437"/>
      <c r="AE611" s="437"/>
      <c r="AF611" s="437"/>
      <c r="AG611" s="437"/>
      <c r="AH611" s="437"/>
      <c r="AI611" s="437"/>
      <c r="AJ611" s="437"/>
      <c r="AK611" s="437"/>
      <c r="AL611" s="437"/>
      <c r="AM611" s="437"/>
      <c r="AN611" s="437"/>
      <c r="AO611" s="437"/>
      <c r="AP611" s="437"/>
      <c r="AQ611" s="437"/>
      <c r="AR611" s="437"/>
      <c r="AS611" s="437"/>
      <c r="AT611" s="437"/>
      <c r="AU611" s="437"/>
      <c r="AV611" s="437"/>
      <c r="AW611" s="437"/>
      <c r="AX611" s="437"/>
      <c r="AY611" s="437"/>
      <c r="AZ611" s="437"/>
      <c r="BA611" s="437"/>
      <c r="BB611" s="437"/>
      <c r="BC611" s="437"/>
      <c r="BD611" s="437"/>
      <c r="BE611" s="437"/>
      <c r="BF611" s="437"/>
      <c r="BG611" s="437"/>
      <c r="BH611" s="437"/>
      <c r="BI611" s="437"/>
      <c r="BJ611" s="437"/>
      <c r="BK611" s="437"/>
      <c r="BL611" s="437"/>
      <c r="BM611" s="437"/>
      <c r="BN611" s="437"/>
      <c r="BO611" s="437"/>
      <c r="BP611" s="437"/>
    </row>
    <row r="612" spans="1:68">
      <c r="A612" s="437"/>
      <c r="B612" s="437"/>
      <c r="C612" s="437"/>
      <c r="D612" s="437"/>
      <c r="E612" s="437"/>
      <c r="F612" s="437"/>
      <c r="G612" s="437"/>
      <c r="H612" s="437"/>
      <c r="I612" s="437"/>
      <c r="J612" s="437"/>
      <c r="K612" s="437"/>
      <c r="L612" s="437"/>
      <c r="M612" s="437"/>
      <c r="N612" s="437"/>
      <c r="O612" s="437"/>
      <c r="P612" s="437"/>
      <c r="Q612" s="437"/>
      <c r="R612" s="437"/>
      <c r="S612" s="437"/>
      <c r="T612" s="437"/>
      <c r="U612" s="437"/>
      <c r="V612" s="437"/>
      <c r="W612" s="437"/>
      <c r="X612" s="437"/>
      <c r="Y612" s="437"/>
      <c r="Z612" s="437"/>
      <c r="AA612" s="437"/>
      <c r="AB612" s="437"/>
      <c r="AC612" s="437"/>
      <c r="AD612" s="437"/>
      <c r="AE612" s="437"/>
      <c r="AF612" s="437"/>
      <c r="AG612" s="437"/>
      <c r="AH612" s="437"/>
      <c r="AI612" s="437"/>
      <c r="AJ612" s="437"/>
      <c r="AK612" s="437"/>
      <c r="AL612" s="437"/>
      <c r="AM612" s="437"/>
      <c r="AN612" s="437"/>
      <c r="AO612" s="437"/>
      <c r="AP612" s="437"/>
      <c r="AQ612" s="437"/>
      <c r="AR612" s="437"/>
      <c r="AS612" s="437"/>
      <c r="AT612" s="437"/>
      <c r="AU612" s="437"/>
      <c r="AV612" s="437"/>
      <c r="AW612" s="437"/>
      <c r="AX612" s="437"/>
      <c r="AY612" s="437"/>
      <c r="AZ612" s="437"/>
      <c r="BA612" s="437"/>
      <c r="BB612" s="437"/>
      <c r="BC612" s="437"/>
      <c r="BD612" s="437"/>
      <c r="BE612" s="437"/>
      <c r="BF612" s="437"/>
      <c r="BG612" s="437"/>
      <c r="BH612" s="437"/>
      <c r="BI612" s="437"/>
      <c r="BJ612" s="437"/>
      <c r="BK612" s="437"/>
      <c r="BL612" s="437"/>
      <c r="BM612" s="437"/>
      <c r="BN612" s="437"/>
      <c r="BO612" s="437"/>
      <c r="BP612" s="437"/>
    </row>
    <row r="613" spans="1:68">
      <c r="A613" s="437"/>
      <c r="B613" s="437"/>
      <c r="C613" s="437"/>
      <c r="D613" s="437"/>
      <c r="E613" s="437"/>
      <c r="F613" s="437"/>
      <c r="G613" s="437"/>
      <c r="H613" s="437"/>
      <c r="I613" s="437"/>
      <c r="J613" s="437"/>
      <c r="K613" s="437"/>
      <c r="L613" s="437"/>
      <c r="M613" s="437"/>
      <c r="N613" s="437"/>
      <c r="O613" s="437"/>
      <c r="P613" s="437"/>
      <c r="Q613" s="437"/>
      <c r="R613" s="437"/>
      <c r="S613" s="437"/>
      <c r="T613" s="437"/>
      <c r="U613" s="437"/>
      <c r="V613" s="437"/>
      <c r="W613" s="437"/>
      <c r="X613" s="437"/>
      <c r="Y613" s="437"/>
      <c r="Z613" s="437"/>
      <c r="AA613" s="437"/>
      <c r="AB613" s="437"/>
      <c r="AC613" s="437"/>
      <c r="AD613" s="437"/>
      <c r="AE613" s="437"/>
      <c r="AF613" s="437"/>
      <c r="AG613" s="437"/>
      <c r="AH613" s="437"/>
      <c r="AI613" s="437"/>
      <c r="AJ613" s="437"/>
      <c r="AK613" s="437"/>
      <c r="AL613" s="437"/>
      <c r="AM613" s="437"/>
      <c r="AN613" s="437"/>
      <c r="AO613" s="437"/>
      <c r="AP613" s="437"/>
      <c r="AQ613" s="437"/>
      <c r="AR613" s="437"/>
      <c r="AS613" s="437"/>
      <c r="AT613" s="437"/>
      <c r="AU613" s="437"/>
      <c r="AV613" s="437"/>
      <c r="AW613" s="437"/>
      <c r="AX613" s="437"/>
      <c r="AY613" s="437"/>
      <c r="AZ613" s="437"/>
      <c r="BA613" s="437"/>
      <c r="BB613" s="437"/>
      <c r="BC613" s="437"/>
      <c r="BD613" s="437"/>
      <c r="BE613" s="437"/>
      <c r="BF613" s="437"/>
      <c r="BG613" s="437"/>
      <c r="BH613" s="437"/>
      <c r="BI613" s="437"/>
      <c r="BJ613" s="437"/>
      <c r="BK613" s="437"/>
      <c r="BL613" s="437"/>
      <c r="BM613" s="437"/>
      <c r="BN613" s="437"/>
      <c r="BO613" s="437"/>
      <c r="BP613" s="437"/>
    </row>
    <row r="614" spans="1:68">
      <c r="A614" s="437"/>
      <c r="B614" s="437"/>
      <c r="C614" s="437"/>
      <c r="D614" s="437"/>
      <c r="E614" s="437"/>
      <c r="F614" s="437"/>
      <c r="G614" s="437"/>
      <c r="H614" s="437"/>
      <c r="I614" s="437"/>
      <c r="J614" s="437"/>
      <c r="K614" s="437"/>
      <c r="L614" s="437"/>
      <c r="M614" s="437"/>
      <c r="N614" s="437"/>
      <c r="O614" s="437"/>
      <c r="P614" s="437"/>
      <c r="Q614" s="437"/>
      <c r="R614" s="437"/>
      <c r="S614" s="437"/>
      <c r="T614" s="437"/>
      <c r="U614" s="437"/>
      <c r="V614" s="437"/>
      <c r="W614" s="437"/>
      <c r="X614" s="437"/>
      <c r="Y614" s="437"/>
      <c r="Z614" s="437"/>
      <c r="AA614" s="437"/>
      <c r="AB614" s="437"/>
      <c r="AC614" s="437"/>
      <c r="AD614" s="437"/>
      <c r="AE614" s="437"/>
      <c r="AF614" s="437"/>
      <c r="AG614" s="437"/>
      <c r="AH614" s="437"/>
      <c r="AI614" s="437"/>
      <c r="AJ614" s="437"/>
      <c r="AK614" s="437"/>
      <c r="AL614" s="437"/>
      <c r="AM614" s="437"/>
      <c r="AN614" s="437"/>
      <c r="AO614" s="437"/>
      <c r="AP614" s="437"/>
      <c r="AQ614" s="437"/>
      <c r="AR614" s="437"/>
      <c r="AS614" s="437"/>
      <c r="AT614" s="437"/>
      <c r="AU614" s="437"/>
      <c r="AV614" s="437"/>
      <c r="AW614" s="437"/>
      <c r="AX614" s="437"/>
      <c r="AY614" s="437"/>
      <c r="AZ614" s="437"/>
      <c r="BA614" s="437"/>
      <c r="BB614" s="437"/>
      <c r="BC614" s="437"/>
      <c r="BD614" s="437"/>
      <c r="BE614" s="437"/>
      <c r="BF614" s="437"/>
      <c r="BG614" s="437"/>
      <c r="BH614" s="437"/>
      <c r="BI614" s="437"/>
      <c r="BJ614" s="437"/>
      <c r="BK614" s="437"/>
      <c r="BL614" s="437"/>
      <c r="BM614" s="437"/>
      <c r="BN614" s="437"/>
      <c r="BO614" s="437"/>
      <c r="BP614" s="437"/>
    </row>
    <row r="615" spans="1:68">
      <c r="A615" s="437"/>
      <c r="B615" s="437"/>
      <c r="C615" s="437"/>
      <c r="D615" s="437"/>
      <c r="E615" s="437"/>
      <c r="F615" s="437"/>
      <c r="G615" s="437"/>
      <c r="H615" s="437"/>
      <c r="I615" s="437"/>
      <c r="J615" s="437"/>
      <c r="K615" s="437"/>
      <c r="L615" s="437"/>
      <c r="M615" s="437"/>
      <c r="N615" s="437"/>
      <c r="O615" s="437"/>
      <c r="P615" s="437"/>
      <c r="Q615" s="437"/>
      <c r="R615" s="437"/>
      <c r="S615" s="437"/>
      <c r="T615" s="437"/>
      <c r="U615" s="437"/>
      <c r="V615" s="437"/>
      <c r="W615" s="437"/>
      <c r="X615" s="437"/>
      <c r="Y615" s="437"/>
      <c r="Z615" s="437"/>
      <c r="AA615" s="437"/>
      <c r="AB615" s="437"/>
      <c r="AC615" s="437"/>
      <c r="AD615" s="437"/>
      <c r="AE615" s="437"/>
      <c r="AF615" s="437"/>
      <c r="AG615" s="437"/>
      <c r="AH615" s="437"/>
      <c r="AI615" s="437"/>
      <c r="AJ615" s="437"/>
      <c r="AK615" s="437"/>
      <c r="AL615" s="437"/>
      <c r="AM615" s="437"/>
      <c r="AN615" s="437"/>
      <c r="AO615" s="437"/>
      <c r="AP615" s="437"/>
      <c r="AQ615" s="437"/>
      <c r="AR615" s="437"/>
      <c r="AS615" s="437"/>
      <c r="AT615" s="437"/>
      <c r="AU615" s="437"/>
      <c r="AV615" s="437"/>
      <c r="AW615" s="437"/>
      <c r="AX615" s="437"/>
      <c r="AY615" s="437"/>
      <c r="AZ615" s="437"/>
      <c r="BA615" s="437"/>
      <c r="BB615" s="437"/>
      <c r="BC615" s="437"/>
      <c r="BD615" s="437"/>
      <c r="BE615" s="437"/>
      <c r="BF615" s="437"/>
      <c r="BG615" s="437"/>
      <c r="BH615" s="437"/>
      <c r="BI615" s="437"/>
      <c r="BJ615" s="437"/>
      <c r="BK615" s="437"/>
      <c r="BL615" s="437"/>
      <c r="BM615" s="437"/>
      <c r="BN615" s="437"/>
      <c r="BO615" s="437"/>
      <c r="BP615" s="437"/>
    </row>
    <row r="616" spans="1:68">
      <c r="A616" s="437"/>
      <c r="B616" s="437"/>
      <c r="C616" s="437"/>
      <c r="D616" s="437"/>
      <c r="E616" s="437"/>
      <c r="F616" s="437"/>
      <c r="G616" s="437"/>
      <c r="H616" s="437"/>
      <c r="I616" s="437"/>
      <c r="J616" s="437"/>
      <c r="K616" s="437"/>
      <c r="L616" s="437"/>
      <c r="M616" s="437"/>
      <c r="N616" s="437"/>
      <c r="O616" s="437"/>
      <c r="P616" s="437"/>
      <c r="Q616" s="437"/>
      <c r="R616" s="437"/>
      <c r="S616" s="437"/>
      <c r="T616" s="437"/>
      <c r="U616" s="437"/>
      <c r="V616" s="437"/>
      <c r="W616" s="437"/>
      <c r="X616" s="437"/>
      <c r="Y616" s="437"/>
      <c r="Z616" s="437"/>
      <c r="AA616" s="437"/>
      <c r="AB616" s="437"/>
      <c r="AC616" s="437"/>
      <c r="AD616" s="437"/>
      <c r="AE616" s="437"/>
      <c r="AF616" s="437"/>
      <c r="AG616" s="437"/>
      <c r="AH616" s="437"/>
      <c r="AI616" s="437"/>
      <c r="AJ616" s="437"/>
      <c r="AK616" s="437"/>
      <c r="AL616" s="437"/>
      <c r="AM616" s="437"/>
      <c r="AN616" s="437"/>
      <c r="AO616" s="437"/>
      <c r="AP616" s="437"/>
      <c r="AQ616" s="437"/>
      <c r="AR616" s="437"/>
      <c r="AS616" s="437"/>
      <c r="AT616" s="437"/>
      <c r="AU616" s="437"/>
      <c r="AV616" s="437"/>
      <c r="AW616" s="437"/>
      <c r="AX616" s="437"/>
      <c r="AY616" s="437"/>
      <c r="AZ616" s="437"/>
      <c r="BA616" s="437"/>
      <c r="BB616" s="437"/>
      <c r="BC616" s="437"/>
      <c r="BD616" s="437"/>
      <c r="BE616" s="437"/>
      <c r="BF616" s="437"/>
      <c r="BG616" s="437"/>
      <c r="BH616" s="437"/>
      <c r="BI616" s="437"/>
      <c r="BJ616" s="437"/>
      <c r="BK616" s="437"/>
      <c r="BL616" s="437"/>
      <c r="BM616" s="437"/>
      <c r="BN616" s="437"/>
      <c r="BO616" s="437"/>
      <c r="BP616" s="437"/>
    </row>
    <row r="617" spans="1:68">
      <c r="A617" s="437"/>
      <c r="B617" s="437"/>
      <c r="C617" s="437"/>
      <c r="D617" s="437"/>
      <c r="E617" s="437"/>
      <c r="F617" s="437"/>
      <c r="G617" s="437"/>
      <c r="H617" s="437"/>
      <c r="I617" s="437"/>
      <c r="J617" s="437"/>
      <c r="K617" s="437"/>
      <c r="L617" s="437"/>
      <c r="M617" s="437"/>
      <c r="N617" s="437"/>
      <c r="O617" s="437"/>
      <c r="P617" s="437"/>
      <c r="Q617" s="437"/>
      <c r="R617" s="437"/>
      <c r="S617" s="437"/>
      <c r="T617" s="437"/>
      <c r="U617" s="437"/>
      <c r="V617" s="437"/>
      <c r="W617" s="437"/>
      <c r="X617" s="437"/>
      <c r="Y617" s="437"/>
      <c r="Z617" s="437"/>
      <c r="AA617" s="437"/>
      <c r="AB617" s="437"/>
      <c r="AC617" s="437"/>
      <c r="AD617" s="437"/>
      <c r="AE617" s="437"/>
      <c r="AF617" s="437"/>
      <c r="AG617" s="437"/>
      <c r="AH617" s="437"/>
      <c r="AI617" s="437"/>
      <c r="AJ617" s="437"/>
      <c r="AK617" s="437"/>
      <c r="AL617" s="437"/>
      <c r="AM617" s="437"/>
      <c r="AN617" s="437"/>
      <c r="AO617" s="437"/>
      <c r="AP617" s="437"/>
      <c r="AQ617" s="437"/>
      <c r="AR617" s="437"/>
      <c r="AS617" s="437"/>
      <c r="AT617" s="437"/>
      <c r="AU617" s="437"/>
      <c r="AV617" s="437"/>
      <c r="AW617" s="437"/>
      <c r="AX617" s="437"/>
      <c r="AY617" s="437"/>
      <c r="AZ617" s="437"/>
      <c r="BA617" s="437"/>
      <c r="BB617" s="437"/>
      <c r="BC617" s="437"/>
      <c r="BD617" s="437"/>
      <c r="BE617" s="437"/>
      <c r="BF617" s="437"/>
      <c r="BG617" s="437"/>
      <c r="BH617" s="437"/>
      <c r="BI617" s="437"/>
      <c r="BJ617" s="437"/>
      <c r="BK617" s="437"/>
      <c r="BL617" s="437"/>
      <c r="BM617" s="437"/>
      <c r="BN617" s="437"/>
      <c r="BO617" s="437"/>
      <c r="BP617" s="437"/>
    </row>
    <row r="618" spans="1:68">
      <c r="A618" s="437"/>
      <c r="B618" s="437"/>
      <c r="C618" s="437"/>
      <c r="D618" s="437"/>
      <c r="E618" s="437"/>
      <c r="F618" s="437"/>
      <c r="G618" s="437"/>
      <c r="H618" s="437"/>
      <c r="I618" s="437"/>
      <c r="J618" s="437"/>
      <c r="K618" s="437"/>
      <c r="L618" s="437"/>
      <c r="M618" s="437"/>
      <c r="N618" s="437"/>
      <c r="O618" s="437"/>
      <c r="P618" s="437"/>
      <c r="Q618" s="437"/>
      <c r="R618" s="437"/>
      <c r="S618" s="437"/>
      <c r="T618" s="437"/>
      <c r="U618" s="437"/>
      <c r="V618" s="437"/>
      <c r="W618" s="437"/>
      <c r="X618" s="437"/>
      <c r="Y618" s="437"/>
      <c r="Z618" s="437"/>
      <c r="AA618" s="437"/>
      <c r="AB618" s="437"/>
      <c r="AC618" s="437"/>
      <c r="AD618" s="437"/>
      <c r="AE618" s="437"/>
      <c r="AF618" s="437"/>
      <c r="AG618" s="437"/>
      <c r="AH618" s="437"/>
      <c r="AI618" s="437"/>
      <c r="AJ618" s="437"/>
      <c r="AK618" s="437"/>
      <c r="AL618" s="437"/>
      <c r="AM618" s="437"/>
      <c r="AN618" s="437"/>
      <c r="AO618" s="437"/>
      <c r="AP618" s="437"/>
      <c r="AQ618" s="437"/>
      <c r="AR618" s="437"/>
      <c r="AS618" s="437"/>
      <c r="AT618" s="437"/>
      <c r="AU618" s="437"/>
      <c r="AV618" s="437"/>
      <c r="AW618" s="437"/>
      <c r="AX618" s="437"/>
      <c r="AY618" s="437"/>
      <c r="AZ618" s="437"/>
      <c r="BA618" s="437"/>
      <c r="BB618" s="437"/>
      <c r="BC618" s="437"/>
      <c r="BD618" s="437"/>
      <c r="BE618" s="437"/>
      <c r="BF618" s="437"/>
      <c r="BG618" s="437"/>
      <c r="BH618" s="437"/>
      <c r="BI618" s="437"/>
      <c r="BJ618" s="437"/>
      <c r="BK618" s="437"/>
      <c r="BL618" s="437"/>
      <c r="BM618" s="437"/>
      <c r="BN618" s="437"/>
      <c r="BO618" s="437"/>
      <c r="BP618" s="437"/>
    </row>
    <row r="619" spans="1:68">
      <c r="A619" s="437"/>
      <c r="B619" s="437"/>
      <c r="C619" s="437"/>
      <c r="D619" s="437"/>
      <c r="E619" s="437"/>
      <c r="F619" s="437"/>
      <c r="G619" s="437"/>
      <c r="H619" s="437"/>
      <c r="I619" s="437"/>
      <c r="J619" s="437"/>
      <c r="K619" s="437"/>
      <c r="L619" s="437"/>
      <c r="M619" s="437"/>
      <c r="N619" s="437"/>
      <c r="O619" s="437"/>
      <c r="P619" s="437"/>
      <c r="Q619" s="437"/>
      <c r="R619" s="437"/>
      <c r="S619" s="437"/>
      <c r="T619" s="437"/>
      <c r="U619" s="437"/>
      <c r="V619" s="437"/>
      <c r="W619" s="437"/>
      <c r="X619" s="437"/>
      <c r="Y619" s="437"/>
      <c r="Z619" s="437"/>
      <c r="AA619" s="437"/>
      <c r="AB619" s="437"/>
      <c r="AC619" s="437"/>
      <c r="AD619" s="437"/>
      <c r="AE619" s="437"/>
      <c r="AF619" s="437"/>
      <c r="AG619" s="437"/>
      <c r="AH619" s="437"/>
      <c r="AI619" s="437"/>
      <c r="AJ619" s="437"/>
      <c r="AK619" s="437"/>
      <c r="AL619" s="437"/>
      <c r="AM619" s="437"/>
      <c r="AN619" s="437"/>
      <c r="AO619" s="437"/>
      <c r="AP619" s="437"/>
      <c r="AQ619" s="437"/>
      <c r="AR619" s="437"/>
      <c r="AS619" s="437"/>
      <c r="AT619" s="437"/>
      <c r="AU619" s="437"/>
      <c r="AV619" s="437"/>
      <c r="AW619" s="437"/>
      <c r="AX619" s="437"/>
      <c r="AY619" s="437"/>
      <c r="AZ619" s="437"/>
      <c r="BA619" s="437"/>
      <c r="BB619" s="437"/>
      <c r="BC619" s="437"/>
      <c r="BD619" s="437"/>
      <c r="BE619" s="437"/>
      <c r="BF619" s="437"/>
      <c r="BG619" s="437"/>
      <c r="BH619" s="437"/>
      <c r="BI619" s="437"/>
      <c r="BJ619" s="437"/>
      <c r="BK619" s="437"/>
      <c r="BL619" s="437"/>
      <c r="BM619" s="437"/>
      <c r="BN619" s="437"/>
      <c r="BO619" s="437"/>
      <c r="BP619" s="437"/>
    </row>
    <row r="620" spans="1:68">
      <c r="A620" s="437"/>
      <c r="B620" s="437"/>
      <c r="C620" s="437"/>
      <c r="D620" s="437"/>
      <c r="E620" s="437"/>
      <c r="F620" s="437"/>
      <c r="G620" s="437"/>
      <c r="H620" s="437"/>
      <c r="I620" s="437"/>
      <c r="J620" s="437"/>
      <c r="K620" s="437"/>
      <c r="L620" s="437"/>
      <c r="M620" s="437"/>
      <c r="N620" s="437"/>
      <c r="O620" s="437"/>
      <c r="P620" s="437"/>
      <c r="Q620" s="437"/>
      <c r="R620" s="437"/>
      <c r="S620" s="437"/>
      <c r="T620" s="437"/>
      <c r="U620" s="437"/>
      <c r="V620" s="437"/>
      <c r="W620" s="437"/>
      <c r="X620" s="437"/>
      <c r="Y620" s="437"/>
      <c r="Z620" s="437"/>
      <c r="AA620" s="437"/>
      <c r="AB620" s="437"/>
      <c r="AC620" s="437"/>
      <c r="AD620" s="437"/>
      <c r="AE620" s="437"/>
      <c r="AF620" s="437"/>
      <c r="AG620" s="437"/>
      <c r="AH620" s="437"/>
      <c r="AI620" s="437"/>
      <c r="AJ620" s="437"/>
      <c r="AK620" s="437"/>
      <c r="AL620" s="437"/>
      <c r="AM620" s="437"/>
      <c r="AN620" s="437"/>
      <c r="AO620" s="437"/>
      <c r="AP620" s="437"/>
      <c r="AQ620" s="437"/>
      <c r="AR620" s="437"/>
      <c r="AS620" s="437"/>
      <c r="AT620" s="437"/>
      <c r="AU620" s="437"/>
      <c r="AV620" s="437"/>
      <c r="AW620" s="437"/>
      <c r="AX620" s="437"/>
      <c r="AY620" s="437"/>
      <c r="AZ620" s="437"/>
      <c r="BA620" s="437"/>
      <c r="BB620" s="437"/>
      <c r="BC620" s="437"/>
      <c r="BD620" s="437"/>
      <c r="BE620" s="437"/>
      <c r="BF620" s="437"/>
      <c r="BG620" s="437"/>
      <c r="BH620" s="437"/>
      <c r="BI620" s="437"/>
      <c r="BJ620" s="437"/>
      <c r="BK620" s="437"/>
      <c r="BL620" s="437"/>
      <c r="BM620" s="437"/>
      <c r="BN620" s="437"/>
      <c r="BO620" s="437"/>
      <c r="BP620" s="437"/>
    </row>
    <row r="621" spans="1:68">
      <c r="A621" s="437"/>
      <c r="B621" s="437"/>
      <c r="C621" s="437"/>
      <c r="D621" s="437"/>
      <c r="E621" s="437"/>
      <c r="F621" s="437"/>
      <c r="G621" s="437"/>
      <c r="H621" s="437"/>
      <c r="I621" s="437"/>
      <c r="J621" s="437"/>
      <c r="K621" s="437"/>
      <c r="L621" s="437"/>
      <c r="M621" s="437"/>
      <c r="N621" s="437"/>
      <c r="O621" s="437"/>
      <c r="P621" s="437"/>
      <c r="Q621" s="437"/>
      <c r="R621" s="437"/>
      <c r="S621" s="437"/>
      <c r="T621" s="437"/>
      <c r="U621" s="437"/>
      <c r="V621" s="437"/>
      <c r="W621" s="437"/>
      <c r="X621" s="437"/>
      <c r="Y621" s="437"/>
      <c r="Z621" s="437"/>
      <c r="AA621" s="437"/>
      <c r="AB621" s="437"/>
      <c r="AC621" s="437"/>
      <c r="AD621" s="437"/>
      <c r="AE621" s="437"/>
      <c r="AF621" s="437"/>
      <c r="AG621" s="437"/>
      <c r="AH621" s="437"/>
      <c r="AI621" s="437"/>
      <c r="AJ621" s="437"/>
      <c r="AK621" s="437"/>
      <c r="AL621" s="437"/>
      <c r="AM621" s="437"/>
      <c r="AN621" s="437"/>
      <c r="AO621" s="437"/>
      <c r="AP621" s="437"/>
      <c r="AQ621" s="437"/>
      <c r="AR621" s="437"/>
      <c r="AS621" s="437"/>
      <c r="AT621" s="437"/>
      <c r="AU621" s="437"/>
      <c r="AV621" s="437"/>
      <c r="AW621" s="437"/>
      <c r="AX621" s="437"/>
      <c r="AY621" s="437"/>
      <c r="AZ621" s="437"/>
      <c r="BA621" s="437"/>
      <c r="BB621" s="437"/>
      <c r="BC621" s="437"/>
      <c r="BD621" s="437"/>
      <c r="BE621" s="437"/>
      <c r="BF621" s="437"/>
      <c r="BG621" s="437"/>
      <c r="BH621" s="437"/>
      <c r="BI621" s="437"/>
      <c r="BJ621" s="437"/>
      <c r="BK621" s="437"/>
      <c r="BL621" s="437"/>
      <c r="BM621" s="437"/>
      <c r="BN621" s="437"/>
      <c r="BO621" s="437"/>
      <c r="BP621" s="437"/>
    </row>
    <row r="622" spans="1:68">
      <c r="A622" s="437"/>
      <c r="B622" s="437"/>
      <c r="C622" s="437"/>
      <c r="D622" s="437"/>
      <c r="E622" s="437"/>
      <c r="F622" s="437"/>
      <c r="G622" s="437"/>
      <c r="H622" s="437"/>
      <c r="I622" s="437"/>
      <c r="J622" s="437"/>
      <c r="K622" s="437"/>
      <c r="L622" s="437"/>
      <c r="M622" s="437"/>
      <c r="N622" s="437"/>
      <c r="O622" s="437"/>
      <c r="P622" s="437"/>
      <c r="Q622" s="437"/>
      <c r="R622" s="437"/>
      <c r="S622" s="437"/>
      <c r="T622" s="437"/>
      <c r="U622" s="437"/>
      <c r="V622" s="437"/>
      <c r="W622" s="437"/>
      <c r="X622" s="437"/>
      <c r="Y622" s="437"/>
      <c r="Z622" s="437"/>
      <c r="AA622" s="437"/>
      <c r="AB622" s="437"/>
      <c r="AC622" s="437"/>
      <c r="AD622" s="437"/>
      <c r="AE622" s="437"/>
      <c r="AF622" s="437"/>
      <c r="AG622" s="437"/>
      <c r="AH622" s="437"/>
      <c r="AI622" s="437"/>
      <c r="AJ622" s="437"/>
      <c r="AK622" s="437"/>
      <c r="AL622" s="437"/>
      <c r="AM622" s="437"/>
      <c r="AN622" s="437"/>
      <c r="AO622" s="437"/>
      <c r="AP622" s="437"/>
      <c r="AQ622" s="437"/>
      <c r="AR622" s="437"/>
      <c r="AS622" s="437"/>
      <c r="AT622" s="437"/>
      <c r="AU622" s="437"/>
      <c r="AV622" s="437"/>
      <c r="AW622" s="437"/>
      <c r="AX622" s="437"/>
      <c r="AY622" s="437"/>
      <c r="AZ622" s="437"/>
      <c r="BA622" s="437"/>
      <c r="BB622" s="437"/>
      <c r="BC622" s="437"/>
      <c r="BD622" s="437"/>
      <c r="BE622" s="437"/>
      <c r="BF622" s="437"/>
      <c r="BG622" s="437"/>
      <c r="BH622" s="437"/>
      <c r="BI622" s="437"/>
      <c r="BJ622" s="437"/>
      <c r="BK622" s="437"/>
      <c r="BL622" s="437"/>
      <c r="BM622" s="437"/>
      <c r="BN622" s="437"/>
      <c r="BO622" s="437"/>
      <c r="BP622" s="437"/>
    </row>
    <row r="623" spans="1:68">
      <c r="A623" s="437"/>
      <c r="B623" s="437"/>
      <c r="C623" s="437"/>
      <c r="D623" s="437"/>
      <c r="E623" s="437"/>
      <c r="F623" s="437"/>
      <c r="G623" s="437"/>
      <c r="H623" s="437"/>
      <c r="I623" s="437"/>
      <c r="J623" s="437"/>
      <c r="K623" s="437"/>
      <c r="L623" s="437"/>
      <c r="M623" s="437"/>
      <c r="N623" s="437"/>
      <c r="O623" s="437"/>
      <c r="P623" s="437"/>
      <c r="Q623" s="437"/>
      <c r="R623" s="437"/>
      <c r="S623" s="437"/>
      <c r="T623" s="437"/>
      <c r="U623" s="437"/>
      <c r="V623" s="437"/>
      <c r="W623" s="437"/>
      <c r="X623" s="437"/>
      <c r="Y623" s="437"/>
      <c r="Z623" s="437"/>
      <c r="AA623" s="437"/>
      <c r="AB623" s="437"/>
      <c r="AC623" s="437"/>
      <c r="AD623" s="437"/>
      <c r="AE623" s="437"/>
      <c r="AF623" s="437"/>
      <c r="AG623" s="437"/>
      <c r="AH623" s="437"/>
      <c r="AI623" s="437"/>
      <c r="AJ623" s="437"/>
      <c r="AK623" s="437"/>
      <c r="AL623" s="437"/>
      <c r="AM623" s="437"/>
      <c r="AN623" s="437"/>
      <c r="AO623" s="437"/>
      <c r="AP623" s="437"/>
      <c r="AQ623" s="437"/>
      <c r="AR623" s="437"/>
      <c r="AS623" s="437"/>
      <c r="AT623" s="437"/>
      <c r="AU623" s="437"/>
      <c r="AV623" s="437"/>
      <c r="AW623" s="437"/>
      <c r="AX623" s="437"/>
      <c r="AY623" s="437"/>
      <c r="AZ623" s="437"/>
      <c r="BA623" s="437"/>
      <c r="BB623" s="437"/>
      <c r="BC623" s="437"/>
      <c r="BD623" s="437"/>
      <c r="BE623" s="437"/>
      <c r="BF623" s="437"/>
      <c r="BG623" s="437"/>
      <c r="BH623" s="437"/>
      <c r="BI623" s="437"/>
      <c r="BJ623" s="437"/>
      <c r="BK623" s="437"/>
      <c r="BL623" s="437"/>
      <c r="BM623" s="437"/>
      <c r="BN623" s="437"/>
      <c r="BO623" s="437"/>
      <c r="BP623" s="437"/>
    </row>
    <row r="624" spans="1:68">
      <c r="A624" s="437"/>
      <c r="B624" s="437"/>
      <c r="C624" s="437"/>
      <c r="D624" s="437"/>
      <c r="E624" s="437"/>
      <c r="F624" s="437"/>
      <c r="G624" s="437"/>
      <c r="H624" s="437"/>
      <c r="I624" s="437"/>
      <c r="J624" s="437"/>
      <c r="K624" s="437"/>
      <c r="L624" s="437"/>
      <c r="M624" s="437"/>
      <c r="N624" s="437"/>
      <c r="O624" s="437"/>
      <c r="P624" s="437"/>
      <c r="Q624" s="437"/>
      <c r="R624" s="437"/>
      <c r="S624" s="437"/>
      <c r="T624" s="437"/>
      <c r="U624" s="437"/>
      <c r="V624" s="437"/>
      <c r="W624" s="437"/>
      <c r="X624" s="437"/>
      <c r="Y624" s="437"/>
      <c r="Z624" s="437"/>
      <c r="AA624" s="437"/>
      <c r="AB624" s="437"/>
      <c r="AC624" s="437"/>
      <c r="AD624" s="437"/>
      <c r="AE624" s="437"/>
      <c r="AF624" s="437"/>
      <c r="AG624" s="437"/>
      <c r="AH624" s="437"/>
      <c r="AI624" s="437"/>
      <c r="AJ624" s="437"/>
      <c r="AK624" s="437"/>
      <c r="AL624" s="437"/>
      <c r="AM624" s="437"/>
      <c r="AN624" s="437"/>
      <c r="AO624" s="437"/>
      <c r="AP624" s="437"/>
      <c r="AQ624" s="437"/>
      <c r="AR624" s="437"/>
      <c r="AS624" s="437"/>
      <c r="AT624" s="437"/>
      <c r="AU624" s="437"/>
      <c r="AV624" s="437"/>
      <c r="AW624" s="437"/>
      <c r="AX624" s="437"/>
      <c r="AY624" s="437"/>
      <c r="AZ624" s="437"/>
      <c r="BA624" s="437"/>
      <c r="BB624" s="437"/>
      <c r="BC624" s="437"/>
      <c r="BD624" s="437"/>
      <c r="BE624" s="437"/>
      <c r="BF624" s="437"/>
      <c r="BG624" s="437"/>
      <c r="BH624" s="437"/>
      <c r="BI624" s="437"/>
      <c r="BJ624" s="437"/>
      <c r="BK624" s="437"/>
      <c r="BL624" s="437"/>
      <c r="BM624" s="437"/>
      <c r="BN624" s="437"/>
      <c r="BO624" s="437"/>
      <c r="BP624" s="437"/>
    </row>
    <row r="625" spans="1:68">
      <c r="A625" s="437"/>
      <c r="B625" s="437"/>
      <c r="C625" s="437"/>
      <c r="D625" s="437"/>
      <c r="E625" s="437"/>
      <c r="F625" s="437"/>
      <c r="G625" s="437"/>
      <c r="H625" s="437"/>
      <c r="I625" s="437"/>
      <c r="J625" s="437"/>
      <c r="K625" s="437"/>
      <c r="L625" s="437"/>
      <c r="M625" s="437"/>
      <c r="N625" s="437"/>
      <c r="O625" s="437"/>
      <c r="P625" s="437"/>
      <c r="Q625" s="437"/>
      <c r="R625" s="437"/>
      <c r="S625" s="437"/>
      <c r="T625" s="437"/>
      <c r="U625" s="437"/>
      <c r="V625" s="437"/>
      <c r="W625" s="437"/>
      <c r="X625" s="437"/>
      <c r="Y625" s="437"/>
      <c r="Z625" s="437"/>
      <c r="AA625" s="437"/>
      <c r="AB625" s="437"/>
      <c r="AC625" s="437"/>
      <c r="AD625" s="437"/>
      <c r="AE625" s="437"/>
      <c r="AF625" s="437"/>
      <c r="AG625" s="437"/>
      <c r="AH625" s="437"/>
      <c r="AI625" s="437"/>
      <c r="AJ625" s="437"/>
      <c r="AK625" s="437"/>
      <c r="AL625" s="437"/>
      <c r="AM625" s="437"/>
      <c r="AN625" s="437"/>
      <c r="AO625" s="437"/>
      <c r="AP625" s="437"/>
      <c r="AQ625" s="437"/>
      <c r="AR625" s="437"/>
      <c r="AS625" s="437"/>
      <c r="AT625" s="437"/>
      <c r="AU625" s="437"/>
      <c r="AV625" s="437"/>
      <c r="AW625" s="437"/>
      <c r="AX625" s="437"/>
      <c r="AY625" s="437"/>
      <c r="AZ625" s="437"/>
      <c r="BA625" s="437"/>
      <c r="BB625" s="437"/>
      <c r="BC625" s="437"/>
      <c r="BD625" s="437"/>
      <c r="BE625" s="437"/>
      <c r="BF625" s="437"/>
      <c r="BG625" s="437"/>
      <c r="BH625" s="437"/>
      <c r="BI625" s="437"/>
      <c r="BJ625" s="437"/>
      <c r="BK625" s="437"/>
      <c r="BL625" s="437"/>
      <c r="BM625" s="437"/>
      <c r="BN625" s="437"/>
      <c r="BO625" s="437"/>
      <c r="BP625" s="437"/>
    </row>
    <row r="626" spans="1:68">
      <c r="A626" s="437"/>
      <c r="B626" s="437"/>
      <c r="C626" s="437"/>
      <c r="D626" s="437"/>
      <c r="E626" s="437"/>
      <c r="F626" s="437"/>
      <c r="G626" s="437"/>
      <c r="H626" s="437"/>
      <c r="I626" s="437"/>
      <c r="J626" s="437"/>
      <c r="K626" s="437"/>
      <c r="L626" s="437"/>
      <c r="M626" s="437"/>
      <c r="N626" s="437"/>
      <c r="O626" s="437"/>
      <c r="P626" s="437"/>
      <c r="Q626" s="437"/>
      <c r="R626" s="437"/>
      <c r="S626" s="437"/>
      <c r="T626" s="437"/>
      <c r="U626" s="437"/>
      <c r="V626" s="437"/>
      <c r="W626" s="437"/>
      <c r="X626" s="437"/>
      <c r="Y626" s="437"/>
      <c r="Z626" s="437"/>
      <c r="AA626" s="437"/>
      <c r="AB626" s="437"/>
      <c r="AC626" s="437"/>
      <c r="AD626" s="437"/>
      <c r="AE626" s="437"/>
      <c r="AF626" s="437"/>
      <c r="AG626" s="437"/>
      <c r="AH626" s="437"/>
      <c r="AI626" s="437"/>
      <c r="AJ626" s="437"/>
      <c r="AK626" s="437"/>
      <c r="AL626" s="437"/>
      <c r="AM626" s="437"/>
      <c r="AN626" s="437"/>
      <c r="AO626" s="437"/>
      <c r="AP626" s="437"/>
      <c r="AQ626" s="437"/>
      <c r="AR626" s="437"/>
      <c r="AS626" s="437"/>
      <c r="AT626" s="437"/>
      <c r="AU626" s="437"/>
      <c r="AV626" s="437"/>
      <c r="AW626" s="437"/>
      <c r="AX626" s="437"/>
      <c r="AY626" s="437"/>
      <c r="AZ626" s="437"/>
      <c r="BA626" s="437"/>
      <c r="BB626" s="437"/>
      <c r="BC626" s="437"/>
      <c r="BD626" s="437"/>
      <c r="BE626" s="437"/>
      <c r="BF626" s="437"/>
      <c r="BG626" s="437"/>
      <c r="BH626" s="437"/>
      <c r="BI626" s="437"/>
      <c r="BJ626" s="437"/>
      <c r="BK626" s="437"/>
      <c r="BL626" s="437"/>
      <c r="BM626" s="437"/>
      <c r="BN626" s="437"/>
      <c r="BO626" s="437"/>
      <c r="BP626" s="437"/>
    </row>
    <row r="627" spans="1:68">
      <c r="A627" s="437"/>
      <c r="B627" s="437"/>
      <c r="C627" s="437"/>
      <c r="D627" s="437"/>
      <c r="E627" s="437"/>
      <c r="F627" s="437"/>
      <c r="G627" s="437"/>
      <c r="H627" s="437"/>
      <c r="I627" s="437"/>
      <c r="J627" s="437"/>
      <c r="K627" s="437"/>
      <c r="L627" s="437"/>
      <c r="M627" s="437"/>
      <c r="N627" s="437"/>
      <c r="O627" s="437"/>
      <c r="P627" s="437"/>
      <c r="Q627" s="437"/>
      <c r="R627" s="437"/>
      <c r="S627" s="437"/>
      <c r="T627" s="437"/>
      <c r="U627" s="437"/>
      <c r="V627" s="437"/>
      <c r="W627" s="437"/>
      <c r="X627" s="437"/>
      <c r="Y627" s="437"/>
      <c r="Z627" s="437"/>
      <c r="AA627" s="437"/>
      <c r="AB627" s="437"/>
      <c r="AC627" s="437"/>
      <c r="AD627" s="437"/>
      <c r="AE627" s="437"/>
      <c r="AF627" s="437"/>
      <c r="AG627" s="437"/>
      <c r="AH627" s="437"/>
      <c r="AI627" s="437"/>
      <c r="AJ627" s="437"/>
      <c r="AK627" s="437"/>
      <c r="AL627" s="437"/>
      <c r="AM627" s="437"/>
      <c r="AN627" s="437"/>
      <c r="AO627" s="437"/>
      <c r="AP627" s="437"/>
      <c r="AQ627" s="437"/>
      <c r="AR627" s="437"/>
      <c r="AS627" s="437"/>
      <c r="AT627" s="437"/>
      <c r="AU627" s="437"/>
      <c r="AV627" s="437"/>
      <c r="AW627" s="437"/>
      <c r="AX627" s="437"/>
      <c r="AY627" s="437"/>
      <c r="AZ627" s="437"/>
      <c r="BA627" s="437"/>
      <c r="BB627" s="437"/>
      <c r="BC627" s="437"/>
      <c r="BD627" s="437"/>
      <c r="BE627" s="437"/>
      <c r="BF627" s="437"/>
      <c r="BG627" s="437"/>
      <c r="BH627" s="437"/>
      <c r="BI627" s="437"/>
      <c r="BJ627" s="437"/>
      <c r="BK627" s="437"/>
      <c r="BL627" s="437"/>
      <c r="BM627" s="437"/>
      <c r="BN627" s="437"/>
      <c r="BO627" s="437"/>
      <c r="BP627" s="437"/>
    </row>
    <row r="628" spans="1:68">
      <c r="A628" s="437"/>
      <c r="B628" s="437"/>
      <c r="C628" s="437"/>
      <c r="D628" s="437"/>
      <c r="E628" s="437"/>
      <c r="F628" s="437"/>
      <c r="G628" s="437"/>
      <c r="H628" s="437"/>
      <c r="I628" s="437"/>
      <c r="J628" s="437"/>
      <c r="K628" s="437"/>
      <c r="L628" s="437"/>
      <c r="M628" s="437"/>
      <c r="N628" s="437"/>
      <c r="O628" s="437"/>
      <c r="P628" s="437"/>
      <c r="Q628" s="437"/>
      <c r="R628" s="437"/>
      <c r="S628" s="437"/>
      <c r="T628" s="437"/>
      <c r="U628" s="437"/>
      <c r="V628" s="437"/>
      <c r="W628" s="437"/>
      <c r="X628" s="437"/>
      <c r="Y628" s="437"/>
      <c r="Z628" s="437"/>
      <c r="AA628" s="437"/>
      <c r="AB628" s="437"/>
      <c r="AC628" s="437"/>
      <c r="AD628" s="437"/>
      <c r="AE628" s="437"/>
      <c r="AF628" s="437"/>
      <c r="AG628" s="437"/>
      <c r="AH628" s="437"/>
      <c r="AI628" s="437"/>
      <c r="AJ628" s="437"/>
      <c r="AK628" s="437"/>
      <c r="AL628" s="437"/>
      <c r="AM628" s="437"/>
      <c r="AN628" s="437"/>
      <c r="AO628" s="437"/>
      <c r="AP628" s="437"/>
      <c r="AQ628" s="437"/>
      <c r="AR628" s="437"/>
      <c r="AS628" s="437"/>
      <c r="AT628" s="437"/>
      <c r="AU628" s="437"/>
      <c r="AV628" s="437"/>
      <c r="AW628" s="437"/>
      <c r="AX628" s="437"/>
      <c r="AY628" s="437"/>
      <c r="AZ628" s="437"/>
      <c r="BA628" s="437"/>
      <c r="BB628" s="437"/>
      <c r="BC628" s="437"/>
      <c r="BD628" s="437"/>
      <c r="BE628" s="437"/>
      <c r="BF628" s="437"/>
      <c r="BG628" s="437"/>
      <c r="BH628" s="437"/>
      <c r="BI628" s="437"/>
      <c r="BJ628" s="437"/>
      <c r="BK628" s="437"/>
      <c r="BL628" s="437"/>
      <c r="BM628" s="437"/>
      <c r="BN628" s="437"/>
      <c r="BO628" s="437"/>
      <c r="BP628" s="437"/>
    </row>
    <row r="629" spans="1:68">
      <c r="A629" s="437"/>
      <c r="B629" s="437"/>
      <c r="C629" s="437"/>
      <c r="D629" s="437"/>
      <c r="E629" s="437"/>
      <c r="F629" s="437"/>
      <c r="G629" s="437"/>
      <c r="H629" s="437"/>
      <c r="I629" s="437"/>
      <c r="J629" s="437"/>
      <c r="K629" s="437"/>
      <c r="L629" s="437"/>
      <c r="M629" s="437"/>
      <c r="N629" s="437"/>
      <c r="O629" s="437"/>
      <c r="P629" s="437"/>
      <c r="Q629" s="437"/>
      <c r="R629" s="437"/>
      <c r="S629" s="437"/>
      <c r="T629" s="437"/>
      <c r="U629" s="437"/>
      <c r="V629" s="437"/>
      <c r="W629" s="437"/>
      <c r="X629" s="437"/>
      <c r="Y629" s="437"/>
      <c r="Z629" s="437"/>
      <c r="AA629" s="437"/>
      <c r="AB629" s="437"/>
      <c r="AC629" s="437"/>
      <c r="AD629" s="437"/>
      <c r="AE629" s="437"/>
      <c r="AF629" s="437"/>
      <c r="AG629" s="437"/>
      <c r="AH629" s="437"/>
      <c r="AI629" s="437"/>
      <c r="AJ629" s="437"/>
      <c r="AK629" s="437"/>
      <c r="AL629" s="437"/>
      <c r="AM629" s="437"/>
      <c r="AN629" s="437"/>
      <c r="AO629" s="437"/>
      <c r="AP629" s="437"/>
      <c r="AQ629" s="437"/>
      <c r="AR629" s="437"/>
      <c r="AS629" s="437"/>
      <c r="AT629" s="437"/>
      <c r="AU629" s="437"/>
      <c r="AV629" s="437"/>
      <c r="AW629" s="437"/>
      <c r="AX629" s="437"/>
      <c r="AY629" s="437"/>
      <c r="AZ629" s="437"/>
      <c r="BA629" s="437"/>
      <c r="BB629" s="437"/>
      <c r="BC629" s="437"/>
      <c r="BD629" s="437"/>
      <c r="BE629" s="437"/>
      <c r="BF629" s="437"/>
      <c r="BG629" s="437"/>
      <c r="BH629" s="437"/>
      <c r="BI629" s="437"/>
      <c r="BJ629" s="437"/>
      <c r="BK629" s="437"/>
      <c r="BL629" s="437"/>
      <c r="BM629" s="437"/>
      <c r="BN629" s="437"/>
      <c r="BO629" s="437"/>
      <c r="BP629" s="437"/>
    </row>
    <row r="630" spans="1:68">
      <c r="A630" s="437"/>
      <c r="B630" s="437"/>
      <c r="C630" s="437"/>
      <c r="D630" s="437"/>
      <c r="E630" s="437"/>
      <c r="F630" s="437"/>
      <c r="G630" s="437"/>
      <c r="H630" s="437"/>
      <c r="I630" s="437"/>
      <c r="J630" s="437"/>
      <c r="K630" s="437"/>
      <c r="L630" s="437"/>
      <c r="M630" s="437"/>
      <c r="N630" s="437"/>
      <c r="O630" s="437"/>
      <c r="P630" s="437"/>
      <c r="Q630" s="437"/>
      <c r="R630" s="437"/>
      <c r="S630" s="437"/>
      <c r="T630" s="437"/>
      <c r="U630" s="437"/>
      <c r="V630" s="437"/>
      <c r="W630" s="437"/>
      <c r="X630" s="437"/>
      <c r="Y630" s="437"/>
      <c r="Z630" s="437"/>
      <c r="AA630" s="437"/>
      <c r="AB630" s="437"/>
      <c r="AC630" s="437"/>
      <c r="AD630" s="437"/>
      <c r="AE630" s="437"/>
      <c r="AF630" s="437"/>
      <c r="AG630" s="437"/>
      <c r="AH630" s="437"/>
      <c r="AI630" s="437"/>
      <c r="AJ630" s="437"/>
      <c r="AK630" s="437"/>
      <c r="AL630" s="437"/>
      <c r="AM630" s="437"/>
      <c r="AN630" s="437"/>
      <c r="AO630" s="437"/>
      <c r="AP630" s="437"/>
      <c r="AQ630" s="437"/>
      <c r="AR630" s="437"/>
      <c r="AS630" s="437"/>
      <c r="AT630" s="437"/>
      <c r="AU630" s="437"/>
      <c r="AV630" s="437"/>
      <c r="AW630" s="437"/>
      <c r="AX630" s="437"/>
      <c r="AY630" s="437"/>
      <c r="AZ630" s="437"/>
      <c r="BA630" s="437"/>
      <c r="BB630" s="437"/>
      <c r="BC630" s="437"/>
      <c r="BD630" s="437"/>
      <c r="BE630" s="437"/>
      <c r="BF630" s="437"/>
      <c r="BG630" s="437"/>
      <c r="BH630" s="437"/>
      <c r="BI630" s="437"/>
      <c r="BJ630" s="437"/>
      <c r="BK630" s="437"/>
      <c r="BL630" s="437"/>
      <c r="BM630" s="437"/>
      <c r="BN630" s="437"/>
      <c r="BO630" s="437"/>
      <c r="BP630" s="437"/>
    </row>
    <row r="631" spans="1:68">
      <c r="A631" s="437"/>
      <c r="B631" s="437"/>
      <c r="C631" s="437"/>
      <c r="D631" s="437"/>
      <c r="E631" s="437"/>
      <c r="F631" s="437"/>
      <c r="G631" s="437"/>
      <c r="H631" s="437"/>
      <c r="I631" s="437"/>
      <c r="J631" s="437"/>
      <c r="K631" s="437"/>
      <c r="L631" s="437"/>
      <c r="M631" s="437"/>
      <c r="N631" s="437"/>
      <c r="O631" s="437"/>
      <c r="P631" s="437"/>
      <c r="Q631" s="437"/>
      <c r="R631" s="437"/>
      <c r="S631" s="437"/>
      <c r="T631" s="437"/>
      <c r="U631" s="437"/>
      <c r="V631" s="437"/>
      <c r="W631" s="437"/>
      <c r="X631" s="437"/>
      <c r="Y631" s="437"/>
      <c r="Z631" s="437"/>
      <c r="AA631" s="437"/>
      <c r="AB631" s="437"/>
      <c r="AC631" s="437"/>
      <c r="AD631" s="437"/>
      <c r="AE631" s="437"/>
      <c r="AF631" s="437"/>
      <c r="AG631" s="437"/>
      <c r="AH631" s="437"/>
      <c r="AI631" s="437"/>
      <c r="AJ631" s="437"/>
      <c r="AK631" s="437"/>
      <c r="AL631" s="437"/>
      <c r="AM631" s="437"/>
      <c r="AN631" s="437"/>
      <c r="AO631" s="437"/>
      <c r="AP631" s="437"/>
      <c r="AQ631" s="437"/>
      <c r="AR631" s="437"/>
      <c r="AS631" s="437"/>
      <c r="AT631" s="437"/>
      <c r="AU631" s="437"/>
      <c r="AV631" s="437"/>
      <c r="AW631" s="437"/>
      <c r="AX631" s="437"/>
      <c r="AY631" s="437"/>
      <c r="AZ631" s="437"/>
      <c r="BA631" s="437"/>
      <c r="BB631" s="437"/>
      <c r="BC631" s="437"/>
      <c r="BD631" s="437"/>
      <c r="BE631" s="437"/>
      <c r="BF631" s="437"/>
      <c r="BG631" s="437"/>
      <c r="BH631" s="437"/>
      <c r="BI631" s="437"/>
      <c r="BJ631" s="437"/>
      <c r="BK631" s="437"/>
      <c r="BL631" s="437"/>
      <c r="BM631" s="437"/>
      <c r="BN631" s="437"/>
      <c r="BO631" s="437"/>
      <c r="BP631" s="437"/>
    </row>
    <row r="632" spans="1:68">
      <c r="A632" s="437"/>
      <c r="B632" s="437"/>
      <c r="C632" s="437"/>
      <c r="D632" s="437"/>
      <c r="E632" s="437"/>
      <c r="F632" s="437"/>
      <c r="G632" s="437"/>
      <c r="H632" s="437"/>
      <c r="I632" s="437"/>
      <c r="J632" s="437"/>
      <c r="K632" s="437"/>
      <c r="L632" s="437"/>
      <c r="M632" s="437"/>
      <c r="N632" s="437"/>
      <c r="O632" s="437"/>
      <c r="P632" s="437"/>
      <c r="Q632" s="437"/>
      <c r="R632" s="437"/>
      <c r="S632" s="437"/>
      <c r="T632" s="437"/>
      <c r="U632" s="437"/>
      <c r="V632" s="437"/>
      <c r="W632" s="437"/>
      <c r="X632" s="437"/>
      <c r="Y632" s="437"/>
      <c r="Z632" s="437"/>
      <c r="AA632" s="437"/>
      <c r="AB632" s="437"/>
      <c r="AC632" s="437"/>
      <c r="AD632" s="437"/>
      <c r="AE632" s="437"/>
      <c r="AF632" s="437"/>
      <c r="AG632" s="437"/>
      <c r="AH632" s="437"/>
      <c r="AI632" s="437"/>
      <c r="AJ632" s="437"/>
      <c r="AK632" s="437"/>
      <c r="AL632" s="437"/>
      <c r="AM632" s="437"/>
      <c r="AN632" s="437"/>
      <c r="AO632" s="437"/>
      <c r="AP632" s="437"/>
      <c r="AQ632" s="437"/>
      <c r="AR632" s="437"/>
      <c r="AS632" s="437"/>
      <c r="AT632" s="437"/>
      <c r="AU632" s="437"/>
      <c r="AV632" s="437"/>
      <c r="AW632" s="437"/>
      <c r="AX632" s="437"/>
      <c r="AY632" s="437"/>
      <c r="AZ632" s="437"/>
      <c r="BA632" s="437"/>
      <c r="BB632" s="437"/>
      <c r="BC632" s="437"/>
      <c r="BD632" s="437"/>
      <c r="BE632" s="437"/>
      <c r="BF632" s="437"/>
      <c r="BG632" s="437"/>
      <c r="BH632" s="437"/>
      <c r="BI632" s="437"/>
      <c r="BJ632" s="437"/>
      <c r="BK632" s="437"/>
      <c r="BL632" s="437"/>
      <c r="BM632" s="437"/>
      <c r="BN632" s="437"/>
      <c r="BO632" s="437"/>
      <c r="BP632" s="437"/>
    </row>
    <row r="633" spans="1:68">
      <c r="A633" s="437"/>
      <c r="B633" s="437"/>
      <c r="C633" s="437"/>
      <c r="D633" s="437"/>
      <c r="E633" s="437"/>
      <c r="F633" s="437"/>
      <c r="G633" s="437"/>
      <c r="H633" s="437"/>
      <c r="I633" s="437"/>
      <c r="J633" s="437"/>
      <c r="K633" s="437"/>
      <c r="L633" s="437"/>
      <c r="M633" s="437"/>
      <c r="N633" s="437"/>
      <c r="O633" s="437"/>
      <c r="P633" s="437"/>
      <c r="Q633" s="437"/>
      <c r="R633" s="437"/>
      <c r="S633" s="437"/>
      <c r="T633" s="437"/>
      <c r="U633" s="437"/>
      <c r="V633" s="437"/>
      <c r="W633" s="437"/>
      <c r="X633" s="437"/>
      <c r="Y633" s="437"/>
      <c r="Z633" s="437"/>
      <c r="AA633" s="437"/>
      <c r="AB633" s="437"/>
      <c r="AC633" s="437"/>
      <c r="AD633" s="437"/>
      <c r="AE633" s="437"/>
      <c r="AF633" s="437"/>
      <c r="AG633" s="437"/>
      <c r="AH633" s="437"/>
      <c r="AI633" s="437"/>
      <c r="AJ633" s="437"/>
      <c r="AK633" s="437"/>
      <c r="AL633" s="437"/>
      <c r="AM633" s="437"/>
      <c r="AN633" s="437"/>
      <c r="AO633" s="437"/>
      <c r="AP633" s="437"/>
      <c r="AQ633" s="437"/>
      <c r="AR633" s="437"/>
      <c r="AS633" s="437"/>
      <c r="AT633" s="437"/>
      <c r="AU633" s="437"/>
      <c r="AV633" s="437"/>
      <c r="AW633" s="437"/>
      <c r="AX633" s="437"/>
      <c r="AY633" s="437"/>
      <c r="AZ633" s="437"/>
      <c r="BA633" s="437"/>
      <c r="BB633" s="437"/>
      <c r="BC633" s="437"/>
      <c r="BD633" s="437"/>
      <c r="BE633" s="437"/>
      <c r="BF633" s="437"/>
      <c r="BG633" s="437"/>
      <c r="BH633" s="437"/>
      <c r="BI633" s="437"/>
      <c r="BJ633" s="437"/>
      <c r="BK633" s="437"/>
      <c r="BL633" s="437"/>
      <c r="BM633" s="437"/>
      <c r="BN633" s="437"/>
      <c r="BO633" s="437"/>
      <c r="BP633" s="437"/>
    </row>
    <row r="634" spans="1:68">
      <c r="A634" s="437"/>
      <c r="B634" s="437"/>
      <c r="C634" s="437"/>
      <c r="D634" s="437"/>
      <c r="E634" s="437"/>
      <c r="F634" s="437"/>
      <c r="G634" s="437"/>
      <c r="H634" s="437"/>
      <c r="I634" s="437"/>
      <c r="J634" s="437"/>
      <c r="K634" s="437"/>
      <c r="L634" s="437"/>
      <c r="M634" s="437"/>
      <c r="N634" s="437"/>
      <c r="O634" s="437"/>
      <c r="P634" s="437"/>
      <c r="Q634" s="437"/>
      <c r="R634" s="437"/>
      <c r="S634" s="437"/>
      <c r="T634" s="437"/>
      <c r="U634" s="437"/>
      <c r="V634" s="437"/>
      <c r="W634" s="437"/>
      <c r="X634" s="437"/>
      <c r="Y634" s="437"/>
      <c r="Z634" s="437"/>
      <c r="AA634" s="437"/>
      <c r="AB634" s="437"/>
      <c r="AC634" s="437"/>
      <c r="AD634" s="437"/>
      <c r="AE634" s="437"/>
      <c r="AF634" s="437"/>
      <c r="AG634" s="437"/>
      <c r="AH634" s="437"/>
      <c r="AI634" s="437"/>
      <c r="AJ634" s="437"/>
      <c r="AK634" s="437"/>
      <c r="AL634" s="437"/>
      <c r="AM634" s="437"/>
      <c r="AN634" s="437"/>
      <c r="AO634" s="437"/>
      <c r="AP634" s="437"/>
      <c r="AQ634" s="437"/>
      <c r="AR634" s="437"/>
      <c r="AS634" s="437"/>
      <c r="AT634" s="437"/>
      <c r="AU634" s="437"/>
      <c r="AV634" s="437"/>
      <c r="AW634" s="437"/>
      <c r="AX634" s="437"/>
      <c r="AY634" s="437"/>
      <c r="AZ634" s="437"/>
      <c r="BA634" s="437"/>
      <c r="BB634" s="437"/>
      <c r="BC634" s="437"/>
      <c r="BD634" s="437"/>
      <c r="BE634" s="437"/>
      <c r="BF634" s="437"/>
      <c r="BG634" s="437"/>
      <c r="BH634" s="437"/>
      <c r="BI634" s="437"/>
      <c r="BJ634" s="437"/>
      <c r="BK634" s="437"/>
      <c r="BL634" s="437"/>
      <c r="BM634" s="437"/>
      <c r="BN634" s="437"/>
      <c r="BO634" s="437"/>
      <c r="BP634" s="437"/>
    </row>
    <row r="635" spans="1:68">
      <c r="A635" s="437"/>
      <c r="B635" s="437"/>
      <c r="C635" s="437"/>
      <c r="D635" s="437"/>
      <c r="E635" s="437"/>
      <c r="F635" s="437"/>
      <c r="G635" s="437"/>
      <c r="H635" s="437"/>
      <c r="I635" s="437"/>
      <c r="J635" s="437"/>
      <c r="K635" s="437"/>
      <c r="L635" s="437"/>
      <c r="M635" s="437"/>
      <c r="N635" s="437"/>
      <c r="O635" s="437"/>
      <c r="P635" s="437"/>
      <c r="Q635" s="437"/>
      <c r="R635" s="437"/>
      <c r="S635" s="437"/>
      <c r="T635" s="437"/>
      <c r="U635" s="437"/>
      <c r="V635" s="437"/>
      <c r="W635" s="437"/>
      <c r="X635" s="437"/>
      <c r="Y635" s="437"/>
      <c r="Z635" s="437"/>
      <c r="AA635" s="437"/>
      <c r="AB635" s="437"/>
      <c r="AC635" s="437"/>
      <c r="AD635" s="437"/>
      <c r="AE635" s="437"/>
      <c r="AF635" s="437"/>
      <c r="AG635" s="437"/>
      <c r="AH635" s="437"/>
      <c r="AI635" s="437"/>
      <c r="AJ635" s="437"/>
      <c r="AK635" s="437"/>
      <c r="AL635" s="437"/>
      <c r="AM635" s="437"/>
      <c r="AN635" s="437"/>
      <c r="AO635" s="437"/>
      <c r="AP635" s="437"/>
      <c r="AQ635" s="437"/>
      <c r="AR635" s="437"/>
      <c r="AS635" s="437"/>
      <c r="AT635" s="437"/>
      <c r="AU635" s="437"/>
      <c r="AV635" s="437"/>
      <c r="AW635" s="437"/>
      <c r="AX635" s="437"/>
      <c r="AY635" s="437"/>
      <c r="AZ635" s="437"/>
      <c r="BA635" s="437"/>
      <c r="BB635" s="437"/>
      <c r="BC635" s="437"/>
      <c r="BD635" s="437"/>
      <c r="BE635" s="437"/>
      <c r="BF635" s="437"/>
      <c r="BG635" s="437"/>
      <c r="BH635" s="437"/>
      <c r="BI635" s="437"/>
      <c r="BJ635" s="437"/>
      <c r="BK635" s="437"/>
      <c r="BL635" s="437"/>
      <c r="BM635" s="437"/>
      <c r="BN635" s="437"/>
      <c r="BO635" s="437"/>
      <c r="BP635" s="437"/>
    </row>
    <row r="636" spans="1:68">
      <c r="A636" s="437"/>
      <c r="B636" s="437"/>
      <c r="C636" s="437"/>
      <c r="D636" s="437"/>
      <c r="E636" s="437"/>
      <c r="F636" s="437"/>
      <c r="G636" s="437"/>
      <c r="H636" s="437"/>
      <c r="I636" s="437"/>
      <c r="J636" s="437"/>
      <c r="K636" s="437"/>
      <c r="L636" s="437"/>
      <c r="M636" s="437"/>
      <c r="N636" s="437"/>
      <c r="O636" s="437"/>
      <c r="P636" s="437"/>
      <c r="Q636" s="437"/>
      <c r="R636" s="437"/>
      <c r="S636" s="437"/>
      <c r="T636" s="437"/>
      <c r="U636" s="437"/>
      <c r="V636" s="437"/>
      <c r="W636" s="437"/>
      <c r="X636" s="437"/>
      <c r="Y636" s="437"/>
      <c r="Z636" s="437"/>
      <c r="AA636" s="437"/>
      <c r="AB636" s="437"/>
      <c r="AC636" s="437"/>
      <c r="AD636" s="437"/>
      <c r="AE636" s="437"/>
      <c r="AF636" s="437"/>
      <c r="AG636" s="437"/>
      <c r="AH636" s="437"/>
      <c r="AI636" s="437"/>
      <c r="AJ636" s="437"/>
      <c r="AK636" s="437"/>
      <c r="AL636" s="437"/>
      <c r="AM636" s="437"/>
      <c r="AN636" s="437"/>
      <c r="AO636" s="437"/>
      <c r="AP636" s="437"/>
      <c r="AQ636" s="437"/>
      <c r="AR636" s="437"/>
      <c r="AS636" s="437"/>
      <c r="AT636" s="437"/>
      <c r="AU636" s="437"/>
      <c r="AV636" s="437"/>
      <c r="AW636" s="437"/>
      <c r="AX636" s="437"/>
      <c r="AY636" s="437"/>
      <c r="AZ636" s="437"/>
      <c r="BA636" s="437"/>
      <c r="BB636" s="437"/>
      <c r="BC636" s="437"/>
      <c r="BD636" s="437"/>
      <c r="BE636" s="437"/>
      <c r="BF636" s="437"/>
      <c r="BG636" s="437"/>
      <c r="BH636" s="437"/>
      <c r="BI636" s="437"/>
      <c r="BJ636" s="437"/>
      <c r="BK636" s="437"/>
      <c r="BL636" s="437"/>
      <c r="BM636" s="437"/>
      <c r="BN636" s="437"/>
      <c r="BO636" s="437"/>
      <c r="BP636" s="437"/>
    </row>
    <row r="637" spans="1:68">
      <c r="A637" s="437"/>
      <c r="B637" s="437"/>
      <c r="C637" s="437"/>
      <c r="D637" s="437"/>
      <c r="E637" s="437"/>
      <c r="F637" s="437"/>
      <c r="G637" s="437"/>
      <c r="H637" s="437"/>
      <c r="I637" s="437"/>
      <c r="J637" s="437"/>
      <c r="K637" s="437"/>
      <c r="L637" s="437"/>
      <c r="M637" s="437"/>
      <c r="N637" s="437"/>
      <c r="O637" s="437"/>
      <c r="P637" s="437"/>
      <c r="Q637" s="437"/>
      <c r="R637" s="437"/>
      <c r="S637" s="437"/>
      <c r="T637" s="437"/>
      <c r="U637" s="437"/>
      <c r="V637" s="437"/>
      <c r="W637" s="437"/>
      <c r="X637" s="437"/>
      <c r="Y637" s="437"/>
      <c r="Z637" s="437"/>
      <c r="AA637" s="437"/>
      <c r="AB637" s="437"/>
      <c r="AC637" s="437"/>
      <c r="AD637" s="437"/>
      <c r="AE637" s="437"/>
      <c r="AF637" s="437"/>
      <c r="AG637" s="437"/>
      <c r="AH637" s="437"/>
      <c r="AI637" s="437"/>
      <c r="AJ637" s="437"/>
      <c r="AK637" s="437"/>
      <c r="AL637" s="437"/>
      <c r="AM637" s="437"/>
      <c r="AN637" s="437"/>
      <c r="AO637" s="437"/>
      <c r="AP637" s="437"/>
      <c r="AQ637" s="437"/>
      <c r="AR637" s="437"/>
      <c r="AS637" s="437"/>
      <c r="AT637" s="437"/>
      <c r="AU637" s="437"/>
      <c r="AV637" s="437"/>
      <c r="AW637" s="437"/>
      <c r="AX637" s="437"/>
      <c r="AY637" s="437"/>
      <c r="AZ637" s="437"/>
      <c r="BA637" s="437"/>
      <c r="BB637" s="437"/>
      <c r="BC637" s="437"/>
      <c r="BD637" s="437"/>
      <c r="BE637" s="437"/>
      <c r="BF637" s="437"/>
      <c r="BG637" s="437"/>
      <c r="BH637" s="437"/>
      <c r="BI637" s="437"/>
      <c r="BJ637" s="437"/>
      <c r="BK637" s="437"/>
      <c r="BL637" s="437"/>
      <c r="BM637" s="437"/>
      <c r="BN637" s="437"/>
      <c r="BO637" s="437"/>
      <c r="BP637" s="437"/>
    </row>
    <row r="638" spans="1:68">
      <c r="A638" s="437"/>
      <c r="B638" s="437"/>
      <c r="C638" s="437"/>
      <c r="D638" s="437"/>
      <c r="E638" s="437"/>
      <c r="F638" s="437"/>
      <c r="G638" s="437"/>
      <c r="H638" s="437"/>
      <c r="I638" s="437"/>
      <c r="J638" s="437"/>
      <c r="K638" s="437"/>
      <c r="L638" s="437"/>
      <c r="M638" s="437"/>
      <c r="N638" s="437"/>
      <c r="O638" s="437"/>
      <c r="P638" s="437"/>
      <c r="Q638" s="437"/>
      <c r="R638" s="437"/>
      <c r="S638" s="437"/>
      <c r="T638" s="437"/>
      <c r="U638" s="437"/>
      <c r="V638" s="437"/>
      <c r="W638" s="437"/>
      <c r="X638" s="437"/>
      <c r="Y638" s="437"/>
      <c r="Z638" s="437"/>
      <c r="AA638" s="437"/>
      <c r="AB638" s="437"/>
      <c r="AC638" s="437"/>
      <c r="AD638" s="437"/>
      <c r="AE638" s="437"/>
      <c r="AF638" s="437"/>
      <c r="AG638" s="437"/>
      <c r="AH638" s="437"/>
      <c r="AI638" s="437"/>
      <c r="AJ638" s="437"/>
      <c r="AK638" s="437"/>
      <c r="AL638" s="437"/>
      <c r="AM638" s="437"/>
      <c r="AN638" s="437"/>
      <c r="AO638" s="437"/>
      <c r="AP638" s="437"/>
      <c r="AQ638" s="437"/>
      <c r="AR638" s="437"/>
      <c r="AS638" s="437"/>
      <c r="AT638" s="437"/>
      <c r="AU638" s="437"/>
      <c r="AV638" s="437"/>
      <c r="AW638" s="437"/>
      <c r="AX638" s="437"/>
      <c r="AY638" s="437"/>
      <c r="AZ638" s="437"/>
      <c r="BA638" s="437"/>
      <c r="BB638" s="437"/>
      <c r="BC638" s="437"/>
      <c r="BD638" s="437"/>
      <c r="BE638" s="437"/>
      <c r="BF638" s="437"/>
      <c r="BG638" s="437"/>
      <c r="BH638" s="437"/>
      <c r="BI638" s="437"/>
      <c r="BJ638" s="437"/>
      <c r="BK638" s="437"/>
      <c r="BL638" s="437"/>
      <c r="BM638" s="437"/>
      <c r="BN638" s="437"/>
      <c r="BO638" s="437"/>
      <c r="BP638" s="437"/>
    </row>
    <row r="639" spans="1:68">
      <c r="A639" s="437"/>
      <c r="B639" s="437"/>
      <c r="C639" s="437"/>
      <c r="D639" s="437"/>
      <c r="E639" s="437"/>
      <c r="F639" s="437"/>
      <c r="G639" s="437"/>
      <c r="H639" s="437"/>
      <c r="I639" s="437"/>
      <c r="J639" s="437"/>
      <c r="K639" s="437"/>
      <c r="L639" s="437"/>
      <c r="M639" s="437"/>
      <c r="N639" s="437"/>
      <c r="O639" s="437"/>
      <c r="P639" s="437"/>
      <c r="Q639" s="437"/>
      <c r="R639" s="437"/>
      <c r="S639" s="437"/>
      <c r="T639" s="437"/>
      <c r="U639" s="437"/>
      <c r="V639" s="437"/>
      <c r="W639" s="437"/>
      <c r="X639" s="437"/>
      <c r="Y639" s="437"/>
      <c r="Z639" s="437"/>
      <c r="AA639" s="437"/>
      <c r="AB639" s="437"/>
      <c r="AC639" s="437"/>
      <c r="AD639" s="437"/>
      <c r="AE639" s="437"/>
      <c r="AF639" s="437"/>
      <c r="AG639" s="437"/>
      <c r="AH639" s="437"/>
      <c r="AI639" s="437"/>
      <c r="AJ639" s="437"/>
      <c r="AK639" s="437"/>
      <c r="AL639" s="437"/>
      <c r="AM639" s="437"/>
      <c r="AN639" s="437"/>
      <c r="AO639" s="437"/>
      <c r="AP639" s="437"/>
      <c r="AQ639" s="437"/>
      <c r="AR639" s="437"/>
      <c r="AS639" s="437"/>
      <c r="AT639" s="437"/>
      <c r="AU639" s="437"/>
      <c r="AV639" s="437"/>
      <c r="AW639" s="437"/>
      <c r="AX639" s="437"/>
      <c r="AY639" s="437"/>
      <c r="AZ639" s="437"/>
      <c r="BA639" s="437"/>
      <c r="BB639" s="437"/>
      <c r="BC639" s="437"/>
      <c r="BD639" s="437"/>
      <c r="BE639" s="437"/>
      <c r="BF639" s="437"/>
      <c r="BG639" s="437"/>
      <c r="BH639" s="437"/>
      <c r="BI639" s="437"/>
      <c r="BJ639" s="437"/>
      <c r="BK639" s="437"/>
      <c r="BL639" s="437"/>
      <c r="BM639" s="437"/>
      <c r="BN639" s="437"/>
      <c r="BO639" s="437"/>
      <c r="BP639" s="437"/>
    </row>
  </sheetData>
  <sheetProtection password="C484" sheet="1" objects="1" scenarios="1"/>
  <phoneticPr fontId="0" type="noConversion"/>
  <hyperlinks>
    <hyperlink ref="AY5" r:id="rId1"/>
    <hyperlink ref="AZ5" r:id="rId2" display="!#&amp;?|{@&gt;&lt;"/>
    <hyperlink ref="BA5" r:id="rId3" display="!#&amp;?|{@&gt;&lt;"/>
    <hyperlink ref="BB5" r:id="rId4" display="!#&amp;?|{@&gt;&lt;"/>
    <hyperlink ref="BC5" r:id="rId5" display="!#&amp;?|{@&gt;&lt;"/>
    <hyperlink ref="BD5" r:id="rId6"/>
    <hyperlink ref="BE5" r:id="rId7"/>
    <hyperlink ref="BF5" r:id="rId8"/>
    <hyperlink ref="BG5" r:id="rId9"/>
    <hyperlink ref="BH5" r:id="rId10"/>
    <hyperlink ref="BI5" r:id="rId11" display="!#&amp;?|{@&gt;&lt;"/>
    <hyperlink ref="BJ5" r:id="rId12"/>
  </hyperlinks>
  <pageMargins left="0.75" right="0.75" top="1" bottom="1" header="0.5" footer="0.5"/>
  <pageSetup paperSize="9" orientation="portrait" horizontalDpi="200" verticalDpi="200" r:id="rId13"/>
  <headerFooter alignWithMargins="0"/>
</worksheet>
</file>

<file path=xl/worksheets/sheet2.xml><?xml version="1.0" encoding="utf-8"?>
<worksheet xmlns="http://schemas.openxmlformats.org/spreadsheetml/2006/main" xmlns:r="http://schemas.openxmlformats.org/officeDocument/2006/relationships">
  <dimension ref="A1:HG126"/>
  <sheetViews>
    <sheetView showGridLines="0" zoomScaleNormal="100" workbookViewId="0">
      <selection activeCell="B1" sqref="B1"/>
    </sheetView>
  </sheetViews>
  <sheetFormatPr defaultColWidth="9.109375" defaultRowHeight="13.2"/>
  <cols>
    <col min="1" max="1" width="0.6640625" style="66" customWidth="1"/>
    <col min="2" max="2" width="3.33203125" style="66" customWidth="1"/>
    <col min="3" max="3" width="0.6640625" style="66" customWidth="1"/>
    <col min="4" max="4" width="3.33203125" style="66" customWidth="1"/>
    <col min="5" max="162" width="0.6640625" style="66" customWidth="1"/>
    <col min="163" max="163" width="14.33203125" style="66" customWidth="1"/>
    <col min="164" max="173" width="9.5546875" style="66" hidden="1" customWidth="1"/>
    <col min="174" max="177" width="9.109375" style="66" hidden="1" customWidth="1"/>
    <col min="178" max="178" width="9.44140625" style="66" hidden="1" customWidth="1"/>
    <col min="179" max="180" width="9.109375" style="66" hidden="1" customWidth="1"/>
    <col min="181" max="182" width="9.109375" style="66" customWidth="1"/>
    <col min="183" max="193" width="9.109375" style="66"/>
    <col min="194" max="203" width="9.109375" style="87"/>
    <col min="204" max="16384" width="9.109375" style="66"/>
  </cols>
  <sheetData>
    <row r="1" spans="1:215" ht="24" customHeight="1">
      <c r="A1" s="60"/>
      <c r="B1" s="82"/>
      <c r="C1" s="83"/>
      <c r="D1" s="67" t="str">
        <f ca="1">IF(TODAY()&gt;=Blad1!$A$1,"Uw licentie is verlopen.","")</f>
        <v/>
      </c>
      <c r="E1" s="67"/>
      <c r="F1" s="67"/>
      <c r="G1" s="67"/>
      <c r="H1" s="67"/>
      <c r="I1" s="67"/>
      <c r="J1" s="67"/>
      <c r="K1" s="84"/>
      <c r="L1" s="84"/>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3"/>
      <c r="FG1" s="63"/>
      <c r="FH1" s="85">
        <f>programma!Q3</f>
        <v>1</v>
      </c>
      <c r="FI1" s="85"/>
      <c r="FJ1" s="85">
        <f ca="1">IF(programma!B1="X",1,IF(TODAY()&gt;=Blad1!$A$1,0,IF(OR(programma!Q3="",programma!N10="",programma!N12=""),0,1)))</f>
        <v>0</v>
      </c>
      <c r="FK1" s="85">
        <f>programma!Q3</f>
        <v>1</v>
      </c>
      <c r="FL1" s="85" t="str">
        <f>IF(OR($FK$1=4,$FK$1=5,$FK$1=10,$FK$1=15,$FK$1=20,$FK$1=24,$FK$1=28,$FK$1=32,$FK$1=34,$FK$1=39),"kasgeld / gebouw / grondstof",IF(OR($FK$1=2,$FK$1=8,$FK$1=9,$FK$1=12,$FK$1=17,$FK$1=22,$FK$1=26,$FK$1=29,$FK$1=33,$FK$1=40),"kasgeld / auto /grondstof",IF(OR($FK$1=3,$FK$1=7,$FK$1=11,$FK$1=16,$FK$1=21,$FK$1=23,$FK$1=25,$FK$1=31,$FK$1=36,$FK$1=37),"kasgeld / machine / gebouw","computer / machine / auto")))</f>
        <v>computer / machine / auto</v>
      </c>
      <c r="FM1" s="85" t="str">
        <f>IF(OR($FK$1=4,$FK$1=7,$FK$1=11,$FK$1=13,$FK$1=21,$FK$1=8,$FK$1=28,$FK$1=30,$FK$1=36,$FK$1=40),"grondstof / kasgeld / auto",IF(OR($FK$1=3,$FK$1=5,$FK$1=10,$FK$1=15,$FK$1=19,$FK$1=20,$FK$1=27,$FK$1=29,$FK$1=32,$FK$1=35),"machine /printpapier / kasgeld",IF(OR($FK$1=2,$FK$1=6,$FK$1=14,$FK$1=16,$FK$1=18,$FK$1=22,$FK$1=26,$FK$1=33,$FK$1=34,$FK$1=38),"printpapier / eindproduct / grondstof","eindproduct / kasgeld / auto")))</f>
        <v>eindproduct / kasgeld / auto</v>
      </c>
      <c r="FN1" s="85"/>
      <c r="FO1" s="85"/>
      <c r="FP1" s="85"/>
      <c r="FQ1" s="85"/>
      <c r="FR1" s="85"/>
      <c r="FS1" s="85"/>
      <c r="FT1" s="86"/>
      <c r="FU1" s="86"/>
      <c r="FV1" s="87"/>
      <c r="FW1" s="87"/>
      <c r="FX1" s="87"/>
      <c r="FY1" s="87"/>
      <c r="FZ1" s="87"/>
      <c r="GA1" s="87"/>
      <c r="GB1" s="87"/>
      <c r="GC1" s="87"/>
      <c r="GD1" s="87"/>
      <c r="GE1" s="87"/>
      <c r="GF1" s="87"/>
      <c r="GG1" s="87"/>
      <c r="GH1" s="87"/>
      <c r="GI1" s="87"/>
      <c r="GJ1" s="87"/>
      <c r="GK1" s="87"/>
      <c r="GV1" s="65"/>
      <c r="GW1" s="65"/>
    </row>
    <row r="2" spans="1:215" ht="5.25" customHeight="1">
      <c r="A2" s="60"/>
      <c r="B2" s="60"/>
      <c r="C2" s="60"/>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3"/>
      <c r="FG2" s="67"/>
      <c r="FH2" s="85"/>
      <c r="FI2" s="85"/>
      <c r="FJ2" s="85"/>
      <c r="FK2" s="85">
        <f>programma!Q3</f>
        <v>1</v>
      </c>
      <c r="FL2" s="85" t="str">
        <f>IF(OR($FK$1=4,$FK$1=5,$FK$1=10,$FK$1=15,$FK$1=20,$FK$1=24,$FK$1=28,$FK$1=32,$FK$1=34,$FK$1=39),"auto / computer / gebouw",IF(OR($FK$1=2,$FK$1=8,$FK$1=9,$FK$1=12,$FK$1=17,$FK$1=22,$FK$1=26,$FK$1=29,$FK$1=33,$FK$1=40),"machine / gebouw / kasgeld",IF(OR($FK$1=3,$FK$1=7,$FK$1=11,$FK$1=16,$FK$1=21,$FK$1=23,$FK$1=25,$FK$1=31,$FK$1=36,$FK$1=37),"grondstof / machine / auto","gebouw / machine / grondstof")))</f>
        <v>gebouw / machine / grondstof</v>
      </c>
      <c r="FM2" s="85" t="str">
        <f>IF(OR($FK$1=4,$FK$1=7,$FK$1=11,$FK$1=13,$FK$1=21,$FK$1=8,$FK$1=28,$FK$1=30,$FK$1=36,$FK$1=40),"printpapier / grondstof / eindproduct",IF(OR($FK$1=3,$FK$1=5,$FK$1=10,$FK$1=15,$FK$1=19,$FK$1=20,$FK$1=27,$FK$1=29,$FK$1=32,$FK$1=35),"eindproduct / kasgeld / grondstof",IF(OR($FK$1=2,$FK$1=6,$FK$1=14,$FK$1=16,$FK$1=18,$FK$1=22,$FK$1=26,$FK$1=33,$FK$1=34,$FK$1=38),"auto / printpapier / eindproduct","eindproduct / printpapier / auto")))</f>
        <v>eindproduct / printpapier / auto</v>
      </c>
      <c r="FN2" s="85"/>
      <c r="FO2" s="85"/>
      <c r="FP2" s="86"/>
      <c r="FQ2" s="86"/>
      <c r="FR2" s="86"/>
      <c r="FS2" s="85"/>
      <c r="FT2" s="86"/>
      <c r="FU2" s="86"/>
      <c r="FV2" s="87"/>
      <c r="FW2" s="87"/>
      <c r="FX2" s="87"/>
      <c r="FY2" s="87"/>
      <c r="FZ2" s="87"/>
      <c r="GA2" s="87"/>
      <c r="GB2" s="87"/>
      <c r="GC2" s="87"/>
      <c r="GD2" s="87"/>
      <c r="GE2" s="87"/>
      <c r="GF2" s="87"/>
      <c r="GG2" s="87"/>
      <c r="GH2" s="87"/>
      <c r="GI2" s="87"/>
      <c r="GJ2" s="87"/>
      <c r="GK2" s="87"/>
      <c r="GV2" s="65"/>
      <c r="GW2" s="65"/>
      <c r="GX2" s="65"/>
      <c r="GY2" s="65"/>
      <c r="GZ2" s="65"/>
      <c r="HA2" s="65"/>
      <c r="HB2" s="65"/>
      <c r="HC2" s="65"/>
      <c r="HD2" s="65"/>
      <c r="HE2" s="65"/>
      <c r="HF2" s="65"/>
      <c r="HG2" s="65"/>
    </row>
    <row r="3" spans="1:215" ht="20.25" customHeight="1">
      <c r="A3" s="60"/>
      <c r="B3" s="60"/>
      <c r="C3" s="60"/>
      <c r="D3" s="63" t="str">
        <f ca="1">IF(TODAY()&gt;=Blad1!$A$1,"Neem contact op met goltstein@hotmail.com",programma!E3)</f>
        <v>Module: Resultaat bij prijszetting</v>
      </c>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7"/>
      <c r="BQ3" s="67"/>
      <c r="BR3" s="67"/>
      <c r="BS3" s="67"/>
      <c r="BT3" s="67"/>
      <c r="BU3" s="67"/>
      <c r="BV3" s="67"/>
      <c r="BW3" s="67"/>
      <c r="BX3" s="67"/>
      <c r="BY3" s="67"/>
      <c r="BZ3" s="67"/>
      <c r="CA3" s="67"/>
      <c r="CB3" s="67"/>
      <c r="CC3" s="67"/>
      <c r="CD3" s="67"/>
      <c r="CE3" s="67"/>
      <c r="CF3" s="67"/>
      <c r="CG3" s="67"/>
      <c r="CH3" s="67"/>
      <c r="CI3" s="67"/>
      <c r="CJ3" s="67"/>
      <c r="CK3" s="67"/>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529" t="str">
        <f>"versienummer: "&amp;programma!Q3</f>
        <v>versienummer: 1</v>
      </c>
      <c r="EP3" s="530"/>
      <c r="EQ3" s="530"/>
      <c r="ER3" s="530"/>
      <c r="ES3" s="530"/>
      <c r="ET3" s="530"/>
      <c r="EU3" s="530"/>
      <c r="EV3" s="530"/>
      <c r="EW3" s="530"/>
      <c r="EX3" s="530"/>
      <c r="EY3" s="530"/>
      <c r="EZ3" s="530"/>
      <c r="FA3" s="530"/>
      <c r="FB3" s="530"/>
      <c r="FC3" s="530"/>
      <c r="FD3" s="530"/>
      <c r="FE3" s="530"/>
      <c r="FF3" s="530"/>
      <c r="FG3" s="530"/>
      <c r="FH3" s="85"/>
      <c r="FI3" s="85"/>
      <c r="FJ3" s="85"/>
      <c r="FK3" s="85"/>
      <c r="FL3" s="85" t="str">
        <f>IF(OR($FK$1=4,$FK$1=5,$FK$1=10,$FK$1=15,$FK$1=20,$FK$1=24,$FK$1=28,$FK$1=32,$FK$1=34,$FK$1=39),"machine / grondstof / computer",IF(OR($FK$1=2,$FK$1=8,$FK$1=9,$FK$1=12,$FK$1=17,$FK$1=22,$FK$1=26,$FK$1=29,$FK$1=33,$FK$1=40),"machine / gebouw / computer",IF(OR($FK$1=3,$FK$1=7,$FK$1=11,$FK$1=16,$FK$1=21,$FK$1=23,$FK$1=25,$FK$1=31,$FK$1=36,$FK$1=37),"grondstof / machine / gebouw","kasgeld / machine / grondstof")))</f>
        <v>kasgeld / machine / grondstof</v>
      </c>
      <c r="FM3" s="85" t="str">
        <f>IF(OR($FK$1=4,$FK$1=7,$FK$1=11,$FK$1=13,$FK$1=21,$FK$1=8,$FK$1=28,$FK$1=30,$FK$1=36,$FK$1=40),"grondstof / kasgeld / printpapier",IF(OR($FK$1=3,$FK$1=5,$FK$1=10,$FK$1=15,$FK$1=19,$FK$1=20,$FK$1=27,$FK$1=29,$FK$1=32,$FK$1=35),"grondstof / kasgeld / auto",IF(OR($FK$1=2,$FK$1=6,$FK$1=14,$FK$1=16,$FK$1=18,$FK$1=22,$FK$1=26,$FK$1=33,$FK$1=34,$FK$1=38),"auto / printpapier / kasgeld","grondstof / printpapier / eindproduct")))</f>
        <v>grondstof / printpapier / eindproduct</v>
      </c>
      <c r="FN3" s="85"/>
      <c r="FO3" s="85"/>
      <c r="FP3" s="86"/>
      <c r="FQ3" s="86"/>
      <c r="FR3" s="86"/>
      <c r="FS3" s="85"/>
      <c r="FT3" s="86"/>
      <c r="FU3" s="86"/>
      <c r="FV3" s="87"/>
      <c r="FW3" s="87"/>
      <c r="FX3" s="87"/>
      <c r="FY3" s="87"/>
      <c r="FZ3" s="87"/>
      <c r="GA3" s="87"/>
      <c r="GB3" s="87"/>
      <c r="GC3" s="87"/>
      <c r="GD3" s="87"/>
      <c r="GE3" s="87"/>
      <c r="GF3" s="87"/>
      <c r="GG3" s="87"/>
      <c r="GH3" s="87"/>
      <c r="GI3" s="87"/>
      <c r="GJ3" s="87"/>
      <c r="GK3" s="87"/>
      <c r="GV3" s="65"/>
      <c r="GW3" s="65"/>
    </row>
    <row r="4" spans="1:215" ht="16.5" customHeight="1">
      <c r="A4" s="60"/>
      <c r="B4" s="60"/>
      <c r="C4" s="60"/>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7"/>
      <c r="BQ4" s="67"/>
      <c r="BR4" s="67"/>
      <c r="BS4" s="67"/>
      <c r="BT4" s="67"/>
      <c r="BU4" s="67"/>
      <c r="BV4" s="67"/>
      <c r="BW4" s="67"/>
      <c r="BX4" s="67"/>
      <c r="BY4" s="67"/>
      <c r="BZ4" s="67"/>
      <c r="CA4" s="67"/>
      <c r="CB4" s="67"/>
      <c r="CC4" s="67"/>
      <c r="CD4" s="67"/>
      <c r="CE4" s="67"/>
      <c r="CF4" s="67"/>
      <c r="CG4" s="67"/>
      <c r="CH4" s="67"/>
      <c r="CI4" s="67"/>
      <c r="CJ4" s="67"/>
      <c r="CK4" s="67"/>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527"/>
      <c r="EU4" s="527"/>
      <c r="EV4" s="527"/>
      <c r="EW4" s="527"/>
      <c r="EX4" s="527"/>
      <c r="EY4" s="527"/>
      <c r="EZ4" s="527"/>
      <c r="FA4" s="527"/>
      <c r="FB4" s="527"/>
      <c r="FC4" s="527"/>
      <c r="FD4" s="527"/>
      <c r="FE4" s="527"/>
      <c r="FF4" s="527"/>
      <c r="FG4" s="527"/>
      <c r="FH4" s="85"/>
      <c r="FI4" s="85"/>
      <c r="FJ4" s="85"/>
      <c r="FK4" s="85"/>
      <c r="FL4" s="85" t="str">
        <f>IF(OR($FK$1=4,$FK$1=5,$FK$1=10,$FK$1=15,$FK$1=20,$FK$1=24,$FK$1=28,$FK$1=32,$FK$1=34,$FK$1=39),"kasgeld / machine / auto",IF(OR($FK$1=2,$FK$1=8,$FK$1=9,$FK$1=12,$FK$1=17,$FK$1=22,$FK$1=26,$FK$1=29,$FK$1=33,$FK$1=40),"kasgeld / auto /computer",IF(OR($FK$1=3,$FK$1=7,$FK$1=11,$FK$1=16,$FK$1=21,$FK$1=23,$FK$1=25,$FK$1=31,$FK$1=36,$FK$1=37),"computer / auto / machine","grondstof / kasgeld / auto")))</f>
        <v>grondstof / kasgeld / auto</v>
      </c>
      <c r="FM4" s="85" t="str">
        <f>IF(OR($FK$1=4,$FK$1=7,$FK$1=11,$FK$1=13,$FK$1=21,$FK$1=8,$FK$1=28,$FK$1=30,$FK$1=36,$FK$1=40),"eindproduct / kasgeld / auto",IF(OR($FK$1=3,$FK$1=5,$FK$1=10,$FK$1=15,$FK$1=19,$FK$1=20,$FK$1=27,$FK$1=29,$FK$1=32,$FK$1=35),"grondstof / printpapier / eindproduct",IF(OR($FK$1=2,$FK$1=6,$FK$1=14,$FK$1=16,$FK$1=18,$FK$1=22,$FK$1=26,$FK$1=33,$FK$1=34,$FK$1=38),"auto / grondstof / eindproduct","kasgeld / grondstof / printpapier")))</f>
        <v>kasgeld / grondstof / printpapier</v>
      </c>
      <c r="FN4" s="85"/>
      <c r="FO4" s="85"/>
      <c r="FP4" s="86"/>
      <c r="FQ4" s="86"/>
      <c r="FR4" s="86"/>
      <c r="FS4" s="85"/>
      <c r="FT4" s="86"/>
      <c r="FU4" s="86"/>
      <c r="FV4" s="87"/>
      <c r="FW4" s="87"/>
      <c r="FX4" s="87"/>
      <c r="FY4" s="87"/>
      <c r="FZ4" s="87"/>
      <c r="GA4" s="87"/>
      <c r="GB4" s="87"/>
      <c r="GC4" s="87"/>
      <c r="GD4" s="87"/>
      <c r="GE4" s="87"/>
      <c r="GF4" s="87"/>
      <c r="GG4" s="87"/>
      <c r="GH4" s="87"/>
      <c r="GI4" s="87"/>
      <c r="GJ4" s="87"/>
      <c r="GK4" s="87"/>
      <c r="GV4" s="65"/>
      <c r="GW4" s="65"/>
    </row>
    <row r="5" spans="1:215" ht="19.5" customHeight="1">
      <c r="A5" s="60"/>
      <c r="B5" s="60"/>
      <c r="C5" s="60"/>
      <c r="D5" s="61" t="str">
        <f>" Naam leerling: "&amp; programma!N10</f>
        <v xml:space="preserve"> Naam leerling: </v>
      </c>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7"/>
      <c r="BQ5" s="67"/>
      <c r="BR5" s="67"/>
      <c r="BS5" s="67"/>
      <c r="BT5" s="67"/>
      <c r="BU5" s="67"/>
      <c r="BV5" s="67"/>
      <c r="BW5" s="67"/>
      <c r="BX5" s="67"/>
      <c r="BY5" s="67"/>
      <c r="BZ5" s="67"/>
      <c r="CA5" s="67"/>
      <c r="CB5" s="67"/>
      <c r="CC5" s="67"/>
      <c r="CD5" s="67"/>
      <c r="CE5" s="67"/>
      <c r="CF5" s="67"/>
      <c r="CG5" s="67"/>
      <c r="CH5" s="67"/>
      <c r="CI5" s="67"/>
      <c r="CJ5" s="67"/>
      <c r="CK5" s="67"/>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4">
        <f>programma!R6</f>
        <v>0</v>
      </c>
      <c r="EN5" s="62"/>
      <c r="EO5" s="531" t="str">
        <f>programma!S5</f>
        <v>© 2021, Goltstein</v>
      </c>
      <c r="EP5" s="532"/>
      <c r="EQ5" s="532"/>
      <c r="ER5" s="532"/>
      <c r="ES5" s="532"/>
      <c r="ET5" s="532"/>
      <c r="EU5" s="532"/>
      <c r="EV5" s="532"/>
      <c r="EW5" s="532"/>
      <c r="EX5" s="532"/>
      <c r="EY5" s="532"/>
      <c r="EZ5" s="532"/>
      <c r="FA5" s="532"/>
      <c r="FB5" s="532"/>
      <c r="FC5" s="532"/>
      <c r="FD5" s="532"/>
      <c r="FE5" s="532"/>
      <c r="FF5" s="532"/>
      <c r="FG5" s="532"/>
      <c r="FH5" s="532"/>
      <c r="FI5" s="532"/>
      <c r="FJ5" s="532"/>
      <c r="FK5" s="532"/>
      <c r="FL5" s="532"/>
      <c r="FM5" s="532"/>
      <c r="FN5" s="532"/>
      <c r="FO5" s="532"/>
      <c r="FP5" s="532"/>
      <c r="FQ5" s="532"/>
      <c r="FR5" s="532"/>
      <c r="FS5" s="532"/>
      <c r="FT5" s="532"/>
      <c r="FU5" s="86"/>
      <c r="FV5" s="87"/>
      <c r="FW5" s="87"/>
      <c r="FX5" s="87"/>
      <c r="FY5" s="87"/>
      <c r="FZ5" s="87"/>
      <c r="GA5" s="87"/>
      <c r="GB5" s="87"/>
      <c r="GC5" s="87"/>
      <c r="GD5" s="87"/>
      <c r="GE5" s="87"/>
      <c r="GF5" s="87"/>
      <c r="GG5" s="87"/>
      <c r="GH5" s="87"/>
      <c r="GI5" s="87"/>
      <c r="GJ5" s="87"/>
      <c r="GK5" s="87"/>
      <c r="GV5" s="65"/>
      <c r="GW5" s="65"/>
    </row>
    <row r="6" spans="1:215" ht="19.5" customHeight="1">
      <c r="A6" s="60"/>
      <c r="B6" s="60"/>
      <c r="C6" s="60"/>
      <c r="D6" s="62" t="str">
        <f>" Klas: "&amp; programma!N12</f>
        <v xml:space="preserve"> Klas: </v>
      </c>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7"/>
      <c r="BQ6" s="67"/>
      <c r="BR6" s="67"/>
      <c r="BS6" s="67"/>
      <c r="BT6" s="67"/>
      <c r="BU6" s="67"/>
      <c r="BV6" s="67"/>
      <c r="BW6" s="67"/>
      <c r="BX6" s="67"/>
      <c r="BY6" s="67"/>
      <c r="BZ6" s="67"/>
      <c r="CA6" s="67"/>
      <c r="CB6" s="67"/>
      <c r="CC6" s="67"/>
      <c r="CD6" s="67"/>
      <c r="CE6" s="67"/>
      <c r="CF6" s="67"/>
      <c r="CG6" s="67"/>
      <c r="CH6" s="67"/>
      <c r="CI6" s="67"/>
      <c r="CJ6" s="67"/>
      <c r="CK6" s="67"/>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527"/>
      <c r="EL6" s="528"/>
      <c r="EM6" s="528"/>
      <c r="EN6" s="528"/>
      <c r="EO6" s="62"/>
      <c r="EP6" s="62"/>
      <c r="EQ6" s="67"/>
      <c r="ER6" s="67"/>
      <c r="ES6" s="67"/>
      <c r="ET6" s="62"/>
      <c r="EU6" s="62"/>
      <c r="EV6" s="62"/>
      <c r="EW6" s="62"/>
      <c r="EX6" s="62"/>
      <c r="EY6" s="62"/>
      <c r="EZ6" s="62"/>
      <c r="FA6" s="62"/>
      <c r="FB6" s="62"/>
      <c r="FC6" s="62"/>
      <c r="FD6" s="62"/>
      <c r="FE6" s="67"/>
      <c r="FF6" s="67"/>
      <c r="FG6" s="67"/>
      <c r="FH6" s="85"/>
      <c r="FI6" s="85"/>
      <c r="FJ6" s="85"/>
      <c r="FK6" s="85"/>
      <c r="FL6" s="85"/>
      <c r="FM6" s="85"/>
      <c r="FN6" s="85"/>
      <c r="FO6" s="85"/>
      <c r="FP6" s="86"/>
      <c r="FQ6" s="86"/>
      <c r="FR6" s="86"/>
      <c r="FS6" s="85"/>
      <c r="FT6" s="86"/>
      <c r="FU6" s="86"/>
      <c r="FV6" s="87"/>
      <c r="FW6" s="87"/>
      <c r="FX6" s="87"/>
      <c r="FY6" s="87"/>
      <c r="FZ6" s="87"/>
      <c r="GA6" s="87"/>
      <c r="GB6" s="87"/>
      <c r="GC6" s="87"/>
      <c r="GD6" s="87"/>
      <c r="GE6" s="87"/>
      <c r="GF6" s="87"/>
      <c r="GG6" s="87"/>
      <c r="GH6" s="87"/>
      <c r="GI6" s="87"/>
      <c r="GJ6" s="87"/>
      <c r="GK6" s="87"/>
      <c r="GV6" s="65"/>
      <c r="GW6" s="65"/>
    </row>
    <row r="7" spans="1:215" ht="12" customHeight="1">
      <c r="A7" s="60"/>
      <c r="B7" s="60"/>
      <c r="C7" s="60"/>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3"/>
      <c r="FG7" s="63"/>
      <c r="FH7" s="85"/>
      <c r="FI7" s="85"/>
      <c r="FJ7" s="85"/>
      <c r="FK7" s="85"/>
      <c r="FL7" s="85"/>
      <c r="FM7" s="85"/>
      <c r="FN7" s="85"/>
      <c r="FO7" s="85"/>
      <c r="FP7" s="86"/>
      <c r="FQ7" s="86"/>
      <c r="FR7" s="86"/>
      <c r="FS7" s="85"/>
      <c r="FT7" s="86"/>
      <c r="FU7" s="86"/>
      <c r="FV7" s="87"/>
      <c r="FW7" s="87"/>
      <c r="FX7" s="87"/>
      <c r="FY7" s="87"/>
      <c r="FZ7" s="87"/>
      <c r="GA7" s="87"/>
      <c r="GB7" s="87"/>
      <c r="GC7" s="87"/>
      <c r="GD7" s="87"/>
      <c r="GE7" s="87"/>
      <c r="GF7" s="87"/>
      <c r="GG7" s="87"/>
      <c r="GH7" s="87"/>
      <c r="GI7" s="87"/>
      <c r="GJ7" s="87"/>
      <c r="GK7" s="87"/>
      <c r="GV7" s="65"/>
      <c r="GW7" s="65"/>
    </row>
    <row r="8" spans="1:215" ht="7.5" customHeight="1">
      <c r="A8" s="60"/>
      <c r="B8" s="60"/>
      <c r="C8" s="60"/>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5"/>
      <c r="FI8" s="85"/>
      <c r="FJ8" s="85"/>
      <c r="FK8" s="85"/>
      <c r="FL8" s="85"/>
      <c r="FM8" s="85"/>
      <c r="FN8" s="85"/>
      <c r="FO8" s="85"/>
      <c r="FP8" s="86"/>
      <c r="FQ8" s="86"/>
      <c r="FR8" s="86"/>
      <c r="FS8" s="85"/>
      <c r="FT8" s="86"/>
      <c r="FU8" s="86"/>
      <c r="FV8" s="87"/>
      <c r="FW8" s="87"/>
      <c r="FX8" s="87"/>
      <c r="FY8" s="87"/>
      <c r="FZ8" s="87"/>
      <c r="GA8" s="87"/>
      <c r="GB8" s="87"/>
      <c r="GC8" s="87"/>
      <c r="GD8" s="87"/>
      <c r="GE8" s="87"/>
      <c r="GF8" s="87"/>
      <c r="GG8" s="87"/>
      <c r="GH8" s="87"/>
      <c r="GI8" s="87"/>
      <c r="GJ8" s="87"/>
      <c r="GK8" s="87"/>
      <c r="GV8" s="65"/>
      <c r="GW8" s="65"/>
    </row>
    <row r="9" spans="1:215" ht="21" customHeight="1">
      <c r="A9" s="60"/>
      <c r="B9" s="60"/>
      <c r="C9" s="60"/>
      <c r="D9" s="68" t="str">
        <f ca="1">IF(TODAY()&gt;=Blad1!$A$1,""," Wil je terug naar het programma-overzicht, klik dan op de paarse knop hierboven.")</f>
        <v xml:space="preserve"> Wil je terug naar het programma-overzicht, klik dan op de paarse knop hierboven.</v>
      </c>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5"/>
      <c r="FI9" s="85"/>
      <c r="FJ9" s="85" t="str">
        <f>IF(FI9=1,1.25,IF(FI9=2,4,IF(FI9=3,2.25,IF(FI9=4,0.75,IF(FI9=5,2.5,IF(FI9=6,0.5,IF(FI9=7,1,IF(FI9=8,3,""))))))))</f>
        <v/>
      </c>
      <c r="FK9" s="85"/>
      <c r="FL9" s="85"/>
      <c r="FM9" s="85"/>
      <c r="FN9" s="85"/>
      <c r="FO9" s="85"/>
      <c r="FP9" s="86"/>
      <c r="FQ9" s="86"/>
      <c r="FR9" s="86"/>
      <c r="FS9" s="85"/>
      <c r="FT9" s="86"/>
      <c r="FU9" s="86"/>
      <c r="FV9" s="87"/>
      <c r="FW9" s="87"/>
      <c r="FX9" s="87"/>
      <c r="FY9" s="87"/>
      <c r="FZ9" s="87"/>
      <c r="GA9" s="87"/>
      <c r="GB9" s="87"/>
      <c r="GC9" s="87"/>
      <c r="GD9" s="87"/>
      <c r="GE9" s="87"/>
      <c r="GF9" s="87"/>
      <c r="GG9" s="87"/>
      <c r="GH9" s="87"/>
      <c r="GI9" s="87"/>
      <c r="GJ9" s="87"/>
      <c r="GK9" s="87"/>
      <c r="GV9" s="65"/>
      <c r="GW9" s="65"/>
    </row>
    <row r="10" spans="1:215" ht="16.5" customHeight="1">
      <c r="A10" s="60"/>
      <c r="B10" s="60"/>
      <c r="C10" s="60"/>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5"/>
      <c r="FI10" s="85"/>
      <c r="FJ10" s="85"/>
      <c r="FK10" s="85"/>
      <c r="FL10" s="85"/>
      <c r="FM10" s="85"/>
      <c r="FN10" s="85"/>
      <c r="FO10" s="85"/>
      <c r="FP10" s="86"/>
      <c r="FQ10" s="86"/>
      <c r="FR10" s="86"/>
      <c r="FS10" s="86"/>
      <c r="FT10" s="86"/>
      <c r="FU10" s="86"/>
      <c r="FV10" s="87"/>
      <c r="FW10" s="87"/>
      <c r="FX10" s="87"/>
      <c r="FY10" s="87"/>
      <c r="FZ10" s="87"/>
      <c r="GA10" s="87"/>
      <c r="GB10" s="87"/>
      <c r="GC10" s="87"/>
      <c r="GD10" s="87"/>
      <c r="GE10" s="87"/>
      <c r="GF10" s="87"/>
      <c r="GG10" s="87"/>
      <c r="GH10" s="87"/>
      <c r="GI10" s="87"/>
      <c r="GJ10" s="87"/>
      <c r="GK10" s="87"/>
      <c r="GV10" s="65"/>
      <c r="GW10" s="65"/>
    </row>
    <row r="11" spans="1:215" ht="16.5" customHeight="1">
      <c r="A11" s="60"/>
      <c r="B11" s="69"/>
      <c r="C11" s="69"/>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1"/>
      <c r="FG11" s="98"/>
      <c r="FH11" s="85"/>
      <c r="FI11" s="85"/>
      <c r="FJ11" s="85"/>
      <c r="FK11" s="85"/>
      <c r="FL11" s="85"/>
      <c r="FM11" s="85"/>
      <c r="FN11" s="85"/>
      <c r="FO11" s="85"/>
      <c r="FP11" s="86"/>
      <c r="FQ11" s="86"/>
      <c r="FR11" s="86"/>
      <c r="FS11" s="85"/>
      <c r="FT11" s="86"/>
      <c r="FU11" s="86"/>
      <c r="FV11" s="87"/>
      <c r="FW11" s="87"/>
      <c r="FX11" s="87"/>
      <c r="FY11" s="87"/>
      <c r="FZ11" s="87"/>
      <c r="GA11" s="87"/>
      <c r="GB11" s="87"/>
      <c r="GC11" s="87"/>
      <c r="GD11" s="87"/>
      <c r="GE11" s="87"/>
      <c r="GF11" s="87"/>
      <c r="GG11" s="87"/>
      <c r="GH11" s="87"/>
      <c r="GI11" s="87"/>
      <c r="GJ11" s="87"/>
      <c r="GK11" s="87"/>
      <c r="GV11" s="65"/>
      <c r="GW11" s="65"/>
    </row>
    <row r="12" spans="1:215" ht="10.5" customHeight="1">
      <c r="A12" s="60"/>
      <c r="B12" s="69"/>
      <c r="C12" s="69"/>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2"/>
      <c r="FG12" s="72"/>
      <c r="FH12" s="85"/>
      <c r="FI12" s="85"/>
      <c r="FJ12" s="85"/>
      <c r="FK12" s="85"/>
      <c r="FL12" s="85"/>
      <c r="FM12" s="85"/>
      <c r="FN12" s="85"/>
      <c r="FO12" s="85"/>
      <c r="FP12" s="86"/>
      <c r="FQ12" s="86"/>
      <c r="FR12" s="86"/>
      <c r="FS12" s="85"/>
      <c r="FT12" s="86"/>
      <c r="FU12" s="86"/>
      <c r="FV12" s="87"/>
      <c r="FW12" s="87"/>
      <c r="FX12" s="87"/>
      <c r="FY12" s="87"/>
      <c r="FZ12" s="87"/>
      <c r="GA12" s="87"/>
      <c r="GB12" s="87"/>
      <c r="GC12" s="87"/>
      <c r="GD12" s="87"/>
      <c r="GE12" s="87"/>
      <c r="GF12" s="87"/>
      <c r="GG12" s="87"/>
      <c r="GH12" s="87"/>
      <c r="GI12" s="87"/>
      <c r="GJ12" s="87"/>
      <c r="GK12" s="87"/>
      <c r="GV12" s="65"/>
      <c r="GW12" s="65"/>
    </row>
    <row r="13" spans="1:215" ht="21.6" customHeight="1">
      <c r="A13" s="60"/>
      <c r="B13" s="69"/>
      <c r="C13" s="69"/>
      <c r="D13" s="110" t="str">
        <f ca="1">IF(FJ1=0,"","Inleiding")</f>
        <v/>
      </c>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2"/>
      <c r="FG13" s="72"/>
      <c r="FH13" s="85"/>
      <c r="FI13" s="85"/>
      <c r="FJ13" s="85"/>
      <c r="FK13" s="85"/>
      <c r="FL13" s="85"/>
      <c r="FM13" s="85"/>
      <c r="FN13" s="85"/>
      <c r="FO13" s="85"/>
      <c r="FP13" s="377"/>
      <c r="FQ13" s="377"/>
      <c r="FR13" s="377"/>
      <c r="FS13" s="85"/>
      <c r="FT13" s="377"/>
      <c r="FU13" s="377"/>
      <c r="FV13" s="87"/>
      <c r="FW13" s="87"/>
      <c r="FX13" s="87"/>
      <c r="FY13" s="87"/>
      <c r="FZ13" s="87"/>
      <c r="GA13" s="87"/>
      <c r="GB13" s="87"/>
      <c r="GC13" s="87"/>
      <c r="GD13" s="87"/>
      <c r="GE13" s="87"/>
      <c r="GF13" s="87"/>
      <c r="GG13" s="87"/>
      <c r="GH13" s="87"/>
      <c r="GI13" s="87"/>
      <c r="GJ13" s="87"/>
      <c r="GK13" s="87"/>
      <c r="GV13" s="65"/>
      <c r="GW13" s="65"/>
    </row>
    <row r="14" spans="1:215" ht="18" customHeight="1">
      <c r="A14" s="60"/>
      <c r="B14" s="69"/>
      <c r="C14" s="69"/>
      <c r="D14" s="387" t="str">
        <f ca="1">IF(FJ1=0,"Je hebt je naam, klas of versienummer nog niet ingevuld!","")</f>
        <v>Je hebt je naam, klas of versienummer nog niet ingevuld!</v>
      </c>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1"/>
      <c r="FG14" s="72"/>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65"/>
      <c r="GV14" s="65"/>
      <c r="GW14" s="65"/>
    </row>
    <row r="15" spans="1:215" ht="16.95" customHeight="1">
      <c r="A15" s="60"/>
      <c r="B15" s="69"/>
      <c r="C15" s="69"/>
      <c r="D15" s="74" t="str">
        <f ca="1">IF(FJ1=0,"","We gaan kijken welk resultaat de individuele aanbieder kan behalen als hij")</f>
        <v/>
      </c>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1"/>
      <c r="FG15" s="72"/>
      <c r="FH15" s="377"/>
      <c r="FI15" s="377"/>
      <c r="FJ15" s="377"/>
      <c r="FK15" s="377"/>
      <c r="FL15" s="85"/>
      <c r="FM15" s="377"/>
      <c r="FN15" s="377"/>
      <c r="FO15" s="377"/>
      <c r="FP15" s="377"/>
      <c r="FQ15" s="377"/>
      <c r="FR15" s="377"/>
      <c r="FS15" s="85"/>
      <c r="FT15" s="377"/>
      <c r="FU15" s="377"/>
      <c r="FV15" s="87"/>
      <c r="FW15" s="87"/>
      <c r="FX15" s="87"/>
      <c r="FY15" s="87"/>
      <c r="FZ15" s="87"/>
      <c r="GA15" s="87"/>
      <c r="GB15" s="87"/>
      <c r="GC15" s="87"/>
      <c r="GD15" s="87"/>
      <c r="GE15" s="87"/>
      <c r="GF15" s="87"/>
      <c r="GG15" s="87"/>
      <c r="GH15" s="87"/>
      <c r="GI15" s="87"/>
      <c r="GJ15" s="87"/>
      <c r="GK15" s="87"/>
      <c r="GV15" s="65"/>
      <c r="GW15" s="65"/>
    </row>
    <row r="16" spans="1:215" ht="16.95" customHeight="1">
      <c r="A16" s="60"/>
      <c r="B16" s="69"/>
      <c r="C16" s="69"/>
      <c r="D16" s="74" t="str">
        <f ca="1">IF(FJ1=0,"","prijszetter is en dus individueel zijn prijs kan bepalen. Die prijs stelt hij van")</f>
        <v/>
      </c>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1"/>
      <c r="FG16" s="72"/>
      <c r="FH16" s="377"/>
      <c r="FI16" s="377"/>
      <c r="FJ16" s="377"/>
      <c r="FK16" s="377"/>
      <c r="FL16" s="85"/>
      <c r="FM16" s="377"/>
      <c r="FN16" s="377"/>
      <c r="FO16" s="377"/>
      <c r="FP16" s="377"/>
      <c r="FQ16" s="377"/>
      <c r="FR16" s="377"/>
      <c r="FS16" s="85"/>
      <c r="FT16" s="377"/>
      <c r="FU16" s="377"/>
      <c r="FV16" s="87"/>
      <c r="FW16" s="87"/>
      <c r="FX16" s="87"/>
      <c r="FY16" s="87"/>
      <c r="FZ16" s="87"/>
      <c r="GA16" s="87"/>
      <c r="GB16" s="87"/>
      <c r="GC16" s="87"/>
      <c r="GD16" s="87"/>
      <c r="GE16" s="87"/>
      <c r="GF16" s="87"/>
      <c r="GG16" s="87"/>
      <c r="GH16" s="87"/>
      <c r="GI16" s="87"/>
      <c r="GJ16" s="87"/>
      <c r="GK16" s="87"/>
      <c r="GV16" s="65"/>
      <c r="GW16" s="65"/>
    </row>
    <row r="17" spans="1:211" ht="16.95" customHeight="1">
      <c r="A17" s="60"/>
      <c r="B17" s="69"/>
      <c r="C17" s="69"/>
      <c r="D17" s="74" t="str">
        <f ca="1">IF(FJ1=0,"","tevoren vast en we gaan ervan uit dat er geen prijsdiscriminatie mogelijk is.")</f>
        <v/>
      </c>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1"/>
      <c r="FG17" s="72"/>
      <c r="FH17" s="377"/>
      <c r="FI17" s="377"/>
      <c r="FJ17" s="377"/>
      <c r="FK17" s="377"/>
      <c r="FL17" s="85"/>
      <c r="FM17" s="377"/>
      <c r="FN17" s="377"/>
      <c r="FO17" s="377"/>
      <c r="FP17" s="377"/>
      <c r="FQ17" s="377"/>
      <c r="FR17" s="377"/>
      <c r="FS17" s="85"/>
      <c r="FT17" s="377"/>
      <c r="FU17" s="377"/>
      <c r="FV17" s="87"/>
      <c r="FW17" s="87"/>
      <c r="FX17" s="87"/>
      <c r="FY17" s="87"/>
      <c r="FZ17" s="87"/>
      <c r="GA17" s="87"/>
      <c r="GB17" s="87"/>
      <c r="GC17" s="87"/>
      <c r="GD17" s="87"/>
      <c r="GE17" s="87"/>
      <c r="GF17" s="87"/>
      <c r="GG17" s="87"/>
      <c r="GH17" s="87"/>
      <c r="GI17" s="87"/>
      <c r="GJ17" s="87"/>
      <c r="GK17" s="87"/>
      <c r="GV17" s="65"/>
      <c r="GW17" s="65"/>
    </row>
    <row r="18" spans="1:211" ht="16.95" customHeight="1">
      <c r="A18" s="60"/>
      <c r="B18" s="69"/>
      <c r="C18" s="69"/>
      <c r="D18" s="74"/>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1"/>
      <c r="FG18" s="72"/>
      <c r="FH18" s="377"/>
      <c r="FI18" s="377"/>
      <c r="FJ18" s="377"/>
      <c r="FK18" s="377"/>
      <c r="FL18" s="85"/>
      <c r="FM18" s="377"/>
      <c r="FN18" s="377"/>
      <c r="FO18" s="377"/>
      <c r="FP18" s="377"/>
      <c r="FQ18" s="377"/>
      <c r="FR18" s="377"/>
      <c r="FS18" s="85"/>
      <c r="FT18" s="377"/>
      <c r="FU18" s="377"/>
      <c r="FV18" s="87"/>
      <c r="FW18" s="87"/>
      <c r="FX18" s="87"/>
      <c r="FY18" s="87"/>
      <c r="FZ18" s="87"/>
      <c r="GA18" s="87"/>
      <c r="GB18" s="87"/>
      <c r="GC18" s="87"/>
      <c r="GD18" s="87"/>
      <c r="GE18" s="87"/>
      <c r="GF18" s="87"/>
      <c r="GG18" s="87"/>
      <c r="GH18" s="87"/>
      <c r="GI18" s="87"/>
      <c r="GJ18" s="87"/>
      <c r="GK18" s="87"/>
      <c r="GV18" s="65"/>
      <c r="GW18" s="65"/>
    </row>
    <row r="19" spans="1:211" ht="16.95" customHeight="1">
      <c r="A19" s="60"/>
      <c r="B19" s="69"/>
      <c r="C19" s="69"/>
      <c r="D19" s="74" t="str">
        <f ca="1">IF(FJ1=0,"","We gaan ervan uit dat je al weet welke marktvormen er zijn en welke")</f>
        <v/>
      </c>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1"/>
      <c r="FG19" s="72"/>
      <c r="FH19" s="377"/>
      <c r="FI19" s="377"/>
      <c r="FJ19" s="377"/>
      <c r="FK19" s="377"/>
      <c r="FL19" s="85"/>
      <c r="FM19" s="377"/>
      <c r="FN19" s="377"/>
      <c r="FO19" s="377"/>
      <c r="FP19" s="377"/>
      <c r="FQ19" s="377"/>
      <c r="FR19" s="377"/>
      <c r="FS19" s="85"/>
      <c r="FT19" s="377"/>
      <c r="FU19" s="377"/>
      <c r="FV19" s="87"/>
      <c r="FW19" s="87"/>
      <c r="FX19" s="87"/>
      <c r="FY19" s="87"/>
      <c r="FZ19" s="87"/>
      <c r="GA19" s="87"/>
      <c r="GB19" s="87"/>
      <c r="GC19" s="87"/>
      <c r="GD19" s="87"/>
      <c r="GE19" s="87"/>
      <c r="GF19" s="87"/>
      <c r="GG19" s="87"/>
      <c r="GH19" s="87"/>
      <c r="GI19" s="87"/>
      <c r="GJ19" s="87"/>
      <c r="GK19" s="87"/>
      <c r="GV19" s="65"/>
      <c r="GW19" s="65"/>
    </row>
    <row r="20" spans="1:211" ht="16.95" customHeight="1">
      <c r="A20" s="60"/>
      <c r="B20" s="69"/>
      <c r="C20" s="69"/>
      <c r="D20" s="74" t="str">
        <f ca="1">IF(FJ1=0,"","consequentie dat heeft voor de prijsafzetlijn. Ook gaan we ervan uit dat je")</f>
        <v/>
      </c>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1"/>
      <c r="FG20" s="72"/>
      <c r="FH20" s="377"/>
      <c r="FI20" s="377"/>
      <c r="FJ20" s="377"/>
      <c r="FK20" s="377"/>
      <c r="FL20" s="85"/>
      <c r="FM20" s="377"/>
      <c r="FN20" s="377"/>
      <c r="FO20" s="377"/>
      <c r="FP20" s="377"/>
      <c r="FQ20" s="377"/>
      <c r="FR20" s="377"/>
      <c r="FS20" s="85"/>
      <c r="FT20" s="377"/>
      <c r="FU20" s="377"/>
      <c r="FV20" s="87"/>
      <c r="FW20" s="87"/>
      <c r="FX20" s="87"/>
      <c r="FY20" s="87"/>
      <c r="FZ20" s="87"/>
      <c r="GA20" s="87"/>
      <c r="GB20" s="87"/>
      <c r="GC20" s="87"/>
      <c r="GD20" s="87"/>
      <c r="GE20" s="87"/>
      <c r="GF20" s="87"/>
      <c r="GG20" s="87"/>
      <c r="GH20" s="87"/>
      <c r="GI20" s="87"/>
      <c r="GJ20" s="87"/>
      <c r="GK20" s="87"/>
      <c r="GV20" s="65"/>
      <c r="GW20" s="65"/>
    </row>
    <row r="21" spans="1:211" ht="16.95" customHeight="1">
      <c r="A21" s="60"/>
      <c r="B21" s="69"/>
      <c r="C21" s="69"/>
      <c r="D21" s="74" t="str">
        <f ca="1">IF(FJ1=0,"","de presentaties ''Kostenverloop en individuele aanbodlijn'' en ''Resultaat bij")</f>
        <v/>
      </c>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1"/>
      <c r="FG21" s="72"/>
      <c r="FH21" s="377"/>
      <c r="FI21" s="377"/>
      <c r="FJ21" s="377"/>
      <c r="FK21" s="377"/>
      <c r="FL21" s="85"/>
      <c r="FM21" s="377"/>
      <c r="FN21" s="377"/>
      <c r="FO21" s="377"/>
      <c r="FP21" s="377"/>
      <c r="FQ21" s="377"/>
      <c r="FR21" s="377"/>
      <c r="FS21" s="85"/>
      <c r="FT21" s="377"/>
      <c r="FU21" s="377"/>
      <c r="FV21" s="87"/>
      <c r="FW21" s="87"/>
      <c r="FX21" s="87"/>
      <c r="FY21" s="87"/>
      <c r="FZ21" s="87"/>
      <c r="GA21" s="87"/>
      <c r="GB21" s="87"/>
      <c r="GC21" s="87"/>
      <c r="GD21" s="87"/>
      <c r="GE21" s="87"/>
      <c r="GF21" s="87"/>
      <c r="GG21" s="87"/>
      <c r="GH21" s="87"/>
      <c r="GI21" s="87"/>
      <c r="GJ21" s="87"/>
      <c r="GK21" s="87"/>
      <c r="GV21" s="65"/>
      <c r="GW21" s="65"/>
    </row>
    <row r="22" spans="1:211" ht="16.95" customHeight="1">
      <c r="A22" s="60"/>
      <c r="B22" s="69"/>
      <c r="C22" s="69"/>
      <c r="D22" s="74" t="str">
        <f ca="1">IF(FJ1=0,"","hoeveelheidsaanpassing'' al hebt doorgenomen en dus bekend met het")</f>
        <v/>
      </c>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1"/>
      <c r="FG22" s="72"/>
      <c r="FH22" s="377"/>
      <c r="FI22" s="377"/>
      <c r="FJ22" s="377"/>
      <c r="FK22" s="377"/>
      <c r="FL22" s="85"/>
      <c r="FM22" s="377"/>
      <c r="FN22" s="377"/>
      <c r="FO22" s="377"/>
      <c r="FP22" s="377"/>
      <c r="FQ22" s="377"/>
      <c r="FR22" s="377"/>
      <c r="FS22" s="85"/>
      <c r="FT22" s="377"/>
      <c r="FU22" s="377"/>
      <c r="FV22" s="87"/>
      <c r="FW22" s="87"/>
      <c r="FX22" s="87"/>
      <c r="FY22" s="87"/>
      <c r="FZ22" s="87"/>
      <c r="GA22" s="87"/>
      <c r="GB22" s="87"/>
      <c r="GC22" s="87"/>
      <c r="GD22" s="87"/>
      <c r="GE22" s="87"/>
      <c r="GF22" s="87"/>
      <c r="GG22" s="87"/>
      <c r="GH22" s="87"/>
      <c r="GI22" s="87"/>
      <c r="GJ22" s="87"/>
      <c r="GK22" s="87"/>
      <c r="GV22" s="65"/>
      <c r="GW22" s="65"/>
    </row>
    <row r="23" spans="1:211" ht="16.95" customHeight="1">
      <c r="A23" s="60"/>
      <c r="B23" s="69"/>
      <c r="C23" s="69"/>
      <c r="D23" s="74" t="str">
        <f ca="1">IF(FJ1=0,"","verschillend verloop van de kosten en hoe je bij een gegeven prijs bepaalt")</f>
        <v/>
      </c>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1"/>
      <c r="FG23" s="72"/>
      <c r="FH23" s="377"/>
      <c r="FI23" s="377"/>
      <c r="FJ23" s="377"/>
      <c r="FK23" s="377"/>
      <c r="FL23" s="85"/>
      <c r="FM23" s="377"/>
      <c r="FN23" s="377"/>
      <c r="FO23" s="377"/>
      <c r="FP23" s="377"/>
      <c r="FQ23" s="377"/>
      <c r="FR23" s="377"/>
      <c r="FS23" s="85"/>
      <c r="FT23" s="377"/>
      <c r="FU23" s="377"/>
      <c r="FV23" s="87"/>
      <c r="FW23" s="87"/>
      <c r="FX23" s="87"/>
      <c r="FY23" s="87"/>
      <c r="FZ23" s="87"/>
      <c r="GA23" s="87"/>
      <c r="GB23" s="87"/>
      <c r="GC23" s="87"/>
      <c r="GD23" s="87"/>
      <c r="GE23" s="87"/>
      <c r="GF23" s="87"/>
      <c r="GG23" s="87"/>
      <c r="GH23" s="87"/>
      <c r="GI23" s="87"/>
      <c r="GJ23" s="87"/>
      <c r="GK23" s="87"/>
      <c r="GV23" s="65"/>
      <c r="GW23" s="65"/>
    </row>
    <row r="24" spans="1:211" ht="16.95" customHeight="1">
      <c r="A24" s="60"/>
      <c r="B24" s="69"/>
      <c r="C24" s="69"/>
      <c r="D24" s="74" t="str">
        <f ca="1">IF(FJ1=0,"","bij welke hoeveelheid je maximale winst maakt.")</f>
        <v/>
      </c>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1"/>
      <c r="FG24" s="72"/>
      <c r="FH24" s="377"/>
      <c r="FI24" s="377"/>
      <c r="FJ24" s="377"/>
      <c r="FK24" s="377"/>
      <c r="FL24" s="85"/>
      <c r="FM24" s="377"/>
      <c r="FN24" s="377"/>
      <c r="FO24" s="377"/>
      <c r="FP24" s="377"/>
      <c r="FQ24" s="377"/>
      <c r="FR24" s="377"/>
      <c r="FS24" s="85"/>
      <c r="FT24" s="377"/>
      <c r="FU24" s="377"/>
      <c r="FV24" s="87"/>
      <c r="FW24" s="87"/>
      <c r="FX24" s="87"/>
      <c r="FY24" s="87"/>
      <c r="FZ24" s="87"/>
      <c r="GA24" s="87"/>
      <c r="GB24" s="87"/>
      <c r="GC24" s="87"/>
      <c r="GD24" s="87"/>
      <c r="GE24" s="87"/>
      <c r="GF24" s="87"/>
      <c r="GG24" s="87"/>
      <c r="GH24" s="87"/>
      <c r="GI24" s="87"/>
      <c r="GJ24" s="87"/>
      <c r="GK24" s="87"/>
      <c r="GV24" s="65"/>
      <c r="GW24" s="65"/>
    </row>
    <row r="25" spans="1:211" ht="16.95" customHeight="1">
      <c r="A25" s="60"/>
      <c r="B25" s="69"/>
      <c r="C25" s="69"/>
      <c r="D25" s="74"/>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1"/>
      <c r="FG25" s="72"/>
      <c r="FH25" s="377"/>
      <c r="FI25" s="377"/>
      <c r="FJ25" s="377"/>
      <c r="FK25" s="377"/>
      <c r="FL25" s="85"/>
      <c r="FM25" s="377"/>
      <c r="FN25" s="377"/>
      <c r="FO25" s="377"/>
      <c r="FP25" s="377"/>
      <c r="FQ25" s="377"/>
      <c r="FR25" s="377"/>
      <c r="FS25" s="85"/>
      <c r="FT25" s="377"/>
      <c r="FU25" s="377"/>
      <c r="FV25" s="87"/>
      <c r="FW25" s="87"/>
      <c r="FX25" s="87"/>
      <c r="FY25" s="87"/>
      <c r="FZ25" s="87"/>
      <c r="GA25" s="87"/>
      <c r="GB25" s="87"/>
      <c r="GC25" s="87"/>
      <c r="GD25" s="87"/>
      <c r="GE25" s="87"/>
      <c r="GF25" s="87"/>
      <c r="GG25" s="87"/>
      <c r="GH25" s="87"/>
      <c r="GI25" s="87"/>
      <c r="GJ25" s="87"/>
      <c r="GK25" s="87"/>
      <c r="GV25" s="65"/>
      <c r="GW25" s="65"/>
    </row>
    <row r="26" spans="1:211" ht="16.95" customHeight="1">
      <c r="A26" s="60"/>
      <c r="B26" s="69"/>
      <c r="C26" s="69"/>
      <c r="D26" s="74" t="str">
        <f ca="1">IF(FJ1=0,"","We gaan er steeds vanuit dat elke aanbieder alles wat hij produceert direct")</f>
        <v/>
      </c>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1"/>
      <c r="FG26" s="72"/>
      <c r="FH26" s="377"/>
      <c r="FI26" s="377"/>
      <c r="FJ26" s="377"/>
      <c r="FK26" s="377"/>
      <c r="FL26" s="85"/>
      <c r="FM26" s="377"/>
      <c r="FN26" s="377"/>
      <c r="FO26" s="377"/>
      <c r="FP26" s="377"/>
      <c r="FQ26" s="377"/>
      <c r="FR26" s="377"/>
      <c r="FS26" s="85"/>
      <c r="FT26" s="377"/>
      <c r="FU26" s="377"/>
      <c r="FV26" s="87"/>
      <c r="FW26" s="87"/>
      <c r="FX26" s="87"/>
      <c r="FY26" s="87"/>
      <c r="FZ26" s="87"/>
      <c r="GA26" s="87"/>
      <c r="GB26" s="87"/>
      <c r="GC26" s="87"/>
      <c r="GD26" s="87"/>
      <c r="GE26" s="87"/>
      <c r="GF26" s="87"/>
      <c r="GG26" s="87"/>
      <c r="GH26" s="87"/>
      <c r="GI26" s="87"/>
      <c r="GJ26" s="87"/>
      <c r="GK26" s="87"/>
      <c r="GV26" s="65"/>
      <c r="GW26" s="65"/>
    </row>
    <row r="27" spans="1:211" ht="16.95" customHeight="1">
      <c r="A27" s="60"/>
      <c r="B27" s="69"/>
      <c r="C27" s="69"/>
      <c r="D27" s="74" t="str">
        <f ca="1">IF(FJ1=0,"","verkoopt en dat er dus geen voorraadvorming plaatsvindt. Dus geldt steeds")</f>
        <v/>
      </c>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1"/>
      <c r="FG27" s="72"/>
      <c r="FH27" s="377"/>
      <c r="FI27" s="377"/>
      <c r="FJ27" s="377"/>
      <c r="FK27" s="377"/>
      <c r="FL27" s="85"/>
      <c r="FM27" s="377"/>
      <c r="FN27" s="377"/>
      <c r="FO27" s="377"/>
      <c r="FP27" s="377"/>
      <c r="FQ27" s="377"/>
      <c r="FR27" s="377"/>
      <c r="FS27" s="85"/>
      <c r="FT27" s="377"/>
      <c r="FU27" s="377"/>
      <c r="FV27" s="87"/>
      <c r="FW27" s="87"/>
      <c r="FX27" s="87"/>
      <c r="FY27" s="87"/>
      <c r="FZ27" s="87"/>
      <c r="GA27" s="87"/>
      <c r="GB27" s="87"/>
      <c r="GC27" s="87"/>
      <c r="GD27" s="87"/>
      <c r="GE27" s="87"/>
      <c r="GF27" s="87"/>
      <c r="GG27" s="87"/>
      <c r="GH27" s="87"/>
      <c r="GI27" s="87"/>
      <c r="GJ27" s="87"/>
      <c r="GK27" s="87"/>
      <c r="GV27" s="65"/>
      <c r="GW27" s="65"/>
    </row>
    <row r="28" spans="1:211" ht="16.95" customHeight="1">
      <c r="A28" s="60"/>
      <c r="B28" s="69"/>
      <c r="C28" s="69"/>
      <c r="D28" s="74" t="str">
        <f ca="1">IF(FJ1=0,"","afzet = productie. In formules en grafieken zullen we voor het resultaat")</f>
        <v/>
      </c>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1"/>
      <c r="FG28" s="72"/>
      <c r="FH28" s="377"/>
      <c r="FI28" s="377"/>
      <c r="FJ28" s="377"/>
      <c r="FK28" s="377"/>
      <c r="FL28" s="85"/>
      <c r="FM28" s="377"/>
      <c r="FN28" s="377"/>
      <c r="FO28" s="377"/>
      <c r="FP28" s="377"/>
      <c r="FQ28" s="377"/>
      <c r="FR28" s="377"/>
      <c r="FS28" s="85"/>
      <c r="FT28" s="377"/>
      <c r="FU28" s="377"/>
      <c r="FV28" s="87"/>
      <c r="FW28" s="87"/>
      <c r="FX28" s="87"/>
      <c r="FY28" s="87"/>
      <c r="FZ28" s="87"/>
      <c r="GA28" s="87"/>
      <c r="GB28" s="87"/>
      <c r="GC28" s="87"/>
      <c r="GD28" s="87"/>
      <c r="GE28" s="87"/>
      <c r="GF28" s="87"/>
      <c r="GG28" s="87"/>
      <c r="GH28" s="87"/>
      <c r="GI28" s="87"/>
      <c r="GJ28" s="87"/>
      <c r="GK28" s="87"/>
      <c r="GV28" s="65"/>
      <c r="GW28" s="65"/>
    </row>
    <row r="29" spans="1:211" ht="16.95" customHeight="1">
      <c r="A29" s="60"/>
      <c r="B29" s="69"/>
      <c r="C29" s="69"/>
      <c r="D29" s="74" t="str">
        <f ca="1">IF(FJ1=0,"","steeds de term winst gebruiken. Daarom korten we het totale resultaat af tot")</f>
        <v/>
      </c>
      <c r="E29" s="70"/>
      <c r="F29" s="70"/>
      <c r="G29" s="70"/>
      <c r="H29" s="70"/>
      <c r="I29" s="70"/>
      <c r="J29" s="99"/>
      <c r="K29" s="99"/>
      <c r="L29" s="99"/>
      <c r="M29" s="99"/>
      <c r="N29" s="99"/>
      <c r="O29" s="99"/>
      <c r="P29" s="99"/>
      <c r="Q29" s="99"/>
      <c r="R29" s="99"/>
      <c r="S29" s="99"/>
      <c r="T29" s="70"/>
      <c r="U29" s="70"/>
      <c r="V29" s="70"/>
      <c r="W29" s="70"/>
      <c r="X29" s="99"/>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99"/>
      <c r="BH29" s="99"/>
      <c r="BI29" s="99"/>
      <c r="BJ29" s="99"/>
      <c r="BK29" s="99"/>
      <c r="BL29" s="99"/>
      <c r="BM29" s="99"/>
      <c r="BN29" s="99"/>
      <c r="BO29" s="99"/>
      <c r="BP29" s="99"/>
      <c r="BQ29" s="70"/>
      <c r="BR29" s="70"/>
      <c r="BS29" s="70"/>
      <c r="BT29" s="70"/>
      <c r="BU29" s="99"/>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99"/>
      <c r="DC29" s="99"/>
      <c r="DD29" s="99"/>
      <c r="DE29" s="99"/>
      <c r="DF29" s="99"/>
      <c r="DG29" s="99"/>
      <c r="DH29" s="99"/>
      <c r="DI29" s="99"/>
      <c r="DJ29" s="99"/>
      <c r="DK29" s="99"/>
      <c r="DL29" s="70"/>
      <c r="DM29" s="70"/>
      <c r="DN29" s="70"/>
      <c r="DO29" s="70"/>
      <c r="DP29" s="99"/>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1"/>
      <c r="FG29" s="72"/>
      <c r="FH29" s="377"/>
      <c r="FI29" s="85"/>
      <c r="FJ29" s="85"/>
      <c r="FK29" s="85"/>
      <c r="FL29" s="85"/>
      <c r="FM29" s="377"/>
      <c r="FN29" s="377"/>
      <c r="FO29" s="377"/>
      <c r="FP29" s="377"/>
      <c r="FQ29" s="377"/>
      <c r="FR29" s="377"/>
      <c r="FS29" s="85"/>
      <c r="FT29" s="377"/>
      <c r="FU29" s="377"/>
      <c r="FV29" s="87"/>
      <c r="FW29" s="87"/>
      <c r="FX29" s="87"/>
      <c r="FY29" s="87"/>
      <c r="FZ29" s="87"/>
      <c r="GA29" s="87"/>
      <c r="GB29" s="87"/>
      <c r="GC29" s="87"/>
      <c r="GD29" s="87"/>
      <c r="GE29" s="87"/>
      <c r="GF29" s="87"/>
      <c r="GG29" s="87"/>
      <c r="GH29" s="87"/>
      <c r="GI29" s="87"/>
      <c r="GJ29" s="87"/>
      <c r="GK29" s="87"/>
      <c r="GV29" s="65"/>
      <c r="GW29" s="65"/>
      <c r="GX29" s="65"/>
      <c r="GY29" s="65"/>
      <c r="GZ29" s="65"/>
      <c r="HA29" s="65"/>
      <c r="HB29" s="65"/>
      <c r="HC29" s="65"/>
    </row>
    <row r="30" spans="1:211" ht="16.95" customHeight="1">
      <c r="A30" s="60"/>
      <c r="B30" s="69"/>
      <c r="C30" s="69"/>
      <c r="D30" s="74" t="str">
        <f ca="1">IF(FJ1=0,"","''TW'' (= totale winst) en het resultaat per product tot ''GW'' (gemiddelde")</f>
        <v/>
      </c>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1"/>
      <c r="FG30" s="72"/>
      <c r="FH30" s="377"/>
      <c r="FI30" s="377"/>
      <c r="FJ30" s="377"/>
      <c r="FK30" s="377"/>
      <c r="FL30" s="85"/>
      <c r="FM30" s="377"/>
      <c r="FN30" s="377"/>
      <c r="FO30" s="377"/>
      <c r="FP30" s="377"/>
      <c r="FQ30" s="377"/>
      <c r="FR30" s="377"/>
      <c r="FS30" s="85"/>
      <c r="FT30" s="377"/>
      <c r="FU30" s="377"/>
      <c r="FV30" s="87"/>
      <c r="FW30" s="87"/>
      <c r="FX30" s="87"/>
      <c r="FY30" s="87"/>
      <c r="FZ30" s="87"/>
      <c r="GA30" s="87"/>
      <c r="GB30" s="87"/>
      <c r="GC30" s="87"/>
      <c r="GD30" s="87"/>
      <c r="GE30" s="87"/>
      <c r="GF30" s="87"/>
      <c r="GG30" s="87"/>
      <c r="GH30" s="87"/>
      <c r="GI30" s="87"/>
      <c r="GJ30" s="87"/>
      <c r="GK30" s="87"/>
      <c r="GV30" s="65"/>
      <c r="GW30" s="65"/>
    </row>
    <row r="31" spans="1:211" ht="16.95" customHeight="1">
      <c r="A31" s="60"/>
      <c r="B31" s="69"/>
      <c r="C31" s="69"/>
      <c r="D31" s="74" t="str">
        <f ca="1">IF(FJ1=0,"","winst). Een verlies is simpelweg een negatief resultaat (dus negatieve winst).")</f>
        <v/>
      </c>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1"/>
      <c r="AY31" s="72"/>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8"/>
      <c r="CN31" s="138"/>
      <c r="CO31" s="138"/>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377"/>
      <c r="FI31" s="377"/>
      <c r="FJ31" s="137"/>
      <c r="FK31" s="137"/>
      <c r="FL31" s="137"/>
      <c r="FM31" s="137"/>
      <c r="FN31" s="137"/>
      <c r="FO31" s="137"/>
      <c r="FP31" s="137"/>
      <c r="FQ31" s="137"/>
      <c r="FR31" s="137"/>
      <c r="FS31" s="137"/>
      <c r="FT31" s="137"/>
      <c r="FU31" s="137"/>
      <c r="FV31" s="87"/>
      <c r="FW31" s="87"/>
      <c r="FX31" s="87"/>
      <c r="FY31" s="87"/>
      <c r="FZ31" s="87"/>
      <c r="GA31" s="87"/>
      <c r="GB31" s="87"/>
      <c r="GC31" s="87"/>
      <c r="GD31" s="87"/>
      <c r="GE31" s="87"/>
      <c r="GF31" s="87"/>
      <c r="GG31" s="87"/>
      <c r="GH31" s="87"/>
      <c r="GI31" s="87"/>
      <c r="GJ31" s="87"/>
      <c r="GK31" s="87"/>
    </row>
    <row r="32" spans="1:211" ht="16.95" customHeight="1">
      <c r="A32" s="60"/>
      <c r="B32" s="69"/>
      <c r="C32" s="69"/>
      <c r="D32" s="74" t="str">
        <f ca="1">IF(FJ1=0,"","")</f>
        <v/>
      </c>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1"/>
      <c r="AY32" s="72"/>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8"/>
      <c r="CN32" s="138"/>
      <c r="CO32" s="138"/>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377"/>
      <c r="FI32" s="377"/>
      <c r="FJ32" s="137"/>
      <c r="FK32" s="137"/>
      <c r="FL32" s="137"/>
      <c r="FM32" s="137"/>
      <c r="FN32" s="137"/>
      <c r="FO32" s="137"/>
      <c r="FP32" s="137"/>
      <c r="FQ32" s="137"/>
      <c r="FR32" s="137"/>
      <c r="FS32" s="137"/>
      <c r="FT32" s="137"/>
      <c r="FU32" s="137"/>
      <c r="FV32" s="87"/>
      <c r="FW32" s="87"/>
      <c r="FX32" s="87"/>
      <c r="FY32" s="87"/>
      <c r="FZ32" s="87"/>
      <c r="GA32" s="87"/>
      <c r="GB32" s="87"/>
      <c r="GC32" s="87"/>
      <c r="GD32" s="87"/>
      <c r="GE32" s="87"/>
      <c r="GF32" s="87"/>
      <c r="GG32" s="87"/>
      <c r="GH32" s="87"/>
      <c r="GI32" s="87"/>
      <c r="GJ32" s="87"/>
      <c r="GK32" s="87"/>
    </row>
    <row r="33" spans="1:210" ht="16.95" customHeight="1">
      <c r="A33" s="60"/>
      <c r="B33" s="69"/>
      <c r="C33" s="69"/>
      <c r="D33" s="74" t="str">
        <f ca="1">IF(FJ1=0,"","Is de individuele aanbieder een prijszetter, dan kan hij via zijn afzet niet")</f>
        <v/>
      </c>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1"/>
      <c r="FG33" s="72"/>
      <c r="FH33" s="109"/>
      <c r="FI33" s="109"/>
      <c r="FJ33" s="109"/>
      <c r="FK33" s="109"/>
      <c r="FL33" s="109"/>
      <c r="FM33" s="109"/>
      <c r="FN33" s="109"/>
      <c r="FO33" s="108"/>
      <c r="FP33" s="108"/>
      <c r="FQ33" s="108"/>
      <c r="FR33" s="109"/>
      <c r="FS33" s="108"/>
      <c r="FT33" s="108"/>
      <c r="FU33" s="108"/>
      <c r="FV33" s="87"/>
      <c r="FW33" s="87"/>
      <c r="FX33" s="87"/>
      <c r="FY33" s="87"/>
      <c r="FZ33" s="87"/>
      <c r="GA33" s="87"/>
      <c r="GB33" s="87"/>
      <c r="GC33" s="87"/>
      <c r="GD33" s="87"/>
      <c r="GE33" s="87"/>
      <c r="GF33" s="87"/>
      <c r="GG33" s="87"/>
      <c r="GH33" s="87"/>
      <c r="GI33" s="87"/>
      <c r="GJ33" s="87"/>
      <c r="GK33" s="87"/>
      <c r="GV33" s="65"/>
      <c r="GW33" s="65"/>
      <c r="GX33" s="65"/>
      <c r="GY33" s="65"/>
      <c r="GZ33" s="65"/>
      <c r="HA33" s="65"/>
      <c r="HB33" s="65"/>
    </row>
    <row r="34" spans="1:210" ht="16.95" customHeight="1">
      <c r="A34" s="60"/>
      <c r="B34" s="69"/>
      <c r="C34" s="69"/>
      <c r="D34" s="74" t="str">
        <f ca="1">IF(FJ1=0,"","alleen zijn kostprijs maar ook de verkoopprijs beïnvloeden. Brengt hij meer")</f>
        <v/>
      </c>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1"/>
      <c r="FG34" s="72"/>
      <c r="FH34" s="109"/>
      <c r="FI34" s="109"/>
      <c r="FJ34" s="109"/>
      <c r="FK34" s="109"/>
      <c r="FL34" s="109"/>
      <c r="FM34" s="109"/>
      <c r="FN34" s="109"/>
      <c r="FO34" s="108"/>
      <c r="FP34" s="108"/>
      <c r="FQ34" s="108"/>
      <c r="FR34" s="109"/>
      <c r="FS34" s="108"/>
      <c r="FT34" s="108"/>
      <c r="FU34" s="108"/>
      <c r="FV34" s="87"/>
      <c r="FW34" s="87"/>
      <c r="FX34" s="87"/>
      <c r="FY34" s="87"/>
      <c r="FZ34" s="87"/>
      <c r="GA34" s="87"/>
      <c r="GB34" s="87"/>
      <c r="GC34" s="87"/>
      <c r="GD34" s="87"/>
      <c r="GE34" s="87"/>
      <c r="GF34" s="87"/>
      <c r="GG34" s="87"/>
      <c r="GH34" s="87"/>
      <c r="GI34" s="87"/>
      <c r="GJ34" s="87"/>
      <c r="GK34" s="87"/>
      <c r="GV34" s="65"/>
      <c r="GW34" s="65"/>
      <c r="GX34" s="65"/>
      <c r="GY34" s="65"/>
      <c r="GZ34" s="65"/>
      <c r="HA34" s="65"/>
      <c r="HB34" s="65"/>
    </row>
    <row r="35" spans="1:210" ht="16.95" customHeight="1">
      <c r="A35" s="60"/>
      <c r="B35" s="69"/>
      <c r="C35" s="69"/>
      <c r="D35" s="74" t="str">
        <f ca="1">IF(FJ1=0,"","op de markt, dan zal hij een lagere verkoopprijs moeten vaststellen (want hij")</f>
        <v/>
      </c>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1"/>
      <c r="FG35" s="72"/>
      <c r="FH35" s="109"/>
      <c r="FI35" s="109"/>
      <c r="FJ35" s="109"/>
      <c r="FK35" s="109"/>
      <c r="FL35" s="109"/>
      <c r="FM35" s="109"/>
      <c r="FN35" s="109"/>
      <c r="FO35" s="108"/>
      <c r="FP35" s="108"/>
      <c r="FQ35" s="108"/>
      <c r="FR35" s="109"/>
      <c r="FS35" s="108"/>
      <c r="FT35" s="108"/>
      <c r="FU35" s="108"/>
      <c r="FV35" s="87"/>
      <c r="FW35" s="87"/>
      <c r="FX35" s="87"/>
      <c r="FY35" s="87"/>
      <c r="FZ35" s="87"/>
      <c r="GA35" s="87"/>
      <c r="GB35" s="87"/>
      <c r="GC35" s="87"/>
      <c r="GD35" s="87"/>
      <c r="GE35" s="87"/>
      <c r="GF35" s="87"/>
      <c r="GG35" s="87"/>
      <c r="GH35" s="87"/>
      <c r="GI35" s="87"/>
      <c r="GJ35" s="87"/>
      <c r="GK35" s="87"/>
      <c r="GV35" s="65"/>
      <c r="GW35" s="65"/>
      <c r="GX35" s="65"/>
      <c r="GY35" s="65"/>
      <c r="GZ35" s="65"/>
      <c r="HA35" s="65"/>
      <c r="HB35" s="65"/>
    </row>
    <row r="36" spans="1:210" ht="16.95" customHeight="1">
      <c r="A36" s="60"/>
      <c r="B36" s="69"/>
      <c r="C36" s="69"/>
      <c r="D36" s="74" t="str">
        <f ca="1">IF(FJ1=0,"","wil alles verkopen). Brengt hij minder op de markt, dan kan hij een hogere")</f>
        <v/>
      </c>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1"/>
      <c r="FG36" s="72"/>
      <c r="FH36" s="109"/>
      <c r="FI36" s="109"/>
      <c r="FJ36" s="109"/>
      <c r="FK36" s="109"/>
      <c r="FL36" s="109"/>
      <c r="FM36" s="109"/>
      <c r="FN36" s="109"/>
      <c r="FO36" s="108"/>
      <c r="FP36" s="108"/>
      <c r="FQ36" s="108"/>
      <c r="FR36" s="109"/>
      <c r="FS36" s="108"/>
      <c r="FT36" s="108"/>
      <c r="FU36" s="108"/>
      <c r="FV36" s="87"/>
      <c r="FW36" s="87"/>
      <c r="FX36" s="87"/>
      <c r="FY36" s="87"/>
      <c r="FZ36" s="87"/>
      <c r="GA36" s="87"/>
      <c r="GB36" s="87"/>
      <c r="GC36" s="87"/>
      <c r="GD36" s="87"/>
      <c r="GE36" s="87"/>
      <c r="GF36" s="87"/>
      <c r="GG36" s="87"/>
      <c r="GH36" s="87"/>
      <c r="GI36" s="87"/>
      <c r="GJ36" s="87"/>
      <c r="GK36" s="87"/>
      <c r="GV36" s="65"/>
      <c r="GW36" s="65"/>
      <c r="GX36" s="65"/>
      <c r="GY36" s="65"/>
      <c r="GZ36" s="65"/>
      <c r="HA36" s="65"/>
      <c r="HB36" s="65"/>
    </row>
    <row r="37" spans="1:210" ht="16.95" customHeight="1">
      <c r="A37" s="60"/>
      <c r="B37" s="69"/>
      <c r="C37" s="69"/>
      <c r="D37" s="74" t="str">
        <f ca="1">IF(FJ1=0,"","verkoopprijs vragen. Dit geldt uiteraard bij een gegeven vraaglijn (dus")</f>
        <v/>
      </c>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1"/>
      <c r="FG37" s="72"/>
      <c r="FH37" s="109"/>
      <c r="FI37" s="109"/>
      <c r="FJ37" s="109"/>
      <c r="FK37" s="109"/>
      <c r="FL37" s="109"/>
      <c r="FM37" s="109"/>
      <c r="FN37" s="109"/>
      <c r="FO37" s="108"/>
      <c r="FP37" s="108"/>
      <c r="FQ37" s="108"/>
      <c r="FR37" s="109"/>
      <c r="FS37" s="108"/>
      <c r="FT37" s="108"/>
      <c r="FU37" s="108"/>
      <c r="FV37" s="87"/>
      <c r="FW37" s="87"/>
      <c r="FX37" s="87"/>
      <c r="FY37" s="87"/>
      <c r="FZ37" s="87"/>
      <c r="GA37" s="87"/>
      <c r="GB37" s="87"/>
      <c r="GC37" s="87"/>
      <c r="GD37" s="87"/>
      <c r="GE37" s="87"/>
      <c r="GF37" s="87"/>
      <c r="GG37" s="87"/>
      <c r="GH37" s="87"/>
      <c r="GI37" s="87"/>
      <c r="GJ37" s="87"/>
      <c r="GK37" s="87"/>
      <c r="GV37" s="65"/>
      <c r="GW37" s="65"/>
      <c r="GX37" s="65"/>
      <c r="GY37" s="65"/>
      <c r="GZ37" s="65"/>
      <c r="HA37" s="65"/>
      <c r="HB37" s="65"/>
    </row>
    <row r="38" spans="1:210" ht="16.95" customHeight="1">
      <c r="A38" s="60"/>
      <c r="B38" s="69"/>
      <c r="C38" s="69"/>
      <c r="D38" s="74" t="str">
        <f ca="1">IF(FJ1=0,"","''ceteris paribus''; dus als hij de hoeveelheid verlaagt terwijl tegelijkertijd")</f>
        <v/>
      </c>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1"/>
      <c r="FG38" s="72"/>
      <c r="FH38" s="109"/>
      <c r="FI38" s="109"/>
      <c r="FJ38" s="109"/>
      <c r="FK38" s="109"/>
      <c r="FL38" s="109"/>
      <c r="FM38" s="109"/>
      <c r="FN38" s="109"/>
      <c r="FO38" s="108"/>
      <c r="FP38" s="108"/>
      <c r="FQ38" s="108"/>
      <c r="FR38" s="109"/>
      <c r="FS38" s="108"/>
      <c r="FT38" s="108"/>
      <c r="FU38" s="108"/>
      <c r="FV38" s="87"/>
      <c r="FW38" s="87"/>
      <c r="FX38" s="87"/>
      <c r="FY38" s="87"/>
      <c r="FZ38" s="87"/>
      <c r="GA38" s="87"/>
      <c r="GB38" s="87"/>
      <c r="GC38" s="87"/>
      <c r="GD38" s="87"/>
      <c r="GE38" s="87"/>
      <c r="GF38" s="87"/>
      <c r="GG38" s="87"/>
      <c r="GH38" s="87"/>
      <c r="GI38" s="87"/>
      <c r="GJ38" s="87"/>
      <c r="GK38" s="87"/>
      <c r="GV38" s="65"/>
      <c r="GW38" s="65"/>
      <c r="GX38" s="65"/>
      <c r="GY38" s="65"/>
      <c r="GZ38" s="65"/>
      <c r="HA38" s="65"/>
      <c r="HB38" s="65"/>
    </row>
    <row r="39" spans="1:210" ht="16.95" customHeight="1">
      <c r="A39" s="60"/>
      <c r="B39" s="69"/>
      <c r="C39" s="69"/>
      <c r="D39" s="74" t="str">
        <f ca="1">IF(FJ1=0,"","bijvoorbeeld het inkomen daalt).")</f>
        <v/>
      </c>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1"/>
      <c r="FG39" s="72"/>
      <c r="FH39" s="109"/>
      <c r="FI39" s="109"/>
      <c r="FJ39" s="109"/>
      <c r="FK39" s="109"/>
      <c r="FL39" s="109"/>
      <c r="FM39" s="109"/>
      <c r="FN39" s="109"/>
      <c r="FO39" s="108"/>
      <c r="FP39" s="108"/>
      <c r="FQ39" s="108"/>
      <c r="FR39" s="109"/>
      <c r="FS39" s="108"/>
      <c r="FT39" s="108"/>
      <c r="FU39" s="108"/>
      <c r="FV39" s="87"/>
      <c r="FW39" s="87"/>
      <c r="FX39" s="87"/>
      <c r="FY39" s="87"/>
      <c r="FZ39" s="87"/>
      <c r="GA39" s="87"/>
      <c r="GB39" s="87"/>
      <c r="GC39" s="87"/>
      <c r="GD39" s="87"/>
      <c r="GE39" s="87"/>
      <c r="GF39" s="87"/>
      <c r="GG39" s="87"/>
      <c r="GH39" s="87"/>
      <c r="GI39" s="87"/>
      <c r="GJ39" s="87"/>
      <c r="GK39" s="87"/>
      <c r="GV39" s="65"/>
      <c r="GW39" s="65"/>
      <c r="GX39" s="65"/>
      <c r="GY39" s="65"/>
      <c r="GZ39" s="65"/>
      <c r="HA39" s="65"/>
      <c r="HB39" s="65"/>
    </row>
    <row r="40" spans="1:210" ht="16.95" customHeight="1">
      <c r="A40" s="60"/>
      <c r="B40" s="69"/>
      <c r="C40" s="69"/>
      <c r="D40" s="74"/>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1"/>
      <c r="FG40" s="72"/>
      <c r="FH40" s="109"/>
      <c r="FI40" s="109"/>
      <c r="FJ40" s="109"/>
      <c r="FK40" s="109"/>
      <c r="FL40" s="109"/>
      <c r="FM40" s="109"/>
      <c r="FN40" s="109"/>
      <c r="FO40" s="108"/>
      <c r="FP40" s="108"/>
      <c r="FQ40" s="108"/>
      <c r="FR40" s="109"/>
      <c r="FS40" s="108"/>
      <c r="FT40" s="108"/>
      <c r="FU40" s="108"/>
      <c r="FV40" s="87"/>
      <c r="FW40" s="87"/>
      <c r="FX40" s="87"/>
      <c r="FY40" s="87"/>
      <c r="FZ40" s="87"/>
      <c r="GA40" s="87"/>
      <c r="GB40" s="87"/>
      <c r="GC40" s="87"/>
      <c r="GD40" s="87"/>
      <c r="GE40" s="87"/>
      <c r="GF40" s="87"/>
      <c r="GG40" s="87"/>
      <c r="GH40" s="87"/>
      <c r="GI40" s="87"/>
      <c r="GJ40" s="87"/>
      <c r="GK40" s="87"/>
      <c r="GV40" s="65"/>
      <c r="GW40" s="65"/>
      <c r="GX40" s="65"/>
      <c r="GY40" s="65"/>
      <c r="GZ40" s="65"/>
      <c r="HA40" s="65"/>
      <c r="HB40" s="65"/>
    </row>
    <row r="41" spans="1:210" ht="16.95" customHeight="1">
      <c r="A41" s="60"/>
      <c r="B41" s="69"/>
      <c r="C41" s="69"/>
      <c r="D41" s="74" t="str">
        <f ca="1">IF(FJ1=0,"","Nadat behandeld is hoe je het resultaat bij prijszetting bepaalt, kijken wat het")</f>
        <v/>
      </c>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1"/>
      <c r="FG41" s="72"/>
      <c r="FH41" s="109"/>
      <c r="FI41" s="109"/>
      <c r="FJ41" s="109"/>
      <c r="FK41" s="109"/>
      <c r="FL41" s="109"/>
      <c r="FM41" s="109"/>
      <c r="FN41" s="109"/>
      <c r="FO41" s="108"/>
      <c r="FP41" s="108"/>
      <c r="FQ41" s="108"/>
      <c r="FR41" s="109"/>
      <c r="FS41" s="108"/>
      <c r="FT41" s="108"/>
      <c r="FU41" s="108"/>
      <c r="FV41" s="87"/>
      <c r="FW41" s="87"/>
      <c r="FX41" s="87"/>
      <c r="FY41" s="87"/>
      <c r="FZ41" s="87"/>
      <c r="GA41" s="87"/>
      <c r="GB41" s="87"/>
      <c r="GC41" s="87"/>
      <c r="GD41" s="87"/>
      <c r="GE41" s="87"/>
      <c r="GF41" s="87"/>
      <c r="GG41" s="87"/>
      <c r="GH41" s="87"/>
      <c r="GI41" s="87"/>
      <c r="GJ41" s="87"/>
      <c r="GK41" s="87"/>
      <c r="GV41" s="65"/>
      <c r="GW41" s="65"/>
      <c r="GX41" s="65"/>
      <c r="GY41" s="65"/>
      <c r="GZ41" s="65"/>
      <c r="HA41" s="65"/>
      <c r="HB41" s="65"/>
    </row>
    <row r="42" spans="1:210" ht="16.95" customHeight="1">
      <c r="A42" s="60"/>
      <c r="B42" s="69"/>
      <c r="C42" s="69"/>
      <c r="D42" s="74" t="str">
        <f ca="1">IF(FJ1=0,"","welvaartsverlies is bij monopolie en oligopolie ten opzichte van de situatie")</f>
        <v/>
      </c>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1"/>
      <c r="FG42" s="72"/>
      <c r="FH42" s="109"/>
      <c r="FI42" s="109"/>
      <c r="FJ42" s="109"/>
      <c r="FK42" s="109"/>
      <c r="FL42" s="109"/>
      <c r="FM42" s="109"/>
      <c r="FN42" s="109"/>
      <c r="FO42" s="108"/>
      <c r="FP42" s="108"/>
      <c r="FQ42" s="108"/>
      <c r="FR42" s="109"/>
      <c r="FS42" s="108"/>
      <c r="FT42" s="108"/>
      <c r="FU42" s="108"/>
      <c r="FV42" s="87"/>
      <c r="FW42" s="87"/>
      <c r="FX42" s="87"/>
      <c r="FY42" s="87"/>
      <c r="FZ42" s="87"/>
      <c r="GA42" s="87"/>
      <c r="GB42" s="87"/>
      <c r="GC42" s="87"/>
      <c r="GD42" s="87"/>
      <c r="GE42" s="87"/>
      <c r="GF42" s="87"/>
      <c r="GG42" s="87"/>
      <c r="GH42" s="87"/>
      <c r="GI42" s="87"/>
      <c r="GJ42" s="87"/>
      <c r="GK42" s="87"/>
      <c r="GV42" s="65"/>
      <c r="GW42" s="65"/>
      <c r="GX42" s="65"/>
      <c r="GY42" s="65"/>
      <c r="GZ42" s="65"/>
      <c r="HA42" s="65"/>
      <c r="HB42" s="65"/>
    </row>
    <row r="43" spans="1:210" ht="16.95" customHeight="1">
      <c r="A43" s="60"/>
      <c r="B43" s="69"/>
      <c r="C43" s="69"/>
      <c r="D43" s="74" t="str">
        <f ca="1">IF(FJ1=0,"","bij volkomen concurrentie en we eindigen met te kijken naar de situatie bij")</f>
        <v/>
      </c>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1"/>
      <c r="FG43" s="72"/>
      <c r="FH43" s="109"/>
      <c r="FI43" s="109"/>
      <c r="FJ43" s="109"/>
      <c r="FK43" s="109"/>
      <c r="FL43" s="109"/>
      <c r="FM43" s="109"/>
      <c r="FN43" s="109"/>
      <c r="FO43" s="108"/>
      <c r="FP43" s="108"/>
      <c r="FQ43" s="108"/>
      <c r="FR43" s="109"/>
      <c r="FS43" s="108"/>
      <c r="FT43" s="108"/>
      <c r="FU43" s="108"/>
      <c r="FV43" s="87"/>
      <c r="FW43" s="87"/>
      <c r="FX43" s="87"/>
      <c r="FY43" s="87"/>
      <c r="FZ43" s="87"/>
      <c r="GA43" s="87"/>
      <c r="GB43" s="87"/>
      <c r="GC43" s="87"/>
      <c r="GD43" s="87"/>
      <c r="GE43" s="87"/>
      <c r="GF43" s="87"/>
      <c r="GG43" s="87"/>
      <c r="GH43" s="87"/>
      <c r="GI43" s="87"/>
      <c r="GJ43" s="87"/>
      <c r="GK43" s="87"/>
      <c r="GV43" s="65"/>
      <c r="GW43" s="65"/>
      <c r="GX43" s="65"/>
      <c r="GY43" s="65"/>
      <c r="GZ43" s="65"/>
      <c r="HA43" s="65"/>
      <c r="HB43" s="65"/>
    </row>
    <row r="44" spans="1:210" ht="16.95" customHeight="1">
      <c r="A44" s="60"/>
      <c r="B44" s="69"/>
      <c r="C44" s="69"/>
      <c r="D44" s="74" t="str">
        <f ca="1">IF(FJ1=0,"","monopolistische concurrentie op lange termijn.")</f>
        <v/>
      </c>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1"/>
      <c r="FG44" s="72"/>
      <c r="FH44" s="109"/>
      <c r="FI44" s="109"/>
      <c r="FJ44" s="109"/>
      <c r="FK44" s="109"/>
      <c r="FL44" s="109"/>
      <c r="FM44" s="109"/>
      <c r="FN44" s="109"/>
      <c r="FO44" s="108"/>
      <c r="FP44" s="108"/>
      <c r="FQ44" s="108"/>
      <c r="FR44" s="109"/>
      <c r="FS44" s="108"/>
      <c r="FT44" s="108"/>
      <c r="FU44" s="108"/>
      <c r="FV44" s="87"/>
      <c r="FW44" s="87"/>
      <c r="FX44" s="87"/>
      <c r="FY44" s="87"/>
      <c r="FZ44" s="87"/>
      <c r="GA44" s="87"/>
      <c r="GB44" s="87"/>
      <c r="GC44" s="87"/>
      <c r="GD44" s="87"/>
      <c r="GE44" s="87"/>
      <c r="GF44" s="87"/>
      <c r="GG44" s="87"/>
      <c r="GH44" s="87"/>
      <c r="GI44" s="87"/>
      <c r="GJ44" s="87"/>
      <c r="GK44" s="87"/>
      <c r="GV44" s="65"/>
      <c r="GW44" s="65"/>
      <c r="GX44" s="65"/>
      <c r="GY44" s="65"/>
      <c r="GZ44" s="65"/>
      <c r="HA44" s="65"/>
      <c r="HB44" s="65"/>
    </row>
    <row r="45" spans="1:210" ht="16.95" customHeight="1">
      <c r="A45" s="60"/>
      <c r="B45" s="69"/>
      <c r="C45" s="69"/>
      <c r="D45" s="74"/>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137"/>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1"/>
      <c r="FG45" s="72"/>
      <c r="FH45" s="85"/>
      <c r="FI45" s="137"/>
      <c r="FJ45" s="137"/>
      <c r="FK45" s="137"/>
      <c r="FL45" s="137"/>
      <c r="FM45" s="137"/>
      <c r="FN45" s="137"/>
      <c r="FO45" s="137"/>
      <c r="FP45" s="137"/>
      <c r="FQ45" s="137"/>
      <c r="FR45" s="137"/>
      <c r="FS45" s="137"/>
      <c r="FT45" s="137"/>
      <c r="FU45" s="137"/>
      <c r="FV45" s="87"/>
      <c r="FW45" s="87"/>
      <c r="FX45" s="87"/>
      <c r="FY45" s="87"/>
      <c r="FZ45" s="87"/>
      <c r="GA45" s="87"/>
      <c r="GB45" s="87"/>
      <c r="GC45" s="87"/>
      <c r="GD45" s="87"/>
      <c r="GE45" s="87"/>
      <c r="GF45" s="87"/>
      <c r="GG45" s="87"/>
      <c r="GH45" s="87"/>
      <c r="GI45" s="87"/>
      <c r="GJ45" s="87"/>
      <c r="GK45" s="87"/>
      <c r="GV45" s="65"/>
      <c r="GW45" s="65"/>
    </row>
    <row r="46" spans="1:210" ht="16.5" customHeight="1">
      <c r="A46" s="60"/>
      <c r="B46" s="69"/>
      <c r="C46" s="69"/>
      <c r="D46" s="484" t="str">
        <f ca="1">IF(FJ1=0,"","Je bent nu klaar met de inleiding. Je kunt nu de toets maken of direct naar het")</f>
        <v/>
      </c>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137"/>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1"/>
      <c r="FG46" s="72"/>
      <c r="FH46" s="85"/>
      <c r="FI46" s="85"/>
      <c r="FJ46" s="85"/>
      <c r="FK46" s="85"/>
      <c r="FL46" s="85"/>
      <c r="FM46" s="85"/>
      <c r="FN46" s="85"/>
      <c r="FO46" s="85"/>
      <c r="FP46" s="85"/>
      <c r="FQ46" s="85"/>
      <c r="FR46" s="85"/>
      <c r="FS46" s="85"/>
      <c r="FT46" s="85"/>
      <c r="FU46" s="85"/>
      <c r="FV46" s="85"/>
      <c r="FW46" s="85"/>
      <c r="FX46" s="85"/>
      <c r="FY46" s="85"/>
      <c r="FZ46" s="85"/>
      <c r="GA46" s="85"/>
      <c r="GB46" s="85"/>
      <c r="GC46" s="85"/>
      <c r="GD46" s="85"/>
      <c r="GE46" s="85"/>
      <c r="GF46" s="85"/>
      <c r="GG46" s="85"/>
      <c r="GH46" s="85"/>
      <c r="GI46" s="85"/>
      <c r="GJ46" s="85"/>
      <c r="GK46" s="85"/>
      <c r="GL46" s="85"/>
      <c r="GM46" s="85"/>
      <c r="GN46" s="85"/>
      <c r="GO46" s="85"/>
      <c r="GP46" s="85"/>
      <c r="GQ46" s="85"/>
      <c r="GR46" s="85"/>
      <c r="GS46" s="85"/>
      <c r="GT46" s="85"/>
      <c r="GU46" s="65"/>
      <c r="GV46" s="65"/>
      <c r="GW46" s="65"/>
    </row>
    <row r="47" spans="1:210" ht="16.5" customHeight="1">
      <c r="A47" s="60"/>
      <c r="B47" s="69"/>
      <c r="C47" s="69"/>
      <c r="D47" s="484" t="str">
        <f ca="1">IF(FJ1=0,"","eerste onderwerp gaan door op het betreffende tabblad hieronder te klikken.")</f>
        <v/>
      </c>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137"/>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1"/>
      <c r="FG47" s="72"/>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65"/>
      <c r="GV47" s="65"/>
      <c r="GW47" s="65"/>
    </row>
    <row r="48" spans="1:210" ht="16.5" customHeight="1">
      <c r="A48" s="60"/>
      <c r="B48" s="69"/>
      <c r="C48" s="69"/>
      <c r="D48" s="484" t="str">
        <f ca="1">IF(FJ1=0,"","Weet je niet hoe het werkt, lees dan onderstaande handleiding.")</f>
        <v/>
      </c>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137"/>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1"/>
      <c r="FG48" s="72"/>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65"/>
      <c r="GV48" s="65"/>
      <c r="GW48" s="65"/>
    </row>
    <row r="49" spans="1:205" ht="16.2" customHeight="1">
      <c r="A49" s="60"/>
      <c r="B49" s="69"/>
      <c r="C49" s="69"/>
      <c r="D49" s="488"/>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137"/>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1"/>
      <c r="FG49" s="72"/>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65"/>
      <c r="GV49" s="65"/>
      <c r="GW49" s="65"/>
    </row>
    <row r="50" spans="1:205" ht="16.2" customHeight="1">
      <c r="A50" s="60"/>
      <c r="B50" s="69"/>
      <c r="C50" s="69"/>
      <c r="D50" s="489" t="str">
        <f ca="1">IF(FJ1=0,"","Het programma is zo ingericht dat je alleen verder kunt als je de vraag")</f>
        <v/>
      </c>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137"/>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1"/>
      <c r="FG50" s="72"/>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65"/>
      <c r="GV50" s="65"/>
      <c r="GW50" s="65"/>
    </row>
    <row r="51" spans="1:205" ht="16.2" customHeight="1">
      <c r="A51" s="60"/>
      <c r="B51" s="69"/>
      <c r="C51" s="69"/>
      <c r="D51" s="489" t="str">
        <f ca="1">IF(FJ1=0,"","goed hebt beantwoord.")</f>
        <v/>
      </c>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137"/>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1"/>
      <c r="FG51" s="72"/>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65"/>
      <c r="GV51" s="65"/>
      <c r="GW51" s="65"/>
    </row>
    <row r="52" spans="1:205" ht="16.2" customHeight="1">
      <c r="A52" s="60"/>
      <c r="B52" s="69"/>
      <c r="C52" s="69"/>
      <c r="D52" s="488"/>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137"/>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1"/>
      <c r="FG52" s="72"/>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65"/>
      <c r="GV52" s="65"/>
      <c r="GW52" s="65"/>
    </row>
    <row r="53" spans="1:205" ht="16.2" customHeight="1">
      <c r="A53" s="60"/>
      <c r="B53" s="69"/>
      <c r="C53" s="69"/>
      <c r="D53" s="489" t="str">
        <f ca="1">IF(FJ1=0,"","Bij rekenvragen wordt bijna altijd gewerkt met open vragen. Om die te")</f>
        <v/>
      </c>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137"/>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1"/>
      <c r="FG53" s="72"/>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65"/>
      <c r="GV53" s="65"/>
      <c r="GW53" s="65"/>
    </row>
    <row r="54" spans="1:205" ht="16.2" customHeight="1">
      <c r="A54" s="60"/>
      <c r="B54" s="69"/>
      <c r="C54" s="69"/>
      <c r="D54" s="489" t="str">
        <f ca="1">IF(FJ1=0,"","beantwoorden moet je op het groenomrande vak of het betreffende vak")</f>
        <v/>
      </c>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137"/>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1"/>
      <c r="FG54" s="72"/>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65"/>
      <c r="GV54" s="65"/>
      <c r="GW54" s="65"/>
    </row>
    <row r="55" spans="1:205" ht="16.2" customHeight="1">
      <c r="A55" s="60"/>
      <c r="B55" s="69"/>
      <c r="C55" s="69"/>
      <c r="D55" s="489" t="str">
        <f ca="1">IF(FJ1=0,"","in de tabel gaan staan (door erop te klikken) en je antwoord invoeren. Er")</f>
        <v/>
      </c>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137"/>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1"/>
      <c r="FG55" s="72"/>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65"/>
      <c r="GV55" s="65"/>
      <c r="GW55" s="65"/>
    </row>
    <row r="56" spans="1:205" ht="16.2" customHeight="1">
      <c r="A56" s="60"/>
      <c r="B56" s="69"/>
      <c r="C56" s="69"/>
      <c r="D56" s="489" t="str">
        <f ca="1">IF(FJ1=0,"","wordt alleen naar de einduitkomst gevraagd. Maak daarom de berekening")</f>
        <v/>
      </c>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137"/>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1"/>
      <c r="FG56" s="72"/>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65"/>
      <c r="GV56" s="65"/>
      <c r="GW56" s="65"/>
    </row>
    <row r="57" spans="1:205" ht="16.2" customHeight="1">
      <c r="A57" s="60"/>
      <c r="B57" s="69"/>
      <c r="C57" s="69"/>
      <c r="D57" s="489" t="str">
        <f ca="1">IF(FJ1=0,"","op een apart vel en bewaar dat, zodat je later kunt zien wat je eventueel")</f>
        <v/>
      </c>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137"/>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1"/>
      <c r="FG57" s="72"/>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65"/>
      <c r="GV57" s="65"/>
      <c r="GW57" s="65"/>
    </row>
    <row r="58" spans="1:205" ht="16.2" customHeight="1">
      <c r="A58" s="60"/>
      <c r="B58" s="69"/>
      <c r="C58" s="69"/>
      <c r="D58" s="489" t="str">
        <f ca="1">IF(FJ1=0,"","fout hebt gedaan.")</f>
        <v/>
      </c>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137"/>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1"/>
      <c r="FG58" s="72"/>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65"/>
      <c r="GV58" s="65"/>
      <c r="GW58" s="65"/>
    </row>
    <row r="59" spans="1:205" ht="16.2" customHeight="1">
      <c r="A59" s="60"/>
      <c r="B59" s="69"/>
      <c r="C59" s="69"/>
      <c r="D59" s="489"/>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137"/>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1"/>
      <c r="FG59" s="72"/>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65"/>
      <c r="GV59" s="65"/>
      <c r="GW59" s="65"/>
    </row>
    <row r="60" spans="1:205" ht="16.2" customHeight="1">
      <c r="A60" s="60"/>
      <c r="B60" s="69"/>
      <c r="C60" s="69"/>
      <c r="D60" s="489" t="str">
        <f ca="1">IF(FJ1=0,"","Heb je het antwoord ingevoerd, dan moet je op ''Enter'' drukken. Doe je")</f>
        <v/>
      </c>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137"/>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1"/>
      <c r="FG60" s="72"/>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65"/>
      <c r="GV60" s="65"/>
      <c r="GW60" s="65"/>
    </row>
    <row r="61" spans="1:205" ht="16.2" customHeight="1">
      <c r="A61" s="60"/>
      <c r="B61" s="69"/>
      <c r="C61" s="69"/>
      <c r="D61" s="489" t="str">
        <f ca="1">IF(FJ1=0,"","dat niet, dan denkt het programma dat je nog steeds aan het invoeren bent.")</f>
        <v/>
      </c>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137"/>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1"/>
      <c r="FG61" s="72"/>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65"/>
      <c r="GV61" s="65"/>
      <c r="GW61" s="65"/>
    </row>
    <row r="62" spans="1:205" ht="16.2" customHeight="1">
      <c r="A62" s="60"/>
      <c r="B62" s="69"/>
      <c r="C62" s="69"/>
      <c r="D62" s="489"/>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137"/>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1"/>
      <c r="FG62" s="72"/>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65"/>
      <c r="GV62" s="65"/>
      <c r="GW62" s="65"/>
    </row>
    <row r="63" spans="1:205" ht="16.2" customHeight="1">
      <c r="A63" s="60"/>
      <c r="B63" s="69"/>
      <c r="C63" s="69"/>
      <c r="D63" s="489" t="str">
        <f ca="1">IF(FJ1=0,"","Is het antwoord fout, dan geeft het programma dit aan. Vaak krijg je dan")</f>
        <v/>
      </c>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137"/>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1"/>
      <c r="FG63" s="72"/>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65"/>
      <c r="GV63" s="65"/>
      <c r="GW63" s="65"/>
    </row>
    <row r="64" spans="1:205" ht="16.2" customHeight="1">
      <c r="A64" s="60"/>
      <c r="B64" s="69"/>
      <c r="C64" s="69"/>
      <c r="D64" s="489" t="str">
        <f ca="1">IF(FJ1=0,"","ook nog een tip die je helpt om tot het goede antwoord te komen.")</f>
        <v/>
      </c>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137"/>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1"/>
      <c r="FG64" s="72"/>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65"/>
      <c r="GV64" s="65"/>
      <c r="GW64" s="65"/>
    </row>
    <row r="65" spans="1:205" ht="16.2" customHeight="1">
      <c r="A65" s="60"/>
      <c r="B65" s="69"/>
      <c r="C65" s="69"/>
      <c r="D65" s="489" t="str">
        <f ca="1">IF(FJ1=0,"","Heb je verkeerd afgerond, dan geeft het programma dit aan. Bovenaan")</f>
        <v/>
      </c>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137"/>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1"/>
      <c r="FG65" s="72"/>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65"/>
      <c r="GV65" s="65"/>
      <c r="GW65" s="65"/>
    </row>
    <row r="66" spans="1:205" ht="16.2" customHeight="1">
      <c r="A66" s="60"/>
      <c r="B66" s="69"/>
      <c r="C66" s="69"/>
      <c r="D66" s="489" t="str">
        <f ca="1">IF(FJ1=0,"","in het scherm kun je als je weer op het antwoordvak bent gaan staan,")</f>
        <v/>
      </c>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137"/>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1"/>
      <c r="FG66" s="72"/>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65"/>
      <c r="GV66" s="65"/>
      <c r="GW66" s="65"/>
    </row>
    <row r="67" spans="1:205" ht="16.2" customHeight="1">
      <c r="A67" s="60"/>
      <c r="B67" s="69"/>
      <c r="C67" s="69"/>
      <c r="D67" s="489" t="str">
        <f ca="1">IF(FJ1=0,"","in de ''functiebalk'' (= de witte regel bovenaan het scherm) zien wat je")</f>
        <v/>
      </c>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137"/>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1"/>
      <c r="FG67" s="72"/>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65"/>
      <c r="GV67" s="65"/>
      <c r="GW67" s="65"/>
    </row>
    <row r="68" spans="1:205" ht="16.5" customHeight="1">
      <c r="A68" s="60"/>
      <c r="B68" s="69"/>
      <c r="C68" s="69"/>
      <c r="D68" s="489" t="str">
        <f ca="1">IF(FJ1=0,"","precies hebt ingevoerd. In die functiebalk kun je ook veranderingen in")</f>
        <v/>
      </c>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137"/>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1"/>
      <c r="FG68" s="72"/>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65"/>
      <c r="GV68" s="65"/>
      <c r="GW68" s="65"/>
    </row>
    <row r="69" spans="1:205" ht="16.5" customHeight="1">
      <c r="A69" s="60"/>
      <c r="B69" s="69"/>
      <c r="C69" s="69"/>
      <c r="D69" s="489" t="str">
        <f ca="1">IF(FJ1=0,"","het antwoord aanbrengen en zelfs berekeningen maken. Je moet je invoer")</f>
        <v/>
      </c>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137"/>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1"/>
      <c r="FG69" s="72"/>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65"/>
      <c r="GV69" s="65"/>
      <c r="GW69" s="65"/>
    </row>
    <row r="70" spans="1:205" ht="16.5" customHeight="1">
      <c r="A70" s="60"/>
      <c r="B70" s="69"/>
      <c r="C70" s="69"/>
      <c r="D70" s="489" t="str">
        <f ca="1">IF(FJ1=0,"","dan wel met het = teken beginnen. Je kunt ook de ''terug-knop'' (het naar")</f>
        <v/>
      </c>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137"/>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1"/>
      <c r="FG70" s="72"/>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65"/>
      <c r="GV70" s="65"/>
      <c r="GW70" s="65"/>
    </row>
    <row r="71" spans="1:205" ht="16.5" customHeight="1">
      <c r="A71" s="60"/>
      <c r="B71" s="69"/>
      <c r="C71" s="69"/>
      <c r="D71" s="489" t="str">
        <f ca="1">IF(FJ1=0,"","links gedraaide pijltje linksboven in het scherm) gebruiken om het")</f>
        <v/>
      </c>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137"/>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1"/>
      <c r="FG71" s="72"/>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65"/>
      <c r="GV71" s="65"/>
      <c r="GW71" s="65"/>
    </row>
    <row r="72" spans="1:205" ht="16.5" customHeight="1">
      <c r="A72" s="60"/>
      <c r="B72" s="69"/>
      <c r="C72" s="69"/>
      <c r="D72" s="489" t="str">
        <f ca="1">IF(FJ1=0,"","antwoord weg te halen. Kom je er echt niet uit, dan kun je als in de rode")</f>
        <v/>
      </c>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137"/>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1"/>
      <c r="FG72" s="72"/>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65"/>
      <c r="GV72" s="65"/>
      <c r="GW72" s="65"/>
    </row>
    <row r="73" spans="1:205" ht="16.5" customHeight="1">
      <c r="A73" s="60"/>
      <c r="B73" s="69"/>
      <c r="C73" s="69"/>
      <c r="D73" s="489" t="str">
        <f ca="1">IF(FJ1=0,"","balk bij de vraag een groen blokje staat, daar een X invullen. Je krijgt")</f>
        <v/>
      </c>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137"/>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1"/>
      <c r="FG73" s="72"/>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65"/>
      <c r="GV73" s="65"/>
      <c r="GW73" s="65"/>
    </row>
    <row r="74" spans="1:205" ht="16.5" customHeight="1">
      <c r="A74" s="60"/>
      <c r="B74" s="69"/>
      <c r="C74" s="69"/>
      <c r="D74" s="489" t="str">
        <f ca="1">IF(FJ1=0,"","dan de berekening te zien of zoveel hulp dat het moet lukken. Deze")</f>
        <v/>
      </c>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137"/>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1"/>
      <c r="FG74" s="72"/>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65"/>
      <c r="GV74" s="65"/>
      <c r="GW74" s="65"/>
    </row>
    <row r="75" spans="1:205" ht="16.5" customHeight="1">
      <c r="A75" s="60"/>
      <c r="B75" s="69"/>
      <c r="C75" s="69"/>
      <c r="D75" s="489" t="str">
        <f ca="1">IF(FJ1=0,"","mogelijkheid werkt alleen als je zelf al iets hebt ingevuld en de docent")</f>
        <v/>
      </c>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137"/>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1"/>
      <c r="FG75" s="72"/>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65"/>
      <c r="GV75" s="65"/>
      <c r="GW75" s="65"/>
    </row>
    <row r="76" spans="1:205" ht="16.5" customHeight="1">
      <c r="A76" s="60"/>
      <c r="B76" s="69"/>
      <c r="C76" s="69"/>
      <c r="D76" s="489" t="str">
        <f ca="1">IF(FJ1=0,"","deze mogelijkheid niet heeft uitgeschakeld.")</f>
        <v/>
      </c>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137"/>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1"/>
      <c r="FG76" s="72"/>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65"/>
      <c r="GV76" s="65"/>
      <c r="GW76" s="65"/>
    </row>
    <row r="77" spans="1:205" ht="16.5" customHeight="1">
      <c r="A77" s="60"/>
      <c r="B77" s="69"/>
      <c r="C77" s="69"/>
      <c r="D77" s="489"/>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137"/>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1"/>
      <c r="FG77" s="72"/>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65"/>
      <c r="GV77" s="65"/>
      <c r="GW77" s="65"/>
    </row>
    <row r="78" spans="1:205" ht="16.5" customHeight="1">
      <c r="A78" s="60"/>
      <c r="B78" s="69"/>
      <c r="C78" s="69"/>
      <c r="D78" s="489" t="str">
        <f ca="1">IF(FJ1=0,"","Bij theorievragen wordt altijd met multiple-choice vragen gewerkt. Als je")</f>
        <v/>
      </c>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137"/>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1"/>
      <c r="FG78" s="72"/>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65"/>
      <c r="GV78" s="65"/>
      <c r="GW78" s="65"/>
    </row>
    <row r="79" spans="1:205" ht="16.5" customHeight="1">
      <c r="A79" s="60"/>
      <c r="B79" s="69"/>
      <c r="C79" s="69"/>
      <c r="D79" s="489" t="str">
        <f ca="1">IF(FJ1=0,"","op het antwoordvak klikt, zie je rechts een driehoekje verschijnen. Klik je")</f>
        <v/>
      </c>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137"/>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1"/>
      <c r="FG79" s="72"/>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65"/>
      <c r="GV79" s="65"/>
      <c r="GW79" s="65"/>
    </row>
    <row r="80" spans="1:205" ht="16.5" customHeight="1">
      <c r="A80" s="60"/>
      <c r="B80" s="69"/>
      <c r="C80" s="69"/>
      <c r="D80" s="489" t="str">
        <f ca="1">IF(FJ1=0,"","daarop, dan verschijnen de antwoordalternatieven. Vervolgens hoef je maar")</f>
        <v/>
      </c>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137"/>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1"/>
      <c r="FG80" s="72"/>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65"/>
      <c r="GV80" s="65"/>
      <c r="GW80" s="65"/>
    </row>
    <row r="81" spans="1:205" ht="16.5" customHeight="1">
      <c r="A81" s="60"/>
      <c r="B81" s="69"/>
      <c r="C81" s="69"/>
      <c r="D81" s="489" t="str">
        <f ca="1">IF(FJ1=0,"","te klikken op het antwoord dat je wilt geven. Wil je het verbeteren, ga dan")</f>
        <v/>
      </c>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137"/>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1"/>
      <c r="FG81" s="72"/>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65"/>
      <c r="GV81" s="65"/>
      <c r="GW81" s="65"/>
    </row>
    <row r="82" spans="1:205" ht="16.5" customHeight="1">
      <c r="A82" s="60"/>
      <c r="B82" s="69"/>
      <c r="C82" s="69"/>
      <c r="D82" s="489" t="str">
        <f ca="1">IF(FJ1=0,"","gewoon opnieuw op het vak gaan staan en kies voor een ander antwoord.")</f>
        <v/>
      </c>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137"/>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1"/>
      <c r="FG82" s="72"/>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65"/>
      <c r="GV82" s="65"/>
      <c r="GW82" s="65"/>
    </row>
    <row r="83" spans="1:205" ht="16.5" customHeight="1">
      <c r="A83" s="60"/>
      <c r="B83" s="69"/>
      <c r="C83" s="69"/>
      <c r="D83" s="484"/>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137"/>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1"/>
      <c r="FG83" s="72"/>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65"/>
      <c r="GV83" s="65"/>
      <c r="GW83" s="65"/>
    </row>
    <row r="84" spans="1:205" ht="16.5" customHeight="1">
      <c r="A84" s="60"/>
      <c r="B84" s="69"/>
      <c r="C84" s="69"/>
      <c r="D84" s="489" t="str">
        <f ca="1">IF(FJ1=0,"","Succes!")</f>
        <v/>
      </c>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137"/>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1"/>
      <c r="FG84" s="72"/>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65"/>
      <c r="GV84" s="65"/>
      <c r="GW84" s="65"/>
    </row>
    <row r="85" spans="1:205" ht="16.5" customHeight="1">
      <c r="A85" s="60"/>
      <c r="B85" s="69"/>
      <c r="C85" s="69"/>
      <c r="D85" s="74"/>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1"/>
      <c r="FG85" s="100"/>
      <c r="FH85" s="86"/>
      <c r="FI85" s="86"/>
      <c r="FJ85" s="86"/>
      <c r="FK85" s="86"/>
      <c r="FL85" s="86"/>
      <c r="FM85" s="86"/>
      <c r="FN85" s="86"/>
      <c r="FO85" s="86"/>
      <c r="FP85" s="86"/>
      <c r="FQ85" s="86"/>
      <c r="FR85" s="86"/>
      <c r="FS85" s="86"/>
      <c r="FT85" s="86"/>
      <c r="FU85" s="86"/>
      <c r="FV85" s="87"/>
      <c r="FW85" s="87"/>
      <c r="FX85" s="87"/>
      <c r="FY85" s="87"/>
      <c r="FZ85" s="87"/>
      <c r="GA85" s="87"/>
      <c r="GB85" s="87"/>
      <c r="GC85" s="87"/>
      <c r="GD85" s="87"/>
      <c r="GE85" s="87"/>
      <c r="GF85" s="87"/>
      <c r="GG85" s="87"/>
      <c r="GH85" s="87"/>
      <c r="GI85" s="87"/>
      <c r="GJ85" s="87"/>
      <c r="GK85" s="87"/>
      <c r="GV85" s="65"/>
      <c r="GW85" s="65"/>
    </row>
    <row r="86" spans="1:205" ht="16.2" customHeight="1">
      <c r="A86" s="60"/>
      <c r="B86" s="69"/>
      <c r="C86" s="69"/>
      <c r="D86" s="75"/>
      <c r="E86" s="75"/>
      <c r="F86" s="75"/>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6"/>
      <c r="FG86" s="77"/>
      <c r="FH86" s="86"/>
      <c r="FI86" s="86"/>
      <c r="FJ86" s="86"/>
      <c r="FK86" s="86"/>
      <c r="FL86" s="86"/>
      <c r="FM86" s="86"/>
      <c r="FN86" s="86"/>
      <c r="FO86" s="86"/>
      <c r="FP86" s="86"/>
      <c r="FQ86" s="86"/>
      <c r="FR86" s="86"/>
      <c r="FS86" s="85"/>
      <c r="FT86" s="86"/>
      <c r="FU86" s="86"/>
      <c r="FV86" s="87"/>
      <c r="FW86" s="87"/>
      <c r="FX86" s="87"/>
      <c r="FY86" s="87"/>
      <c r="FZ86" s="87"/>
      <c r="GA86" s="87"/>
      <c r="GB86" s="87"/>
      <c r="GC86" s="87"/>
      <c r="GD86" s="87"/>
      <c r="GE86" s="87"/>
      <c r="GF86" s="87"/>
      <c r="GG86" s="87"/>
      <c r="GH86" s="87"/>
      <c r="GI86" s="87"/>
      <c r="GJ86" s="87"/>
      <c r="GK86" s="87"/>
      <c r="GV86" s="65"/>
      <c r="GW86" s="65"/>
    </row>
    <row r="87" spans="1:205" ht="16.2" customHeight="1">
      <c r="A87" s="60"/>
      <c r="B87" s="69"/>
      <c r="C87" s="69"/>
      <c r="D87" s="75"/>
      <c r="E87" s="75"/>
      <c r="F87" s="75"/>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6"/>
      <c r="FG87" s="77"/>
      <c r="FH87" s="86"/>
      <c r="FI87" s="86"/>
      <c r="FJ87" s="86"/>
      <c r="FK87" s="86"/>
      <c r="FL87" s="86"/>
      <c r="FM87" s="86"/>
      <c r="FN87" s="86"/>
      <c r="FO87" s="86"/>
      <c r="FP87" s="86"/>
      <c r="FQ87" s="86"/>
      <c r="FR87" s="86"/>
      <c r="FS87" s="85"/>
      <c r="FT87" s="86"/>
      <c r="FU87" s="86"/>
      <c r="FV87" s="87"/>
      <c r="FW87" s="87"/>
      <c r="FX87" s="87"/>
      <c r="FY87" s="87"/>
      <c r="FZ87" s="87"/>
      <c r="GA87" s="87"/>
      <c r="GB87" s="87"/>
      <c r="GC87" s="87"/>
      <c r="GD87" s="87"/>
      <c r="GE87" s="87"/>
      <c r="GF87" s="87"/>
      <c r="GG87" s="87"/>
      <c r="GH87" s="87"/>
      <c r="GI87" s="87"/>
      <c r="GJ87" s="87"/>
      <c r="GK87" s="87"/>
      <c r="GV87" s="65"/>
      <c r="GW87" s="65"/>
    </row>
    <row r="88" spans="1:205" ht="16.2" customHeight="1">
      <c r="A88" s="60"/>
      <c r="B88" s="69"/>
      <c r="C88" s="69"/>
      <c r="D88" s="75"/>
      <c r="E88" s="75"/>
      <c r="F88" s="75"/>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6"/>
      <c r="FG88" s="77"/>
      <c r="FH88" s="86"/>
      <c r="FI88" s="86"/>
      <c r="FJ88" s="86"/>
      <c r="FK88" s="86"/>
      <c r="FL88" s="86"/>
      <c r="FM88" s="86"/>
      <c r="FN88" s="86"/>
      <c r="FO88" s="86"/>
      <c r="FP88" s="86"/>
      <c r="FQ88" s="86"/>
      <c r="FR88" s="86"/>
      <c r="FS88" s="85"/>
      <c r="FT88" s="86"/>
      <c r="FU88" s="86"/>
      <c r="FV88" s="87"/>
      <c r="FW88" s="87"/>
      <c r="FX88" s="87"/>
      <c r="FY88" s="87"/>
      <c r="FZ88" s="87"/>
      <c r="GA88" s="87"/>
      <c r="GB88" s="87"/>
      <c r="GC88" s="87"/>
      <c r="GD88" s="87"/>
      <c r="GE88" s="87"/>
      <c r="GF88" s="87"/>
      <c r="GG88" s="87"/>
      <c r="GH88" s="87"/>
      <c r="GI88" s="87"/>
      <c r="GJ88" s="87"/>
      <c r="GK88" s="87"/>
      <c r="GV88" s="65"/>
      <c r="GW88" s="65"/>
    </row>
    <row r="89" spans="1:205" ht="16.2" customHeight="1">
      <c r="A89" s="60"/>
      <c r="B89" s="69"/>
      <c r="C89" s="69"/>
      <c r="D89" s="75"/>
      <c r="E89" s="75"/>
      <c r="F89" s="75"/>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6"/>
      <c r="FG89" s="77"/>
      <c r="FH89" s="86"/>
      <c r="FI89" s="86"/>
      <c r="FJ89" s="86"/>
      <c r="FK89" s="86"/>
      <c r="FL89" s="86"/>
      <c r="FM89" s="86"/>
      <c r="FN89" s="86"/>
      <c r="FO89" s="86"/>
      <c r="FP89" s="86"/>
      <c r="FQ89" s="86"/>
      <c r="FR89" s="86"/>
      <c r="FS89" s="85"/>
      <c r="FT89" s="86"/>
      <c r="FU89" s="86"/>
      <c r="FV89" s="87"/>
      <c r="FW89" s="87"/>
      <c r="FX89" s="87"/>
      <c r="FY89" s="87"/>
      <c r="FZ89" s="87"/>
      <c r="GA89" s="87"/>
      <c r="GB89" s="87"/>
      <c r="GC89" s="87"/>
      <c r="GD89" s="87"/>
      <c r="GE89" s="87"/>
      <c r="GF89" s="87"/>
      <c r="GG89" s="87"/>
      <c r="GH89" s="87"/>
      <c r="GI89" s="87"/>
      <c r="GJ89" s="87"/>
      <c r="GK89" s="87"/>
      <c r="GV89" s="65"/>
      <c r="GW89" s="65"/>
    </row>
    <row r="90" spans="1:205" ht="16.2" customHeight="1">
      <c r="A90" s="60"/>
      <c r="B90" s="69"/>
      <c r="C90" s="69"/>
      <c r="D90" s="75"/>
      <c r="E90" s="75"/>
      <c r="F90" s="75"/>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6"/>
      <c r="FG90" s="77"/>
      <c r="FH90" s="86"/>
      <c r="FI90" s="86"/>
      <c r="FJ90" s="86"/>
      <c r="FK90" s="86"/>
      <c r="FL90" s="86"/>
      <c r="FM90" s="86"/>
      <c r="FN90" s="86"/>
      <c r="FO90" s="86"/>
      <c r="FP90" s="86"/>
      <c r="FQ90" s="86"/>
      <c r="FR90" s="86"/>
      <c r="FS90" s="85"/>
      <c r="FT90" s="86"/>
      <c r="FU90" s="86"/>
      <c r="FV90" s="87"/>
      <c r="FW90" s="87"/>
      <c r="FX90" s="87"/>
      <c r="FY90" s="87"/>
      <c r="FZ90" s="87"/>
      <c r="GA90" s="87"/>
      <c r="GB90" s="87"/>
      <c r="GC90" s="87"/>
      <c r="GD90" s="87"/>
      <c r="GE90" s="87"/>
      <c r="GF90" s="87"/>
      <c r="GG90" s="87"/>
      <c r="GH90" s="87"/>
      <c r="GI90" s="87"/>
      <c r="GJ90" s="87"/>
      <c r="GK90" s="87"/>
      <c r="GV90" s="65"/>
      <c r="GW90" s="65"/>
    </row>
    <row r="91" spans="1:205" ht="16.2" customHeight="1">
      <c r="A91" s="60"/>
      <c r="B91" s="69"/>
      <c r="C91" s="69"/>
      <c r="D91" s="75"/>
      <c r="E91" s="75"/>
      <c r="F91" s="75"/>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6"/>
      <c r="FG91" s="77"/>
      <c r="FH91" s="86"/>
      <c r="FI91" s="86"/>
      <c r="FJ91" s="86"/>
      <c r="FK91" s="86"/>
      <c r="FL91" s="86"/>
      <c r="FM91" s="86"/>
      <c r="FN91" s="86"/>
      <c r="FO91" s="86"/>
      <c r="FP91" s="86"/>
      <c r="FQ91" s="86"/>
      <c r="FR91" s="86"/>
      <c r="FS91" s="85"/>
      <c r="FT91" s="86"/>
      <c r="FU91" s="86"/>
      <c r="FV91" s="87"/>
      <c r="FW91" s="87"/>
      <c r="FX91" s="87"/>
      <c r="FY91" s="87"/>
      <c r="FZ91" s="87"/>
      <c r="GA91" s="87"/>
      <c r="GB91" s="87"/>
      <c r="GC91" s="87"/>
      <c r="GD91" s="87"/>
      <c r="GE91" s="87"/>
      <c r="GF91" s="87"/>
      <c r="GG91" s="87"/>
      <c r="GH91" s="87"/>
      <c r="GI91" s="87"/>
      <c r="GJ91" s="87"/>
      <c r="GK91" s="87"/>
      <c r="GV91" s="65"/>
      <c r="GW91" s="65"/>
    </row>
    <row r="92" spans="1:205" ht="16.2" customHeight="1">
      <c r="A92" s="60"/>
      <c r="B92" s="69"/>
      <c r="C92" s="69"/>
      <c r="D92" s="75"/>
      <c r="E92" s="75"/>
      <c r="F92" s="75"/>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6"/>
      <c r="FG92" s="77"/>
      <c r="FH92" s="86"/>
      <c r="FI92" s="86"/>
      <c r="FJ92" s="86"/>
      <c r="FK92" s="86"/>
      <c r="FL92" s="86"/>
      <c r="FM92" s="86"/>
      <c r="FN92" s="86"/>
      <c r="FO92" s="86"/>
      <c r="FP92" s="86"/>
      <c r="FQ92" s="86"/>
      <c r="FR92" s="86"/>
      <c r="FS92" s="85"/>
      <c r="FT92" s="86"/>
      <c r="FU92" s="86"/>
      <c r="FV92" s="87"/>
      <c r="FW92" s="87"/>
      <c r="FX92" s="87"/>
      <c r="FY92" s="87"/>
      <c r="FZ92" s="87"/>
      <c r="GA92" s="87"/>
      <c r="GB92" s="87"/>
      <c r="GC92" s="87"/>
      <c r="GD92" s="87"/>
      <c r="GE92" s="87"/>
      <c r="GF92" s="87"/>
      <c r="GG92" s="87"/>
      <c r="GH92" s="87"/>
      <c r="GI92" s="87"/>
      <c r="GJ92" s="87"/>
      <c r="GK92" s="87"/>
      <c r="GV92" s="65"/>
      <c r="GW92" s="65"/>
    </row>
    <row r="93" spans="1:205" ht="16.2" customHeight="1">
      <c r="A93" s="60"/>
      <c r="B93" s="69"/>
      <c r="C93" s="69"/>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6"/>
      <c r="FG93" s="77"/>
      <c r="FH93" s="86"/>
      <c r="FI93" s="86"/>
      <c r="FJ93" s="86"/>
      <c r="FK93" s="86"/>
      <c r="FL93" s="86"/>
      <c r="FM93" s="86"/>
      <c r="FN93" s="86"/>
      <c r="FO93" s="86"/>
      <c r="FP93" s="86"/>
      <c r="FQ93" s="86"/>
      <c r="FR93" s="86"/>
      <c r="FS93" s="85"/>
      <c r="FT93" s="86"/>
      <c r="FU93" s="86"/>
      <c r="FV93" s="87"/>
      <c r="FW93" s="87"/>
      <c r="FX93" s="87"/>
      <c r="FY93" s="87"/>
      <c r="FZ93" s="87"/>
      <c r="GA93" s="87"/>
      <c r="GB93" s="87"/>
      <c r="GC93" s="87"/>
      <c r="GD93" s="87"/>
      <c r="GE93" s="87"/>
      <c r="GF93" s="87"/>
      <c r="GG93" s="87"/>
      <c r="GH93" s="87"/>
      <c r="GI93" s="87"/>
      <c r="GJ93" s="87"/>
      <c r="GK93" s="87"/>
      <c r="GV93" s="65"/>
      <c r="GW93" s="65"/>
    </row>
    <row r="94" spans="1:205" ht="16.2" customHeight="1">
      <c r="A94" s="60"/>
      <c r="B94" s="69"/>
      <c r="C94" s="69"/>
      <c r="D94" s="75"/>
      <c r="E94" s="75"/>
      <c r="F94" s="75"/>
      <c r="G94" s="75"/>
      <c r="H94" s="75"/>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6"/>
      <c r="FG94" s="77"/>
      <c r="FH94" s="86"/>
      <c r="FI94" s="86"/>
      <c r="FJ94" s="86"/>
      <c r="FK94" s="86"/>
      <c r="FL94" s="86"/>
      <c r="FM94" s="86"/>
      <c r="FN94" s="86"/>
      <c r="FO94" s="86"/>
      <c r="FP94" s="86"/>
      <c r="FQ94" s="86"/>
      <c r="FR94" s="86"/>
      <c r="FS94" s="85"/>
      <c r="FT94" s="86"/>
      <c r="FU94" s="86"/>
      <c r="FV94" s="87"/>
      <c r="FW94" s="87"/>
      <c r="FX94" s="87"/>
      <c r="FY94" s="87"/>
      <c r="FZ94" s="87"/>
      <c r="GA94" s="87"/>
      <c r="GB94" s="87"/>
      <c r="GC94" s="87"/>
      <c r="GD94" s="87"/>
      <c r="GE94" s="87"/>
      <c r="GF94" s="87"/>
      <c r="GG94" s="87"/>
      <c r="GH94" s="87"/>
      <c r="GI94" s="87"/>
      <c r="GJ94" s="87"/>
      <c r="GK94" s="87"/>
      <c r="GV94" s="65"/>
      <c r="GW94" s="65"/>
    </row>
    <row r="95" spans="1:205" ht="16.2" customHeight="1">
      <c r="A95" s="60"/>
      <c r="B95" s="69"/>
      <c r="C95" s="69"/>
      <c r="D95" s="75"/>
      <c r="E95" s="75"/>
      <c r="F95" s="75"/>
      <c r="G95" s="75"/>
      <c r="H95" s="75"/>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6"/>
      <c r="FG95" s="77"/>
      <c r="FH95" s="86"/>
      <c r="FI95" s="86"/>
      <c r="FJ95" s="86"/>
      <c r="FK95" s="86"/>
      <c r="FL95" s="86"/>
      <c r="FM95" s="86"/>
      <c r="FN95" s="86"/>
      <c r="FO95" s="86"/>
      <c r="FP95" s="86"/>
      <c r="FQ95" s="86"/>
      <c r="FR95" s="86"/>
      <c r="FS95" s="85"/>
      <c r="FT95" s="86"/>
      <c r="FU95" s="86"/>
      <c r="FV95" s="87"/>
      <c r="FW95" s="87"/>
      <c r="FX95" s="87"/>
      <c r="FY95" s="87"/>
      <c r="FZ95" s="87"/>
      <c r="GA95" s="87"/>
      <c r="GB95" s="87"/>
      <c r="GC95" s="87"/>
      <c r="GD95" s="87"/>
      <c r="GE95" s="87"/>
      <c r="GF95" s="87"/>
      <c r="GG95" s="87"/>
      <c r="GH95" s="87"/>
      <c r="GI95" s="87"/>
      <c r="GJ95" s="87"/>
      <c r="GK95" s="87"/>
      <c r="GV95" s="65"/>
      <c r="GW95" s="65"/>
    </row>
    <row r="96" spans="1:205" ht="16.2" customHeight="1">
      <c r="A96" s="60"/>
      <c r="B96" s="69"/>
      <c r="C96" s="69"/>
      <c r="D96" s="75"/>
      <c r="E96" s="75"/>
      <c r="F96" s="75"/>
      <c r="G96" s="75"/>
      <c r="H96" s="75"/>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6"/>
      <c r="FG96" s="77"/>
      <c r="FH96" s="86"/>
      <c r="FI96" s="86"/>
      <c r="FJ96" s="86"/>
      <c r="FK96" s="86"/>
      <c r="FL96" s="86"/>
      <c r="FM96" s="86"/>
      <c r="FN96" s="86"/>
      <c r="FO96" s="86"/>
      <c r="FP96" s="86"/>
      <c r="FQ96" s="86"/>
      <c r="FR96" s="86"/>
      <c r="FS96" s="85"/>
      <c r="FT96" s="86"/>
      <c r="FU96" s="86"/>
      <c r="FV96" s="87"/>
      <c r="FW96" s="87"/>
      <c r="FX96" s="87"/>
      <c r="FY96" s="87"/>
      <c r="FZ96" s="87"/>
      <c r="GA96" s="87"/>
      <c r="GB96" s="87"/>
      <c r="GC96" s="87"/>
      <c r="GD96" s="87"/>
      <c r="GE96" s="87"/>
      <c r="GF96" s="87"/>
      <c r="GG96" s="87"/>
      <c r="GH96" s="87"/>
      <c r="GI96" s="87"/>
      <c r="GJ96" s="87"/>
      <c r="GK96" s="87"/>
      <c r="GV96" s="65"/>
      <c r="GW96" s="65"/>
    </row>
    <row r="97" spans="1:205" ht="16.2" customHeight="1">
      <c r="A97" s="60"/>
      <c r="B97" s="69"/>
      <c r="C97" s="69"/>
      <c r="D97" s="75"/>
      <c r="E97" s="75"/>
      <c r="F97" s="75"/>
      <c r="G97" s="75"/>
      <c r="H97" s="75"/>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6"/>
      <c r="FG97" s="77"/>
      <c r="FH97" s="86"/>
      <c r="FI97" s="86"/>
      <c r="FJ97" s="86"/>
      <c r="FK97" s="86"/>
      <c r="FL97" s="86"/>
      <c r="FM97" s="86"/>
      <c r="FN97" s="86"/>
      <c r="FO97" s="86"/>
      <c r="FP97" s="86"/>
      <c r="FQ97" s="86"/>
      <c r="FR97" s="86"/>
      <c r="FS97" s="85"/>
      <c r="FT97" s="86"/>
      <c r="FU97" s="86"/>
      <c r="FV97" s="87"/>
      <c r="FW97" s="87"/>
      <c r="FX97" s="87"/>
      <c r="FY97" s="87"/>
      <c r="FZ97" s="87"/>
      <c r="GA97" s="87"/>
      <c r="GB97" s="87"/>
      <c r="GC97" s="87"/>
      <c r="GD97" s="87"/>
      <c r="GE97" s="87"/>
      <c r="GF97" s="87"/>
      <c r="GG97" s="87"/>
      <c r="GH97" s="87"/>
      <c r="GI97" s="87"/>
      <c r="GJ97" s="87"/>
      <c r="GK97" s="87"/>
      <c r="GV97" s="65"/>
      <c r="GW97" s="65"/>
    </row>
    <row r="98" spans="1:205">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c r="CA98" s="139"/>
      <c r="CB98" s="139"/>
      <c r="CC98" s="139"/>
      <c r="CD98" s="139"/>
      <c r="CE98" s="139"/>
      <c r="CF98" s="139"/>
      <c r="CG98" s="139"/>
      <c r="CH98" s="139"/>
      <c r="CI98" s="139"/>
      <c r="CJ98" s="139"/>
      <c r="CK98" s="139"/>
      <c r="CL98" s="139"/>
      <c r="CM98" s="139"/>
      <c r="CN98" s="139"/>
      <c r="CO98" s="139"/>
      <c r="CP98" s="139"/>
      <c r="CQ98" s="139"/>
      <c r="CR98" s="139"/>
      <c r="CS98" s="139"/>
      <c r="CT98" s="139"/>
      <c r="CU98" s="139"/>
      <c r="CV98" s="139"/>
      <c r="CW98" s="139"/>
      <c r="CX98" s="139"/>
      <c r="CY98" s="139"/>
      <c r="CZ98" s="139"/>
      <c r="DA98" s="139"/>
      <c r="DB98" s="139"/>
      <c r="DC98" s="139"/>
      <c r="DD98" s="139"/>
      <c r="DE98" s="139"/>
      <c r="DF98" s="139"/>
      <c r="DG98" s="139"/>
      <c r="DH98" s="139"/>
      <c r="DI98" s="139"/>
      <c r="DJ98" s="139"/>
      <c r="DK98" s="139"/>
      <c r="DL98" s="139"/>
      <c r="DM98" s="139"/>
      <c r="DN98" s="139"/>
      <c r="DO98" s="139"/>
      <c r="DP98" s="139"/>
      <c r="DQ98" s="139"/>
      <c r="DR98" s="139"/>
      <c r="DS98" s="139"/>
      <c r="DT98" s="139"/>
      <c r="DU98" s="139"/>
      <c r="DV98" s="139"/>
      <c r="DW98" s="139"/>
      <c r="DX98" s="139"/>
      <c r="DY98" s="139"/>
      <c r="DZ98" s="139"/>
      <c r="EA98" s="139"/>
      <c r="EB98" s="139"/>
      <c r="EC98" s="139"/>
      <c r="ED98" s="139"/>
      <c r="EE98" s="139"/>
      <c r="EF98" s="139"/>
      <c r="EG98" s="139"/>
      <c r="EH98" s="139"/>
      <c r="EI98" s="139"/>
      <c r="EJ98" s="139"/>
      <c r="EK98" s="139"/>
      <c r="EL98" s="139"/>
      <c r="EM98" s="139"/>
      <c r="EN98" s="139"/>
      <c r="EO98" s="139"/>
      <c r="EP98" s="139"/>
      <c r="EQ98" s="139"/>
      <c r="ER98" s="139"/>
      <c r="ES98" s="139"/>
      <c r="ET98" s="139"/>
      <c r="EU98" s="139"/>
      <c r="EV98" s="139"/>
      <c r="EW98" s="139"/>
      <c r="EX98" s="139"/>
      <c r="EY98" s="139"/>
      <c r="EZ98" s="139"/>
      <c r="FA98" s="139"/>
      <c r="FB98" s="139"/>
      <c r="FC98" s="139"/>
      <c r="FD98" s="139"/>
      <c r="FE98" s="139"/>
      <c r="FF98" s="139"/>
      <c r="FG98" s="139"/>
      <c r="FH98" s="86"/>
      <c r="FI98" s="86"/>
      <c r="FJ98" s="86"/>
      <c r="FK98" s="86"/>
      <c r="FL98" s="86"/>
      <c r="FM98" s="86"/>
      <c r="FN98" s="86"/>
      <c r="FO98" s="86"/>
      <c r="FP98" s="86"/>
      <c r="FQ98" s="86"/>
      <c r="FR98" s="86"/>
      <c r="FS98" s="86"/>
      <c r="FT98" s="86"/>
      <c r="FU98" s="86"/>
      <c r="FV98" s="87"/>
      <c r="FW98" s="87"/>
      <c r="FX98" s="87"/>
      <c r="FY98" s="87"/>
      <c r="FZ98" s="87"/>
      <c r="GA98" s="87"/>
      <c r="GB98" s="87"/>
      <c r="GC98" s="87"/>
      <c r="GD98" s="87"/>
      <c r="GE98" s="87"/>
      <c r="GF98" s="87"/>
      <c r="GG98" s="87"/>
      <c r="GH98" s="87"/>
      <c r="GI98" s="87"/>
      <c r="GJ98" s="87"/>
      <c r="GK98" s="87"/>
    </row>
    <row r="99" spans="1:205">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c r="CA99" s="139"/>
      <c r="CB99" s="139"/>
      <c r="CC99" s="139"/>
      <c r="CD99" s="139"/>
      <c r="CE99" s="139"/>
      <c r="CF99" s="139"/>
      <c r="CG99" s="139"/>
      <c r="CH99" s="139"/>
      <c r="CI99" s="139"/>
      <c r="CJ99" s="139"/>
      <c r="CK99" s="139"/>
      <c r="CL99" s="139"/>
      <c r="CM99" s="139"/>
      <c r="CN99" s="139"/>
      <c r="CO99" s="139"/>
      <c r="CP99" s="139"/>
      <c r="CQ99" s="139"/>
      <c r="CR99" s="139"/>
      <c r="CS99" s="139"/>
      <c r="CT99" s="139"/>
      <c r="CU99" s="139"/>
      <c r="CV99" s="139"/>
      <c r="CW99" s="139"/>
      <c r="CX99" s="139"/>
      <c r="CY99" s="139"/>
      <c r="CZ99" s="139"/>
      <c r="DA99" s="139"/>
      <c r="DB99" s="139"/>
      <c r="DC99" s="139"/>
      <c r="DD99" s="139"/>
      <c r="DE99" s="139"/>
      <c r="DF99" s="139"/>
      <c r="DG99" s="139"/>
      <c r="DH99" s="139"/>
      <c r="DI99" s="139"/>
      <c r="DJ99" s="139"/>
      <c r="DK99" s="139"/>
      <c r="DL99" s="139"/>
      <c r="DM99" s="139"/>
      <c r="DN99" s="139"/>
      <c r="DO99" s="139"/>
      <c r="DP99" s="139"/>
      <c r="DQ99" s="139"/>
      <c r="DR99" s="139"/>
      <c r="DS99" s="139"/>
      <c r="DT99" s="139"/>
      <c r="DU99" s="139"/>
      <c r="DV99" s="139"/>
      <c r="DW99" s="139"/>
      <c r="DX99" s="139"/>
      <c r="DY99" s="139"/>
      <c r="DZ99" s="139"/>
      <c r="EA99" s="139"/>
      <c r="EB99" s="139"/>
      <c r="EC99" s="139"/>
      <c r="ED99" s="139"/>
      <c r="EE99" s="139"/>
      <c r="EF99" s="139"/>
      <c r="EG99" s="139"/>
      <c r="EH99" s="139"/>
      <c r="EI99" s="139"/>
      <c r="EJ99" s="139"/>
      <c r="EK99" s="139"/>
      <c r="EL99" s="139"/>
      <c r="EM99" s="139"/>
      <c r="EN99" s="139"/>
      <c r="EO99" s="139"/>
      <c r="EP99" s="139"/>
      <c r="EQ99" s="139"/>
      <c r="ER99" s="139"/>
      <c r="ES99" s="139"/>
      <c r="ET99" s="139"/>
      <c r="EU99" s="139"/>
      <c r="EV99" s="139"/>
      <c r="EW99" s="139"/>
      <c r="EX99" s="139"/>
      <c r="EY99" s="139"/>
      <c r="EZ99" s="139"/>
      <c r="FA99" s="139"/>
      <c r="FB99" s="139"/>
      <c r="FC99" s="139"/>
      <c r="FD99" s="139"/>
      <c r="FE99" s="139"/>
      <c r="FF99" s="139"/>
      <c r="FG99" s="139"/>
      <c r="FH99" s="86"/>
      <c r="FI99" s="86"/>
      <c r="FJ99" s="86"/>
      <c r="FK99" s="86"/>
      <c r="FL99" s="86"/>
      <c r="FM99" s="86"/>
      <c r="FN99" s="86"/>
      <c r="FO99" s="86"/>
      <c r="FP99" s="86"/>
      <c r="FQ99" s="86"/>
      <c r="FR99" s="86"/>
      <c r="FS99" s="86"/>
      <c r="FT99" s="86"/>
      <c r="FU99" s="86"/>
      <c r="FV99" s="87"/>
      <c r="FW99" s="87"/>
      <c r="FX99" s="87"/>
      <c r="FY99" s="87"/>
      <c r="FZ99" s="87"/>
      <c r="GA99" s="87"/>
      <c r="GB99" s="87"/>
      <c r="GC99" s="87"/>
      <c r="GD99" s="87"/>
      <c r="GE99" s="87"/>
      <c r="GF99" s="87"/>
      <c r="GG99" s="87"/>
      <c r="GH99" s="87"/>
      <c r="GI99" s="87"/>
      <c r="GJ99" s="87"/>
      <c r="GK99" s="87"/>
    </row>
    <row r="100" spans="1:205">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c r="CA100" s="139"/>
      <c r="CB100" s="139"/>
      <c r="CC100" s="139"/>
      <c r="CD100" s="139"/>
      <c r="CE100" s="139"/>
      <c r="CF100" s="139"/>
      <c r="CG100" s="139"/>
      <c r="CH100" s="139"/>
      <c r="CI100" s="139"/>
      <c r="CJ100" s="139"/>
      <c r="CK100" s="139"/>
      <c r="CL100" s="139"/>
      <c r="CM100" s="139"/>
      <c r="CN100" s="139"/>
      <c r="CO100" s="139"/>
      <c r="CP100" s="139"/>
      <c r="CQ100" s="139"/>
      <c r="CR100" s="139"/>
      <c r="CS100" s="139"/>
      <c r="CT100" s="139"/>
      <c r="CU100" s="139"/>
      <c r="CV100" s="139"/>
      <c r="CW100" s="139"/>
      <c r="CX100" s="139"/>
      <c r="CY100" s="139"/>
      <c r="CZ100" s="139"/>
      <c r="DA100" s="139"/>
      <c r="DB100" s="139"/>
      <c r="DC100" s="139"/>
      <c r="DD100" s="139"/>
      <c r="DE100" s="139"/>
      <c r="DF100" s="139"/>
      <c r="DG100" s="139"/>
      <c r="DH100" s="139"/>
      <c r="DI100" s="139"/>
      <c r="DJ100" s="139"/>
      <c r="DK100" s="139"/>
      <c r="DL100" s="139"/>
      <c r="DM100" s="139"/>
      <c r="DN100" s="139"/>
      <c r="DO100" s="139"/>
      <c r="DP100" s="139"/>
      <c r="DQ100" s="139"/>
      <c r="DR100" s="139"/>
      <c r="DS100" s="139"/>
      <c r="DT100" s="139"/>
      <c r="DU100" s="139"/>
      <c r="DV100" s="139"/>
      <c r="DW100" s="139"/>
      <c r="DX100" s="139"/>
      <c r="DY100" s="139"/>
      <c r="DZ100" s="139"/>
      <c r="EA100" s="139"/>
      <c r="EB100" s="139"/>
      <c r="EC100" s="139"/>
      <c r="ED100" s="139"/>
      <c r="EE100" s="139"/>
      <c r="EF100" s="139"/>
      <c r="EG100" s="139"/>
      <c r="EH100" s="139"/>
      <c r="EI100" s="139"/>
      <c r="EJ100" s="139"/>
      <c r="EK100" s="139"/>
      <c r="EL100" s="139"/>
      <c r="EM100" s="139"/>
      <c r="EN100" s="139"/>
      <c r="EO100" s="139"/>
      <c r="EP100" s="139"/>
      <c r="EQ100" s="139"/>
      <c r="ER100" s="139"/>
      <c r="ES100" s="139"/>
      <c r="ET100" s="139"/>
      <c r="EU100" s="139"/>
      <c r="EV100" s="139"/>
      <c r="EW100" s="139"/>
      <c r="EX100" s="139"/>
      <c r="EY100" s="139"/>
      <c r="EZ100" s="139"/>
      <c r="FA100" s="139"/>
      <c r="FB100" s="139"/>
      <c r="FC100" s="139"/>
      <c r="FD100" s="139"/>
      <c r="FE100" s="139"/>
      <c r="FF100" s="139"/>
      <c r="FG100" s="139"/>
      <c r="FH100" s="86"/>
      <c r="FI100" s="86"/>
      <c r="FJ100" s="86"/>
      <c r="FK100" s="86"/>
      <c r="FL100" s="86"/>
      <c r="FM100" s="86"/>
      <c r="FN100" s="86"/>
      <c r="FO100" s="86"/>
      <c r="FP100" s="86"/>
      <c r="FQ100" s="86"/>
      <c r="FR100" s="86"/>
      <c r="FS100" s="86"/>
      <c r="FT100" s="86"/>
      <c r="FU100" s="86"/>
      <c r="FV100" s="87"/>
      <c r="FW100" s="87"/>
      <c r="FX100" s="87"/>
      <c r="FY100" s="87"/>
      <c r="FZ100" s="87"/>
      <c r="GA100" s="87"/>
      <c r="GB100" s="87"/>
      <c r="GC100" s="87"/>
      <c r="GD100" s="87"/>
      <c r="GE100" s="87"/>
      <c r="GF100" s="87"/>
      <c r="GG100" s="87"/>
      <c r="GH100" s="87"/>
      <c r="GI100" s="87"/>
      <c r="GJ100" s="87"/>
      <c r="GK100" s="87"/>
    </row>
    <row r="101" spans="1:205">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c r="CA101" s="139"/>
      <c r="CB101" s="139"/>
      <c r="CC101" s="139"/>
      <c r="CD101" s="139"/>
      <c r="CE101" s="139"/>
      <c r="CF101" s="139"/>
      <c r="CG101" s="139"/>
      <c r="CH101" s="139"/>
      <c r="CI101" s="139"/>
      <c r="CJ101" s="139"/>
      <c r="CK101" s="139"/>
      <c r="CL101" s="139"/>
      <c r="CM101" s="139"/>
      <c r="CN101" s="139"/>
      <c r="CO101" s="139"/>
      <c r="CP101" s="139"/>
      <c r="CQ101" s="139"/>
      <c r="CR101" s="139"/>
      <c r="CS101" s="139"/>
      <c r="CT101" s="139"/>
      <c r="CU101" s="139"/>
      <c r="CV101" s="139"/>
      <c r="CW101" s="139"/>
      <c r="CX101" s="139"/>
      <c r="CY101" s="139"/>
      <c r="CZ101" s="139"/>
      <c r="DA101" s="139"/>
      <c r="DB101" s="139"/>
      <c r="DC101" s="139"/>
      <c r="DD101" s="139"/>
      <c r="DE101" s="139"/>
      <c r="DF101" s="139"/>
      <c r="DG101" s="139"/>
      <c r="DH101" s="139"/>
      <c r="DI101" s="139"/>
      <c r="DJ101" s="139"/>
      <c r="DK101" s="139"/>
      <c r="DL101" s="139"/>
      <c r="DM101" s="139"/>
      <c r="DN101" s="139"/>
      <c r="DO101" s="139"/>
      <c r="DP101" s="139"/>
      <c r="DQ101" s="139"/>
      <c r="DR101" s="139"/>
      <c r="DS101" s="139"/>
      <c r="DT101" s="139"/>
      <c r="DU101" s="139"/>
      <c r="DV101" s="139"/>
      <c r="DW101" s="139"/>
      <c r="DX101" s="139"/>
      <c r="DY101" s="139"/>
      <c r="DZ101" s="139"/>
      <c r="EA101" s="139"/>
      <c r="EB101" s="139"/>
      <c r="EC101" s="139"/>
      <c r="ED101" s="139"/>
      <c r="EE101" s="139"/>
      <c r="EF101" s="139"/>
      <c r="EG101" s="139"/>
      <c r="EH101" s="139"/>
      <c r="EI101" s="139"/>
      <c r="EJ101" s="139"/>
      <c r="EK101" s="139"/>
      <c r="EL101" s="139"/>
      <c r="EM101" s="139"/>
      <c r="EN101" s="139"/>
      <c r="EO101" s="139"/>
      <c r="EP101" s="139"/>
      <c r="EQ101" s="139"/>
      <c r="ER101" s="139"/>
      <c r="ES101" s="139"/>
      <c r="ET101" s="139"/>
      <c r="EU101" s="139"/>
      <c r="EV101" s="139"/>
      <c r="EW101" s="139"/>
      <c r="EX101" s="139"/>
      <c r="EY101" s="139"/>
      <c r="EZ101" s="139"/>
      <c r="FA101" s="139"/>
      <c r="FB101" s="139"/>
      <c r="FC101" s="139"/>
      <c r="FD101" s="139"/>
      <c r="FE101" s="139"/>
      <c r="FF101" s="139"/>
      <c r="FG101" s="139"/>
      <c r="FH101" s="86"/>
      <c r="FI101" s="86"/>
      <c r="FJ101" s="86"/>
      <c r="FK101" s="86"/>
      <c r="FL101" s="86"/>
      <c r="FM101" s="86"/>
      <c r="FN101" s="86"/>
      <c r="FO101" s="86"/>
      <c r="FP101" s="86"/>
      <c r="FQ101" s="86"/>
      <c r="FR101" s="86"/>
      <c r="FS101" s="86"/>
      <c r="FT101" s="86"/>
      <c r="FU101" s="86"/>
      <c r="FV101" s="87"/>
      <c r="FW101" s="87"/>
      <c r="FX101" s="87"/>
      <c r="FY101" s="87"/>
      <c r="FZ101" s="87"/>
      <c r="GA101" s="87"/>
      <c r="GB101" s="87"/>
      <c r="GC101" s="87"/>
      <c r="GD101" s="87"/>
      <c r="GE101" s="87"/>
      <c r="GF101" s="87"/>
      <c r="GG101" s="87"/>
      <c r="GH101" s="87"/>
      <c r="GI101" s="87"/>
      <c r="GJ101" s="87"/>
      <c r="GK101" s="87"/>
    </row>
    <row r="102" spans="1:205">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86"/>
      <c r="FI102" s="86"/>
      <c r="FJ102" s="86"/>
      <c r="FK102" s="86"/>
      <c r="FL102" s="86"/>
      <c r="FM102" s="86"/>
      <c r="FN102" s="86"/>
      <c r="FO102" s="86"/>
      <c r="FP102" s="86"/>
      <c r="FQ102" s="86"/>
      <c r="FR102" s="86"/>
      <c r="FS102" s="86"/>
      <c r="FT102" s="86"/>
      <c r="FU102" s="86"/>
      <c r="FV102" s="87"/>
      <c r="FW102" s="87"/>
      <c r="FX102" s="87"/>
      <c r="FY102" s="87"/>
      <c r="FZ102" s="87"/>
      <c r="GA102" s="87"/>
      <c r="GB102" s="87"/>
      <c r="GC102" s="87"/>
      <c r="GD102" s="87"/>
      <c r="GE102" s="87"/>
      <c r="GF102" s="87"/>
      <c r="GG102" s="87"/>
      <c r="GH102" s="87"/>
      <c r="GI102" s="87"/>
      <c r="GJ102" s="87"/>
      <c r="GK102" s="87"/>
    </row>
    <row r="103" spans="1:205">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86"/>
      <c r="FI103" s="86"/>
      <c r="FJ103" s="86"/>
      <c r="FK103" s="86"/>
      <c r="FL103" s="86"/>
      <c r="FM103" s="86"/>
      <c r="FN103" s="86"/>
      <c r="FO103" s="86"/>
      <c r="FP103" s="86"/>
      <c r="FQ103" s="86"/>
      <c r="FR103" s="86"/>
      <c r="FS103" s="86"/>
      <c r="FT103" s="86"/>
      <c r="FU103" s="86"/>
      <c r="FV103" s="87"/>
      <c r="FW103" s="87"/>
      <c r="FX103" s="87"/>
      <c r="FY103" s="87"/>
      <c r="FZ103" s="87"/>
      <c r="GA103" s="87"/>
      <c r="GB103" s="87"/>
      <c r="GC103" s="87"/>
      <c r="GD103" s="87"/>
      <c r="GE103" s="87"/>
      <c r="GF103" s="87"/>
      <c r="GG103" s="87"/>
      <c r="GH103" s="87"/>
      <c r="GI103" s="87"/>
      <c r="GJ103" s="87"/>
      <c r="GK103" s="87"/>
    </row>
    <row r="104" spans="1:205">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c r="CA104" s="139"/>
      <c r="CB104" s="139"/>
      <c r="CC104" s="139"/>
      <c r="CD104" s="139"/>
      <c r="CE104" s="139"/>
      <c r="CF104" s="139"/>
      <c r="CG104" s="139"/>
      <c r="CH104" s="139"/>
      <c r="CI104" s="139"/>
      <c r="CJ104" s="139"/>
      <c r="CK104" s="139"/>
      <c r="CL104" s="139"/>
      <c r="CM104" s="139"/>
      <c r="CN104" s="139"/>
      <c r="CO104" s="139"/>
      <c r="CP104" s="139"/>
      <c r="CQ104" s="139"/>
      <c r="CR104" s="139"/>
      <c r="CS104" s="139"/>
      <c r="CT104" s="139"/>
      <c r="CU104" s="139"/>
      <c r="CV104" s="139"/>
      <c r="CW104" s="139"/>
      <c r="CX104" s="139"/>
      <c r="CY104" s="139"/>
      <c r="CZ104" s="139"/>
      <c r="DA104" s="139"/>
      <c r="DB104" s="139"/>
      <c r="DC104" s="139"/>
      <c r="DD104" s="139"/>
      <c r="DE104" s="139"/>
      <c r="DF104" s="139"/>
      <c r="DG104" s="139"/>
      <c r="DH104" s="139"/>
      <c r="DI104" s="139"/>
      <c r="DJ104" s="139"/>
      <c r="DK104" s="139"/>
      <c r="DL104" s="139"/>
      <c r="DM104" s="139"/>
      <c r="DN104" s="139"/>
      <c r="DO104" s="139"/>
      <c r="DP104" s="139"/>
      <c r="DQ104" s="139"/>
      <c r="DR104" s="139"/>
      <c r="DS104" s="139"/>
      <c r="DT104" s="139"/>
      <c r="DU104" s="139"/>
      <c r="DV104" s="139"/>
      <c r="DW104" s="139"/>
      <c r="DX104" s="139"/>
      <c r="DY104" s="139"/>
      <c r="DZ104" s="139"/>
      <c r="EA104" s="139"/>
      <c r="EB104" s="139"/>
      <c r="EC104" s="139"/>
      <c r="ED104" s="139"/>
      <c r="EE104" s="139"/>
      <c r="EF104" s="139"/>
      <c r="EG104" s="139"/>
      <c r="EH104" s="139"/>
      <c r="EI104" s="139"/>
      <c r="EJ104" s="139"/>
      <c r="EK104" s="139"/>
      <c r="EL104" s="139"/>
      <c r="EM104" s="139"/>
      <c r="EN104" s="139"/>
      <c r="EO104" s="139"/>
      <c r="EP104" s="139"/>
      <c r="EQ104" s="139"/>
      <c r="ER104" s="139"/>
      <c r="ES104" s="139"/>
      <c r="ET104" s="139"/>
      <c r="EU104" s="139"/>
      <c r="EV104" s="139"/>
      <c r="EW104" s="139"/>
      <c r="EX104" s="139"/>
      <c r="EY104" s="139"/>
      <c r="EZ104" s="139"/>
      <c r="FA104" s="139"/>
      <c r="FB104" s="139"/>
      <c r="FC104" s="139"/>
      <c r="FD104" s="139"/>
      <c r="FE104" s="139"/>
      <c r="FF104" s="139"/>
      <c r="FG104" s="139"/>
      <c r="FH104" s="86"/>
      <c r="FI104" s="86"/>
      <c r="FJ104" s="86"/>
      <c r="FK104" s="86"/>
      <c r="FL104" s="86"/>
      <c r="FM104" s="86"/>
      <c r="FN104" s="86"/>
      <c r="FO104" s="86"/>
      <c r="FP104" s="86"/>
      <c r="FQ104" s="86"/>
      <c r="FR104" s="86"/>
      <c r="FS104" s="86"/>
      <c r="FT104" s="86"/>
      <c r="FU104" s="86"/>
      <c r="FV104" s="87"/>
      <c r="FW104" s="87"/>
      <c r="FX104" s="87"/>
      <c r="FY104" s="87"/>
      <c r="FZ104" s="87"/>
      <c r="GA104" s="87"/>
      <c r="GB104" s="87"/>
      <c r="GC104" s="87"/>
      <c r="GD104" s="87"/>
      <c r="GE104" s="87"/>
      <c r="GF104" s="87"/>
      <c r="GG104" s="87"/>
      <c r="GH104" s="87"/>
      <c r="GI104" s="87"/>
      <c r="GJ104" s="87"/>
      <c r="GK104" s="87"/>
    </row>
    <row r="105" spans="1:205">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c r="CA105" s="139"/>
      <c r="CB105" s="139"/>
      <c r="CC105" s="139"/>
      <c r="CD105" s="139"/>
      <c r="CE105" s="139"/>
      <c r="CF105" s="139"/>
      <c r="CG105" s="139"/>
      <c r="CH105" s="139"/>
      <c r="CI105" s="139"/>
      <c r="CJ105" s="139"/>
      <c r="CK105" s="139"/>
      <c r="CL105" s="139"/>
      <c r="CM105" s="139"/>
      <c r="CN105" s="139"/>
      <c r="CO105" s="139"/>
      <c r="CP105" s="139"/>
      <c r="CQ105" s="139"/>
      <c r="CR105" s="139"/>
      <c r="CS105" s="139"/>
      <c r="CT105" s="139"/>
      <c r="CU105" s="139"/>
      <c r="CV105" s="139"/>
      <c r="CW105" s="139"/>
      <c r="CX105" s="139"/>
      <c r="CY105" s="139"/>
      <c r="CZ105" s="139"/>
      <c r="DA105" s="139"/>
      <c r="DB105" s="139"/>
      <c r="DC105" s="139"/>
      <c r="DD105" s="139"/>
      <c r="DE105" s="139"/>
      <c r="DF105" s="139"/>
      <c r="DG105" s="139"/>
      <c r="DH105" s="139"/>
      <c r="DI105" s="139"/>
      <c r="DJ105" s="139"/>
      <c r="DK105" s="139"/>
      <c r="DL105" s="139"/>
      <c r="DM105" s="139"/>
      <c r="DN105" s="139"/>
      <c r="DO105" s="139"/>
      <c r="DP105" s="139"/>
      <c r="DQ105" s="139"/>
      <c r="DR105" s="139"/>
      <c r="DS105" s="139"/>
      <c r="DT105" s="139"/>
      <c r="DU105" s="139"/>
      <c r="DV105" s="139"/>
      <c r="DW105" s="139"/>
      <c r="DX105" s="139"/>
      <c r="DY105" s="139"/>
      <c r="DZ105" s="139"/>
      <c r="EA105" s="139"/>
      <c r="EB105" s="139"/>
      <c r="EC105" s="139"/>
      <c r="ED105" s="139"/>
      <c r="EE105" s="139"/>
      <c r="EF105" s="139"/>
      <c r="EG105" s="139"/>
      <c r="EH105" s="139"/>
      <c r="EI105" s="139"/>
      <c r="EJ105" s="139"/>
      <c r="EK105" s="139"/>
      <c r="EL105" s="139"/>
      <c r="EM105" s="139"/>
      <c r="EN105" s="139"/>
      <c r="EO105" s="139"/>
      <c r="EP105" s="139"/>
      <c r="EQ105" s="139"/>
      <c r="ER105" s="139"/>
      <c r="ES105" s="139"/>
      <c r="ET105" s="139"/>
      <c r="EU105" s="139"/>
      <c r="EV105" s="139"/>
      <c r="EW105" s="139"/>
      <c r="EX105" s="139"/>
      <c r="EY105" s="139"/>
      <c r="EZ105" s="139"/>
      <c r="FA105" s="139"/>
      <c r="FB105" s="139"/>
      <c r="FC105" s="139"/>
      <c r="FD105" s="139"/>
      <c r="FE105" s="139"/>
      <c r="FF105" s="139"/>
      <c r="FG105" s="139"/>
      <c r="FH105" s="86"/>
      <c r="FI105" s="86"/>
      <c r="FJ105" s="86"/>
      <c r="FK105" s="86"/>
      <c r="FL105" s="86"/>
      <c r="FM105" s="86"/>
      <c r="FN105" s="86"/>
      <c r="FO105" s="86"/>
      <c r="FP105" s="86"/>
      <c r="FQ105" s="86"/>
      <c r="FR105" s="86"/>
      <c r="FS105" s="86"/>
      <c r="FT105" s="86"/>
      <c r="FU105" s="86"/>
      <c r="FV105" s="87"/>
      <c r="FW105" s="87"/>
      <c r="FX105" s="87"/>
      <c r="FY105" s="87"/>
      <c r="FZ105" s="87"/>
      <c r="GA105" s="87"/>
      <c r="GB105" s="87"/>
      <c r="GC105" s="87"/>
      <c r="GD105" s="87"/>
      <c r="GE105" s="87"/>
      <c r="GF105" s="87"/>
      <c r="GG105" s="87"/>
      <c r="GH105" s="87"/>
      <c r="GI105" s="87"/>
      <c r="GJ105" s="87"/>
      <c r="GK105" s="87"/>
    </row>
    <row r="106" spans="1:205">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c r="CA106" s="139"/>
      <c r="CB106" s="139"/>
      <c r="CC106" s="139"/>
      <c r="CD106" s="139"/>
      <c r="CE106" s="139"/>
      <c r="CF106" s="139"/>
      <c r="CG106" s="139"/>
      <c r="CH106" s="139"/>
      <c r="CI106" s="139"/>
      <c r="CJ106" s="139"/>
      <c r="CK106" s="139"/>
      <c r="CL106" s="139"/>
      <c r="CM106" s="139"/>
      <c r="CN106" s="139"/>
      <c r="CO106" s="139"/>
      <c r="CP106" s="139"/>
      <c r="CQ106" s="139"/>
      <c r="CR106" s="139"/>
      <c r="CS106" s="139"/>
      <c r="CT106" s="139"/>
      <c r="CU106" s="139"/>
      <c r="CV106" s="139"/>
      <c r="CW106" s="139"/>
      <c r="CX106" s="139"/>
      <c r="CY106" s="139"/>
      <c r="CZ106" s="139"/>
      <c r="DA106" s="139"/>
      <c r="DB106" s="139"/>
      <c r="DC106" s="139"/>
      <c r="DD106" s="139"/>
      <c r="DE106" s="139"/>
      <c r="DF106" s="139"/>
      <c r="DG106" s="139"/>
      <c r="DH106" s="139"/>
      <c r="DI106" s="139"/>
      <c r="DJ106" s="139"/>
      <c r="DK106" s="139"/>
      <c r="DL106" s="139"/>
      <c r="DM106" s="139"/>
      <c r="DN106" s="139"/>
      <c r="DO106" s="139"/>
      <c r="DP106" s="139"/>
      <c r="DQ106" s="139"/>
      <c r="DR106" s="139"/>
      <c r="DS106" s="139"/>
      <c r="DT106" s="139"/>
      <c r="DU106" s="139"/>
      <c r="DV106" s="139"/>
      <c r="DW106" s="139"/>
      <c r="DX106" s="139"/>
      <c r="DY106" s="139"/>
      <c r="DZ106" s="139"/>
      <c r="EA106" s="139"/>
      <c r="EB106" s="139"/>
      <c r="EC106" s="139"/>
      <c r="ED106" s="139"/>
      <c r="EE106" s="139"/>
      <c r="EF106" s="139"/>
      <c r="EG106" s="139"/>
      <c r="EH106" s="139"/>
      <c r="EI106" s="139"/>
      <c r="EJ106" s="139"/>
      <c r="EK106" s="139"/>
      <c r="EL106" s="139"/>
      <c r="EM106" s="139"/>
      <c r="EN106" s="139"/>
      <c r="EO106" s="139"/>
      <c r="EP106" s="139"/>
      <c r="EQ106" s="139"/>
      <c r="ER106" s="139"/>
      <c r="ES106" s="139"/>
      <c r="ET106" s="139"/>
      <c r="EU106" s="139"/>
      <c r="EV106" s="139"/>
      <c r="EW106" s="139"/>
      <c r="EX106" s="139"/>
      <c r="EY106" s="139"/>
      <c r="EZ106" s="139"/>
      <c r="FA106" s="139"/>
      <c r="FB106" s="139"/>
      <c r="FC106" s="139"/>
      <c r="FD106" s="139"/>
      <c r="FE106" s="139"/>
      <c r="FF106" s="139"/>
      <c r="FG106" s="139"/>
      <c r="FH106" s="86"/>
      <c r="FI106" s="86"/>
      <c r="FJ106" s="86"/>
      <c r="FK106" s="86"/>
      <c r="FL106" s="86"/>
      <c r="FM106" s="86"/>
      <c r="FN106" s="86"/>
      <c r="FO106" s="86"/>
      <c r="FP106" s="86"/>
      <c r="FQ106" s="86"/>
      <c r="FR106" s="86"/>
      <c r="FS106" s="86"/>
      <c r="FT106" s="86"/>
      <c r="FU106" s="86"/>
      <c r="FV106" s="87"/>
      <c r="FW106" s="87"/>
      <c r="FX106" s="87"/>
      <c r="FY106" s="87"/>
      <c r="FZ106" s="87"/>
      <c r="GA106" s="87"/>
      <c r="GB106" s="87"/>
      <c r="GC106" s="87"/>
      <c r="GD106" s="87"/>
      <c r="GE106" s="87"/>
      <c r="GF106" s="87"/>
      <c r="GG106" s="87"/>
      <c r="GH106" s="87"/>
      <c r="GI106" s="87"/>
      <c r="GJ106" s="87"/>
      <c r="GK106" s="87"/>
    </row>
    <row r="107" spans="1:205">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c r="CA107" s="139"/>
      <c r="CB107" s="139"/>
      <c r="CC107" s="139"/>
      <c r="CD107" s="139"/>
      <c r="CE107" s="139"/>
      <c r="CF107" s="139"/>
      <c r="CG107" s="139"/>
      <c r="CH107" s="139"/>
      <c r="CI107" s="139"/>
      <c r="CJ107" s="139"/>
      <c r="CK107" s="139"/>
      <c r="CL107" s="139"/>
      <c r="CM107" s="139"/>
      <c r="CN107" s="139"/>
      <c r="CO107" s="139"/>
      <c r="CP107" s="139"/>
      <c r="CQ107" s="139"/>
      <c r="CR107" s="139"/>
      <c r="CS107" s="139"/>
      <c r="CT107" s="139"/>
      <c r="CU107" s="139"/>
      <c r="CV107" s="139"/>
      <c r="CW107" s="139"/>
      <c r="CX107" s="139"/>
      <c r="CY107" s="139"/>
      <c r="CZ107" s="139"/>
      <c r="DA107" s="139"/>
      <c r="DB107" s="139"/>
      <c r="DC107" s="139"/>
      <c r="DD107" s="139"/>
      <c r="DE107" s="139"/>
      <c r="DF107" s="139"/>
      <c r="DG107" s="139"/>
      <c r="DH107" s="139"/>
      <c r="DI107" s="139"/>
      <c r="DJ107" s="139"/>
      <c r="DK107" s="139"/>
      <c r="DL107" s="139"/>
      <c r="DM107" s="139"/>
      <c r="DN107" s="139"/>
      <c r="DO107" s="139"/>
      <c r="DP107" s="139"/>
      <c r="DQ107" s="139"/>
      <c r="DR107" s="139"/>
      <c r="DS107" s="139"/>
      <c r="DT107" s="139"/>
      <c r="DU107" s="139"/>
      <c r="DV107" s="139"/>
      <c r="DW107" s="139"/>
      <c r="DX107" s="139"/>
      <c r="DY107" s="139"/>
      <c r="DZ107" s="139"/>
      <c r="EA107" s="139"/>
      <c r="EB107" s="139"/>
      <c r="EC107" s="139"/>
      <c r="ED107" s="139"/>
      <c r="EE107" s="139"/>
      <c r="EF107" s="139"/>
      <c r="EG107" s="139"/>
      <c r="EH107" s="139"/>
      <c r="EI107" s="139"/>
      <c r="EJ107" s="139"/>
      <c r="EK107" s="139"/>
      <c r="EL107" s="139"/>
      <c r="EM107" s="139"/>
      <c r="EN107" s="139"/>
      <c r="EO107" s="139"/>
      <c r="EP107" s="139"/>
      <c r="EQ107" s="139"/>
      <c r="ER107" s="139"/>
      <c r="ES107" s="139"/>
      <c r="ET107" s="139"/>
      <c r="EU107" s="139"/>
      <c r="EV107" s="139"/>
      <c r="EW107" s="139"/>
      <c r="EX107" s="139"/>
      <c r="EY107" s="139"/>
      <c r="EZ107" s="139"/>
      <c r="FA107" s="139"/>
      <c r="FB107" s="139"/>
      <c r="FC107" s="139"/>
      <c r="FD107" s="139"/>
      <c r="FE107" s="139"/>
      <c r="FF107" s="139"/>
      <c r="FG107" s="139"/>
      <c r="FH107" s="86"/>
      <c r="FI107" s="86"/>
      <c r="FJ107" s="86"/>
      <c r="FK107" s="86"/>
      <c r="FL107" s="86"/>
      <c r="FM107" s="86"/>
      <c r="FN107" s="86"/>
      <c r="FO107" s="86"/>
      <c r="FP107" s="86"/>
      <c r="FQ107" s="86"/>
      <c r="FR107" s="86"/>
      <c r="FS107" s="86"/>
      <c r="FT107" s="86"/>
      <c r="FU107" s="86"/>
      <c r="FV107" s="87"/>
      <c r="FW107" s="87"/>
      <c r="FX107" s="87"/>
      <c r="FY107" s="87"/>
      <c r="FZ107" s="87"/>
      <c r="GA107" s="87"/>
      <c r="GB107" s="87"/>
      <c r="GC107" s="87"/>
      <c r="GD107" s="87"/>
      <c r="GE107" s="87"/>
      <c r="GF107" s="87"/>
      <c r="GG107" s="87"/>
      <c r="GH107" s="87"/>
      <c r="GI107" s="87"/>
      <c r="GJ107" s="87"/>
      <c r="GK107" s="87"/>
    </row>
    <row r="108" spans="1:205">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c r="CA108" s="139"/>
      <c r="CB108" s="139"/>
      <c r="CC108" s="139"/>
      <c r="CD108" s="139"/>
      <c r="CE108" s="139"/>
      <c r="CF108" s="139"/>
      <c r="CG108" s="139"/>
      <c r="CH108" s="139"/>
      <c r="CI108" s="139"/>
      <c r="CJ108" s="139"/>
      <c r="CK108" s="139"/>
      <c r="CL108" s="139"/>
      <c r="CM108" s="139"/>
      <c r="CN108" s="139"/>
      <c r="CO108" s="139"/>
      <c r="CP108" s="139"/>
      <c r="CQ108" s="139"/>
      <c r="CR108" s="139"/>
      <c r="CS108" s="139"/>
      <c r="CT108" s="139"/>
      <c r="CU108" s="139"/>
      <c r="CV108" s="139"/>
      <c r="CW108" s="139"/>
      <c r="CX108" s="139"/>
      <c r="CY108" s="139"/>
      <c r="CZ108" s="139"/>
      <c r="DA108" s="139"/>
      <c r="DB108" s="139"/>
      <c r="DC108" s="139"/>
      <c r="DD108" s="139"/>
      <c r="DE108" s="139"/>
      <c r="DF108" s="139"/>
      <c r="DG108" s="139"/>
      <c r="DH108" s="139"/>
      <c r="DI108" s="139"/>
      <c r="DJ108" s="139"/>
      <c r="DK108" s="139"/>
      <c r="DL108" s="139"/>
      <c r="DM108" s="139"/>
      <c r="DN108" s="139"/>
      <c r="DO108" s="139"/>
      <c r="DP108" s="139"/>
      <c r="DQ108" s="139"/>
      <c r="DR108" s="139"/>
      <c r="DS108" s="139"/>
      <c r="DT108" s="139"/>
      <c r="DU108" s="139"/>
      <c r="DV108" s="139"/>
      <c r="DW108" s="139"/>
      <c r="DX108" s="139"/>
      <c r="DY108" s="139"/>
      <c r="DZ108" s="139"/>
      <c r="EA108" s="139"/>
      <c r="EB108" s="139"/>
      <c r="EC108" s="139"/>
      <c r="ED108" s="139"/>
      <c r="EE108" s="139"/>
      <c r="EF108" s="139"/>
      <c r="EG108" s="139"/>
      <c r="EH108" s="139"/>
      <c r="EI108" s="139"/>
      <c r="EJ108" s="139"/>
      <c r="EK108" s="139"/>
      <c r="EL108" s="139"/>
      <c r="EM108" s="139"/>
      <c r="EN108" s="139"/>
      <c r="EO108" s="139"/>
      <c r="EP108" s="139"/>
      <c r="EQ108" s="139"/>
      <c r="ER108" s="139"/>
      <c r="ES108" s="139"/>
      <c r="ET108" s="139"/>
      <c r="EU108" s="139"/>
      <c r="EV108" s="139"/>
      <c r="EW108" s="139"/>
      <c r="EX108" s="139"/>
      <c r="EY108" s="139"/>
      <c r="EZ108" s="139"/>
      <c r="FA108" s="139"/>
      <c r="FB108" s="139"/>
      <c r="FC108" s="139"/>
      <c r="FD108" s="139"/>
      <c r="FE108" s="139"/>
      <c r="FF108" s="139"/>
      <c r="FG108" s="139"/>
      <c r="FH108" s="86"/>
      <c r="FI108" s="86"/>
      <c r="FJ108" s="86"/>
      <c r="FK108" s="86"/>
      <c r="FL108" s="86"/>
      <c r="FM108" s="86"/>
      <c r="FN108" s="86"/>
      <c r="FO108" s="86"/>
      <c r="FP108" s="86"/>
      <c r="FQ108" s="86"/>
      <c r="FR108" s="86"/>
      <c r="FS108" s="86"/>
      <c r="FT108" s="86"/>
      <c r="FU108" s="86"/>
      <c r="FV108" s="87"/>
      <c r="FW108" s="87"/>
      <c r="FX108" s="87"/>
      <c r="FY108" s="87"/>
      <c r="FZ108" s="87"/>
      <c r="GA108" s="87"/>
      <c r="GB108" s="87"/>
      <c r="GC108" s="87"/>
      <c r="GD108" s="87"/>
      <c r="GE108" s="87"/>
      <c r="GF108" s="87"/>
      <c r="GG108" s="87"/>
      <c r="GH108" s="87"/>
      <c r="GI108" s="87"/>
      <c r="GJ108" s="87"/>
      <c r="GK108" s="87"/>
    </row>
    <row r="109" spans="1:205">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c r="CA109" s="139"/>
      <c r="CB109" s="139"/>
      <c r="CC109" s="139"/>
      <c r="CD109" s="139"/>
      <c r="CE109" s="139"/>
      <c r="CF109" s="139"/>
      <c r="CG109" s="139"/>
      <c r="CH109" s="139"/>
      <c r="CI109" s="139"/>
      <c r="CJ109" s="139"/>
      <c r="CK109" s="139"/>
      <c r="CL109" s="139"/>
      <c r="CM109" s="139"/>
      <c r="CN109" s="139"/>
      <c r="CO109" s="139"/>
      <c r="CP109" s="139"/>
      <c r="CQ109" s="139"/>
      <c r="CR109" s="139"/>
      <c r="CS109" s="139"/>
      <c r="CT109" s="139"/>
      <c r="CU109" s="139"/>
      <c r="CV109" s="139"/>
      <c r="CW109" s="139"/>
      <c r="CX109" s="139"/>
      <c r="CY109" s="139"/>
      <c r="CZ109" s="139"/>
      <c r="DA109" s="139"/>
      <c r="DB109" s="139"/>
      <c r="DC109" s="139"/>
      <c r="DD109" s="139"/>
      <c r="DE109" s="139"/>
      <c r="DF109" s="139"/>
      <c r="DG109" s="139"/>
      <c r="DH109" s="139"/>
      <c r="DI109" s="139"/>
      <c r="DJ109" s="139"/>
      <c r="DK109" s="139"/>
      <c r="DL109" s="139"/>
      <c r="DM109" s="139"/>
      <c r="DN109" s="139"/>
      <c r="DO109" s="139"/>
      <c r="DP109" s="139"/>
      <c r="DQ109" s="139"/>
      <c r="DR109" s="139"/>
      <c r="DS109" s="139"/>
      <c r="DT109" s="139"/>
      <c r="DU109" s="139"/>
      <c r="DV109" s="139"/>
      <c r="DW109" s="139"/>
      <c r="DX109" s="139"/>
      <c r="DY109" s="139"/>
      <c r="DZ109" s="139"/>
      <c r="EA109" s="139"/>
      <c r="EB109" s="139"/>
      <c r="EC109" s="139"/>
      <c r="ED109" s="139"/>
      <c r="EE109" s="139"/>
      <c r="EF109" s="139"/>
      <c r="EG109" s="139"/>
      <c r="EH109" s="139"/>
      <c r="EI109" s="139"/>
      <c r="EJ109" s="139"/>
      <c r="EK109" s="139"/>
      <c r="EL109" s="139"/>
      <c r="EM109" s="139"/>
      <c r="EN109" s="139"/>
      <c r="EO109" s="139"/>
      <c r="EP109" s="139"/>
      <c r="EQ109" s="139"/>
      <c r="ER109" s="139"/>
      <c r="ES109" s="139"/>
      <c r="ET109" s="139"/>
      <c r="EU109" s="139"/>
      <c r="EV109" s="139"/>
      <c r="EW109" s="139"/>
      <c r="EX109" s="139"/>
      <c r="EY109" s="139"/>
      <c r="EZ109" s="139"/>
      <c r="FA109" s="139"/>
      <c r="FB109" s="139"/>
      <c r="FC109" s="139"/>
      <c r="FD109" s="139"/>
      <c r="FE109" s="139"/>
      <c r="FF109" s="139"/>
      <c r="FG109" s="139"/>
      <c r="FH109" s="86"/>
      <c r="FI109" s="86"/>
      <c r="FJ109" s="86"/>
      <c r="FK109" s="86"/>
      <c r="FL109" s="86"/>
      <c r="FM109" s="86"/>
      <c r="FN109" s="86"/>
      <c r="FO109" s="86"/>
      <c r="FP109" s="86"/>
      <c r="FQ109" s="86"/>
      <c r="FR109" s="86"/>
      <c r="FS109" s="86"/>
      <c r="FT109" s="86"/>
      <c r="FU109" s="86"/>
      <c r="FV109" s="87"/>
      <c r="FW109" s="87"/>
      <c r="FX109" s="87"/>
      <c r="FY109" s="87"/>
      <c r="FZ109" s="87"/>
      <c r="GA109" s="87"/>
      <c r="GB109" s="87"/>
      <c r="GC109" s="87"/>
      <c r="GD109" s="87"/>
      <c r="GE109" s="87"/>
      <c r="GF109" s="87"/>
      <c r="GG109" s="87"/>
      <c r="GH109" s="87"/>
      <c r="GI109" s="87"/>
      <c r="GJ109" s="87"/>
      <c r="GK109" s="87"/>
    </row>
    <row r="110" spans="1:205">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c r="CA110" s="139"/>
      <c r="CB110" s="139"/>
      <c r="CC110" s="139"/>
      <c r="CD110" s="139"/>
      <c r="CE110" s="139"/>
      <c r="CF110" s="139"/>
      <c r="CG110" s="139"/>
      <c r="CH110" s="139"/>
      <c r="CI110" s="139"/>
      <c r="CJ110" s="139"/>
      <c r="CK110" s="139"/>
      <c r="CL110" s="139"/>
      <c r="CM110" s="139"/>
      <c r="CN110" s="139"/>
      <c r="CO110" s="139"/>
      <c r="CP110" s="139"/>
      <c r="CQ110" s="139"/>
      <c r="CR110" s="139"/>
      <c r="CS110" s="139"/>
      <c r="CT110" s="139"/>
      <c r="CU110" s="139"/>
      <c r="CV110" s="139"/>
      <c r="CW110" s="139"/>
      <c r="CX110" s="139"/>
      <c r="CY110" s="139"/>
      <c r="CZ110" s="139"/>
      <c r="DA110" s="139"/>
      <c r="DB110" s="139"/>
      <c r="DC110" s="139"/>
      <c r="DD110" s="139"/>
      <c r="DE110" s="139"/>
      <c r="DF110" s="139"/>
      <c r="DG110" s="139"/>
      <c r="DH110" s="139"/>
      <c r="DI110" s="139"/>
      <c r="DJ110" s="139"/>
      <c r="DK110" s="139"/>
      <c r="DL110" s="139"/>
      <c r="DM110" s="139"/>
      <c r="DN110" s="139"/>
      <c r="DO110" s="139"/>
      <c r="DP110" s="139"/>
      <c r="DQ110" s="139"/>
      <c r="DR110" s="139"/>
      <c r="DS110" s="139"/>
      <c r="DT110" s="139"/>
      <c r="DU110" s="139"/>
      <c r="DV110" s="139"/>
      <c r="DW110" s="139"/>
      <c r="DX110" s="139"/>
      <c r="DY110" s="139"/>
      <c r="DZ110" s="139"/>
      <c r="EA110" s="139"/>
      <c r="EB110" s="139"/>
      <c r="EC110" s="139"/>
      <c r="ED110" s="139"/>
      <c r="EE110" s="139"/>
      <c r="EF110" s="139"/>
      <c r="EG110" s="139"/>
      <c r="EH110" s="139"/>
      <c r="EI110" s="139"/>
      <c r="EJ110" s="139"/>
      <c r="EK110" s="139"/>
      <c r="EL110" s="139"/>
      <c r="EM110" s="139"/>
      <c r="EN110" s="139"/>
      <c r="EO110" s="139"/>
      <c r="EP110" s="139"/>
      <c r="EQ110" s="139"/>
      <c r="ER110" s="139"/>
      <c r="ES110" s="139"/>
      <c r="ET110" s="139"/>
      <c r="EU110" s="139"/>
      <c r="EV110" s="139"/>
      <c r="EW110" s="139"/>
      <c r="EX110" s="139"/>
      <c r="EY110" s="139"/>
      <c r="EZ110" s="139"/>
      <c r="FA110" s="139"/>
      <c r="FB110" s="139"/>
      <c r="FC110" s="139"/>
      <c r="FD110" s="139"/>
      <c r="FE110" s="139"/>
      <c r="FF110" s="139"/>
      <c r="FG110" s="139"/>
      <c r="FH110" s="86"/>
      <c r="FI110" s="86"/>
      <c r="FJ110" s="86"/>
      <c r="FK110" s="86"/>
      <c r="FL110" s="86"/>
      <c r="FM110" s="86"/>
      <c r="FN110" s="86"/>
      <c r="FO110" s="86"/>
      <c r="FP110" s="86"/>
      <c r="FQ110" s="86"/>
      <c r="FR110" s="86"/>
      <c r="FS110" s="86"/>
      <c r="FT110" s="86"/>
      <c r="FU110" s="86"/>
      <c r="FV110" s="87"/>
      <c r="FW110" s="87"/>
      <c r="FX110" s="87"/>
      <c r="FY110" s="87"/>
      <c r="FZ110" s="87"/>
      <c r="GA110" s="87"/>
      <c r="GB110" s="87"/>
      <c r="GC110" s="87"/>
      <c r="GD110" s="87"/>
      <c r="GE110" s="87"/>
      <c r="GF110" s="87"/>
      <c r="GG110" s="87"/>
      <c r="GH110" s="87"/>
      <c r="GI110" s="87"/>
      <c r="GJ110" s="87"/>
      <c r="GK110" s="87"/>
    </row>
    <row r="111" spans="1:205">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c r="CA111" s="139"/>
      <c r="CB111" s="139"/>
      <c r="CC111" s="139"/>
      <c r="CD111" s="139"/>
      <c r="CE111" s="139"/>
      <c r="CF111" s="139"/>
      <c r="CG111" s="139"/>
      <c r="CH111" s="139"/>
      <c r="CI111" s="139"/>
      <c r="CJ111" s="139"/>
      <c r="CK111" s="139"/>
      <c r="CL111" s="139"/>
      <c r="CM111" s="139"/>
      <c r="CN111" s="139"/>
      <c r="CO111" s="139"/>
      <c r="CP111" s="139"/>
      <c r="CQ111" s="139"/>
      <c r="CR111" s="139"/>
      <c r="CS111" s="139"/>
      <c r="CT111" s="139"/>
      <c r="CU111" s="139"/>
      <c r="CV111" s="139"/>
      <c r="CW111" s="139"/>
      <c r="CX111" s="139"/>
      <c r="CY111" s="139"/>
      <c r="CZ111" s="139"/>
      <c r="DA111" s="139"/>
      <c r="DB111" s="139"/>
      <c r="DC111" s="139"/>
      <c r="DD111" s="139"/>
      <c r="DE111" s="139"/>
      <c r="DF111" s="139"/>
      <c r="DG111" s="139"/>
      <c r="DH111" s="139"/>
      <c r="DI111" s="139"/>
      <c r="DJ111" s="139"/>
      <c r="DK111" s="139"/>
      <c r="DL111" s="139"/>
      <c r="DM111" s="139"/>
      <c r="DN111" s="139"/>
      <c r="DO111" s="139"/>
      <c r="DP111" s="139"/>
      <c r="DQ111" s="139"/>
      <c r="DR111" s="139"/>
      <c r="DS111" s="139"/>
      <c r="DT111" s="139"/>
      <c r="DU111" s="139"/>
      <c r="DV111" s="139"/>
      <c r="DW111" s="139"/>
      <c r="DX111" s="139"/>
      <c r="DY111" s="139"/>
      <c r="DZ111" s="139"/>
      <c r="EA111" s="139"/>
      <c r="EB111" s="139"/>
      <c r="EC111" s="139"/>
      <c r="ED111" s="139"/>
      <c r="EE111" s="139"/>
      <c r="EF111" s="139"/>
      <c r="EG111" s="139"/>
      <c r="EH111" s="139"/>
      <c r="EI111" s="139"/>
      <c r="EJ111" s="139"/>
      <c r="EK111" s="139"/>
      <c r="EL111" s="139"/>
      <c r="EM111" s="139"/>
      <c r="EN111" s="139"/>
      <c r="EO111" s="139"/>
      <c r="EP111" s="139"/>
      <c r="EQ111" s="139"/>
      <c r="ER111" s="139"/>
      <c r="ES111" s="139"/>
      <c r="ET111" s="139"/>
      <c r="EU111" s="139"/>
      <c r="EV111" s="139"/>
      <c r="EW111" s="139"/>
      <c r="EX111" s="139"/>
      <c r="EY111" s="139"/>
      <c r="EZ111" s="139"/>
      <c r="FA111" s="139"/>
      <c r="FB111" s="139"/>
      <c r="FC111" s="139"/>
      <c r="FD111" s="139"/>
      <c r="FE111" s="139"/>
      <c r="FF111" s="139"/>
      <c r="FG111" s="139"/>
      <c r="FH111" s="86"/>
      <c r="FI111" s="86"/>
      <c r="FJ111" s="86"/>
      <c r="FK111" s="86"/>
      <c r="FL111" s="86"/>
      <c r="FM111" s="86"/>
      <c r="FN111" s="86"/>
      <c r="FO111" s="86"/>
      <c r="FP111" s="86"/>
      <c r="FQ111" s="86"/>
      <c r="FR111" s="86"/>
      <c r="FS111" s="86"/>
      <c r="FT111" s="86"/>
      <c r="FU111" s="86"/>
      <c r="FV111" s="87"/>
      <c r="FW111" s="87"/>
      <c r="FX111" s="87"/>
      <c r="FY111" s="87"/>
      <c r="FZ111" s="87"/>
      <c r="GA111" s="87"/>
      <c r="GB111" s="87"/>
      <c r="GC111" s="87"/>
      <c r="GD111" s="87"/>
      <c r="GE111" s="87"/>
      <c r="GF111" s="87"/>
      <c r="GG111" s="87"/>
      <c r="GH111" s="87"/>
      <c r="GI111" s="87"/>
      <c r="GJ111" s="87"/>
      <c r="GK111" s="87"/>
    </row>
    <row r="112" spans="1:205">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c r="CA112" s="139"/>
      <c r="CB112" s="139"/>
      <c r="CC112" s="139"/>
      <c r="CD112" s="139"/>
      <c r="CE112" s="139"/>
      <c r="CF112" s="139"/>
      <c r="CG112" s="139"/>
      <c r="CH112" s="139"/>
      <c r="CI112" s="139"/>
      <c r="CJ112" s="139"/>
      <c r="CK112" s="139"/>
      <c r="CL112" s="139"/>
      <c r="CM112" s="139"/>
      <c r="CN112" s="139"/>
      <c r="CO112" s="139"/>
      <c r="CP112" s="139"/>
      <c r="CQ112" s="139"/>
      <c r="CR112" s="139"/>
      <c r="CS112" s="139"/>
      <c r="CT112" s="139"/>
      <c r="CU112" s="139"/>
      <c r="CV112" s="139"/>
      <c r="CW112" s="139"/>
      <c r="CX112" s="139"/>
      <c r="CY112" s="139"/>
      <c r="CZ112" s="139"/>
      <c r="DA112" s="139"/>
      <c r="DB112" s="139"/>
      <c r="DC112" s="139"/>
      <c r="DD112" s="139"/>
      <c r="DE112" s="139"/>
      <c r="DF112" s="139"/>
      <c r="DG112" s="139"/>
      <c r="DH112" s="139"/>
      <c r="DI112" s="139"/>
      <c r="DJ112" s="139"/>
      <c r="DK112" s="139"/>
      <c r="DL112" s="139"/>
      <c r="DM112" s="139"/>
      <c r="DN112" s="139"/>
      <c r="DO112" s="139"/>
      <c r="DP112" s="139"/>
      <c r="DQ112" s="139"/>
      <c r="DR112" s="139"/>
      <c r="DS112" s="139"/>
      <c r="DT112" s="139"/>
      <c r="DU112" s="139"/>
      <c r="DV112" s="139"/>
      <c r="DW112" s="139"/>
      <c r="DX112" s="139"/>
      <c r="DY112" s="139"/>
      <c r="DZ112" s="139"/>
      <c r="EA112" s="139"/>
      <c r="EB112" s="139"/>
      <c r="EC112" s="139"/>
      <c r="ED112" s="139"/>
      <c r="EE112" s="139"/>
      <c r="EF112" s="139"/>
      <c r="EG112" s="139"/>
      <c r="EH112" s="139"/>
      <c r="EI112" s="139"/>
      <c r="EJ112" s="139"/>
      <c r="EK112" s="139"/>
      <c r="EL112" s="139"/>
      <c r="EM112" s="139"/>
      <c r="EN112" s="139"/>
      <c r="EO112" s="139"/>
      <c r="EP112" s="139"/>
      <c r="EQ112" s="139"/>
      <c r="ER112" s="139"/>
      <c r="ES112" s="139"/>
      <c r="ET112" s="139"/>
      <c r="EU112" s="139"/>
      <c r="EV112" s="139"/>
      <c r="EW112" s="139"/>
      <c r="EX112" s="139"/>
      <c r="EY112" s="139"/>
      <c r="EZ112" s="139"/>
      <c r="FA112" s="139"/>
      <c r="FB112" s="139"/>
      <c r="FC112" s="139"/>
      <c r="FD112" s="139"/>
      <c r="FE112" s="139"/>
      <c r="FF112" s="139"/>
      <c r="FG112" s="139"/>
      <c r="FH112" s="86"/>
      <c r="FI112" s="86"/>
      <c r="FJ112" s="86"/>
      <c r="FK112" s="86"/>
      <c r="FL112" s="86"/>
      <c r="FM112" s="86"/>
      <c r="FN112" s="86"/>
      <c r="FO112" s="86"/>
      <c r="FP112" s="86"/>
      <c r="FQ112" s="86"/>
      <c r="FR112" s="86"/>
      <c r="FS112" s="86"/>
      <c r="FT112" s="86"/>
      <c r="FU112" s="86"/>
      <c r="FV112" s="87"/>
      <c r="FW112" s="87"/>
      <c r="FX112" s="87"/>
      <c r="FY112" s="87"/>
      <c r="FZ112" s="87"/>
      <c r="GA112" s="87"/>
      <c r="GB112" s="87"/>
      <c r="GC112" s="87"/>
      <c r="GD112" s="87"/>
      <c r="GE112" s="87"/>
      <c r="GF112" s="87"/>
      <c r="GG112" s="87"/>
      <c r="GH112" s="87"/>
      <c r="GI112" s="87"/>
      <c r="GJ112" s="87"/>
      <c r="GK112" s="87"/>
    </row>
    <row r="113" spans="1:193">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c r="CE113" s="139"/>
      <c r="CF113" s="139"/>
      <c r="CG113" s="139"/>
      <c r="CH113" s="139"/>
      <c r="CI113" s="139"/>
      <c r="CJ113" s="139"/>
      <c r="CK113" s="139"/>
      <c r="CL113" s="139"/>
      <c r="CM113" s="139"/>
      <c r="CN113" s="139"/>
      <c r="CO113" s="139"/>
      <c r="CP113" s="139"/>
      <c r="CQ113" s="139"/>
      <c r="CR113" s="139"/>
      <c r="CS113" s="139"/>
      <c r="CT113" s="139"/>
      <c r="CU113" s="139"/>
      <c r="CV113" s="139"/>
      <c r="CW113" s="139"/>
      <c r="CX113" s="139"/>
      <c r="CY113" s="139"/>
      <c r="CZ113" s="139"/>
      <c r="DA113" s="139"/>
      <c r="DB113" s="139"/>
      <c r="DC113" s="139"/>
      <c r="DD113" s="139"/>
      <c r="DE113" s="139"/>
      <c r="DF113" s="139"/>
      <c r="DG113" s="139"/>
      <c r="DH113" s="139"/>
      <c r="DI113" s="139"/>
      <c r="DJ113" s="139"/>
      <c r="DK113" s="139"/>
      <c r="DL113" s="139"/>
      <c r="DM113" s="139"/>
      <c r="DN113" s="139"/>
      <c r="DO113" s="139"/>
      <c r="DP113" s="139"/>
      <c r="DQ113" s="139"/>
      <c r="DR113" s="139"/>
      <c r="DS113" s="139"/>
      <c r="DT113" s="139"/>
      <c r="DU113" s="139"/>
      <c r="DV113" s="139"/>
      <c r="DW113" s="139"/>
      <c r="DX113" s="139"/>
      <c r="DY113" s="139"/>
      <c r="DZ113" s="139"/>
      <c r="EA113" s="139"/>
      <c r="EB113" s="139"/>
      <c r="EC113" s="139"/>
      <c r="ED113" s="139"/>
      <c r="EE113" s="139"/>
      <c r="EF113" s="139"/>
      <c r="EG113" s="139"/>
      <c r="EH113" s="139"/>
      <c r="EI113" s="139"/>
      <c r="EJ113" s="139"/>
      <c r="EK113" s="139"/>
      <c r="EL113" s="139"/>
      <c r="EM113" s="139"/>
      <c r="EN113" s="139"/>
      <c r="EO113" s="139"/>
      <c r="EP113" s="139"/>
      <c r="EQ113" s="139"/>
      <c r="ER113" s="139"/>
      <c r="ES113" s="139"/>
      <c r="ET113" s="139"/>
      <c r="EU113" s="139"/>
      <c r="EV113" s="139"/>
      <c r="EW113" s="139"/>
      <c r="EX113" s="139"/>
      <c r="EY113" s="139"/>
      <c r="EZ113" s="139"/>
      <c r="FA113" s="139"/>
      <c r="FB113" s="139"/>
      <c r="FC113" s="139"/>
      <c r="FD113" s="139"/>
      <c r="FE113" s="139"/>
      <c r="FF113" s="139"/>
      <c r="FG113" s="139"/>
      <c r="FH113" s="86"/>
      <c r="FI113" s="86"/>
      <c r="FJ113" s="86"/>
      <c r="FK113" s="86"/>
      <c r="FL113" s="86"/>
      <c r="FM113" s="86"/>
      <c r="FN113" s="86"/>
      <c r="FO113" s="86"/>
      <c r="FP113" s="86"/>
      <c r="FQ113" s="86"/>
      <c r="FR113" s="86"/>
      <c r="FS113" s="86"/>
      <c r="FT113" s="86"/>
      <c r="FU113" s="86"/>
      <c r="FV113" s="87"/>
      <c r="FW113" s="87"/>
      <c r="FX113" s="87"/>
      <c r="FY113" s="87"/>
      <c r="FZ113" s="87"/>
      <c r="GA113" s="87"/>
      <c r="GB113" s="87"/>
      <c r="GC113" s="87"/>
      <c r="GD113" s="87"/>
      <c r="GE113" s="87"/>
      <c r="GF113" s="87"/>
      <c r="GG113" s="87"/>
      <c r="GH113" s="87"/>
      <c r="GI113" s="87"/>
      <c r="GJ113" s="87"/>
      <c r="GK113" s="87"/>
    </row>
    <row r="114" spans="1:193">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c r="CI114" s="139"/>
      <c r="CJ114" s="139"/>
      <c r="CK114" s="139"/>
      <c r="CL114" s="139"/>
      <c r="CM114" s="139"/>
      <c r="CN114" s="139"/>
      <c r="CO114" s="139"/>
      <c r="CP114" s="139"/>
      <c r="CQ114" s="139"/>
      <c r="CR114" s="139"/>
      <c r="CS114" s="139"/>
      <c r="CT114" s="139"/>
      <c r="CU114" s="139"/>
      <c r="CV114" s="139"/>
      <c r="CW114" s="139"/>
      <c r="CX114" s="139"/>
      <c r="CY114" s="139"/>
      <c r="CZ114" s="139"/>
      <c r="DA114" s="139"/>
      <c r="DB114" s="139"/>
      <c r="DC114" s="139"/>
      <c r="DD114" s="139"/>
      <c r="DE114" s="139"/>
      <c r="DF114" s="139"/>
      <c r="DG114" s="139"/>
      <c r="DH114" s="139"/>
      <c r="DI114" s="139"/>
      <c r="DJ114" s="139"/>
      <c r="DK114" s="139"/>
      <c r="DL114" s="139"/>
      <c r="DM114" s="139"/>
      <c r="DN114" s="139"/>
      <c r="DO114" s="139"/>
      <c r="DP114" s="139"/>
      <c r="DQ114" s="139"/>
      <c r="DR114" s="139"/>
      <c r="DS114" s="139"/>
      <c r="DT114" s="139"/>
      <c r="DU114" s="139"/>
      <c r="DV114" s="139"/>
      <c r="DW114" s="139"/>
      <c r="DX114" s="139"/>
      <c r="DY114" s="139"/>
      <c r="DZ114" s="139"/>
      <c r="EA114" s="139"/>
      <c r="EB114" s="139"/>
      <c r="EC114" s="139"/>
      <c r="ED114" s="139"/>
      <c r="EE114" s="139"/>
      <c r="EF114" s="139"/>
      <c r="EG114" s="139"/>
      <c r="EH114" s="139"/>
      <c r="EI114" s="139"/>
      <c r="EJ114" s="139"/>
      <c r="EK114" s="139"/>
      <c r="EL114" s="139"/>
      <c r="EM114" s="139"/>
      <c r="EN114" s="139"/>
      <c r="EO114" s="139"/>
      <c r="EP114" s="139"/>
      <c r="EQ114" s="139"/>
      <c r="ER114" s="139"/>
      <c r="ES114" s="139"/>
      <c r="ET114" s="139"/>
      <c r="EU114" s="139"/>
      <c r="EV114" s="139"/>
      <c r="EW114" s="139"/>
      <c r="EX114" s="139"/>
      <c r="EY114" s="139"/>
      <c r="EZ114" s="139"/>
      <c r="FA114" s="139"/>
      <c r="FB114" s="139"/>
      <c r="FC114" s="139"/>
      <c r="FD114" s="139"/>
      <c r="FE114" s="139"/>
      <c r="FF114" s="139"/>
      <c r="FG114" s="139"/>
      <c r="FH114" s="86"/>
      <c r="FI114" s="86"/>
      <c r="FJ114" s="86"/>
      <c r="FK114" s="86"/>
      <c r="FL114" s="86"/>
      <c r="FM114" s="86"/>
      <c r="FN114" s="86"/>
      <c r="FO114" s="86"/>
      <c r="FP114" s="86"/>
      <c r="FQ114" s="86"/>
      <c r="FR114" s="86"/>
      <c r="FS114" s="86"/>
      <c r="FT114" s="86"/>
      <c r="FU114" s="86"/>
      <c r="FV114" s="87"/>
      <c r="FW114" s="87"/>
      <c r="FX114" s="87"/>
      <c r="FY114" s="87"/>
      <c r="FZ114" s="87"/>
      <c r="GA114" s="87"/>
      <c r="GB114" s="87"/>
      <c r="GC114" s="87"/>
      <c r="GD114" s="87"/>
      <c r="GE114" s="87"/>
      <c r="GF114" s="87"/>
      <c r="GG114" s="87"/>
      <c r="GH114" s="87"/>
      <c r="GI114" s="87"/>
      <c r="GJ114" s="87"/>
      <c r="GK114" s="87"/>
    </row>
    <row r="115" spans="1:193">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139"/>
      <c r="CR115" s="139"/>
      <c r="CS115" s="139"/>
      <c r="CT115" s="139"/>
      <c r="CU115" s="139"/>
      <c r="CV115" s="139"/>
      <c r="CW115" s="139"/>
      <c r="CX115" s="139"/>
      <c r="CY115" s="139"/>
      <c r="CZ115" s="139"/>
      <c r="DA115" s="139"/>
      <c r="DB115" s="139"/>
      <c r="DC115" s="139"/>
      <c r="DD115" s="139"/>
      <c r="DE115" s="139"/>
      <c r="DF115" s="139"/>
      <c r="DG115" s="139"/>
      <c r="DH115" s="139"/>
      <c r="DI115" s="139"/>
      <c r="DJ115" s="139"/>
      <c r="DK115" s="139"/>
      <c r="DL115" s="139"/>
      <c r="DM115" s="139"/>
      <c r="DN115" s="139"/>
      <c r="DO115" s="139"/>
      <c r="DP115" s="139"/>
      <c r="DQ115" s="139"/>
      <c r="DR115" s="139"/>
      <c r="DS115" s="139"/>
      <c r="DT115" s="139"/>
      <c r="DU115" s="139"/>
      <c r="DV115" s="139"/>
      <c r="DW115" s="139"/>
      <c r="DX115" s="139"/>
      <c r="DY115" s="139"/>
      <c r="DZ115" s="139"/>
      <c r="EA115" s="139"/>
      <c r="EB115" s="139"/>
      <c r="EC115" s="139"/>
      <c r="ED115" s="139"/>
      <c r="EE115" s="139"/>
      <c r="EF115" s="139"/>
      <c r="EG115" s="139"/>
      <c r="EH115" s="139"/>
      <c r="EI115" s="139"/>
      <c r="EJ115" s="139"/>
      <c r="EK115" s="139"/>
      <c r="EL115" s="139"/>
      <c r="EM115" s="139"/>
      <c r="EN115" s="139"/>
      <c r="EO115" s="139"/>
      <c r="EP115" s="139"/>
      <c r="EQ115" s="139"/>
      <c r="ER115" s="139"/>
      <c r="ES115" s="139"/>
      <c r="ET115" s="139"/>
      <c r="EU115" s="139"/>
      <c r="EV115" s="139"/>
      <c r="EW115" s="139"/>
      <c r="EX115" s="139"/>
      <c r="EY115" s="139"/>
      <c r="EZ115" s="139"/>
      <c r="FA115" s="139"/>
      <c r="FB115" s="139"/>
      <c r="FC115" s="139"/>
      <c r="FD115" s="139"/>
      <c r="FE115" s="139"/>
      <c r="FF115" s="139"/>
      <c r="FG115" s="139"/>
      <c r="FH115" s="86"/>
      <c r="FI115" s="86"/>
      <c r="FJ115" s="86"/>
      <c r="FK115" s="86"/>
      <c r="FL115" s="86"/>
      <c r="FM115" s="86"/>
      <c r="FN115" s="86"/>
      <c r="FO115" s="86"/>
      <c r="FP115" s="86"/>
      <c r="FQ115" s="86"/>
      <c r="FR115" s="86"/>
      <c r="FS115" s="86"/>
      <c r="FT115" s="86"/>
      <c r="FU115" s="86"/>
      <c r="FV115" s="87"/>
      <c r="FW115" s="87"/>
      <c r="FX115" s="87"/>
      <c r="FY115" s="87"/>
      <c r="FZ115" s="87"/>
      <c r="GA115" s="87"/>
      <c r="GB115" s="87"/>
      <c r="GC115" s="87"/>
      <c r="GD115" s="87"/>
      <c r="GE115" s="87"/>
      <c r="GF115" s="87"/>
      <c r="GG115" s="87"/>
      <c r="GH115" s="87"/>
      <c r="GI115" s="87"/>
      <c r="GJ115" s="87"/>
      <c r="GK115" s="87"/>
    </row>
    <row r="116" spans="1:193">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c r="CA116" s="139"/>
      <c r="CB116" s="139"/>
      <c r="CC116" s="139"/>
      <c r="CD116" s="139"/>
      <c r="CE116" s="139"/>
      <c r="CF116" s="139"/>
      <c r="CG116" s="139"/>
      <c r="CH116" s="139"/>
      <c r="CI116" s="139"/>
      <c r="CJ116" s="139"/>
      <c r="CK116" s="139"/>
      <c r="CL116" s="139"/>
      <c r="CM116" s="139"/>
      <c r="CN116" s="139"/>
      <c r="CO116" s="139"/>
      <c r="CP116" s="139"/>
      <c r="CQ116" s="139"/>
      <c r="CR116" s="139"/>
      <c r="CS116" s="139"/>
      <c r="CT116" s="139"/>
      <c r="CU116" s="139"/>
      <c r="CV116" s="139"/>
      <c r="CW116" s="139"/>
      <c r="CX116" s="139"/>
      <c r="CY116" s="139"/>
      <c r="CZ116" s="139"/>
      <c r="DA116" s="139"/>
      <c r="DB116" s="139"/>
      <c r="DC116" s="139"/>
      <c r="DD116" s="139"/>
      <c r="DE116" s="139"/>
      <c r="DF116" s="139"/>
      <c r="DG116" s="139"/>
      <c r="DH116" s="139"/>
      <c r="DI116" s="139"/>
      <c r="DJ116" s="139"/>
      <c r="DK116" s="139"/>
      <c r="DL116" s="139"/>
      <c r="DM116" s="139"/>
      <c r="DN116" s="139"/>
      <c r="DO116" s="139"/>
      <c r="DP116" s="139"/>
      <c r="DQ116" s="139"/>
      <c r="DR116" s="139"/>
      <c r="DS116" s="139"/>
      <c r="DT116" s="139"/>
      <c r="DU116" s="139"/>
      <c r="DV116" s="139"/>
      <c r="DW116" s="139"/>
      <c r="DX116" s="139"/>
      <c r="DY116" s="139"/>
      <c r="DZ116" s="139"/>
      <c r="EA116" s="139"/>
      <c r="EB116" s="139"/>
      <c r="EC116" s="139"/>
      <c r="ED116" s="139"/>
      <c r="EE116" s="139"/>
      <c r="EF116" s="139"/>
      <c r="EG116" s="139"/>
      <c r="EH116" s="139"/>
      <c r="EI116" s="139"/>
      <c r="EJ116" s="139"/>
      <c r="EK116" s="139"/>
      <c r="EL116" s="139"/>
      <c r="EM116" s="139"/>
      <c r="EN116" s="139"/>
      <c r="EO116" s="139"/>
      <c r="EP116" s="139"/>
      <c r="EQ116" s="139"/>
      <c r="ER116" s="139"/>
      <c r="ES116" s="139"/>
      <c r="ET116" s="139"/>
      <c r="EU116" s="139"/>
      <c r="EV116" s="139"/>
      <c r="EW116" s="139"/>
      <c r="EX116" s="139"/>
      <c r="EY116" s="139"/>
      <c r="EZ116" s="139"/>
      <c r="FA116" s="139"/>
      <c r="FB116" s="139"/>
      <c r="FC116" s="139"/>
      <c r="FD116" s="139"/>
      <c r="FE116" s="139"/>
      <c r="FF116" s="139"/>
      <c r="FG116" s="139"/>
      <c r="FH116" s="86"/>
      <c r="FI116" s="86"/>
      <c r="FJ116" s="86"/>
      <c r="FK116" s="86"/>
      <c r="FL116" s="86"/>
      <c r="FM116" s="86"/>
      <c r="FN116" s="86"/>
      <c r="FO116" s="86"/>
      <c r="FP116" s="86"/>
      <c r="FQ116" s="86"/>
      <c r="FR116" s="86"/>
      <c r="FS116" s="86"/>
      <c r="FT116" s="86"/>
      <c r="FU116" s="86"/>
      <c r="FV116" s="87"/>
      <c r="FW116" s="87"/>
      <c r="FX116" s="87"/>
      <c r="FY116" s="87"/>
      <c r="FZ116" s="87"/>
      <c r="GA116" s="87"/>
      <c r="GB116" s="87"/>
      <c r="GC116" s="87"/>
      <c r="GD116" s="87"/>
      <c r="GE116" s="87"/>
      <c r="GF116" s="87"/>
      <c r="GG116" s="87"/>
      <c r="GH116" s="87"/>
      <c r="GI116" s="87"/>
      <c r="GJ116" s="87"/>
      <c r="GK116" s="87"/>
    </row>
    <row r="117" spans="1:193">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c r="EG117" s="139"/>
      <c r="EH117" s="139"/>
      <c r="EI117" s="139"/>
      <c r="EJ117" s="139"/>
      <c r="EK117" s="139"/>
      <c r="EL117" s="139"/>
      <c r="EM117" s="139"/>
      <c r="EN117" s="139"/>
      <c r="EO117" s="139"/>
      <c r="EP117" s="139"/>
      <c r="EQ117" s="139"/>
      <c r="ER117" s="139"/>
      <c r="ES117" s="139"/>
      <c r="ET117" s="139"/>
      <c r="EU117" s="139"/>
      <c r="EV117" s="139"/>
      <c r="EW117" s="139"/>
      <c r="EX117" s="139"/>
      <c r="EY117" s="139"/>
      <c r="EZ117" s="139"/>
      <c r="FA117" s="139"/>
      <c r="FB117" s="139"/>
      <c r="FC117" s="139"/>
      <c r="FD117" s="139"/>
      <c r="FE117" s="139"/>
      <c r="FF117" s="139"/>
      <c r="FG117" s="139"/>
      <c r="FH117" s="86"/>
      <c r="FI117" s="86"/>
      <c r="FJ117" s="86"/>
      <c r="FK117" s="86"/>
      <c r="FL117" s="86"/>
      <c r="FM117" s="86"/>
      <c r="FN117" s="86"/>
      <c r="FO117" s="86"/>
      <c r="FP117" s="86"/>
      <c r="FQ117" s="86"/>
      <c r="FR117" s="86"/>
      <c r="FS117" s="86"/>
      <c r="FT117" s="86"/>
      <c r="FU117" s="86"/>
      <c r="FV117" s="87"/>
      <c r="FW117" s="87"/>
      <c r="FX117" s="87"/>
      <c r="FY117" s="87"/>
      <c r="FZ117" s="87"/>
      <c r="GA117" s="87"/>
      <c r="GB117" s="87"/>
      <c r="GC117" s="87"/>
      <c r="GD117" s="87"/>
      <c r="GE117" s="87"/>
      <c r="GF117" s="87"/>
      <c r="GG117" s="87"/>
      <c r="GH117" s="87"/>
      <c r="GI117" s="87"/>
      <c r="GJ117" s="87"/>
      <c r="GK117" s="87"/>
    </row>
    <row r="118" spans="1:193">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c r="EG118" s="139"/>
      <c r="EH118" s="139"/>
      <c r="EI118" s="139"/>
      <c r="EJ118" s="139"/>
      <c r="EK118" s="139"/>
      <c r="EL118" s="139"/>
      <c r="EM118" s="139"/>
      <c r="EN118" s="139"/>
      <c r="EO118" s="139"/>
      <c r="EP118" s="139"/>
      <c r="EQ118" s="139"/>
      <c r="ER118" s="139"/>
      <c r="ES118" s="139"/>
      <c r="ET118" s="139"/>
      <c r="EU118" s="139"/>
      <c r="EV118" s="139"/>
      <c r="EW118" s="139"/>
      <c r="EX118" s="139"/>
      <c r="EY118" s="139"/>
      <c r="EZ118" s="139"/>
      <c r="FA118" s="139"/>
      <c r="FB118" s="139"/>
      <c r="FC118" s="139"/>
      <c r="FD118" s="139"/>
      <c r="FE118" s="139"/>
      <c r="FF118" s="139"/>
      <c r="FG118" s="139"/>
      <c r="FH118" s="86"/>
      <c r="FI118" s="86"/>
      <c r="FJ118" s="86"/>
      <c r="FK118" s="86"/>
      <c r="FL118" s="86"/>
      <c r="FM118" s="86"/>
      <c r="FN118" s="86"/>
      <c r="FO118" s="86"/>
      <c r="FP118" s="86"/>
      <c r="FQ118" s="86"/>
      <c r="FR118" s="86"/>
      <c r="FS118" s="86"/>
      <c r="FT118" s="86"/>
      <c r="FU118" s="86"/>
      <c r="FV118" s="87"/>
      <c r="FW118" s="87"/>
      <c r="FX118" s="87"/>
      <c r="FY118" s="87"/>
      <c r="FZ118" s="87"/>
      <c r="GA118" s="87"/>
      <c r="GB118" s="87"/>
      <c r="GC118" s="87"/>
      <c r="GD118" s="87"/>
      <c r="GE118" s="87"/>
      <c r="GF118" s="87"/>
      <c r="GG118" s="87"/>
      <c r="GH118" s="87"/>
      <c r="GI118" s="87"/>
      <c r="GJ118" s="87"/>
      <c r="GK118" s="87"/>
    </row>
    <row r="119" spans="1:193">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39"/>
      <c r="DM119" s="139"/>
      <c r="DN119" s="139"/>
      <c r="DO119" s="139"/>
      <c r="DP119" s="139"/>
      <c r="DQ119" s="139"/>
      <c r="DR119" s="139"/>
      <c r="DS119" s="139"/>
      <c r="DT119" s="139"/>
      <c r="DU119" s="139"/>
      <c r="DV119" s="139"/>
      <c r="DW119" s="139"/>
      <c r="DX119" s="139"/>
      <c r="DY119" s="139"/>
      <c r="DZ119" s="139"/>
      <c r="EA119" s="139"/>
      <c r="EB119" s="139"/>
      <c r="EC119" s="139"/>
      <c r="ED119" s="139"/>
      <c r="EE119" s="139"/>
      <c r="EF119" s="139"/>
      <c r="EG119" s="139"/>
      <c r="EH119" s="139"/>
      <c r="EI119" s="139"/>
      <c r="EJ119" s="139"/>
      <c r="EK119" s="139"/>
      <c r="EL119" s="139"/>
      <c r="EM119" s="139"/>
      <c r="EN119" s="139"/>
      <c r="EO119" s="139"/>
      <c r="EP119" s="139"/>
      <c r="EQ119" s="139"/>
      <c r="ER119" s="139"/>
      <c r="ES119" s="139"/>
      <c r="ET119" s="139"/>
      <c r="EU119" s="139"/>
      <c r="EV119" s="139"/>
      <c r="EW119" s="139"/>
      <c r="EX119" s="139"/>
      <c r="EY119" s="139"/>
      <c r="EZ119" s="139"/>
      <c r="FA119" s="139"/>
      <c r="FB119" s="139"/>
      <c r="FC119" s="139"/>
      <c r="FD119" s="139"/>
      <c r="FE119" s="139"/>
      <c r="FF119" s="139"/>
      <c r="FG119" s="139"/>
      <c r="FH119" s="86"/>
      <c r="FI119" s="86"/>
      <c r="FJ119" s="86"/>
      <c r="FK119" s="86"/>
      <c r="FL119" s="86"/>
      <c r="FM119" s="86"/>
      <c r="FN119" s="86"/>
      <c r="FO119" s="86"/>
      <c r="FP119" s="86"/>
      <c r="FQ119" s="86"/>
      <c r="FR119" s="86"/>
      <c r="FS119" s="86"/>
      <c r="FT119" s="86"/>
      <c r="FU119" s="86"/>
      <c r="FV119" s="87"/>
      <c r="FW119" s="87"/>
      <c r="FX119" s="87"/>
      <c r="FY119" s="87"/>
      <c r="FZ119" s="87"/>
      <c r="GA119" s="87"/>
      <c r="GB119" s="87"/>
      <c r="GC119" s="87"/>
      <c r="GD119" s="87"/>
      <c r="GE119" s="87"/>
      <c r="GF119" s="87"/>
      <c r="GG119" s="87"/>
      <c r="GH119" s="87"/>
      <c r="GI119" s="87"/>
      <c r="GJ119" s="87"/>
      <c r="GK119" s="87"/>
    </row>
    <row r="120" spans="1:193">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c r="CA120" s="139"/>
      <c r="CB120" s="139"/>
      <c r="CC120" s="139"/>
      <c r="CD120" s="139"/>
      <c r="CE120" s="139"/>
      <c r="CF120" s="139"/>
      <c r="CG120" s="139"/>
      <c r="CH120" s="139"/>
      <c r="CI120" s="139"/>
      <c r="CJ120" s="139"/>
      <c r="CK120" s="139"/>
      <c r="CL120" s="139"/>
      <c r="CM120" s="139"/>
      <c r="CN120" s="139"/>
      <c r="CO120" s="139"/>
      <c r="CP120" s="139"/>
      <c r="CQ120" s="139"/>
      <c r="CR120" s="139"/>
      <c r="CS120" s="139"/>
      <c r="CT120" s="139"/>
      <c r="CU120" s="139"/>
      <c r="CV120" s="139"/>
      <c r="CW120" s="139"/>
      <c r="CX120" s="139"/>
      <c r="CY120" s="139"/>
      <c r="CZ120" s="139"/>
      <c r="DA120" s="139"/>
      <c r="DB120" s="139"/>
      <c r="DC120" s="139"/>
      <c r="DD120" s="139"/>
      <c r="DE120" s="139"/>
      <c r="DF120" s="139"/>
      <c r="DG120" s="139"/>
      <c r="DH120" s="139"/>
      <c r="DI120" s="139"/>
      <c r="DJ120" s="139"/>
      <c r="DK120" s="139"/>
      <c r="DL120" s="139"/>
      <c r="DM120" s="139"/>
      <c r="DN120" s="139"/>
      <c r="DO120" s="139"/>
      <c r="DP120" s="139"/>
      <c r="DQ120" s="139"/>
      <c r="DR120" s="139"/>
      <c r="DS120" s="139"/>
      <c r="DT120" s="139"/>
      <c r="DU120" s="139"/>
      <c r="DV120" s="139"/>
      <c r="DW120" s="139"/>
      <c r="DX120" s="139"/>
      <c r="DY120" s="139"/>
      <c r="DZ120" s="139"/>
      <c r="EA120" s="139"/>
      <c r="EB120" s="139"/>
      <c r="EC120" s="139"/>
      <c r="ED120" s="139"/>
      <c r="EE120" s="139"/>
      <c r="EF120" s="139"/>
      <c r="EG120" s="139"/>
      <c r="EH120" s="139"/>
      <c r="EI120" s="139"/>
      <c r="EJ120" s="139"/>
      <c r="EK120" s="139"/>
      <c r="EL120" s="139"/>
      <c r="EM120" s="139"/>
      <c r="EN120" s="139"/>
      <c r="EO120" s="139"/>
      <c r="EP120" s="139"/>
      <c r="EQ120" s="139"/>
      <c r="ER120" s="139"/>
      <c r="ES120" s="139"/>
      <c r="ET120" s="139"/>
      <c r="EU120" s="139"/>
      <c r="EV120" s="139"/>
      <c r="EW120" s="139"/>
      <c r="EX120" s="139"/>
      <c r="EY120" s="139"/>
      <c r="EZ120" s="139"/>
      <c r="FA120" s="139"/>
      <c r="FB120" s="139"/>
      <c r="FC120" s="139"/>
      <c r="FD120" s="139"/>
      <c r="FE120" s="139"/>
      <c r="FF120" s="139"/>
      <c r="FG120" s="139"/>
      <c r="FH120" s="86"/>
      <c r="FI120" s="86"/>
      <c r="FJ120" s="86"/>
      <c r="FK120" s="86"/>
      <c r="FL120" s="86"/>
      <c r="FM120" s="86"/>
      <c r="FN120" s="86"/>
      <c r="FO120" s="86"/>
      <c r="FP120" s="86"/>
      <c r="FQ120" s="86"/>
      <c r="FR120" s="86"/>
      <c r="FS120" s="86"/>
      <c r="FT120" s="86"/>
      <c r="FU120" s="86"/>
      <c r="FV120" s="87"/>
      <c r="FW120" s="87"/>
      <c r="FX120" s="87"/>
      <c r="FY120" s="87"/>
      <c r="FZ120" s="87"/>
      <c r="GA120" s="87"/>
      <c r="GB120" s="87"/>
      <c r="GC120" s="87"/>
      <c r="GD120" s="87"/>
      <c r="GE120" s="87"/>
      <c r="GF120" s="87"/>
      <c r="GG120" s="87"/>
      <c r="GH120" s="87"/>
      <c r="GI120" s="87"/>
      <c r="GJ120" s="87"/>
      <c r="GK120" s="87"/>
    </row>
    <row r="121" spans="1:193">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c r="CA121" s="139"/>
      <c r="CB121" s="139"/>
      <c r="CC121" s="139"/>
      <c r="CD121" s="139"/>
      <c r="CE121" s="139"/>
      <c r="CF121" s="139"/>
      <c r="CG121" s="139"/>
      <c r="CH121" s="139"/>
      <c r="CI121" s="139"/>
      <c r="CJ121" s="139"/>
      <c r="CK121" s="139"/>
      <c r="CL121" s="139"/>
      <c r="CM121" s="139"/>
      <c r="CN121" s="139"/>
      <c r="CO121" s="139"/>
      <c r="CP121" s="139"/>
      <c r="CQ121" s="139"/>
      <c r="CR121" s="139"/>
      <c r="CS121" s="139"/>
      <c r="CT121" s="139"/>
      <c r="CU121" s="139"/>
      <c r="CV121" s="139"/>
      <c r="CW121" s="139"/>
      <c r="CX121" s="139"/>
      <c r="CY121" s="139"/>
      <c r="CZ121" s="139"/>
      <c r="DA121" s="139"/>
      <c r="DB121" s="139"/>
      <c r="DC121" s="139"/>
      <c r="DD121" s="139"/>
      <c r="DE121" s="139"/>
      <c r="DF121" s="139"/>
      <c r="DG121" s="139"/>
      <c r="DH121" s="139"/>
      <c r="DI121" s="139"/>
      <c r="DJ121" s="139"/>
      <c r="DK121" s="139"/>
      <c r="DL121" s="139"/>
      <c r="DM121" s="139"/>
      <c r="DN121" s="139"/>
      <c r="DO121" s="139"/>
      <c r="DP121" s="139"/>
      <c r="DQ121" s="139"/>
      <c r="DR121" s="139"/>
      <c r="DS121" s="139"/>
      <c r="DT121" s="139"/>
      <c r="DU121" s="139"/>
      <c r="DV121" s="139"/>
      <c r="DW121" s="139"/>
      <c r="DX121" s="139"/>
      <c r="DY121" s="139"/>
      <c r="DZ121" s="139"/>
      <c r="EA121" s="139"/>
      <c r="EB121" s="139"/>
      <c r="EC121" s="139"/>
      <c r="ED121" s="139"/>
      <c r="EE121" s="139"/>
      <c r="EF121" s="139"/>
      <c r="EG121" s="139"/>
      <c r="EH121" s="139"/>
      <c r="EI121" s="139"/>
      <c r="EJ121" s="139"/>
      <c r="EK121" s="139"/>
      <c r="EL121" s="139"/>
      <c r="EM121" s="139"/>
      <c r="EN121" s="139"/>
      <c r="EO121" s="139"/>
      <c r="EP121" s="139"/>
      <c r="EQ121" s="139"/>
      <c r="ER121" s="139"/>
      <c r="ES121" s="139"/>
      <c r="ET121" s="139"/>
      <c r="EU121" s="139"/>
      <c r="EV121" s="139"/>
      <c r="EW121" s="139"/>
      <c r="EX121" s="139"/>
      <c r="EY121" s="139"/>
      <c r="EZ121" s="139"/>
      <c r="FA121" s="139"/>
      <c r="FB121" s="139"/>
      <c r="FC121" s="139"/>
      <c r="FD121" s="139"/>
      <c r="FE121" s="139"/>
      <c r="FF121" s="139"/>
      <c r="FG121" s="139"/>
      <c r="FH121" s="86"/>
      <c r="FI121" s="86"/>
      <c r="FJ121" s="86"/>
      <c r="FK121" s="86"/>
      <c r="FL121" s="86"/>
      <c r="FM121" s="86"/>
      <c r="FN121" s="86"/>
      <c r="FO121" s="86"/>
      <c r="FP121" s="86"/>
      <c r="FQ121" s="86"/>
      <c r="FR121" s="86"/>
      <c r="FS121" s="86"/>
      <c r="FT121" s="86"/>
      <c r="FU121" s="86"/>
      <c r="FV121" s="87"/>
      <c r="FW121" s="87"/>
      <c r="FX121" s="87"/>
      <c r="FY121" s="87"/>
      <c r="FZ121" s="87"/>
      <c r="GA121" s="87"/>
      <c r="GB121" s="87"/>
      <c r="GC121" s="87"/>
      <c r="GD121" s="87"/>
      <c r="GE121" s="87"/>
      <c r="GF121" s="87"/>
      <c r="GG121" s="87"/>
      <c r="GH121" s="87"/>
      <c r="GI121" s="87"/>
      <c r="GJ121" s="87"/>
      <c r="GK121" s="87"/>
    </row>
    <row r="122" spans="1:193">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c r="CD122" s="139"/>
      <c r="CE122" s="139"/>
      <c r="CF122" s="139"/>
      <c r="CG122" s="139"/>
      <c r="CH122" s="139"/>
      <c r="CI122" s="139"/>
      <c r="CJ122" s="139"/>
      <c r="CK122" s="139"/>
      <c r="CL122" s="139"/>
      <c r="CM122" s="139"/>
      <c r="CN122" s="139"/>
      <c r="CO122" s="139"/>
      <c r="CP122" s="139"/>
      <c r="CQ122" s="139"/>
      <c r="CR122" s="139"/>
      <c r="CS122" s="139"/>
      <c r="CT122" s="139"/>
      <c r="CU122" s="139"/>
      <c r="CV122" s="139"/>
      <c r="CW122" s="139"/>
      <c r="CX122" s="139"/>
      <c r="CY122" s="139"/>
      <c r="CZ122" s="139"/>
      <c r="DA122" s="139"/>
      <c r="DB122" s="139"/>
      <c r="DC122" s="139"/>
      <c r="DD122" s="139"/>
      <c r="DE122" s="139"/>
      <c r="DF122" s="139"/>
      <c r="DG122" s="139"/>
      <c r="DH122" s="139"/>
      <c r="DI122" s="139"/>
      <c r="DJ122" s="139"/>
      <c r="DK122" s="139"/>
      <c r="DL122" s="139"/>
      <c r="DM122" s="139"/>
      <c r="DN122" s="139"/>
      <c r="DO122" s="139"/>
      <c r="DP122" s="139"/>
      <c r="DQ122" s="139"/>
      <c r="DR122" s="139"/>
      <c r="DS122" s="139"/>
      <c r="DT122" s="139"/>
      <c r="DU122" s="139"/>
      <c r="DV122" s="139"/>
      <c r="DW122" s="139"/>
      <c r="DX122" s="139"/>
      <c r="DY122" s="139"/>
      <c r="DZ122" s="139"/>
      <c r="EA122" s="139"/>
      <c r="EB122" s="139"/>
      <c r="EC122" s="139"/>
      <c r="ED122" s="139"/>
      <c r="EE122" s="139"/>
      <c r="EF122" s="139"/>
      <c r="EG122" s="139"/>
      <c r="EH122" s="139"/>
      <c r="EI122" s="139"/>
      <c r="EJ122" s="139"/>
      <c r="EK122" s="139"/>
      <c r="EL122" s="139"/>
      <c r="EM122" s="139"/>
      <c r="EN122" s="139"/>
      <c r="EO122" s="139"/>
      <c r="EP122" s="139"/>
      <c r="EQ122" s="139"/>
      <c r="ER122" s="139"/>
      <c r="ES122" s="139"/>
      <c r="ET122" s="139"/>
      <c r="EU122" s="139"/>
      <c r="EV122" s="139"/>
      <c r="EW122" s="139"/>
      <c r="EX122" s="139"/>
      <c r="EY122" s="139"/>
      <c r="EZ122" s="139"/>
      <c r="FA122" s="139"/>
      <c r="FB122" s="139"/>
      <c r="FC122" s="139"/>
      <c r="FD122" s="139"/>
      <c r="FE122" s="139"/>
      <c r="FF122" s="139"/>
      <c r="FG122" s="139"/>
      <c r="FH122" s="86"/>
      <c r="FI122" s="86"/>
      <c r="FJ122" s="86"/>
      <c r="FK122" s="86"/>
      <c r="FL122" s="86"/>
      <c r="FM122" s="86"/>
      <c r="FN122" s="86"/>
      <c r="FO122" s="86"/>
      <c r="FP122" s="86"/>
      <c r="FQ122" s="86"/>
      <c r="FR122" s="86"/>
      <c r="FS122" s="86"/>
      <c r="FT122" s="86"/>
      <c r="FU122" s="86"/>
      <c r="FV122" s="87"/>
      <c r="FW122" s="87"/>
      <c r="FX122" s="87"/>
      <c r="FY122" s="87"/>
      <c r="FZ122" s="87"/>
      <c r="GA122" s="87"/>
      <c r="GB122" s="87"/>
      <c r="GC122" s="87"/>
      <c r="GD122" s="87"/>
      <c r="GE122" s="87"/>
      <c r="GF122" s="87"/>
      <c r="GG122" s="87"/>
      <c r="GH122" s="87"/>
      <c r="GI122" s="87"/>
      <c r="GJ122" s="87"/>
      <c r="GK122" s="87"/>
    </row>
    <row r="123" spans="1:193">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c r="CA123" s="139"/>
      <c r="CB123" s="139"/>
      <c r="CC123" s="139"/>
      <c r="CD123" s="139"/>
      <c r="CE123" s="139"/>
      <c r="CF123" s="139"/>
      <c r="CG123" s="139"/>
      <c r="CH123" s="139"/>
      <c r="CI123" s="139"/>
      <c r="CJ123" s="139"/>
      <c r="CK123" s="139"/>
      <c r="CL123" s="139"/>
      <c r="CM123" s="139"/>
      <c r="CN123" s="139"/>
      <c r="CO123" s="139"/>
      <c r="CP123" s="139"/>
      <c r="CQ123" s="139"/>
      <c r="CR123" s="139"/>
      <c r="CS123" s="139"/>
      <c r="CT123" s="139"/>
      <c r="CU123" s="139"/>
      <c r="CV123" s="139"/>
      <c r="CW123" s="139"/>
      <c r="CX123" s="139"/>
      <c r="CY123" s="139"/>
      <c r="CZ123" s="139"/>
      <c r="DA123" s="139"/>
      <c r="DB123" s="139"/>
      <c r="DC123" s="139"/>
      <c r="DD123" s="139"/>
      <c r="DE123" s="139"/>
      <c r="DF123" s="139"/>
      <c r="DG123" s="139"/>
      <c r="DH123" s="139"/>
      <c r="DI123" s="139"/>
      <c r="DJ123" s="139"/>
      <c r="DK123" s="139"/>
      <c r="DL123" s="139"/>
      <c r="DM123" s="139"/>
      <c r="DN123" s="139"/>
      <c r="DO123" s="139"/>
      <c r="DP123" s="139"/>
      <c r="DQ123" s="139"/>
      <c r="DR123" s="139"/>
      <c r="DS123" s="139"/>
      <c r="DT123" s="139"/>
      <c r="DU123" s="139"/>
      <c r="DV123" s="139"/>
      <c r="DW123" s="139"/>
      <c r="DX123" s="139"/>
      <c r="DY123" s="139"/>
      <c r="DZ123" s="139"/>
      <c r="EA123" s="139"/>
      <c r="EB123" s="139"/>
      <c r="EC123" s="139"/>
      <c r="ED123" s="139"/>
      <c r="EE123" s="139"/>
      <c r="EF123" s="139"/>
      <c r="EG123" s="139"/>
      <c r="EH123" s="139"/>
      <c r="EI123" s="139"/>
      <c r="EJ123" s="139"/>
      <c r="EK123" s="139"/>
      <c r="EL123" s="139"/>
      <c r="EM123" s="139"/>
      <c r="EN123" s="139"/>
      <c r="EO123" s="139"/>
      <c r="EP123" s="139"/>
      <c r="EQ123" s="139"/>
      <c r="ER123" s="139"/>
      <c r="ES123" s="139"/>
      <c r="ET123" s="139"/>
      <c r="EU123" s="139"/>
      <c r="EV123" s="139"/>
      <c r="EW123" s="139"/>
      <c r="EX123" s="139"/>
      <c r="EY123" s="139"/>
      <c r="EZ123" s="139"/>
      <c r="FA123" s="139"/>
      <c r="FB123" s="139"/>
      <c r="FC123" s="139"/>
      <c r="FD123" s="139"/>
      <c r="FE123" s="139"/>
      <c r="FF123" s="139"/>
      <c r="FG123" s="139"/>
      <c r="FH123" s="86"/>
      <c r="FI123" s="86"/>
      <c r="FJ123" s="86"/>
      <c r="FK123" s="86"/>
      <c r="FL123" s="86"/>
      <c r="FM123" s="86"/>
      <c r="FN123" s="86"/>
      <c r="FO123" s="86"/>
      <c r="FP123" s="86"/>
      <c r="FQ123" s="86"/>
      <c r="FR123" s="86"/>
      <c r="FS123" s="86"/>
      <c r="FT123" s="86"/>
      <c r="FU123" s="86"/>
      <c r="FV123" s="87"/>
      <c r="FW123" s="87"/>
      <c r="FX123" s="87"/>
      <c r="FY123" s="87"/>
      <c r="FZ123" s="87"/>
      <c r="GA123" s="87"/>
      <c r="GB123" s="87"/>
      <c r="GC123" s="87"/>
      <c r="GD123" s="87"/>
      <c r="GE123" s="87"/>
      <c r="GF123" s="87"/>
      <c r="GG123" s="87"/>
      <c r="GH123" s="87"/>
      <c r="GI123" s="87"/>
      <c r="GJ123" s="87"/>
      <c r="GK123" s="87"/>
    </row>
    <row r="124" spans="1:193">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c r="CA124" s="139"/>
      <c r="CB124" s="139"/>
      <c r="CC124" s="139"/>
      <c r="CD124" s="139"/>
      <c r="CE124" s="139"/>
      <c r="CF124" s="139"/>
      <c r="CG124" s="139"/>
      <c r="CH124" s="139"/>
      <c r="CI124" s="139"/>
      <c r="CJ124" s="139"/>
      <c r="CK124" s="139"/>
      <c r="CL124" s="139"/>
      <c r="CM124" s="139"/>
      <c r="CN124" s="139"/>
      <c r="CO124" s="139"/>
      <c r="CP124" s="139"/>
      <c r="CQ124" s="139"/>
      <c r="CR124" s="139"/>
      <c r="CS124" s="139"/>
      <c r="CT124" s="139"/>
      <c r="CU124" s="139"/>
      <c r="CV124" s="139"/>
      <c r="CW124" s="139"/>
      <c r="CX124" s="139"/>
      <c r="CY124" s="139"/>
      <c r="CZ124" s="139"/>
      <c r="DA124" s="139"/>
      <c r="DB124" s="139"/>
      <c r="DC124" s="139"/>
      <c r="DD124" s="139"/>
      <c r="DE124" s="139"/>
      <c r="DF124" s="139"/>
      <c r="DG124" s="139"/>
      <c r="DH124" s="139"/>
      <c r="DI124" s="139"/>
      <c r="DJ124" s="139"/>
      <c r="DK124" s="139"/>
      <c r="DL124" s="139"/>
      <c r="DM124" s="139"/>
      <c r="DN124" s="139"/>
      <c r="DO124" s="139"/>
      <c r="DP124" s="139"/>
      <c r="DQ124" s="139"/>
      <c r="DR124" s="139"/>
      <c r="DS124" s="139"/>
      <c r="DT124" s="139"/>
      <c r="DU124" s="139"/>
      <c r="DV124" s="139"/>
      <c r="DW124" s="139"/>
      <c r="DX124" s="139"/>
      <c r="DY124" s="139"/>
      <c r="DZ124" s="139"/>
      <c r="EA124" s="139"/>
      <c r="EB124" s="139"/>
      <c r="EC124" s="139"/>
      <c r="ED124" s="139"/>
      <c r="EE124" s="139"/>
      <c r="EF124" s="139"/>
      <c r="EG124" s="139"/>
      <c r="EH124" s="139"/>
      <c r="EI124" s="139"/>
      <c r="EJ124" s="139"/>
      <c r="EK124" s="139"/>
      <c r="EL124" s="139"/>
      <c r="EM124" s="139"/>
      <c r="EN124" s="139"/>
      <c r="EO124" s="139"/>
      <c r="EP124" s="139"/>
      <c r="EQ124" s="139"/>
      <c r="ER124" s="139"/>
      <c r="ES124" s="139"/>
      <c r="ET124" s="139"/>
      <c r="EU124" s="139"/>
      <c r="EV124" s="139"/>
      <c r="EW124" s="139"/>
      <c r="EX124" s="139"/>
      <c r="EY124" s="139"/>
      <c r="EZ124" s="139"/>
      <c r="FA124" s="139"/>
      <c r="FB124" s="139"/>
      <c r="FC124" s="139"/>
      <c r="FD124" s="139"/>
      <c r="FE124" s="139"/>
      <c r="FF124" s="139"/>
      <c r="FG124" s="139"/>
      <c r="FH124" s="86"/>
      <c r="FI124" s="86"/>
      <c r="FJ124" s="86"/>
      <c r="FK124" s="86"/>
      <c r="FL124" s="86"/>
      <c r="FM124" s="86"/>
      <c r="FN124" s="86"/>
      <c r="FO124" s="86"/>
      <c r="FP124" s="86"/>
      <c r="FQ124" s="86"/>
      <c r="FR124" s="86"/>
      <c r="FS124" s="86"/>
      <c r="FT124" s="86"/>
      <c r="FU124" s="86"/>
      <c r="FV124" s="87"/>
      <c r="FW124" s="87"/>
      <c r="FX124" s="87"/>
      <c r="FY124" s="87"/>
      <c r="FZ124" s="87"/>
      <c r="GA124" s="87"/>
      <c r="GB124" s="87"/>
      <c r="GC124" s="87"/>
      <c r="GD124" s="87"/>
      <c r="GE124" s="87"/>
      <c r="GF124" s="87"/>
      <c r="GG124" s="87"/>
      <c r="GH124" s="87"/>
      <c r="GI124" s="87"/>
      <c r="GJ124" s="87"/>
      <c r="GK124" s="87"/>
    </row>
    <row r="125" spans="1:193">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c r="CA125" s="139"/>
      <c r="CB125" s="139"/>
      <c r="CC125" s="139"/>
      <c r="CD125" s="139"/>
      <c r="CE125" s="139"/>
      <c r="CF125" s="139"/>
      <c r="CG125" s="139"/>
      <c r="CH125" s="139"/>
      <c r="CI125" s="139"/>
      <c r="CJ125" s="139"/>
      <c r="CK125" s="139"/>
      <c r="CL125" s="139"/>
      <c r="CM125" s="139"/>
      <c r="CN125" s="139"/>
      <c r="CO125" s="139"/>
      <c r="CP125" s="139"/>
      <c r="CQ125" s="139"/>
      <c r="CR125" s="139"/>
      <c r="CS125" s="139"/>
      <c r="CT125" s="139"/>
      <c r="CU125" s="139"/>
      <c r="CV125" s="139"/>
      <c r="CW125" s="139"/>
      <c r="CX125" s="139"/>
      <c r="CY125" s="139"/>
      <c r="CZ125" s="139"/>
      <c r="DA125" s="139"/>
      <c r="DB125" s="139"/>
      <c r="DC125" s="139"/>
      <c r="DD125" s="139"/>
      <c r="DE125" s="139"/>
      <c r="DF125" s="139"/>
      <c r="DG125" s="139"/>
      <c r="DH125" s="139"/>
      <c r="DI125" s="139"/>
      <c r="DJ125" s="139"/>
      <c r="DK125" s="139"/>
      <c r="DL125" s="139"/>
      <c r="DM125" s="139"/>
      <c r="DN125" s="139"/>
      <c r="DO125" s="139"/>
      <c r="DP125" s="139"/>
      <c r="DQ125" s="139"/>
      <c r="DR125" s="139"/>
      <c r="DS125" s="139"/>
      <c r="DT125" s="139"/>
      <c r="DU125" s="139"/>
      <c r="DV125" s="139"/>
      <c r="DW125" s="139"/>
      <c r="DX125" s="139"/>
      <c r="DY125" s="139"/>
      <c r="DZ125" s="139"/>
      <c r="EA125" s="139"/>
      <c r="EB125" s="139"/>
      <c r="EC125" s="139"/>
      <c r="ED125" s="139"/>
      <c r="EE125" s="139"/>
      <c r="EF125" s="139"/>
      <c r="EG125" s="139"/>
      <c r="EH125" s="139"/>
      <c r="EI125" s="139"/>
      <c r="EJ125" s="139"/>
      <c r="EK125" s="139"/>
      <c r="EL125" s="139"/>
      <c r="EM125" s="139"/>
      <c r="EN125" s="139"/>
      <c r="EO125" s="139"/>
      <c r="EP125" s="139"/>
      <c r="EQ125" s="139"/>
      <c r="ER125" s="139"/>
      <c r="ES125" s="139"/>
      <c r="ET125" s="139"/>
      <c r="EU125" s="139"/>
      <c r="EV125" s="139"/>
      <c r="EW125" s="139"/>
      <c r="EX125" s="139"/>
      <c r="EY125" s="139"/>
      <c r="EZ125" s="139"/>
      <c r="FA125" s="139"/>
      <c r="FB125" s="139"/>
      <c r="FC125" s="139"/>
      <c r="FD125" s="139"/>
      <c r="FE125" s="139"/>
      <c r="FF125" s="139"/>
      <c r="FG125" s="139"/>
      <c r="FH125" s="86"/>
      <c r="FI125" s="86"/>
      <c r="FJ125" s="86"/>
      <c r="FK125" s="86"/>
      <c r="FL125" s="86"/>
      <c r="FM125" s="86"/>
      <c r="FN125" s="86"/>
      <c r="FO125" s="86"/>
      <c r="FP125" s="86"/>
      <c r="FQ125" s="86"/>
      <c r="FR125" s="86"/>
      <c r="FS125" s="86"/>
      <c r="FT125" s="86"/>
      <c r="FU125" s="86"/>
      <c r="FV125" s="87"/>
      <c r="FW125" s="87"/>
      <c r="FX125" s="87"/>
      <c r="FY125" s="87"/>
      <c r="FZ125" s="87"/>
      <c r="GA125" s="87"/>
      <c r="GB125" s="87"/>
      <c r="GC125" s="87"/>
      <c r="GD125" s="87"/>
      <c r="GE125" s="87"/>
      <c r="GF125" s="87"/>
      <c r="GG125" s="87"/>
      <c r="GH125" s="87"/>
      <c r="GI125" s="87"/>
      <c r="GJ125" s="87"/>
      <c r="GK125" s="87"/>
    </row>
    <row r="126" spans="1:193">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c r="CA126" s="139"/>
      <c r="CB126" s="139"/>
      <c r="CC126" s="139"/>
      <c r="CD126" s="139"/>
      <c r="CE126" s="139"/>
      <c r="CF126" s="139"/>
      <c r="CG126" s="139"/>
      <c r="CH126" s="139"/>
      <c r="CI126" s="139"/>
      <c r="CJ126" s="139"/>
      <c r="CK126" s="139"/>
      <c r="CL126" s="139"/>
      <c r="CM126" s="139"/>
      <c r="CN126" s="139"/>
      <c r="CO126" s="139"/>
      <c r="CP126" s="139"/>
      <c r="CQ126" s="139"/>
      <c r="CR126" s="139"/>
      <c r="CS126" s="139"/>
      <c r="CT126" s="139"/>
      <c r="CU126" s="139"/>
      <c r="CV126" s="139"/>
      <c r="CW126" s="139"/>
      <c r="CX126" s="139"/>
      <c r="CY126" s="139"/>
      <c r="CZ126" s="139"/>
      <c r="DA126" s="139"/>
      <c r="DB126" s="139"/>
      <c r="DC126" s="139"/>
      <c r="DD126" s="139"/>
      <c r="DE126" s="139"/>
      <c r="DF126" s="139"/>
      <c r="DG126" s="139"/>
      <c r="DH126" s="139"/>
      <c r="DI126" s="139"/>
      <c r="DJ126" s="139"/>
      <c r="DK126" s="139"/>
      <c r="DL126" s="139"/>
      <c r="DM126" s="139"/>
      <c r="DN126" s="139"/>
      <c r="DO126" s="139"/>
      <c r="DP126" s="139"/>
      <c r="DQ126" s="139"/>
      <c r="DR126" s="139"/>
      <c r="DS126" s="139"/>
      <c r="DT126" s="139"/>
      <c r="DU126" s="139"/>
      <c r="DV126" s="139"/>
      <c r="DW126" s="139"/>
      <c r="DX126" s="139"/>
      <c r="DY126" s="139"/>
      <c r="DZ126" s="139"/>
      <c r="EA126" s="139"/>
      <c r="EB126" s="139"/>
      <c r="EC126" s="139"/>
      <c r="ED126" s="139"/>
      <c r="EE126" s="139"/>
      <c r="EF126" s="139"/>
      <c r="EG126" s="139"/>
      <c r="EH126" s="139"/>
      <c r="EI126" s="139"/>
      <c r="EJ126" s="139"/>
      <c r="EK126" s="139"/>
      <c r="EL126" s="139"/>
      <c r="EM126" s="139"/>
      <c r="EN126" s="139"/>
      <c r="EO126" s="139"/>
      <c r="EP126" s="139"/>
      <c r="EQ126" s="139"/>
      <c r="ER126" s="139"/>
      <c r="ES126" s="139"/>
      <c r="ET126" s="139"/>
      <c r="EU126" s="139"/>
      <c r="EV126" s="139"/>
      <c r="EW126" s="139"/>
      <c r="EX126" s="139"/>
      <c r="EY126" s="139"/>
      <c r="EZ126" s="139"/>
      <c r="FA126" s="139"/>
      <c r="FB126" s="139"/>
      <c r="FC126" s="139"/>
      <c r="FD126" s="139"/>
      <c r="FE126" s="139"/>
      <c r="FF126" s="139"/>
      <c r="FG126" s="139"/>
      <c r="FH126" s="86"/>
      <c r="FI126" s="86"/>
      <c r="FJ126" s="86"/>
      <c r="FK126" s="86"/>
      <c r="FL126" s="86"/>
      <c r="FM126" s="86"/>
      <c r="FN126" s="86"/>
      <c r="FO126" s="86"/>
      <c r="FP126" s="86"/>
      <c r="FQ126" s="86"/>
      <c r="FR126" s="86"/>
      <c r="FS126" s="86"/>
      <c r="FT126" s="86"/>
      <c r="FU126" s="86"/>
      <c r="FV126" s="87"/>
      <c r="FW126" s="87"/>
      <c r="FX126" s="87"/>
      <c r="FY126" s="87"/>
      <c r="FZ126" s="87"/>
      <c r="GA126" s="87"/>
      <c r="GB126" s="87"/>
      <c r="GC126" s="87"/>
      <c r="GD126" s="87"/>
      <c r="GE126" s="87"/>
      <c r="GF126" s="87"/>
      <c r="GG126" s="87"/>
      <c r="GH126" s="87"/>
      <c r="GI126" s="87"/>
      <c r="GJ126" s="87"/>
      <c r="GK126" s="87"/>
    </row>
  </sheetData>
  <sheetProtection password="C484" sheet="1" objects="1" scenarios="1"/>
  <mergeCells count="4">
    <mergeCell ref="ET4:FG4"/>
    <mergeCell ref="EK6:EN6"/>
    <mergeCell ref="EO3:FG3"/>
    <mergeCell ref="EO5:FT5"/>
  </mergeCells>
  <conditionalFormatting sqref="J86:M97">
    <cfRule type="cellIs" dxfId="205" priority="75" stopIfTrue="1" operator="equal">
      <formula>"."</formula>
    </cfRule>
  </conditionalFormatting>
  <conditionalFormatting sqref="D46:D84">
    <cfRule type="cellIs" dxfId="204" priority="1" stopIfTrue="1" operator="equal">
      <formula>":"</formula>
    </cfRule>
    <cfRule type="cellIs" dxfId="203" priority="2" stopIfTrue="1" operator="equal">
      <formula>","</formula>
    </cfRule>
    <cfRule type="cellIs" dxfId="202" priority="3" stopIfTrue="1" operator="equal">
      <formula>"*"</formula>
    </cfRule>
    <cfRule type="cellIs" dxfId="201" priority="4" stopIfTrue="1" operator="equal">
      <formula>"'"</formula>
    </cfRule>
    <cfRule type="cellIs" dxfId="200" priority="5" stopIfTrue="1" operator="equal">
      <formula>"+"</formula>
    </cfRule>
    <cfRule type="cellIs" dxfId="199" priority="6" stopIfTrue="1" operator="equal">
      <formula>"^"</formula>
    </cfRule>
    <cfRule type="cellIs" dxfId="198" priority="7" stopIfTrue="1" operator="equal">
      <formula>"~"</formula>
    </cfRule>
    <cfRule type="cellIs" dxfId="197" priority="8" stopIfTrue="1" operator="equal">
      <formula>"."</formula>
    </cfRule>
    <cfRule type="cellIs" dxfId="196" priority="9" stopIfTrue="1" operator="equal">
      <formula>"`"</formula>
    </cfRule>
  </conditionalFormatting>
  <hyperlinks>
    <hyperlink ref="J90:M94" location="'les 3'!A1" display="'les 3'!A1"/>
  </hyperlinks>
  <pageMargins left="0.78740157480314965" right="0.78740157480314965" top="0.55118110236220474" bottom="0.82677165354330717" header="0.51181102362204722" footer="0.51181102362204722"/>
  <pageSetup paperSize="9" scale="70" orientation="portrait" horizontalDpi="200" verticalDpi="200" r:id="rId1"/>
  <headerFooter alignWithMargins="0">
    <oddFooter>&amp;C- &amp;P -</oddFooter>
  </headerFooter>
  <drawing r:id="rId2"/>
</worksheet>
</file>

<file path=xl/worksheets/sheet3.xml><?xml version="1.0" encoding="utf-8"?>
<worksheet xmlns="http://schemas.openxmlformats.org/spreadsheetml/2006/main" xmlns:r="http://schemas.openxmlformats.org/officeDocument/2006/relationships">
  <dimension ref="A1:IB521"/>
  <sheetViews>
    <sheetView showGridLines="0" zoomScaleNormal="100" workbookViewId="0">
      <selection activeCell="B1" sqref="B1"/>
    </sheetView>
  </sheetViews>
  <sheetFormatPr defaultColWidth="9.109375" defaultRowHeight="13.2"/>
  <cols>
    <col min="1" max="1" width="0.6640625" style="66" customWidth="1"/>
    <col min="2" max="2" width="3.33203125" style="66" customWidth="1"/>
    <col min="3" max="3" width="0.6640625" style="66" customWidth="1"/>
    <col min="4" max="4" width="2.6640625" style="66" customWidth="1"/>
    <col min="5" max="159" width="0.6640625" style="66" customWidth="1"/>
    <col min="160" max="160" width="3" style="66" customWidth="1"/>
    <col min="161" max="161" width="0.6640625" style="66" customWidth="1"/>
    <col min="162" max="162" width="3" style="66" customWidth="1"/>
    <col min="163" max="163" width="18.33203125" style="66" customWidth="1"/>
    <col min="164" max="164" width="4.6640625" style="66" customWidth="1"/>
    <col min="165" max="165" width="1.6640625" style="66" customWidth="1"/>
    <col min="166" max="167" width="9.33203125" style="66" hidden="1" customWidth="1"/>
    <col min="168" max="168" width="11.33203125" style="66" hidden="1" customWidth="1"/>
    <col min="169" max="169" width="14.6640625" style="66" hidden="1" customWidth="1"/>
    <col min="170" max="170" width="8" style="66" hidden="1" customWidth="1"/>
    <col min="171" max="171" width="9.33203125" style="66" hidden="1" customWidth="1"/>
    <col min="172" max="172" width="6.6640625" style="66" hidden="1" customWidth="1"/>
    <col min="173" max="173" width="7.88671875" style="66" hidden="1" customWidth="1"/>
    <col min="174" max="180" width="9.109375" style="66" hidden="1" customWidth="1"/>
    <col min="181" max="182" width="9.109375" style="66" customWidth="1"/>
    <col min="183" max="204" width="10.5546875" style="66" customWidth="1"/>
    <col min="205" max="16384" width="9.109375" style="66"/>
  </cols>
  <sheetData>
    <row r="1" spans="1:204" ht="24" customHeight="1">
      <c r="A1" s="60"/>
      <c r="B1" s="82"/>
      <c r="C1" s="83"/>
      <c r="D1" s="67" t="str">
        <f ca="1">IF(TODAY()&gt;=Blad1!$A$1,"Uw licentie is verlopen.","")</f>
        <v/>
      </c>
      <c r="E1" s="67"/>
      <c r="F1" s="67"/>
      <c r="G1" s="67"/>
      <c r="H1" s="67"/>
      <c r="I1" s="67"/>
      <c r="J1" s="67"/>
      <c r="K1" s="67"/>
      <c r="L1" s="67"/>
      <c r="M1" s="67"/>
      <c r="N1" s="67"/>
      <c r="O1" s="67"/>
      <c r="P1" s="84"/>
      <c r="Q1" s="84"/>
      <c r="R1" s="84"/>
      <c r="S1" s="84"/>
      <c r="T1" s="84"/>
      <c r="U1" s="84"/>
      <c r="V1" s="84"/>
      <c r="W1" s="84"/>
      <c r="X1" s="84"/>
      <c r="Y1" s="84"/>
      <c r="Z1" s="84"/>
      <c r="AA1" s="84"/>
      <c r="AB1" s="84"/>
      <c r="AC1" s="84"/>
      <c r="AD1" s="84"/>
      <c r="AE1" s="84"/>
      <c r="AF1" s="84"/>
      <c r="AG1" s="84"/>
      <c r="AH1" s="84"/>
      <c r="AI1" s="84"/>
      <c r="AJ1" s="84"/>
      <c r="AK1" s="84"/>
      <c r="AL1" s="84"/>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3"/>
      <c r="FJ1" s="257">
        <f>programma!Q3</f>
        <v>1</v>
      </c>
      <c r="FK1" s="48">
        <f ca="1">IF(TODAY()&gt;=Blad1!A1,0,IF(AND(programma!E5="docentversie",programma!A300&lt;&gt;"goltsteindocentversie"),0,1))</f>
        <v>1</v>
      </c>
      <c r="FL1" s="258">
        <f ca="1">IF(programma!B1="X",1,IF(TODAY()&gt;=Blad1!$A$1,0,IF(OR(programma!Q3="",programma!N10="",programma!N12=""),0,1)))</f>
        <v>0</v>
      </c>
      <c r="FM1" s="257">
        <f>programma!Q3</f>
        <v>1</v>
      </c>
      <c r="FN1" s="48"/>
      <c r="FO1" s="257"/>
      <c r="FP1" s="257"/>
      <c r="FQ1" s="257"/>
      <c r="FR1" s="257"/>
      <c r="FS1" s="257"/>
      <c r="FT1" s="257"/>
      <c r="FU1" s="257"/>
      <c r="FV1" s="259"/>
      <c r="FW1" s="259"/>
      <c r="FX1" s="259"/>
      <c r="FY1" s="259"/>
      <c r="FZ1" s="259"/>
      <c r="GA1" s="259"/>
      <c r="GB1" s="259"/>
      <c r="GC1" s="259"/>
      <c r="GD1" s="259"/>
      <c r="GE1" s="259"/>
      <c r="GF1" s="259"/>
      <c r="GG1" s="259"/>
      <c r="GH1" s="259"/>
      <c r="GI1" s="259"/>
      <c r="GJ1" s="259"/>
      <c r="GK1" s="259"/>
      <c r="GL1" s="259"/>
      <c r="GM1" s="259"/>
      <c r="GN1" s="259"/>
      <c r="GO1" s="259"/>
      <c r="GP1" s="259"/>
      <c r="GQ1" s="259"/>
      <c r="GR1" s="259"/>
      <c r="GS1" s="259"/>
      <c r="GT1" s="259"/>
      <c r="GU1" s="259"/>
      <c r="GV1" s="259"/>
    </row>
    <row r="2" spans="1:204" ht="5.25" customHeight="1">
      <c r="A2" s="60"/>
      <c r="B2" s="60"/>
      <c r="C2" s="60"/>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257"/>
      <c r="FK2" s="257"/>
      <c r="FL2" s="257"/>
      <c r="FM2" s="257"/>
      <c r="FN2" s="257"/>
      <c r="FO2" s="257"/>
      <c r="FP2" s="257"/>
      <c r="FQ2" s="257"/>
      <c r="FR2" s="257"/>
      <c r="FS2" s="257"/>
      <c r="FT2" s="257"/>
      <c r="FU2" s="257"/>
      <c r="FV2" s="259"/>
      <c r="FW2" s="259"/>
      <c r="FX2" s="259"/>
      <c r="FY2" s="259"/>
      <c r="FZ2" s="259"/>
      <c r="GA2" s="259"/>
      <c r="GB2" s="259"/>
      <c r="GC2" s="259"/>
      <c r="GD2" s="259"/>
      <c r="GE2" s="259"/>
      <c r="GF2" s="259"/>
      <c r="GG2" s="259"/>
      <c r="GH2" s="259"/>
      <c r="GI2" s="259"/>
      <c r="GJ2" s="259"/>
      <c r="GK2" s="259"/>
      <c r="GL2" s="259"/>
      <c r="GM2" s="259"/>
      <c r="GN2" s="259"/>
      <c r="GO2" s="259"/>
      <c r="GP2" s="259"/>
      <c r="GQ2" s="259"/>
      <c r="GR2" s="259"/>
      <c r="GS2" s="259"/>
      <c r="GT2" s="259"/>
      <c r="GU2" s="259"/>
      <c r="GV2" s="259"/>
    </row>
    <row r="3" spans="1:204" ht="20.25" customHeight="1">
      <c r="A3" s="60"/>
      <c r="B3" s="60"/>
      <c r="C3" s="60"/>
      <c r="D3" s="63" t="str">
        <f ca="1">IF(TODAY()&gt;=Blad1!$A$1,"Neem contact op met goltstein@hotmail.com",programma!E3)</f>
        <v>Module: Resultaat bij prijszetting</v>
      </c>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7"/>
      <c r="BS3" s="67"/>
      <c r="BT3" s="67"/>
      <c r="BU3" s="67"/>
      <c r="BV3" s="67"/>
      <c r="BW3" s="67"/>
      <c r="BX3" s="67"/>
      <c r="BY3" s="67"/>
      <c r="BZ3" s="67"/>
      <c r="CA3" s="67"/>
      <c r="CB3" s="67"/>
      <c r="CC3" s="67"/>
      <c r="CD3" s="67"/>
      <c r="CE3" s="67"/>
      <c r="CF3" s="67"/>
      <c r="CG3" s="67"/>
      <c r="CH3" s="67"/>
      <c r="CI3" s="67"/>
      <c r="CJ3" s="67"/>
      <c r="CK3" s="67"/>
      <c r="CL3" s="67"/>
      <c r="CM3" s="67"/>
      <c r="CN3" s="67"/>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533" t="str">
        <f>"versienummer: "&amp;programma!Q3&amp;" "&amp;programma!Q6</f>
        <v xml:space="preserve">versienummer: 1 </v>
      </c>
      <c r="EP3" s="532"/>
      <c r="EQ3" s="532"/>
      <c r="ER3" s="532"/>
      <c r="ES3" s="532"/>
      <c r="ET3" s="532"/>
      <c r="EU3" s="532"/>
      <c r="EV3" s="532"/>
      <c r="EW3" s="532"/>
      <c r="EX3" s="532"/>
      <c r="EY3" s="532"/>
      <c r="EZ3" s="532"/>
      <c r="FA3" s="532"/>
      <c r="FB3" s="532"/>
      <c r="FC3" s="532"/>
      <c r="FD3" s="532"/>
      <c r="FE3" s="532"/>
      <c r="FF3" s="532"/>
      <c r="FG3" s="532"/>
      <c r="FH3" s="67"/>
      <c r="FI3" s="249"/>
      <c r="FJ3" s="260"/>
      <c r="FK3" s="260"/>
      <c r="FL3" s="260"/>
      <c r="FM3" s="257"/>
      <c r="FN3" s="257"/>
      <c r="FO3" s="257"/>
      <c r="FP3" s="257"/>
      <c r="FQ3" s="257"/>
      <c r="FR3" s="257"/>
      <c r="FS3" s="257"/>
      <c r="FT3" s="257"/>
      <c r="FU3" s="257"/>
      <c r="FV3" s="259"/>
      <c r="FW3" s="259"/>
      <c r="FX3" s="259"/>
      <c r="FY3" s="259"/>
      <c r="FZ3" s="259"/>
      <c r="GA3" s="259"/>
      <c r="GB3" s="259"/>
      <c r="GC3" s="259"/>
      <c r="GD3" s="259"/>
      <c r="GE3" s="259"/>
      <c r="GF3" s="259"/>
      <c r="GG3" s="259"/>
      <c r="GH3" s="259"/>
      <c r="GI3" s="259"/>
      <c r="GJ3" s="259"/>
      <c r="GK3" s="259"/>
      <c r="GL3" s="259"/>
      <c r="GM3" s="259"/>
      <c r="GN3" s="259"/>
      <c r="GO3" s="259"/>
      <c r="GP3" s="259"/>
      <c r="GQ3" s="259"/>
      <c r="GR3" s="259"/>
      <c r="GS3" s="259"/>
      <c r="GT3" s="259"/>
      <c r="GU3" s="259"/>
      <c r="GV3" s="259"/>
    </row>
    <row r="4" spans="1:204" ht="16.5" customHeight="1">
      <c r="A4" s="60"/>
      <c r="B4" s="60"/>
      <c r="C4" s="60"/>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7"/>
      <c r="BS4" s="67"/>
      <c r="BT4" s="67"/>
      <c r="BU4" s="67"/>
      <c r="BV4" s="67"/>
      <c r="BW4" s="67"/>
      <c r="BX4" s="67"/>
      <c r="BY4" s="67"/>
      <c r="BZ4" s="67"/>
      <c r="CA4" s="67"/>
      <c r="CB4" s="67"/>
      <c r="CC4" s="67"/>
      <c r="CD4" s="67"/>
      <c r="CE4" s="67"/>
      <c r="CF4" s="67"/>
      <c r="CG4" s="67"/>
      <c r="CH4" s="67"/>
      <c r="CI4" s="67"/>
      <c r="CJ4" s="67"/>
      <c r="CK4" s="67"/>
      <c r="CL4" s="67"/>
      <c r="CM4" s="67"/>
      <c r="CN4" s="67"/>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261"/>
      <c r="ET4" s="261"/>
      <c r="EU4" s="261"/>
      <c r="EV4" s="67"/>
      <c r="EW4" s="67"/>
      <c r="EX4" s="67"/>
      <c r="EY4" s="67"/>
      <c r="EZ4" s="67"/>
      <c r="FA4" s="67"/>
      <c r="FB4" s="67"/>
      <c r="FC4" s="67"/>
      <c r="FD4" s="67"/>
      <c r="FE4" s="67"/>
      <c r="FF4" s="67"/>
      <c r="FG4" s="67"/>
      <c r="FH4" s="67"/>
      <c r="FI4" s="249"/>
      <c r="FJ4" s="260"/>
      <c r="FK4" s="260"/>
      <c r="FL4" s="260"/>
      <c r="FM4" s="260"/>
      <c r="FN4" s="257"/>
      <c r="FO4" s="257"/>
      <c r="FP4" s="257"/>
      <c r="FQ4" s="257"/>
      <c r="FR4" s="257"/>
      <c r="FS4" s="257"/>
      <c r="FT4" s="257"/>
      <c r="FU4" s="257"/>
      <c r="FV4" s="259"/>
      <c r="FW4" s="259"/>
      <c r="FX4" s="259"/>
      <c r="FY4" s="259"/>
      <c r="FZ4" s="259"/>
      <c r="GA4" s="259"/>
      <c r="GB4" s="259"/>
      <c r="GC4" s="259"/>
      <c r="GD4" s="259"/>
      <c r="GE4" s="259"/>
      <c r="GF4" s="259"/>
      <c r="GG4" s="259"/>
      <c r="GH4" s="259"/>
      <c r="GI4" s="259"/>
      <c r="GJ4" s="259"/>
      <c r="GK4" s="259"/>
      <c r="GL4" s="259"/>
      <c r="GM4" s="259"/>
      <c r="GN4" s="259"/>
      <c r="GO4" s="259"/>
      <c r="GP4" s="259"/>
      <c r="GQ4" s="259"/>
      <c r="GR4" s="259"/>
      <c r="GS4" s="259"/>
      <c r="GT4" s="259"/>
      <c r="GU4" s="259"/>
      <c r="GV4" s="259"/>
    </row>
    <row r="5" spans="1:204" ht="19.95" customHeight="1">
      <c r="A5" s="60"/>
      <c r="B5" s="60"/>
      <c r="C5" s="60"/>
      <c r="D5" s="61" t="str">
        <f>" Naam leerling: "&amp; programma!N10</f>
        <v xml:space="preserve"> Naam leerling: </v>
      </c>
      <c r="E5" s="61"/>
      <c r="F5" s="61"/>
      <c r="G5" s="61"/>
      <c r="H5" s="61"/>
      <c r="I5" s="61"/>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7"/>
      <c r="BS5" s="67"/>
      <c r="BT5" s="67"/>
      <c r="BU5" s="67"/>
      <c r="BV5" s="67"/>
      <c r="BW5" s="67"/>
      <c r="BX5" s="67"/>
      <c r="BY5" s="67"/>
      <c r="BZ5" s="67"/>
      <c r="CA5" s="67"/>
      <c r="CB5" s="67"/>
      <c r="CC5" s="67"/>
      <c r="CD5" s="67"/>
      <c r="CE5" s="67"/>
      <c r="CF5" s="67"/>
      <c r="CG5" s="67"/>
      <c r="CH5" s="67"/>
      <c r="CI5" s="67"/>
      <c r="CJ5" s="67"/>
      <c r="CK5" s="67"/>
      <c r="CL5" s="67"/>
      <c r="CM5" s="67"/>
      <c r="CN5" s="67"/>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534" t="str">
        <f>programma!S5</f>
        <v>© 2021, Goltstein</v>
      </c>
      <c r="EP5" s="534"/>
      <c r="EQ5" s="534"/>
      <c r="ER5" s="534"/>
      <c r="ES5" s="534"/>
      <c r="ET5" s="534"/>
      <c r="EU5" s="534"/>
      <c r="EV5" s="534"/>
      <c r="EW5" s="534"/>
      <c r="EX5" s="534"/>
      <c r="EY5" s="534"/>
      <c r="EZ5" s="534"/>
      <c r="FA5" s="534"/>
      <c r="FB5" s="534"/>
      <c r="FC5" s="534"/>
      <c r="FD5" s="534"/>
      <c r="FE5" s="534"/>
      <c r="FF5" s="534"/>
      <c r="FG5" s="534"/>
      <c r="FH5" s="380"/>
      <c r="FI5" s="380"/>
      <c r="FJ5" s="260"/>
      <c r="FK5" s="260"/>
      <c r="FL5" s="260"/>
      <c r="FM5" s="260"/>
      <c r="FN5" s="257"/>
      <c r="FO5" s="257"/>
      <c r="FP5" s="257"/>
      <c r="FQ5" s="257"/>
      <c r="FR5" s="257"/>
      <c r="FS5" s="257"/>
      <c r="FT5" s="257"/>
      <c r="FU5" s="257"/>
      <c r="FV5" s="259"/>
      <c r="FW5" s="259"/>
      <c r="FX5" s="259"/>
      <c r="FY5" s="259"/>
      <c r="FZ5" s="259"/>
      <c r="GA5" s="259"/>
      <c r="GB5" s="259"/>
      <c r="GC5" s="259"/>
      <c r="GD5" s="259"/>
      <c r="GE5" s="259"/>
      <c r="GF5" s="259"/>
      <c r="GG5" s="259"/>
      <c r="GH5" s="259"/>
      <c r="GI5" s="259"/>
      <c r="GJ5" s="259"/>
      <c r="GK5" s="259"/>
      <c r="GL5" s="259"/>
      <c r="GM5" s="259"/>
      <c r="GN5" s="259"/>
      <c r="GO5" s="259"/>
      <c r="GP5" s="259"/>
      <c r="GQ5" s="259"/>
      <c r="GR5" s="259"/>
      <c r="GS5" s="259"/>
      <c r="GT5" s="259"/>
      <c r="GU5" s="259"/>
      <c r="GV5" s="259"/>
    </row>
    <row r="6" spans="1:204" ht="19.95" customHeight="1">
      <c r="A6" s="60"/>
      <c r="B6" s="60"/>
      <c r="C6" s="60"/>
      <c r="D6" s="62" t="str">
        <f>" Klas: "&amp; programma!N12</f>
        <v xml:space="preserve"> Klas: </v>
      </c>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7"/>
      <c r="BS6" s="67"/>
      <c r="BT6" s="67"/>
      <c r="BU6" s="67"/>
      <c r="BV6" s="67"/>
      <c r="BW6" s="67"/>
      <c r="BX6" s="67"/>
      <c r="BY6" s="67"/>
      <c r="BZ6" s="67"/>
      <c r="CA6" s="67"/>
      <c r="CB6" s="67"/>
      <c r="CC6" s="67"/>
      <c r="CD6" s="67"/>
      <c r="CE6" s="67"/>
      <c r="CF6" s="67"/>
      <c r="CG6" s="67"/>
      <c r="CH6" s="67"/>
      <c r="CI6" s="67"/>
      <c r="CJ6" s="67"/>
      <c r="CK6" s="67"/>
      <c r="CL6" s="67"/>
      <c r="CM6" s="67"/>
      <c r="CN6" s="67"/>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7"/>
      <c r="EW6" s="67"/>
      <c r="EX6" s="67"/>
      <c r="EY6" s="67"/>
      <c r="EZ6" s="67"/>
      <c r="FA6" s="67"/>
      <c r="FB6" s="67"/>
      <c r="FC6" s="67"/>
      <c r="FD6" s="67"/>
      <c r="FE6" s="67"/>
      <c r="FF6" s="67"/>
      <c r="FG6" s="67"/>
      <c r="FH6" s="67"/>
      <c r="FI6" s="67"/>
      <c r="FJ6" s="260"/>
      <c r="FK6" s="260"/>
      <c r="FL6" s="260"/>
      <c r="FM6" s="260"/>
      <c r="FN6" s="257"/>
      <c r="FO6" s="257"/>
      <c r="FP6" s="257"/>
      <c r="FQ6" s="257"/>
      <c r="FR6" s="257"/>
      <c r="FS6" s="257"/>
      <c r="FT6" s="257"/>
      <c r="FU6" s="257"/>
      <c r="FV6" s="259"/>
      <c r="FW6" s="259"/>
      <c r="FX6" s="259"/>
      <c r="FY6" s="259"/>
      <c r="FZ6" s="259"/>
      <c r="GA6" s="259"/>
      <c r="GB6" s="259"/>
      <c r="GC6" s="259"/>
      <c r="GD6" s="259"/>
      <c r="GE6" s="259"/>
      <c r="GF6" s="259"/>
      <c r="GG6" s="259"/>
      <c r="GH6" s="259"/>
      <c r="GI6" s="259"/>
      <c r="GJ6" s="259"/>
      <c r="GK6" s="259"/>
      <c r="GL6" s="259"/>
      <c r="GM6" s="259"/>
      <c r="GN6" s="259"/>
      <c r="GO6" s="259"/>
      <c r="GP6" s="259"/>
      <c r="GQ6" s="259"/>
      <c r="GR6" s="259"/>
      <c r="GS6" s="259"/>
      <c r="GT6" s="259"/>
      <c r="GU6" s="259"/>
      <c r="GV6" s="259"/>
    </row>
    <row r="7" spans="1:204" ht="12" customHeight="1">
      <c r="A7" s="60"/>
      <c r="B7" s="60"/>
      <c r="C7" s="60"/>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2"/>
      <c r="AG7" s="62"/>
      <c r="AH7" s="62"/>
      <c r="AI7" s="62"/>
      <c r="AJ7" s="62"/>
      <c r="AK7" s="62"/>
      <c r="AL7" s="62"/>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3"/>
      <c r="FI7" s="63"/>
      <c r="FJ7" s="260"/>
      <c r="FK7" s="260"/>
      <c r="FL7" s="260"/>
      <c r="FM7" s="260"/>
      <c r="FN7" s="257"/>
      <c r="FO7" s="257"/>
      <c r="FP7" s="257"/>
      <c r="FQ7" s="257"/>
      <c r="FR7" s="257"/>
      <c r="FS7" s="257"/>
      <c r="FT7" s="257"/>
      <c r="FU7" s="257"/>
      <c r="FV7" s="259"/>
      <c r="FW7" s="259"/>
      <c r="FX7" s="259"/>
      <c r="FY7" s="259"/>
      <c r="FZ7" s="259"/>
      <c r="GA7" s="259"/>
      <c r="GB7" s="259"/>
      <c r="GC7" s="259"/>
      <c r="GD7" s="259"/>
      <c r="GE7" s="259"/>
      <c r="GF7" s="259"/>
      <c r="GG7" s="259"/>
      <c r="GH7" s="259"/>
      <c r="GI7" s="259"/>
      <c r="GJ7" s="259"/>
      <c r="GK7" s="259"/>
      <c r="GL7" s="259"/>
      <c r="GM7" s="259"/>
      <c r="GN7" s="259"/>
      <c r="GO7" s="259"/>
      <c r="GP7" s="259"/>
      <c r="GQ7" s="259"/>
      <c r="GR7" s="259"/>
      <c r="GS7" s="259"/>
      <c r="GT7" s="259"/>
      <c r="GU7" s="259"/>
      <c r="GV7" s="259"/>
    </row>
    <row r="8" spans="1:204" ht="7.5" customHeight="1">
      <c r="A8" s="60"/>
      <c r="B8" s="60"/>
      <c r="C8" s="60"/>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257"/>
      <c r="FK8" s="257"/>
      <c r="FL8" s="257"/>
      <c r="FM8" s="257"/>
      <c r="FN8" s="257"/>
      <c r="FO8" s="257"/>
      <c r="FP8" s="257"/>
      <c r="FQ8" s="257"/>
      <c r="FR8" s="257"/>
      <c r="FS8" s="257"/>
      <c r="FT8" s="257"/>
      <c r="FU8" s="257"/>
      <c r="FV8" s="259"/>
      <c r="FW8" s="259"/>
      <c r="FX8" s="259"/>
      <c r="FY8" s="259"/>
      <c r="FZ8" s="259"/>
      <c r="GA8" s="259"/>
      <c r="GB8" s="259"/>
      <c r="GC8" s="259"/>
      <c r="GD8" s="259"/>
      <c r="GE8" s="259"/>
      <c r="GF8" s="259"/>
      <c r="GG8" s="259"/>
      <c r="GH8" s="259"/>
      <c r="GI8" s="259"/>
      <c r="GJ8" s="259"/>
      <c r="GK8" s="259"/>
      <c r="GL8" s="259"/>
      <c r="GM8" s="259"/>
      <c r="GN8" s="259"/>
      <c r="GO8" s="259"/>
      <c r="GP8" s="259"/>
      <c r="GQ8" s="259"/>
      <c r="GR8" s="259"/>
      <c r="GS8" s="259"/>
      <c r="GT8" s="259"/>
      <c r="GU8" s="259"/>
      <c r="GV8" s="259"/>
    </row>
    <row r="9" spans="1:204" ht="21.6" customHeight="1">
      <c r="A9" s="60"/>
      <c r="B9" s="60"/>
      <c r="C9" s="60"/>
      <c r="D9" s="68" t="str">
        <f ca="1">IF(TODAY()&gt;=Blad1!A1,""," Als je iets hebt ingevuld, moet je op enter drukken of op een andere cel gaan staan, anders denkt het programma dat je nog bezig bent met invoeren.")</f>
        <v xml:space="preserve"> Als je iets hebt ingevuld, moet je op enter drukken of op een andere cel gaan staan, anders denkt het programma dat je nog bezig bent met invoeren.</v>
      </c>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257"/>
      <c r="FK9" s="257"/>
      <c r="FL9" s="257" t="str">
        <f>IF(FK9=1,1.25,IF(FK9=2,4,IF(FK9=3,2.25,IF(FK9=4,0.75,IF(FK9=5,2.5,IF(FK9=6,0.5,IF(FK9=7,1,IF(FK9=8,3,""))))))))</f>
        <v/>
      </c>
      <c r="FM9" s="257"/>
      <c r="FN9" s="257"/>
      <c r="FO9" s="257"/>
      <c r="FP9" s="257"/>
      <c r="FQ9" s="257"/>
      <c r="FR9" s="257"/>
      <c r="FS9" s="257"/>
      <c r="FT9" s="257"/>
      <c r="FU9" s="257"/>
      <c r="FV9" s="259"/>
      <c r="FW9" s="259"/>
      <c r="FX9" s="259"/>
      <c r="FY9" s="259"/>
      <c r="FZ9" s="259"/>
      <c r="GA9" s="259"/>
      <c r="GB9" s="259"/>
      <c r="GC9" s="259"/>
      <c r="GD9" s="259"/>
      <c r="GE9" s="259"/>
      <c r="GF9" s="259"/>
      <c r="GG9" s="259"/>
      <c r="GH9" s="259"/>
      <c r="GI9" s="259"/>
      <c r="GJ9" s="259"/>
      <c r="GK9" s="259"/>
      <c r="GL9" s="259"/>
      <c r="GM9" s="259"/>
      <c r="GN9" s="259"/>
      <c r="GO9" s="259"/>
      <c r="GP9" s="259"/>
      <c r="GQ9" s="259"/>
      <c r="GR9" s="259"/>
      <c r="GS9" s="259"/>
      <c r="GT9" s="259"/>
      <c r="GU9" s="259"/>
      <c r="GV9" s="259"/>
    </row>
    <row r="10" spans="1:204" ht="16.2" customHeight="1">
      <c r="A10" s="60"/>
      <c r="B10" s="60"/>
      <c r="C10" s="60"/>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257"/>
      <c r="FK10" s="257"/>
      <c r="FL10" s="257"/>
      <c r="FM10" s="257"/>
      <c r="FN10" s="257"/>
      <c r="FO10" s="257"/>
      <c r="FP10" s="257"/>
      <c r="FQ10" s="257"/>
      <c r="FR10" s="257"/>
      <c r="FS10" s="257"/>
      <c r="FT10" s="257"/>
      <c r="FU10" s="257"/>
      <c r="FV10" s="259"/>
      <c r="FW10" s="259"/>
      <c r="FX10" s="259"/>
      <c r="FY10" s="259"/>
      <c r="FZ10" s="259"/>
      <c r="GA10" s="259"/>
      <c r="GB10" s="259"/>
      <c r="GC10" s="259"/>
      <c r="GD10" s="259"/>
      <c r="GE10" s="259"/>
      <c r="GF10" s="259"/>
      <c r="GG10" s="259"/>
      <c r="GH10" s="259"/>
      <c r="GI10" s="259"/>
      <c r="GJ10" s="259"/>
      <c r="GK10" s="259"/>
      <c r="GL10" s="259"/>
      <c r="GM10" s="259"/>
      <c r="GN10" s="259"/>
      <c r="GO10" s="259"/>
      <c r="GP10" s="259"/>
      <c r="GQ10" s="259"/>
      <c r="GR10" s="259"/>
      <c r="GS10" s="259"/>
      <c r="GT10" s="259"/>
      <c r="GU10" s="259"/>
      <c r="GV10" s="259"/>
    </row>
    <row r="11" spans="1:204" ht="16.5" customHeight="1">
      <c r="A11" s="60"/>
      <c r="B11" s="69"/>
      <c r="C11" s="69"/>
      <c r="D11" s="262"/>
      <c r="E11" s="89"/>
      <c r="F11" s="89"/>
      <c r="G11" s="253"/>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141"/>
      <c r="FI11" s="263"/>
      <c r="FJ11" s="257"/>
      <c r="FK11" s="257"/>
      <c r="FL11" s="257"/>
      <c r="FM11" s="257"/>
      <c r="FN11" s="257"/>
      <c r="FO11" s="257"/>
      <c r="FP11" s="257"/>
      <c r="FQ11" s="257"/>
      <c r="FR11" s="257"/>
      <c r="FS11" s="257"/>
      <c r="FT11" s="257"/>
      <c r="FU11" s="257"/>
      <c r="FV11" s="259"/>
      <c r="FW11" s="259"/>
      <c r="FX11" s="259"/>
      <c r="FY11" s="259"/>
      <c r="FZ11" s="259"/>
      <c r="GA11" s="259"/>
      <c r="GB11" s="259"/>
      <c r="GC11" s="259"/>
      <c r="GD11" s="259"/>
      <c r="GE11" s="259"/>
      <c r="GF11" s="259"/>
      <c r="GG11" s="259"/>
      <c r="GH11" s="259"/>
      <c r="GI11" s="259"/>
      <c r="GJ11" s="259"/>
      <c r="GK11" s="259"/>
      <c r="GL11" s="259"/>
      <c r="GM11" s="259"/>
      <c r="GN11" s="259"/>
      <c r="GO11" s="259"/>
      <c r="GP11" s="259"/>
      <c r="GQ11" s="259"/>
      <c r="GR11" s="259"/>
      <c r="GS11" s="259"/>
      <c r="GT11" s="259"/>
      <c r="GU11" s="259"/>
      <c r="GV11" s="259"/>
    </row>
    <row r="12" spans="1:204" ht="10.5" customHeight="1">
      <c r="A12" s="60"/>
      <c r="B12" s="69"/>
      <c r="C12" s="6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141"/>
      <c r="FI12" s="141"/>
      <c r="FJ12" s="257"/>
      <c r="FK12" s="257"/>
      <c r="FL12" s="257"/>
      <c r="FM12" s="257"/>
      <c r="FN12" s="257"/>
      <c r="FO12" s="257"/>
      <c r="FP12" s="257"/>
      <c r="FQ12" s="257"/>
      <c r="FR12" s="257"/>
      <c r="FS12" s="257"/>
      <c r="FT12" s="257"/>
      <c r="FU12" s="257"/>
      <c r="FV12" s="259"/>
      <c r="FW12" s="259"/>
      <c r="FX12" s="259"/>
      <c r="FY12" s="259"/>
      <c r="FZ12" s="259"/>
      <c r="GA12" s="259"/>
      <c r="GB12" s="259"/>
      <c r="GC12" s="259"/>
      <c r="GD12" s="259"/>
      <c r="GE12" s="259"/>
      <c r="GF12" s="259"/>
      <c r="GG12" s="259"/>
      <c r="GH12" s="259"/>
      <c r="GI12" s="259"/>
      <c r="GJ12" s="259"/>
      <c r="GK12" s="259"/>
      <c r="GL12" s="259"/>
      <c r="GM12" s="259"/>
      <c r="GN12" s="259"/>
      <c r="GO12" s="259"/>
      <c r="GP12" s="259"/>
      <c r="GQ12" s="259"/>
      <c r="GR12" s="259"/>
      <c r="GS12" s="259"/>
      <c r="GT12" s="259"/>
      <c r="GU12" s="259"/>
      <c r="GV12" s="259"/>
    </row>
    <row r="13" spans="1:204" ht="18.75" customHeight="1">
      <c r="A13" s="60"/>
      <c r="B13" s="69"/>
      <c r="C13" s="69"/>
      <c r="D13" s="264" t="str">
        <f ca="1">IF(FL1=0,"","Toets (21 opgaven)")</f>
        <v/>
      </c>
      <c r="E13" s="264"/>
      <c r="F13" s="264"/>
      <c r="G13" s="264"/>
      <c r="H13" s="264"/>
      <c r="I13" s="264"/>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5"/>
      <c r="CB13" s="265"/>
      <c r="CC13" s="265"/>
      <c r="CD13" s="265"/>
      <c r="CE13" s="265"/>
      <c r="CF13" s="265"/>
      <c r="CG13" s="265"/>
      <c r="CH13" s="265"/>
      <c r="CI13" s="265"/>
      <c r="CJ13" s="265"/>
      <c r="CK13" s="265"/>
      <c r="CL13" s="265"/>
      <c r="CM13" s="265"/>
      <c r="CN13" s="265"/>
      <c r="CO13" s="265"/>
      <c r="CP13" s="265"/>
      <c r="CQ13" s="265"/>
      <c r="CR13" s="265"/>
      <c r="CS13" s="265"/>
      <c r="CT13" s="265"/>
      <c r="CU13" s="265"/>
      <c r="CV13" s="265"/>
      <c r="CW13" s="265"/>
      <c r="CX13" s="265"/>
      <c r="CY13" s="265"/>
      <c r="CZ13" s="265"/>
      <c r="DA13" s="265"/>
      <c r="DB13" s="265"/>
      <c r="DC13" s="265"/>
      <c r="DD13" s="265"/>
      <c r="DE13" s="265"/>
      <c r="DF13" s="265"/>
      <c r="DG13" s="265"/>
      <c r="DH13" s="265"/>
      <c r="DI13" s="265"/>
      <c r="DJ13" s="265"/>
      <c r="DK13" s="265"/>
      <c r="DL13" s="265"/>
      <c r="DM13" s="265"/>
      <c r="DN13" s="265"/>
      <c r="DO13" s="265"/>
      <c r="DP13" s="265"/>
      <c r="DQ13" s="265"/>
      <c r="DR13" s="265"/>
      <c r="DS13" s="265"/>
      <c r="DT13" s="265"/>
      <c r="DU13" s="265"/>
      <c r="DV13" s="265"/>
      <c r="DW13" s="265"/>
      <c r="DX13" s="265"/>
      <c r="DY13" s="265"/>
      <c r="DZ13" s="265"/>
      <c r="EA13" s="265"/>
      <c r="EB13" s="265"/>
      <c r="EC13" s="265"/>
      <c r="ED13" s="265"/>
      <c r="EE13" s="265"/>
      <c r="EF13" s="265"/>
      <c r="EG13" s="265"/>
      <c r="EH13" s="265"/>
      <c r="EI13" s="265"/>
      <c r="EJ13" s="265"/>
      <c r="EK13" s="265"/>
      <c r="EL13" s="265"/>
      <c r="EM13" s="265"/>
      <c r="EN13" s="265"/>
      <c r="EO13" s="265"/>
      <c r="EP13" s="265"/>
      <c r="EQ13" s="265"/>
      <c r="ER13" s="265"/>
      <c r="ES13" s="265"/>
      <c r="ET13" s="265"/>
      <c r="EU13" s="265"/>
      <c r="EV13" s="265"/>
      <c r="EW13" s="265"/>
      <c r="EX13" s="265"/>
      <c r="EY13" s="265"/>
      <c r="EZ13" s="265"/>
      <c r="FA13" s="265"/>
      <c r="FB13" s="265"/>
      <c r="FC13" s="265"/>
      <c r="FD13" s="265"/>
      <c r="FE13" s="265"/>
      <c r="FF13" s="265"/>
      <c r="FG13" s="265"/>
      <c r="FH13" s="141"/>
      <c r="FI13" s="141"/>
      <c r="FJ13" s="257"/>
      <c r="FK13" s="257"/>
      <c r="FL13" s="257"/>
      <c r="FM13" s="257"/>
      <c r="FN13" s="257"/>
      <c r="FO13" s="257"/>
      <c r="FP13" s="257"/>
      <c r="FQ13" s="257"/>
      <c r="FR13" s="257"/>
      <c r="FS13" s="257"/>
      <c r="FT13" s="257"/>
      <c r="FU13" s="257"/>
      <c r="FV13" s="259"/>
      <c r="FW13" s="259"/>
      <c r="FX13" s="259"/>
      <c r="FY13" s="259"/>
      <c r="FZ13" s="259"/>
      <c r="GA13" s="259"/>
      <c r="GB13" s="259"/>
      <c r="GC13" s="259"/>
      <c r="GD13" s="259"/>
      <c r="GE13" s="259"/>
      <c r="GF13" s="259"/>
      <c r="GG13" s="259"/>
      <c r="GH13" s="259"/>
      <c r="GI13" s="259"/>
      <c r="GJ13" s="259"/>
      <c r="GK13" s="259"/>
      <c r="GL13" s="259"/>
      <c r="GM13" s="259"/>
      <c r="GN13" s="259"/>
      <c r="GO13" s="259"/>
      <c r="GP13" s="259"/>
      <c r="GQ13" s="259"/>
      <c r="GR13" s="259"/>
      <c r="GS13" s="259"/>
      <c r="GT13" s="259"/>
      <c r="GU13" s="259"/>
      <c r="GV13" s="259"/>
    </row>
    <row r="14" spans="1:204" ht="18.75" customHeight="1">
      <c r="A14" s="60"/>
      <c r="B14" s="69"/>
      <c r="C14" s="69"/>
      <c r="D14" s="264"/>
      <c r="E14" s="264"/>
      <c r="F14" s="264"/>
      <c r="G14" s="264"/>
      <c r="H14" s="264"/>
      <c r="I14" s="264"/>
      <c r="J14" s="265"/>
      <c r="K14" s="265"/>
      <c r="L14" s="265"/>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5"/>
      <c r="AL14" s="265"/>
      <c r="AM14" s="265"/>
      <c r="AN14" s="265"/>
      <c r="AO14" s="265"/>
      <c r="AP14" s="265"/>
      <c r="AQ14" s="265"/>
      <c r="AR14" s="265"/>
      <c r="AS14" s="265"/>
      <c r="AT14" s="265"/>
      <c r="AU14" s="265"/>
      <c r="AV14" s="265"/>
      <c r="AW14" s="265"/>
      <c r="AX14" s="265"/>
      <c r="AY14" s="265"/>
      <c r="AZ14" s="265"/>
      <c r="BA14" s="265"/>
      <c r="BB14" s="265"/>
      <c r="BC14" s="265"/>
      <c r="BD14" s="265"/>
      <c r="BE14" s="265"/>
      <c r="BF14" s="265"/>
      <c r="BG14" s="265"/>
      <c r="BH14" s="265"/>
      <c r="BI14" s="265"/>
      <c r="BJ14" s="265"/>
      <c r="BK14" s="265"/>
      <c r="BL14" s="265"/>
      <c r="BM14" s="265"/>
      <c r="BN14" s="265"/>
      <c r="BO14" s="265"/>
      <c r="BP14" s="265"/>
      <c r="BQ14" s="265"/>
      <c r="BR14" s="265"/>
      <c r="BS14" s="265"/>
      <c r="BT14" s="265"/>
      <c r="BU14" s="265"/>
      <c r="BV14" s="265"/>
      <c r="BW14" s="265"/>
      <c r="BX14" s="265"/>
      <c r="BY14" s="265"/>
      <c r="BZ14" s="265"/>
      <c r="CA14" s="265"/>
      <c r="CB14" s="265"/>
      <c r="CC14" s="265"/>
      <c r="CD14" s="265"/>
      <c r="CE14" s="265"/>
      <c r="CF14" s="265"/>
      <c r="CG14" s="265"/>
      <c r="CH14" s="265"/>
      <c r="CI14" s="265"/>
      <c r="CJ14" s="265"/>
      <c r="CK14" s="265"/>
      <c r="CL14" s="265"/>
      <c r="CM14" s="265"/>
      <c r="CN14" s="265"/>
      <c r="CO14" s="265"/>
      <c r="CP14" s="265"/>
      <c r="CQ14" s="265"/>
      <c r="CR14" s="265"/>
      <c r="CS14" s="265"/>
      <c r="CT14" s="265"/>
      <c r="CU14" s="265"/>
      <c r="CV14" s="265"/>
      <c r="CW14" s="265"/>
      <c r="CX14" s="265"/>
      <c r="CY14" s="265"/>
      <c r="CZ14" s="265"/>
      <c r="DA14" s="265"/>
      <c r="DB14" s="265"/>
      <c r="DC14" s="265"/>
      <c r="DD14" s="265"/>
      <c r="DE14" s="265"/>
      <c r="DF14" s="265"/>
      <c r="DG14" s="265"/>
      <c r="DH14" s="265"/>
      <c r="DI14" s="265"/>
      <c r="DJ14" s="265"/>
      <c r="DK14" s="265"/>
      <c r="DL14" s="265"/>
      <c r="DM14" s="265"/>
      <c r="DN14" s="265"/>
      <c r="DO14" s="265"/>
      <c r="DP14" s="265"/>
      <c r="DQ14" s="265"/>
      <c r="DR14" s="265"/>
      <c r="DS14" s="265"/>
      <c r="DT14" s="265"/>
      <c r="DU14" s="265"/>
      <c r="DV14" s="265"/>
      <c r="DW14" s="265"/>
      <c r="DX14" s="265"/>
      <c r="DY14" s="265"/>
      <c r="DZ14" s="265"/>
      <c r="EA14" s="265"/>
      <c r="EB14" s="265"/>
      <c r="EC14" s="265"/>
      <c r="ED14" s="265"/>
      <c r="EE14" s="265"/>
      <c r="EF14" s="265"/>
      <c r="EG14" s="265"/>
      <c r="EH14" s="265"/>
      <c r="EI14" s="265"/>
      <c r="EJ14" s="265"/>
      <c r="EK14" s="265"/>
      <c r="EL14" s="265"/>
      <c r="EM14" s="265"/>
      <c r="EN14" s="265"/>
      <c r="EO14" s="265"/>
      <c r="EP14" s="265"/>
      <c r="EQ14" s="265"/>
      <c r="ER14" s="265"/>
      <c r="ES14" s="265"/>
      <c r="ET14" s="265"/>
      <c r="EU14" s="265"/>
      <c r="EV14" s="265"/>
      <c r="EW14" s="265"/>
      <c r="EX14" s="265"/>
      <c r="EY14" s="265"/>
      <c r="EZ14" s="265"/>
      <c r="FA14" s="265"/>
      <c r="FB14" s="265"/>
      <c r="FC14" s="265"/>
      <c r="FD14" s="265"/>
      <c r="FE14" s="265"/>
      <c r="FF14" s="265"/>
      <c r="FG14" s="265"/>
      <c r="FH14" s="141"/>
      <c r="FI14" s="141"/>
      <c r="FJ14" s="257"/>
      <c r="FK14" s="257"/>
      <c r="FL14" s="257"/>
      <c r="FM14" s="257"/>
      <c r="FN14" s="257"/>
      <c r="FO14" s="257"/>
      <c r="FP14" s="257"/>
      <c r="FQ14" s="257"/>
      <c r="FR14" s="257"/>
      <c r="FS14" s="257"/>
      <c r="FT14" s="257"/>
      <c r="FU14" s="257"/>
      <c r="FV14" s="259"/>
      <c r="FW14" s="259"/>
      <c r="FX14" s="259"/>
      <c r="FY14" s="259"/>
      <c r="FZ14" s="259"/>
      <c r="GA14" s="259"/>
      <c r="GB14" s="259"/>
      <c r="GC14" s="259"/>
      <c r="GD14" s="259"/>
      <c r="GE14" s="259"/>
      <c r="GF14" s="259"/>
      <c r="GG14" s="259"/>
      <c r="GH14" s="259"/>
      <c r="GI14" s="259"/>
      <c r="GJ14" s="259"/>
      <c r="GK14" s="259"/>
      <c r="GL14" s="259"/>
      <c r="GM14" s="259"/>
      <c r="GN14" s="259"/>
      <c r="GO14" s="259"/>
      <c r="GP14" s="259"/>
      <c r="GQ14" s="259"/>
      <c r="GR14" s="259"/>
      <c r="GS14" s="259"/>
      <c r="GT14" s="259"/>
      <c r="GU14" s="259"/>
      <c r="GV14" s="259"/>
    </row>
    <row r="15" spans="1:204" ht="18.75" customHeight="1">
      <c r="A15" s="60"/>
      <c r="B15" s="69"/>
      <c r="C15" s="69"/>
      <c r="D15" s="266" t="str">
        <f ca="1">IF(FL1=0,"","Deze toets is bedoeld als eindtoets. Je kunt hem al vooraf maken om te kijken")</f>
        <v/>
      </c>
      <c r="E15" s="264"/>
      <c r="F15" s="264"/>
      <c r="G15" s="264"/>
      <c r="H15" s="264"/>
      <c r="I15" s="264"/>
      <c r="J15" s="265"/>
      <c r="K15" s="265"/>
      <c r="L15" s="265"/>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c r="CU15" s="265"/>
      <c r="CV15" s="265"/>
      <c r="CW15" s="265"/>
      <c r="CX15" s="265"/>
      <c r="CY15" s="265"/>
      <c r="CZ15" s="265"/>
      <c r="DA15" s="265"/>
      <c r="DB15" s="265"/>
      <c r="DC15" s="265"/>
      <c r="DD15" s="265"/>
      <c r="DE15" s="265"/>
      <c r="DF15" s="265"/>
      <c r="DG15" s="265"/>
      <c r="DH15" s="265"/>
      <c r="DI15" s="265"/>
      <c r="DJ15" s="265"/>
      <c r="DK15" s="265"/>
      <c r="DL15" s="265"/>
      <c r="DM15" s="265"/>
      <c r="DN15" s="265"/>
      <c r="DO15" s="265"/>
      <c r="DP15" s="265"/>
      <c r="DQ15" s="265"/>
      <c r="DR15" s="265"/>
      <c r="DS15" s="265"/>
      <c r="DT15" s="265"/>
      <c r="DU15" s="265"/>
      <c r="DV15" s="265"/>
      <c r="DW15" s="265"/>
      <c r="DX15" s="265"/>
      <c r="DY15" s="265"/>
      <c r="DZ15" s="265"/>
      <c r="EA15" s="265"/>
      <c r="EB15" s="265"/>
      <c r="EC15" s="265"/>
      <c r="ED15" s="265"/>
      <c r="EE15" s="265"/>
      <c r="EF15" s="265"/>
      <c r="EG15" s="265"/>
      <c r="EH15" s="265"/>
      <c r="EI15" s="265"/>
      <c r="EJ15" s="265"/>
      <c r="EK15" s="265"/>
      <c r="EL15" s="265"/>
      <c r="EM15" s="265"/>
      <c r="EN15" s="265"/>
      <c r="EO15" s="265"/>
      <c r="EP15" s="265"/>
      <c r="EQ15" s="265"/>
      <c r="ER15" s="265"/>
      <c r="ES15" s="265"/>
      <c r="ET15" s="265"/>
      <c r="EU15" s="265"/>
      <c r="EV15" s="265"/>
      <c r="EW15" s="265"/>
      <c r="EX15" s="265"/>
      <c r="EY15" s="265"/>
      <c r="EZ15" s="265"/>
      <c r="FA15" s="265"/>
      <c r="FB15" s="265"/>
      <c r="FC15" s="265"/>
      <c r="FD15" s="265"/>
      <c r="FE15" s="265"/>
      <c r="FF15" s="265"/>
      <c r="FG15" s="265"/>
      <c r="FH15" s="141"/>
      <c r="FI15" s="141"/>
      <c r="FJ15" s="257"/>
      <c r="FK15" s="257"/>
      <c r="FL15" s="257"/>
      <c r="FM15" s="257"/>
      <c r="FN15" s="257"/>
      <c r="FO15" s="257"/>
      <c r="FP15" s="257"/>
      <c r="FQ15" s="257"/>
      <c r="FR15" s="257"/>
      <c r="FS15" s="257"/>
      <c r="FT15" s="257"/>
      <c r="FU15" s="257"/>
      <c r="FV15" s="259"/>
      <c r="FW15" s="259"/>
      <c r="FX15" s="259"/>
      <c r="FY15" s="259"/>
      <c r="FZ15" s="259"/>
      <c r="GA15" s="259"/>
      <c r="GB15" s="259"/>
      <c r="GC15" s="259"/>
      <c r="GD15" s="259"/>
      <c r="GE15" s="259"/>
      <c r="GF15" s="259"/>
      <c r="GG15" s="259"/>
      <c r="GH15" s="259"/>
      <c r="GI15" s="259"/>
      <c r="GJ15" s="259"/>
      <c r="GK15" s="259"/>
      <c r="GL15" s="259"/>
      <c r="GM15" s="259"/>
      <c r="GN15" s="259"/>
      <c r="GO15" s="259"/>
      <c r="GP15" s="259"/>
      <c r="GQ15" s="259"/>
      <c r="GR15" s="259"/>
      <c r="GS15" s="259"/>
      <c r="GT15" s="259"/>
      <c r="GU15" s="259"/>
      <c r="GV15" s="259"/>
    </row>
    <row r="16" spans="1:204" ht="18.75" customHeight="1">
      <c r="A16" s="60"/>
      <c r="B16" s="69"/>
      <c r="C16" s="69"/>
      <c r="D16" s="266" t="str">
        <f ca="1">IF(FL1=0,"",IF(Blad1!AY3=0,"of je de stof al onder controle hebt. Wil je feedback krijgen (= zien welke vraag","of je de stof al onder controle hebt."))</f>
        <v/>
      </c>
      <c r="E16" s="264"/>
      <c r="F16" s="264"/>
      <c r="G16" s="264"/>
      <c r="H16" s="264"/>
      <c r="I16" s="264"/>
      <c r="J16" s="265"/>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c r="DM16" s="265"/>
      <c r="DN16" s="265"/>
      <c r="DO16" s="265"/>
      <c r="DP16" s="265"/>
      <c r="DQ16" s="265"/>
      <c r="DR16" s="265"/>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c r="ET16" s="265"/>
      <c r="EU16" s="265"/>
      <c r="EV16" s="265"/>
      <c r="EW16" s="265"/>
      <c r="EX16" s="265"/>
      <c r="EY16" s="265"/>
      <c r="EZ16" s="265"/>
      <c r="FA16" s="265"/>
      <c r="FB16" s="265"/>
      <c r="FC16" s="265"/>
      <c r="FD16" s="265"/>
      <c r="FE16" s="265"/>
      <c r="FF16" s="265"/>
      <c r="FG16" s="265"/>
      <c r="FH16" s="141"/>
      <c r="FI16" s="141"/>
      <c r="FJ16" s="257"/>
      <c r="FK16" s="257"/>
      <c r="FL16" s="257"/>
      <c r="FM16" s="257"/>
      <c r="FN16" s="257"/>
      <c r="FO16" s="257"/>
      <c r="FP16" s="257"/>
      <c r="FQ16" s="257"/>
      <c r="FR16" s="257"/>
      <c r="FS16" s="257"/>
      <c r="FT16" s="257"/>
      <c r="FU16" s="257"/>
      <c r="FV16" s="259"/>
      <c r="FW16" s="259"/>
      <c r="FX16" s="259"/>
      <c r="FY16" s="259"/>
      <c r="FZ16" s="259"/>
      <c r="GA16" s="259"/>
      <c r="GB16" s="259"/>
      <c r="GC16" s="259"/>
      <c r="GD16" s="259"/>
      <c r="GE16" s="259"/>
      <c r="GF16" s="259"/>
      <c r="GG16" s="259"/>
      <c r="GH16" s="259"/>
      <c r="GI16" s="259"/>
      <c r="GJ16" s="259"/>
      <c r="GK16" s="259"/>
      <c r="GL16" s="259"/>
      <c r="GM16" s="259"/>
      <c r="GN16" s="259"/>
      <c r="GO16" s="259"/>
      <c r="GP16" s="259"/>
      <c r="GQ16" s="259"/>
      <c r="GR16" s="259"/>
      <c r="GS16" s="259"/>
      <c r="GT16" s="259"/>
      <c r="GU16" s="259"/>
      <c r="GV16" s="259"/>
    </row>
    <row r="17" spans="1:204" ht="18.75" customHeight="1">
      <c r="A17" s="60"/>
      <c r="B17" s="69"/>
      <c r="C17" s="69"/>
      <c r="D17" s="266" t="str">
        <f ca="1">IF(FL1=0,"",IF(Blad1!AY3=0,"fout is), dan moet je eerst via je docent een gratis proefabonnement aanvragen.",""))</f>
        <v/>
      </c>
      <c r="E17" s="264"/>
      <c r="F17" s="264"/>
      <c r="G17" s="264"/>
      <c r="H17" s="264"/>
      <c r="I17" s="264"/>
      <c r="J17" s="265"/>
      <c r="K17" s="265"/>
      <c r="L17" s="265"/>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141"/>
      <c r="FI17" s="141"/>
      <c r="FJ17" s="257"/>
      <c r="FK17" s="257"/>
      <c r="FL17" s="257"/>
      <c r="FM17" s="257"/>
      <c r="FN17" s="257"/>
      <c r="FO17" s="257"/>
      <c r="FP17" s="257"/>
      <c r="FQ17" s="257"/>
      <c r="FR17" s="257"/>
      <c r="FS17" s="257"/>
      <c r="FT17" s="257"/>
      <c r="FU17" s="257"/>
      <c r="FV17" s="259"/>
      <c r="FW17" s="259"/>
      <c r="FX17" s="259"/>
      <c r="FY17" s="259"/>
      <c r="FZ17" s="259"/>
      <c r="GA17" s="259"/>
      <c r="GB17" s="259"/>
      <c r="GC17" s="259"/>
      <c r="GD17" s="259"/>
      <c r="GE17" s="259"/>
      <c r="GF17" s="259"/>
      <c r="GG17" s="259"/>
      <c r="GH17" s="259"/>
      <c r="GI17" s="259"/>
      <c r="GJ17" s="259"/>
      <c r="GK17" s="259"/>
      <c r="GL17" s="259"/>
      <c r="GM17" s="259"/>
      <c r="GN17" s="259"/>
      <c r="GO17" s="259"/>
      <c r="GP17" s="259"/>
      <c r="GQ17" s="259"/>
      <c r="GR17" s="259"/>
      <c r="GS17" s="259"/>
      <c r="GT17" s="259"/>
      <c r="GU17" s="259"/>
      <c r="GV17" s="259"/>
    </row>
    <row r="18" spans="1:204" ht="18.75" customHeight="1">
      <c r="A18" s="60"/>
      <c r="B18" s="69"/>
      <c r="C18" s="69"/>
      <c r="D18" s="264" t="s">
        <v>161</v>
      </c>
      <c r="E18" s="264"/>
      <c r="F18" s="264"/>
      <c r="G18" s="264"/>
      <c r="H18" s="264"/>
      <c r="I18" s="264"/>
      <c r="J18" s="265"/>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c r="DM18" s="265"/>
      <c r="DN18" s="265"/>
      <c r="DO18" s="265"/>
      <c r="DP18" s="265"/>
      <c r="DQ18" s="265"/>
      <c r="DR18" s="265"/>
      <c r="DS18" s="265"/>
      <c r="DT18" s="265"/>
      <c r="DU18" s="265"/>
      <c r="DV18" s="265"/>
      <c r="DW18" s="265"/>
      <c r="DX18" s="265"/>
      <c r="DY18" s="265"/>
      <c r="DZ18" s="265"/>
      <c r="EA18" s="265"/>
      <c r="EB18" s="265"/>
      <c r="EC18" s="265"/>
      <c r="ED18" s="265"/>
      <c r="EE18" s="265"/>
      <c r="EF18" s="265"/>
      <c r="EG18" s="265"/>
      <c r="EH18" s="265"/>
      <c r="EI18" s="265"/>
      <c r="EJ18" s="265"/>
      <c r="EK18" s="265"/>
      <c r="EL18" s="265"/>
      <c r="EM18" s="265"/>
      <c r="EN18" s="265"/>
      <c r="EO18" s="265"/>
      <c r="EP18" s="265"/>
      <c r="EQ18" s="265"/>
      <c r="ER18" s="265"/>
      <c r="ES18" s="265"/>
      <c r="ET18" s="265"/>
      <c r="EU18" s="265"/>
      <c r="EV18" s="265"/>
      <c r="EW18" s="265"/>
      <c r="EX18" s="265"/>
      <c r="EY18" s="265"/>
      <c r="EZ18" s="265"/>
      <c r="FA18" s="265"/>
      <c r="FB18" s="265"/>
      <c r="FC18" s="265"/>
      <c r="FD18" s="265"/>
      <c r="FE18" s="265"/>
      <c r="FF18" s="265"/>
      <c r="FG18" s="265"/>
      <c r="FH18" s="141"/>
      <c r="FI18" s="141"/>
      <c r="FJ18" s="257"/>
      <c r="FK18" s="257"/>
      <c r="FL18" s="257"/>
      <c r="FM18" s="257"/>
      <c r="FN18" s="257"/>
      <c r="FO18" s="257"/>
      <c r="FP18" s="257"/>
      <c r="FQ18" s="257"/>
      <c r="FR18" s="257"/>
      <c r="FS18" s="257"/>
      <c r="FT18" s="257"/>
      <c r="FU18" s="257"/>
      <c r="FV18" s="259"/>
      <c r="FW18" s="259"/>
      <c r="FX18" s="259"/>
      <c r="FY18" s="259"/>
      <c r="FZ18" s="259"/>
      <c r="GA18" s="259"/>
      <c r="GB18" s="259"/>
      <c r="GC18" s="259"/>
      <c r="GD18" s="259"/>
      <c r="GE18" s="259"/>
      <c r="GF18" s="259"/>
      <c r="GG18" s="259"/>
      <c r="GH18" s="259"/>
      <c r="GI18" s="259"/>
      <c r="GJ18" s="259"/>
      <c r="GK18" s="259"/>
      <c r="GL18" s="259"/>
      <c r="GM18" s="259"/>
      <c r="GN18" s="259"/>
      <c r="GO18" s="259"/>
      <c r="GP18" s="259"/>
      <c r="GQ18" s="259"/>
      <c r="GR18" s="259"/>
      <c r="GS18" s="259"/>
      <c r="GT18" s="259"/>
      <c r="GU18" s="259"/>
      <c r="GV18" s="259"/>
    </row>
    <row r="19" spans="1:204" ht="18.75" customHeight="1">
      <c r="A19" s="60"/>
      <c r="B19" s="69"/>
      <c r="C19" s="69"/>
      <c r="D19" s="267" t="str">
        <f ca="1">IF(FL1=0,"","Maak de berekening op een apart vel en bewaar dat, zodat je later kunt zien wat")</f>
        <v/>
      </c>
      <c r="E19" s="264"/>
      <c r="F19" s="264"/>
      <c r="G19" s="264"/>
      <c r="H19" s="264"/>
      <c r="I19" s="264"/>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c r="CN19" s="265"/>
      <c r="CO19" s="265"/>
      <c r="CP19" s="265"/>
      <c r="CQ19" s="265"/>
      <c r="CR19" s="265"/>
      <c r="CS19" s="265"/>
      <c r="CT19" s="265"/>
      <c r="CU19" s="265"/>
      <c r="CV19" s="265"/>
      <c r="CW19" s="265"/>
      <c r="CX19" s="265"/>
      <c r="CY19" s="265"/>
      <c r="CZ19" s="265"/>
      <c r="DA19" s="265"/>
      <c r="DB19" s="265"/>
      <c r="DC19" s="265"/>
      <c r="DD19" s="265"/>
      <c r="DE19" s="265"/>
      <c r="DF19" s="265"/>
      <c r="DG19" s="265"/>
      <c r="DH19" s="265"/>
      <c r="DI19" s="265"/>
      <c r="DJ19" s="265"/>
      <c r="DK19" s="265"/>
      <c r="DL19" s="265"/>
      <c r="DM19" s="265"/>
      <c r="DN19" s="265"/>
      <c r="DO19" s="265"/>
      <c r="DP19" s="265"/>
      <c r="DQ19" s="265"/>
      <c r="DR19" s="265"/>
      <c r="DS19" s="265"/>
      <c r="DT19" s="265"/>
      <c r="DU19" s="265"/>
      <c r="DV19" s="265"/>
      <c r="DW19" s="265"/>
      <c r="DX19" s="265"/>
      <c r="DY19" s="265"/>
      <c r="DZ19" s="265"/>
      <c r="EA19" s="265"/>
      <c r="EB19" s="265"/>
      <c r="EC19" s="265"/>
      <c r="ED19" s="265"/>
      <c r="EE19" s="265"/>
      <c r="EF19" s="265"/>
      <c r="EG19" s="265"/>
      <c r="EH19" s="265"/>
      <c r="EI19" s="265"/>
      <c r="EJ19" s="265"/>
      <c r="EK19" s="265"/>
      <c r="EL19" s="265"/>
      <c r="EM19" s="265"/>
      <c r="EN19" s="265"/>
      <c r="EO19" s="265"/>
      <c r="EP19" s="265"/>
      <c r="EQ19" s="265"/>
      <c r="ER19" s="265"/>
      <c r="ES19" s="265"/>
      <c r="ET19" s="265"/>
      <c r="EU19" s="265"/>
      <c r="EV19" s="265"/>
      <c r="EW19" s="265"/>
      <c r="EX19" s="265"/>
      <c r="EY19" s="265"/>
      <c r="EZ19" s="265"/>
      <c r="FA19" s="265"/>
      <c r="FB19" s="265"/>
      <c r="FC19" s="265"/>
      <c r="FD19" s="265"/>
      <c r="FE19" s="265"/>
      <c r="FF19" s="265"/>
      <c r="FG19" s="265"/>
      <c r="FH19" s="141"/>
      <c r="FI19" s="141"/>
      <c r="FJ19" s="257"/>
      <c r="FK19" s="257"/>
      <c r="FL19" s="257"/>
      <c r="FM19" s="257"/>
      <c r="FN19" s="257"/>
      <c r="FO19" s="257"/>
      <c r="FP19" s="257"/>
      <c r="FQ19" s="257"/>
      <c r="FR19" s="257"/>
      <c r="FS19" s="257"/>
      <c r="FT19" s="257"/>
      <c r="FU19" s="257"/>
      <c r="FV19" s="259"/>
      <c r="FW19" s="259"/>
      <c r="FX19" s="259"/>
      <c r="FY19" s="259"/>
      <c r="FZ19" s="259"/>
      <c r="GA19" s="259"/>
      <c r="GB19" s="259"/>
      <c r="GC19" s="259"/>
      <c r="GD19" s="259"/>
      <c r="GE19" s="259"/>
      <c r="GF19" s="259"/>
      <c r="GG19" s="259"/>
      <c r="GH19" s="259"/>
      <c r="GI19" s="259"/>
      <c r="GJ19" s="259"/>
      <c r="GK19" s="259"/>
      <c r="GL19" s="259"/>
      <c r="GM19" s="259"/>
      <c r="GN19" s="259"/>
      <c r="GO19" s="259"/>
      <c r="GP19" s="259"/>
      <c r="GQ19" s="259"/>
      <c r="GR19" s="259"/>
      <c r="GS19" s="259"/>
      <c r="GT19" s="259"/>
      <c r="GU19" s="259"/>
      <c r="GV19" s="259"/>
    </row>
    <row r="20" spans="1:204" ht="18.75" customHeight="1">
      <c r="A20" s="60"/>
      <c r="B20" s="69"/>
      <c r="C20" s="69"/>
      <c r="D20" s="267" t="str">
        <f ca="1">IF(FL1=0,"Je hebt je naam, klas of versienummer nog niet ingevuld!","je eventueel fout hebt gedaan. Hier wordt alleen naar de einduitkomst gevraagd.")</f>
        <v>Je hebt je naam, klas of versienummer nog niet ingevuld!</v>
      </c>
      <c r="E20" s="264"/>
      <c r="F20" s="264"/>
      <c r="G20" s="264"/>
      <c r="H20" s="264"/>
      <c r="I20" s="264"/>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c r="DM20" s="265"/>
      <c r="DN20" s="265"/>
      <c r="DO20" s="265"/>
      <c r="DP20" s="265"/>
      <c r="DQ20" s="265"/>
      <c r="DR20" s="265"/>
      <c r="DS20" s="265"/>
      <c r="DT20" s="265"/>
      <c r="DU20" s="265"/>
      <c r="DV20" s="265"/>
      <c r="DW20" s="265"/>
      <c r="DX20" s="265"/>
      <c r="DY20" s="265"/>
      <c r="DZ20" s="265"/>
      <c r="EA20" s="265"/>
      <c r="EB20" s="265"/>
      <c r="EC20" s="265"/>
      <c r="ED20" s="265"/>
      <c r="EE20" s="265"/>
      <c r="EF20" s="265"/>
      <c r="EG20" s="265"/>
      <c r="EH20" s="265"/>
      <c r="EI20" s="265"/>
      <c r="EJ20" s="265"/>
      <c r="EK20" s="265"/>
      <c r="EL20" s="265"/>
      <c r="EM20" s="265"/>
      <c r="EN20" s="265"/>
      <c r="EO20" s="265"/>
      <c r="EP20" s="265"/>
      <c r="EQ20" s="265"/>
      <c r="ER20" s="265"/>
      <c r="ES20" s="265"/>
      <c r="ET20" s="265"/>
      <c r="EU20" s="265"/>
      <c r="EV20" s="265"/>
      <c r="EW20" s="265"/>
      <c r="EX20" s="265"/>
      <c r="EY20" s="265"/>
      <c r="EZ20" s="265"/>
      <c r="FA20" s="265"/>
      <c r="FB20" s="265"/>
      <c r="FC20" s="265"/>
      <c r="FD20" s="265"/>
      <c r="FE20" s="265"/>
      <c r="FF20" s="265"/>
      <c r="FG20" s="265"/>
      <c r="FH20" s="141"/>
      <c r="FI20" s="141"/>
      <c r="FJ20" s="257"/>
      <c r="FK20" s="257"/>
      <c r="FL20" s="257"/>
      <c r="FM20" s="257"/>
      <c r="FN20" s="257"/>
      <c r="FO20" s="257"/>
      <c r="FP20" s="257"/>
      <c r="FQ20" s="257"/>
      <c r="FR20" s="257"/>
      <c r="FS20" s="257"/>
      <c r="FT20" s="257"/>
      <c r="FU20" s="257"/>
      <c r="FV20" s="259"/>
      <c r="FW20" s="259"/>
      <c r="FX20" s="259"/>
      <c r="FY20" s="259"/>
      <c r="FZ20" s="259"/>
      <c r="GA20" s="259"/>
      <c r="GB20" s="259"/>
      <c r="GC20" s="259"/>
      <c r="GD20" s="259"/>
      <c r="GE20" s="259"/>
      <c r="GF20" s="259"/>
      <c r="GG20" s="259"/>
      <c r="GH20" s="259"/>
      <c r="GI20" s="259"/>
      <c r="GJ20" s="259"/>
      <c r="GK20" s="259"/>
      <c r="GL20" s="259"/>
      <c r="GM20" s="259"/>
      <c r="GN20" s="259"/>
      <c r="GO20" s="259"/>
      <c r="GP20" s="259"/>
      <c r="GQ20" s="259"/>
      <c r="GR20" s="259"/>
      <c r="GS20" s="259"/>
      <c r="GT20" s="259"/>
      <c r="GU20" s="259"/>
      <c r="GV20" s="259"/>
    </row>
    <row r="21" spans="1:204" ht="18.75" customHeight="1">
      <c r="A21" s="60"/>
      <c r="B21" s="69"/>
      <c r="C21" s="69"/>
      <c r="D21" s="267" t="str">
        <f ca="1">IF(FL1=0,"","Controleer altijd in de ''functiebalk'' (= de witte regel bovenaan het scherm) of")</f>
        <v/>
      </c>
      <c r="E21" s="264"/>
      <c r="F21" s="264"/>
      <c r="G21" s="264"/>
      <c r="H21" s="264"/>
      <c r="I21" s="264"/>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c r="CN21" s="265"/>
      <c r="CO21" s="265"/>
      <c r="CP21" s="265"/>
      <c r="CQ21" s="265"/>
      <c r="CR21" s="265"/>
      <c r="CS21" s="265"/>
      <c r="CT21" s="265"/>
      <c r="CU21" s="265"/>
      <c r="CV21" s="265"/>
      <c r="CW21" s="265"/>
      <c r="CX21" s="265"/>
      <c r="CY21" s="265"/>
      <c r="CZ21" s="265"/>
      <c r="DA21" s="265"/>
      <c r="DB21" s="265"/>
      <c r="DC21" s="265"/>
      <c r="DD21" s="265"/>
      <c r="DE21" s="265"/>
      <c r="DF21" s="265"/>
      <c r="DG21" s="265"/>
      <c r="DH21" s="265"/>
      <c r="DI21" s="265"/>
      <c r="DJ21" s="265"/>
      <c r="DK21" s="265"/>
      <c r="DL21" s="265"/>
      <c r="DM21" s="265"/>
      <c r="DN21" s="265"/>
      <c r="DO21" s="265"/>
      <c r="DP21" s="265"/>
      <c r="DQ21" s="265"/>
      <c r="DR21" s="265"/>
      <c r="DS21" s="265"/>
      <c r="DT21" s="265"/>
      <c r="DU21" s="265"/>
      <c r="DV21" s="265"/>
      <c r="DW21" s="265"/>
      <c r="DX21" s="265"/>
      <c r="DY21" s="265"/>
      <c r="DZ21" s="265"/>
      <c r="EA21" s="265"/>
      <c r="EB21" s="265"/>
      <c r="EC21" s="265"/>
      <c r="ED21" s="265"/>
      <c r="EE21" s="265"/>
      <c r="EF21" s="265"/>
      <c r="EG21" s="265"/>
      <c r="EH21" s="265"/>
      <c r="EI21" s="265"/>
      <c r="EJ21" s="265"/>
      <c r="EK21" s="265"/>
      <c r="EL21" s="265"/>
      <c r="EM21" s="265"/>
      <c r="EN21" s="265"/>
      <c r="EO21" s="265"/>
      <c r="EP21" s="265"/>
      <c r="EQ21" s="265"/>
      <c r="ER21" s="265"/>
      <c r="ES21" s="265"/>
      <c r="ET21" s="265"/>
      <c r="EU21" s="265"/>
      <c r="EV21" s="265"/>
      <c r="EW21" s="265"/>
      <c r="EX21" s="265"/>
      <c r="EY21" s="265"/>
      <c r="EZ21" s="265"/>
      <c r="FA21" s="265"/>
      <c r="FB21" s="265"/>
      <c r="FC21" s="265"/>
      <c r="FD21" s="265"/>
      <c r="FE21" s="265"/>
      <c r="FF21" s="265"/>
      <c r="FG21" s="265"/>
      <c r="FH21" s="141"/>
      <c r="FI21" s="141"/>
      <c r="FJ21" s="257"/>
      <c r="FK21" s="257"/>
      <c r="FL21" s="257"/>
      <c r="FM21" s="257"/>
      <c r="FN21" s="257"/>
      <c r="FO21" s="257"/>
      <c r="FP21" s="257"/>
      <c r="FQ21" s="257"/>
      <c r="FR21" s="257"/>
      <c r="FS21" s="257"/>
      <c r="FT21" s="257"/>
      <c r="FU21" s="257"/>
      <c r="FV21" s="259"/>
      <c r="FW21" s="259"/>
      <c r="FX21" s="259"/>
      <c r="FY21" s="259"/>
      <c r="FZ21" s="259"/>
      <c r="GA21" s="259"/>
      <c r="GB21" s="259"/>
      <c r="GC21" s="259"/>
      <c r="GD21" s="259"/>
      <c r="GE21" s="259"/>
      <c r="GF21" s="259"/>
      <c r="GG21" s="259"/>
      <c r="GH21" s="259"/>
      <c r="GI21" s="259"/>
      <c r="GJ21" s="259"/>
      <c r="GK21" s="259"/>
      <c r="GL21" s="259"/>
      <c r="GM21" s="259"/>
      <c r="GN21" s="259"/>
      <c r="GO21" s="259"/>
      <c r="GP21" s="259"/>
      <c r="GQ21" s="259"/>
      <c r="GR21" s="259"/>
      <c r="GS21" s="259"/>
      <c r="GT21" s="259"/>
      <c r="GU21" s="259"/>
      <c r="GV21" s="259"/>
    </row>
    <row r="22" spans="1:204" ht="18.75" customHeight="1">
      <c r="A22" s="60"/>
      <c r="B22" s="69"/>
      <c r="C22" s="69"/>
      <c r="D22" s="267" t="str">
        <f ca="1">IF(FL1=0,"","je goed hebt afgerond want in het antwoordvak wordt maar een beperkt aantal")</f>
        <v/>
      </c>
      <c r="E22" s="264"/>
      <c r="F22" s="264"/>
      <c r="G22" s="264"/>
      <c r="H22" s="264"/>
      <c r="I22" s="264"/>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65"/>
      <c r="CV22" s="265"/>
      <c r="CW22" s="265"/>
      <c r="CX22" s="265"/>
      <c r="CY22" s="265"/>
      <c r="CZ22" s="265"/>
      <c r="DA22" s="265"/>
      <c r="DB22" s="265"/>
      <c r="DC22" s="265"/>
      <c r="DD22" s="265"/>
      <c r="DE22" s="265"/>
      <c r="DF22" s="265"/>
      <c r="DG22" s="265"/>
      <c r="DH22" s="265"/>
      <c r="DI22" s="265"/>
      <c r="DJ22" s="265"/>
      <c r="DK22" s="265"/>
      <c r="DL22" s="265"/>
      <c r="DM22" s="265"/>
      <c r="DN22" s="265"/>
      <c r="DO22" s="265"/>
      <c r="DP22" s="265"/>
      <c r="DQ22" s="265"/>
      <c r="DR22" s="265"/>
      <c r="DS22" s="265"/>
      <c r="DT22" s="265"/>
      <c r="DU22" s="265"/>
      <c r="DV22" s="265"/>
      <c r="DW22" s="265"/>
      <c r="DX22" s="265"/>
      <c r="DY22" s="265"/>
      <c r="DZ22" s="265"/>
      <c r="EA22" s="265"/>
      <c r="EB22" s="265"/>
      <c r="EC22" s="265"/>
      <c r="ED22" s="265"/>
      <c r="EE22" s="265"/>
      <c r="EF22" s="265"/>
      <c r="EG22" s="265"/>
      <c r="EH22" s="265"/>
      <c r="EI22" s="265"/>
      <c r="EJ22" s="265"/>
      <c r="EK22" s="265"/>
      <c r="EL22" s="265"/>
      <c r="EM22" s="265"/>
      <c r="EN22" s="265"/>
      <c r="EO22" s="265"/>
      <c r="EP22" s="265"/>
      <c r="EQ22" s="265"/>
      <c r="ER22" s="265"/>
      <c r="ES22" s="265"/>
      <c r="ET22" s="265"/>
      <c r="EU22" s="265"/>
      <c r="EV22" s="265"/>
      <c r="EW22" s="265"/>
      <c r="EX22" s="265"/>
      <c r="EY22" s="265"/>
      <c r="EZ22" s="265"/>
      <c r="FA22" s="265"/>
      <c r="FB22" s="265"/>
      <c r="FC22" s="265"/>
      <c r="FD22" s="265"/>
      <c r="FE22" s="265"/>
      <c r="FF22" s="265"/>
      <c r="FG22" s="265"/>
      <c r="FH22" s="141"/>
      <c r="FI22" s="141"/>
      <c r="FJ22" s="257"/>
      <c r="FK22" s="257"/>
      <c r="FL22" s="257"/>
      <c r="FM22" s="257"/>
      <c r="FN22" s="257"/>
      <c r="FO22" s="257"/>
      <c r="FP22" s="257"/>
      <c r="FQ22" s="257"/>
      <c r="FR22" s="257"/>
      <c r="FS22" s="257"/>
      <c r="FT22" s="257"/>
      <c r="FU22" s="257"/>
      <c r="FV22" s="259"/>
      <c r="FW22" s="259"/>
      <c r="FX22" s="259"/>
      <c r="FY22" s="259"/>
      <c r="FZ22" s="259"/>
      <c r="GA22" s="259"/>
      <c r="GB22" s="259"/>
      <c r="GC22" s="259"/>
      <c r="GD22" s="259"/>
      <c r="GE22" s="259"/>
      <c r="GF22" s="259"/>
      <c r="GG22" s="259"/>
      <c r="GH22" s="259"/>
      <c r="GI22" s="259"/>
      <c r="GJ22" s="259"/>
      <c r="GK22" s="259"/>
      <c r="GL22" s="259"/>
      <c r="GM22" s="259"/>
      <c r="GN22" s="259"/>
      <c r="GO22" s="259"/>
      <c r="GP22" s="259"/>
      <c r="GQ22" s="259"/>
      <c r="GR22" s="259"/>
      <c r="GS22" s="259"/>
      <c r="GT22" s="259"/>
      <c r="GU22" s="259"/>
      <c r="GV22" s="259"/>
    </row>
    <row r="23" spans="1:204" ht="18.75" customHeight="1">
      <c r="A23" s="60"/>
      <c r="B23" s="69"/>
      <c r="C23" s="69"/>
      <c r="D23" s="267" t="str">
        <f ca="1">IF(FL1=0,"","decimalen afgedrukt. Wil je iets verbeteren, gebruik dan de ''terug-knop'' helemaal")</f>
        <v/>
      </c>
      <c r="E23" s="264"/>
      <c r="F23" s="264"/>
      <c r="G23" s="264"/>
      <c r="H23" s="264"/>
      <c r="I23" s="264"/>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c r="DD23" s="265"/>
      <c r="DE23" s="265"/>
      <c r="DF23" s="265"/>
      <c r="DG23" s="265"/>
      <c r="DH23" s="265"/>
      <c r="DI23" s="265"/>
      <c r="DJ23" s="265"/>
      <c r="DK23" s="265"/>
      <c r="DL23" s="265"/>
      <c r="DM23" s="265"/>
      <c r="DN23" s="265"/>
      <c r="DO23" s="265"/>
      <c r="DP23" s="265"/>
      <c r="DQ23" s="265"/>
      <c r="DR23" s="265"/>
      <c r="DS23" s="265"/>
      <c r="DT23" s="265"/>
      <c r="DU23" s="265"/>
      <c r="DV23" s="265"/>
      <c r="DW23" s="265"/>
      <c r="DX23" s="265"/>
      <c r="DY23" s="265"/>
      <c r="DZ23" s="265"/>
      <c r="EA23" s="265"/>
      <c r="EB23" s="265"/>
      <c r="EC23" s="265"/>
      <c r="ED23" s="265"/>
      <c r="EE23" s="265"/>
      <c r="EF23" s="265"/>
      <c r="EG23" s="265"/>
      <c r="EH23" s="265"/>
      <c r="EI23" s="265"/>
      <c r="EJ23" s="265"/>
      <c r="EK23" s="265"/>
      <c r="EL23" s="265"/>
      <c r="EM23" s="265"/>
      <c r="EN23" s="265"/>
      <c r="EO23" s="265"/>
      <c r="EP23" s="265"/>
      <c r="EQ23" s="265"/>
      <c r="ER23" s="265"/>
      <c r="ES23" s="265"/>
      <c r="ET23" s="265"/>
      <c r="EU23" s="265"/>
      <c r="EV23" s="265"/>
      <c r="EW23" s="265"/>
      <c r="EX23" s="265"/>
      <c r="EY23" s="265"/>
      <c r="EZ23" s="265"/>
      <c r="FA23" s="265"/>
      <c r="FB23" s="265"/>
      <c r="FC23" s="265"/>
      <c r="FD23" s="265"/>
      <c r="FE23" s="265"/>
      <c r="FF23" s="265"/>
      <c r="FG23" s="265"/>
      <c r="FH23" s="141"/>
      <c r="FI23" s="141"/>
      <c r="FJ23" s="257"/>
      <c r="FK23" s="257"/>
      <c r="FL23" s="257"/>
      <c r="FM23" s="257"/>
      <c r="FN23" s="257"/>
      <c r="FO23" s="257"/>
      <c r="FP23" s="257"/>
      <c r="FQ23" s="257"/>
      <c r="FR23" s="257"/>
      <c r="FS23" s="257"/>
      <c r="FT23" s="257"/>
      <c r="FU23" s="257"/>
      <c r="FV23" s="259"/>
      <c r="FW23" s="259"/>
      <c r="FX23" s="259"/>
      <c r="FY23" s="259"/>
      <c r="FZ23" s="259"/>
      <c r="GA23" s="259"/>
      <c r="GB23" s="259"/>
      <c r="GC23" s="259"/>
      <c r="GD23" s="259"/>
      <c r="GE23" s="259"/>
      <c r="GF23" s="259"/>
      <c r="GG23" s="259"/>
      <c r="GH23" s="259"/>
      <c r="GI23" s="259"/>
      <c r="GJ23" s="259"/>
      <c r="GK23" s="259"/>
      <c r="GL23" s="259"/>
      <c r="GM23" s="259"/>
      <c r="GN23" s="259"/>
      <c r="GO23" s="259"/>
      <c r="GP23" s="259"/>
      <c r="GQ23" s="259"/>
      <c r="GR23" s="259"/>
      <c r="GS23" s="259"/>
      <c r="GT23" s="259"/>
      <c r="GU23" s="259"/>
      <c r="GV23" s="259"/>
    </row>
    <row r="24" spans="1:204" ht="18.75" customHeight="1">
      <c r="A24" s="60"/>
      <c r="B24" s="69"/>
      <c r="C24" s="69"/>
      <c r="D24" s="267" t="str">
        <f ca="1">IF(FL1=0,"","linksboven in het scherm.")</f>
        <v/>
      </c>
      <c r="E24" s="264"/>
      <c r="F24" s="264"/>
      <c r="G24" s="264"/>
      <c r="H24" s="264"/>
      <c r="I24" s="264"/>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c r="CZ24" s="265"/>
      <c r="DA24" s="265"/>
      <c r="DB24" s="265"/>
      <c r="DC24" s="265"/>
      <c r="DD24" s="265"/>
      <c r="DE24" s="265"/>
      <c r="DF24" s="265"/>
      <c r="DG24" s="265"/>
      <c r="DH24" s="265"/>
      <c r="DI24" s="265"/>
      <c r="DJ24" s="265"/>
      <c r="DK24" s="265"/>
      <c r="DL24" s="268"/>
      <c r="DM24" s="268"/>
      <c r="DN24" s="268"/>
      <c r="DO24" s="268"/>
      <c r="DP24" s="268"/>
      <c r="DQ24" s="268"/>
      <c r="DR24" s="268"/>
      <c r="DS24" s="268"/>
      <c r="DT24" s="268"/>
      <c r="DU24" s="268"/>
      <c r="DV24" s="268"/>
      <c r="DW24" s="268"/>
      <c r="DX24" s="268"/>
      <c r="DY24" s="268"/>
      <c r="DZ24" s="268"/>
      <c r="EA24" s="268"/>
      <c r="EB24" s="268"/>
      <c r="EC24" s="265"/>
      <c r="ED24" s="265"/>
      <c r="EE24" s="265"/>
      <c r="EF24" s="265"/>
      <c r="EG24" s="265"/>
      <c r="EH24" s="265"/>
      <c r="EI24" s="265"/>
      <c r="EJ24" s="265"/>
      <c r="EK24" s="265"/>
      <c r="EL24" s="265"/>
      <c r="EM24" s="265"/>
      <c r="EN24" s="265"/>
      <c r="EO24" s="265"/>
      <c r="EP24" s="265"/>
      <c r="EQ24" s="265"/>
      <c r="ER24" s="265"/>
      <c r="ES24" s="265"/>
      <c r="ET24" s="265"/>
      <c r="EU24" s="265"/>
      <c r="EV24" s="265"/>
      <c r="EW24" s="265"/>
      <c r="EX24" s="265"/>
      <c r="EY24" s="265"/>
      <c r="EZ24" s="265"/>
      <c r="FA24" s="265"/>
      <c r="FB24" s="265"/>
      <c r="FC24" s="265"/>
      <c r="FD24" s="265"/>
      <c r="FE24" s="265"/>
      <c r="FF24" s="265"/>
      <c r="FG24" s="265"/>
      <c r="FH24" s="141"/>
      <c r="FI24" s="141"/>
      <c r="FJ24" s="257"/>
      <c r="FK24" s="257"/>
      <c r="FL24" s="257"/>
      <c r="FM24" s="257"/>
      <c r="FN24" s="257"/>
      <c r="FO24" s="257"/>
      <c r="FP24" s="257"/>
      <c r="FQ24" s="257"/>
      <c r="FR24" s="257"/>
      <c r="FS24" s="257"/>
      <c r="FT24" s="257"/>
      <c r="FU24" s="257"/>
      <c r="FV24" s="259"/>
      <c r="FW24" s="259"/>
      <c r="FX24" s="259"/>
      <c r="FY24" s="259"/>
      <c r="FZ24" s="259"/>
      <c r="GA24" s="259"/>
      <c r="GB24" s="259"/>
      <c r="GC24" s="259"/>
      <c r="GD24" s="259"/>
      <c r="GE24" s="259"/>
      <c r="GF24" s="259"/>
      <c r="GG24" s="259"/>
      <c r="GH24" s="259"/>
      <c r="GI24" s="259"/>
      <c r="GJ24" s="259"/>
      <c r="GK24" s="259"/>
      <c r="GL24" s="259"/>
      <c r="GM24" s="259"/>
      <c r="GN24" s="259"/>
      <c r="GO24" s="259"/>
      <c r="GP24" s="259"/>
      <c r="GQ24" s="259"/>
      <c r="GR24" s="259"/>
      <c r="GS24" s="259"/>
      <c r="GT24" s="259"/>
      <c r="GU24" s="259"/>
      <c r="GV24" s="259"/>
    </row>
    <row r="25" spans="1:204" ht="18.75" customHeight="1">
      <c r="A25" s="60"/>
      <c r="B25" s="69"/>
      <c r="C25" s="69"/>
      <c r="D25" s="267"/>
      <c r="E25" s="264"/>
      <c r="F25" s="264"/>
      <c r="G25" s="264"/>
      <c r="H25" s="264"/>
      <c r="I25" s="264"/>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5"/>
      <c r="CS25" s="265"/>
      <c r="CT25" s="265"/>
      <c r="CU25" s="265"/>
      <c r="CV25" s="265"/>
      <c r="CW25" s="265"/>
      <c r="CX25" s="265"/>
      <c r="CY25" s="265"/>
      <c r="CZ25" s="265"/>
      <c r="DA25" s="265"/>
      <c r="DB25" s="265"/>
      <c r="DC25" s="265"/>
      <c r="DD25" s="265"/>
      <c r="DE25" s="265"/>
      <c r="DF25" s="265"/>
      <c r="DG25" s="265"/>
      <c r="DH25" s="265"/>
      <c r="DI25" s="265"/>
      <c r="DJ25" s="265"/>
      <c r="DK25" s="265"/>
      <c r="DL25" s="268"/>
      <c r="DM25" s="268"/>
      <c r="DN25" s="268"/>
      <c r="DO25" s="268"/>
      <c r="DP25" s="268"/>
      <c r="DQ25" s="268"/>
      <c r="DR25" s="268"/>
      <c r="DS25" s="268"/>
      <c r="DT25" s="268"/>
      <c r="DU25" s="268"/>
      <c r="DV25" s="268"/>
      <c r="DW25" s="268"/>
      <c r="DX25" s="268"/>
      <c r="DY25" s="268"/>
      <c r="DZ25" s="268"/>
      <c r="EA25" s="268"/>
      <c r="EB25" s="268"/>
      <c r="EC25" s="265"/>
      <c r="ED25" s="265"/>
      <c r="EE25" s="265"/>
      <c r="EF25" s="265"/>
      <c r="EG25" s="265"/>
      <c r="EH25" s="265"/>
      <c r="EI25" s="265"/>
      <c r="EJ25" s="265"/>
      <c r="EK25" s="265"/>
      <c r="EL25" s="265"/>
      <c r="EM25" s="265"/>
      <c r="EN25" s="265"/>
      <c r="EO25" s="265"/>
      <c r="EP25" s="265"/>
      <c r="EQ25" s="265"/>
      <c r="ER25" s="265"/>
      <c r="ES25" s="265"/>
      <c r="ET25" s="265"/>
      <c r="EU25" s="265"/>
      <c r="EV25" s="265"/>
      <c r="EW25" s="265"/>
      <c r="EX25" s="265"/>
      <c r="EY25" s="265"/>
      <c r="EZ25" s="265"/>
      <c r="FA25" s="265"/>
      <c r="FB25" s="265"/>
      <c r="FC25" s="265"/>
      <c r="FD25" s="265"/>
      <c r="FE25" s="265"/>
      <c r="FF25" s="265"/>
      <c r="FG25" s="265"/>
      <c r="FH25" s="141"/>
      <c r="FI25" s="141"/>
      <c r="FJ25" s="257"/>
      <c r="FK25" s="257"/>
      <c r="FL25" s="257"/>
      <c r="FM25" s="257"/>
      <c r="FN25" s="258"/>
      <c r="FO25" s="257"/>
      <c r="FP25" s="257"/>
      <c r="FQ25" s="257"/>
      <c r="FR25" s="257"/>
      <c r="FS25" s="257"/>
      <c r="FT25" s="257"/>
      <c r="FU25" s="257"/>
      <c r="FV25" s="269"/>
      <c r="FW25" s="269"/>
      <c r="FX25" s="259"/>
      <c r="FY25" s="259"/>
      <c r="FZ25" s="259"/>
      <c r="GA25" s="259"/>
      <c r="GB25" s="259"/>
      <c r="GC25" s="259"/>
      <c r="GD25" s="259"/>
      <c r="GE25" s="259"/>
      <c r="GF25" s="259"/>
      <c r="GG25" s="259"/>
      <c r="GH25" s="259"/>
      <c r="GI25" s="259"/>
      <c r="GJ25" s="259"/>
      <c r="GK25" s="259"/>
      <c r="GL25" s="259"/>
      <c r="GM25" s="259"/>
      <c r="GN25" s="259"/>
      <c r="GO25" s="259"/>
      <c r="GP25" s="259"/>
      <c r="GQ25" s="259"/>
      <c r="GR25" s="259"/>
      <c r="GS25" s="259"/>
      <c r="GT25" s="259"/>
      <c r="GU25" s="259"/>
      <c r="GV25" s="259"/>
    </row>
    <row r="26" spans="1:204" ht="18.75" customHeight="1">
      <c r="A26" s="60"/>
      <c r="B26" s="69"/>
      <c r="C26" s="69"/>
      <c r="D26" s="270" t="str">
        <f ca="1">IF(FL1=0,"","Opgaven TO, TK en TW")</f>
        <v/>
      </c>
      <c r="E26" s="264"/>
      <c r="F26" s="264"/>
      <c r="G26" s="264"/>
      <c r="H26" s="264"/>
      <c r="I26" s="264"/>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265"/>
      <c r="CW26" s="265"/>
      <c r="CX26" s="265"/>
      <c r="CY26" s="265"/>
      <c r="CZ26" s="265"/>
      <c r="DA26" s="265"/>
      <c r="DB26" s="265"/>
      <c r="DC26" s="265"/>
      <c r="DD26" s="265"/>
      <c r="DE26" s="265"/>
      <c r="DF26" s="265"/>
      <c r="DG26" s="265"/>
      <c r="DH26" s="265"/>
      <c r="DI26" s="265"/>
      <c r="DJ26" s="265"/>
      <c r="DK26" s="265"/>
      <c r="DL26" s="268"/>
      <c r="DM26" s="268"/>
      <c r="DN26" s="268"/>
      <c r="DO26" s="268"/>
      <c r="DP26" s="268"/>
      <c r="DQ26" s="268"/>
      <c r="DR26" s="268"/>
      <c r="DS26" s="268"/>
      <c r="DT26" s="268"/>
      <c r="DU26" s="268"/>
      <c r="DV26" s="268"/>
      <c r="DW26" s="268"/>
      <c r="DX26" s="268"/>
      <c r="DY26" s="268"/>
      <c r="DZ26" s="268"/>
      <c r="EA26" s="268"/>
      <c r="EB26" s="268"/>
      <c r="EC26" s="265"/>
      <c r="ED26" s="265"/>
      <c r="EE26" s="265"/>
      <c r="EF26" s="265"/>
      <c r="EG26" s="265"/>
      <c r="EH26" s="265"/>
      <c r="EI26" s="265"/>
      <c r="EJ26" s="265"/>
      <c r="EK26" s="265"/>
      <c r="EL26" s="265"/>
      <c r="EM26" s="265"/>
      <c r="EN26" s="265"/>
      <c r="EO26" s="265"/>
      <c r="EP26" s="265"/>
      <c r="EQ26" s="265"/>
      <c r="ER26" s="265"/>
      <c r="ES26" s="265"/>
      <c r="ET26" s="265"/>
      <c r="EU26" s="265"/>
      <c r="EV26" s="265"/>
      <c r="EW26" s="265"/>
      <c r="EX26" s="265"/>
      <c r="EY26" s="265"/>
      <c r="EZ26" s="265"/>
      <c r="FA26" s="265"/>
      <c r="FB26" s="265"/>
      <c r="FC26" s="265"/>
      <c r="FD26" s="265"/>
      <c r="FE26" s="265"/>
      <c r="FF26" s="265"/>
      <c r="FG26" s="268"/>
      <c r="FH26" s="271"/>
      <c r="FI26" s="141"/>
      <c r="FJ26" s="257"/>
      <c r="FK26" s="257"/>
      <c r="FL26" s="257"/>
      <c r="FM26" s="257"/>
      <c r="FN26" s="258"/>
      <c r="FO26" s="257"/>
      <c r="FP26" s="257"/>
      <c r="FQ26" s="257"/>
      <c r="FR26" s="257"/>
      <c r="FS26" s="257"/>
      <c r="FT26" s="257"/>
      <c r="FU26" s="257"/>
      <c r="FV26" s="269"/>
      <c r="FW26" s="269"/>
      <c r="FX26" s="259"/>
      <c r="FY26" s="259"/>
      <c r="FZ26" s="259"/>
      <c r="GA26" s="259"/>
      <c r="GB26" s="259"/>
      <c r="GC26" s="259"/>
      <c r="GD26" s="259"/>
      <c r="GE26" s="259"/>
      <c r="GF26" s="259"/>
      <c r="GG26" s="259"/>
      <c r="GH26" s="259"/>
      <c r="GI26" s="259"/>
      <c r="GJ26" s="259"/>
      <c r="GK26" s="259"/>
      <c r="GL26" s="259"/>
      <c r="GM26" s="259"/>
      <c r="GN26" s="259"/>
      <c r="GO26" s="259"/>
      <c r="GP26" s="259"/>
      <c r="GQ26" s="259"/>
      <c r="GR26" s="259"/>
      <c r="GS26" s="259"/>
      <c r="GT26" s="259"/>
      <c r="GU26" s="259"/>
      <c r="GV26" s="259"/>
    </row>
    <row r="27" spans="1:204" ht="18.75" customHeight="1">
      <c r="A27" s="60"/>
      <c r="B27" s="69"/>
      <c r="C27" s="69"/>
      <c r="D27" s="267"/>
      <c r="E27" s="264"/>
      <c r="F27" s="264"/>
      <c r="G27" s="264"/>
      <c r="H27" s="264"/>
      <c r="I27" s="264"/>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c r="CN27" s="265"/>
      <c r="CO27" s="265"/>
      <c r="CP27" s="265"/>
      <c r="CQ27" s="265"/>
      <c r="CR27" s="265"/>
      <c r="CS27" s="265"/>
      <c r="CT27" s="265"/>
      <c r="CU27" s="265"/>
      <c r="CV27" s="265"/>
      <c r="CW27" s="265"/>
      <c r="CX27" s="265"/>
      <c r="CY27" s="265"/>
      <c r="CZ27" s="265"/>
      <c r="DA27" s="265"/>
      <c r="DB27" s="265"/>
      <c r="DC27" s="265"/>
      <c r="DD27" s="265"/>
      <c r="DE27" s="265"/>
      <c r="DF27" s="265"/>
      <c r="DG27" s="265"/>
      <c r="DH27" s="265"/>
      <c r="DI27" s="265"/>
      <c r="DJ27" s="265"/>
      <c r="DK27" s="265"/>
      <c r="DL27" s="268"/>
      <c r="DM27" s="268"/>
      <c r="DN27" s="268"/>
      <c r="DO27" s="268"/>
      <c r="DP27" s="268"/>
      <c r="DQ27" s="268"/>
      <c r="DR27" s="268"/>
      <c r="DS27" s="268"/>
      <c r="DT27" s="268"/>
      <c r="DU27" s="268"/>
      <c r="DV27" s="268"/>
      <c r="DW27" s="268"/>
      <c r="DX27" s="268"/>
      <c r="DY27" s="268"/>
      <c r="DZ27" s="268"/>
      <c r="EA27" s="268"/>
      <c r="EB27" s="268"/>
      <c r="EC27" s="265"/>
      <c r="ED27" s="265"/>
      <c r="EE27" s="265"/>
      <c r="EF27" s="265"/>
      <c r="EG27" s="265"/>
      <c r="EH27" s="265"/>
      <c r="EI27" s="265"/>
      <c r="EJ27" s="265"/>
      <c r="EK27" s="265"/>
      <c r="EL27" s="265"/>
      <c r="EM27" s="265"/>
      <c r="EN27" s="265"/>
      <c r="EO27" s="265"/>
      <c r="EP27" s="265"/>
      <c r="EQ27" s="265"/>
      <c r="ER27" s="265"/>
      <c r="ES27" s="265"/>
      <c r="ET27" s="265"/>
      <c r="EU27" s="265"/>
      <c r="EV27" s="265"/>
      <c r="EW27" s="265"/>
      <c r="EX27" s="265"/>
      <c r="EY27" s="265"/>
      <c r="EZ27" s="265"/>
      <c r="FA27" s="265"/>
      <c r="FB27" s="265"/>
      <c r="FC27" s="265"/>
      <c r="FD27" s="265"/>
      <c r="FE27" s="265"/>
      <c r="FF27" s="265"/>
      <c r="FG27" s="265"/>
      <c r="FH27" s="141" t="s">
        <v>162</v>
      </c>
      <c r="FI27" s="141"/>
      <c r="FJ27" s="257"/>
      <c r="FK27" s="257"/>
      <c r="FL27" s="257"/>
      <c r="FM27" s="257"/>
      <c r="FN27" s="257"/>
      <c r="FO27" s="257"/>
      <c r="FP27" s="257"/>
      <c r="FQ27" s="257"/>
      <c r="FR27" s="257"/>
      <c r="FS27" s="257"/>
      <c r="FT27" s="257"/>
      <c r="FU27" s="257"/>
      <c r="FV27" s="259"/>
      <c r="FW27" s="259"/>
      <c r="FX27" s="259"/>
      <c r="FY27" s="259"/>
      <c r="FZ27" s="259"/>
      <c r="GA27" s="259"/>
      <c r="GB27" s="259"/>
      <c r="GC27" s="259"/>
      <c r="GD27" s="259"/>
      <c r="GE27" s="259"/>
      <c r="GF27" s="259"/>
      <c r="GG27" s="259"/>
      <c r="GH27" s="259"/>
      <c r="GI27" s="259"/>
      <c r="GJ27" s="259"/>
      <c r="GK27" s="259"/>
      <c r="GL27" s="259"/>
      <c r="GM27" s="259"/>
      <c r="GN27" s="259"/>
      <c r="GO27" s="259"/>
      <c r="GP27" s="259"/>
      <c r="GQ27" s="259"/>
      <c r="GR27" s="259"/>
      <c r="GS27" s="259"/>
      <c r="GT27" s="259"/>
      <c r="GU27" s="259"/>
      <c r="GV27" s="259"/>
    </row>
    <row r="28" spans="1:204" ht="16.95" customHeight="1">
      <c r="A28" s="60"/>
      <c r="B28" s="272" t="str">
        <f ca="1">IF(FL1=0,"",1)</f>
        <v/>
      </c>
      <c r="C28" s="69"/>
      <c r="D28" s="341" t="str">
        <f ca="1">IF(FL1=0,"","Bij welke marktvormen (en soms onder welke extra omstandigheden) komt")</f>
        <v/>
      </c>
      <c r="E28" s="264"/>
      <c r="F28" s="264"/>
      <c r="G28" s="264"/>
      <c r="H28" s="264"/>
      <c r="I28" s="264"/>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8"/>
      <c r="DM28" s="268"/>
      <c r="DN28" s="268"/>
      <c r="DO28" s="268"/>
      <c r="DP28" s="268"/>
      <c r="DQ28" s="268"/>
      <c r="DR28" s="268"/>
      <c r="DS28" s="268"/>
      <c r="DT28" s="268"/>
      <c r="DU28" s="268"/>
      <c r="DV28" s="268"/>
      <c r="DW28" s="268"/>
      <c r="DX28" s="268"/>
      <c r="DY28" s="268"/>
      <c r="DZ28" s="268"/>
      <c r="EA28" s="268"/>
      <c r="EB28" s="268"/>
      <c r="EC28" s="265"/>
      <c r="ED28" s="265"/>
      <c r="EE28" s="265"/>
      <c r="EF28" s="265"/>
      <c r="EG28" s="265"/>
      <c r="EH28" s="265"/>
      <c r="EI28" s="265"/>
      <c r="EJ28" s="265"/>
      <c r="EK28" s="265"/>
      <c r="EL28" s="265"/>
      <c r="EM28" s="265"/>
      <c r="EN28" s="265"/>
      <c r="EO28" s="265"/>
      <c r="EP28" s="265"/>
      <c r="EQ28" s="265"/>
      <c r="ER28" s="265"/>
      <c r="ES28" s="265"/>
      <c r="ET28" s="265"/>
      <c r="EU28" s="141"/>
      <c r="EV28" s="141"/>
      <c r="EW28" s="141"/>
      <c r="EX28" s="89"/>
      <c r="EY28" s="89"/>
      <c r="EZ28" s="89"/>
      <c r="FA28" s="89"/>
      <c r="FB28" s="89"/>
      <c r="FC28" s="89"/>
      <c r="FD28" s="89"/>
      <c r="FE28" s="89"/>
      <c r="FF28" s="342"/>
      <c r="FG28" s="141"/>
      <c r="FJ28" s="359"/>
      <c r="FK28" s="359"/>
      <c r="FL28" s="359"/>
      <c r="FM28" s="359"/>
      <c r="FN28" s="109"/>
      <c r="FO28" s="109"/>
      <c r="FP28" s="109"/>
      <c r="FQ28" s="109"/>
      <c r="FR28" s="109"/>
      <c r="FS28" s="109"/>
      <c r="FT28" s="109"/>
      <c r="FU28" s="109"/>
      <c r="FV28" s="109"/>
      <c r="FW28" s="109"/>
      <c r="FX28" s="109"/>
      <c r="FY28" s="259"/>
      <c r="FZ28" s="259"/>
      <c r="GA28" s="259"/>
      <c r="GB28" s="259"/>
      <c r="GC28" s="85"/>
      <c r="GD28" s="85"/>
      <c r="GE28" s="85"/>
      <c r="GF28" s="85"/>
      <c r="GG28" s="85"/>
      <c r="GH28" s="85"/>
      <c r="GI28" s="85"/>
      <c r="GJ28" s="85"/>
      <c r="GK28" s="85"/>
      <c r="GL28" s="85"/>
      <c r="GM28" s="85"/>
      <c r="GN28" s="85"/>
      <c r="GO28" s="85"/>
      <c r="GP28" s="85"/>
      <c r="GQ28" s="85"/>
      <c r="GR28" s="85"/>
      <c r="GS28" s="85"/>
      <c r="GT28" s="85"/>
      <c r="GU28" s="85"/>
      <c r="GV28" s="85"/>
    </row>
    <row r="29" spans="1:204" ht="16.95" customHeight="1">
      <c r="A29" s="60"/>
      <c r="B29" s="272"/>
      <c r="C29" s="69"/>
      <c r="D29" s="341" t="str">
        <f ca="1">IF(FL1=0,"","prijszetting voor?")</f>
        <v/>
      </c>
      <c r="E29" s="264"/>
      <c r="F29" s="264"/>
      <c r="G29" s="264"/>
      <c r="H29" s="264"/>
      <c r="I29" s="264"/>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8"/>
      <c r="DM29" s="268"/>
      <c r="DN29" s="268"/>
      <c r="DO29" s="268"/>
      <c r="DP29" s="268"/>
      <c r="DQ29" s="268"/>
      <c r="DR29" s="268"/>
      <c r="DS29" s="268"/>
      <c r="DT29" s="268"/>
      <c r="DU29" s="268"/>
      <c r="DV29" s="268"/>
      <c r="DW29" s="268"/>
      <c r="DX29" s="268"/>
      <c r="DY29" s="268"/>
      <c r="DZ29" s="268"/>
      <c r="EA29" s="268"/>
      <c r="EB29" s="268"/>
      <c r="EC29" s="265"/>
      <c r="ED29" s="265"/>
      <c r="EE29" s="265"/>
      <c r="EF29" s="265"/>
      <c r="EG29" s="265"/>
      <c r="EH29" s="265"/>
      <c r="EI29" s="265"/>
      <c r="EJ29" s="265"/>
      <c r="EK29" s="265"/>
      <c r="EL29" s="265"/>
      <c r="EM29" s="265"/>
      <c r="EN29" s="265"/>
      <c r="EO29" s="265"/>
      <c r="EP29" s="265"/>
      <c r="EQ29" s="265"/>
      <c r="ER29" s="265"/>
      <c r="ES29" s="265"/>
      <c r="ET29" s="265"/>
      <c r="EU29" s="141"/>
      <c r="EV29" s="141"/>
      <c r="EW29" s="141"/>
      <c r="EX29" s="89"/>
      <c r="EY29" s="89"/>
      <c r="EZ29" s="89"/>
      <c r="FA29" s="89"/>
      <c r="FB29" s="89"/>
      <c r="FC29" s="89"/>
      <c r="FD29" s="89"/>
      <c r="FE29" s="89"/>
      <c r="FF29" s="342"/>
      <c r="FG29" s="141"/>
      <c r="FJ29" s="359" t="s">
        <v>153</v>
      </c>
      <c r="FK29" s="359"/>
      <c r="FL29" s="359" t="str">
        <f ca="1">IF(FK1=0,"",FJ29)</f>
        <v>X</v>
      </c>
      <c r="FM29" s="359"/>
      <c r="FN29" s="109"/>
      <c r="FO29" s="109"/>
      <c r="FP29" s="109"/>
      <c r="FQ29" s="109"/>
      <c r="FR29" s="109"/>
      <c r="FS29" s="109"/>
      <c r="FT29" s="109"/>
      <c r="FU29" s="109"/>
      <c r="FV29" s="109"/>
      <c r="FW29" s="109"/>
      <c r="FX29" s="109"/>
      <c r="FY29" s="259"/>
      <c r="FZ29" s="259"/>
      <c r="GA29" s="259"/>
      <c r="GB29" s="259"/>
      <c r="GC29" s="85"/>
      <c r="GD29" s="85"/>
      <c r="GE29" s="85"/>
      <c r="GF29" s="85"/>
      <c r="GG29" s="85"/>
      <c r="GH29" s="85"/>
      <c r="GI29" s="85"/>
      <c r="GJ29" s="85"/>
      <c r="GK29" s="85"/>
      <c r="GL29" s="85"/>
      <c r="GM29" s="85"/>
      <c r="GN29" s="85"/>
      <c r="GO29" s="85"/>
      <c r="GP29" s="85"/>
      <c r="GQ29" s="85"/>
      <c r="GR29" s="85"/>
      <c r="GS29" s="85"/>
      <c r="GT29" s="85"/>
      <c r="GU29" s="85"/>
      <c r="GV29" s="85"/>
    </row>
    <row r="30" spans="1:204" ht="7.2" customHeight="1">
      <c r="A30" s="60"/>
      <c r="B30" s="272"/>
      <c r="C30" s="69"/>
      <c r="D30" s="341"/>
      <c r="E30" s="264"/>
      <c r="F30" s="264"/>
      <c r="G30" s="264"/>
      <c r="H30" s="264"/>
      <c r="I30" s="264"/>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8"/>
      <c r="DM30" s="268"/>
      <c r="DN30" s="268"/>
      <c r="DO30" s="268"/>
      <c r="DP30" s="268"/>
      <c r="DQ30" s="268"/>
      <c r="DR30" s="268"/>
      <c r="DS30" s="268"/>
      <c r="DT30" s="268"/>
      <c r="DU30" s="268"/>
      <c r="DV30" s="268"/>
      <c r="DW30" s="268"/>
      <c r="DX30" s="268"/>
      <c r="DY30" s="268"/>
      <c r="DZ30" s="268"/>
      <c r="EA30" s="268"/>
      <c r="EB30" s="268"/>
      <c r="EC30" s="265"/>
      <c r="ED30" s="265"/>
      <c r="EE30" s="265"/>
      <c r="EF30" s="265"/>
      <c r="EG30" s="265"/>
      <c r="EH30" s="265"/>
      <c r="EI30" s="265"/>
      <c r="EJ30" s="265"/>
      <c r="EK30" s="265"/>
      <c r="EL30" s="265"/>
      <c r="EM30" s="265"/>
      <c r="EN30" s="265"/>
      <c r="EO30" s="265"/>
      <c r="EP30" s="265"/>
      <c r="EQ30" s="265"/>
      <c r="ER30" s="265"/>
      <c r="ES30" s="265"/>
      <c r="ET30" s="265"/>
      <c r="EU30" s="141"/>
      <c r="EV30" s="141"/>
      <c r="EW30" s="141"/>
      <c r="EX30" s="89"/>
      <c r="EY30" s="89"/>
      <c r="EZ30" s="89"/>
      <c r="FA30" s="89"/>
      <c r="FB30" s="89"/>
      <c r="FC30" s="89"/>
      <c r="FD30" s="89"/>
      <c r="FE30" s="89"/>
      <c r="FF30" s="342"/>
      <c r="FG30" s="141"/>
      <c r="FJ30" s="359"/>
      <c r="FK30" s="359"/>
      <c r="FL30" s="359"/>
      <c r="FM30" s="359"/>
      <c r="FN30" s="109"/>
      <c r="FO30" s="109"/>
      <c r="FP30" s="109"/>
      <c r="FQ30" s="109"/>
      <c r="FR30" s="109"/>
      <c r="FS30" s="109"/>
      <c r="FT30" s="109"/>
      <c r="FU30" s="109"/>
      <c r="FV30" s="109"/>
      <c r="FW30" s="109"/>
      <c r="FX30" s="109"/>
      <c r="FY30" s="259"/>
      <c r="FZ30" s="259"/>
      <c r="GA30" s="259"/>
      <c r="GB30" s="259"/>
      <c r="GC30" s="85"/>
      <c r="GD30" s="85"/>
      <c r="GE30" s="85"/>
      <c r="GF30" s="85"/>
      <c r="GG30" s="85"/>
      <c r="GH30" s="85"/>
      <c r="GI30" s="85"/>
      <c r="GJ30" s="85"/>
      <c r="GK30" s="85"/>
      <c r="GL30" s="85"/>
      <c r="GM30" s="85"/>
      <c r="GN30" s="85"/>
      <c r="GO30" s="85"/>
      <c r="GP30" s="85"/>
      <c r="GQ30" s="85"/>
      <c r="GR30" s="85"/>
      <c r="GS30" s="85"/>
      <c r="GT30" s="85"/>
      <c r="GU30" s="85"/>
      <c r="GV30" s="85"/>
    </row>
    <row r="31" spans="1:204" ht="3.75" customHeight="1">
      <c r="A31" s="60"/>
      <c r="B31" s="69"/>
      <c r="C31" s="69"/>
      <c r="D31" s="341"/>
      <c r="E31" s="89"/>
      <c r="F31" s="89"/>
      <c r="G31" s="89"/>
      <c r="H31" s="89"/>
      <c r="I31" s="89"/>
      <c r="J31" s="89"/>
      <c r="K31" s="89"/>
      <c r="L31" s="89"/>
      <c r="M31" s="89"/>
      <c r="N31" s="89"/>
      <c r="O31" s="89"/>
      <c r="P31" s="89"/>
      <c r="Q31" s="89"/>
      <c r="R31" s="89"/>
      <c r="S31" s="89"/>
      <c r="T31" s="89"/>
      <c r="U31" s="360"/>
      <c r="V31" s="342"/>
      <c r="W31" s="342"/>
      <c r="X31" s="342"/>
      <c r="Y31" s="342"/>
      <c r="Z31" s="342"/>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141"/>
      <c r="BZ31" s="141"/>
      <c r="CA31" s="141"/>
      <c r="CB31" s="141"/>
      <c r="CC31" s="89"/>
      <c r="CD31" s="89"/>
      <c r="CE31" s="89"/>
      <c r="CF31" s="89"/>
      <c r="CG31" s="89"/>
      <c r="CH31" s="89"/>
      <c r="CI31" s="89"/>
      <c r="CJ31" s="89"/>
      <c r="CK31" s="89"/>
      <c r="CL31" s="89"/>
      <c r="CM31" s="89"/>
      <c r="CN31" s="141"/>
      <c r="CO31" s="141"/>
      <c r="DA31" s="141"/>
      <c r="DB31" s="141"/>
      <c r="DC31" s="141"/>
      <c r="DD31" s="141"/>
      <c r="DE31" s="540" t="str">
        <f ca="1">IF(FL1=0,"","+")</f>
        <v/>
      </c>
      <c r="DF31" s="541"/>
      <c r="DG31" s="541"/>
      <c r="DH31" s="541"/>
      <c r="DI31" s="541"/>
      <c r="DJ31" s="541"/>
      <c r="DK31" s="89"/>
      <c r="DL31" s="141"/>
      <c r="DM31" s="141"/>
      <c r="DN31" s="141"/>
      <c r="DO31" s="141"/>
      <c r="DP31" s="141"/>
      <c r="DQ31" s="141"/>
      <c r="DR31" s="141"/>
      <c r="DS31" s="141"/>
      <c r="DT31" s="141"/>
      <c r="DU31" s="141"/>
      <c r="DV31" s="141"/>
      <c r="DW31" s="141"/>
      <c r="DX31" s="141"/>
      <c r="DY31" s="141"/>
      <c r="DZ31" s="141"/>
      <c r="EA31" s="141"/>
      <c r="EB31" s="141"/>
      <c r="EC31" s="141"/>
      <c r="ED31" s="141"/>
      <c r="EE31" s="141"/>
      <c r="EF31" s="141"/>
      <c r="EG31" s="141"/>
      <c r="EH31" s="141"/>
      <c r="EI31" s="141"/>
      <c r="EJ31" s="141"/>
      <c r="EK31" s="141"/>
      <c r="EL31" s="141"/>
      <c r="EM31" s="141"/>
      <c r="EN31" s="141"/>
      <c r="EO31" s="141"/>
      <c r="EP31" s="141"/>
      <c r="EQ31" s="141"/>
      <c r="ER31" s="141"/>
      <c r="ES31" s="141"/>
      <c r="ET31" s="141"/>
      <c r="EU31" s="141"/>
      <c r="EV31" s="141"/>
      <c r="EW31" s="141"/>
      <c r="EX31" s="89"/>
      <c r="EY31" s="89"/>
      <c r="EZ31" s="89"/>
      <c r="FA31" s="89"/>
      <c r="FB31" s="89"/>
      <c r="FC31" s="89"/>
      <c r="FD31" s="89"/>
      <c r="FE31" s="89"/>
      <c r="FF31" s="342"/>
      <c r="FG31" s="141"/>
      <c r="FJ31" s="359"/>
      <c r="FK31" s="359"/>
      <c r="FL31" s="359"/>
      <c r="FM31" s="359"/>
      <c r="FN31" s="109"/>
      <c r="FO31" s="109"/>
      <c r="FP31" s="109"/>
      <c r="FQ31" s="109"/>
      <c r="FR31" s="109"/>
      <c r="FS31" s="109"/>
      <c r="FT31" s="109"/>
      <c r="FU31" s="109"/>
      <c r="FV31" s="109"/>
      <c r="FW31" s="109"/>
      <c r="FX31" s="109"/>
      <c r="FY31" s="259"/>
      <c r="FZ31" s="259"/>
      <c r="GA31" s="259"/>
      <c r="GB31" s="259"/>
      <c r="GC31" s="85"/>
      <c r="GD31" s="85"/>
      <c r="GE31" s="85"/>
      <c r="GF31" s="85"/>
      <c r="GG31" s="85"/>
      <c r="GH31" s="85"/>
      <c r="GI31" s="85"/>
      <c r="GJ31" s="85"/>
      <c r="GK31" s="85"/>
      <c r="GL31" s="85"/>
      <c r="GM31" s="85"/>
      <c r="GN31" s="85"/>
      <c r="GO31" s="85"/>
      <c r="GP31" s="85"/>
      <c r="GQ31" s="85"/>
      <c r="GR31" s="85"/>
      <c r="GS31" s="85"/>
      <c r="GT31" s="85"/>
      <c r="GU31" s="85"/>
      <c r="GV31" s="85"/>
    </row>
    <row r="32" spans="1:204" ht="15" customHeight="1">
      <c r="A32" s="60"/>
      <c r="B32" s="69"/>
      <c r="C32" s="69"/>
      <c r="D32" s="341"/>
      <c r="E32" s="89"/>
      <c r="F32" s="89"/>
      <c r="G32" s="89"/>
      <c r="H32" s="89"/>
      <c r="I32" s="89"/>
      <c r="J32" s="89"/>
      <c r="K32" s="89"/>
      <c r="L32" s="89"/>
      <c r="M32" s="89"/>
      <c r="N32" s="89"/>
      <c r="O32" s="342"/>
      <c r="P32" s="89"/>
      <c r="Q32" s="89"/>
      <c r="R32" s="89"/>
      <c r="S32" s="89"/>
      <c r="T32" s="89"/>
      <c r="U32" s="360"/>
      <c r="V32" s="362"/>
      <c r="W32" s="362"/>
      <c r="X32" s="362"/>
      <c r="Y32" s="362"/>
      <c r="Z32" s="360"/>
      <c r="AA32" s="355"/>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141"/>
      <c r="BZ32" s="141"/>
      <c r="CA32" s="141"/>
      <c r="CB32" s="141"/>
      <c r="CC32" s="89"/>
      <c r="CD32" s="89"/>
      <c r="CE32" s="89"/>
      <c r="CF32" s="89"/>
      <c r="CG32" s="89"/>
      <c r="CH32" s="89"/>
      <c r="CI32" s="89"/>
      <c r="CJ32" s="89"/>
      <c r="CK32" s="89"/>
      <c r="CL32" s="89"/>
      <c r="CM32" s="89"/>
      <c r="CN32" s="141"/>
      <c r="CO32" s="141"/>
      <c r="DA32" s="141"/>
      <c r="DB32" s="141"/>
      <c r="DC32" s="303" t="str">
        <f ca="1">IF(FL1=0,"","volkomen concurrentie")</f>
        <v/>
      </c>
      <c r="DD32" s="361"/>
      <c r="DE32" s="360" t="str">
        <f ca="1">IF(FL1=0,"","+")</f>
        <v/>
      </c>
      <c r="DF32" s="542"/>
      <c r="DG32" s="542"/>
      <c r="DH32" s="542"/>
      <c r="DI32" s="542"/>
      <c r="DJ32" s="360" t="str">
        <f ca="1">IF(FL1=0,"","+")</f>
        <v/>
      </c>
      <c r="DK32" s="363" t="s">
        <v>131</v>
      </c>
      <c r="DL32" s="141"/>
      <c r="DM32" s="141"/>
      <c r="DN32" s="141"/>
      <c r="DO32" s="141"/>
      <c r="DP32" s="141"/>
      <c r="DQ32" s="141"/>
      <c r="DR32" s="141"/>
      <c r="DS32" s="141"/>
      <c r="DT32" s="141"/>
      <c r="DU32" s="141"/>
      <c r="DV32" s="141"/>
      <c r="DW32" s="141"/>
      <c r="DX32" s="141"/>
      <c r="DY32" s="141"/>
      <c r="DZ32" s="141"/>
      <c r="EA32" s="141"/>
      <c r="EB32" s="141"/>
      <c r="EC32" s="141"/>
      <c r="ED32" s="141"/>
      <c r="EE32" s="141"/>
      <c r="EF32" s="141"/>
      <c r="EG32" s="141"/>
      <c r="EH32" s="141"/>
      <c r="EI32" s="141"/>
      <c r="EJ32" s="141"/>
      <c r="EK32" s="141"/>
      <c r="EL32" s="141"/>
      <c r="EM32" s="141"/>
      <c r="EN32" s="141"/>
      <c r="EO32" s="141"/>
      <c r="EP32" s="141"/>
      <c r="EQ32" s="141"/>
      <c r="ER32" s="141"/>
      <c r="ES32" s="141"/>
      <c r="ET32" s="141"/>
      <c r="EU32" s="141"/>
      <c r="EV32" s="141"/>
      <c r="EW32" s="141"/>
      <c r="EX32" s="89"/>
      <c r="EY32" s="89"/>
      <c r="EZ32" s="89"/>
      <c r="FA32" s="89"/>
      <c r="FB32" s="89"/>
      <c r="FC32" s="89"/>
      <c r="FD32" s="89"/>
      <c r="FE32" s="89"/>
      <c r="FF32" s="342"/>
      <c r="FG32" s="141"/>
      <c r="FJ32" s="359"/>
      <c r="FK32" s="359"/>
      <c r="FL32" s="359"/>
      <c r="FM32" s="359">
        <f>IF(DF32="",1,0)</f>
        <v>1</v>
      </c>
      <c r="FN32" s="109"/>
      <c r="FO32" s="109"/>
      <c r="FP32" s="109"/>
      <c r="FQ32" s="109"/>
      <c r="FR32" s="109"/>
      <c r="FS32" s="109"/>
      <c r="FT32" s="109"/>
      <c r="FU32" s="109"/>
      <c r="FV32" s="109"/>
      <c r="FW32" s="109"/>
      <c r="FX32" s="109"/>
      <c r="FY32" s="259"/>
      <c r="FZ32" s="259"/>
      <c r="GA32" s="259"/>
      <c r="GB32" s="259"/>
      <c r="GC32" s="85"/>
      <c r="GD32" s="85"/>
      <c r="GE32" s="85"/>
      <c r="GF32" s="85"/>
      <c r="GG32" s="85"/>
      <c r="GH32" s="85"/>
      <c r="GI32" s="85"/>
      <c r="GJ32" s="85"/>
      <c r="GK32" s="85"/>
      <c r="GL32" s="85"/>
      <c r="GM32" s="85"/>
      <c r="GN32" s="85"/>
      <c r="GO32" s="85"/>
      <c r="GP32" s="85"/>
      <c r="GQ32" s="85"/>
      <c r="GR32" s="85"/>
      <c r="GS32" s="85"/>
      <c r="GT32" s="85"/>
      <c r="GU32" s="85"/>
      <c r="GV32" s="85"/>
    </row>
    <row r="33" spans="1:204" ht="3.75" customHeight="1">
      <c r="A33" s="60"/>
      <c r="B33" s="69"/>
      <c r="C33" s="69"/>
      <c r="D33" s="74"/>
      <c r="E33" s="89"/>
      <c r="F33" s="89"/>
      <c r="G33" s="89"/>
      <c r="H33" s="89"/>
      <c r="I33" s="89"/>
      <c r="J33" s="89"/>
      <c r="K33" s="89"/>
      <c r="L33" s="89"/>
      <c r="M33" s="89"/>
      <c r="N33" s="89"/>
      <c r="O33" s="89"/>
      <c r="P33" s="89"/>
      <c r="Q33" s="89"/>
      <c r="R33" s="89"/>
      <c r="S33" s="89"/>
      <c r="T33" s="89"/>
      <c r="U33" s="360"/>
      <c r="V33" s="342"/>
      <c r="W33" s="342"/>
      <c r="X33" s="342"/>
      <c r="Y33" s="342"/>
      <c r="Z33" s="342"/>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141"/>
      <c r="BZ33" s="141"/>
      <c r="CA33" s="141"/>
      <c r="CB33" s="141"/>
      <c r="CC33" s="89"/>
      <c r="CD33" s="89"/>
      <c r="CE33" s="89"/>
      <c r="CF33" s="89"/>
      <c r="CG33" s="89"/>
      <c r="CH33" s="89"/>
      <c r="CI33" s="89"/>
      <c r="CJ33" s="89"/>
      <c r="CK33" s="89"/>
      <c r="CL33" s="89"/>
      <c r="CM33" s="89"/>
      <c r="CN33" s="141"/>
      <c r="CO33" s="141"/>
      <c r="DA33" s="141"/>
      <c r="DB33" s="141"/>
      <c r="DC33" s="361"/>
      <c r="DD33" s="361"/>
      <c r="DE33" s="540" t="str">
        <f ca="1">IF(FL1=0,"","+")</f>
        <v/>
      </c>
      <c r="DF33" s="541"/>
      <c r="DG33" s="541"/>
      <c r="DH33" s="541"/>
      <c r="DI33" s="541"/>
      <c r="DJ33" s="541"/>
      <c r="DK33" s="268"/>
      <c r="DL33" s="141"/>
      <c r="DM33" s="141"/>
      <c r="DN33" s="141"/>
      <c r="DO33" s="141"/>
      <c r="DP33" s="141"/>
      <c r="DQ33" s="141"/>
      <c r="DR33" s="141"/>
      <c r="DS33" s="141"/>
      <c r="DT33" s="141"/>
      <c r="DU33" s="141"/>
      <c r="DV33" s="141"/>
      <c r="DW33" s="141"/>
      <c r="DX33" s="141"/>
      <c r="DY33" s="141"/>
      <c r="DZ33" s="141"/>
      <c r="EA33" s="141"/>
      <c r="EB33" s="141"/>
      <c r="EC33" s="141"/>
      <c r="ED33" s="141"/>
      <c r="EE33" s="141"/>
      <c r="EF33" s="141"/>
      <c r="EG33" s="141"/>
      <c r="EH33" s="141"/>
      <c r="EI33" s="141"/>
      <c r="EJ33" s="141"/>
      <c r="EK33" s="141"/>
      <c r="EL33" s="141"/>
      <c r="EM33" s="141"/>
      <c r="EN33" s="141"/>
      <c r="EO33" s="141"/>
      <c r="EP33" s="141"/>
      <c r="EQ33" s="141"/>
      <c r="ER33" s="141"/>
      <c r="ES33" s="141"/>
      <c r="ET33" s="141"/>
      <c r="EU33" s="141"/>
      <c r="EV33" s="141"/>
      <c r="EW33" s="141"/>
      <c r="EX33" s="89"/>
      <c r="EY33" s="89"/>
      <c r="EZ33" s="89"/>
      <c r="FA33" s="89"/>
      <c r="FB33" s="89"/>
      <c r="FC33" s="89"/>
      <c r="FD33" s="89"/>
      <c r="FE33" s="89"/>
      <c r="FF33" s="342"/>
      <c r="FG33" s="141"/>
      <c r="FJ33" s="359"/>
      <c r="FK33" s="359"/>
      <c r="FL33" s="359"/>
      <c r="FM33" s="359"/>
      <c r="FN33" s="109"/>
      <c r="FO33" s="109"/>
      <c r="FP33" s="109"/>
      <c r="FQ33" s="109"/>
      <c r="FR33" s="109"/>
      <c r="FS33" s="109"/>
      <c r="FT33" s="109"/>
      <c r="FU33" s="109"/>
      <c r="FV33" s="109"/>
      <c r="FW33" s="109"/>
      <c r="FX33" s="109"/>
      <c r="FY33" s="259"/>
      <c r="FZ33" s="259"/>
      <c r="GA33" s="259"/>
      <c r="GB33" s="259"/>
      <c r="GC33" s="85"/>
      <c r="GD33" s="85"/>
      <c r="GE33" s="85"/>
      <c r="GF33" s="85"/>
      <c r="GG33" s="85"/>
      <c r="GH33" s="85"/>
      <c r="GI33" s="85"/>
      <c r="GJ33" s="85"/>
      <c r="GK33" s="85"/>
      <c r="GL33" s="85"/>
      <c r="GM33" s="85"/>
      <c r="GN33" s="85"/>
      <c r="GO33" s="85"/>
      <c r="GP33" s="85"/>
      <c r="GQ33" s="85"/>
      <c r="GR33" s="85"/>
      <c r="GS33" s="85"/>
      <c r="GT33" s="85"/>
      <c r="GU33" s="85"/>
      <c r="GV33" s="85"/>
    </row>
    <row r="34" spans="1:204" ht="3.75" customHeight="1">
      <c r="A34" s="60"/>
      <c r="B34" s="69"/>
      <c r="C34" s="69"/>
      <c r="D34" s="74"/>
      <c r="E34" s="89"/>
      <c r="F34" s="89"/>
      <c r="G34" s="89"/>
      <c r="H34" s="89"/>
      <c r="I34" s="89"/>
      <c r="J34" s="89"/>
      <c r="K34" s="89"/>
      <c r="L34" s="89"/>
      <c r="M34" s="89"/>
      <c r="N34" s="89"/>
      <c r="O34" s="89"/>
      <c r="P34" s="89"/>
      <c r="Q34" s="89"/>
      <c r="R34" s="89"/>
      <c r="S34" s="89"/>
      <c r="T34" s="89"/>
      <c r="U34" s="360"/>
      <c r="V34" s="342"/>
      <c r="W34" s="342"/>
      <c r="X34" s="342"/>
      <c r="Y34" s="342"/>
      <c r="Z34" s="342"/>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141"/>
      <c r="BZ34" s="141"/>
      <c r="CA34" s="141"/>
      <c r="CB34" s="141"/>
      <c r="CC34" s="89"/>
      <c r="CD34" s="89"/>
      <c r="CE34" s="89"/>
      <c r="CF34" s="89"/>
      <c r="CG34" s="89"/>
      <c r="CH34" s="89"/>
      <c r="CI34" s="89"/>
      <c r="CJ34" s="89"/>
      <c r="CK34" s="89"/>
      <c r="CL34" s="89"/>
      <c r="CM34" s="89"/>
      <c r="CN34" s="141"/>
      <c r="CO34" s="141"/>
      <c r="DA34" s="141"/>
      <c r="DB34" s="141"/>
      <c r="DC34" s="361"/>
      <c r="DD34" s="361"/>
      <c r="DE34" s="360"/>
      <c r="DF34" s="342"/>
      <c r="DG34" s="342"/>
      <c r="DH34" s="342"/>
      <c r="DI34" s="342"/>
      <c r="DJ34" s="342"/>
      <c r="DK34" s="268"/>
      <c r="DL34" s="141"/>
      <c r="DM34" s="141"/>
      <c r="DN34" s="141"/>
      <c r="DO34" s="141"/>
      <c r="DP34" s="141"/>
      <c r="DQ34" s="141"/>
      <c r="DR34" s="141"/>
      <c r="DS34" s="141"/>
      <c r="DT34" s="141"/>
      <c r="DU34" s="141"/>
      <c r="DV34" s="141"/>
      <c r="DW34" s="141"/>
      <c r="DX34" s="141"/>
      <c r="DY34" s="141"/>
      <c r="DZ34" s="141"/>
      <c r="EA34" s="141"/>
      <c r="EB34" s="141"/>
      <c r="EC34" s="141"/>
      <c r="ED34" s="141"/>
      <c r="EE34" s="141"/>
      <c r="EF34" s="141"/>
      <c r="EG34" s="141"/>
      <c r="EH34" s="141"/>
      <c r="EI34" s="141"/>
      <c r="EJ34" s="141"/>
      <c r="EK34" s="141"/>
      <c r="EL34" s="141"/>
      <c r="EM34" s="141"/>
      <c r="EN34" s="141"/>
      <c r="EO34" s="141"/>
      <c r="EP34" s="141"/>
      <c r="EQ34" s="141"/>
      <c r="ER34" s="141"/>
      <c r="ES34" s="141"/>
      <c r="ET34" s="141"/>
      <c r="EU34" s="141"/>
      <c r="EV34" s="141"/>
      <c r="EW34" s="141"/>
      <c r="EX34" s="89"/>
      <c r="EY34" s="89"/>
      <c r="EZ34" s="89"/>
      <c r="FA34" s="89"/>
      <c r="FB34" s="89"/>
      <c r="FC34" s="89"/>
      <c r="FD34" s="89"/>
      <c r="FE34" s="89"/>
      <c r="FF34" s="342"/>
      <c r="FG34" s="141"/>
      <c r="FJ34" s="359"/>
      <c r="FK34" s="359"/>
      <c r="FL34" s="359"/>
      <c r="FM34" s="359"/>
      <c r="FN34" s="109"/>
      <c r="FO34" s="109"/>
      <c r="FP34" s="109"/>
      <c r="FQ34" s="109"/>
      <c r="FR34" s="109"/>
      <c r="FS34" s="109"/>
      <c r="FT34" s="109"/>
      <c r="FU34" s="109"/>
      <c r="FV34" s="109"/>
      <c r="FW34" s="109"/>
      <c r="FX34" s="109"/>
      <c r="FY34" s="259"/>
      <c r="FZ34" s="259"/>
      <c r="GA34" s="259"/>
      <c r="GB34" s="259"/>
      <c r="GC34" s="85"/>
      <c r="GD34" s="85"/>
      <c r="GE34" s="85"/>
      <c r="GF34" s="85"/>
      <c r="GG34" s="85"/>
      <c r="GH34" s="85"/>
      <c r="GI34" s="85"/>
      <c r="GJ34" s="85"/>
      <c r="GK34" s="85"/>
      <c r="GL34" s="85"/>
      <c r="GM34" s="85"/>
      <c r="GN34" s="85"/>
      <c r="GO34" s="85"/>
      <c r="GP34" s="85"/>
      <c r="GQ34" s="85"/>
      <c r="GR34" s="85"/>
      <c r="GS34" s="85"/>
      <c r="GT34" s="85"/>
      <c r="GU34" s="85"/>
      <c r="GV34" s="85"/>
    </row>
    <row r="35" spans="1:204" ht="3.75" customHeight="1">
      <c r="A35" s="60"/>
      <c r="B35" s="69"/>
      <c r="C35" s="69"/>
      <c r="D35" s="74"/>
      <c r="E35" s="89"/>
      <c r="F35" s="89"/>
      <c r="G35" s="89"/>
      <c r="H35" s="89"/>
      <c r="I35" s="89"/>
      <c r="J35" s="89"/>
      <c r="K35" s="89"/>
      <c r="L35" s="89"/>
      <c r="M35" s="89"/>
      <c r="N35" s="89"/>
      <c r="O35" s="89"/>
      <c r="P35" s="89"/>
      <c r="Q35" s="89"/>
      <c r="R35" s="89"/>
      <c r="S35" s="89"/>
      <c r="T35" s="89"/>
      <c r="U35" s="360"/>
      <c r="V35" s="342"/>
      <c r="W35" s="342"/>
      <c r="X35" s="342"/>
      <c r="Y35" s="342"/>
      <c r="Z35" s="342"/>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141"/>
      <c r="BZ35" s="141"/>
      <c r="CA35" s="141"/>
      <c r="CB35" s="141"/>
      <c r="CC35" s="89"/>
      <c r="CD35" s="89"/>
      <c r="CE35" s="89"/>
      <c r="CF35" s="89"/>
      <c r="CG35" s="89"/>
      <c r="CH35" s="89"/>
      <c r="CI35" s="89"/>
      <c r="CJ35" s="89"/>
      <c r="CK35" s="89"/>
      <c r="CL35" s="89"/>
      <c r="CM35" s="89"/>
      <c r="CN35" s="141"/>
      <c r="CO35" s="141"/>
      <c r="DA35" s="141"/>
      <c r="DB35" s="141"/>
      <c r="DC35" s="361"/>
      <c r="DD35" s="361"/>
      <c r="DE35" s="540" t="str">
        <f ca="1">IF(FL1=0,"","+")</f>
        <v/>
      </c>
      <c r="DF35" s="541"/>
      <c r="DG35" s="541"/>
      <c r="DH35" s="541"/>
      <c r="DI35" s="541"/>
      <c r="DJ35" s="541"/>
      <c r="DK35" s="268"/>
      <c r="DL35" s="141"/>
      <c r="DM35" s="141"/>
      <c r="DN35" s="141"/>
      <c r="DO35" s="141"/>
      <c r="DP35" s="141"/>
      <c r="DQ35" s="141"/>
      <c r="DR35" s="141"/>
      <c r="DS35" s="141"/>
      <c r="DT35" s="141"/>
      <c r="DU35" s="141"/>
      <c r="DV35" s="141"/>
      <c r="DW35" s="141"/>
      <c r="DX35" s="141"/>
      <c r="DY35" s="141"/>
      <c r="DZ35" s="141"/>
      <c r="EA35" s="141"/>
      <c r="EB35" s="141"/>
      <c r="EC35" s="141"/>
      <c r="ED35" s="141"/>
      <c r="EE35" s="141"/>
      <c r="EF35" s="141"/>
      <c r="EG35" s="141"/>
      <c r="EH35" s="141"/>
      <c r="EI35" s="141"/>
      <c r="EJ35" s="141"/>
      <c r="EK35" s="141"/>
      <c r="EL35" s="141"/>
      <c r="EM35" s="141"/>
      <c r="EN35" s="141"/>
      <c r="EO35" s="141"/>
      <c r="EP35" s="141"/>
      <c r="EQ35" s="141"/>
      <c r="ER35" s="141"/>
      <c r="ES35" s="141"/>
      <c r="ET35" s="141"/>
      <c r="EU35" s="141"/>
      <c r="EV35" s="141"/>
      <c r="EW35" s="141"/>
      <c r="EX35" s="89"/>
      <c r="EY35" s="89"/>
      <c r="EZ35" s="89"/>
      <c r="FA35" s="89"/>
      <c r="FB35" s="89"/>
      <c r="FC35" s="89"/>
      <c r="FD35" s="89"/>
      <c r="FE35" s="89"/>
      <c r="FF35" s="342"/>
      <c r="FG35" s="141"/>
      <c r="FJ35" s="359"/>
      <c r="FK35" s="359"/>
      <c r="FL35" s="359"/>
      <c r="FM35" s="359"/>
      <c r="FN35" s="109"/>
      <c r="FO35" s="109"/>
      <c r="FP35" s="109"/>
      <c r="FQ35" s="109"/>
      <c r="FR35" s="109"/>
      <c r="FS35" s="109"/>
      <c r="FT35" s="109"/>
      <c r="FU35" s="109"/>
      <c r="FV35" s="109"/>
      <c r="FW35" s="109"/>
      <c r="FX35" s="109"/>
      <c r="FY35" s="259"/>
      <c r="FZ35" s="259"/>
      <c r="GA35" s="259"/>
      <c r="GB35" s="259"/>
      <c r="GC35" s="85"/>
      <c r="GD35" s="85"/>
      <c r="GE35" s="85"/>
      <c r="GF35" s="85"/>
      <c r="GG35" s="85"/>
      <c r="GH35" s="85"/>
      <c r="GI35" s="85"/>
      <c r="GJ35" s="85"/>
      <c r="GK35" s="85"/>
      <c r="GL35" s="85"/>
      <c r="GM35" s="85"/>
      <c r="GN35" s="85"/>
      <c r="GO35" s="85"/>
      <c r="GP35" s="85"/>
      <c r="GQ35" s="85"/>
      <c r="GR35" s="85"/>
      <c r="GS35" s="85"/>
      <c r="GT35" s="85"/>
      <c r="GU35" s="85"/>
      <c r="GV35" s="85"/>
    </row>
    <row r="36" spans="1:204" ht="15" customHeight="1">
      <c r="A36" s="60"/>
      <c r="B36" s="69"/>
      <c r="C36" s="69"/>
      <c r="D36" s="341"/>
      <c r="E36" s="89"/>
      <c r="F36" s="89"/>
      <c r="G36" s="89"/>
      <c r="H36" s="89"/>
      <c r="I36" s="89"/>
      <c r="J36" s="89"/>
      <c r="K36" s="89"/>
      <c r="L36" s="89"/>
      <c r="M36" s="89"/>
      <c r="N36" s="89"/>
      <c r="O36" s="342"/>
      <c r="P36" s="89"/>
      <c r="Q36" s="89"/>
      <c r="R36" s="89"/>
      <c r="S36" s="89"/>
      <c r="T36" s="89"/>
      <c r="U36" s="360"/>
      <c r="V36" s="362"/>
      <c r="W36" s="362"/>
      <c r="X36" s="362"/>
      <c r="Y36" s="362"/>
      <c r="Z36" s="360"/>
      <c r="AA36" s="355"/>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141"/>
      <c r="BZ36" s="141"/>
      <c r="CA36" s="141"/>
      <c r="CB36" s="141"/>
      <c r="CC36" s="89"/>
      <c r="CD36" s="89"/>
      <c r="CE36" s="89"/>
      <c r="CF36" s="89"/>
      <c r="CG36" s="89"/>
      <c r="CH36" s="89"/>
      <c r="CI36" s="89"/>
      <c r="CJ36" s="89"/>
      <c r="CK36" s="89"/>
      <c r="CL36" s="89"/>
      <c r="CM36" s="89"/>
      <c r="CN36" s="141"/>
      <c r="CO36" s="141"/>
      <c r="DA36" s="141"/>
      <c r="DB36" s="141"/>
      <c r="DC36" s="303" t="str">
        <f ca="1">IF(FL1=0,"","monopolie")</f>
        <v/>
      </c>
      <c r="DD36" s="361"/>
      <c r="DE36" s="360" t="str">
        <f ca="1">IF(FL1=0,"","+")</f>
        <v/>
      </c>
      <c r="DF36" s="542"/>
      <c r="DG36" s="542"/>
      <c r="DH36" s="542"/>
      <c r="DI36" s="542"/>
      <c r="DJ36" s="360" t="str">
        <f ca="1">IF(FL1=0,"","+")</f>
        <v/>
      </c>
      <c r="DK36" s="363" t="s">
        <v>131</v>
      </c>
      <c r="DL36" s="141"/>
      <c r="DM36" s="141"/>
      <c r="DN36" s="141"/>
      <c r="DO36" s="141"/>
      <c r="DP36" s="141"/>
      <c r="DQ36" s="141"/>
      <c r="DR36" s="141"/>
      <c r="DS36" s="141"/>
      <c r="DT36" s="141"/>
      <c r="DU36" s="141"/>
      <c r="DV36" s="141"/>
      <c r="DW36" s="141"/>
      <c r="DX36" s="141"/>
      <c r="DY36" s="141"/>
      <c r="DZ36" s="141"/>
      <c r="EA36" s="141"/>
      <c r="EB36" s="141"/>
      <c r="EC36" s="141"/>
      <c r="ED36" s="141"/>
      <c r="EE36" s="141"/>
      <c r="EF36" s="141"/>
      <c r="EG36" s="141"/>
      <c r="EH36" s="141"/>
      <c r="EI36" s="141"/>
      <c r="EJ36" s="141"/>
      <c r="EK36" s="141"/>
      <c r="EL36" s="141"/>
      <c r="EM36" s="141"/>
      <c r="EN36" s="141"/>
      <c r="EO36" s="141"/>
      <c r="EP36" s="141"/>
      <c r="EQ36" s="141"/>
      <c r="ER36" s="141"/>
      <c r="ES36" s="141"/>
      <c r="ET36" s="141"/>
      <c r="EU36" s="141"/>
      <c r="EV36" s="141"/>
      <c r="EW36" s="141"/>
      <c r="EX36" s="89"/>
      <c r="EY36" s="89"/>
      <c r="EZ36" s="89"/>
      <c r="FA36" s="89"/>
      <c r="FB36" s="89"/>
      <c r="FC36" s="89"/>
      <c r="FD36" s="89"/>
      <c r="FE36" s="89"/>
      <c r="FF36" s="342"/>
      <c r="FG36" s="141"/>
      <c r="FJ36" s="359"/>
      <c r="FK36" s="359"/>
      <c r="FL36" s="359"/>
      <c r="FM36" s="359">
        <f>IF(DF36=FJ29,1,0)</f>
        <v>0</v>
      </c>
      <c r="FN36" s="109"/>
      <c r="FO36" s="109"/>
      <c r="FP36" s="109"/>
      <c r="FQ36" s="109"/>
      <c r="FR36" s="109"/>
      <c r="FS36" s="109"/>
      <c r="FT36" s="109"/>
      <c r="FU36" s="109"/>
      <c r="FV36" s="109"/>
      <c r="FW36" s="109"/>
      <c r="FX36" s="109"/>
      <c r="FY36" s="259"/>
      <c r="FZ36" s="259"/>
      <c r="GA36" s="259"/>
      <c r="GB36" s="259"/>
      <c r="GC36" s="85"/>
      <c r="GD36" s="85"/>
      <c r="GE36" s="85"/>
      <c r="GF36" s="85"/>
      <c r="GG36" s="85"/>
      <c r="GH36" s="85"/>
      <c r="GI36" s="85"/>
      <c r="GJ36" s="85"/>
      <c r="GK36" s="85"/>
      <c r="GL36" s="85"/>
      <c r="GM36" s="85"/>
      <c r="GN36" s="85"/>
      <c r="GO36" s="85"/>
      <c r="GP36" s="85"/>
      <c r="GQ36" s="85"/>
      <c r="GR36" s="85"/>
      <c r="GS36" s="85"/>
      <c r="GT36" s="85"/>
      <c r="GU36" s="85"/>
      <c r="GV36" s="85"/>
    </row>
    <row r="37" spans="1:204" ht="3.75" customHeight="1">
      <c r="A37" s="60"/>
      <c r="B37" s="69"/>
      <c r="C37" s="69"/>
      <c r="D37" s="74"/>
      <c r="E37" s="89"/>
      <c r="F37" s="89"/>
      <c r="G37" s="89"/>
      <c r="H37" s="89"/>
      <c r="I37" s="89"/>
      <c r="J37" s="89"/>
      <c r="K37" s="89"/>
      <c r="L37" s="89"/>
      <c r="M37" s="89"/>
      <c r="N37" s="89"/>
      <c r="O37" s="89"/>
      <c r="P37" s="89"/>
      <c r="Q37" s="89"/>
      <c r="R37" s="89"/>
      <c r="S37" s="89"/>
      <c r="T37" s="89"/>
      <c r="U37" s="360"/>
      <c r="V37" s="342"/>
      <c r="W37" s="342"/>
      <c r="X37" s="342"/>
      <c r="Y37" s="342"/>
      <c r="Z37" s="342"/>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141"/>
      <c r="BZ37" s="141"/>
      <c r="CA37" s="141"/>
      <c r="CB37" s="141"/>
      <c r="CC37" s="89"/>
      <c r="CD37" s="89"/>
      <c r="CE37" s="89"/>
      <c r="CF37" s="89"/>
      <c r="CG37" s="89"/>
      <c r="CH37" s="89"/>
      <c r="CI37" s="89"/>
      <c r="CJ37" s="89"/>
      <c r="CK37" s="89"/>
      <c r="CL37" s="89"/>
      <c r="CM37" s="89"/>
      <c r="CN37" s="141"/>
      <c r="CO37" s="141"/>
      <c r="DA37" s="141"/>
      <c r="DB37" s="141"/>
      <c r="DC37" s="361"/>
      <c r="DD37" s="361"/>
      <c r="DE37" s="540" t="str">
        <f ca="1">IF(FL1=0,"","+")</f>
        <v/>
      </c>
      <c r="DF37" s="541"/>
      <c r="DG37" s="541"/>
      <c r="DH37" s="541"/>
      <c r="DI37" s="541"/>
      <c r="DJ37" s="541"/>
      <c r="DK37" s="268"/>
      <c r="DL37" s="141"/>
      <c r="DM37" s="141"/>
      <c r="DN37" s="141"/>
      <c r="DO37" s="141"/>
      <c r="DP37" s="141"/>
      <c r="DQ37" s="141"/>
      <c r="DR37" s="141"/>
      <c r="DS37" s="141"/>
      <c r="DT37" s="141"/>
      <c r="DU37" s="141"/>
      <c r="DV37" s="141"/>
      <c r="DW37" s="141"/>
      <c r="DX37" s="141"/>
      <c r="DY37" s="141"/>
      <c r="DZ37" s="141"/>
      <c r="EA37" s="141"/>
      <c r="EB37" s="141"/>
      <c r="EC37" s="141"/>
      <c r="ED37" s="141"/>
      <c r="EE37" s="141"/>
      <c r="EF37" s="141"/>
      <c r="EG37" s="141"/>
      <c r="EH37" s="141"/>
      <c r="EI37" s="141"/>
      <c r="EJ37" s="141"/>
      <c r="EK37" s="141"/>
      <c r="EL37" s="141"/>
      <c r="EM37" s="141"/>
      <c r="EN37" s="141"/>
      <c r="EO37" s="141"/>
      <c r="EP37" s="141"/>
      <c r="EQ37" s="141"/>
      <c r="ER37" s="141"/>
      <c r="ES37" s="141"/>
      <c r="ET37" s="141"/>
      <c r="EU37" s="141"/>
      <c r="EV37" s="141"/>
      <c r="EW37" s="141"/>
      <c r="EX37" s="89"/>
      <c r="EY37" s="89"/>
      <c r="EZ37" s="89"/>
      <c r="FA37" s="89"/>
      <c r="FB37" s="89"/>
      <c r="FC37" s="89"/>
      <c r="FD37" s="89"/>
      <c r="FE37" s="89"/>
      <c r="FF37" s="342"/>
      <c r="FG37" s="141"/>
      <c r="FJ37" s="359"/>
      <c r="FK37" s="359"/>
      <c r="FL37" s="359"/>
      <c r="FM37" s="359"/>
      <c r="FN37" s="109"/>
      <c r="FO37" s="109"/>
      <c r="FP37" s="109"/>
      <c r="FQ37" s="109"/>
      <c r="FR37" s="109"/>
      <c r="FS37" s="109"/>
      <c r="FT37" s="109"/>
      <c r="FU37" s="109"/>
      <c r="FV37" s="109"/>
      <c r="FW37" s="109"/>
      <c r="FX37" s="109"/>
      <c r="FY37" s="259"/>
      <c r="FZ37" s="259"/>
      <c r="GA37" s="259"/>
      <c r="GB37" s="259"/>
      <c r="GC37" s="85"/>
      <c r="GD37" s="85"/>
      <c r="GE37" s="85"/>
      <c r="GF37" s="85"/>
      <c r="GG37" s="85"/>
      <c r="GH37" s="85"/>
      <c r="GI37" s="85"/>
      <c r="GJ37" s="85"/>
      <c r="GK37" s="85"/>
      <c r="GL37" s="85"/>
      <c r="GM37" s="85"/>
      <c r="GN37" s="85"/>
      <c r="GO37" s="85"/>
      <c r="GP37" s="85"/>
      <c r="GQ37" s="85"/>
      <c r="GR37" s="85"/>
      <c r="GS37" s="85"/>
      <c r="GT37" s="85"/>
      <c r="GU37" s="85"/>
      <c r="GV37" s="85"/>
    </row>
    <row r="38" spans="1:204" ht="3.75" customHeight="1">
      <c r="A38" s="60"/>
      <c r="B38" s="69"/>
      <c r="C38" s="69"/>
      <c r="D38" s="74"/>
      <c r="E38" s="89"/>
      <c r="F38" s="89"/>
      <c r="G38" s="89"/>
      <c r="H38" s="89"/>
      <c r="I38" s="89"/>
      <c r="J38" s="89"/>
      <c r="K38" s="89"/>
      <c r="L38" s="89"/>
      <c r="M38" s="89"/>
      <c r="N38" s="89"/>
      <c r="O38" s="89"/>
      <c r="P38" s="89"/>
      <c r="Q38" s="89"/>
      <c r="R38" s="89"/>
      <c r="S38" s="89"/>
      <c r="T38" s="89"/>
      <c r="U38" s="360"/>
      <c r="V38" s="342"/>
      <c r="W38" s="342"/>
      <c r="X38" s="342"/>
      <c r="Y38" s="342"/>
      <c r="Z38" s="342"/>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141"/>
      <c r="BZ38" s="141"/>
      <c r="CA38" s="141"/>
      <c r="CB38" s="141"/>
      <c r="CC38" s="89"/>
      <c r="CD38" s="89"/>
      <c r="CE38" s="89"/>
      <c r="CF38" s="89"/>
      <c r="CG38" s="89"/>
      <c r="CH38" s="89"/>
      <c r="CI38" s="89"/>
      <c r="CJ38" s="89"/>
      <c r="CK38" s="89"/>
      <c r="CL38" s="89"/>
      <c r="CM38" s="89"/>
      <c r="CN38" s="141"/>
      <c r="CO38" s="141"/>
      <c r="DA38" s="141"/>
      <c r="DB38" s="141"/>
      <c r="DC38" s="361"/>
      <c r="DD38" s="361"/>
      <c r="DE38" s="360"/>
      <c r="DF38" s="342"/>
      <c r="DG38" s="342"/>
      <c r="DH38" s="342"/>
      <c r="DI38" s="342"/>
      <c r="DJ38" s="342"/>
      <c r="DK38" s="268"/>
      <c r="DL38" s="141"/>
      <c r="DM38" s="141"/>
      <c r="DN38" s="141"/>
      <c r="DO38" s="141"/>
      <c r="DP38" s="141"/>
      <c r="DQ38" s="141"/>
      <c r="DR38" s="141"/>
      <c r="DS38" s="141"/>
      <c r="DT38" s="141"/>
      <c r="DU38" s="141"/>
      <c r="DV38" s="141"/>
      <c r="DW38" s="141"/>
      <c r="DX38" s="141"/>
      <c r="DY38" s="141"/>
      <c r="DZ38" s="141"/>
      <c r="EA38" s="141"/>
      <c r="EB38" s="141"/>
      <c r="EC38" s="141"/>
      <c r="ED38" s="141"/>
      <c r="EE38" s="141"/>
      <c r="EF38" s="141"/>
      <c r="EG38" s="141"/>
      <c r="EH38" s="141"/>
      <c r="EI38" s="141"/>
      <c r="EJ38" s="141"/>
      <c r="EK38" s="141"/>
      <c r="EL38" s="141"/>
      <c r="EM38" s="141"/>
      <c r="EN38" s="141"/>
      <c r="EO38" s="141"/>
      <c r="EP38" s="141"/>
      <c r="EQ38" s="141"/>
      <c r="ER38" s="141"/>
      <c r="ES38" s="141"/>
      <c r="ET38" s="141"/>
      <c r="EU38" s="141"/>
      <c r="EV38" s="141"/>
      <c r="EW38" s="141"/>
      <c r="EX38" s="89"/>
      <c r="EY38" s="89"/>
      <c r="EZ38" s="89"/>
      <c r="FA38" s="89"/>
      <c r="FB38" s="89"/>
      <c r="FC38" s="89"/>
      <c r="FD38" s="89"/>
      <c r="FE38" s="89"/>
      <c r="FF38" s="342"/>
      <c r="FG38" s="141"/>
      <c r="FJ38" s="359"/>
      <c r="FK38" s="359"/>
      <c r="FL38" s="359"/>
      <c r="FM38" s="359"/>
      <c r="FN38" s="109"/>
      <c r="FO38" s="109"/>
      <c r="FP38" s="109"/>
      <c r="FQ38" s="109"/>
      <c r="FR38" s="109"/>
      <c r="FS38" s="109"/>
      <c r="FT38" s="109"/>
      <c r="FU38" s="109"/>
      <c r="FV38" s="109"/>
      <c r="FW38" s="109"/>
      <c r="FX38" s="109"/>
      <c r="FY38" s="259"/>
      <c r="FZ38" s="259"/>
      <c r="GA38" s="259"/>
      <c r="GB38" s="259"/>
      <c r="GC38" s="85"/>
      <c r="GD38" s="85"/>
      <c r="GE38" s="85"/>
      <c r="GF38" s="85"/>
      <c r="GG38" s="85"/>
      <c r="GH38" s="85"/>
      <c r="GI38" s="85"/>
      <c r="GJ38" s="85"/>
      <c r="GK38" s="85"/>
      <c r="GL38" s="85"/>
      <c r="GM38" s="85"/>
      <c r="GN38" s="85"/>
      <c r="GO38" s="85"/>
      <c r="GP38" s="85"/>
      <c r="GQ38" s="85"/>
      <c r="GR38" s="85"/>
      <c r="GS38" s="85"/>
      <c r="GT38" s="85"/>
      <c r="GU38" s="85"/>
      <c r="GV38" s="85"/>
    </row>
    <row r="39" spans="1:204" ht="3.75" customHeight="1">
      <c r="A39" s="60"/>
      <c r="B39" s="69"/>
      <c r="C39" s="69"/>
      <c r="D39" s="74"/>
      <c r="E39" s="360"/>
      <c r="F39" s="342"/>
      <c r="G39" s="342"/>
      <c r="H39" s="342"/>
      <c r="I39" s="342"/>
      <c r="J39" s="342"/>
      <c r="K39" s="342"/>
      <c r="L39" s="342"/>
      <c r="M39" s="342"/>
      <c r="N39" s="342"/>
      <c r="O39" s="342"/>
      <c r="P39" s="342"/>
      <c r="Q39" s="89"/>
      <c r="R39" s="89"/>
      <c r="S39" s="89"/>
      <c r="T39" s="89"/>
      <c r="U39" s="360"/>
      <c r="V39" s="342"/>
      <c r="W39" s="342"/>
      <c r="X39" s="342"/>
      <c r="Y39" s="342"/>
      <c r="Z39" s="342"/>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141"/>
      <c r="BZ39" s="141"/>
      <c r="CA39" s="141"/>
      <c r="CB39" s="141"/>
      <c r="CC39" s="89"/>
      <c r="CD39" s="89"/>
      <c r="CE39" s="89"/>
      <c r="CF39" s="89"/>
      <c r="CG39" s="89"/>
      <c r="CH39" s="89"/>
      <c r="CI39" s="89"/>
      <c r="CJ39" s="89"/>
      <c r="CK39" s="89"/>
      <c r="CL39" s="89"/>
      <c r="CM39" s="89"/>
      <c r="CN39" s="141"/>
      <c r="CO39" s="141"/>
      <c r="DA39" s="141"/>
      <c r="DB39" s="141"/>
      <c r="DC39" s="361"/>
      <c r="DD39" s="361"/>
      <c r="DE39" s="540" t="str">
        <f ca="1">IF(FL1=0,"","+")</f>
        <v/>
      </c>
      <c r="DF39" s="541"/>
      <c r="DG39" s="541"/>
      <c r="DH39" s="541"/>
      <c r="DI39" s="541"/>
      <c r="DJ39" s="541"/>
      <c r="DK39" s="268"/>
      <c r="DL39" s="141"/>
      <c r="DM39" s="141"/>
      <c r="DN39" s="141"/>
      <c r="DO39" s="141"/>
      <c r="DP39" s="141"/>
      <c r="DQ39" s="141"/>
      <c r="DR39" s="141"/>
      <c r="DS39" s="141"/>
      <c r="DT39" s="141"/>
      <c r="DU39" s="141"/>
      <c r="DV39" s="141"/>
      <c r="DW39" s="141"/>
      <c r="DX39" s="141"/>
      <c r="DY39" s="141"/>
      <c r="DZ39" s="141"/>
      <c r="EA39" s="141"/>
      <c r="EB39" s="141"/>
      <c r="EC39" s="141"/>
      <c r="ED39" s="141"/>
      <c r="EE39" s="141"/>
      <c r="EF39" s="141"/>
      <c r="EG39" s="141"/>
      <c r="EH39" s="141"/>
      <c r="EI39" s="141"/>
      <c r="EJ39" s="141"/>
      <c r="EK39" s="141"/>
      <c r="EL39" s="141"/>
      <c r="EM39" s="141"/>
      <c r="EN39" s="141"/>
      <c r="EO39" s="141"/>
      <c r="EP39" s="141"/>
      <c r="EQ39" s="141"/>
      <c r="ER39" s="141"/>
      <c r="ES39" s="141"/>
      <c r="ET39" s="141"/>
      <c r="EU39" s="141"/>
      <c r="EV39" s="141"/>
      <c r="EW39" s="141"/>
      <c r="EX39" s="89"/>
      <c r="EY39" s="89"/>
      <c r="EZ39" s="89"/>
      <c r="FA39" s="89"/>
      <c r="FB39" s="89"/>
      <c r="FC39" s="89"/>
      <c r="FD39" s="89"/>
      <c r="FE39" s="89"/>
      <c r="FF39" s="342"/>
      <c r="FG39" s="141"/>
      <c r="FJ39" s="359"/>
      <c r="FK39" s="359"/>
      <c r="FL39" s="359"/>
      <c r="FM39" s="359"/>
      <c r="FN39" s="109"/>
      <c r="FO39" s="109"/>
      <c r="FP39" s="109"/>
      <c r="FQ39" s="109"/>
      <c r="FR39" s="109"/>
      <c r="FS39" s="109"/>
      <c r="FT39" s="109"/>
      <c r="FU39" s="109"/>
      <c r="FV39" s="109"/>
      <c r="FW39" s="109"/>
      <c r="FX39" s="109"/>
      <c r="FY39" s="259"/>
      <c r="FZ39" s="259"/>
      <c r="GA39" s="259"/>
      <c r="GB39" s="259"/>
      <c r="GC39" s="85"/>
      <c r="GD39" s="85"/>
      <c r="GE39" s="85"/>
      <c r="GF39" s="85"/>
      <c r="GG39" s="85"/>
      <c r="GH39" s="85"/>
      <c r="GI39" s="85"/>
      <c r="GJ39" s="85"/>
      <c r="GK39" s="85"/>
      <c r="GL39" s="85"/>
      <c r="GM39" s="85"/>
      <c r="GN39" s="85"/>
      <c r="GO39" s="85"/>
      <c r="GP39" s="85"/>
      <c r="GQ39" s="85"/>
      <c r="GR39" s="85"/>
      <c r="GS39" s="85"/>
      <c r="GT39" s="85"/>
      <c r="GU39" s="85"/>
      <c r="GV39" s="85"/>
    </row>
    <row r="40" spans="1:204" ht="15" customHeight="1">
      <c r="A40" s="60"/>
      <c r="B40" s="69"/>
      <c r="C40" s="69"/>
      <c r="D40" s="341"/>
      <c r="E40" s="89"/>
      <c r="F40" s="89"/>
      <c r="G40" s="89"/>
      <c r="H40" s="89"/>
      <c r="I40" s="89"/>
      <c r="J40" s="89"/>
      <c r="K40" s="89"/>
      <c r="L40" s="89"/>
      <c r="M40" s="89"/>
      <c r="N40" s="89"/>
      <c r="O40" s="342"/>
      <c r="P40" s="89"/>
      <c r="Q40" s="89"/>
      <c r="R40" s="89"/>
      <c r="S40" s="89"/>
      <c r="T40" s="89"/>
      <c r="U40" s="360"/>
      <c r="V40" s="362"/>
      <c r="W40" s="362"/>
      <c r="X40" s="362"/>
      <c r="Y40" s="362"/>
      <c r="Z40" s="360"/>
      <c r="AA40" s="355"/>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141"/>
      <c r="BZ40" s="141"/>
      <c r="CA40" s="141"/>
      <c r="CB40" s="141"/>
      <c r="CC40" s="89"/>
      <c r="CD40" s="89"/>
      <c r="CE40" s="89"/>
      <c r="CF40" s="89"/>
      <c r="CG40" s="89"/>
      <c r="CH40" s="89"/>
      <c r="CI40" s="89"/>
      <c r="CJ40" s="89"/>
      <c r="CK40" s="89"/>
      <c r="CL40" s="89"/>
      <c r="CM40" s="89"/>
      <c r="CN40" s="141"/>
      <c r="CO40" s="141"/>
      <c r="DA40" s="141"/>
      <c r="DB40" s="141"/>
      <c r="DC40" s="303" t="str">
        <f ca="1">IF(FL1=0,"","monopolistische concurrentie")</f>
        <v/>
      </c>
      <c r="DD40" s="361"/>
      <c r="DE40" s="360" t="str">
        <f ca="1">IF(FL1=0,"","+")</f>
        <v/>
      </c>
      <c r="DF40" s="542"/>
      <c r="DG40" s="542"/>
      <c r="DH40" s="542"/>
      <c r="DI40" s="542"/>
      <c r="DJ40" s="360" t="str">
        <f ca="1">IF(FL1=0,"","+")</f>
        <v/>
      </c>
      <c r="DK40" s="363" t="s">
        <v>131</v>
      </c>
      <c r="DL40" s="141"/>
      <c r="DM40" s="141"/>
      <c r="DN40" s="141"/>
      <c r="DO40" s="141"/>
      <c r="DP40" s="141"/>
      <c r="DQ40" s="141"/>
      <c r="DR40" s="141"/>
      <c r="DS40" s="141"/>
      <c r="DT40" s="141"/>
      <c r="DU40" s="141"/>
      <c r="DV40" s="141"/>
      <c r="DW40" s="141"/>
      <c r="DX40" s="141"/>
      <c r="DY40" s="141"/>
      <c r="DZ40" s="141"/>
      <c r="EA40" s="141"/>
      <c r="EB40" s="141"/>
      <c r="EC40" s="141"/>
      <c r="ED40" s="141"/>
      <c r="EE40" s="535" t="str">
        <f ca="1">IF(OR(CO461="",TODAY()&gt;=Blad1!AY3),"",IF(FL1=0,"",IF(AND(DF32="",DF36="",DF40="",DF44="",DF48="",DF52=""),"Deze moet je nog (af-) maken.",IF(FL52=1,"Goed!",IF(FM32+FM36+FM40+FM44+FM48+FM52=5,"Je hebt er één fout!","Je hebt er twee of meer fout!")))))</f>
        <v/>
      </c>
      <c r="EF40" s="535"/>
      <c r="EG40" s="535"/>
      <c r="EH40" s="535"/>
      <c r="EI40" s="535"/>
      <c r="EJ40" s="535"/>
      <c r="EK40" s="535"/>
      <c r="EL40" s="535"/>
      <c r="EM40" s="535"/>
      <c r="EN40" s="535"/>
      <c r="EO40" s="535"/>
      <c r="EP40" s="535"/>
      <c r="EQ40" s="535"/>
      <c r="ER40" s="535"/>
      <c r="ES40" s="535"/>
      <c r="ET40" s="535"/>
      <c r="EU40" s="535"/>
      <c r="EV40" s="535"/>
      <c r="EW40" s="535"/>
      <c r="EX40" s="535"/>
      <c r="EY40" s="535"/>
      <c r="EZ40" s="535"/>
      <c r="FA40" s="535"/>
      <c r="FB40" s="535"/>
      <c r="FC40" s="535"/>
      <c r="FD40" s="535"/>
      <c r="FE40" s="535"/>
      <c r="FF40" s="535"/>
      <c r="FG40" s="535"/>
      <c r="FH40" s="535"/>
      <c r="FJ40" s="359"/>
      <c r="FK40" s="359"/>
      <c r="FL40" s="359"/>
      <c r="FM40" s="359">
        <f>IF(DF40=FJ29,1,0)</f>
        <v>0</v>
      </c>
      <c r="FN40" s="109"/>
      <c r="FO40" s="109"/>
      <c r="FP40" s="109"/>
      <c r="FQ40" s="109"/>
      <c r="FR40" s="109"/>
      <c r="FS40" s="109"/>
      <c r="FT40" s="109"/>
      <c r="FU40" s="109"/>
      <c r="FV40" s="109"/>
      <c r="FW40" s="109"/>
      <c r="FX40" s="109"/>
      <c r="FY40" s="259"/>
      <c r="FZ40" s="259"/>
      <c r="GA40" s="259"/>
      <c r="GB40" s="259"/>
      <c r="GC40" s="85"/>
      <c r="GD40" s="85"/>
      <c r="GE40" s="85"/>
      <c r="GF40" s="85"/>
      <c r="GG40" s="85"/>
      <c r="GH40" s="85"/>
      <c r="GI40" s="85"/>
      <c r="GJ40" s="85"/>
      <c r="GK40" s="85"/>
      <c r="GL40" s="85"/>
      <c r="GM40" s="85"/>
      <c r="GN40" s="85"/>
      <c r="GO40" s="85"/>
      <c r="GP40" s="85"/>
      <c r="GQ40" s="85"/>
      <c r="GR40" s="85"/>
      <c r="GS40" s="85"/>
      <c r="GT40" s="85"/>
      <c r="GU40" s="85"/>
      <c r="GV40" s="85"/>
    </row>
    <row r="41" spans="1:204" ht="3.75" customHeight="1">
      <c r="A41" s="60"/>
      <c r="B41" s="69"/>
      <c r="C41" s="69"/>
      <c r="D41" s="74"/>
      <c r="E41" s="360"/>
      <c r="F41" s="342"/>
      <c r="G41" s="342"/>
      <c r="H41" s="342"/>
      <c r="I41" s="342"/>
      <c r="J41" s="342"/>
      <c r="K41" s="342"/>
      <c r="L41" s="342"/>
      <c r="M41" s="342"/>
      <c r="N41" s="342"/>
      <c r="O41" s="342"/>
      <c r="P41" s="342"/>
      <c r="Q41" s="89"/>
      <c r="R41" s="89"/>
      <c r="S41" s="89"/>
      <c r="T41" s="89"/>
      <c r="U41" s="360"/>
      <c r="V41" s="342"/>
      <c r="W41" s="342"/>
      <c r="X41" s="342"/>
      <c r="Y41" s="342"/>
      <c r="Z41" s="342"/>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141"/>
      <c r="BZ41" s="141"/>
      <c r="CA41" s="141"/>
      <c r="CB41" s="141"/>
      <c r="CC41" s="89"/>
      <c r="CD41" s="89"/>
      <c r="CE41" s="89"/>
      <c r="CF41" s="89"/>
      <c r="CG41" s="89"/>
      <c r="CH41" s="89"/>
      <c r="CI41" s="89"/>
      <c r="CJ41" s="89"/>
      <c r="CK41" s="89"/>
      <c r="CL41" s="89"/>
      <c r="CM41" s="89"/>
      <c r="CN41" s="141"/>
      <c r="CO41" s="141"/>
      <c r="DA41" s="141"/>
      <c r="DB41" s="141"/>
      <c r="DC41" s="361"/>
      <c r="DD41" s="361"/>
      <c r="DE41" s="540" t="str">
        <f ca="1">IF(FL1=0,"","+")</f>
        <v/>
      </c>
      <c r="DF41" s="541"/>
      <c r="DG41" s="541"/>
      <c r="DH41" s="541"/>
      <c r="DI41" s="541"/>
      <c r="DJ41" s="541"/>
      <c r="DK41" s="268"/>
      <c r="DL41" s="141"/>
      <c r="DM41" s="141"/>
      <c r="DN41" s="141"/>
      <c r="DO41" s="141"/>
      <c r="DP41" s="141"/>
      <c r="DQ41" s="141"/>
      <c r="DR41" s="141"/>
      <c r="DS41" s="141"/>
      <c r="DT41" s="141"/>
      <c r="DU41" s="141"/>
      <c r="DV41" s="141"/>
      <c r="DW41" s="141"/>
      <c r="DX41" s="141"/>
      <c r="DY41" s="141"/>
      <c r="DZ41" s="141"/>
      <c r="EA41" s="141"/>
      <c r="EB41" s="141"/>
      <c r="EC41" s="141"/>
      <c r="ED41" s="141"/>
      <c r="EE41" s="535"/>
      <c r="EF41" s="535"/>
      <c r="EG41" s="535"/>
      <c r="EH41" s="535"/>
      <c r="EI41" s="535"/>
      <c r="EJ41" s="535"/>
      <c r="EK41" s="535"/>
      <c r="EL41" s="535"/>
      <c r="EM41" s="535"/>
      <c r="EN41" s="535"/>
      <c r="EO41" s="535"/>
      <c r="EP41" s="535"/>
      <c r="EQ41" s="535"/>
      <c r="ER41" s="535"/>
      <c r="ES41" s="535"/>
      <c r="ET41" s="535"/>
      <c r="EU41" s="535"/>
      <c r="EV41" s="535"/>
      <c r="EW41" s="535"/>
      <c r="EX41" s="535"/>
      <c r="EY41" s="535"/>
      <c r="EZ41" s="535"/>
      <c r="FA41" s="535"/>
      <c r="FB41" s="535"/>
      <c r="FC41" s="535"/>
      <c r="FD41" s="535"/>
      <c r="FE41" s="535"/>
      <c r="FF41" s="535"/>
      <c r="FG41" s="535"/>
      <c r="FH41" s="535"/>
      <c r="FJ41" s="359"/>
      <c r="FK41" s="359"/>
      <c r="FL41" s="359"/>
      <c r="FM41" s="359"/>
      <c r="FN41" s="109"/>
      <c r="FO41" s="109"/>
      <c r="FP41" s="109"/>
      <c r="FQ41" s="109"/>
      <c r="FR41" s="109"/>
      <c r="FS41" s="109"/>
      <c r="FT41" s="109"/>
      <c r="FU41" s="109"/>
      <c r="FV41" s="109"/>
      <c r="FW41" s="109"/>
      <c r="FX41" s="109"/>
      <c r="FY41" s="259"/>
      <c r="FZ41" s="259"/>
      <c r="GA41" s="259"/>
      <c r="GB41" s="259"/>
      <c r="GC41" s="85"/>
      <c r="GD41" s="85"/>
      <c r="GE41" s="85"/>
      <c r="GF41" s="85"/>
      <c r="GG41" s="85"/>
      <c r="GH41" s="85"/>
      <c r="GI41" s="85"/>
      <c r="GJ41" s="85"/>
      <c r="GK41" s="85"/>
      <c r="GL41" s="85"/>
      <c r="GM41" s="85"/>
      <c r="GN41" s="85"/>
      <c r="GO41" s="85"/>
      <c r="GP41" s="85"/>
      <c r="GQ41" s="85"/>
      <c r="GR41" s="85"/>
      <c r="GS41" s="85"/>
      <c r="GT41" s="85"/>
      <c r="GU41" s="85"/>
      <c r="GV41" s="85"/>
    </row>
    <row r="42" spans="1:204" ht="3.75" customHeight="1">
      <c r="A42" s="60"/>
      <c r="B42" s="69"/>
      <c r="C42" s="69"/>
      <c r="D42" s="74"/>
      <c r="E42" s="89"/>
      <c r="F42" s="89"/>
      <c r="G42" s="89"/>
      <c r="H42" s="89"/>
      <c r="I42" s="89"/>
      <c r="J42" s="89"/>
      <c r="K42" s="89"/>
      <c r="L42" s="89"/>
      <c r="M42" s="89"/>
      <c r="N42" s="89"/>
      <c r="O42" s="89"/>
      <c r="P42" s="89"/>
      <c r="Q42" s="89"/>
      <c r="R42" s="89"/>
      <c r="S42" s="89"/>
      <c r="T42" s="89"/>
      <c r="U42" s="360"/>
      <c r="V42" s="342"/>
      <c r="W42" s="342"/>
      <c r="X42" s="342"/>
      <c r="Y42" s="342"/>
      <c r="Z42" s="342"/>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141"/>
      <c r="BZ42" s="141"/>
      <c r="CA42" s="141"/>
      <c r="CB42" s="141"/>
      <c r="CC42" s="89"/>
      <c r="CD42" s="89"/>
      <c r="CE42" s="89"/>
      <c r="CF42" s="89"/>
      <c r="CG42" s="89"/>
      <c r="CH42" s="89"/>
      <c r="CI42" s="89"/>
      <c r="CJ42" s="89"/>
      <c r="CK42" s="89"/>
      <c r="CL42" s="89"/>
      <c r="CM42" s="89"/>
      <c r="CN42" s="141"/>
      <c r="CO42" s="141"/>
      <c r="DA42" s="141"/>
      <c r="DB42" s="141"/>
      <c r="DC42" s="361"/>
      <c r="DD42" s="361"/>
      <c r="DE42" s="360"/>
      <c r="DF42" s="342"/>
      <c r="DG42" s="342"/>
      <c r="DH42" s="342"/>
      <c r="DI42" s="342"/>
      <c r="DJ42" s="342"/>
      <c r="DK42" s="268"/>
      <c r="DL42" s="141"/>
      <c r="DM42" s="141"/>
      <c r="DN42" s="141"/>
      <c r="DO42" s="141"/>
      <c r="DP42" s="141"/>
      <c r="DQ42" s="141"/>
      <c r="DR42" s="141"/>
      <c r="DS42" s="141"/>
      <c r="DT42" s="141"/>
      <c r="DU42" s="141"/>
      <c r="DV42" s="141"/>
      <c r="DW42" s="141"/>
      <c r="DX42" s="141"/>
      <c r="DY42" s="141"/>
      <c r="DZ42" s="141"/>
      <c r="EA42" s="141"/>
      <c r="EB42" s="141"/>
      <c r="EC42" s="141"/>
      <c r="ED42" s="141"/>
      <c r="EE42" s="535"/>
      <c r="EF42" s="535"/>
      <c r="EG42" s="535"/>
      <c r="EH42" s="535"/>
      <c r="EI42" s="535"/>
      <c r="EJ42" s="535"/>
      <c r="EK42" s="535"/>
      <c r="EL42" s="535"/>
      <c r="EM42" s="535"/>
      <c r="EN42" s="535"/>
      <c r="EO42" s="535"/>
      <c r="EP42" s="535"/>
      <c r="EQ42" s="535"/>
      <c r="ER42" s="535"/>
      <c r="ES42" s="535"/>
      <c r="ET42" s="535"/>
      <c r="EU42" s="535"/>
      <c r="EV42" s="535"/>
      <c r="EW42" s="535"/>
      <c r="EX42" s="535"/>
      <c r="EY42" s="535"/>
      <c r="EZ42" s="535"/>
      <c r="FA42" s="535"/>
      <c r="FB42" s="535"/>
      <c r="FC42" s="535"/>
      <c r="FD42" s="535"/>
      <c r="FE42" s="535"/>
      <c r="FF42" s="535"/>
      <c r="FG42" s="535"/>
      <c r="FH42" s="535"/>
      <c r="FJ42" s="359"/>
      <c r="FK42" s="359"/>
      <c r="FL42" s="359"/>
      <c r="FM42" s="359"/>
      <c r="FN42" s="109"/>
      <c r="FO42" s="109"/>
      <c r="FP42" s="109"/>
      <c r="FQ42" s="109"/>
      <c r="FR42" s="109"/>
      <c r="FS42" s="109"/>
      <c r="FT42" s="109"/>
      <c r="FU42" s="109"/>
      <c r="FV42" s="109"/>
      <c r="FW42" s="109"/>
      <c r="FX42" s="109"/>
      <c r="FY42" s="259"/>
      <c r="FZ42" s="259"/>
      <c r="GA42" s="259"/>
      <c r="GB42" s="259"/>
      <c r="GC42" s="85"/>
      <c r="GD42" s="85"/>
      <c r="GE42" s="85"/>
      <c r="GF42" s="85"/>
      <c r="GG42" s="85"/>
      <c r="GH42" s="85"/>
      <c r="GI42" s="85"/>
      <c r="GJ42" s="85"/>
      <c r="GK42" s="85"/>
      <c r="GL42" s="85"/>
      <c r="GM42" s="85"/>
      <c r="GN42" s="85"/>
      <c r="GO42" s="85"/>
      <c r="GP42" s="85"/>
      <c r="GQ42" s="85"/>
      <c r="GR42" s="85"/>
      <c r="GS42" s="85"/>
      <c r="GT42" s="85"/>
      <c r="GU42" s="85"/>
      <c r="GV42" s="85"/>
    </row>
    <row r="43" spans="1:204" ht="3.75" customHeight="1">
      <c r="A43" s="60"/>
      <c r="B43" s="69"/>
      <c r="C43" s="69"/>
      <c r="D43" s="74"/>
      <c r="E43" s="89"/>
      <c r="F43" s="89"/>
      <c r="G43" s="89"/>
      <c r="H43" s="89"/>
      <c r="I43" s="89"/>
      <c r="J43" s="89"/>
      <c r="K43" s="89"/>
      <c r="L43" s="89"/>
      <c r="M43" s="89"/>
      <c r="N43" s="89"/>
      <c r="O43" s="89"/>
      <c r="P43" s="89"/>
      <c r="Q43" s="89"/>
      <c r="R43" s="89"/>
      <c r="S43" s="89"/>
      <c r="T43" s="89"/>
      <c r="U43" s="360"/>
      <c r="V43" s="342"/>
      <c r="W43" s="342"/>
      <c r="X43" s="342"/>
      <c r="Y43" s="342"/>
      <c r="Z43" s="342"/>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141"/>
      <c r="BZ43" s="141"/>
      <c r="CA43" s="141"/>
      <c r="CB43" s="141"/>
      <c r="CC43" s="89"/>
      <c r="CD43" s="89"/>
      <c r="CE43" s="89"/>
      <c r="CF43" s="89"/>
      <c r="CG43" s="89"/>
      <c r="CH43" s="89"/>
      <c r="CI43" s="89"/>
      <c r="CJ43" s="89"/>
      <c r="CK43" s="89"/>
      <c r="CL43" s="89"/>
      <c r="CM43" s="89"/>
      <c r="CN43" s="141"/>
      <c r="CO43" s="141"/>
      <c r="DA43" s="141"/>
      <c r="DB43" s="141"/>
      <c r="DC43" s="361"/>
      <c r="DD43" s="361"/>
      <c r="DE43" s="540" t="str">
        <f ca="1">IF(FL1=0,"","+")</f>
        <v/>
      </c>
      <c r="DF43" s="541"/>
      <c r="DG43" s="541"/>
      <c r="DH43" s="541"/>
      <c r="DI43" s="541"/>
      <c r="DJ43" s="541"/>
      <c r="DK43" s="268"/>
      <c r="DL43" s="141"/>
      <c r="DM43" s="141"/>
      <c r="DN43" s="141"/>
      <c r="DO43" s="141"/>
      <c r="DP43" s="141"/>
      <c r="DQ43" s="141"/>
      <c r="DR43" s="141"/>
      <c r="DS43" s="141"/>
      <c r="DT43" s="141"/>
      <c r="DU43" s="141"/>
      <c r="DV43" s="141"/>
      <c r="DW43" s="141"/>
      <c r="DX43" s="141"/>
      <c r="DY43" s="141"/>
      <c r="DZ43" s="141"/>
      <c r="EA43" s="141"/>
      <c r="EB43" s="141"/>
      <c r="EC43" s="141"/>
      <c r="ED43" s="141"/>
      <c r="EE43" s="532"/>
      <c r="EF43" s="532"/>
      <c r="EG43" s="532"/>
      <c r="EH43" s="532"/>
      <c r="EI43" s="532"/>
      <c r="EJ43" s="532"/>
      <c r="EK43" s="532"/>
      <c r="EL43" s="532"/>
      <c r="EM43" s="532"/>
      <c r="EN43" s="532"/>
      <c r="EO43" s="532"/>
      <c r="EP43" s="532"/>
      <c r="EQ43" s="532"/>
      <c r="ER43" s="532"/>
      <c r="ES43" s="532"/>
      <c r="ET43" s="532"/>
      <c r="EU43" s="532"/>
      <c r="EV43" s="532"/>
      <c r="EW43" s="532"/>
      <c r="EX43" s="532"/>
      <c r="EY43" s="532"/>
      <c r="EZ43" s="532"/>
      <c r="FA43" s="532"/>
      <c r="FB43" s="532"/>
      <c r="FC43" s="532"/>
      <c r="FD43" s="532"/>
      <c r="FE43" s="532"/>
      <c r="FF43" s="532"/>
      <c r="FG43" s="532"/>
      <c r="FH43" s="532"/>
      <c r="FJ43" s="359"/>
      <c r="FK43" s="359"/>
      <c r="FL43" s="359"/>
      <c r="FM43" s="359"/>
      <c r="FN43" s="109"/>
      <c r="FO43" s="109"/>
      <c r="FP43" s="109"/>
      <c r="FQ43" s="109"/>
      <c r="FR43" s="109"/>
      <c r="FS43" s="109"/>
      <c r="FT43" s="109"/>
      <c r="FU43" s="109"/>
      <c r="FV43" s="109"/>
      <c r="FW43" s="109"/>
      <c r="FX43" s="109"/>
      <c r="FY43" s="259"/>
      <c r="FZ43" s="259"/>
      <c r="GA43" s="259"/>
      <c r="GB43" s="259"/>
      <c r="GC43" s="85"/>
      <c r="GD43" s="85"/>
      <c r="GE43" s="85"/>
      <c r="GF43" s="85"/>
      <c r="GG43" s="85"/>
      <c r="GH43" s="85"/>
      <c r="GI43" s="85"/>
      <c r="GJ43" s="85"/>
      <c r="GK43" s="85"/>
      <c r="GL43" s="85"/>
      <c r="GM43" s="85"/>
      <c r="GN43" s="85"/>
      <c r="GO43" s="85"/>
      <c r="GP43" s="85"/>
      <c r="GQ43" s="85"/>
      <c r="GR43" s="85"/>
      <c r="GS43" s="85"/>
      <c r="GT43" s="85"/>
      <c r="GU43" s="85"/>
      <c r="GV43" s="85"/>
    </row>
    <row r="44" spans="1:204" ht="15" customHeight="1">
      <c r="A44" s="60"/>
      <c r="B44" s="69"/>
      <c r="C44" s="69"/>
      <c r="D44" s="341"/>
      <c r="E44" s="89"/>
      <c r="F44" s="89"/>
      <c r="G44" s="89"/>
      <c r="H44" s="89"/>
      <c r="I44" s="89"/>
      <c r="J44" s="89"/>
      <c r="K44" s="89"/>
      <c r="L44" s="89"/>
      <c r="M44" s="89"/>
      <c r="N44" s="89"/>
      <c r="O44" s="342"/>
      <c r="P44" s="89"/>
      <c r="Q44" s="89"/>
      <c r="R44" s="89"/>
      <c r="S44" s="89"/>
      <c r="T44" s="89"/>
      <c r="U44" s="360"/>
      <c r="V44" s="362"/>
      <c r="W44" s="362"/>
      <c r="X44" s="362"/>
      <c r="Y44" s="362"/>
      <c r="Z44" s="360"/>
      <c r="AA44" s="355"/>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141"/>
      <c r="BZ44" s="141"/>
      <c r="CA44" s="141"/>
      <c r="CB44" s="141"/>
      <c r="CC44" s="89"/>
      <c r="CD44" s="89"/>
      <c r="CE44" s="89"/>
      <c r="CF44" s="89"/>
      <c r="CG44" s="89"/>
      <c r="CH44" s="89"/>
      <c r="CI44" s="89"/>
      <c r="CJ44" s="89"/>
      <c r="CK44" s="89"/>
      <c r="CL44" s="89"/>
      <c r="CM44" s="89"/>
      <c r="CN44" s="141"/>
      <c r="CO44" s="141"/>
      <c r="DA44" s="141"/>
      <c r="DB44" s="141"/>
      <c r="DC44" s="303" t="str">
        <f ca="1">IF(FL1=0,"","heterogeen oligopolie")</f>
        <v/>
      </c>
      <c r="DD44" s="361"/>
      <c r="DE44" s="360" t="str">
        <f ca="1">IF(FL1=0,"","+")</f>
        <v/>
      </c>
      <c r="DF44" s="542"/>
      <c r="DG44" s="542"/>
      <c r="DH44" s="542"/>
      <c r="DI44" s="542"/>
      <c r="DJ44" s="360" t="str">
        <f ca="1">IF(FL1=0,"","+")</f>
        <v/>
      </c>
      <c r="DK44" s="363" t="s">
        <v>131</v>
      </c>
      <c r="DL44" s="141"/>
      <c r="DM44" s="141"/>
      <c r="DN44" s="141"/>
      <c r="DO44" s="141"/>
      <c r="DP44" s="141"/>
      <c r="DQ44" s="141"/>
      <c r="DR44" s="141"/>
      <c r="DS44" s="141"/>
      <c r="DT44" s="141"/>
      <c r="DU44" s="141"/>
      <c r="DV44" s="141"/>
      <c r="DW44" s="141"/>
      <c r="DX44" s="141"/>
      <c r="DY44" s="141"/>
      <c r="DZ44" s="141"/>
      <c r="EA44" s="141"/>
      <c r="EB44" s="141"/>
      <c r="EC44" s="141"/>
      <c r="ED44" s="141"/>
      <c r="EE44" s="532"/>
      <c r="EF44" s="532"/>
      <c r="EG44" s="532"/>
      <c r="EH44" s="532"/>
      <c r="EI44" s="532"/>
      <c r="EJ44" s="532"/>
      <c r="EK44" s="532"/>
      <c r="EL44" s="532"/>
      <c r="EM44" s="532"/>
      <c r="EN44" s="532"/>
      <c r="EO44" s="532"/>
      <c r="EP44" s="532"/>
      <c r="EQ44" s="532"/>
      <c r="ER44" s="532"/>
      <c r="ES44" s="532"/>
      <c r="ET44" s="532"/>
      <c r="EU44" s="532"/>
      <c r="EV44" s="532"/>
      <c r="EW44" s="532"/>
      <c r="EX44" s="532"/>
      <c r="EY44" s="532"/>
      <c r="EZ44" s="532"/>
      <c r="FA44" s="532"/>
      <c r="FB44" s="532"/>
      <c r="FC44" s="532"/>
      <c r="FD44" s="532"/>
      <c r="FE44" s="532"/>
      <c r="FF44" s="532"/>
      <c r="FG44" s="532"/>
      <c r="FH44" s="532"/>
      <c r="FJ44" s="359"/>
      <c r="FK44" s="359"/>
      <c r="FL44" s="359"/>
      <c r="FM44" s="359">
        <f>IF(DF44=FJ29,1,0)</f>
        <v>0</v>
      </c>
      <c r="FN44" s="109"/>
      <c r="FO44" s="109"/>
      <c r="FP44" s="109"/>
      <c r="FQ44" s="109"/>
      <c r="FR44" s="109"/>
      <c r="FS44" s="109"/>
      <c r="FT44" s="109"/>
      <c r="FU44" s="109"/>
      <c r="FV44" s="109"/>
      <c r="FW44" s="109"/>
      <c r="FX44" s="109"/>
      <c r="FY44" s="259"/>
      <c r="FZ44" s="259"/>
      <c r="GA44" s="259"/>
      <c r="GB44" s="259"/>
      <c r="GC44" s="85"/>
      <c r="GD44" s="85"/>
      <c r="GE44" s="85"/>
      <c r="GF44" s="85"/>
      <c r="GG44" s="85"/>
      <c r="GH44" s="85"/>
      <c r="GI44" s="85"/>
      <c r="GJ44" s="85"/>
      <c r="GK44" s="85"/>
      <c r="GL44" s="85"/>
      <c r="GM44" s="85"/>
      <c r="GN44" s="85"/>
      <c r="GO44" s="85"/>
      <c r="GP44" s="85"/>
      <c r="GQ44" s="85"/>
      <c r="GR44" s="85"/>
      <c r="GS44" s="85"/>
      <c r="GT44" s="85"/>
      <c r="GU44" s="85"/>
      <c r="GV44" s="85"/>
    </row>
    <row r="45" spans="1:204" ht="3.75" customHeight="1">
      <c r="A45" s="60"/>
      <c r="B45" s="69"/>
      <c r="C45" s="69"/>
      <c r="D45" s="74"/>
      <c r="E45" s="89"/>
      <c r="F45" s="89"/>
      <c r="G45" s="89"/>
      <c r="H45" s="89"/>
      <c r="I45" s="89"/>
      <c r="J45" s="89"/>
      <c r="K45" s="89"/>
      <c r="L45" s="89"/>
      <c r="M45" s="89"/>
      <c r="N45" s="89"/>
      <c r="O45" s="89"/>
      <c r="P45" s="89"/>
      <c r="Q45" s="89"/>
      <c r="R45" s="89"/>
      <c r="S45" s="89"/>
      <c r="T45" s="89"/>
      <c r="U45" s="360"/>
      <c r="V45" s="342"/>
      <c r="W45" s="342"/>
      <c r="X45" s="342"/>
      <c r="Y45" s="342"/>
      <c r="Z45" s="342"/>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89"/>
      <c r="BX45" s="89"/>
      <c r="BY45" s="141"/>
      <c r="BZ45" s="141"/>
      <c r="CA45" s="141"/>
      <c r="CB45" s="141"/>
      <c r="CC45" s="89"/>
      <c r="CD45" s="89"/>
      <c r="CE45" s="89"/>
      <c r="CF45" s="89"/>
      <c r="CG45" s="89"/>
      <c r="CH45" s="89"/>
      <c r="CI45" s="89"/>
      <c r="CJ45" s="89"/>
      <c r="CK45" s="89"/>
      <c r="CL45" s="89"/>
      <c r="CM45" s="89"/>
      <c r="CN45" s="141"/>
      <c r="CO45" s="141"/>
      <c r="DA45" s="141"/>
      <c r="DB45" s="141"/>
      <c r="DC45" s="361"/>
      <c r="DD45" s="361"/>
      <c r="DE45" s="540" t="str">
        <f ca="1">IF(FL1=0,"","+")</f>
        <v/>
      </c>
      <c r="DF45" s="541"/>
      <c r="DG45" s="541"/>
      <c r="DH45" s="541"/>
      <c r="DI45" s="541"/>
      <c r="DJ45" s="541"/>
      <c r="DK45" s="268"/>
      <c r="DL45" s="141"/>
      <c r="DM45" s="141"/>
      <c r="DN45" s="141"/>
      <c r="DO45" s="141"/>
      <c r="DP45" s="141"/>
      <c r="DQ45" s="141"/>
      <c r="DR45" s="141"/>
      <c r="DS45" s="141"/>
      <c r="DT45" s="141"/>
      <c r="DU45" s="141"/>
      <c r="DV45" s="141"/>
      <c r="DW45" s="141"/>
      <c r="DX45" s="141"/>
      <c r="DY45" s="141"/>
      <c r="DZ45" s="141"/>
      <c r="EA45" s="141"/>
      <c r="EB45" s="141"/>
      <c r="EC45" s="141"/>
      <c r="ED45" s="141"/>
      <c r="EE45" s="141"/>
      <c r="EF45" s="141"/>
      <c r="EG45" s="141"/>
      <c r="EH45" s="141"/>
      <c r="EI45" s="141"/>
      <c r="EJ45" s="141"/>
      <c r="EK45" s="141"/>
      <c r="EL45" s="141"/>
      <c r="EM45" s="141"/>
      <c r="EN45" s="141"/>
      <c r="EO45" s="141"/>
      <c r="EP45" s="141"/>
      <c r="EQ45" s="141"/>
      <c r="ER45" s="141"/>
      <c r="ES45" s="141"/>
      <c r="ET45" s="141"/>
      <c r="EU45" s="141"/>
      <c r="EV45" s="141"/>
      <c r="EW45" s="141"/>
      <c r="EX45" s="89"/>
      <c r="EY45" s="89"/>
      <c r="EZ45" s="89"/>
      <c r="FA45" s="89"/>
      <c r="FB45" s="89"/>
      <c r="FC45" s="89"/>
      <c r="FD45" s="89"/>
      <c r="FE45" s="89"/>
      <c r="FF45" s="342"/>
      <c r="FG45" s="141"/>
      <c r="FJ45" s="359"/>
      <c r="FK45" s="359"/>
      <c r="FL45" s="359"/>
      <c r="FM45" s="359"/>
      <c r="FN45" s="109"/>
      <c r="FO45" s="109"/>
      <c r="FP45" s="109"/>
      <c r="FQ45" s="109"/>
      <c r="FR45" s="109"/>
      <c r="FS45" s="109"/>
      <c r="FT45" s="109"/>
      <c r="FU45" s="109"/>
      <c r="FV45" s="109"/>
      <c r="FW45" s="109"/>
      <c r="FX45" s="109"/>
      <c r="FY45" s="259"/>
      <c r="FZ45" s="259"/>
      <c r="GA45" s="259"/>
      <c r="GB45" s="259"/>
      <c r="GC45" s="85"/>
      <c r="GD45" s="85"/>
      <c r="GE45" s="85"/>
      <c r="GF45" s="85"/>
      <c r="GG45" s="85"/>
      <c r="GH45" s="85"/>
      <c r="GI45" s="85"/>
      <c r="GJ45" s="85"/>
      <c r="GK45" s="85"/>
      <c r="GL45" s="85"/>
      <c r="GM45" s="85"/>
      <c r="GN45" s="85"/>
      <c r="GO45" s="85"/>
      <c r="GP45" s="85"/>
      <c r="GQ45" s="85"/>
      <c r="GR45" s="85"/>
      <c r="GS45" s="85"/>
      <c r="GT45" s="85"/>
      <c r="GU45" s="85"/>
      <c r="GV45" s="85"/>
    </row>
    <row r="46" spans="1:204" ht="3.75" customHeight="1">
      <c r="A46" s="60"/>
      <c r="B46" s="69"/>
      <c r="C46" s="69"/>
      <c r="D46" s="74"/>
      <c r="E46" s="89"/>
      <c r="F46" s="89"/>
      <c r="G46" s="89"/>
      <c r="H46" s="89"/>
      <c r="I46" s="89"/>
      <c r="J46" s="89"/>
      <c r="K46" s="89"/>
      <c r="L46" s="89"/>
      <c r="M46" s="89"/>
      <c r="N46" s="89"/>
      <c r="O46" s="89"/>
      <c r="P46" s="89"/>
      <c r="Q46" s="89"/>
      <c r="R46" s="89"/>
      <c r="S46" s="89"/>
      <c r="T46" s="89"/>
      <c r="U46" s="360"/>
      <c r="V46" s="342"/>
      <c r="W46" s="342"/>
      <c r="X46" s="342"/>
      <c r="Y46" s="342"/>
      <c r="Z46" s="342"/>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141"/>
      <c r="BZ46" s="141"/>
      <c r="CA46" s="141"/>
      <c r="CB46" s="141"/>
      <c r="CC46" s="89"/>
      <c r="CD46" s="89"/>
      <c r="CE46" s="89"/>
      <c r="CF46" s="89"/>
      <c r="CG46" s="89"/>
      <c r="CH46" s="89"/>
      <c r="CI46" s="89"/>
      <c r="CJ46" s="89"/>
      <c r="CK46" s="89"/>
      <c r="CL46" s="89"/>
      <c r="CM46" s="89"/>
      <c r="CN46" s="141"/>
      <c r="CO46" s="141"/>
      <c r="DA46" s="141"/>
      <c r="DB46" s="141"/>
      <c r="DC46" s="361"/>
      <c r="DD46" s="361"/>
      <c r="DE46" s="360"/>
      <c r="DF46" s="342"/>
      <c r="DG46" s="342"/>
      <c r="DH46" s="342"/>
      <c r="DI46" s="342"/>
      <c r="DJ46" s="342"/>
      <c r="DK46" s="268"/>
      <c r="DL46" s="141"/>
      <c r="DM46" s="141"/>
      <c r="DN46" s="141"/>
      <c r="DO46" s="141"/>
      <c r="DP46" s="141"/>
      <c r="DQ46" s="141"/>
      <c r="DR46" s="141"/>
      <c r="DS46" s="141"/>
      <c r="DT46" s="141"/>
      <c r="DU46" s="141"/>
      <c r="DV46" s="141"/>
      <c r="DW46" s="141"/>
      <c r="DX46" s="141"/>
      <c r="DY46" s="141"/>
      <c r="DZ46" s="141"/>
      <c r="EA46" s="141"/>
      <c r="EB46" s="141"/>
      <c r="EC46" s="141"/>
      <c r="ED46" s="141"/>
      <c r="EE46" s="141"/>
      <c r="EF46" s="141"/>
      <c r="EG46" s="141"/>
      <c r="EH46" s="141"/>
      <c r="EI46" s="141"/>
      <c r="EJ46" s="141"/>
      <c r="EK46" s="141"/>
      <c r="EL46" s="141"/>
      <c r="EM46" s="141"/>
      <c r="EN46" s="141"/>
      <c r="EO46" s="141"/>
      <c r="EP46" s="141"/>
      <c r="EQ46" s="141"/>
      <c r="ER46" s="141"/>
      <c r="ES46" s="141"/>
      <c r="ET46" s="141"/>
      <c r="EU46" s="141"/>
      <c r="EV46" s="141"/>
      <c r="EW46" s="141"/>
      <c r="EX46" s="89"/>
      <c r="EY46" s="89"/>
      <c r="EZ46" s="89"/>
      <c r="FA46" s="89"/>
      <c r="FB46" s="89"/>
      <c r="FC46" s="89"/>
      <c r="FD46" s="89"/>
      <c r="FE46" s="89"/>
      <c r="FF46" s="342"/>
      <c r="FG46" s="141"/>
      <c r="FJ46" s="359"/>
      <c r="FK46" s="359"/>
      <c r="FL46" s="359"/>
      <c r="FM46" s="359"/>
      <c r="FN46" s="109"/>
      <c r="FO46" s="109"/>
      <c r="FP46" s="109"/>
      <c r="FQ46" s="109"/>
      <c r="FR46" s="109"/>
      <c r="FS46" s="109"/>
      <c r="FT46" s="109"/>
      <c r="FU46" s="109"/>
      <c r="FV46" s="109"/>
      <c r="FW46" s="109"/>
      <c r="FX46" s="109"/>
      <c r="FY46" s="259"/>
      <c r="FZ46" s="259"/>
      <c r="GA46" s="259"/>
      <c r="GB46" s="259"/>
      <c r="GC46" s="85"/>
      <c r="GD46" s="85"/>
      <c r="GE46" s="85"/>
      <c r="GF46" s="85"/>
      <c r="GG46" s="85"/>
      <c r="GH46" s="85"/>
      <c r="GI46" s="85"/>
      <c r="GJ46" s="85"/>
      <c r="GK46" s="85"/>
      <c r="GL46" s="85"/>
      <c r="GM46" s="85"/>
      <c r="GN46" s="85"/>
      <c r="GO46" s="85"/>
      <c r="GP46" s="85"/>
      <c r="GQ46" s="85"/>
      <c r="GR46" s="85"/>
      <c r="GS46" s="85"/>
      <c r="GT46" s="85"/>
      <c r="GU46" s="85"/>
      <c r="GV46" s="85"/>
    </row>
    <row r="47" spans="1:204" ht="3.75" customHeight="1">
      <c r="A47" s="60"/>
      <c r="B47" s="69"/>
      <c r="C47" s="69"/>
      <c r="D47" s="74"/>
      <c r="E47" s="89"/>
      <c r="F47" s="89"/>
      <c r="G47" s="89"/>
      <c r="H47" s="89"/>
      <c r="I47" s="89"/>
      <c r="J47" s="89"/>
      <c r="K47" s="89"/>
      <c r="L47" s="89"/>
      <c r="M47" s="89"/>
      <c r="N47" s="89"/>
      <c r="O47" s="89"/>
      <c r="P47" s="89"/>
      <c r="Q47" s="89"/>
      <c r="R47" s="89"/>
      <c r="S47" s="89"/>
      <c r="T47" s="89"/>
      <c r="U47" s="360"/>
      <c r="V47" s="342"/>
      <c r="W47" s="342"/>
      <c r="X47" s="342"/>
      <c r="Y47" s="342"/>
      <c r="Z47" s="342"/>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89"/>
      <c r="BV47" s="89"/>
      <c r="BW47" s="89"/>
      <c r="BX47" s="89"/>
      <c r="BY47" s="141"/>
      <c r="BZ47" s="141"/>
      <c r="CA47" s="141"/>
      <c r="CB47" s="141"/>
      <c r="CC47" s="89"/>
      <c r="CD47" s="89"/>
      <c r="CE47" s="89"/>
      <c r="CF47" s="89"/>
      <c r="CG47" s="89"/>
      <c r="CH47" s="89"/>
      <c r="CI47" s="89"/>
      <c r="CJ47" s="89"/>
      <c r="CK47" s="89"/>
      <c r="CL47" s="89"/>
      <c r="CM47" s="89"/>
      <c r="CN47" s="141"/>
      <c r="CO47" s="141"/>
      <c r="DA47" s="141"/>
      <c r="DB47" s="141"/>
      <c r="DC47" s="361"/>
      <c r="DD47" s="361"/>
      <c r="DE47" s="540" t="str">
        <f ca="1">IF(FL1=0,"","+")</f>
        <v/>
      </c>
      <c r="DF47" s="541"/>
      <c r="DG47" s="541"/>
      <c r="DH47" s="541"/>
      <c r="DI47" s="541"/>
      <c r="DJ47" s="541"/>
      <c r="DK47" s="268"/>
      <c r="DL47" s="141"/>
      <c r="DM47" s="141"/>
      <c r="DN47" s="141"/>
      <c r="DO47" s="141"/>
      <c r="DP47" s="141"/>
      <c r="DQ47" s="141"/>
      <c r="DR47" s="141"/>
      <c r="DS47" s="141"/>
      <c r="DT47" s="141"/>
      <c r="DU47" s="141"/>
      <c r="DV47" s="141"/>
      <c r="DW47" s="141"/>
      <c r="DX47" s="141"/>
      <c r="DY47" s="141"/>
      <c r="DZ47" s="141"/>
      <c r="EA47" s="141"/>
      <c r="EB47" s="141"/>
      <c r="EC47" s="141"/>
      <c r="ED47" s="141"/>
      <c r="EE47" s="141"/>
      <c r="EF47" s="141"/>
      <c r="EG47" s="141"/>
      <c r="EH47" s="141"/>
      <c r="EI47" s="141"/>
      <c r="EJ47" s="141"/>
      <c r="EK47" s="141"/>
      <c r="EL47" s="141"/>
      <c r="EM47" s="141"/>
      <c r="EN47" s="141"/>
      <c r="EO47" s="141"/>
      <c r="EP47" s="141"/>
      <c r="EQ47" s="141"/>
      <c r="ER47" s="141"/>
      <c r="ES47" s="141"/>
      <c r="ET47" s="141"/>
      <c r="EU47" s="141"/>
      <c r="EV47" s="141"/>
      <c r="EW47" s="141"/>
      <c r="EX47" s="89"/>
      <c r="EY47" s="89"/>
      <c r="EZ47" s="89"/>
      <c r="FA47" s="89"/>
      <c r="FB47" s="89"/>
      <c r="FC47" s="89"/>
      <c r="FD47" s="89"/>
      <c r="FE47" s="89"/>
      <c r="FF47" s="342"/>
      <c r="FG47" s="141"/>
      <c r="FJ47" s="359"/>
      <c r="FK47" s="359"/>
      <c r="FL47" s="359"/>
      <c r="FM47" s="359"/>
      <c r="FN47" s="109"/>
      <c r="FO47" s="109"/>
      <c r="FP47" s="109"/>
      <c r="FQ47" s="109"/>
      <c r="FR47" s="109"/>
      <c r="FS47" s="109"/>
      <c r="FT47" s="109"/>
      <c r="FU47" s="109"/>
      <c r="FV47" s="109"/>
      <c r="FW47" s="109"/>
      <c r="FX47" s="109"/>
      <c r="FY47" s="259"/>
      <c r="FZ47" s="259"/>
      <c r="GA47" s="259"/>
      <c r="GB47" s="259"/>
      <c r="GC47" s="85"/>
      <c r="GD47" s="85"/>
      <c r="GE47" s="85"/>
      <c r="GF47" s="85"/>
      <c r="GG47" s="85"/>
      <c r="GH47" s="85"/>
      <c r="GI47" s="85"/>
      <c r="GJ47" s="85"/>
      <c r="GK47" s="85"/>
      <c r="GL47" s="85"/>
      <c r="GM47" s="85"/>
      <c r="GN47" s="85"/>
      <c r="GO47" s="85"/>
      <c r="GP47" s="85"/>
      <c r="GQ47" s="85"/>
      <c r="GR47" s="85"/>
      <c r="GS47" s="85"/>
      <c r="GT47" s="85"/>
      <c r="GU47" s="85"/>
      <c r="GV47" s="85"/>
    </row>
    <row r="48" spans="1:204" ht="15" customHeight="1">
      <c r="A48" s="60"/>
      <c r="B48" s="69"/>
      <c r="C48" s="69"/>
      <c r="D48" s="341"/>
      <c r="E48" s="89"/>
      <c r="F48" s="89"/>
      <c r="G48" s="89"/>
      <c r="H48" s="89"/>
      <c r="I48" s="89"/>
      <c r="J48" s="89"/>
      <c r="K48" s="89"/>
      <c r="L48" s="89"/>
      <c r="M48" s="89"/>
      <c r="N48" s="89"/>
      <c r="O48" s="342"/>
      <c r="P48" s="89"/>
      <c r="Q48" s="89"/>
      <c r="R48" s="89"/>
      <c r="S48" s="89"/>
      <c r="T48" s="89"/>
      <c r="U48" s="360"/>
      <c r="V48" s="362"/>
      <c r="W48" s="362"/>
      <c r="X48" s="362"/>
      <c r="Y48" s="362"/>
      <c r="Z48" s="360"/>
      <c r="AA48" s="355"/>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141"/>
      <c r="BZ48" s="141"/>
      <c r="CA48" s="141"/>
      <c r="CB48" s="141"/>
      <c r="CC48" s="89"/>
      <c r="CD48" s="89"/>
      <c r="CE48" s="89"/>
      <c r="CF48" s="89"/>
      <c r="CG48" s="89"/>
      <c r="CH48" s="89"/>
      <c r="CI48" s="89"/>
      <c r="CJ48" s="89"/>
      <c r="CK48" s="89"/>
      <c r="CL48" s="89"/>
      <c r="CM48" s="89"/>
      <c r="CN48" s="141"/>
      <c r="CO48" s="141"/>
      <c r="DA48" s="141"/>
      <c r="DB48" s="141"/>
      <c r="DC48" s="303" t="str">
        <f ca="1">IF(FL1=0,"","homogeen oligopolie met prijsconcurrentie of prijsvolger zijn")</f>
        <v/>
      </c>
      <c r="DD48" s="361"/>
      <c r="DE48" s="360" t="str">
        <f ca="1">IF(FL1=0,"","+")</f>
        <v/>
      </c>
      <c r="DF48" s="542"/>
      <c r="DG48" s="542"/>
      <c r="DH48" s="542"/>
      <c r="DI48" s="542"/>
      <c r="DJ48" s="360" t="str">
        <f ca="1">IF(FL1=0,"","+")</f>
        <v/>
      </c>
      <c r="DK48" s="363" t="s">
        <v>131</v>
      </c>
      <c r="DL48" s="141"/>
      <c r="DM48" s="141"/>
      <c r="DN48" s="141"/>
      <c r="DO48" s="141"/>
      <c r="DP48" s="141"/>
      <c r="DQ48" s="141"/>
      <c r="DR48" s="141"/>
      <c r="DS48" s="141"/>
      <c r="DT48" s="141"/>
      <c r="DU48" s="141"/>
      <c r="DV48" s="141"/>
      <c r="DW48" s="141"/>
      <c r="DX48" s="141"/>
      <c r="DY48" s="141"/>
      <c r="DZ48" s="141"/>
      <c r="EA48" s="141"/>
      <c r="EB48" s="141"/>
      <c r="EC48" s="141"/>
      <c r="ED48" s="141"/>
      <c r="EE48" s="141"/>
      <c r="EF48" s="141"/>
      <c r="EG48" s="141"/>
      <c r="EH48" s="141"/>
      <c r="EI48" s="141"/>
      <c r="EJ48" s="141"/>
      <c r="EK48" s="141"/>
      <c r="EL48" s="141"/>
      <c r="EM48" s="141"/>
      <c r="EN48" s="141"/>
      <c r="EO48" s="141"/>
      <c r="EP48" s="141"/>
      <c r="EQ48" s="141"/>
      <c r="ER48" s="141"/>
      <c r="ES48" s="141"/>
      <c r="ET48" s="141"/>
      <c r="EU48" s="141"/>
      <c r="EV48" s="141"/>
      <c r="EW48" s="141"/>
      <c r="EX48" s="89"/>
      <c r="EY48" s="89"/>
      <c r="EZ48" s="89"/>
      <c r="FA48" s="89"/>
      <c r="FB48" s="89"/>
      <c r="FC48" s="89"/>
      <c r="FD48" s="89"/>
      <c r="FE48" s="89"/>
      <c r="FF48" s="342"/>
      <c r="FG48" s="141"/>
      <c r="FJ48" s="359"/>
      <c r="FK48" s="359"/>
      <c r="FL48" s="359"/>
      <c r="FM48" s="359">
        <f>IF(DF48="",1,0)</f>
        <v>1</v>
      </c>
      <c r="FN48" s="109"/>
      <c r="FO48" s="109"/>
      <c r="FP48" s="109"/>
      <c r="FQ48" s="109"/>
      <c r="FR48" s="109"/>
      <c r="FS48" s="109"/>
      <c r="FT48" s="109"/>
      <c r="FU48" s="109"/>
      <c r="FV48" s="109"/>
      <c r="FW48" s="109"/>
      <c r="FX48" s="109"/>
      <c r="FY48" s="259"/>
      <c r="FZ48" s="259"/>
      <c r="GA48" s="259"/>
      <c r="GB48" s="259"/>
      <c r="GC48" s="85"/>
      <c r="GD48" s="85"/>
      <c r="GE48" s="85"/>
      <c r="GF48" s="85"/>
      <c r="GG48" s="85"/>
      <c r="GH48" s="85"/>
      <c r="GI48" s="85"/>
      <c r="GJ48" s="85"/>
      <c r="GK48" s="85"/>
      <c r="GL48" s="85"/>
      <c r="GM48" s="85"/>
      <c r="GN48" s="85"/>
      <c r="GO48" s="85"/>
      <c r="GP48" s="85"/>
      <c r="GQ48" s="85"/>
      <c r="GR48" s="85"/>
      <c r="GS48" s="85"/>
      <c r="GT48" s="85"/>
      <c r="GU48" s="85"/>
      <c r="GV48" s="85"/>
    </row>
    <row r="49" spans="1:236" ht="3.75" customHeight="1">
      <c r="A49" s="60"/>
      <c r="B49" s="69"/>
      <c r="C49" s="69"/>
      <c r="D49" s="74"/>
      <c r="E49" s="89"/>
      <c r="F49" s="89"/>
      <c r="G49" s="89"/>
      <c r="H49" s="89"/>
      <c r="I49" s="89"/>
      <c r="J49" s="89"/>
      <c r="K49" s="89"/>
      <c r="L49" s="89"/>
      <c r="M49" s="89"/>
      <c r="N49" s="89"/>
      <c r="O49" s="89"/>
      <c r="P49" s="89"/>
      <c r="Q49" s="89"/>
      <c r="R49" s="89"/>
      <c r="S49" s="89"/>
      <c r="T49" s="89"/>
      <c r="U49" s="360"/>
      <c r="V49" s="342"/>
      <c r="W49" s="342"/>
      <c r="X49" s="342"/>
      <c r="Y49" s="342"/>
      <c r="Z49" s="342"/>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89"/>
      <c r="BS49" s="89"/>
      <c r="BT49" s="89"/>
      <c r="BU49" s="89"/>
      <c r="BV49" s="89"/>
      <c r="BW49" s="89"/>
      <c r="BX49" s="89"/>
      <c r="BY49" s="141"/>
      <c r="BZ49" s="141"/>
      <c r="CA49" s="141"/>
      <c r="CB49" s="141"/>
      <c r="CC49" s="89"/>
      <c r="CD49" s="89"/>
      <c r="CE49" s="89"/>
      <c r="CF49" s="89"/>
      <c r="CG49" s="89"/>
      <c r="CH49" s="89"/>
      <c r="CI49" s="89"/>
      <c r="CJ49" s="89"/>
      <c r="CK49" s="89"/>
      <c r="CL49" s="89"/>
      <c r="CM49" s="89"/>
      <c r="CN49" s="141"/>
      <c r="CO49" s="141"/>
      <c r="DA49" s="141"/>
      <c r="DB49" s="141"/>
      <c r="DC49" s="361"/>
      <c r="DD49" s="361"/>
      <c r="DE49" s="540" t="str">
        <f ca="1">IF(FL1=0,"","+")</f>
        <v/>
      </c>
      <c r="DF49" s="541"/>
      <c r="DG49" s="541"/>
      <c r="DH49" s="541"/>
      <c r="DI49" s="541"/>
      <c r="DJ49" s="541"/>
      <c r="DK49" s="268"/>
      <c r="DL49" s="141"/>
      <c r="DM49" s="141"/>
      <c r="DN49" s="141"/>
      <c r="DO49" s="141"/>
      <c r="DP49" s="141"/>
      <c r="DQ49" s="141"/>
      <c r="DR49" s="141"/>
      <c r="DS49" s="141"/>
      <c r="DT49" s="141"/>
      <c r="DU49" s="141"/>
      <c r="DV49" s="141"/>
      <c r="DW49" s="141"/>
      <c r="DX49" s="141"/>
      <c r="DY49" s="141"/>
      <c r="DZ49" s="141"/>
      <c r="EA49" s="141"/>
      <c r="EB49" s="141"/>
      <c r="EC49" s="141"/>
      <c r="ED49" s="141"/>
      <c r="EE49" s="141"/>
      <c r="EF49" s="141"/>
      <c r="EG49" s="141"/>
      <c r="EH49" s="141"/>
      <c r="EI49" s="141"/>
      <c r="EJ49" s="141"/>
      <c r="EK49" s="141"/>
      <c r="EL49" s="141"/>
      <c r="EM49" s="141"/>
      <c r="EN49" s="141"/>
      <c r="EO49" s="141"/>
      <c r="EP49" s="141"/>
      <c r="EQ49" s="141"/>
      <c r="ER49" s="141"/>
      <c r="ES49" s="141"/>
      <c r="ET49" s="141"/>
      <c r="EU49" s="141"/>
      <c r="EV49" s="141"/>
      <c r="EW49" s="141"/>
      <c r="EX49" s="89"/>
      <c r="EY49" s="89"/>
      <c r="EZ49" s="89"/>
      <c r="FA49" s="89"/>
      <c r="FB49" s="89"/>
      <c r="FC49" s="89"/>
      <c r="FD49" s="89"/>
      <c r="FE49" s="89"/>
      <c r="FF49" s="342"/>
      <c r="FG49" s="141"/>
      <c r="FJ49" s="359"/>
      <c r="FK49" s="359"/>
      <c r="FL49" s="359"/>
      <c r="FM49" s="359"/>
      <c r="FN49" s="109"/>
      <c r="FO49" s="109"/>
      <c r="FP49" s="109"/>
      <c r="FQ49" s="109"/>
      <c r="FR49" s="109"/>
      <c r="FS49" s="109"/>
      <c r="FT49" s="109"/>
      <c r="FU49" s="109"/>
      <c r="FV49" s="109"/>
      <c r="FW49" s="109"/>
      <c r="FX49" s="109"/>
      <c r="FY49" s="259"/>
      <c r="FZ49" s="259"/>
      <c r="GA49" s="259"/>
      <c r="GB49" s="259"/>
      <c r="GC49" s="85"/>
      <c r="GD49" s="85"/>
      <c r="GE49" s="85"/>
      <c r="GF49" s="85"/>
      <c r="GG49" s="85"/>
      <c r="GH49" s="85"/>
      <c r="GI49" s="85"/>
      <c r="GJ49" s="85"/>
      <c r="GK49" s="85"/>
      <c r="GL49" s="85"/>
      <c r="GM49" s="85"/>
      <c r="GN49" s="85"/>
      <c r="GO49" s="85"/>
      <c r="GP49" s="85"/>
      <c r="GQ49" s="85"/>
      <c r="GR49" s="85"/>
      <c r="GS49" s="85"/>
      <c r="GT49" s="85"/>
      <c r="GU49" s="85"/>
      <c r="GV49" s="85"/>
    </row>
    <row r="50" spans="1:236" ht="3.75" customHeight="1">
      <c r="A50" s="60"/>
      <c r="B50" s="69"/>
      <c r="C50" s="69"/>
      <c r="D50" s="74"/>
      <c r="E50" s="89"/>
      <c r="F50" s="89"/>
      <c r="G50" s="89"/>
      <c r="H50" s="89"/>
      <c r="I50" s="89"/>
      <c r="J50" s="89"/>
      <c r="K50" s="89"/>
      <c r="L50" s="89"/>
      <c r="M50" s="89"/>
      <c r="N50" s="89"/>
      <c r="O50" s="89"/>
      <c r="P50" s="89"/>
      <c r="Q50" s="89"/>
      <c r="R50" s="89"/>
      <c r="S50" s="89"/>
      <c r="T50" s="89"/>
      <c r="U50" s="360"/>
      <c r="V50" s="342"/>
      <c r="W50" s="342"/>
      <c r="X50" s="342"/>
      <c r="Y50" s="342"/>
      <c r="Z50" s="342"/>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141"/>
      <c r="BZ50" s="141"/>
      <c r="CA50" s="141"/>
      <c r="CB50" s="141"/>
      <c r="CC50" s="89"/>
      <c r="CD50" s="89"/>
      <c r="CE50" s="89"/>
      <c r="CF50" s="89"/>
      <c r="CG50" s="89"/>
      <c r="CH50" s="89"/>
      <c r="CI50" s="89"/>
      <c r="CJ50" s="89"/>
      <c r="CK50" s="89"/>
      <c r="CL50" s="89"/>
      <c r="CM50" s="89"/>
      <c r="CN50" s="141"/>
      <c r="CO50" s="141"/>
      <c r="DA50" s="141"/>
      <c r="DB50" s="141"/>
      <c r="DC50" s="361"/>
      <c r="DD50" s="361"/>
      <c r="DE50" s="360"/>
      <c r="DF50" s="342"/>
      <c r="DG50" s="342"/>
      <c r="DH50" s="342"/>
      <c r="DI50" s="342"/>
      <c r="DJ50" s="342"/>
      <c r="DK50" s="268"/>
      <c r="DL50" s="141"/>
      <c r="DM50" s="141"/>
      <c r="DN50" s="141"/>
      <c r="DO50" s="141"/>
      <c r="DP50" s="141"/>
      <c r="DQ50" s="141"/>
      <c r="DR50" s="141"/>
      <c r="DS50" s="141"/>
      <c r="DT50" s="141"/>
      <c r="DU50" s="141"/>
      <c r="DV50" s="141"/>
      <c r="DW50" s="141"/>
      <c r="DX50" s="141"/>
      <c r="DY50" s="141"/>
      <c r="DZ50" s="141"/>
      <c r="EA50" s="141"/>
      <c r="EB50" s="141"/>
      <c r="EC50" s="141"/>
      <c r="ED50" s="141"/>
      <c r="EE50" s="141"/>
      <c r="EF50" s="141"/>
      <c r="EG50" s="141"/>
      <c r="EH50" s="141"/>
      <c r="EI50" s="141"/>
      <c r="EJ50" s="141"/>
      <c r="EK50" s="141"/>
      <c r="EL50" s="141"/>
      <c r="EM50" s="141"/>
      <c r="EN50" s="141"/>
      <c r="EO50" s="141"/>
      <c r="EP50" s="141"/>
      <c r="EQ50" s="141"/>
      <c r="ER50" s="141"/>
      <c r="ES50" s="141"/>
      <c r="ET50" s="141"/>
      <c r="EU50" s="141"/>
      <c r="EV50" s="141"/>
      <c r="EW50" s="141"/>
      <c r="EX50" s="89"/>
      <c r="EY50" s="89"/>
      <c r="EZ50" s="89"/>
      <c r="FA50" s="89"/>
      <c r="FB50" s="89"/>
      <c r="FC50" s="89"/>
      <c r="FD50" s="89"/>
      <c r="FE50" s="89"/>
      <c r="FF50" s="342"/>
      <c r="FG50" s="141"/>
      <c r="FJ50" s="359"/>
      <c r="FK50" s="359"/>
      <c r="FL50" s="359"/>
      <c r="FM50" s="359"/>
      <c r="FN50" s="109"/>
      <c r="FO50" s="109"/>
      <c r="FP50" s="109"/>
      <c r="FQ50" s="109"/>
      <c r="FR50" s="109"/>
      <c r="FS50" s="109"/>
      <c r="FT50" s="109"/>
      <c r="FU50" s="109"/>
      <c r="FV50" s="109"/>
      <c r="FW50" s="109"/>
      <c r="FX50" s="109"/>
      <c r="FY50" s="259"/>
      <c r="FZ50" s="259"/>
      <c r="GA50" s="259"/>
      <c r="GB50" s="259"/>
      <c r="GC50" s="85"/>
      <c r="GD50" s="85"/>
      <c r="GE50" s="85"/>
      <c r="GF50" s="85"/>
      <c r="GG50" s="85"/>
      <c r="GH50" s="85"/>
      <c r="GI50" s="85"/>
      <c r="GJ50" s="85"/>
      <c r="GK50" s="85"/>
      <c r="GL50" s="85"/>
      <c r="GM50" s="85"/>
      <c r="GN50" s="85"/>
      <c r="GO50" s="85"/>
      <c r="GP50" s="85"/>
      <c r="GQ50" s="85"/>
      <c r="GR50" s="85"/>
      <c r="GS50" s="85"/>
      <c r="GT50" s="85"/>
      <c r="GU50" s="85"/>
      <c r="GV50" s="85"/>
    </row>
    <row r="51" spans="1:236" ht="3.75" customHeight="1">
      <c r="A51" s="60"/>
      <c r="B51" s="69"/>
      <c r="C51" s="69"/>
      <c r="D51" s="74"/>
      <c r="E51" s="89"/>
      <c r="F51" s="89"/>
      <c r="G51" s="89"/>
      <c r="H51" s="89"/>
      <c r="I51" s="89"/>
      <c r="J51" s="89"/>
      <c r="K51" s="89"/>
      <c r="L51" s="89"/>
      <c r="M51" s="89"/>
      <c r="N51" s="89"/>
      <c r="O51" s="89"/>
      <c r="P51" s="89"/>
      <c r="Q51" s="89"/>
      <c r="R51" s="89"/>
      <c r="S51" s="89"/>
      <c r="T51" s="89"/>
      <c r="U51" s="360"/>
      <c r="V51" s="342"/>
      <c r="W51" s="342"/>
      <c r="X51" s="342"/>
      <c r="Y51" s="342"/>
      <c r="Z51" s="342"/>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141"/>
      <c r="BZ51" s="141"/>
      <c r="CA51" s="141"/>
      <c r="CB51" s="141"/>
      <c r="CC51" s="89"/>
      <c r="CD51" s="89"/>
      <c r="CE51" s="89"/>
      <c r="CF51" s="89"/>
      <c r="CG51" s="89"/>
      <c r="CH51" s="89"/>
      <c r="CI51" s="89"/>
      <c r="CJ51" s="89"/>
      <c r="CK51" s="89"/>
      <c r="CL51" s="89"/>
      <c r="CM51" s="89"/>
      <c r="CN51" s="141"/>
      <c r="CO51" s="141"/>
      <c r="DA51" s="141"/>
      <c r="DB51" s="141"/>
      <c r="DC51" s="361"/>
      <c r="DD51" s="361"/>
      <c r="DE51" s="540" t="str">
        <f ca="1">IF(FL1=0,"","+")</f>
        <v/>
      </c>
      <c r="DF51" s="541"/>
      <c r="DG51" s="541"/>
      <c r="DH51" s="541"/>
      <c r="DI51" s="541"/>
      <c r="DJ51" s="541"/>
      <c r="DK51" s="268"/>
      <c r="DL51" s="141"/>
      <c r="DM51" s="141"/>
      <c r="DN51" s="141"/>
      <c r="DO51" s="141"/>
      <c r="DP51" s="141"/>
      <c r="DQ51" s="141"/>
      <c r="DR51" s="141"/>
      <c r="DS51" s="141"/>
      <c r="DT51" s="141"/>
      <c r="DU51" s="141"/>
      <c r="DV51" s="141"/>
      <c r="DW51" s="141"/>
      <c r="DX51" s="141"/>
      <c r="DY51" s="141"/>
      <c r="DZ51" s="141"/>
      <c r="EA51" s="141"/>
      <c r="EB51" s="141"/>
      <c r="EC51" s="141"/>
      <c r="ED51" s="141"/>
      <c r="EE51" s="141"/>
      <c r="EF51" s="141"/>
      <c r="EG51" s="141"/>
      <c r="EH51" s="141"/>
      <c r="EI51" s="141"/>
      <c r="EJ51" s="141"/>
      <c r="EK51" s="141"/>
      <c r="EL51" s="141"/>
      <c r="EM51" s="141"/>
      <c r="EN51" s="141"/>
      <c r="EO51" s="141"/>
      <c r="EP51" s="141"/>
      <c r="EQ51" s="141"/>
      <c r="ER51" s="141"/>
      <c r="ES51" s="141"/>
      <c r="ET51" s="141"/>
      <c r="EU51" s="141"/>
      <c r="EV51" s="141"/>
      <c r="EW51" s="141"/>
      <c r="EX51" s="89"/>
      <c r="EY51" s="89"/>
      <c r="EZ51" s="89"/>
      <c r="FA51" s="89"/>
      <c r="FB51" s="89"/>
      <c r="FC51" s="89"/>
      <c r="FD51" s="89"/>
      <c r="FE51" s="89"/>
      <c r="FF51" s="342"/>
      <c r="FG51" s="141"/>
      <c r="FJ51" s="359"/>
      <c r="FK51" s="359"/>
      <c r="FL51" s="359"/>
      <c r="FM51" s="359"/>
      <c r="FN51" s="109"/>
      <c r="FO51" s="109"/>
      <c r="FP51" s="109"/>
      <c r="FQ51" s="109"/>
      <c r="FR51" s="109"/>
      <c r="FS51" s="109"/>
      <c r="FT51" s="109"/>
      <c r="FU51" s="109"/>
      <c r="FV51" s="109"/>
      <c r="FW51" s="109"/>
      <c r="FX51" s="109"/>
      <c r="FY51" s="259"/>
      <c r="FZ51" s="259"/>
      <c r="GA51" s="259"/>
      <c r="GB51" s="259"/>
      <c r="GC51" s="85"/>
      <c r="GD51" s="85"/>
      <c r="GE51" s="85"/>
      <c r="GF51" s="85"/>
      <c r="GG51" s="85"/>
      <c r="GH51" s="85"/>
      <c r="GI51" s="85"/>
      <c r="GJ51" s="85"/>
      <c r="GK51" s="85"/>
      <c r="GL51" s="85"/>
      <c r="GM51" s="85"/>
      <c r="GN51" s="85"/>
      <c r="GO51" s="85"/>
      <c r="GP51" s="85"/>
      <c r="GQ51" s="85"/>
      <c r="GR51" s="85"/>
      <c r="GS51" s="85"/>
      <c r="GT51" s="85"/>
      <c r="GU51" s="85"/>
      <c r="GV51" s="85"/>
    </row>
    <row r="52" spans="1:236" ht="15" customHeight="1">
      <c r="A52" s="60"/>
      <c r="B52" s="69"/>
      <c r="C52" s="69"/>
      <c r="D52" s="341"/>
      <c r="E52" s="89"/>
      <c r="F52" s="89"/>
      <c r="G52" s="89"/>
      <c r="H52" s="89"/>
      <c r="I52" s="89"/>
      <c r="J52" s="89"/>
      <c r="K52" s="89"/>
      <c r="L52" s="89"/>
      <c r="M52" s="89"/>
      <c r="N52" s="89"/>
      <c r="O52" s="342"/>
      <c r="P52" s="89"/>
      <c r="Q52" s="89"/>
      <c r="R52" s="89"/>
      <c r="S52" s="89"/>
      <c r="T52" s="89"/>
      <c r="U52" s="360"/>
      <c r="V52" s="362"/>
      <c r="W52" s="362"/>
      <c r="X52" s="362"/>
      <c r="Y52" s="362"/>
      <c r="Z52" s="360"/>
      <c r="AA52" s="355"/>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141"/>
      <c r="BZ52" s="141"/>
      <c r="CA52" s="141"/>
      <c r="CB52" s="141"/>
      <c r="CC52" s="89"/>
      <c r="CD52" s="89"/>
      <c r="CE52" s="89"/>
      <c r="CF52" s="89"/>
      <c r="CG52" s="89"/>
      <c r="CH52" s="89"/>
      <c r="CI52" s="89"/>
      <c r="CJ52" s="89"/>
      <c r="CK52" s="89"/>
      <c r="CL52" s="89"/>
      <c r="CM52" s="89"/>
      <c r="CN52" s="141"/>
      <c r="CO52" s="141"/>
      <c r="DA52" s="141"/>
      <c r="DB52" s="141"/>
      <c r="DC52" s="303" t="str">
        <f ca="1">IF(FL1=0,"","homogeen oligopolie met prijskartel of prijsleider zijn")</f>
        <v/>
      </c>
      <c r="DD52" s="361"/>
      <c r="DE52" s="360" t="str">
        <f ca="1">IF(FL1=0,"","+")</f>
        <v/>
      </c>
      <c r="DF52" s="542"/>
      <c r="DG52" s="542"/>
      <c r="DH52" s="542"/>
      <c r="DI52" s="542"/>
      <c r="DJ52" s="360" t="str">
        <f ca="1">IF(FL1=0,"","+")</f>
        <v/>
      </c>
      <c r="DK52" s="363" t="s">
        <v>131</v>
      </c>
      <c r="DL52" s="141"/>
      <c r="DM52" s="141"/>
      <c r="DN52" s="141"/>
      <c r="DO52" s="141"/>
      <c r="DP52" s="141"/>
      <c r="DQ52" s="141"/>
      <c r="DR52" s="141"/>
      <c r="DS52" s="141"/>
      <c r="DT52" s="141"/>
      <c r="DU52" s="141"/>
      <c r="DV52" s="141"/>
      <c r="DW52" s="141"/>
      <c r="DX52" s="141"/>
      <c r="DY52" s="141"/>
      <c r="DZ52" s="141"/>
      <c r="EA52" s="141"/>
      <c r="EB52" s="141"/>
      <c r="EC52" s="141"/>
      <c r="ED52" s="141"/>
      <c r="EE52" s="141"/>
      <c r="EF52" s="141"/>
      <c r="EG52" s="141"/>
      <c r="EH52" s="141"/>
      <c r="EI52" s="141"/>
      <c r="EJ52" s="141"/>
      <c r="EK52" s="141"/>
      <c r="EL52" s="141"/>
      <c r="EM52" s="141"/>
      <c r="EN52" s="141"/>
      <c r="EO52" s="141"/>
      <c r="EP52" s="141"/>
      <c r="EQ52" s="141"/>
      <c r="ER52" s="141"/>
      <c r="ES52" s="141"/>
      <c r="ET52" s="141"/>
      <c r="EU52" s="141"/>
      <c r="EV52" s="141"/>
      <c r="EW52" s="141"/>
      <c r="EX52" s="89"/>
      <c r="EY52" s="89"/>
      <c r="EZ52" s="89"/>
      <c r="FA52" s="89"/>
      <c r="FB52" s="89"/>
      <c r="FC52" s="89"/>
      <c r="FD52" s="89"/>
      <c r="FE52" s="89"/>
      <c r="FF52" s="342"/>
      <c r="FG52" s="141"/>
      <c r="FJ52" s="359"/>
      <c r="FK52" s="359"/>
      <c r="FL52" s="359">
        <f ca="1">IF(programma!B1="X",1,IF(FL1=0,0,IF(FM32+FM36+FM40+FM44+FM48+FM52=6,1,0)))</f>
        <v>0</v>
      </c>
      <c r="FM52" s="359">
        <f>IF(DF52=FJ29,1,0)</f>
        <v>0</v>
      </c>
      <c r="FN52" s="109"/>
      <c r="FO52" s="109"/>
      <c r="FP52" s="109"/>
      <c r="FQ52" s="109"/>
      <c r="FR52" s="109"/>
      <c r="FS52" s="109"/>
      <c r="FT52" s="109"/>
      <c r="FU52" s="109"/>
      <c r="FV52" s="109"/>
      <c r="FW52" s="109"/>
      <c r="FX52" s="109"/>
      <c r="FY52" s="259"/>
      <c r="FZ52" s="259"/>
      <c r="GA52" s="259"/>
      <c r="GB52" s="259"/>
      <c r="GC52" s="85"/>
      <c r="GD52" s="85"/>
      <c r="GE52" s="85"/>
      <c r="GF52" s="85"/>
      <c r="GG52" s="85"/>
      <c r="GH52" s="85"/>
      <c r="GI52" s="85"/>
      <c r="GJ52" s="85"/>
      <c r="GK52" s="85"/>
      <c r="GL52" s="85"/>
      <c r="GM52" s="85"/>
      <c r="GN52" s="85"/>
      <c r="GO52" s="85"/>
      <c r="GP52" s="85"/>
      <c r="GQ52" s="85"/>
      <c r="GR52" s="85"/>
      <c r="GS52" s="85"/>
      <c r="GT52" s="85"/>
      <c r="GU52" s="85"/>
      <c r="GV52" s="85"/>
    </row>
    <row r="53" spans="1:236" ht="3.75" customHeight="1">
      <c r="A53" s="60"/>
      <c r="B53" s="69"/>
      <c r="C53" s="69"/>
      <c r="D53" s="74"/>
      <c r="E53" s="89"/>
      <c r="F53" s="89"/>
      <c r="G53" s="89"/>
      <c r="H53" s="89"/>
      <c r="I53" s="89"/>
      <c r="J53" s="89"/>
      <c r="K53" s="89"/>
      <c r="L53" s="89"/>
      <c r="M53" s="89"/>
      <c r="N53" s="89"/>
      <c r="O53" s="89"/>
      <c r="P53" s="89"/>
      <c r="Q53" s="89"/>
      <c r="R53" s="89"/>
      <c r="S53" s="89"/>
      <c r="T53" s="89"/>
      <c r="U53" s="360"/>
      <c r="V53" s="342"/>
      <c r="W53" s="342"/>
      <c r="X53" s="342"/>
      <c r="Y53" s="342"/>
      <c r="Z53" s="342"/>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141"/>
      <c r="BZ53" s="141"/>
      <c r="CA53" s="141"/>
      <c r="CB53" s="141"/>
      <c r="CC53" s="89"/>
      <c r="CD53" s="89"/>
      <c r="CE53" s="89"/>
      <c r="CF53" s="89"/>
      <c r="CG53" s="89"/>
      <c r="CH53" s="89"/>
      <c r="CI53" s="89"/>
      <c r="CJ53" s="89"/>
      <c r="CK53" s="89"/>
      <c r="CL53" s="89"/>
      <c r="CM53" s="89"/>
      <c r="CN53" s="141"/>
      <c r="CO53" s="141"/>
      <c r="DA53" s="141"/>
      <c r="DB53" s="141"/>
      <c r="DD53" s="141"/>
      <c r="DE53" s="540" t="str">
        <f ca="1">IF(FL1=0,"","+")</f>
        <v/>
      </c>
      <c r="DF53" s="541"/>
      <c r="DG53" s="541"/>
      <c r="DH53" s="541"/>
      <c r="DI53" s="541"/>
      <c r="DJ53" s="541"/>
      <c r="DK53" s="89"/>
      <c r="DL53" s="141"/>
      <c r="DM53" s="141"/>
      <c r="DN53" s="141"/>
      <c r="DO53" s="141"/>
      <c r="DP53" s="141"/>
      <c r="DQ53" s="141"/>
      <c r="DR53" s="141"/>
      <c r="DS53" s="141"/>
      <c r="DT53" s="141"/>
      <c r="DU53" s="141"/>
      <c r="DV53" s="141"/>
      <c r="DW53" s="141"/>
      <c r="DX53" s="141"/>
      <c r="DY53" s="141"/>
      <c r="DZ53" s="141"/>
      <c r="EA53" s="141"/>
      <c r="EB53" s="141"/>
      <c r="EC53" s="141"/>
      <c r="ED53" s="141"/>
      <c r="EE53" s="141"/>
      <c r="EF53" s="141"/>
      <c r="EG53" s="141"/>
      <c r="EH53" s="141"/>
      <c r="EI53" s="141"/>
      <c r="EJ53" s="141"/>
      <c r="EK53" s="141"/>
      <c r="EL53" s="141"/>
      <c r="EM53" s="141"/>
      <c r="EN53" s="141"/>
      <c r="EO53" s="141"/>
      <c r="EP53" s="141"/>
      <c r="EQ53" s="141"/>
      <c r="ER53" s="141"/>
      <c r="ES53" s="141"/>
      <c r="ET53" s="141"/>
      <c r="EU53" s="141"/>
      <c r="EV53" s="141"/>
      <c r="EW53" s="141"/>
      <c r="EX53" s="89"/>
      <c r="EY53" s="89"/>
      <c r="EZ53" s="89"/>
      <c r="FA53" s="89"/>
      <c r="FB53" s="89"/>
      <c r="FC53" s="89"/>
      <c r="FD53" s="89"/>
      <c r="FE53" s="89"/>
      <c r="FF53" s="342"/>
      <c r="FG53" s="141"/>
      <c r="FJ53" s="359"/>
      <c r="FK53" s="359"/>
      <c r="FL53" s="359"/>
      <c r="FM53" s="359"/>
      <c r="FN53" s="109"/>
      <c r="FO53" s="109"/>
      <c r="FP53" s="109"/>
      <c r="FQ53" s="109"/>
      <c r="FR53" s="109"/>
      <c r="FS53" s="109"/>
      <c r="FT53" s="109"/>
      <c r="FU53" s="109"/>
      <c r="FV53" s="109"/>
      <c r="FW53" s="109"/>
      <c r="FX53" s="109"/>
      <c r="FY53" s="259"/>
      <c r="FZ53" s="259"/>
      <c r="GA53" s="259"/>
      <c r="GB53" s="259"/>
      <c r="GC53" s="85"/>
      <c r="GD53" s="85"/>
      <c r="GE53" s="85"/>
      <c r="GF53" s="85"/>
      <c r="GG53" s="85"/>
      <c r="GH53" s="85"/>
      <c r="GI53" s="85"/>
      <c r="GJ53" s="85"/>
      <c r="GK53" s="85"/>
      <c r="GL53" s="85"/>
      <c r="GM53" s="85"/>
      <c r="GN53" s="85"/>
      <c r="GO53" s="85"/>
      <c r="GP53" s="85"/>
      <c r="GQ53" s="85"/>
      <c r="GR53" s="85"/>
      <c r="GS53" s="85"/>
      <c r="GT53" s="85"/>
      <c r="GU53" s="85"/>
      <c r="GV53" s="85"/>
    </row>
    <row r="54" spans="1:236" ht="12.6" customHeight="1">
      <c r="A54" s="60"/>
      <c r="B54" s="69"/>
      <c r="C54" s="69"/>
      <c r="D54" s="267"/>
      <c r="E54" s="264"/>
      <c r="F54" s="264"/>
      <c r="G54" s="264"/>
      <c r="H54" s="264"/>
      <c r="I54" s="264"/>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265"/>
      <c r="BC54" s="265"/>
      <c r="BD54" s="265"/>
      <c r="BE54" s="265"/>
      <c r="BF54" s="265"/>
      <c r="BG54" s="265"/>
      <c r="BH54" s="265"/>
      <c r="BI54" s="265"/>
      <c r="BJ54" s="265"/>
      <c r="BK54" s="265"/>
      <c r="BL54" s="265"/>
      <c r="BM54" s="265"/>
      <c r="BN54" s="265"/>
      <c r="BO54" s="265"/>
      <c r="BP54" s="265"/>
      <c r="BQ54" s="265"/>
      <c r="BR54" s="265"/>
      <c r="BS54" s="265"/>
      <c r="BT54" s="265"/>
      <c r="BU54" s="265"/>
      <c r="BV54" s="265"/>
      <c r="BW54" s="265"/>
      <c r="BX54" s="265"/>
      <c r="BY54" s="265"/>
      <c r="BZ54" s="265"/>
      <c r="CA54" s="265"/>
      <c r="CB54" s="265"/>
      <c r="CC54" s="265"/>
      <c r="CD54" s="265"/>
      <c r="CE54" s="265"/>
      <c r="CF54" s="265"/>
      <c r="CG54" s="265"/>
      <c r="CH54" s="265"/>
      <c r="CI54" s="265"/>
      <c r="CJ54" s="265"/>
      <c r="CK54" s="265"/>
      <c r="CL54" s="265"/>
      <c r="CM54" s="265"/>
      <c r="CN54" s="265"/>
      <c r="CO54" s="265"/>
      <c r="CP54" s="265"/>
      <c r="CQ54" s="265"/>
      <c r="CR54" s="265"/>
      <c r="CS54" s="265"/>
      <c r="CT54" s="265"/>
      <c r="CU54" s="265"/>
      <c r="CV54" s="265"/>
      <c r="CW54" s="265"/>
      <c r="CX54" s="265"/>
      <c r="CY54" s="265"/>
      <c r="CZ54" s="265"/>
      <c r="DA54" s="265"/>
      <c r="DB54" s="265"/>
      <c r="DC54" s="265"/>
      <c r="DD54" s="265"/>
      <c r="DE54" s="265"/>
      <c r="DF54" s="265"/>
      <c r="DG54" s="265"/>
      <c r="DH54" s="265"/>
      <c r="DI54" s="265"/>
      <c r="DJ54" s="265"/>
      <c r="DK54" s="265"/>
      <c r="DL54" s="268"/>
      <c r="DM54" s="268"/>
      <c r="DN54" s="268"/>
      <c r="DO54" s="268"/>
      <c r="DP54" s="268"/>
      <c r="DQ54" s="268"/>
      <c r="DR54" s="268"/>
      <c r="DS54" s="268"/>
      <c r="DT54" s="268"/>
      <c r="DU54" s="268"/>
      <c r="DV54" s="268"/>
      <c r="DW54" s="268"/>
      <c r="DX54" s="268"/>
      <c r="DY54" s="268"/>
      <c r="DZ54" s="268"/>
      <c r="EA54" s="268"/>
      <c r="EB54" s="268"/>
      <c r="EC54" s="265"/>
      <c r="ED54" s="265"/>
      <c r="EE54" s="265"/>
      <c r="EF54" s="265"/>
      <c r="EG54" s="265"/>
      <c r="EH54" s="265"/>
      <c r="EI54" s="265"/>
      <c r="EJ54" s="265"/>
      <c r="EK54" s="265"/>
      <c r="EL54" s="265"/>
      <c r="EM54" s="265"/>
      <c r="EN54" s="265"/>
      <c r="EO54" s="265"/>
      <c r="EP54" s="265"/>
      <c r="EQ54" s="265"/>
      <c r="ER54" s="265"/>
      <c r="ES54" s="265"/>
      <c r="ET54" s="265"/>
      <c r="EU54" s="265"/>
      <c r="EV54" s="265"/>
      <c r="EW54" s="265"/>
      <c r="EX54" s="265"/>
      <c r="EY54" s="265"/>
      <c r="EZ54" s="265"/>
      <c r="FA54" s="265"/>
      <c r="FB54" s="265"/>
      <c r="FC54" s="265"/>
      <c r="FD54" s="265"/>
      <c r="FE54" s="265"/>
      <c r="FF54" s="265"/>
      <c r="FG54" s="265"/>
      <c r="FH54" s="141"/>
      <c r="FI54" s="141"/>
      <c r="FJ54" s="257"/>
      <c r="FK54" s="257"/>
      <c r="FL54" s="257"/>
      <c r="FM54" s="257"/>
      <c r="FN54" s="257"/>
      <c r="FO54" s="257"/>
      <c r="FP54" s="257"/>
      <c r="FQ54" s="257"/>
      <c r="FR54" s="257"/>
      <c r="FS54" s="257"/>
      <c r="FT54" s="257"/>
      <c r="FU54" s="257"/>
      <c r="FV54" s="259"/>
      <c r="FW54" s="259"/>
      <c r="FX54" s="259"/>
      <c r="FY54" s="259"/>
      <c r="FZ54" s="259"/>
      <c r="GA54" s="259"/>
      <c r="GB54" s="259"/>
      <c r="GC54" s="259"/>
      <c r="GD54" s="259"/>
      <c r="GE54" s="259"/>
      <c r="GF54" s="259"/>
      <c r="GG54" s="259"/>
      <c r="GH54" s="259"/>
      <c r="GI54" s="259"/>
      <c r="GJ54" s="259"/>
      <c r="GK54" s="259"/>
      <c r="GL54" s="259"/>
      <c r="GM54" s="259"/>
      <c r="GN54" s="259"/>
      <c r="GO54" s="259"/>
      <c r="GP54" s="259"/>
      <c r="GQ54" s="259"/>
      <c r="GR54" s="259"/>
      <c r="GS54" s="259"/>
      <c r="GT54" s="259"/>
      <c r="GU54" s="259"/>
      <c r="GV54" s="259"/>
    </row>
    <row r="55" spans="1:236" s="268" customFormat="1" ht="16.95" customHeight="1">
      <c r="A55" s="60"/>
      <c r="B55" s="272"/>
      <c r="C55" s="69"/>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c r="BG55" s="141"/>
      <c r="BH55" s="141"/>
      <c r="BI55" s="141"/>
      <c r="BJ55" s="141"/>
      <c r="BK55" s="141"/>
      <c r="BL55" s="141"/>
      <c r="BM55" s="141"/>
      <c r="BN55" s="141"/>
      <c r="BO55" s="141"/>
      <c r="BP55" s="141"/>
      <c r="BQ55" s="141"/>
      <c r="BR55" s="141"/>
      <c r="BS55" s="141"/>
      <c r="BT55" s="141"/>
      <c r="BU55" s="141"/>
      <c r="BV55" s="141"/>
      <c r="BW55" s="141"/>
      <c r="BX55" s="141"/>
      <c r="BY55" s="141"/>
      <c r="BZ55" s="141"/>
      <c r="CA55" s="141"/>
      <c r="CB55" s="141"/>
      <c r="CC55" s="141"/>
      <c r="CD55" s="141"/>
      <c r="CE55" s="141"/>
      <c r="CF55" s="141"/>
      <c r="CG55" s="141"/>
      <c r="CH55" s="141"/>
      <c r="CI55" s="141"/>
      <c r="CJ55" s="141"/>
      <c r="CK55" s="141"/>
      <c r="CL55" s="141"/>
      <c r="CM55" s="141"/>
      <c r="CN55" s="141"/>
      <c r="CO55" s="141"/>
      <c r="CP55" s="141"/>
      <c r="CQ55" s="141"/>
      <c r="CR55" s="141"/>
      <c r="CS55" s="141"/>
      <c r="CT55" s="141"/>
      <c r="CU55" s="141"/>
      <c r="CV55" s="141"/>
      <c r="CW55" s="141"/>
      <c r="CX55" s="141"/>
      <c r="CY55" s="141"/>
      <c r="CZ55" s="141"/>
      <c r="DA55" s="141"/>
      <c r="DB55" s="141"/>
      <c r="DC55" s="141"/>
      <c r="DD55" s="141"/>
      <c r="DE55" s="141"/>
      <c r="DF55" s="141"/>
      <c r="DG55" s="141"/>
      <c r="DH55" s="141"/>
      <c r="DI55" s="141"/>
      <c r="DJ55" s="141"/>
      <c r="DK55" s="141"/>
      <c r="DL55" s="141"/>
      <c r="DM55" s="141"/>
      <c r="DN55" s="141"/>
      <c r="DO55" s="141"/>
      <c r="DP55" s="141"/>
      <c r="DQ55" s="141"/>
      <c r="DR55" s="141"/>
      <c r="DS55" s="141"/>
      <c r="DT55" s="141"/>
      <c r="DU55" s="141"/>
      <c r="DV55" s="141"/>
      <c r="DW55" s="141"/>
      <c r="DX55" s="141"/>
      <c r="DY55" s="141"/>
      <c r="DZ55" s="141"/>
      <c r="EA55" s="141"/>
      <c r="EB55" s="141"/>
      <c r="EC55" s="141"/>
      <c r="ED55" s="141"/>
      <c r="EE55" s="141"/>
      <c r="EF55" s="141"/>
      <c r="EG55" s="141"/>
      <c r="EH55" s="141"/>
      <c r="EI55" s="141"/>
      <c r="EJ55" s="141"/>
      <c r="EK55" s="141"/>
      <c r="EL55" s="141"/>
      <c r="EM55" s="141"/>
      <c r="EN55" s="141"/>
      <c r="EO55" s="141"/>
      <c r="EP55" s="141"/>
      <c r="EQ55" s="141"/>
      <c r="ER55" s="141"/>
      <c r="ES55" s="141"/>
      <c r="ET55" s="141"/>
      <c r="EU55" s="141"/>
      <c r="EV55" s="141"/>
      <c r="EW55" s="141"/>
      <c r="EX55" s="141"/>
      <c r="EY55" s="141"/>
      <c r="EZ55" s="141"/>
      <c r="FA55" s="141"/>
      <c r="FB55" s="141"/>
      <c r="FC55" s="141"/>
      <c r="FD55" s="141"/>
      <c r="FE55" s="141"/>
      <c r="FF55" s="141"/>
      <c r="FG55" s="141"/>
      <c r="FH55" s="141"/>
      <c r="FI55" s="141"/>
      <c r="FJ55" s="96"/>
      <c r="FK55" s="96"/>
      <c r="FL55" s="96"/>
      <c r="FM55" s="86"/>
      <c r="FN55" s="96">
        <f ca="1">20000+Blad1!Z24*1000+10*Blad1!AA8</f>
        <v>21590</v>
      </c>
      <c r="FO55" s="96">
        <f ca="1">CEILING(0.22*FN55,10)</f>
        <v>4750</v>
      </c>
      <c r="FP55" s="96">
        <f ca="1">CEILING(0.31*FN55,10)</f>
        <v>6700</v>
      </c>
      <c r="FQ55" s="86"/>
      <c r="FR55" s="86"/>
      <c r="FS55" s="86"/>
      <c r="FT55" s="86"/>
      <c r="FU55" s="86"/>
      <c r="FV55" s="86"/>
      <c r="FW55" s="86"/>
      <c r="FX55" s="86"/>
      <c r="FY55" s="259"/>
      <c r="FZ55" s="259"/>
      <c r="GA55" s="259"/>
      <c r="GB55" s="259"/>
      <c r="GC55" s="86"/>
      <c r="GD55" s="86"/>
      <c r="GE55" s="86"/>
      <c r="GF55" s="86"/>
      <c r="GG55" s="86"/>
      <c r="GH55" s="86"/>
      <c r="GI55" s="86"/>
      <c r="GJ55" s="86"/>
      <c r="GK55" s="86"/>
      <c r="GL55" s="86"/>
      <c r="GM55" s="86"/>
      <c r="GN55" s="86"/>
      <c r="GO55" s="86"/>
      <c r="GP55" s="377"/>
      <c r="GQ55" s="377"/>
      <c r="GR55" s="377"/>
      <c r="GS55" s="377"/>
      <c r="GT55" s="377"/>
      <c r="GU55" s="377"/>
      <c r="GV55" s="377"/>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row>
    <row r="56" spans="1:236" s="268" customFormat="1" ht="16.95" customHeight="1">
      <c r="A56" s="60"/>
      <c r="B56" s="272" t="str">
        <f ca="1">IF(FL1=0,"",2)</f>
        <v/>
      </c>
      <c r="C56" s="69"/>
      <c r="D56" s="331" t="str">
        <f ca="1">IF(FL1=0,"","In de grafiek hiernaast zijn de functies van de")</f>
        <v/>
      </c>
      <c r="E56" s="262"/>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1"/>
      <c r="BN56" s="141"/>
      <c r="BO56" s="141"/>
      <c r="BP56" s="141"/>
      <c r="BQ56" s="141"/>
      <c r="CV56" s="89"/>
      <c r="CW56" s="89"/>
      <c r="CX56" s="89"/>
      <c r="CY56" s="89"/>
      <c r="CZ56" s="89"/>
      <c r="DA56" s="89"/>
      <c r="DB56" s="89"/>
      <c r="DC56" s="89"/>
      <c r="DD56" s="89"/>
      <c r="DE56" s="89"/>
      <c r="DF56" s="89"/>
      <c r="DG56" s="89"/>
      <c r="DH56" s="89"/>
      <c r="DI56" s="89"/>
      <c r="DJ56" s="89"/>
      <c r="DK56" s="89"/>
      <c r="DL56" s="89"/>
      <c r="DM56" s="89"/>
      <c r="DN56" s="89"/>
      <c r="DO56" s="89"/>
      <c r="FA56" s="89"/>
      <c r="FB56" s="89"/>
      <c r="FC56" s="89"/>
      <c r="FD56" s="89"/>
      <c r="FE56" s="89"/>
      <c r="FF56" s="89"/>
      <c r="FG56" s="89"/>
      <c r="FH56" s="89"/>
      <c r="FI56" s="89"/>
      <c r="FJ56" s="96"/>
      <c r="FK56" s="257"/>
      <c r="FL56" s="257"/>
      <c r="FM56" s="96"/>
      <c r="FN56" s="96"/>
      <c r="FO56" s="96"/>
      <c r="FP56" s="96"/>
      <c r="FQ56" s="96"/>
      <c r="FR56" s="93"/>
      <c r="FS56" s="93"/>
      <c r="FT56" s="93"/>
      <c r="FU56" s="257"/>
      <c r="FV56" s="86"/>
      <c r="FW56" s="86"/>
      <c r="FX56" s="86"/>
      <c r="FY56" s="259"/>
      <c r="FZ56" s="259"/>
      <c r="GA56" s="259"/>
      <c r="GB56" s="259"/>
      <c r="GC56" s="259"/>
      <c r="GD56" s="259"/>
      <c r="GE56" s="259"/>
      <c r="GF56" s="259"/>
      <c r="GG56" s="259"/>
      <c r="GH56" s="259"/>
      <c r="GI56" s="259"/>
      <c r="GJ56" s="259"/>
      <c r="GK56" s="86"/>
      <c r="GL56" s="86"/>
      <c r="GM56" s="86"/>
      <c r="GN56" s="86"/>
      <c r="GO56" s="86"/>
      <c r="GP56" s="377"/>
      <c r="GQ56" s="377"/>
      <c r="GR56" s="377"/>
      <c r="GS56" s="377"/>
      <c r="GT56" s="377"/>
      <c r="GU56" s="377"/>
      <c r="GV56" s="377"/>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row>
    <row r="57" spans="1:236" ht="16.95" customHeight="1">
      <c r="A57" s="60"/>
      <c r="B57" s="69"/>
      <c r="C57" s="69"/>
      <c r="D57" s="331" t="str">
        <f ca="1">IF(FL1=0,"","totale kosten (TK), de totale variabele kosten")</f>
        <v/>
      </c>
      <c r="E57" s="262"/>
      <c r="F57" s="262"/>
      <c r="G57" s="262"/>
      <c r="H57" s="262"/>
      <c r="I57" s="262"/>
      <c r="J57" s="262"/>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c r="CO57" s="89"/>
      <c r="CP57" s="89"/>
      <c r="CQ57" s="89"/>
      <c r="CR57" s="89"/>
      <c r="CS57" s="89"/>
      <c r="CT57" s="89"/>
      <c r="CU57" s="89"/>
      <c r="CV57" s="89"/>
      <c r="CW57" s="89"/>
      <c r="CX57" s="89"/>
      <c r="CY57" s="89"/>
      <c r="CZ57" s="89"/>
      <c r="DA57" s="89"/>
      <c r="DB57" s="89"/>
      <c r="DC57" s="89"/>
      <c r="DD57" s="89"/>
      <c r="DE57" s="89"/>
      <c r="DF57" s="89"/>
      <c r="DG57" s="89"/>
      <c r="DH57" s="89"/>
      <c r="DI57" s="89"/>
      <c r="DJ57" s="89"/>
      <c r="DK57" s="89"/>
      <c r="DL57" s="89"/>
      <c r="DM57" s="89"/>
      <c r="DN57" s="89"/>
      <c r="DO57" s="89"/>
      <c r="DP57" s="89"/>
      <c r="DQ57" s="89"/>
      <c r="DR57" s="89"/>
      <c r="DS57" s="89"/>
      <c r="DT57" s="89"/>
      <c r="DU57" s="141"/>
      <c r="DV57" s="141"/>
      <c r="DW57" s="141"/>
      <c r="DX57" s="141"/>
      <c r="DY57" s="141"/>
      <c r="DZ57" s="141"/>
      <c r="EA57" s="141"/>
      <c r="EB57" s="89"/>
      <c r="EC57" s="89"/>
      <c r="ED57" s="89"/>
      <c r="EE57" s="89"/>
      <c r="EF57" s="89"/>
      <c r="EG57" s="89"/>
      <c r="EH57" s="89"/>
      <c r="EI57" s="89"/>
      <c r="EJ57" s="89"/>
      <c r="EK57" s="89"/>
      <c r="EL57" s="89"/>
      <c r="EM57" s="89"/>
      <c r="EN57" s="89"/>
      <c r="EO57" s="89"/>
      <c r="EP57" s="89"/>
      <c r="EQ57" s="89"/>
      <c r="ER57" s="89"/>
      <c r="ES57" s="89"/>
      <c r="ET57" s="89"/>
      <c r="EU57" s="89"/>
      <c r="EV57" s="89"/>
      <c r="EW57" s="89"/>
      <c r="EX57" s="89"/>
      <c r="EY57" s="89"/>
      <c r="EZ57" s="89"/>
      <c r="FA57" s="89"/>
      <c r="FB57" s="89"/>
      <c r="FC57" s="89"/>
      <c r="FD57" s="89"/>
      <c r="FE57" s="89"/>
      <c r="FF57" s="89"/>
      <c r="FG57" s="89"/>
      <c r="FH57" s="89"/>
      <c r="FI57" s="89"/>
      <c r="FJ57" s="96"/>
      <c r="FK57" s="96"/>
      <c r="FL57" s="96"/>
      <c r="FM57" s="96"/>
      <c r="FN57" s="96"/>
      <c r="FO57" s="300"/>
      <c r="FP57" s="300"/>
      <c r="FQ57" s="300"/>
      <c r="FR57" s="300"/>
      <c r="FS57" s="300"/>
      <c r="FT57" s="300"/>
      <c r="FU57" s="300"/>
      <c r="FV57" s="108"/>
      <c r="FW57" s="108"/>
      <c r="FX57" s="301"/>
      <c r="FY57" s="259"/>
      <c r="FZ57" s="259"/>
      <c r="GA57" s="259"/>
      <c r="GB57" s="259"/>
      <c r="GC57" s="301"/>
      <c r="GD57" s="301"/>
      <c r="GE57" s="301"/>
      <c r="GF57" s="301"/>
      <c r="GG57" s="301"/>
      <c r="GH57" s="301"/>
      <c r="GI57" s="301"/>
      <c r="GJ57" s="301"/>
      <c r="GK57" s="301"/>
      <c r="GL57" s="301"/>
      <c r="GM57" s="301"/>
      <c r="GN57" s="301"/>
      <c r="GO57" s="301"/>
      <c r="GP57" s="301"/>
      <c r="GQ57" s="301"/>
      <c r="GR57" s="301"/>
      <c r="GS57" s="301"/>
      <c r="GT57" s="301"/>
      <c r="GU57" s="301"/>
      <c r="GV57" s="301"/>
      <c r="IB57" s="65"/>
    </row>
    <row r="58" spans="1:236" ht="16.95" customHeight="1">
      <c r="A58" s="60"/>
      <c r="B58" s="69"/>
      <c r="C58" s="69"/>
      <c r="D58" s="341" t="str">
        <f ca="1">IF(FL1=0,"","(TVK) en de totale opbrengst (TO) getekend")</f>
        <v/>
      </c>
      <c r="E58" s="262"/>
      <c r="F58" s="262"/>
      <c r="G58" s="262"/>
      <c r="H58" s="262"/>
      <c r="I58" s="262"/>
      <c r="J58" s="262"/>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c r="AZ58" s="89"/>
      <c r="BA58" s="89"/>
      <c r="BB58" s="89"/>
      <c r="BC58" s="89"/>
      <c r="BD58" s="89"/>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89"/>
      <c r="CT58" s="89"/>
      <c r="CU58" s="89"/>
      <c r="CV58" s="89"/>
      <c r="CW58" s="89"/>
      <c r="CX58" s="89"/>
      <c r="CY58" s="89"/>
      <c r="CZ58" s="89"/>
      <c r="DA58" s="89"/>
      <c r="DB58" s="89"/>
      <c r="DC58" s="89"/>
      <c r="DD58" s="89"/>
      <c r="DE58" s="89"/>
      <c r="DF58" s="89"/>
      <c r="DG58" s="89"/>
      <c r="DH58" s="89"/>
      <c r="DI58" s="89"/>
      <c r="DJ58" s="89"/>
      <c r="DK58" s="89"/>
      <c r="DL58" s="89"/>
      <c r="DM58" s="89"/>
      <c r="DN58" s="89"/>
      <c r="DO58" s="89"/>
      <c r="DP58" s="89"/>
      <c r="DQ58" s="89"/>
      <c r="DR58" s="89"/>
      <c r="DS58" s="89"/>
      <c r="DT58" s="89"/>
      <c r="DU58" s="141"/>
      <c r="DV58" s="141"/>
      <c r="DW58" s="141"/>
      <c r="DX58" s="141"/>
      <c r="DY58" s="141"/>
      <c r="DZ58" s="141"/>
      <c r="EA58" s="141"/>
      <c r="EB58" s="89"/>
      <c r="EC58" s="89"/>
      <c r="ED58" s="89"/>
      <c r="EE58" s="89"/>
      <c r="EF58" s="89"/>
      <c r="EG58" s="89"/>
      <c r="EH58" s="89"/>
      <c r="EI58" s="89"/>
      <c r="EJ58" s="89"/>
      <c r="EK58" s="89"/>
      <c r="EL58" s="89"/>
      <c r="EM58" s="89"/>
      <c r="EN58" s="89"/>
      <c r="EO58" s="89"/>
      <c r="EP58" s="89"/>
      <c r="EQ58" s="89"/>
      <c r="ER58" s="89"/>
      <c r="ES58" s="89"/>
      <c r="ET58" s="89"/>
      <c r="EU58" s="89"/>
      <c r="EV58" s="89"/>
      <c r="EW58" s="89"/>
      <c r="EX58" s="89"/>
      <c r="EY58" s="89"/>
      <c r="EZ58" s="89"/>
      <c r="FA58" s="89"/>
      <c r="FB58" s="89"/>
      <c r="FC58" s="89"/>
      <c r="FD58" s="89"/>
      <c r="FE58" s="89"/>
      <c r="FF58" s="89"/>
      <c r="FG58" s="89"/>
      <c r="FH58" s="89"/>
      <c r="FI58" s="89"/>
      <c r="FJ58" s="96"/>
      <c r="FK58" s="96"/>
      <c r="FL58" s="96"/>
      <c r="FM58" s="96"/>
      <c r="FN58" s="96"/>
      <c r="FO58" s="108"/>
      <c r="FP58" s="108"/>
      <c r="FQ58" s="108"/>
      <c r="FR58" s="108"/>
      <c r="FS58" s="108"/>
      <c r="FT58" s="108"/>
      <c r="FU58" s="108"/>
      <c r="FV58" s="108"/>
      <c r="FW58" s="108"/>
      <c r="FX58" s="301"/>
      <c r="FY58" s="259"/>
      <c r="FZ58" s="259"/>
      <c r="GA58" s="259"/>
      <c r="GB58" s="259"/>
      <c r="GC58" s="301"/>
      <c r="GD58" s="301"/>
      <c r="GE58" s="301"/>
      <c r="GF58" s="301"/>
      <c r="GG58" s="301"/>
      <c r="GH58" s="301"/>
      <c r="GI58" s="301"/>
      <c r="GJ58" s="301"/>
      <c r="GK58" s="301"/>
      <c r="GL58" s="301"/>
      <c r="GM58" s="301"/>
      <c r="GN58" s="301"/>
      <c r="GO58" s="301"/>
      <c r="GP58" s="301"/>
      <c r="GQ58" s="301"/>
      <c r="GR58" s="301"/>
      <c r="GS58" s="301"/>
      <c r="GT58" s="301"/>
      <c r="GU58" s="301"/>
      <c r="GV58" s="301"/>
      <c r="IB58" s="65"/>
    </row>
    <row r="59" spans="1:236" ht="16.95" customHeight="1">
      <c r="A59" s="60"/>
      <c r="B59" s="69"/>
      <c r="C59" s="69"/>
      <c r="D59" s="341" t="str">
        <f ca="1">IF(FL1=0,"","bij prijszetting. Wat klopt er niet?")</f>
        <v/>
      </c>
      <c r="E59" s="262"/>
      <c r="F59" s="262"/>
      <c r="G59" s="262"/>
      <c r="H59" s="262"/>
      <c r="I59" s="262"/>
      <c r="J59" s="262"/>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89"/>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c r="CV59" s="89"/>
      <c r="CW59" s="89"/>
      <c r="CX59" s="89"/>
      <c r="CY59" s="89"/>
      <c r="CZ59" s="89"/>
      <c r="DA59" s="89"/>
      <c r="DB59" s="89"/>
      <c r="DC59" s="89"/>
      <c r="DD59" s="89"/>
      <c r="DE59" s="89"/>
      <c r="DF59" s="89"/>
      <c r="DG59" s="89"/>
      <c r="DH59" s="89"/>
      <c r="DI59" s="89"/>
      <c r="DJ59" s="89"/>
      <c r="DK59" s="89"/>
      <c r="DL59" s="89"/>
      <c r="DM59" s="89"/>
      <c r="DN59" s="89"/>
      <c r="DO59" s="89"/>
      <c r="DP59" s="89"/>
      <c r="DQ59" s="89"/>
      <c r="DR59" s="89"/>
      <c r="DS59" s="89"/>
      <c r="DT59" s="89"/>
      <c r="DU59" s="141"/>
      <c r="DV59" s="141"/>
      <c r="DW59" s="141"/>
      <c r="DX59" s="141"/>
      <c r="DY59" s="141"/>
      <c r="DZ59" s="141"/>
      <c r="EA59" s="141"/>
      <c r="EB59" s="89"/>
      <c r="EC59" s="89"/>
      <c r="ED59" s="89"/>
      <c r="EE59" s="89"/>
      <c r="EF59" s="89"/>
      <c r="EG59" s="89"/>
      <c r="EH59" s="89"/>
      <c r="EI59" s="89"/>
      <c r="EJ59" s="89"/>
      <c r="EK59" s="89"/>
      <c r="EL59" s="89"/>
      <c r="EM59" s="89"/>
      <c r="EN59" s="89"/>
      <c r="EO59" s="89"/>
      <c r="EP59" s="89"/>
      <c r="EQ59" s="89"/>
      <c r="ER59" s="89"/>
      <c r="ES59" s="89"/>
      <c r="ET59" s="89"/>
      <c r="EU59" s="89"/>
      <c r="EV59" s="89"/>
      <c r="EW59" s="89"/>
      <c r="EX59" s="89"/>
      <c r="EY59" s="89"/>
      <c r="EZ59" s="89"/>
      <c r="FA59" s="89"/>
      <c r="FB59" s="89"/>
      <c r="FC59" s="89"/>
      <c r="FD59" s="89"/>
      <c r="FE59" s="89"/>
      <c r="FF59" s="89"/>
      <c r="FG59" s="89"/>
      <c r="FH59" s="89"/>
      <c r="FI59" s="89"/>
      <c r="FJ59" s="300"/>
      <c r="FK59" s="300"/>
      <c r="FL59" s="300"/>
      <c r="FM59" s="300"/>
      <c r="FN59" s="300"/>
      <c r="FO59" s="108"/>
      <c r="FP59" s="108"/>
      <c r="FQ59" s="108"/>
      <c r="FR59" s="108"/>
      <c r="FS59" s="108"/>
      <c r="FT59" s="108"/>
      <c r="FU59" s="108"/>
      <c r="FV59" s="108"/>
      <c r="FW59" s="108"/>
      <c r="FX59" s="301"/>
      <c r="FY59" s="259"/>
      <c r="FZ59" s="259"/>
      <c r="GA59" s="259"/>
      <c r="GB59" s="259"/>
      <c r="GC59" s="301"/>
      <c r="GD59" s="301"/>
      <c r="GE59" s="301"/>
      <c r="GF59" s="301"/>
      <c r="GG59" s="301"/>
      <c r="GH59" s="301"/>
      <c r="GI59" s="301"/>
      <c r="GJ59" s="301"/>
      <c r="GK59" s="301"/>
      <c r="GL59" s="301"/>
      <c r="GM59" s="301"/>
      <c r="GN59" s="301"/>
      <c r="GO59" s="301"/>
      <c r="GP59" s="301"/>
      <c r="GQ59" s="301"/>
      <c r="GR59" s="301"/>
      <c r="GS59" s="301"/>
      <c r="GT59" s="301"/>
      <c r="GU59" s="301"/>
      <c r="GV59" s="301"/>
      <c r="IB59" s="65"/>
    </row>
    <row r="60" spans="1:236" ht="16.95" customHeight="1">
      <c r="A60" s="60"/>
      <c r="B60" s="69"/>
      <c r="C60" s="69"/>
      <c r="D60" s="268"/>
      <c r="E60" s="262"/>
      <c r="F60" s="262"/>
      <c r="G60" s="262"/>
      <c r="H60" s="262"/>
      <c r="I60" s="262"/>
      <c r="J60" s="262"/>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c r="AZ60" s="89"/>
      <c r="BA60" s="89"/>
      <c r="BB60" s="89"/>
      <c r="BC60" s="89"/>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c r="CG60" s="89"/>
      <c r="CH60" s="89"/>
      <c r="CI60" s="89"/>
      <c r="CJ60" s="89"/>
      <c r="CK60" s="89"/>
      <c r="CL60" s="89"/>
      <c r="CM60" s="89"/>
      <c r="CN60" s="89"/>
      <c r="CO60" s="89"/>
      <c r="CP60" s="89"/>
      <c r="CQ60" s="89"/>
      <c r="CR60" s="89"/>
      <c r="CS60" s="89"/>
      <c r="CT60" s="89"/>
      <c r="CU60" s="89"/>
      <c r="CV60" s="89"/>
      <c r="CW60" s="89"/>
      <c r="CX60" s="89"/>
      <c r="CY60" s="89"/>
      <c r="CZ60" s="89"/>
      <c r="DA60" s="89"/>
      <c r="DB60" s="89"/>
      <c r="DC60" s="89"/>
      <c r="DD60" s="89"/>
      <c r="DE60" s="89"/>
      <c r="DF60" s="89"/>
      <c r="DG60" s="89"/>
      <c r="DH60" s="89"/>
      <c r="DI60" s="89"/>
      <c r="DJ60" s="89"/>
      <c r="DK60" s="89"/>
      <c r="DL60" s="89"/>
      <c r="DM60" s="89"/>
      <c r="DN60" s="89"/>
      <c r="DO60" s="89"/>
      <c r="DP60" s="89"/>
      <c r="DQ60" s="89"/>
      <c r="DR60" s="89"/>
      <c r="DS60" s="89"/>
      <c r="DT60" s="89"/>
      <c r="DU60" s="141"/>
      <c r="DV60" s="141"/>
      <c r="DW60" s="141"/>
      <c r="DX60" s="141"/>
      <c r="DY60" s="141"/>
      <c r="DZ60" s="141"/>
      <c r="EA60" s="141"/>
      <c r="EB60" s="89"/>
      <c r="EC60" s="89"/>
      <c r="ED60" s="89"/>
      <c r="EE60" s="89"/>
      <c r="EF60" s="89"/>
      <c r="EG60" s="89"/>
      <c r="EH60" s="89"/>
      <c r="EI60" s="89"/>
      <c r="EJ60" s="89"/>
      <c r="EK60" s="89"/>
      <c r="EL60" s="89"/>
      <c r="EM60" s="89"/>
      <c r="EN60" s="89"/>
      <c r="EO60" s="89"/>
      <c r="EP60" s="89"/>
      <c r="EQ60" s="89"/>
      <c r="ER60" s="89"/>
      <c r="ES60" s="89"/>
      <c r="ET60" s="89"/>
      <c r="EU60" s="89"/>
      <c r="EV60" s="89"/>
      <c r="EW60" s="89"/>
      <c r="EX60" s="89"/>
      <c r="EY60" s="89"/>
      <c r="EZ60" s="89"/>
      <c r="FA60" s="89"/>
      <c r="FB60" s="89"/>
      <c r="FC60" s="89"/>
      <c r="FD60" s="89"/>
      <c r="FE60" s="89"/>
      <c r="FF60" s="89"/>
      <c r="FG60" s="89"/>
      <c r="FH60" s="89"/>
      <c r="FI60" s="89"/>
      <c r="FJ60" s="300"/>
      <c r="FK60" s="300"/>
      <c r="FL60" s="300"/>
      <c r="FM60" s="300"/>
      <c r="FN60" s="300"/>
      <c r="FO60" s="108"/>
      <c r="FP60" s="108"/>
      <c r="FQ60" s="108"/>
      <c r="FR60" s="108"/>
      <c r="FS60" s="108"/>
      <c r="FT60" s="108"/>
      <c r="FU60" s="108"/>
      <c r="FV60" s="108"/>
      <c r="FW60" s="108"/>
      <c r="FX60" s="301"/>
      <c r="FY60" s="259"/>
      <c r="FZ60" s="259"/>
      <c r="GA60" s="259"/>
      <c r="GB60" s="259"/>
      <c r="GC60" s="301"/>
      <c r="GD60" s="301"/>
      <c r="GE60" s="301"/>
      <c r="GF60" s="301"/>
      <c r="GG60" s="301"/>
      <c r="GH60" s="301"/>
      <c r="GI60" s="301"/>
      <c r="GJ60" s="301"/>
      <c r="GK60" s="301"/>
      <c r="GL60" s="301"/>
      <c r="GM60" s="301"/>
      <c r="GN60" s="301"/>
      <c r="GO60" s="301"/>
      <c r="GP60" s="301"/>
      <c r="GQ60" s="301"/>
      <c r="GR60" s="301"/>
      <c r="GS60" s="301"/>
      <c r="GT60" s="301"/>
      <c r="GU60" s="301"/>
      <c r="GV60" s="301"/>
      <c r="IB60" s="65"/>
    </row>
    <row r="61" spans="1:236" ht="16.95" customHeight="1">
      <c r="A61" s="60"/>
      <c r="B61" s="69"/>
      <c r="C61" s="69"/>
      <c r="D61" s="268"/>
      <c r="E61" s="262"/>
      <c r="F61" s="262"/>
      <c r="G61" s="262"/>
      <c r="H61" s="262"/>
      <c r="I61" s="262"/>
      <c r="J61" s="262"/>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c r="BA61" s="89"/>
      <c r="BB61" s="89"/>
      <c r="BC61" s="89"/>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c r="CG61" s="89"/>
      <c r="CH61" s="89"/>
      <c r="CI61" s="89"/>
      <c r="CJ61" s="89"/>
      <c r="CK61" s="89"/>
      <c r="CL61" s="89"/>
      <c r="CM61" s="89"/>
      <c r="CN61" s="89"/>
      <c r="CO61" s="89"/>
      <c r="CP61" s="89"/>
      <c r="CQ61" s="89"/>
      <c r="CR61" s="89"/>
      <c r="CS61" s="89"/>
      <c r="CT61" s="89"/>
      <c r="CU61" s="89"/>
      <c r="CV61" s="89"/>
      <c r="CW61" s="89"/>
      <c r="CX61" s="89"/>
      <c r="CY61" s="89"/>
      <c r="CZ61" s="89"/>
      <c r="DA61" s="89"/>
      <c r="DB61" s="89"/>
      <c r="DC61" s="89"/>
      <c r="DD61" s="89"/>
      <c r="DE61" s="89"/>
      <c r="DF61" s="89"/>
      <c r="DG61" s="89"/>
      <c r="DH61" s="89"/>
      <c r="DI61" s="89"/>
      <c r="DJ61" s="89"/>
      <c r="DK61" s="89"/>
      <c r="DL61" s="89"/>
      <c r="DM61" s="89"/>
      <c r="DN61" s="89"/>
      <c r="DO61" s="89"/>
      <c r="DP61" s="89"/>
      <c r="DQ61" s="89"/>
      <c r="DR61" s="89"/>
      <c r="DS61" s="89"/>
      <c r="DT61" s="89"/>
      <c r="DU61" s="141"/>
      <c r="DV61" s="141"/>
      <c r="DW61" s="141"/>
      <c r="DX61" s="141"/>
      <c r="DY61" s="141"/>
      <c r="DZ61" s="141"/>
      <c r="EA61" s="141"/>
      <c r="EB61" s="89"/>
      <c r="EC61" s="89"/>
      <c r="ED61" s="89"/>
      <c r="EE61" s="89"/>
      <c r="EF61" s="89"/>
      <c r="EG61" s="89"/>
      <c r="EH61" s="89"/>
      <c r="EI61" s="89"/>
      <c r="EJ61" s="89"/>
      <c r="EK61" s="89"/>
      <c r="EL61" s="89"/>
      <c r="EM61" s="89"/>
      <c r="EN61" s="89"/>
      <c r="EO61" s="89"/>
      <c r="EP61" s="89"/>
      <c r="EQ61" s="89"/>
      <c r="ER61" s="89"/>
      <c r="ES61" s="89"/>
      <c r="ET61" s="89"/>
      <c r="EU61" s="89"/>
      <c r="EV61" s="89"/>
      <c r="EW61" s="89"/>
      <c r="EX61" s="89"/>
      <c r="EY61" s="89"/>
      <c r="EZ61" s="89"/>
      <c r="FA61" s="89"/>
      <c r="FB61" s="89"/>
      <c r="FC61" s="89"/>
      <c r="FD61" s="89"/>
      <c r="FE61" s="89"/>
      <c r="FF61" s="89"/>
      <c r="FG61" s="89"/>
      <c r="FH61" s="89"/>
      <c r="FI61" s="89"/>
      <c r="FJ61" s="300"/>
      <c r="FK61" s="300"/>
      <c r="FL61" s="300"/>
      <c r="FM61" s="300"/>
      <c r="FN61" s="300"/>
      <c r="FO61" s="108"/>
      <c r="FP61" s="108"/>
      <c r="FQ61" s="108"/>
      <c r="FR61" s="108"/>
      <c r="FS61" s="108"/>
      <c r="FT61" s="108"/>
      <c r="FU61" s="108"/>
      <c r="FV61" s="108"/>
      <c r="FW61" s="108"/>
      <c r="FX61" s="301"/>
      <c r="FY61" s="259"/>
      <c r="FZ61" s="259"/>
      <c r="GA61" s="259"/>
      <c r="GB61" s="259"/>
      <c r="GC61" s="301"/>
      <c r="GD61" s="301"/>
      <c r="GE61" s="301"/>
      <c r="GF61" s="301"/>
      <c r="GG61" s="301"/>
      <c r="GH61" s="301"/>
      <c r="GI61" s="301"/>
      <c r="GJ61" s="301"/>
      <c r="GK61" s="301"/>
      <c r="GL61" s="301"/>
      <c r="GM61" s="301"/>
      <c r="GN61" s="301"/>
      <c r="GO61" s="301"/>
      <c r="GP61" s="301"/>
      <c r="GQ61" s="301"/>
      <c r="GR61" s="301"/>
      <c r="GS61" s="301"/>
      <c r="GT61" s="301"/>
      <c r="GU61" s="301"/>
      <c r="GV61" s="301"/>
      <c r="IB61" s="65"/>
    </row>
    <row r="62" spans="1:236" ht="16.95" customHeight="1">
      <c r="A62" s="60"/>
      <c r="B62" s="69"/>
      <c r="C62" s="69"/>
      <c r="D62" s="268"/>
      <c r="E62" s="262"/>
      <c r="F62" s="262"/>
      <c r="G62" s="262"/>
      <c r="H62" s="262"/>
      <c r="I62" s="262"/>
      <c r="J62" s="262"/>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c r="BH62" s="89"/>
      <c r="BI62" s="89"/>
      <c r="BJ62" s="89"/>
      <c r="BK62" s="89"/>
      <c r="BL62" s="89"/>
      <c r="BM62" s="89"/>
      <c r="BN62" s="89"/>
      <c r="BO62" s="89"/>
      <c r="BP62" s="89"/>
      <c r="BQ62" s="89"/>
      <c r="BR62" s="89"/>
      <c r="BS62" s="89"/>
      <c r="BT62" s="89"/>
      <c r="BU62" s="89"/>
      <c r="BV62" s="89"/>
      <c r="BW62" s="89"/>
      <c r="BX62" s="89"/>
      <c r="BY62" s="89"/>
      <c r="BZ62" s="89"/>
      <c r="CA62" s="89"/>
      <c r="CB62" s="89"/>
      <c r="CC62" s="89"/>
      <c r="CD62" s="89"/>
      <c r="CE62" s="89"/>
      <c r="CF62" s="89"/>
      <c r="CG62" s="89"/>
      <c r="CH62" s="89"/>
      <c r="CI62" s="89"/>
      <c r="CJ62" s="89"/>
      <c r="CK62" s="89"/>
      <c r="CL62" s="89"/>
      <c r="CM62" s="89"/>
      <c r="CN62" s="89"/>
      <c r="CO62" s="89"/>
      <c r="CP62" s="89"/>
      <c r="CQ62" s="89"/>
      <c r="CR62" s="89"/>
      <c r="CS62" s="89"/>
      <c r="CT62" s="89"/>
      <c r="CU62" s="89"/>
      <c r="CV62" s="89"/>
      <c r="CW62" s="89"/>
      <c r="CX62" s="89"/>
      <c r="CY62" s="89"/>
      <c r="CZ62" s="89"/>
      <c r="DA62" s="89"/>
      <c r="DB62" s="89"/>
      <c r="DC62" s="89"/>
      <c r="DD62" s="89"/>
      <c r="DE62" s="89"/>
      <c r="DF62" s="89"/>
      <c r="DG62" s="89"/>
      <c r="DH62" s="89"/>
      <c r="DI62" s="89"/>
      <c r="DJ62" s="89"/>
      <c r="DK62" s="89"/>
      <c r="DL62" s="89"/>
      <c r="DM62" s="89"/>
      <c r="DN62" s="89"/>
      <c r="DO62" s="89"/>
      <c r="DP62" s="89"/>
      <c r="DQ62" s="89"/>
      <c r="DR62" s="89"/>
      <c r="DS62" s="89"/>
      <c r="DT62" s="89"/>
      <c r="DU62" s="141"/>
      <c r="DV62" s="141"/>
      <c r="DW62" s="141"/>
      <c r="DX62" s="141"/>
      <c r="DY62" s="141"/>
      <c r="DZ62" s="141"/>
      <c r="EA62" s="141"/>
      <c r="EB62" s="89"/>
      <c r="EC62" s="89"/>
      <c r="ED62" s="89"/>
      <c r="EE62" s="89"/>
      <c r="EF62" s="89"/>
      <c r="EG62" s="89"/>
      <c r="EH62" s="89"/>
      <c r="EI62" s="89"/>
      <c r="EJ62" s="89"/>
      <c r="EK62" s="89"/>
      <c r="EL62" s="89"/>
      <c r="EM62" s="89"/>
      <c r="EN62" s="89"/>
      <c r="EO62" s="89"/>
      <c r="EP62" s="89"/>
      <c r="EQ62" s="89"/>
      <c r="ER62" s="89"/>
      <c r="ES62" s="89"/>
      <c r="ET62" s="89"/>
      <c r="EU62" s="89"/>
      <c r="EV62" s="89"/>
      <c r="EW62" s="89"/>
      <c r="EX62" s="89"/>
      <c r="EY62" s="89"/>
      <c r="EZ62" s="89"/>
      <c r="FA62" s="89"/>
      <c r="FB62" s="89"/>
      <c r="FC62" s="89"/>
      <c r="FD62" s="89"/>
      <c r="FE62" s="89"/>
      <c r="FF62" s="89"/>
      <c r="FG62" s="89"/>
      <c r="FH62" s="89"/>
      <c r="FI62" s="89"/>
      <c r="FJ62" s="300"/>
      <c r="FK62" s="300"/>
      <c r="FL62" s="300"/>
      <c r="FM62" s="300"/>
      <c r="FN62" s="300"/>
      <c r="FO62" s="108"/>
      <c r="FP62" s="108"/>
      <c r="FQ62" s="108"/>
      <c r="FR62" s="108"/>
      <c r="FS62" s="108"/>
      <c r="FT62" s="108"/>
      <c r="FU62" s="108"/>
      <c r="FV62" s="108"/>
      <c r="FW62" s="108"/>
      <c r="FX62" s="301"/>
      <c r="FY62" s="259"/>
      <c r="FZ62" s="259"/>
      <c r="GA62" s="259"/>
      <c r="GB62" s="259"/>
      <c r="GC62" s="301"/>
      <c r="GD62" s="301"/>
      <c r="GE62" s="301"/>
      <c r="GF62" s="301"/>
      <c r="GG62" s="301"/>
      <c r="GH62" s="301"/>
      <c r="GI62" s="301"/>
      <c r="GJ62" s="301"/>
      <c r="GK62" s="301"/>
      <c r="GL62" s="301"/>
      <c r="GM62" s="301"/>
      <c r="GN62" s="301"/>
      <c r="GO62" s="301"/>
      <c r="GP62" s="301"/>
      <c r="GQ62" s="301"/>
      <c r="GR62" s="301"/>
      <c r="GS62" s="301"/>
      <c r="GT62" s="301"/>
      <c r="GU62" s="301"/>
      <c r="GV62" s="301"/>
      <c r="IB62" s="65"/>
    </row>
    <row r="63" spans="1:236" ht="16.95" customHeight="1">
      <c r="A63" s="60"/>
      <c r="B63" s="69"/>
      <c r="C63" s="69"/>
      <c r="D63" s="341"/>
      <c r="E63" s="262"/>
      <c r="F63" s="262"/>
      <c r="G63" s="262"/>
      <c r="H63" s="262"/>
      <c r="I63" s="262"/>
      <c r="J63" s="262"/>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c r="CU63" s="89"/>
      <c r="CV63" s="89"/>
      <c r="CW63" s="89"/>
      <c r="CX63" s="89"/>
      <c r="CY63" s="89"/>
      <c r="CZ63" s="89"/>
      <c r="DA63" s="89"/>
      <c r="DB63" s="89"/>
      <c r="DC63" s="89"/>
      <c r="DD63" s="89"/>
      <c r="DE63" s="89"/>
      <c r="DF63" s="89"/>
      <c r="DG63" s="89"/>
      <c r="DH63" s="89"/>
      <c r="DI63" s="89"/>
      <c r="DJ63" s="89"/>
      <c r="DK63" s="89"/>
      <c r="DL63" s="89"/>
      <c r="DM63" s="89"/>
      <c r="DN63" s="89"/>
      <c r="DO63" s="89"/>
      <c r="DP63" s="89"/>
      <c r="DQ63" s="89"/>
      <c r="DR63" s="89"/>
      <c r="DS63" s="89"/>
      <c r="DT63" s="89"/>
      <c r="DU63" s="141"/>
      <c r="DV63" s="141"/>
      <c r="DW63" s="141"/>
      <c r="DX63" s="141"/>
      <c r="DY63" s="141"/>
      <c r="DZ63" s="141"/>
      <c r="EA63" s="141"/>
      <c r="EB63" s="89"/>
      <c r="EC63" s="89"/>
      <c r="ED63" s="89"/>
      <c r="EE63" s="89"/>
      <c r="EF63" s="89"/>
      <c r="EG63" s="89"/>
      <c r="EH63" s="89"/>
      <c r="EI63" s="89"/>
      <c r="EJ63" s="89"/>
      <c r="EK63" s="89"/>
      <c r="EL63" s="89"/>
      <c r="EM63" s="89"/>
      <c r="EN63" s="89"/>
      <c r="EO63" s="89"/>
      <c r="EP63" s="89"/>
      <c r="EQ63" s="89"/>
      <c r="ER63" s="89"/>
      <c r="ES63" s="89"/>
      <c r="ET63" s="89"/>
      <c r="EU63" s="89"/>
      <c r="EV63" s="89"/>
      <c r="EW63" s="89"/>
      <c r="EX63" s="89"/>
      <c r="EY63" s="89"/>
      <c r="EZ63" s="89"/>
      <c r="FA63" s="89"/>
      <c r="FB63" s="89"/>
      <c r="FC63" s="89"/>
      <c r="FD63" s="89"/>
      <c r="FE63" s="89"/>
      <c r="FF63" s="89"/>
      <c r="FG63" s="89"/>
      <c r="FH63" s="89"/>
      <c r="FI63" s="89"/>
      <c r="FJ63" s="300"/>
      <c r="FK63" s="300"/>
      <c r="FL63" s="300"/>
      <c r="FM63" s="300"/>
      <c r="FN63" s="300"/>
      <c r="FO63" s="108"/>
      <c r="FP63" s="108"/>
      <c r="FQ63" s="108"/>
      <c r="FR63" s="108"/>
      <c r="FS63" s="108"/>
      <c r="FT63" s="108"/>
      <c r="FU63" s="108"/>
      <c r="FV63" s="108"/>
      <c r="FW63" s="108"/>
      <c r="FX63" s="301"/>
      <c r="FY63" s="259"/>
      <c r="FZ63" s="259"/>
      <c r="GA63" s="259"/>
      <c r="GB63" s="259"/>
      <c r="GC63" s="301"/>
      <c r="GD63" s="301"/>
      <c r="GE63" s="301"/>
      <c r="GF63" s="301"/>
      <c r="GG63" s="301"/>
      <c r="GH63" s="301"/>
      <c r="GI63" s="301"/>
      <c r="GJ63" s="301"/>
      <c r="GK63" s="301"/>
      <c r="GL63" s="301"/>
      <c r="GM63" s="301"/>
      <c r="GN63" s="301"/>
      <c r="GO63" s="301"/>
      <c r="GP63" s="301"/>
      <c r="GQ63" s="301"/>
      <c r="GR63" s="301"/>
      <c r="GS63" s="301"/>
      <c r="GT63" s="301"/>
      <c r="GU63" s="301"/>
      <c r="GV63" s="301"/>
      <c r="IB63" s="65"/>
    </row>
    <row r="64" spans="1:236" ht="16.95" customHeight="1">
      <c r="A64" s="60"/>
      <c r="B64" s="69"/>
      <c r="C64" s="69"/>
      <c r="D64" s="341"/>
      <c r="E64" s="262"/>
      <c r="F64" s="262"/>
      <c r="G64" s="262"/>
      <c r="H64" s="262"/>
      <c r="I64" s="262"/>
      <c r="J64" s="262"/>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c r="BP64" s="89"/>
      <c r="BQ64" s="89"/>
      <c r="BR64" s="89"/>
      <c r="BS64" s="89"/>
      <c r="BT64" s="89"/>
      <c r="BU64" s="89"/>
      <c r="BV64" s="89"/>
      <c r="BW64" s="89"/>
      <c r="BX64" s="89"/>
      <c r="BY64" s="89"/>
      <c r="BZ64" s="89"/>
      <c r="CA64" s="89"/>
      <c r="CB64" s="89"/>
      <c r="CC64" s="89"/>
      <c r="CD64" s="89"/>
      <c r="CE64" s="89"/>
      <c r="CF64" s="89"/>
      <c r="CG64" s="89"/>
      <c r="CH64" s="89"/>
      <c r="CI64" s="89"/>
      <c r="CJ64" s="89"/>
      <c r="CK64" s="89"/>
      <c r="CL64" s="89"/>
      <c r="CM64" s="89"/>
      <c r="CN64" s="89"/>
      <c r="CO64" s="89"/>
      <c r="CP64" s="89"/>
      <c r="CQ64" s="89"/>
      <c r="CR64" s="89"/>
      <c r="CS64" s="89"/>
      <c r="CT64" s="89"/>
      <c r="CU64" s="89"/>
      <c r="CV64" s="89"/>
      <c r="CW64" s="89"/>
      <c r="CX64" s="89"/>
      <c r="CY64" s="89"/>
      <c r="CZ64" s="89"/>
      <c r="DA64" s="89"/>
      <c r="DB64" s="89"/>
      <c r="DC64" s="89"/>
      <c r="DD64" s="89"/>
      <c r="DE64" s="89"/>
      <c r="DF64" s="89"/>
      <c r="DG64" s="89"/>
      <c r="DH64" s="89"/>
      <c r="DI64" s="89"/>
      <c r="DJ64" s="89"/>
      <c r="DK64" s="89"/>
      <c r="DL64" s="89"/>
      <c r="DM64" s="89"/>
      <c r="DN64" s="89"/>
      <c r="DO64" s="89"/>
      <c r="DP64" s="89"/>
      <c r="DQ64" s="89"/>
      <c r="DR64" s="89"/>
      <c r="DS64" s="89"/>
      <c r="DT64" s="89"/>
      <c r="DU64" s="141"/>
      <c r="DV64" s="141"/>
      <c r="DW64" s="141"/>
      <c r="DX64" s="141"/>
      <c r="DY64" s="141"/>
      <c r="DZ64" s="141"/>
      <c r="EA64" s="141"/>
      <c r="EB64" s="89"/>
      <c r="EC64" s="89"/>
      <c r="ED64" s="89"/>
      <c r="EE64" s="89"/>
      <c r="EF64" s="89"/>
      <c r="EG64" s="89"/>
      <c r="EH64" s="89"/>
      <c r="EI64" s="89"/>
      <c r="EJ64" s="89"/>
      <c r="EK64" s="89"/>
      <c r="EL64" s="89"/>
      <c r="EM64" s="89"/>
      <c r="EN64" s="89"/>
      <c r="EO64" s="89"/>
      <c r="EP64" s="89"/>
      <c r="EQ64" s="89"/>
      <c r="ER64" s="89"/>
      <c r="ES64" s="89"/>
      <c r="ET64" s="89"/>
      <c r="EU64" s="89"/>
      <c r="EV64" s="89"/>
      <c r="EW64" s="89"/>
      <c r="EX64" s="89"/>
      <c r="EY64" s="89"/>
      <c r="EZ64" s="89"/>
      <c r="FA64" s="89"/>
      <c r="FB64" s="89"/>
      <c r="FC64" s="89"/>
      <c r="FD64" s="89"/>
      <c r="FE64" s="89"/>
      <c r="FF64" s="89"/>
      <c r="FG64" s="89"/>
      <c r="FH64" s="89"/>
      <c r="FI64" s="89"/>
      <c r="FJ64" s="300"/>
      <c r="FK64" s="300"/>
      <c r="FL64" s="300"/>
      <c r="FM64" s="300"/>
      <c r="FN64" s="300"/>
      <c r="FO64" s="108"/>
      <c r="FP64" s="108"/>
      <c r="FQ64" s="108"/>
      <c r="FR64" s="108"/>
      <c r="FS64" s="108"/>
      <c r="FT64" s="108"/>
      <c r="FU64" s="108"/>
      <c r="FV64" s="108"/>
      <c r="FW64" s="108"/>
      <c r="FX64" s="301"/>
      <c r="FY64" s="259"/>
      <c r="FZ64" s="259"/>
      <c r="GA64" s="259"/>
      <c r="GB64" s="259"/>
      <c r="GC64" s="301"/>
      <c r="GD64" s="301"/>
      <c r="GE64" s="301"/>
      <c r="GF64" s="301"/>
      <c r="GG64" s="301"/>
      <c r="GH64" s="301"/>
      <c r="GI64" s="301"/>
      <c r="GJ64" s="301"/>
      <c r="GK64" s="301"/>
      <c r="GL64" s="301"/>
      <c r="GM64" s="301"/>
      <c r="GN64" s="301"/>
      <c r="GO64" s="301"/>
      <c r="GP64" s="301"/>
      <c r="GQ64" s="301"/>
      <c r="GR64" s="301"/>
      <c r="GS64" s="301"/>
      <c r="GT64" s="301"/>
      <c r="GU64" s="301"/>
      <c r="GV64" s="301"/>
      <c r="IB64" s="65"/>
    </row>
    <row r="65" spans="1:236" ht="16.95" customHeight="1">
      <c r="A65" s="60"/>
      <c r="B65" s="69"/>
      <c r="C65" s="69"/>
      <c r="D65" s="262"/>
      <c r="E65" s="262"/>
      <c r="F65" s="262"/>
      <c r="G65" s="262"/>
      <c r="H65" s="262"/>
      <c r="I65" s="262"/>
      <c r="J65" s="262"/>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c r="BB65" s="89"/>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H65" s="89"/>
      <c r="CI65" s="89"/>
      <c r="CJ65" s="89"/>
      <c r="CK65" s="89"/>
      <c r="CL65" s="89"/>
      <c r="CM65" s="89"/>
      <c r="CN65" s="89"/>
      <c r="CO65" s="89"/>
      <c r="CP65" s="89"/>
      <c r="CQ65" s="89"/>
      <c r="CR65" s="89"/>
      <c r="CS65" s="89"/>
      <c r="CT65" s="89"/>
      <c r="CU65" s="89"/>
      <c r="CV65" s="89"/>
      <c r="CW65" s="89"/>
      <c r="CX65" s="89"/>
      <c r="CY65" s="89"/>
      <c r="CZ65" s="89"/>
      <c r="DA65" s="89"/>
      <c r="DB65" s="89"/>
      <c r="DC65" s="89"/>
      <c r="DD65" s="89"/>
      <c r="DE65" s="89"/>
      <c r="DF65" s="89"/>
      <c r="DG65" s="89"/>
      <c r="DH65" s="89"/>
      <c r="DI65" s="89"/>
      <c r="DJ65" s="89"/>
      <c r="DK65" s="89"/>
      <c r="DL65" s="89"/>
      <c r="DM65" s="89"/>
      <c r="DN65" s="89"/>
      <c r="DO65" s="89"/>
      <c r="DP65" s="89"/>
      <c r="DQ65" s="89"/>
      <c r="DR65" s="89"/>
      <c r="DS65" s="89"/>
      <c r="DT65" s="89"/>
      <c r="DU65" s="141"/>
      <c r="DV65" s="141"/>
      <c r="DW65" s="141"/>
      <c r="DX65" s="141"/>
      <c r="DY65" s="141"/>
      <c r="DZ65" s="141"/>
      <c r="EA65" s="141"/>
      <c r="EB65" s="89"/>
      <c r="EC65" s="89"/>
      <c r="ED65" s="89"/>
      <c r="EE65" s="89"/>
      <c r="EF65" s="89"/>
      <c r="EG65" s="89"/>
      <c r="EH65" s="89"/>
      <c r="EI65" s="89"/>
      <c r="EJ65" s="89"/>
      <c r="EK65" s="89"/>
      <c r="EL65" s="89"/>
      <c r="EM65" s="89"/>
      <c r="EN65" s="89"/>
      <c r="EO65" s="89"/>
      <c r="EP65" s="89"/>
      <c r="EQ65" s="89"/>
      <c r="ER65" s="89"/>
      <c r="ES65" s="89"/>
      <c r="ET65" s="89"/>
      <c r="EU65" s="89"/>
      <c r="EV65" s="89"/>
      <c r="EW65" s="89"/>
      <c r="EX65" s="89"/>
      <c r="EY65" s="89"/>
      <c r="EZ65" s="89"/>
      <c r="FA65" s="89"/>
      <c r="FB65" s="89"/>
      <c r="FC65" s="89"/>
      <c r="FD65" s="89"/>
      <c r="FE65" s="89"/>
      <c r="FF65" s="89"/>
      <c r="FG65" s="89"/>
      <c r="FH65" s="89"/>
      <c r="FI65" s="89"/>
      <c r="FJ65" s="300"/>
      <c r="FK65" s="300"/>
      <c r="FL65" s="300"/>
      <c r="FM65" s="300"/>
      <c r="FN65" s="300"/>
      <c r="FO65" s="300"/>
      <c r="FP65" s="300"/>
      <c r="FQ65" s="108"/>
      <c r="FR65" s="108"/>
      <c r="FS65" s="108"/>
      <c r="FT65" s="108"/>
      <c r="FU65" s="108"/>
      <c r="FV65" s="108"/>
      <c r="FW65" s="108"/>
      <c r="FX65" s="301"/>
      <c r="FY65" s="259"/>
      <c r="FZ65" s="259"/>
      <c r="GA65" s="259"/>
      <c r="GB65" s="259"/>
      <c r="GC65" s="301"/>
      <c r="GD65" s="301"/>
      <c r="GE65" s="301"/>
      <c r="GF65" s="301"/>
      <c r="GG65" s="301"/>
      <c r="GH65" s="301"/>
      <c r="GI65" s="301"/>
      <c r="GJ65" s="301"/>
      <c r="GK65" s="301"/>
      <c r="GL65" s="301"/>
      <c r="GM65" s="301"/>
      <c r="GN65" s="301"/>
      <c r="GO65" s="301"/>
      <c r="GP65" s="301"/>
      <c r="GQ65" s="301"/>
      <c r="GR65" s="301"/>
      <c r="GS65" s="301"/>
      <c r="GT65" s="301"/>
      <c r="GU65" s="301"/>
      <c r="GV65" s="301"/>
      <c r="IB65" s="65"/>
    </row>
    <row r="66" spans="1:236" s="268" customFormat="1" ht="8.4" customHeight="1">
      <c r="A66" s="60"/>
      <c r="B66" s="69"/>
      <c r="C66" s="69"/>
      <c r="D66" s="262"/>
      <c r="E66" s="262"/>
      <c r="F66" s="262"/>
      <c r="G66" s="262"/>
      <c r="H66" s="262"/>
      <c r="I66" s="262"/>
      <c r="J66" s="262"/>
      <c r="K66" s="262"/>
      <c r="L66" s="262"/>
      <c r="M66" s="262"/>
      <c r="N66" s="262"/>
      <c r="O66" s="262"/>
      <c r="DZ66" s="141"/>
      <c r="EA66" s="141"/>
      <c r="EB66" s="141"/>
      <c r="EC66" s="141"/>
      <c r="ED66" s="141"/>
      <c r="EE66" s="141"/>
      <c r="EF66" s="141"/>
      <c r="EG66" s="141"/>
      <c r="EH66" s="141"/>
      <c r="EI66" s="141"/>
      <c r="EJ66" s="141"/>
      <c r="EK66" s="141"/>
      <c r="EL66" s="141"/>
      <c r="EM66" s="141"/>
      <c r="EN66" s="141"/>
      <c r="EO66" s="141"/>
      <c r="EP66" s="141"/>
      <c r="EQ66" s="141"/>
      <c r="ER66" s="141"/>
      <c r="ES66" s="141"/>
      <c r="ET66" s="141"/>
      <c r="EU66" s="141"/>
      <c r="EV66" s="141"/>
      <c r="EW66" s="141"/>
      <c r="EX66" s="141"/>
      <c r="EY66" s="141"/>
      <c r="EZ66" s="141"/>
      <c r="FA66" s="141"/>
      <c r="FB66" s="141"/>
      <c r="FC66" s="141"/>
      <c r="FD66" s="141"/>
      <c r="FE66" s="141"/>
      <c r="FF66" s="141"/>
      <c r="FG66" s="141"/>
      <c r="FH66" s="141"/>
      <c r="FI66" s="141"/>
      <c r="FJ66" s="257"/>
      <c r="FK66" s="257"/>
      <c r="FL66" s="257"/>
      <c r="FM66" s="300"/>
      <c r="FN66" s="277"/>
      <c r="FO66" s="277"/>
      <c r="FP66" s="277"/>
      <c r="FQ66" s="277"/>
      <c r="FR66" s="277"/>
      <c r="FS66" s="277"/>
      <c r="FT66" s="277"/>
      <c r="FU66" s="277"/>
      <c r="FV66" s="277"/>
      <c r="FW66" s="277"/>
      <c r="FX66" s="277"/>
      <c r="FY66" s="259"/>
      <c r="FZ66" s="259"/>
      <c r="GA66" s="259"/>
      <c r="GB66" s="259"/>
      <c r="GC66" s="257"/>
      <c r="GD66" s="257"/>
      <c r="GE66" s="257"/>
      <c r="GF66" s="257"/>
      <c r="GG66" s="257"/>
      <c r="GH66" s="257"/>
      <c r="GI66" s="257"/>
      <c r="GJ66" s="257"/>
      <c r="GK66" s="257"/>
      <c r="GL66" s="257"/>
      <c r="GM66" s="257"/>
      <c r="GN66" s="257"/>
      <c r="GO66" s="257"/>
      <c r="GP66" s="257"/>
      <c r="GQ66" s="257"/>
      <c r="GR66" s="257"/>
      <c r="GS66" s="257"/>
      <c r="GT66" s="257"/>
      <c r="GU66" s="257"/>
      <c r="GV66" s="257"/>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row>
    <row r="67" spans="1:236" s="268" customFormat="1" ht="3.6" customHeight="1">
      <c r="A67" s="60"/>
      <c r="B67" s="69"/>
      <c r="C67" s="69"/>
      <c r="D67" s="262"/>
      <c r="E67" s="262"/>
      <c r="F67" s="262"/>
      <c r="G67" s="262"/>
      <c r="H67" s="262"/>
      <c r="U67" s="254"/>
      <c r="V67" s="254"/>
      <c r="W67" s="254"/>
      <c r="X67" s="254"/>
      <c r="Y67" s="254"/>
      <c r="Z67" s="254"/>
      <c r="AA67" s="254"/>
      <c r="AB67" s="254"/>
      <c r="AC67" s="254"/>
      <c r="AD67" s="254"/>
      <c r="AE67" s="254"/>
      <c r="AF67" s="254"/>
      <c r="AG67" s="254"/>
      <c r="AH67" s="254"/>
      <c r="AI67" s="254"/>
      <c r="AJ67" s="254"/>
      <c r="AK67" s="254"/>
      <c r="AL67" s="254"/>
      <c r="AM67" s="254"/>
      <c r="AN67" s="254"/>
      <c r="AO67" s="254"/>
      <c r="AP67" s="254"/>
      <c r="AQ67" s="254"/>
      <c r="AR67" s="254"/>
      <c r="AS67" s="254"/>
      <c r="AT67" s="254"/>
      <c r="AU67" s="254"/>
      <c r="AV67" s="254"/>
      <c r="AW67" s="254"/>
      <c r="AX67" s="254"/>
      <c r="AY67" s="254"/>
      <c r="AZ67" s="254"/>
      <c r="BA67" s="254"/>
      <c r="BB67" s="254"/>
      <c r="BC67" s="254"/>
      <c r="BD67" s="254"/>
      <c r="BE67" s="254"/>
      <c r="BF67" s="538" t="str">
        <f ca="1">IF(FL1=0,"","+")</f>
        <v/>
      </c>
      <c r="BG67" s="554"/>
      <c r="BH67" s="554"/>
      <c r="BI67" s="554"/>
      <c r="BJ67" s="554"/>
      <c r="BK67" s="554"/>
      <c r="BL67" s="554"/>
      <c r="BM67" s="554"/>
      <c r="BN67" s="554"/>
      <c r="BO67" s="554"/>
      <c r="BP67" s="554"/>
      <c r="BQ67" s="554"/>
      <c r="BR67" s="554"/>
      <c r="BS67" s="554"/>
      <c r="BT67" s="554"/>
      <c r="BU67" s="554"/>
      <c r="BV67" s="554"/>
      <c r="BW67" s="554"/>
      <c r="BX67" s="554"/>
      <c r="BY67" s="554"/>
      <c r="BZ67" s="554"/>
      <c r="CA67" s="554"/>
      <c r="CB67" s="554"/>
      <c r="CC67" s="554"/>
      <c r="CD67" s="554"/>
      <c r="CE67" s="554"/>
      <c r="CF67" s="554"/>
      <c r="CG67" s="554"/>
      <c r="CH67" s="554"/>
      <c r="CI67" s="554"/>
      <c r="CJ67" s="554"/>
      <c r="CK67" s="554"/>
      <c r="CL67" s="554"/>
      <c r="CM67" s="554"/>
      <c r="CN67" s="554"/>
      <c r="CO67" s="554"/>
      <c r="CP67" s="554"/>
      <c r="CQ67" s="554"/>
      <c r="CR67" s="554"/>
      <c r="CS67" s="554"/>
      <c r="CT67" s="554"/>
      <c r="CU67" s="554"/>
      <c r="CV67" s="554"/>
      <c r="CW67" s="554"/>
      <c r="CX67" s="554"/>
      <c r="CY67" s="554"/>
      <c r="CZ67" s="554"/>
      <c r="DA67" s="554"/>
      <c r="DB67" s="554"/>
      <c r="DC67" s="554"/>
      <c r="DD67" s="554"/>
      <c r="DE67" s="554"/>
      <c r="DF67" s="554"/>
      <c r="DG67" s="554"/>
      <c r="DH67" s="554"/>
      <c r="DI67" s="554"/>
      <c r="DJ67" s="554"/>
      <c r="DK67" s="554"/>
      <c r="DL67" s="554"/>
      <c r="DM67" s="554"/>
      <c r="DN67" s="554"/>
      <c r="DO67" s="554"/>
      <c r="DP67" s="554"/>
      <c r="DQ67" s="554"/>
      <c r="DR67" s="554"/>
      <c r="DS67" s="554"/>
      <c r="DT67" s="554"/>
      <c r="DU67" s="554"/>
      <c r="DV67" s="554"/>
      <c r="DW67" s="554"/>
      <c r="DX67" s="554"/>
      <c r="DY67" s="554"/>
      <c r="DZ67" s="554"/>
      <c r="EA67" s="554"/>
      <c r="EB67" s="554"/>
      <c r="ED67" s="141"/>
      <c r="EE67" s="141"/>
      <c r="EF67" s="141"/>
      <c r="EG67" s="141"/>
      <c r="EH67" s="141"/>
      <c r="EI67" s="141"/>
      <c r="EJ67" s="141"/>
      <c r="EK67" s="141"/>
      <c r="EL67" s="141"/>
      <c r="EM67" s="141"/>
      <c r="EN67" s="141"/>
      <c r="EO67" s="141"/>
      <c r="EP67" s="141"/>
      <c r="EQ67" s="141"/>
      <c r="ER67" s="141"/>
      <c r="ES67" s="141"/>
      <c r="ET67" s="141"/>
      <c r="EU67" s="141"/>
      <c r="EV67" s="141"/>
      <c r="EW67" s="141"/>
      <c r="EX67" s="141"/>
      <c r="EY67" s="141"/>
      <c r="EZ67" s="141"/>
      <c r="FA67" s="141"/>
      <c r="FB67" s="141"/>
      <c r="FC67" s="141"/>
      <c r="FD67" s="141"/>
      <c r="FE67" s="141"/>
      <c r="FF67" s="141"/>
      <c r="FG67" s="141"/>
      <c r="FH67" s="141"/>
      <c r="FI67" s="141"/>
      <c r="FJ67" s="257"/>
      <c r="FK67" s="257"/>
      <c r="FL67" s="257"/>
      <c r="FM67" s="300"/>
      <c r="FN67" s="277"/>
      <c r="FO67" s="277"/>
      <c r="FP67" s="277"/>
      <c r="FQ67" s="277"/>
      <c r="FR67" s="277"/>
      <c r="FS67" s="277"/>
      <c r="FT67" s="277"/>
      <c r="FU67" s="277"/>
      <c r="FV67" s="277"/>
      <c r="FW67" s="277"/>
      <c r="FX67" s="277"/>
      <c r="FY67" s="259"/>
      <c r="FZ67" s="259"/>
      <c r="GA67" s="259"/>
      <c r="GB67" s="259"/>
      <c r="GC67" s="257"/>
      <c r="GD67" s="257"/>
      <c r="GE67" s="257"/>
      <c r="GF67" s="257"/>
      <c r="GG67" s="257"/>
      <c r="GH67" s="257"/>
      <c r="GI67" s="257"/>
      <c r="GJ67" s="257"/>
      <c r="GK67" s="257"/>
      <c r="GL67" s="257"/>
      <c r="GM67" s="257"/>
      <c r="GN67" s="257"/>
      <c r="GO67" s="257"/>
      <c r="GP67" s="257"/>
      <c r="GQ67" s="257"/>
      <c r="GR67" s="257"/>
      <c r="GS67" s="257"/>
      <c r="GT67" s="257"/>
      <c r="GU67" s="257"/>
      <c r="GV67" s="257"/>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row>
    <row r="68" spans="1:236" s="268" customFormat="1" ht="16.5" customHeight="1">
      <c r="A68" s="60"/>
      <c r="B68" s="69"/>
      <c r="C68" s="69"/>
      <c r="BD68" s="302" t="str">
        <f ca="1">IF(FL1=0,"","Wat er niet klopt is:")</f>
        <v/>
      </c>
      <c r="BF68" s="253" t="str">
        <f ca="1">IF(FL1=0,"","+")</f>
        <v/>
      </c>
      <c r="BG68" s="549"/>
      <c r="BH68" s="555"/>
      <c r="BI68" s="555"/>
      <c r="BJ68" s="555"/>
      <c r="BK68" s="555"/>
      <c r="BL68" s="555"/>
      <c r="BM68" s="555"/>
      <c r="BN68" s="555"/>
      <c r="BO68" s="555"/>
      <c r="BP68" s="555"/>
      <c r="BQ68" s="555"/>
      <c r="BR68" s="555"/>
      <c r="BS68" s="555"/>
      <c r="BT68" s="555"/>
      <c r="BU68" s="555"/>
      <c r="BV68" s="555"/>
      <c r="BW68" s="555"/>
      <c r="BX68" s="555"/>
      <c r="BY68" s="555"/>
      <c r="BZ68" s="555"/>
      <c r="CA68" s="555"/>
      <c r="CB68" s="555"/>
      <c r="CC68" s="555"/>
      <c r="CD68" s="555"/>
      <c r="CE68" s="555"/>
      <c r="CF68" s="555"/>
      <c r="CG68" s="555"/>
      <c r="CH68" s="555"/>
      <c r="CI68" s="555"/>
      <c r="CJ68" s="555"/>
      <c r="CK68" s="555"/>
      <c r="CL68" s="555"/>
      <c r="CM68" s="555"/>
      <c r="CN68" s="555"/>
      <c r="CO68" s="555"/>
      <c r="CP68" s="555"/>
      <c r="CQ68" s="555"/>
      <c r="CR68" s="555"/>
      <c r="CS68" s="555"/>
      <c r="CT68" s="555"/>
      <c r="CU68" s="555"/>
      <c r="CV68" s="555"/>
      <c r="CW68" s="555"/>
      <c r="CX68" s="555"/>
      <c r="CY68" s="555"/>
      <c r="CZ68" s="555"/>
      <c r="DA68" s="555"/>
      <c r="DB68" s="555"/>
      <c r="DC68" s="555"/>
      <c r="DD68" s="555"/>
      <c r="DE68" s="555"/>
      <c r="DF68" s="555"/>
      <c r="DG68" s="555"/>
      <c r="DH68" s="555"/>
      <c r="DI68" s="555"/>
      <c r="DJ68" s="555"/>
      <c r="DK68" s="555"/>
      <c r="DL68" s="555"/>
      <c r="DM68" s="555"/>
      <c r="DN68" s="555"/>
      <c r="DO68" s="555"/>
      <c r="DP68" s="555"/>
      <c r="DQ68" s="555"/>
      <c r="DR68" s="555"/>
      <c r="DS68" s="555"/>
      <c r="DT68" s="555"/>
      <c r="DU68" s="555"/>
      <c r="DV68" s="555"/>
      <c r="DW68" s="555"/>
      <c r="DX68" s="555"/>
      <c r="DY68" s="555"/>
      <c r="DZ68" s="555"/>
      <c r="EA68" s="555"/>
      <c r="EB68" s="253" t="str">
        <f ca="1">IF(FL1=0,"","+")</f>
        <v/>
      </c>
      <c r="EC68" s="304" t="s">
        <v>131</v>
      </c>
      <c r="ED68" s="255"/>
      <c r="EE68" s="279" t="str">
        <f ca="1">IF(OR(CO461="",TODAY()&gt;=Blad1!AY3),"",IF(FL1=0,"",IF(BG68="","Deze moet je nog maken.",IF(FL68=1,"Goed!","Fout!"))))</f>
        <v/>
      </c>
      <c r="EF68" s="141"/>
      <c r="EL68" s="141"/>
      <c r="EM68" s="141"/>
      <c r="EN68" s="141"/>
      <c r="EO68" s="141"/>
      <c r="EP68" s="141"/>
      <c r="EQ68" s="141"/>
      <c r="ER68" s="141"/>
      <c r="ES68" s="141"/>
      <c r="ET68" s="141"/>
      <c r="EU68" s="141"/>
      <c r="EV68" s="141"/>
      <c r="EW68" s="141"/>
      <c r="EX68" s="141"/>
      <c r="EY68" s="141"/>
      <c r="EZ68" s="141"/>
      <c r="FA68" s="141"/>
      <c r="FB68" s="141"/>
      <c r="FC68" s="141"/>
      <c r="FD68" s="141"/>
      <c r="FE68" s="141"/>
      <c r="FF68" s="141"/>
      <c r="FG68" s="141"/>
      <c r="FH68" s="141"/>
      <c r="FI68" s="141"/>
      <c r="FJ68" s="257"/>
      <c r="FK68" s="257"/>
      <c r="FL68" s="277">
        <f>IF(programma!B1="X",1,IF(BG68=FP68,1,0))</f>
        <v>0</v>
      </c>
      <c r="FM68" s="300" t="str">
        <f ca="1">IF(FK1=0,"",FP68)</f>
        <v>TVK moet TCK zijn.</v>
      </c>
      <c r="FN68" s="277"/>
      <c r="FO68" s="277" t="s">
        <v>186</v>
      </c>
      <c r="FP68" s="277" t="s">
        <v>187</v>
      </c>
      <c r="FQ68" s="277" t="s">
        <v>188</v>
      </c>
      <c r="FR68" s="277" t="s">
        <v>189</v>
      </c>
      <c r="FS68" s="277" t="s">
        <v>190</v>
      </c>
      <c r="FT68" s="277"/>
      <c r="FU68" s="277"/>
      <c r="FV68" s="277"/>
      <c r="FW68" s="277"/>
      <c r="FX68" s="277"/>
      <c r="FY68" s="259"/>
      <c r="FZ68" s="259"/>
      <c r="GA68" s="259"/>
      <c r="GB68" s="259"/>
      <c r="GC68" s="257"/>
      <c r="GD68" s="257"/>
      <c r="GE68" s="257"/>
      <c r="GF68" s="257"/>
      <c r="GG68" s="257"/>
      <c r="GH68" s="257"/>
      <c r="GI68" s="257"/>
      <c r="GJ68" s="257"/>
      <c r="GK68" s="257"/>
      <c r="GL68" s="257"/>
      <c r="GM68" s="257"/>
      <c r="GN68" s="257"/>
      <c r="GO68" s="257"/>
      <c r="GP68" s="257"/>
      <c r="GQ68" s="257"/>
      <c r="GR68" s="257"/>
      <c r="GS68" s="257"/>
      <c r="GT68" s="257"/>
      <c r="GU68" s="257"/>
      <c r="GV68" s="257"/>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row>
    <row r="69" spans="1:236" s="268" customFormat="1" ht="3.6" customHeight="1">
      <c r="A69" s="60"/>
      <c r="B69" s="69"/>
      <c r="C69" s="69"/>
      <c r="D69" s="262"/>
      <c r="E69" s="262"/>
      <c r="F69" s="262"/>
      <c r="G69" s="262"/>
      <c r="H69" s="262"/>
      <c r="BF69" s="538" t="str">
        <f ca="1">IF(FL1=0,"","+")</f>
        <v/>
      </c>
      <c r="BG69" s="554"/>
      <c r="BH69" s="554"/>
      <c r="BI69" s="554"/>
      <c r="BJ69" s="554"/>
      <c r="BK69" s="554"/>
      <c r="BL69" s="554"/>
      <c r="BM69" s="554"/>
      <c r="BN69" s="554"/>
      <c r="BO69" s="554"/>
      <c r="BP69" s="554"/>
      <c r="BQ69" s="554"/>
      <c r="BR69" s="554"/>
      <c r="BS69" s="554"/>
      <c r="BT69" s="554"/>
      <c r="BU69" s="554"/>
      <c r="BV69" s="554"/>
      <c r="BW69" s="554"/>
      <c r="BX69" s="554"/>
      <c r="BY69" s="554"/>
      <c r="BZ69" s="554"/>
      <c r="CA69" s="554"/>
      <c r="CB69" s="554"/>
      <c r="CC69" s="554"/>
      <c r="CD69" s="554"/>
      <c r="CE69" s="554"/>
      <c r="CF69" s="554"/>
      <c r="CG69" s="554"/>
      <c r="CH69" s="554"/>
      <c r="CI69" s="554"/>
      <c r="CJ69" s="554"/>
      <c r="CK69" s="554"/>
      <c r="CL69" s="554"/>
      <c r="CM69" s="554"/>
      <c r="CN69" s="554"/>
      <c r="CO69" s="554"/>
      <c r="CP69" s="554"/>
      <c r="CQ69" s="554"/>
      <c r="CR69" s="554"/>
      <c r="CS69" s="554"/>
      <c r="CT69" s="554"/>
      <c r="CU69" s="554"/>
      <c r="CV69" s="554"/>
      <c r="CW69" s="554"/>
      <c r="CX69" s="554"/>
      <c r="CY69" s="554"/>
      <c r="CZ69" s="554"/>
      <c r="DA69" s="554"/>
      <c r="DB69" s="554"/>
      <c r="DC69" s="554"/>
      <c r="DD69" s="554"/>
      <c r="DE69" s="554"/>
      <c r="DF69" s="554"/>
      <c r="DG69" s="554"/>
      <c r="DH69" s="554"/>
      <c r="DI69" s="554"/>
      <c r="DJ69" s="554"/>
      <c r="DK69" s="554"/>
      <c r="DL69" s="554"/>
      <c r="DM69" s="554"/>
      <c r="DN69" s="554"/>
      <c r="DO69" s="554"/>
      <c r="DP69" s="554"/>
      <c r="DQ69" s="554"/>
      <c r="DR69" s="554"/>
      <c r="DS69" s="554"/>
      <c r="DT69" s="554"/>
      <c r="DU69" s="554"/>
      <c r="DV69" s="554"/>
      <c r="DW69" s="554"/>
      <c r="DX69" s="554"/>
      <c r="DY69" s="554"/>
      <c r="DZ69" s="554"/>
      <c r="EA69" s="554"/>
      <c r="EB69" s="554"/>
      <c r="ED69" s="141"/>
      <c r="EE69" s="141"/>
      <c r="EF69" s="141"/>
      <c r="EG69" s="141"/>
      <c r="EH69" s="141"/>
      <c r="EI69" s="141"/>
      <c r="EJ69" s="141"/>
      <c r="EK69" s="141"/>
      <c r="EL69" s="141"/>
      <c r="EM69" s="141"/>
      <c r="EN69" s="141"/>
      <c r="EO69" s="141"/>
      <c r="EP69" s="141"/>
      <c r="EQ69" s="141"/>
      <c r="ER69" s="141"/>
      <c r="ES69" s="141"/>
      <c r="ET69" s="141"/>
      <c r="EU69" s="141"/>
      <c r="EV69" s="141"/>
      <c r="EW69" s="141"/>
      <c r="EX69" s="141"/>
      <c r="EY69" s="141"/>
      <c r="EZ69" s="141"/>
      <c r="FA69" s="141"/>
      <c r="FB69" s="141"/>
      <c r="FC69" s="141"/>
      <c r="FD69" s="141"/>
      <c r="FE69" s="141"/>
      <c r="FF69" s="141"/>
      <c r="FG69" s="141"/>
      <c r="FH69" s="141"/>
      <c r="FI69" s="141"/>
      <c r="FJ69" s="257"/>
      <c r="FK69" s="257"/>
      <c r="FL69" s="257"/>
      <c r="FM69" s="300"/>
      <c r="FN69" s="277"/>
      <c r="FO69" s="277"/>
      <c r="FP69" s="277"/>
      <c r="FQ69" s="277"/>
      <c r="FR69" s="277"/>
      <c r="FS69" s="277"/>
      <c r="FT69" s="277"/>
      <c r="FU69" s="277"/>
      <c r="FV69" s="277"/>
      <c r="FW69" s="277"/>
      <c r="FX69" s="277"/>
      <c r="FY69" s="259"/>
      <c r="FZ69" s="259"/>
      <c r="GA69" s="259"/>
      <c r="GB69" s="259"/>
      <c r="GC69" s="257"/>
      <c r="GD69" s="257"/>
      <c r="GE69" s="257"/>
      <c r="GF69" s="257"/>
      <c r="GG69" s="257"/>
      <c r="GH69" s="257"/>
      <c r="GI69" s="257"/>
      <c r="GJ69" s="257"/>
      <c r="GK69" s="257"/>
      <c r="GL69" s="257"/>
      <c r="GM69" s="257"/>
      <c r="GN69" s="257"/>
      <c r="GO69" s="257"/>
      <c r="GP69" s="257"/>
      <c r="GQ69" s="257"/>
      <c r="GR69" s="257"/>
      <c r="GS69" s="257"/>
      <c r="GT69" s="257"/>
      <c r="GU69" s="257"/>
      <c r="GV69" s="257"/>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row>
    <row r="70" spans="1:236" ht="18.75" customHeight="1">
      <c r="A70" s="60"/>
      <c r="B70" s="69"/>
      <c r="C70" s="69"/>
      <c r="D70" s="267"/>
      <c r="E70" s="264"/>
      <c r="F70" s="264"/>
      <c r="G70" s="264"/>
      <c r="H70" s="264"/>
      <c r="I70" s="264"/>
      <c r="J70" s="265"/>
      <c r="K70" s="265"/>
      <c r="L70" s="265"/>
      <c r="M70" s="265"/>
      <c r="N70" s="265"/>
      <c r="O70" s="265"/>
      <c r="P70" s="265"/>
      <c r="Q70" s="265"/>
      <c r="R70" s="265"/>
      <c r="S70" s="265"/>
      <c r="T70" s="265"/>
      <c r="U70" s="265"/>
      <c r="V70" s="265"/>
      <c r="W70" s="265"/>
      <c r="X70" s="265"/>
      <c r="Y70" s="265"/>
      <c r="Z70" s="265"/>
      <c r="AA70" s="265"/>
      <c r="AB70" s="265"/>
      <c r="AC70" s="265"/>
      <c r="AD70" s="265"/>
      <c r="AE70" s="265"/>
      <c r="AF70" s="265"/>
      <c r="AG70" s="265"/>
      <c r="AH70" s="265"/>
      <c r="AI70" s="265"/>
      <c r="AJ70" s="265"/>
      <c r="AK70" s="265"/>
      <c r="AL70" s="265"/>
      <c r="AM70" s="265"/>
      <c r="AN70" s="265"/>
      <c r="AO70" s="265"/>
      <c r="AP70" s="265"/>
      <c r="AQ70" s="265"/>
      <c r="AR70" s="265"/>
      <c r="AS70" s="265"/>
      <c r="AT70" s="265"/>
      <c r="AU70" s="265"/>
      <c r="AV70" s="265"/>
      <c r="AW70" s="265"/>
      <c r="AX70" s="265"/>
      <c r="AY70" s="265"/>
      <c r="AZ70" s="265"/>
      <c r="BA70" s="265"/>
      <c r="BB70" s="265"/>
      <c r="BC70" s="265"/>
      <c r="BD70" s="265"/>
      <c r="BE70" s="265"/>
      <c r="BF70" s="265"/>
      <c r="BG70" s="265"/>
      <c r="BH70" s="265"/>
      <c r="BI70" s="265"/>
      <c r="BJ70" s="265"/>
      <c r="BK70" s="265"/>
      <c r="BL70" s="265"/>
      <c r="BM70" s="265"/>
      <c r="BN70" s="265"/>
      <c r="BO70" s="265"/>
      <c r="BP70" s="265"/>
      <c r="BQ70" s="265"/>
      <c r="BR70" s="265"/>
      <c r="BS70" s="265"/>
      <c r="BT70" s="265"/>
      <c r="BU70" s="265"/>
      <c r="BV70" s="265"/>
      <c r="BW70" s="265"/>
      <c r="BX70" s="265"/>
      <c r="BY70" s="265"/>
      <c r="BZ70" s="265"/>
      <c r="CA70" s="265"/>
      <c r="CB70" s="265"/>
      <c r="CC70" s="265"/>
      <c r="CD70" s="265"/>
      <c r="CE70" s="265"/>
      <c r="CF70" s="265"/>
      <c r="CG70" s="265"/>
      <c r="CH70" s="265"/>
      <c r="CI70" s="265"/>
      <c r="CJ70" s="265"/>
      <c r="CK70" s="265"/>
      <c r="CL70" s="265"/>
      <c r="CM70" s="265"/>
      <c r="CN70" s="265"/>
      <c r="CO70" s="265"/>
      <c r="CP70" s="265"/>
      <c r="CQ70" s="265"/>
      <c r="CR70" s="265"/>
      <c r="CS70" s="265"/>
      <c r="CT70" s="265"/>
      <c r="CU70" s="265"/>
      <c r="CV70" s="265"/>
      <c r="CW70" s="265"/>
      <c r="CX70" s="265"/>
      <c r="CY70" s="265"/>
      <c r="CZ70" s="265"/>
      <c r="DA70" s="265"/>
      <c r="DB70" s="265"/>
      <c r="DC70" s="265"/>
      <c r="DD70" s="265"/>
      <c r="DE70" s="265"/>
      <c r="DF70" s="265"/>
      <c r="DG70" s="265"/>
      <c r="DH70" s="265"/>
      <c r="DI70" s="265"/>
      <c r="DJ70" s="265"/>
      <c r="DK70" s="265"/>
      <c r="DL70" s="268"/>
      <c r="DM70" s="268"/>
      <c r="DN70" s="268"/>
      <c r="DO70" s="268"/>
      <c r="DP70" s="268"/>
      <c r="DQ70" s="268"/>
      <c r="DR70" s="268"/>
      <c r="DS70" s="268"/>
      <c r="DT70" s="268"/>
      <c r="DU70" s="268"/>
      <c r="DV70" s="268"/>
      <c r="DW70" s="268"/>
      <c r="DX70" s="268"/>
      <c r="DY70" s="268"/>
      <c r="DZ70" s="268"/>
      <c r="EA70" s="268"/>
      <c r="EB70" s="268"/>
      <c r="EC70" s="265"/>
      <c r="ED70" s="265"/>
      <c r="EE70" s="265"/>
      <c r="EF70" s="265"/>
      <c r="EG70" s="265"/>
      <c r="EH70" s="265"/>
      <c r="EI70" s="265"/>
      <c r="EJ70" s="265"/>
      <c r="EK70" s="265"/>
      <c r="EL70" s="265"/>
      <c r="EM70" s="265"/>
      <c r="EN70" s="265"/>
      <c r="EO70" s="265"/>
      <c r="EP70" s="265"/>
      <c r="EQ70" s="265"/>
      <c r="ER70" s="265"/>
      <c r="ES70" s="265"/>
      <c r="ET70" s="265"/>
      <c r="EU70" s="265"/>
      <c r="EV70" s="265"/>
      <c r="EW70" s="265"/>
      <c r="EX70" s="265"/>
      <c r="EY70" s="265"/>
      <c r="EZ70" s="265"/>
      <c r="FA70" s="265"/>
      <c r="FB70" s="265"/>
      <c r="FC70" s="265"/>
      <c r="FD70" s="265"/>
      <c r="FE70" s="265"/>
      <c r="FF70" s="265"/>
      <c r="FG70" s="265"/>
      <c r="FH70" s="141"/>
      <c r="FI70" s="141"/>
      <c r="FJ70" s="257"/>
      <c r="FK70" s="257"/>
      <c r="FL70" s="257"/>
      <c r="FM70" s="257"/>
      <c r="FN70" s="257"/>
      <c r="FO70" s="257"/>
      <c r="FP70" s="257"/>
      <c r="FQ70" s="257"/>
      <c r="FR70" s="257"/>
      <c r="FS70" s="257"/>
      <c r="FT70" s="257"/>
      <c r="FU70" s="257"/>
      <c r="FV70" s="259"/>
      <c r="FW70" s="259"/>
      <c r="FX70" s="259"/>
      <c r="FY70" s="259"/>
      <c r="FZ70" s="259"/>
      <c r="GA70" s="259"/>
      <c r="GB70" s="259"/>
      <c r="GC70" s="259"/>
      <c r="GD70" s="259"/>
      <c r="GE70" s="259"/>
      <c r="GF70" s="259"/>
      <c r="GG70" s="259"/>
      <c r="GH70" s="259"/>
      <c r="GI70" s="259"/>
      <c r="GJ70" s="259"/>
      <c r="GK70" s="259"/>
      <c r="GL70" s="259"/>
      <c r="GM70" s="259"/>
      <c r="GN70" s="259"/>
      <c r="GO70" s="259"/>
      <c r="GP70" s="259"/>
      <c r="GQ70" s="259"/>
      <c r="GR70" s="259"/>
      <c r="GS70" s="259"/>
      <c r="GT70" s="259"/>
      <c r="GU70" s="259"/>
      <c r="GV70" s="259"/>
    </row>
    <row r="71" spans="1:236" ht="16.95" customHeight="1">
      <c r="A71" s="60"/>
      <c r="B71" s="272" t="str">
        <f ca="1">IF(FL1=0,"",3)</f>
        <v/>
      </c>
      <c r="C71" s="273"/>
      <c r="D71" s="262" t="str">
        <f ca="1">IF(FL1=0,"","De functie van de totale opbrengst luidt: TO = "&amp;FN72&amp;"q² + "&amp;FO72&amp;"q (q luidt in stuks")</f>
        <v/>
      </c>
      <c r="E71" s="274"/>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c r="AO71" s="275"/>
      <c r="AP71" s="275"/>
      <c r="AQ71" s="275"/>
      <c r="AR71" s="275"/>
      <c r="AS71" s="275"/>
      <c r="AT71" s="275"/>
      <c r="AU71" s="275"/>
      <c r="AV71" s="275"/>
      <c r="AW71" s="275"/>
      <c r="AX71" s="275"/>
      <c r="AY71" s="275"/>
      <c r="AZ71" s="275"/>
      <c r="BA71" s="275"/>
      <c r="BB71" s="275"/>
      <c r="BC71" s="275"/>
      <c r="BD71" s="275"/>
      <c r="BE71" s="275"/>
      <c r="BF71" s="275"/>
      <c r="BG71" s="275"/>
      <c r="BH71" s="275"/>
      <c r="BI71" s="275"/>
      <c r="BJ71" s="275"/>
      <c r="BK71" s="275"/>
      <c r="BL71" s="275"/>
      <c r="BM71" s="275"/>
      <c r="BN71" s="275"/>
      <c r="BO71" s="276"/>
      <c r="BP71" s="276"/>
      <c r="BQ71" s="276"/>
      <c r="BR71" s="276"/>
      <c r="BS71" s="276"/>
      <c r="BT71" s="276"/>
      <c r="BU71" s="276"/>
      <c r="BV71" s="276"/>
      <c r="BW71" s="276"/>
      <c r="BX71" s="276"/>
      <c r="BY71" s="276"/>
      <c r="BZ71" s="276"/>
      <c r="CA71" s="276"/>
      <c r="CB71" s="276"/>
      <c r="CC71" s="276"/>
      <c r="CD71" s="276"/>
      <c r="CE71" s="276"/>
      <c r="CF71" s="276"/>
      <c r="CG71" s="276"/>
      <c r="CH71" s="275"/>
      <c r="CI71" s="275"/>
      <c r="CJ71" s="275"/>
      <c r="CK71" s="275"/>
      <c r="CL71" s="265"/>
      <c r="CM71" s="265"/>
      <c r="CN71" s="265"/>
      <c r="CO71" s="265"/>
      <c r="CP71" s="265"/>
      <c r="CQ71" s="265"/>
      <c r="CR71" s="265"/>
      <c r="CS71" s="265"/>
      <c r="CT71" s="265"/>
      <c r="CU71" s="265"/>
      <c r="CV71" s="265"/>
      <c r="CW71" s="265"/>
      <c r="CX71" s="265"/>
      <c r="CY71" s="265"/>
      <c r="CZ71" s="265"/>
      <c r="DA71" s="265"/>
      <c r="DB71" s="265"/>
      <c r="DC71" s="265"/>
      <c r="DD71" s="265"/>
      <c r="DE71" s="265"/>
      <c r="DF71" s="265"/>
      <c r="DG71" s="265"/>
      <c r="DH71" s="265"/>
      <c r="DI71" s="265"/>
      <c r="DJ71" s="265"/>
      <c r="DK71" s="265"/>
      <c r="DL71" s="268"/>
      <c r="DM71" s="268"/>
      <c r="DN71" s="268"/>
      <c r="DO71" s="268"/>
      <c r="DP71" s="268"/>
      <c r="DQ71" s="268"/>
      <c r="DR71" s="268"/>
      <c r="DS71" s="268"/>
      <c r="DT71" s="268"/>
      <c r="DU71" s="268"/>
      <c r="DV71" s="268"/>
      <c r="DW71" s="268"/>
      <c r="DX71" s="268"/>
      <c r="DY71" s="268"/>
      <c r="DZ71" s="268"/>
      <c r="EA71" s="268"/>
      <c r="EB71" s="268"/>
      <c r="EC71" s="265"/>
      <c r="ED71" s="265"/>
      <c r="EE71" s="265"/>
      <c r="EF71" s="265"/>
      <c r="EG71" s="265"/>
      <c r="EH71" s="265"/>
      <c r="EI71" s="265"/>
      <c r="EJ71" s="265"/>
      <c r="EK71" s="265"/>
      <c r="EL71" s="265"/>
      <c r="EM71" s="265"/>
      <c r="EN71" s="265"/>
      <c r="EO71" s="265"/>
      <c r="EP71" s="265"/>
      <c r="EQ71" s="265"/>
      <c r="ER71" s="265"/>
      <c r="ES71" s="265"/>
      <c r="ET71" s="265"/>
      <c r="EU71" s="265"/>
      <c r="EV71" s="265"/>
      <c r="EW71" s="265"/>
      <c r="EX71" s="265"/>
      <c r="EY71" s="265"/>
      <c r="EZ71" s="265"/>
      <c r="FA71" s="265"/>
      <c r="FB71" s="265"/>
      <c r="FC71" s="265"/>
      <c r="FD71" s="265"/>
      <c r="FE71" s="265"/>
      <c r="FF71" s="265"/>
      <c r="FG71" s="265"/>
      <c r="FH71" s="141"/>
      <c r="FI71" s="141"/>
      <c r="FJ71" s="257"/>
      <c r="FK71" s="257"/>
      <c r="FL71" s="257"/>
      <c r="FM71" s="257"/>
      <c r="FN71" s="257"/>
      <c r="FO71" s="257"/>
      <c r="FP71" s="257"/>
      <c r="FQ71" s="257"/>
      <c r="FR71" s="257"/>
      <c r="FS71" s="257"/>
      <c r="FT71" s="257"/>
      <c r="FU71" s="257"/>
      <c r="FV71" s="259"/>
      <c r="FW71" s="259"/>
      <c r="FX71" s="259"/>
      <c r="FY71" s="259"/>
      <c r="FZ71" s="259"/>
      <c r="GA71" s="259"/>
      <c r="GB71" s="259"/>
      <c r="GC71" s="259"/>
      <c r="GD71" s="259"/>
      <c r="GE71" s="259"/>
      <c r="GF71" s="259"/>
      <c r="GG71" s="259"/>
      <c r="GH71" s="259"/>
      <c r="GI71" s="259"/>
      <c r="GJ71" s="259"/>
      <c r="GK71" s="259"/>
      <c r="GL71" s="259"/>
      <c r="GM71" s="259"/>
      <c r="GN71" s="259"/>
      <c r="GO71" s="259"/>
      <c r="GP71" s="259"/>
      <c r="GQ71" s="259"/>
      <c r="GR71" s="259"/>
      <c r="GS71" s="259"/>
      <c r="GT71" s="259"/>
      <c r="GU71" s="259"/>
      <c r="GV71" s="259"/>
    </row>
    <row r="72" spans="1:236" customFormat="1" ht="16.5" customHeight="1">
      <c r="A72" s="1"/>
      <c r="B72" s="3"/>
      <c r="C72" s="3"/>
      <c r="D72" s="74" t="str">
        <f ca="1">IF(FL1=0,"","en TO in euro's). MO = "&amp;2*FN72&amp;"q + "&amp;FO72&amp;". Deze functies gelden van q = 0 tot en met")</f>
        <v/>
      </c>
      <c r="E72" s="70"/>
      <c r="F72" s="70"/>
      <c r="G72" s="70"/>
      <c r="H72" s="70"/>
      <c r="I72" s="70"/>
      <c r="J72" s="89"/>
      <c r="K72" s="89"/>
      <c r="L72" s="141"/>
      <c r="M72" s="141"/>
      <c r="N72" s="141"/>
      <c r="O72" s="141"/>
      <c r="P72" s="141"/>
      <c r="Q72" s="141"/>
      <c r="R72" s="141"/>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89"/>
      <c r="CG72" s="89"/>
      <c r="CH72" s="89"/>
      <c r="CI72" s="89"/>
      <c r="CJ72" s="89"/>
      <c r="CK72" s="89"/>
      <c r="CL72" s="89"/>
      <c r="CM72" s="89"/>
      <c r="CN72" s="89"/>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78"/>
      <c r="ER72" s="278"/>
      <c r="ES72" s="278"/>
      <c r="ET72" s="278"/>
      <c r="EU72" s="278"/>
      <c r="EV72" s="278"/>
      <c r="EW72" s="278"/>
      <c r="EX72" s="278"/>
      <c r="EY72" s="278"/>
      <c r="EZ72" s="278"/>
      <c r="FA72" s="278"/>
      <c r="FB72" s="278"/>
      <c r="FC72" s="278"/>
      <c r="FD72" s="278"/>
      <c r="FE72" s="10"/>
      <c r="FF72" s="10"/>
      <c r="FG72" s="26"/>
      <c r="FH72" s="26"/>
      <c r="FI72" s="26"/>
      <c r="FJ72" s="257"/>
      <c r="FK72" s="257"/>
      <c r="FL72" s="312"/>
      <c r="FM72" s="188"/>
      <c r="FN72" s="103">
        <f ca="1">-ROUND(Blad1!Z24/5+Blad1!AA2,1)/2</f>
        <v>-1.35</v>
      </c>
      <c r="FO72" s="103">
        <f ca="1">-CEILING(100+Blad1!Z24*100+Blad1!AA12,100)*FN72</f>
        <v>540</v>
      </c>
      <c r="FP72" s="103">
        <f ca="1">-FO72/FN72</f>
        <v>400</v>
      </c>
      <c r="FQ72" s="103"/>
      <c r="FR72" s="49"/>
      <c r="FS72" s="49"/>
      <c r="FT72" s="47"/>
      <c r="FU72" s="47"/>
      <c r="FV72" s="47"/>
      <c r="FW72" s="47"/>
      <c r="FX72" s="47"/>
      <c r="FY72" s="259"/>
      <c r="FZ72" s="259"/>
      <c r="GA72" s="259"/>
      <c r="GB72" s="259"/>
      <c r="GC72" s="49"/>
      <c r="GD72" s="49"/>
      <c r="GE72" s="49"/>
      <c r="GF72" s="49"/>
      <c r="GG72" s="49"/>
      <c r="GH72" s="49"/>
      <c r="GI72" s="49"/>
      <c r="GJ72" s="49"/>
      <c r="GK72" s="49"/>
      <c r="GL72" s="49"/>
      <c r="GM72" s="49"/>
      <c r="GN72" s="49"/>
      <c r="GO72" s="49"/>
      <c r="GP72" s="49"/>
      <c r="GQ72" s="49"/>
      <c r="GR72" s="49"/>
      <c r="GS72" s="49"/>
      <c r="GT72" s="49"/>
      <c r="GU72" s="49"/>
      <c r="GV72" s="49"/>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row>
    <row r="73" spans="1:236" customFormat="1" ht="16.5" customHeight="1">
      <c r="A73" s="1"/>
      <c r="B73" s="3"/>
      <c r="C73" s="3"/>
      <c r="D73" s="74" t="str">
        <f ca="1">IF(FL1=0,""," q = "&amp;FP72&amp;"  (want daar is de omzet weer € 0. Hoeveel bedraagt de maximale omzet?")</f>
        <v/>
      </c>
      <c r="E73" s="70"/>
      <c r="F73" s="70"/>
      <c r="G73" s="70"/>
      <c r="H73" s="70"/>
      <c r="I73" s="70"/>
      <c r="J73" s="89"/>
      <c r="K73" s="89"/>
      <c r="L73" s="141"/>
      <c r="M73" s="141"/>
      <c r="N73" s="141"/>
      <c r="O73" s="141"/>
      <c r="P73" s="141"/>
      <c r="Q73" s="141"/>
      <c r="R73" s="141"/>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c r="BU73" s="137"/>
      <c r="BV73" s="137"/>
      <c r="BW73" s="137"/>
      <c r="BX73" s="137"/>
      <c r="BY73" s="137"/>
      <c r="BZ73" s="137"/>
      <c r="CA73" s="137"/>
      <c r="CB73" s="137"/>
      <c r="CC73" s="137"/>
      <c r="CD73" s="137"/>
      <c r="CE73" s="137"/>
      <c r="CF73" s="89"/>
      <c r="CG73" s="89"/>
      <c r="CH73" s="89"/>
      <c r="CI73" s="89"/>
      <c r="CJ73" s="89"/>
      <c r="CK73" s="89"/>
      <c r="CL73" s="89"/>
      <c r="CM73" s="89"/>
      <c r="CN73" s="89"/>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78"/>
      <c r="ER73" s="278"/>
      <c r="ES73" s="278"/>
      <c r="ET73" s="278"/>
      <c r="EU73" s="278"/>
      <c r="EV73" s="278"/>
      <c r="EW73" s="278"/>
      <c r="EX73" s="278"/>
      <c r="EY73" s="278"/>
      <c r="EZ73" s="278"/>
      <c r="FA73" s="278"/>
      <c r="FB73" s="278"/>
      <c r="FC73" s="278"/>
      <c r="FD73" s="278"/>
      <c r="FE73" s="10"/>
      <c r="FF73" s="10"/>
      <c r="FG73" s="26"/>
      <c r="FH73" s="26"/>
      <c r="FI73" s="26"/>
      <c r="FJ73" s="257"/>
      <c r="FK73" s="257"/>
      <c r="FL73" s="312"/>
      <c r="FM73" s="188"/>
      <c r="FN73" s="103"/>
      <c r="FO73" s="103"/>
      <c r="FP73" s="103"/>
      <c r="FQ73" s="103"/>
      <c r="FR73" s="49"/>
      <c r="FS73" s="49"/>
      <c r="FT73" s="47"/>
      <c r="FU73" s="47"/>
      <c r="FV73" s="47"/>
      <c r="FW73" s="47"/>
      <c r="FX73" s="47"/>
      <c r="FY73" s="259"/>
      <c r="FZ73" s="259"/>
      <c r="GA73" s="259"/>
      <c r="GB73" s="259"/>
      <c r="GC73" s="49"/>
      <c r="GD73" s="49"/>
      <c r="GE73" s="49"/>
      <c r="GF73" s="49"/>
      <c r="GG73" s="49"/>
      <c r="GH73" s="49"/>
      <c r="GI73" s="49"/>
      <c r="GJ73" s="49"/>
      <c r="GK73" s="49"/>
      <c r="GL73" s="49"/>
      <c r="GM73" s="49"/>
      <c r="GN73" s="49"/>
      <c r="GO73" s="49"/>
      <c r="GP73" s="49"/>
      <c r="GQ73" s="49"/>
      <c r="GR73" s="49"/>
      <c r="GS73" s="49"/>
      <c r="GT73" s="49"/>
      <c r="GU73" s="49"/>
      <c r="GV73" s="49"/>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row>
    <row r="74" spans="1:236" customFormat="1" ht="11.4" customHeight="1">
      <c r="A74" s="1"/>
      <c r="B74" s="3"/>
      <c r="C74" s="3"/>
      <c r="D74" s="74" t="str">
        <f ca="1">IF(FL1=0,"","")</f>
        <v/>
      </c>
      <c r="E74" s="70"/>
      <c r="F74" s="70"/>
      <c r="G74" s="70"/>
      <c r="H74" s="70"/>
      <c r="I74" s="70"/>
      <c r="J74" s="89"/>
      <c r="K74" s="89"/>
      <c r="L74" s="141"/>
      <c r="M74" s="141"/>
      <c r="N74" s="141"/>
      <c r="O74" s="141"/>
      <c r="P74" s="141"/>
      <c r="Q74" s="141"/>
      <c r="R74" s="141"/>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c r="BA74" s="137"/>
      <c r="BB74" s="137"/>
      <c r="BC74" s="137"/>
      <c r="BD74" s="137"/>
      <c r="BE74" s="137"/>
      <c r="BF74" s="137"/>
      <c r="BG74" s="137"/>
      <c r="BH74" s="137"/>
      <c r="BI74" s="137"/>
      <c r="BJ74" s="137"/>
      <c r="BK74" s="137"/>
      <c r="BL74" s="137"/>
      <c r="BM74" s="137"/>
      <c r="BN74" s="137"/>
      <c r="BO74" s="137"/>
      <c r="BP74" s="137"/>
      <c r="BQ74" s="137"/>
      <c r="BR74" s="137"/>
      <c r="BS74" s="137"/>
      <c r="BT74" s="137"/>
      <c r="BU74" s="137"/>
      <c r="BV74" s="137"/>
      <c r="BW74" s="137"/>
      <c r="BX74" s="137"/>
      <c r="BY74" s="137"/>
      <c r="BZ74" s="137"/>
      <c r="CA74" s="137"/>
      <c r="CB74" s="137"/>
      <c r="CC74" s="137"/>
      <c r="CD74" s="137"/>
      <c r="CE74" s="137"/>
      <c r="CF74" s="70"/>
      <c r="CG74" s="70"/>
      <c r="CH74" s="70"/>
      <c r="CI74" s="70"/>
      <c r="CJ74" s="70"/>
      <c r="CK74" s="70"/>
      <c r="CL74" s="70"/>
      <c r="CM74" s="70"/>
      <c r="CN74" s="70"/>
      <c r="CO74" s="79"/>
      <c r="CP74" s="79"/>
      <c r="CQ74" s="79"/>
      <c r="CR74" s="79"/>
      <c r="CS74" s="79"/>
      <c r="CT74" s="79"/>
      <c r="CU74" s="79"/>
      <c r="CV74" s="79"/>
      <c r="CW74" s="79"/>
      <c r="CX74" s="79"/>
      <c r="CY74" s="79"/>
      <c r="CZ74" s="79"/>
      <c r="DA74" s="79"/>
      <c r="DB74" s="79"/>
      <c r="DC74" s="79"/>
      <c r="DD74" s="79"/>
      <c r="DE74" s="79"/>
      <c r="DF74" s="79"/>
      <c r="DG74" s="79"/>
      <c r="DH74" s="79"/>
      <c r="DI74" s="79"/>
      <c r="DJ74" s="79"/>
      <c r="DK74" s="79"/>
      <c r="DL74" s="79"/>
      <c r="DM74" s="79"/>
      <c r="DN74" s="79"/>
      <c r="DO74" s="79"/>
      <c r="DP74" s="79"/>
      <c r="DQ74" s="79"/>
      <c r="DR74" s="79"/>
      <c r="DS74" s="79"/>
      <c r="DT74" s="79"/>
      <c r="DU74" s="79"/>
      <c r="DV74" s="79"/>
      <c r="DW74" s="79"/>
      <c r="DX74" s="79"/>
      <c r="DY74" s="79"/>
      <c r="DZ74" s="79"/>
      <c r="EA74" s="79"/>
      <c r="EB74" s="79"/>
      <c r="EC74" s="79"/>
      <c r="ED74" s="79"/>
      <c r="EE74" s="79"/>
      <c r="EF74" s="79"/>
      <c r="EG74" s="79"/>
      <c r="EH74" s="79"/>
      <c r="EI74" s="79"/>
      <c r="EJ74" s="79"/>
      <c r="EK74" s="79"/>
      <c r="EL74" s="79"/>
      <c r="EM74" s="79"/>
      <c r="EN74" s="79"/>
      <c r="EO74" s="79"/>
      <c r="EP74" s="79"/>
      <c r="EQ74" s="10"/>
      <c r="ER74" s="10"/>
      <c r="ES74" s="10"/>
      <c r="ET74" s="10"/>
      <c r="EU74" s="10"/>
      <c r="EV74" s="10"/>
      <c r="EW74" s="10"/>
      <c r="EX74" s="10"/>
      <c r="EY74" s="10"/>
      <c r="EZ74" s="10"/>
      <c r="FA74" s="10"/>
      <c r="FB74" s="10"/>
      <c r="FC74" s="10"/>
      <c r="FD74" s="10"/>
      <c r="FE74" s="10"/>
      <c r="FF74" s="10"/>
      <c r="FG74" s="10"/>
      <c r="FH74" s="10"/>
      <c r="FI74" s="10"/>
      <c r="FJ74" s="257"/>
      <c r="FK74" s="257"/>
      <c r="FL74" s="312"/>
      <c r="FM74" s="188"/>
      <c r="FN74" s="66"/>
      <c r="FO74" s="66"/>
      <c r="FP74" s="66"/>
      <c r="FQ74" s="66"/>
      <c r="FR74" s="66"/>
      <c r="FS74" s="66"/>
      <c r="FT74" s="47"/>
      <c r="FU74" s="47"/>
      <c r="FV74" s="47"/>
      <c r="FW74" s="47"/>
      <c r="FX74" s="47"/>
      <c r="FY74" s="259"/>
      <c r="FZ74" s="259"/>
      <c r="GA74" s="259"/>
      <c r="GB74" s="259"/>
      <c r="GC74" s="49"/>
      <c r="GD74" s="49"/>
      <c r="GE74" s="49"/>
      <c r="GF74" s="49"/>
      <c r="GG74" s="49"/>
      <c r="GH74" s="49"/>
      <c r="GI74" s="49"/>
      <c r="GJ74" s="49"/>
      <c r="GK74" s="49"/>
      <c r="GL74" s="49"/>
      <c r="GM74" s="49"/>
      <c r="GN74" s="49"/>
      <c r="GO74" s="49"/>
      <c r="GP74" s="49"/>
      <c r="GQ74" s="49"/>
      <c r="GR74" s="49"/>
      <c r="GS74" s="49"/>
      <c r="GT74" s="49"/>
      <c r="GU74" s="49"/>
      <c r="GV74" s="49"/>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row>
    <row r="75" spans="1:236" ht="3.6" customHeight="1">
      <c r="A75" s="60"/>
      <c r="B75" s="69"/>
      <c r="C75" s="69"/>
      <c r="D75" s="262"/>
      <c r="E75" s="262"/>
      <c r="F75" s="262"/>
      <c r="G75" s="262"/>
      <c r="H75" s="262"/>
      <c r="I75" s="262"/>
      <c r="J75" s="262"/>
      <c r="K75" s="89"/>
      <c r="L75" s="262"/>
      <c r="M75" s="262"/>
      <c r="N75" s="262"/>
      <c r="O75" s="262"/>
      <c r="P75" s="262"/>
      <c r="Q75" s="262"/>
      <c r="R75" s="262"/>
      <c r="S75" s="262"/>
      <c r="T75" s="262"/>
      <c r="U75" s="262"/>
      <c r="V75" s="262"/>
      <c r="W75" s="262"/>
      <c r="X75" s="262"/>
      <c r="Y75" s="262"/>
      <c r="Z75" s="262"/>
      <c r="AA75" s="262"/>
      <c r="AB75" s="262"/>
      <c r="AC75" s="262"/>
      <c r="AD75" s="268"/>
      <c r="AE75" s="268"/>
      <c r="AF75" s="268"/>
      <c r="AG75" s="268"/>
      <c r="AH75" s="268"/>
      <c r="AI75" s="268"/>
      <c r="AJ75" s="268"/>
      <c r="AK75" s="268"/>
      <c r="AL75" s="268"/>
      <c r="AM75" s="268"/>
      <c r="AN75" s="268"/>
      <c r="AO75" s="268"/>
      <c r="AP75" s="268"/>
      <c r="AQ75" s="268"/>
      <c r="AR75" s="268"/>
      <c r="AS75" s="268"/>
      <c r="AT75" s="268"/>
      <c r="AU75" s="268"/>
      <c r="AV75" s="268"/>
      <c r="AW75" s="268"/>
      <c r="AX75" s="268"/>
      <c r="AY75" s="268"/>
      <c r="AZ75" s="268"/>
      <c r="BA75" s="268"/>
      <c r="BB75" s="268"/>
      <c r="BC75" s="268"/>
      <c r="BD75" s="268"/>
      <c r="BE75" s="268"/>
      <c r="BF75" s="268"/>
      <c r="BG75" s="268"/>
      <c r="BH75" s="268"/>
      <c r="BI75" s="268"/>
      <c r="BJ75" s="268"/>
      <c r="BK75" s="268"/>
      <c r="BL75" s="268"/>
      <c r="BM75" s="268"/>
      <c r="BN75" s="268"/>
      <c r="BO75" s="268"/>
      <c r="BP75" s="268"/>
      <c r="BQ75" s="268"/>
      <c r="BR75" s="268"/>
      <c r="BS75" s="268"/>
      <c r="BT75" s="268"/>
      <c r="BU75" s="268"/>
      <c r="BV75" s="268"/>
      <c r="BW75" s="268"/>
      <c r="BX75" s="268"/>
      <c r="BY75" s="268"/>
      <c r="BZ75" s="268"/>
      <c r="CA75" s="268"/>
      <c r="CB75" s="268"/>
      <c r="CC75" s="268"/>
      <c r="CD75" s="268"/>
      <c r="CE75" s="268"/>
      <c r="CF75" s="268"/>
      <c r="CG75" s="268"/>
      <c r="CH75" s="268"/>
      <c r="CI75" s="262"/>
      <c r="CJ75" s="262"/>
      <c r="CK75" s="262"/>
      <c r="CL75" s="262"/>
      <c r="CM75" s="262"/>
      <c r="CN75" s="262"/>
      <c r="CO75" s="89"/>
      <c r="CP75" s="89"/>
      <c r="CQ75" s="89"/>
      <c r="CR75" s="89"/>
      <c r="CS75" s="89"/>
      <c r="CT75" s="89"/>
      <c r="CU75" s="89"/>
      <c r="CV75" s="89"/>
      <c r="CW75" s="89"/>
      <c r="CX75" s="89"/>
      <c r="CY75" s="89"/>
      <c r="CZ75" s="89"/>
      <c r="DA75" s="89"/>
      <c r="DB75" s="89"/>
      <c r="DC75" s="89"/>
      <c r="DD75" s="538" t="str">
        <f ca="1">IF(FL1=0,"","+")</f>
        <v/>
      </c>
      <c r="DE75" s="538"/>
      <c r="DF75" s="538"/>
      <c r="DG75" s="538"/>
      <c r="DH75" s="538"/>
      <c r="DI75" s="538"/>
      <c r="DJ75" s="538"/>
      <c r="DK75" s="538"/>
      <c r="DL75" s="538"/>
      <c r="DM75" s="538"/>
      <c r="DN75" s="538"/>
      <c r="DO75" s="538"/>
      <c r="DP75" s="538"/>
      <c r="DQ75" s="538"/>
      <c r="DR75" s="538"/>
      <c r="DS75" s="538"/>
      <c r="DT75" s="538"/>
      <c r="DU75" s="538"/>
      <c r="DV75" s="538"/>
      <c r="DW75" s="538"/>
      <c r="DX75" s="538"/>
      <c r="DY75" s="538"/>
      <c r="DZ75" s="538"/>
      <c r="EA75" s="538"/>
      <c r="EB75" s="538"/>
      <c r="EC75" s="254"/>
      <c r="ED75" s="254"/>
      <c r="EE75" s="254"/>
      <c r="EF75" s="254"/>
      <c r="EG75" s="254"/>
      <c r="EH75" s="89"/>
      <c r="EI75" s="89"/>
      <c r="EJ75" s="89"/>
      <c r="EK75" s="89"/>
      <c r="EL75" s="89"/>
      <c r="EM75" s="89"/>
      <c r="EN75" s="89"/>
      <c r="EO75" s="89"/>
      <c r="EP75" s="89"/>
      <c r="EQ75" s="89"/>
      <c r="ER75" s="89"/>
      <c r="ES75" s="89"/>
      <c r="ET75" s="89"/>
      <c r="EU75" s="89"/>
      <c r="EV75" s="89"/>
      <c r="EW75" s="89"/>
      <c r="EX75" s="89"/>
      <c r="EY75" s="89"/>
      <c r="EZ75" s="89"/>
      <c r="FA75" s="89"/>
      <c r="FB75" s="89"/>
      <c r="FC75" s="89"/>
      <c r="FD75" s="89"/>
      <c r="FE75" s="89"/>
      <c r="FF75" s="89"/>
      <c r="FG75" s="89"/>
      <c r="FH75" s="89"/>
      <c r="FI75" s="89"/>
      <c r="FJ75" s="257"/>
      <c r="FK75" s="257"/>
      <c r="FL75" s="312"/>
      <c r="FM75" s="188"/>
      <c r="FN75" s="300"/>
      <c r="FO75" s="108"/>
      <c r="FP75" s="108"/>
      <c r="FQ75" s="108"/>
      <c r="FR75" s="108"/>
      <c r="FS75" s="108"/>
      <c r="FT75" s="108"/>
      <c r="FU75" s="108"/>
      <c r="FV75" s="108"/>
      <c r="FW75" s="108"/>
      <c r="FX75" s="301"/>
      <c r="FY75" s="259"/>
      <c r="FZ75" s="259"/>
      <c r="GA75" s="259"/>
      <c r="GB75" s="259"/>
      <c r="GC75" s="301"/>
      <c r="GD75" s="301"/>
      <c r="GE75" s="301"/>
      <c r="GF75" s="301"/>
      <c r="GG75" s="301"/>
      <c r="GH75" s="301"/>
      <c r="GI75" s="301"/>
      <c r="GJ75" s="301"/>
      <c r="GK75" s="301"/>
      <c r="GL75" s="301"/>
      <c r="GM75" s="301"/>
      <c r="GN75" s="301"/>
      <c r="GO75" s="301"/>
      <c r="GP75" s="301"/>
      <c r="GQ75" s="301"/>
      <c r="GR75" s="301"/>
      <c r="GS75" s="301"/>
      <c r="GT75" s="301"/>
      <c r="GU75" s="301"/>
      <c r="GV75" s="301"/>
      <c r="IB75" s="65"/>
    </row>
    <row r="76" spans="1:236" ht="16.5" customHeight="1">
      <c r="A76" s="60"/>
      <c r="B76" s="69"/>
      <c r="C76" s="69"/>
      <c r="D76" s="268"/>
      <c r="E76" s="262"/>
      <c r="F76" s="262"/>
      <c r="G76" s="262"/>
      <c r="H76" s="262"/>
      <c r="I76" s="262"/>
      <c r="J76" s="262"/>
      <c r="K76" s="89"/>
      <c r="L76" s="262"/>
      <c r="M76" s="262"/>
      <c r="N76" s="262"/>
      <c r="O76" s="262"/>
      <c r="P76" s="262"/>
      <c r="Q76" s="262"/>
      <c r="R76" s="262"/>
      <c r="S76" s="262"/>
      <c r="T76" s="262"/>
      <c r="U76" s="262"/>
      <c r="V76" s="262"/>
      <c r="W76" s="262"/>
      <c r="X76" s="262"/>
      <c r="Y76" s="262"/>
      <c r="Z76" s="262"/>
      <c r="AA76" s="262"/>
      <c r="AB76" s="262"/>
      <c r="AC76" s="262"/>
      <c r="AD76" s="268"/>
      <c r="AE76" s="268"/>
      <c r="AF76" s="268"/>
      <c r="AG76" s="268"/>
      <c r="AH76" s="268"/>
      <c r="AI76" s="268"/>
      <c r="AJ76" s="268"/>
      <c r="AK76" s="268"/>
      <c r="AL76" s="268"/>
      <c r="AM76" s="268"/>
      <c r="AN76" s="268"/>
      <c r="AO76" s="268"/>
      <c r="AP76" s="268"/>
      <c r="AQ76" s="268"/>
      <c r="AR76" s="268"/>
      <c r="AS76" s="268"/>
      <c r="AT76" s="268"/>
      <c r="AU76" s="268"/>
      <c r="AV76" s="268"/>
      <c r="AW76" s="268"/>
      <c r="AX76" s="268"/>
      <c r="AY76" s="268"/>
      <c r="AZ76" s="268"/>
      <c r="BA76" s="268"/>
      <c r="BB76" s="268"/>
      <c r="BC76" s="268"/>
      <c r="BD76" s="268"/>
      <c r="BE76" s="268"/>
      <c r="BF76" s="268"/>
      <c r="BG76" s="268"/>
      <c r="BH76" s="268"/>
      <c r="BI76" s="268"/>
      <c r="BJ76" s="268"/>
      <c r="BK76" s="268"/>
      <c r="BL76" s="268"/>
      <c r="BM76" s="268"/>
      <c r="BN76" s="268"/>
      <c r="BO76" s="268"/>
      <c r="BP76" s="268"/>
      <c r="BQ76" s="268"/>
      <c r="BR76" s="268"/>
      <c r="BS76" s="268"/>
      <c r="BT76" s="268"/>
      <c r="BU76" s="268"/>
      <c r="BV76" s="268"/>
      <c r="BW76" s="268"/>
      <c r="BX76" s="268"/>
      <c r="BY76" s="268"/>
      <c r="BZ76" s="268"/>
      <c r="CA76" s="268"/>
      <c r="CB76" s="268"/>
      <c r="CC76" s="268"/>
      <c r="CD76" s="268"/>
      <c r="CE76" s="268"/>
      <c r="CF76" s="268"/>
      <c r="CG76" s="268"/>
      <c r="CH76" s="268"/>
      <c r="CI76" s="262"/>
      <c r="CJ76" s="262"/>
      <c r="CK76" s="262"/>
      <c r="CL76" s="262"/>
      <c r="CM76" s="262"/>
      <c r="CN76" s="262"/>
      <c r="CO76" s="89"/>
      <c r="CP76" s="89"/>
      <c r="CQ76" s="89"/>
      <c r="CR76" s="89"/>
      <c r="CS76" s="89"/>
      <c r="CT76" s="89"/>
      <c r="CU76" s="89"/>
      <c r="CV76" s="89"/>
      <c r="CW76" s="89"/>
      <c r="CX76" s="89"/>
      <c r="CY76" s="89"/>
      <c r="CZ76" s="89"/>
      <c r="DA76" s="89"/>
      <c r="DB76" s="302" t="str">
        <f ca="1">IF(FL1=0,"","De maximale omzet is:")</f>
        <v/>
      </c>
      <c r="DC76" s="303"/>
      <c r="DD76" s="253" t="str">
        <f ca="1">IF(FL1=0,"","+")</f>
        <v/>
      </c>
      <c r="DE76" s="539"/>
      <c r="DF76" s="539"/>
      <c r="DG76" s="539"/>
      <c r="DH76" s="539"/>
      <c r="DI76" s="539"/>
      <c r="DJ76" s="539"/>
      <c r="DK76" s="539"/>
      <c r="DL76" s="539"/>
      <c r="DM76" s="539"/>
      <c r="DN76" s="539"/>
      <c r="DO76" s="539"/>
      <c r="DP76" s="539"/>
      <c r="DQ76" s="539"/>
      <c r="DR76" s="539"/>
      <c r="DS76" s="539"/>
      <c r="DT76" s="539"/>
      <c r="DU76" s="539"/>
      <c r="DV76" s="539"/>
      <c r="DW76" s="539"/>
      <c r="DX76" s="539"/>
      <c r="DY76" s="539"/>
      <c r="DZ76" s="539"/>
      <c r="EA76" s="539"/>
      <c r="EB76" s="253" t="str">
        <f ca="1">IF(FL1=0,"","+")</f>
        <v/>
      </c>
      <c r="EC76" s="304" t="s">
        <v>131</v>
      </c>
      <c r="ED76" s="141"/>
      <c r="EE76" s="279" t="str">
        <f ca="1">IF(OR(CO461="",TODAY()&gt;=Blad1!AY3),"",IF(FL1=0,"",IF(DE76="","Deze moet je nog maken.",IF(FL76=1,"Goed!","Fout!"))))</f>
        <v/>
      </c>
      <c r="EF76" s="254"/>
      <c r="EG76" s="254"/>
      <c r="EH76" s="89"/>
      <c r="EI76" s="89"/>
      <c r="EJ76" s="89"/>
      <c r="EK76" s="89"/>
      <c r="EL76" s="89"/>
      <c r="EM76" s="89"/>
      <c r="EN76" s="89"/>
      <c r="EO76" s="89"/>
      <c r="EP76" s="89"/>
      <c r="EQ76" s="89"/>
      <c r="ER76" s="89"/>
      <c r="ES76" s="89"/>
      <c r="ET76" s="89"/>
      <c r="EU76" s="89"/>
      <c r="EV76" s="89"/>
      <c r="EW76" s="89"/>
      <c r="EX76" s="89"/>
      <c r="EY76" s="89"/>
      <c r="EZ76" s="89"/>
      <c r="FA76" s="89"/>
      <c r="FB76" s="89"/>
      <c r="FC76" s="89"/>
      <c r="FD76" s="89"/>
      <c r="FE76" s="89"/>
      <c r="FF76" s="89"/>
      <c r="FG76" s="89"/>
      <c r="FH76" s="89"/>
      <c r="FI76" s="89"/>
      <c r="FJ76" s="257"/>
      <c r="FK76" s="257"/>
      <c r="FL76" s="312">
        <f ca="1">IF(programma!B1="X",1,IF(FL1=0,0,IF(AND(DE76&gt;=FN76-0.01,DE76&lt;=FN76+0.01),1,0)))</f>
        <v>0</v>
      </c>
      <c r="FM76" s="188"/>
      <c r="FN76" s="103">
        <f ca="1">IF(FK1=0,"",ROUND(FN72*(FP72/2)^2+FO72*FP72/2,2))</f>
        <v>54000</v>
      </c>
      <c r="FO76" s="103"/>
      <c r="FP76" s="103"/>
      <c r="FQ76" s="300"/>
      <c r="FR76" s="300"/>
      <c r="FS76" s="300"/>
      <c r="FT76" s="300"/>
      <c r="FU76" s="300"/>
      <c r="FV76" s="300"/>
      <c r="FW76" s="108"/>
      <c r="FX76" s="301"/>
      <c r="FY76" s="259"/>
      <c r="FZ76" s="259"/>
      <c r="GA76" s="259"/>
      <c r="GB76" s="259"/>
      <c r="GC76" s="301"/>
      <c r="GD76" s="301"/>
      <c r="GE76" s="301"/>
      <c r="GF76" s="301"/>
      <c r="GG76" s="301"/>
      <c r="GH76" s="301"/>
      <c r="GI76" s="301"/>
      <c r="GJ76" s="301"/>
      <c r="GK76" s="301"/>
      <c r="GL76" s="301"/>
      <c r="GM76" s="301"/>
      <c r="GN76" s="301"/>
      <c r="GO76" s="301"/>
      <c r="GP76" s="301"/>
      <c r="GQ76" s="301"/>
      <c r="GR76" s="301"/>
      <c r="GS76" s="301"/>
      <c r="GT76" s="301"/>
      <c r="GU76" s="301"/>
      <c r="GV76" s="301"/>
      <c r="IB76" s="65"/>
    </row>
    <row r="77" spans="1:236" ht="3.6" customHeight="1">
      <c r="A77" s="60"/>
      <c r="B77" s="69"/>
      <c r="C77" s="69"/>
      <c r="D77" s="141"/>
      <c r="E77" s="262"/>
      <c r="F77" s="262"/>
      <c r="G77" s="262"/>
      <c r="H77" s="262"/>
      <c r="I77" s="262"/>
      <c r="J77" s="262"/>
      <c r="K77" s="89"/>
      <c r="L77" s="262"/>
      <c r="M77" s="262"/>
      <c r="N77" s="262"/>
      <c r="O77" s="262"/>
      <c r="P77" s="262"/>
      <c r="Q77" s="262"/>
      <c r="R77" s="262"/>
      <c r="S77" s="262"/>
      <c r="T77" s="262"/>
      <c r="U77" s="262"/>
      <c r="V77" s="262"/>
      <c r="W77" s="262"/>
      <c r="X77" s="262"/>
      <c r="Y77" s="262"/>
      <c r="Z77" s="262"/>
      <c r="AA77" s="262"/>
      <c r="AB77" s="262"/>
      <c r="AC77" s="262"/>
      <c r="AD77" s="268"/>
      <c r="AE77" s="268"/>
      <c r="AF77" s="268"/>
      <c r="AG77" s="268"/>
      <c r="AH77" s="268"/>
      <c r="AI77" s="268"/>
      <c r="AJ77" s="268"/>
      <c r="AK77" s="268"/>
      <c r="AL77" s="268"/>
      <c r="AM77" s="268"/>
      <c r="AN77" s="268"/>
      <c r="AO77" s="268"/>
      <c r="AP77" s="268"/>
      <c r="AQ77" s="268"/>
      <c r="AR77" s="268"/>
      <c r="AS77" s="268"/>
      <c r="AT77" s="268"/>
      <c r="AU77" s="268"/>
      <c r="AV77" s="268"/>
      <c r="AW77" s="268"/>
      <c r="AX77" s="268"/>
      <c r="AY77" s="268"/>
      <c r="AZ77" s="268"/>
      <c r="BA77" s="268"/>
      <c r="BB77" s="268"/>
      <c r="BC77" s="268"/>
      <c r="BD77" s="268"/>
      <c r="BE77" s="268"/>
      <c r="BF77" s="268"/>
      <c r="BG77" s="268"/>
      <c r="BH77" s="268"/>
      <c r="BI77" s="268"/>
      <c r="BJ77" s="268"/>
      <c r="BK77" s="268"/>
      <c r="BL77" s="268"/>
      <c r="BM77" s="268"/>
      <c r="BN77" s="268"/>
      <c r="BO77" s="268"/>
      <c r="BP77" s="268"/>
      <c r="BQ77" s="268"/>
      <c r="BR77" s="268"/>
      <c r="BS77" s="268"/>
      <c r="BT77" s="268"/>
      <c r="BU77" s="268"/>
      <c r="BV77" s="268"/>
      <c r="BW77" s="268"/>
      <c r="BX77" s="268"/>
      <c r="BY77" s="268"/>
      <c r="BZ77" s="268"/>
      <c r="CA77" s="268"/>
      <c r="CB77" s="268"/>
      <c r="CC77" s="268"/>
      <c r="CD77" s="268"/>
      <c r="CE77" s="268"/>
      <c r="CF77" s="268"/>
      <c r="CG77" s="268"/>
      <c r="CH77" s="268"/>
      <c r="CI77" s="262"/>
      <c r="CJ77" s="262"/>
      <c r="CK77" s="262"/>
      <c r="CL77" s="262"/>
      <c r="CM77" s="262"/>
      <c r="CN77" s="262"/>
      <c r="CO77" s="89"/>
      <c r="CP77" s="89"/>
      <c r="CQ77" s="89"/>
      <c r="CR77" s="89"/>
      <c r="CS77" s="89"/>
      <c r="CT77" s="89"/>
      <c r="CU77" s="89"/>
      <c r="CV77" s="89"/>
      <c r="CW77" s="89"/>
      <c r="CX77" s="89"/>
      <c r="CY77" s="89"/>
      <c r="CZ77" s="89"/>
      <c r="DA77" s="89"/>
      <c r="DB77" s="89"/>
      <c r="DC77" s="89"/>
      <c r="DD77" s="538" t="str">
        <f ca="1">IF(FL1=0,"","+")</f>
        <v/>
      </c>
      <c r="DE77" s="538"/>
      <c r="DF77" s="538"/>
      <c r="DG77" s="538"/>
      <c r="DH77" s="538"/>
      <c r="DI77" s="538"/>
      <c r="DJ77" s="538"/>
      <c r="DK77" s="538"/>
      <c r="DL77" s="538"/>
      <c r="DM77" s="538"/>
      <c r="DN77" s="538"/>
      <c r="DO77" s="538"/>
      <c r="DP77" s="538"/>
      <c r="DQ77" s="538"/>
      <c r="DR77" s="538"/>
      <c r="DS77" s="538"/>
      <c r="DT77" s="538"/>
      <c r="DU77" s="538"/>
      <c r="DV77" s="538"/>
      <c r="DW77" s="538"/>
      <c r="DX77" s="538"/>
      <c r="DY77" s="538"/>
      <c r="DZ77" s="538"/>
      <c r="EA77" s="538"/>
      <c r="EB77" s="538"/>
      <c r="EC77" s="254"/>
      <c r="ED77" s="254"/>
      <c r="EE77" s="254"/>
      <c r="EF77" s="254"/>
      <c r="EG77" s="254"/>
      <c r="EH77" s="89"/>
      <c r="EI77" s="89"/>
      <c r="EJ77" s="89"/>
      <c r="EK77" s="89"/>
      <c r="EL77" s="89"/>
      <c r="EM77" s="89"/>
      <c r="EN77" s="89"/>
      <c r="EO77" s="89"/>
      <c r="EP77" s="89"/>
      <c r="EQ77" s="89"/>
      <c r="ER77" s="89"/>
      <c r="ES77" s="89"/>
      <c r="ET77" s="89"/>
      <c r="EU77" s="89"/>
      <c r="EV77" s="89"/>
      <c r="EW77" s="89"/>
      <c r="EX77" s="89"/>
      <c r="EY77" s="89"/>
      <c r="EZ77" s="89"/>
      <c r="FA77" s="89"/>
      <c r="FB77" s="89"/>
      <c r="FC77" s="89"/>
      <c r="FD77" s="89"/>
      <c r="FE77" s="89"/>
      <c r="FF77" s="89"/>
      <c r="FG77" s="89"/>
      <c r="FH77" s="89"/>
      <c r="FI77" s="89"/>
      <c r="FJ77" s="257"/>
      <c r="FK77" s="257" t="s">
        <v>163</v>
      </c>
      <c r="FL77" s="312"/>
      <c r="FM77" s="188"/>
      <c r="FN77" s="300"/>
      <c r="FO77" s="108"/>
      <c r="FP77" s="108"/>
      <c r="FQ77" s="108"/>
      <c r="FR77" s="108"/>
      <c r="FS77" s="108"/>
      <c r="FT77" s="108"/>
      <c r="FU77" s="108"/>
      <c r="FV77" s="108"/>
      <c r="FW77" s="108"/>
      <c r="FX77" s="301"/>
      <c r="FY77" s="259"/>
      <c r="FZ77" s="259"/>
      <c r="GA77" s="259"/>
      <c r="GB77" s="259"/>
      <c r="GC77" s="301"/>
      <c r="GD77" s="301"/>
      <c r="GE77" s="301"/>
      <c r="GF77" s="301"/>
      <c r="GG77" s="301"/>
      <c r="GH77" s="301"/>
      <c r="GI77" s="301"/>
      <c r="GJ77" s="301"/>
      <c r="GK77" s="301"/>
      <c r="GL77" s="301"/>
      <c r="GM77" s="301"/>
      <c r="GN77" s="301"/>
      <c r="GO77" s="301"/>
      <c r="GP77" s="301"/>
      <c r="GQ77" s="301"/>
      <c r="GR77" s="301"/>
      <c r="GS77" s="301"/>
      <c r="GT77" s="301"/>
      <c r="GU77" s="301"/>
      <c r="GV77" s="301"/>
      <c r="IB77" s="65"/>
    </row>
    <row r="78" spans="1:236" customFormat="1" ht="3.75" customHeight="1">
      <c r="A78" s="1"/>
      <c r="B78" s="3"/>
      <c r="C78" s="3"/>
      <c r="D78" s="252"/>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278"/>
      <c r="AR78" s="278"/>
      <c r="AS78" s="278"/>
      <c r="AT78" s="278"/>
      <c r="AU78" s="278"/>
      <c r="AV78" s="278"/>
      <c r="AW78" s="278"/>
      <c r="AX78" s="253"/>
      <c r="AY78" s="251"/>
      <c r="AZ78" s="251"/>
      <c r="BA78" s="251"/>
      <c r="BB78" s="251"/>
      <c r="BC78" s="251"/>
      <c r="BD78" s="251"/>
      <c r="BE78" s="251"/>
      <c r="BF78" s="251"/>
      <c r="BG78" s="251"/>
      <c r="BH78" s="251"/>
      <c r="BI78" s="251"/>
      <c r="BJ78" s="251"/>
      <c r="BK78" s="251"/>
      <c r="BL78" s="251"/>
      <c r="BM78" s="251"/>
      <c r="BN78" s="251"/>
      <c r="BO78" s="251"/>
      <c r="BP78" s="254"/>
      <c r="BQ78" s="254"/>
      <c r="BR78" s="254"/>
      <c r="BS78" s="254"/>
      <c r="BT78" s="254"/>
      <c r="BU78" s="254"/>
      <c r="BV78" s="254"/>
      <c r="BW78" s="254"/>
      <c r="BX78" s="254"/>
      <c r="BY78" s="254"/>
      <c r="BZ78" s="254"/>
      <c r="CA78" s="254"/>
      <c r="CB78" s="254"/>
      <c r="CC78" s="254"/>
      <c r="CD78" s="254"/>
      <c r="CE78" s="254"/>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257"/>
      <c r="FK78" s="257"/>
      <c r="FL78" s="312"/>
      <c r="FM78" s="188"/>
      <c r="FN78" s="47"/>
      <c r="FO78" s="47"/>
      <c r="FP78" s="47"/>
      <c r="FQ78" s="47"/>
      <c r="FR78" s="49"/>
      <c r="FS78" s="49"/>
      <c r="FT78" s="49"/>
      <c r="FU78" s="49"/>
      <c r="FV78" s="49"/>
      <c r="FW78" s="49"/>
      <c r="FX78" s="47"/>
      <c r="FY78" s="259"/>
      <c r="FZ78" s="259"/>
      <c r="GA78" s="259"/>
      <c r="GB78" s="259"/>
      <c r="GC78" s="49"/>
      <c r="GD78" s="49"/>
      <c r="GE78" s="49"/>
      <c r="GF78" s="49"/>
      <c r="GG78" s="49"/>
      <c r="GH78" s="49"/>
      <c r="GI78" s="49"/>
      <c r="GJ78" s="49"/>
      <c r="GK78" s="49"/>
      <c r="GL78" s="49"/>
      <c r="GM78" s="49"/>
      <c r="GN78" s="49"/>
      <c r="GO78" s="49"/>
      <c r="GP78" s="49"/>
      <c r="GQ78" s="49"/>
      <c r="GR78" s="49"/>
      <c r="GS78" s="49"/>
      <c r="GT78" s="49"/>
      <c r="GU78" s="49"/>
      <c r="GV78" s="49"/>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row>
    <row r="79" spans="1:236" customFormat="1" ht="11.25" customHeight="1">
      <c r="A79" s="1"/>
      <c r="B79" s="3"/>
      <c r="C79" s="3"/>
      <c r="D79" s="252"/>
      <c r="E79" s="10"/>
      <c r="F79" s="10"/>
      <c r="G79" s="10"/>
      <c r="H79" s="10"/>
      <c r="I79" s="10"/>
      <c r="J79" s="10"/>
      <c r="K79" s="10"/>
      <c r="L79" s="10"/>
      <c r="M79" s="10"/>
      <c r="N79" s="10"/>
      <c r="O79" s="10"/>
      <c r="P79" s="10"/>
      <c r="Q79" s="10"/>
      <c r="R79" s="10"/>
      <c r="S79" s="7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141"/>
      <c r="BV79" s="141"/>
      <c r="BW79" s="141"/>
      <c r="BX79" s="141"/>
      <c r="BY79" s="141"/>
      <c r="BZ79" s="141"/>
      <c r="CA79" s="141"/>
      <c r="CB79" s="141"/>
      <c r="CC79" s="141"/>
      <c r="CD79" s="141"/>
      <c r="CE79" s="141"/>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257"/>
      <c r="FK79" s="257"/>
      <c r="FL79" s="312"/>
      <c r="FM79" s="188"/>
      <c r="FN79" s="49"/>
      <c r="FO79" s="49"/>
      <c r="FP79" s="49"/>
      <c r="FQ79" s="49"/>
      <c r="FR79" s="49"/>
      <c r="FS79" s="49"/>
      <c r="FT79" s="47"/>
      <c r="FU79" s="47"/>
      <c r="FV79" s="47"/>
      <c r="FW79" s="47"/>
      <c r="FX79" s="47"/>
      <c r="FY79" s="259"/>
      <c r="FZ79" s="259"/>
      <c r="GA79" s="259"/>
      <c r="GB79" s="259"/>
      <c r="GC79" s="49"/>
      <c r="GD79" s="49"/>
      <c r="GE79" s="49"/>
      <c r="GF79" s="49"/>
      <c r="GG79" s="49"/>
      <c r="GH79" s="49"/>
      <c r="GI79" s="49"/>
      <c r="GJ79" s="49"/>
      <c r="GK79" s="49"/>
      <c r="GL79" s="49"/>
      <c r="GM79" s="49"/>
      <c r="GN79" s="49"/>
      <c r="GO79" s="49"/>
      <c r="GP79" s="49"/>
      <c r="GQ79" s="49"/>
      <c r="GR79" s="49"/>
      <c r="GS79" s="49"/>
      <c r="GT79" s="49"/>
      <c r="GU79" s="49"/>
      <c r="GV79" s="49"/>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row>
    <row r="80" spans="1:236" ht="16.95" customHeight="1">
      <c r="A80" s="60"/>
      <c r="B80" s="272" t="str">
        <f ca="1">IF(FL1=0,"",4)</f>
        <v/>
      </c>
      <c r="C80" s="273"/>
      <c r="D80" s="262" t="str">
        <f ca="1">IF(FL1=0,"","Gebruik de TO-en MO-functie van de vorige vraag. De functie van de totale")</f>
        <v/>
      </c>
      <c r="E80" s="274"/>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c r="AJ80" s="275"/>
      <c r="AK80" s="275"/>
      <c r="AL80" s="275"/>
      <c r="AM80" s="275"/>
      <c r="AN80" s="275"/>
      <c r="AO80" s="275"/>
      <c r="AP80" s="275"/>
      <c r="AQ80" s="275"/>
      <c r="AR80" s="275"/>
      <c r="AS80" s="275"/>
      <c r="AT80" s="275"/>
      <c r="AU80" s="275"/>
      <c r="AV80" s="275"/>
      <c r="AW80" s="275"/>
      <c r="AX80" s="275"/>
      <c r="AY80" s="275"/>
      <c r="AZ80" s="275"/>
      <c r="BA80" s="275"/>
      <c r="BB80" s="275"/>
      <c r="BC80" s="275"/>
      <c r="BD80" s="275"/>
      <c r="BE80" s="275"/>
      <c r="BF80" s="275"/>
      <c r="BG80" s="275"/>
      <c r="BH80" s="275"/>
      <c r="BI80" s="275"/>
      <c r="BJ80" s="275"/>
      <c r="BK80" s="275"/>
      <c r="BL80" s="275"/>
      <c r="BM80" s="275"/>
      <c r="BN80" s="275"/>
      <c r="BO80" s="276"/>
      <c r="BP80" s="276"/>
      <c r="BQ80" s="276"/>
      <c r="BR80" s="276"/>
      <c r="BS80" s="276"/>
      <c r="BT80" s="276"/>
      <c r="BU80" s="276"/>
      <c r="BV80" s="276"/>
      <c r="BW80" s="276"/>
      <c r="BX80" s="276"/>
      <c r="BY80" s="276"/>
      <c r="BZ80" s="276"/>
      <c r="CA80" s="276"/>
      <c r="CB80" s="276"/>
      <c r="CC80" s="276"/>
      <c r="CD80" s="276"/>
      <c r="CE80" s="276"/>
      <c r="CF80" s="276"/>
      <c r="CG80" s="276"/>
      <c r="CH80" s="275"/>
      <c r="CI80" s="275"/>
      <c r="CJ80" s="275"/>
      <c r="CK80" s="275"/>
      <c r="CL80" s="265"/>
      <c r="CM80" s="265"/>
      <c r="CN80" s="265"/>
      <c r="CO80" s="265"/>
      <c r="CP80" s="265"/>
      <c r="CQ80" s="265"/>
      <c r="CR80" s="265"/>
      <c r="CS80" s="265"/>
      <c r="CT80" s="265"/>
      <c r="CU80" s="265"/>
      <c r="CV80" s="265"/>
      <c r="CW80" s="265"/>
      <c r="CX80" s="265"/>
      <c r="CY80" s="265"/>
      <c r="CZ80" s="265"/>
      <c r="DA80" s="265"/>
      <c r="DB80" s="265"/>
      <c r="DC80" s="265"/>
      <c r="DD80" s="265"/>
      <c r="DE80" s="265"/>
      <c r="DF80" s="265"/>
      <c r="DG80" s="265"/>
      <c r="DH80" s="265"/>
      <c r="DI80" s="265"/>
      <c r="DJ80" s="265"/>
      <c r="DK80" s="265"/>
      <c r="DL80" s="268"/>
      <c r="DM80" s="268"/>
      <c r="DN80" s="268"/>
      <c r="DO80" s="268"/>
      <c r="DP80" s="268"/>
      <c r="DQ80" s="268"/>
      <c r="DR80" s="268"/>
      <c r="DS80" s="268"/>
      <c r="DT80" s="268"/>
      <c r="DU80" s="268"/>
      <c r="DV80" s="268"/>
      <c r="DW80" s="268"/>
      <c r="DX80" s="268"/>
      <c r="DY80" s="268"/>
      <c r="DZ80" s="268"/>
      <c r="EA80" s="268"/>
      <c r="EB80" s="268"/>
      <c r="EC80" s="265"/>
      <c r="ED80" s="265"/>
      <c r="EE80" s="265"/>
      <c r="EF80" s="265"/>
      <c r="EG80" s="265"/>
      <c r="EH80" s="265"/>
      <c r="EI80" s="265"/>
      <c r="EJ80" s="265"/>
      <c r="EK80" s="265"/>
      <c r="EL80" s="265"/>
      <c r="EM80" s="265"/>
      <c r="EN80" s="265"/>
      <c r="EO80" s="265"/>
      <c r="EP80" s="265"/>
      <c r="EQ80" s="265"/>
      <c r="ER80" s="265"/>
      <c r="ES80" s="265"/>
      <c r="ET80" s="265"/>
      <c r="EU80" s="265"/>
      <c r="EV80" s="265"/>
      <c r="EW80" s="265"/>
      <c r="EX80" s="265"/>
      <c r="EY80" s="265"/>
      <c r="EZ80" s="265"/>
      <c r="FA80" s="265"/>
      <c r="FB80" s="265"/>
      <c r="FC80" s="265"/>
      <c r="FD80" s="265"/>
      <c r="FE80" s="265"/>
      <c r="FF80" s="265"/>
      <c r="FG80" s="265"/>
      <c r="FH80" s="141"/>
      <c r="FI80" s="141"/>
      <c r="FJ80" s="257"/>
      <c r="FK80" s="257"/>
      <c r="FL80" s="312"/>
      <c r="FM80" s="188"/>
      <c r="FN80" s="257"/>
      <c r="FO80" s="257"/>
      <c r="FP80" s="257"/>
      <c r="FQ80" s="257"/>
      <c r="FR80" s="257"/>
      <c r="FS80" s="257"/>
      <c r="FT80" s="257"/>
      <c r="FU80" s="257"/>
      <c r="FV80" s="259"/>
      <c r="FW80" s="259"/>
      <c r="FX80" s="259"/>
      <c r="FY80" s="259"/>
      <c r="FZ80" s="259"/>
      <c r="GA80" s="259"/>
      <c r="GB80" s="259"/>
      <c r="GC80" s="259"/>
      <c r="GD80" s="259"/>
      <c r="GE80" s="259"/>
      <c r="GF80" s="259"/>
      <c r="GG80" s="259"/>
      <c r="GH80" s="259"/>
      <c r="GI80" s="259"/>
      <c r="GJ80" s="259"/>
      <c r="GK80" s="259"/>
      <c r="GL80" s="259"/>
      <c r="GM80" s="259"/>
      <c r="GN80" s="259"/>
      <c r="GO80" s="259"/>
      <c r="GP80" s="259"/>
      <c r="GQ80" s="259"/>
      <c r="GR80" s="259"/>
      <c r="GS80" s="259"/>
      <c r="GT80" s="259"/>
      <c r="GU80" s="259"/>
      <c r="GV80" s="259"/>
    </row>
    <row r="81" spans="1:236" ht="16.95" customHeight="1">
      <c r="A81" s="60"/>
      <c r="B81" s="69"/>
      <c r="C81" s="273"/>
      <c r="D81" s="262" t="str">
        <f ca="1">IF(FL1=0,"","kosten luidt TK = "&amp;FN82&amp;"q + "&amp;FO82&amp;" (q luidt in stuks en TK in euro's). Hoeveel is")</f>
        <v/>
      </c>
      <c r="E81" s="274"/>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c r="AN81" s="275"/>
      <c r="AO81" s="275"/>
      <c r="AP81" s="275"/>
      <c r="AQ81" s="275"/>
      <c r="AR81" s="275"/>
      <c r="AS81" s="275"/>
      <c r="AT81" s="275"/>
      <c r="AU81" s="275"/>
      <c r="AV81" s="275"/>
      <c r="AW81" s="275"/>
      <c r="AX81" s="275"/>
      <c r="AY81" s="275"/>
      <c r="AZ81" s="275"/>
      <c r="BA81" s="275"/>
      <c r="BB81" s="275"/>
      <c r="BC81" s="275"/>
      <c r="BD81" s="275"/>
      <c r="BE81" s="275"/>
      <c r="BF81" s="275"/>
      <c r="BG81" s="275"/>
      <c r="BH81" s="275"/>
      <c r="BI81" s="275"/>
      <c r="BJ81" s="275"/>
      <c r="BK81" s="275"/>
      <c r="BL81" s="275"/>
      <c r="BM81" s="275"/>
      <c r="BN81" s="275"/>
      <c r="BO81" s="276"/>
      <c r="BP81" s="276"/>
      <c r="BQ81" s="276"/>
      <c r="BR81" s="276"/>
      <c r="BS81" s="276"/>
      <c r="BT81" s="276"/>
      <c r="BU81" s="276"/>
      <c r="BV81" s="276"/>
      <c r="BW81" s="276"/>
      <c r="BX81" s="276"/>
      <c r="BY81" s="276"/>
      <c r="BZ81" s="276"/>
      <c r="CA81" s="276"/>
      <c r="CB81" s="276"/>
      <c r="CC81" s="276"/>
      <c r="CD81" s="276"/>
      <c r="CE81" s="276"/>
      <c r="CF81" s="276"/>
      <c r="CG81" s="276"/>
      <c r="CH81" s="275"/>
      <c r="CI81" s="275"/>
      <c r="CJ81" s="275"/>
      <c r="CK81" s="275"/>
      <c r="CL81" s="265"/>
      <c r="CM81" s="265"/>
      <c r="CN81" s="265"/>
      <c r="CO81" s="265"/>
      <c r="CP81" s="265"/>
      <c r="CQ81" s="265"/>
      <c r="CR81" s="265"/>
      <c r="CS81" s="265"/>
      <c r="CT81" s="265"/>
      <c r="CU81" s="265"/>
      <c r="CV81" s="265"/>
      <c r="CW81" s="265"/>
      <c r="CX81" s="265"/>
      <c r="CY81" s="265"/>
      <c r="CZ81" s="265"/>
      <c r="DA81" s="265"/>
      <c r="DB81" s="265"/>
      <c r="DC81" s="265"/>
      <c r="DD81" s="265"/>
      <c r="DE81" s="265"/>
      <c r="DF81" s="265"/>
      <c r="DG81" s="265"/>
      <c r="DH81" s="265"/>
      <c r="DI81" s="265"/>
      <c r="DJ81" s="265"/>
      <c r="DK81" s="265"/>
      <c r="DL81" s="268"/>
      <c r="DM81" s="268"/>
      <c r="DN81" s="268"/>
      <c r="DO81" s="268"/>
      <c r="DP81" s="268"/>
      <c r="DQ81" s="268"/>
      <c r="DR81" s="268"/>
      <c r="DS81" s="268"/>
      <c r="DT81" s="268"/>
      <c r="DU81" s="268"/>
      <c r="DV81" s="268"/>
      <c r="DW81" s="268"/>
      <c r="DX81" s="268"/>
      <c r="DY81" s="268"/>
      <c r="DZ81" s="268"/>
      <c r="EA81" s="268"/>
      <c r="EB81" s="268"/>
      <c r="EC81" s="265"/>
      <c r="ED81" s="265"/>
      <c r="EE81" s="265"/>
      <c r="EF81" s="265"/>
      <c r="EG81" s="265"/>
      <c r="EH81" s="265"/>
      <c r="EI81" s="265"/>
      <c r="EJ81" s="265"/>
      <c r="EK81" s="265"/>
      <c r="EL81" s="265"/>
      <c r="EM81" s="265"/>
      <c r="EN81" s="265"/>
      <c r="EO81" s="265"/>
      <c r="EP81" s="265"/>
      <c r="EQ81" s="265"/>
      <c r="ER81" s="265"/>
      <c r="ES81" s="265"/>
      <c r="ET81" s="265"/>
      <c r="EU81" s="265"/>
      <c r="EV81" s="265"/>
      <c r="EW81" s="265"/>
      <c r="EX81" s="265"/>
      <c r="EY81" s="265"/>
      <c r="EZ81" s="265"/>
      <c r="FA81" s="265"/>
      <c r="FB81" s="265"/>
      <c r="FC81" s="265"/>
      <c r="FD81" s="265"/>
      <c r="FE81" s="265"/>
      <c r="FF81" s="265"/>
      <c r="FG81" s="265"/>
      <c r="FH81" s="141"/>
      <c r="FI81" s="141"/>
      <c r="FJ81" s="257"/>
      <c r="FK81" s="257"/>
      <c r="FL81" s="312"/>
      <c r="FM81" s="188"/>
      <c r="FN81" s="257"/>
      <c r="FO81" s="257"/>
      <c r="FP81" s="257"/>
      <c r="FQ81" s="257"/>
      <c r="FR81" s="257"/>
      <c r="FS81" s="257"/>
      <c r="FT81" s="257"/>
      <c r="FU81" s="257"/>
      <c r="FV81" s="259"/>
      <c r="FW81" s="259"/>
      <c r="FX81" s="259"/>
      <c r="FY81" s="259"/>
      <c r="FZ81" s="259"/>
      <c r="GA81" s="259"/>
      <c r="GB81" s="259"/>
      <c r="GC81" s="259"/>
      <c r="GD81" s="259"/>
      <c r="GE81" s="259"/>
      <c r="GF81" s="259"/>
      <c r="GG81" s="259"/>
      <c r="GH81" s="259"/>
      <c r="GI81" s="259"/>
      <c r="GJ81" s="259"/>
      <c r="GK81" s="259"/>
      <c r="GL81" s="259"/>
      <c r="GM81" s="259"/>
      <c r="GN81" s="259"/>
      <c r="GO81" s="259"/>
      <c r="GP81" s="259"/>
      <c r="GQ81" s="259"/>
      <c r="GR81" s="259"/>
      <c r="GS81" s="259"/>
      <c r="GT81" s="259"/>
      <c r="GU81" s="259"/>
      <c r="GV81" s="259"/>
    </row>
    <row r="82" spans="1:236" s="268" customFormat="1" ht="16.95" customHeight="1">
      <c r="A82" s="60"/>
      <c r="B82" s="69"/>
      <c r="C82" s="69"/>
      <c r="D82" s="262" t="str">
        <f ca="1">IF(FL1=0,"","de totale winst bij een afzet van "&amp;FQ82&amp;" stuks?")</f>
        <v/>
      </c>
      <c r="E82" s="262"/>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CV82" s="89"/>
      <c r="CW82" s="89"/>
      <c r="CX82" s="89"/>
      <c r="CY82" s="89"/>
      <c r="CZ82" s="89"/>
      <c r="DA82" s="89"/>
      <c r="DB82" s="89"/>
      <c r="DC82" s="89"/>
      <c r="DD82" s="89"/>
      <c r="DE82" s="89"/>
      <c r="DF82" s="89"/>
      <c r="DG82" s="89"/>
      <c r="DH82" s="89"/>
      <c r="DI82" s="89"/>
      <c r="DJ82" s="89"/>
      <c r="DK82" s="89"/>
      <c r="DL82" s="89"/>
      <c r="DM82" s="89"/>
      <c r="DN82" s="89"/>
      <c r="DO82" s="89"/>
      <c r="FA82" s="89"/>
      <c r="FB82" s="89"/>
      <c r="FC82" s="89"/>
      <c r="FD82" s="89"/>
      <c r="FE82" s="89"/>
      <c r="FF82" s="89"/>
      <c r="FG82" s="89"/>
      <c r="FH82" s="89"/>
      <c r="FI82" s="89"/>
      <c r="FJ82" s="257"/>
      <c r="FK82" s="257"/>
      <c r="FL82" s="312"/>
      <c r="FM82" s="188"/>
      <c r="FN82" s="96">
        <f ca="1">ROUND(1.6/Blad1!Z24^0.3+Blad1!AA14,0)</f>
        <v>26</v>
      </c>
      <c r="FO82" s="96">
        <f ca="1">ROUND(0.7*FR82-FS82,-3)</f>
        <v>32000</v>
      </c>
      <c r="FP82" s="96"/>
      <c r="FQ82" s="96">
        <f ca="1">CEILING(0.4*FP72,10)</f>
        <v>160</v>
      </c>
      <c r="FR82" s="93">
        <f ca="1">ROUND(FN72*FQ82^2+FO72*FQ82,2)</f>
        <v>51840</v>
      </c>
      <c r="FS82" s="93">
        <f ca="1">FN82*FQ82</f>
        <v>4160</v>
      </c>
      <c r="FT82" s="93"/>
      <c r="FU82" s="257"/>
      <c r="FV82" s="86"/>
      <c r="FW82" s="86"/>
      <c r="FX82" s="86"/>
      <c r="FY82" s="259"/>
      <c r="FZ82" s="259"/>
      <c r="GA82" s="259"/>
      <c r="GB82" s="259"/>
      <c r="GC82" s="259"/>
      <c r="GD82" s="259"/>
      <c r="GE82" s="259"/>
      <c r="GF82" s="259"/>
      <c r="GG82" s="259"/>
      <c r="GH82" s="259"/>
      <c r="GI82" s="259"/>
      <c r="GJ82" s="259"/>
      <c r="GK82" s="86"/>
      <c r="GL82" s="86"/>
      <c r="GM82" s="86"/>
      <c r="GN82" s="86"/>
      <c r="GO82" s="86"/>
      <c r="GP82" s="377"/>
      <c r="GQ82" s="377"/>
      <c r="GR82" s="377"/>
      <c r="GS82" s="377"/>
      <c r="GT82" s="377"/>
      <c r="GU82" s="377"/>
      <c r="GV82" s="377"/>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row>
    <row r="83" spans="1:236" customFormat="1" ht="11.4" customHeight="1">
      <c r="A83" s="1"/>
      <c r="B83" s="3"/>
      <c r="C83" s="3"/>
      <c r="D83" s="74" t="str">
        <f ca="1">IF(FL1=0,"","")</f>
        <v/>
      </c>
      <c r="E83" s="70"/>
      <c r="F83" s="70"/>
      <c r="G83" s="70"/>
      <c r="H83" s="70"/>
      <c r="I83" s="70"/>
      <c r="J83" s="89"/>
      <c r="K83" s="89"/>
      <c r="L83" s="141"/>
      <c r="M83" s="141"/>
      <c r="N83" s="141"/>
      <c r="O83" s="141"/>
      <c r="P83" s="141"/>
      <c r="Q83" s="141"/>
      <c r="R83" s="141"/>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c r="BG83" s="137"/>
      <c r="BH83" s="137"/>
      <c r="BI83" s="137"/>
      <c r="BJ83" s="137"/>
      <c r="BK83" s="137"/>
      <c r="BL83" s="137"/>
      <c r="BM83" s="137"/>
      <c r="BN83" s="137"/>
      <c r="BO83" s="137"/>
      <c r="BP83" s="137"/>
      <c r="BQ83" s="137"/>
      <c r="BR83" s="137"/>
      <c r="BS83" s="137"/>
      <c r="BT83" s="137"/>
      <c r="BU83" s="137"/>
      <c r="BV83" s="137"/>
      <c r="BW83" s="137"/>
      <c r="BX83" s="137"/>
      <c r="BY83" s="137"/>
      <c r="BZ83" s="137"/>
      <c r="CA83" s="137"/>
      <c r="CB83" s="137"/>
      <c r="CC83" s="137"/>
      <c r="CD83" s="137"/>
      <c r="CE83" s="137"/>
      <c r="CF83" s="70"/>
      <c r="CG83" s="70"/>
      <c r="CH83" s="70"/>
      <c r="CI83" s="70"/>
      <c r="CJ83" s="70"/>
      <c r="CK83" s="70"/>
      <c r="CL83" s="70"/>
      <c r="CM83" s="70"/>
      <c r="CN83" s="70"/>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10"/>
      <c r="ER83" s="10"/>
      <c r="ES83" s="10"/>
      <c r="ET83" s="10"/>
      <c r="EU83" s="10"/>
      <c r="EV83" s="10"/>
      <c r="EW83" s="10"/>
      <c r="EX83" s="10"/>
      <c r="EY83" s="10"/>
      <c r="EZ83" s="10"/>
      <c r="FA83" s="10"/>
      <c r="FB83" s="10"/>
      <c r="FC83" s="10"/>
      <c r="FD83" s="10"/>
      <c r="FE83" s="10"/>
      <c r="FF83" s="10"/>
      <c r="FG83" s="10"/>
      <c r="FH83" s="10"/>
      <c r="FI83" s="10"/>
      <c r="FJ83" s="257"/>
      <c r="FK83" s="257"/>
      <c r="FL83" s="312"/>
      <c r="FM83" s="188"/>
      <c r="FN83" s="66"/>
      <c r="FO83" s="66"/>
      <c r="FP83" s="66"/>
      <c r="FQ83" s="66"/>
      <c r="FR83" s="66"/>
      <c r="FS83" s="66"/>
      <c r="FT83" s="47"/>
      <c r="FU83" s="47"/>
      <c r="FV83" s="47"/>
      <c r="FW83" s="47"/>
      <c r="FX83" s="47"/>
      <c r="FY83" s="259"/>
      <c r="FZ83" s="259"/>
      <c r="GA83" s="259"/>
      <c r="GB83" s="259"/>
      <c r="GC83" s="49"/>
      <c r="GD83" s="49"/>
      <c r="GE83" s="49"/>
      <c r="GF83" s="49"/>
      <c r="GG83" s="49"/>
      <c r="GH83" s="49"/>
      <c r="GI83" s="49"/>
      <c r="GJ83" s="49"/>
      <c r="GK83" s="49"/>
      <c r="GL83" s="49"/>
      <c r="GM83" s="49"/>
      <c r="GN83" s="49"/>
      <c r="GO83" s="49"/>
      <c r="GP83" s="49"/>
      <c r="GQ83" s="49"/>
      <c r="GR83" s="49"/>
      <c r="GS83" s="49"/>
      <c r="GT83" s="49"/>
      <c r="GU83" s="49"/>
      <c r="GV83" s="49"/>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row>
    <row r="84" spans="1:236" ht="3.6" customHeight="1">
      <c r="A84" s="60"/>
      <c r="B84" s="69"/>
      <c r="C84" s="69"/>
      <c r="D84" s="262"/>
      <c r="E84" s="262"/>
      <c r="F84" s="262"/>
      <c r="G84" s="262"/>
      <c r="H84" s="262"/>
      <c r="I84" s="262"/>
      <c r="J84" s="262"/>
      <c r="K84" s="89"/>
      <c r="L84" s="262"/>
      <c r="M84" s="262"/>
      <c r="N84" s="262"/>
      <c r="O84" s="262"/>
      <c r="P84" s="262"/>
      <c r="Q84" s="262"/>
      <c r="R84" s="262"/>
      <c r="S84" s="262"/>
      <c r="T84" s="262"/>
      <c r="U84" s="262"/>
      <c r="V84" s="262"/>
      <c r="W84" s="262"/>
      <c r="X84" s="262"/>
      <c r="Y84" s="262"/>
      <c r="Z84" s="262"/>
      <c r="AA84" s="262"/>
      <c r="AB84" s="262"/>
      <c r="AC84" s="262"/>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c r="BV84" s="268"/>
      <c r="BW84" s="268"/>
      <c r="BX84" s="268"/>
      <c r="BY84" s="268"/>
      <c r="BZ84" s="268"/>
      <c r="CA84" s="268"/>
      <c r="CB84" s="268"/>
      <c r="CC84" s="268"/>
      <c r="CD84" s="268"/>
      <c r="CE84" s="268"/>
      <c r="CF84" s="268"/>
      <c r="CG84" s="268"/>
      <c r="CH84" s="268"/>
      <c r="CI84" s="262"/>
      <c r="CJ84" s="262"/>
      <c r="CK84" s="262"/>
      <c r="CL84" s="262"/>
      <c r="CM84" s="262"/>
      <c r="CN84" s="262"/>
      <c r="CO84" s="89"/>
      <c r="CP84" s="89"/>
      <c r="CQ84" s="89"/>
      <c r="CR84" s="89"/>
      <c r="CS84" s="89"/>
      <c r="CT84" s="89"/>
      <c r="CU84" s="89"/>
      <c r="CV84" s="89"/>
      <c r="CW84" s="89"/>
      <c r="CX84" s="89"/>
      <c r="CY84" s="89"/>
      <c r="CZ84" s="89"/>
      <c r="DA84" s="89"/>
      <c r="DB84" s="89"/>
      <c r="DC84" s="89"/>
      <c r="DD84" s="538" t="str">
        <f ca="1">IF(FL1=0,"","+")</f>
        <v/>
      </c>
      <c r="DE84" s="538"/>
      <c r="DF84" s="538"/>
      <c r="DG84" s="538"/>
      <c r="DH84" s="538"/>
      <c r="DI84" s="538"/>
      <c r="DJ84" s="538"/>
      <c r="DK84" s="538"/>
      <c r="DL84" s="538"/>
      <c r="DM84" s="538"/>
      <c r="DN84" s="538"/>
      <c r="DO84" s="538"/>
      <c r="DP84" s="538"/>
      <c r="DQ84" s="538"/>
      <c r="DR84" s="538"/>
      <c r="DS84" s="538"/>
      <c r="DT84" s="538"/>
      <c r="DU84" s="538"/>
      <c r="DV84" s="538"/>
      <c r="DW84" s="538"/>
      <c r="DX84" s="538"/>
      <c r="DY84" s="538"/>
      <c r="DZ84" s="538"/>
      <c r="EA84" s="538"/>
      <c r="EB84" s="538"/>
      <c r="EC84" s="254"/>
      <c r="ED84" s="254"/>
      <c r="EE84" s="254"/>
      <c r="EF84" s="254"/>
      <c r="EG84" s="254"/>
      <c r="EH84" s="89"/>
      <c r="EI84" s="89"/>
      <c r="EJ84" s="89"/>
      <c r="EK84" s="89"/>
      <c r="EL84" s="89"/>
      <c r="EM84" s="89"/>
      <c r="EN84" s="89"/>
      <c r="EO84" s="89"/>
      <c r="EP84" s="89"/>
      <c r="EQ84" s="89"/>
      <c r="ER84" s="89"/>
      <c r="ES84" s="89"/>
      <c r="ET84" s="89"/>
      <c r="EU84" s="89"/>
      <c r="EV84" s="89"/>
      <c r="EW84" s="89"/>
      <c r="EX84" s="89"/>
      <c r="EY84" s="89"/>
      <c r="EZ84" s="89"/>
      <c r="FA84" s="89"/>
      <c r="FB84" s="89"/>
      <c r="FC84" s="89"/>
      <c r="FD84" s="89"/>
      <c r="FE84" s="89"/>
      <c r="FF84" s="89"/>
      <c r="FG84" s="89"/>
      <c r="FH84" s="89"/>
      <c r="FI84" s="89"/>
      <c r="FJ84" s="257"/>
      <c r="FK84" s="257"/>
      <c r="FL84" s="312"/>
      <c r="FM84" s="188"/>
      <c r="FN84" s="300"/>
      <c r="FO84" s="108"/>
      <c r="FP84" s="108"/>
      <c r="FQ84" s="108"/>
      <c r="FR84" s="108"/>
      <c r="FS84" s="108"/>
      <c r="FT84" s="108"/>
      <c r="FU84" s="108"/>
      <c r="FV84" s="108"/>
      <c r="FW84" s="108"/>
      <c r="FX84" s="301"/>
      <c r="FY84" s="259"/>
      <c r="FZ84" s="259"/>
      <c r="GA84" s="259"/>
      <c r="GB84" s="259"/>
      <c r="GC84" s="301"/>
      <c r="GD84" s="301"/>
      <c r="GE84" s="301"/>
      <c r="GF84" s="301"/>
      <c r="GG84" s="301"/>
      <c r="GH84" s="301"/>
      <c r="GI84" s="301"/>
      <c r="GJ84" s="301"/>
      <c r="GK84" s="301"/>
      <c r="GL84" s="301"/>
      <c r="GM84" s="301"/>
      <c r="GN84" s="301"/>
      <c r="GO84" s="301"/>
      <c r="GP84" s="301"/>
      <c r="GQ84" s="301"/>
      <c r="GR84" s="301"/>
      <c r="GS84" s="301"/>
      <c r="GT84" s="301"/>
      <c r="GU84" s="301"/>
      <c r="GV84" s="301"/>
      <c r="IB84" s="65"/>
    </row>
    <row r="85" spans="1:236" ht="16.5" customHeight="1">
      <c r="A85" s="60"/>
      <c r="B85" s="69"/>
      <c r="C85" s="69"/>
      <c r="D85" s="268"/>
      <c r="E85" s="262"/>
      <c r="F85" s="262"/>
      <c r="G85" s="262"/>
      <c r="H85" s="262"/>
      <c r="I85" s="262"/>
      <c r="J85" s="262"/>
      <c r="K85" s="89"/>
      <c r="L85" s="262"/>
      <c r="M85" s="262"/>
      <c r="N85" s="262"/>
      <c r="O85" s="262"/>
      <c r="P85" s="262"/>
      <c r="Q85" s="262"/>
      <c r="R85" s="262"/>
      <c r="S85" s="262"/>
      <c r="T85" s="262"/>
      <c r="U85" s="262"/>
      <c r="V85" s="262"/>
      <c r="W85" s="262"/>
      <c r="X85" s="262"/>
      <c r="Y85" s="262"/>
      <c r="Z85" s="262"/>
      <c r="AA85" s="262"/>
      <c r="AB85" s="262"/>
      <c r="AC85" s="262"/>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68"/>
      <c r="BT85" s="268"/>
      <c r="BU85" s="268"/>
      <c r="BV85" s="268"/>
      <c r="BW85" s="268"/>
      <c r="BX85" s="268"/>
      <c r="BY85" s="268"/>
      <c r="BZ85" s="268"/>
      <c r="CA85" s="268"/>
      <c r="CB85" s="268"/>
      <c r="CC85" s="268"/>
      <c r="CD85" s="268"/>
      <c r="CE85" s="268"/>
      <c r="CF85" s="268"/>
      <c r="CG85" s="268"/>
      <c r="CH85" s="268"/>
      <c r="CI85" s="262"/>
      <c r="CJ85" s="262"/>
      <c r="CK85" s="262"/>
      <c r="CL85" s="262"/>
      <c r="CM85" s="262"/>
      <c r="CN85" s="262"/>
      <c r="CO85" s="89"/>
      <c r="CP85" s="89"/>
      <c r="CQ85" s="89"/>
      <c r="CR85" s="89"/>
      <c r="CS85" s="89"/>
      <c r="CT85" s="89"/>
      <c r="CU85" s="89"/>
      <c r="CV85" s="89"/>
      <c r="CW85" s="89"/>
      <c r="CX85" s="89"/>
      <c r="CY85" s="89"/>
      <c r="CZ85" s="89"/>
      <c r="DA85" s="89"/>
      <c r="DB85" s="302" t="str">
        <f ca="1">IF(FL1=0,"","De totale winst is dan:")</f>
        <v/>
      </c>
      <c r="DC85" s="303"/>
      <c r="DD85" s="253" t="str">
        <f ca="1">IF(FL1=0,"","+")</f>
        <v/>
      </c>
      <c r="DE85" s="539"/>
      <c r="DF85" s="539"/>
      <c r="DG85" s="539"/>
      <c r="DH85" s="539"/>
      <c r="DI85" s="539"/>
      <c r="DJ85" s="539"/>
      <c r="DK85" s="539"/>
      <c r="DL85" s="539"/>
      <c r="DM85" s="539"/>
      <c r="DN85" s="539"/>
      <c r="DO85" s="539"/>
      <c r="DP85" s="539"/>
      <c r="DQ85" s="539"/>
      <c r="DR85" s="539"/>
      <c r="DS85" s="539"/>
      <c r="DT85" s="539"/>
      <c r="DU85" s="539"/>
      <c r="DV85" s="539"/>
      <c r="DW85" s="539"/>
      <c r="DX85" s="539"/>
      <c r="DY85" s="539"/>
      <c r="DZ85" s="539"/>
      <c r="EA85" s="539"/>
      <c r="EB85" s="253" t="str">
        <f ca="1">IF(FL1=0,"","+")</f>
        <v/>
      </c>
      <c r="EC85" s="304" t="s">
        <v>131</v>
      </c>
      <c r="ED85" s="141"/>
      <c r="EE85" s="279" t="str">
        <f ca="1">IF(OR(CO461="",TODAY()&gt;=Blad1!AY3),"",IF(FL1=0,"",IF(DE85="","Deze moet je nog maken.",IF(FL85=1,"Goed!","Fout!"))))</f>
        <v/>
      </c>
      <c r="EF85" s="254"/>
      <c r="EG85" s="254"/>
      <c r="EH85" s="89"/>
      <c r="EI85" s="89"/>
      <c r="EJ85" s="89"/>
      <c r="EK85" s="89"/>
      <c r="EL85" s="89"/>
      <c r="EM85" s="89"/>
      <c r="EN85" s="89"/>
      <c r="EO85" s="89"/>
      <c r="EP85" s="89"/>
      <c r="EQ85" s="89"/>
      <c r="ER85" s="89"/>
      <c r="ES85" s="89"/>
      <c r="ET85" s="89"/>
      <c r="EU85" s="89"/>
      <c r="EV85" s="89"/>
      <c r="EW85" s="89"/>
      <c r="EX85" s="89"/>
      <c r="EY85" s="89"/>
      <c r="EZ85" s="89"/>
      <c r="FA85" s="89"/>
      <c r="FB85" s="89"/>
      <c r="FC85" s="89"/>
      <c r="FD85" s="89"/>
      <c r="FE85" s="89"/>
      <c r="FF85" s="89"/>
      <c r="FG85" s="89"/>
      <c r="FH85" s="89"/>
      <c r="FI85" s="89"/>
      <c r="FJ85" s="257"/>
      <c r="FK85" s="257"/>
      <c r="FL85" s="312">
        <f ca="1">IF(programma!B1="X",1,IF(FL1=0,0,IF(AND(DE85&gt;=FN85-0.01,DE85&lt;=FN85+0.01),1,0)))</f>
        <v>0</v>
      </c>
      <c r="FM85" s="188"/>
      <c r="FN85" s="96">
        <f ca="1">IF(FK1=0,"",FR82-FS82-FO82)</f>
        <v>15680</v>
      </c>
      <c r="FO85" s="103"/>
      <c r="FP85" s="300"/>
      <c r="FQ85" s="300"/>
      <c r="FR85" s="300"/>
      <c r="FS85" s="300"/>
      <c r="FT85" s="300"/>
      <c r="FU85" s="300"/>
      <c r="FV85" s="300"/>
      <c r="FW85" s="108"/>
      <c r="FX85" s="301"/>
      <c r="FY85" s="259"/>
      <c r="FZ85" s="259"/>
      <c r="GA85" s="259"/>
      <c r="GB85" s="259"/>
      <c r="GC85" s="301"/>
      <c r="GD85" s="301"/>
      <c r="GE85" s="301"/>
      <c r="GF85" s="301"/>
      <c r="GG85" s="301"/>
      <c r="GH85" s="301"/>
      <c r="GI85" s="301"/>
      <c r="GJ85" s="301"/>
      <c r="GK85" s="301"/>
      <c r="GL85" s="301"/>
      <c r="GM85" s="301"/>
      <c r="GN85" s="301"/>
      <c r="GO85" s="301"/>
      <c r="GP85" s="301"/>
      <c r="GQ85" s="301"/>
      <c r="GR85" s="301"/>
      <c r="GS85" s="301"/>
      <c r="GT85" s="301"/>
      <c r="GU85" s="301"/>
      <c r="GV85" s="301"/>
      <c r="IB85" s="65"/>
    </row>
    <row r="86" spans="1:236" ht="3.6" customHeight="1">
      <c r="A86" s="60"/>
      <c r="B86" s="69"/>
      <c r="C86" s="69"/>
      <c r="D86" s="141"/>
      <c r="E86" s="262"/>
      <c r="F86" s="262"/>
      <c r="G86" s="262"/>
      <c r="H86" s="262"/>
      <c r="I86" s="262"/>
      <c r="J86" s="262"/>
      <c r="K86" s="89"/>
      <c r="L86" s="262"/>
      <c r="M86" s="262"/>
      <c r="N86" s="262"/>
      <c r="O86" s="262"/>
      <c r="P86" s="262"/>
      <c r="Q86" s="262"/>
      <c r="R86" s="262"/>
      <c r="S86" s="262"/>
      <c r="T86" s="262"/>
      <c r="U86" s="262"/>
      <c r="V86" s="262"/>
      <c r="W86" s="262"/>
      <c r="X86" s="262"/>
      <c r="Y86" s="262"/>
      <c r="Z86" s="262"/>
      <c r="AA86" s="262"/>
      <c r="AB86" s="262"/>
      <c r="AC86" s="262"/>
      <c r="AD86" s="268"/>
      <c r="AE86" s="268"/>
      <c r="AF86" s="268"/>
      <c r="AG86" s="268"/>
      <c r="AH86" s="268"/>
      <c r="AI86" s="268"/>
      <c r="AJ86" s="268"/>
      <c r="AK86" s="268"/>
      <c r="AL86" s="268"/>
      <c r="AM86" s="268"/>
      <c r="AN86" s="268"/>
      <c r="AO86" s="268"/>
      <c r="AP86" s="268"/>
      <c r="AQ86" s="268"/>
      <c r="AR86" s="268"/>
      <c r="AS86" s="268"/>
      <c r="AT86" s="268"/>
      <c r="AU86" s="268"/>
      <c r="AV86" s="268"/>
      <c r="AW86" s="268"/>
      <c r="AX86" s="268"/>
      <c r="AY86" s="268"/>
      <c r="AZ86" s="268"/>
      <c r="BA86" s="268"/>
      <c r="BB86" s="268"/>
      <c r="BC86" s="268"/>
      <c r="BD86" s="268"/>
      <c r="BE86" s="268"/>
      <c r="BF86" s="268"/>
      <c r="BG86" s="268"/>
      <c r="BH86" s="268"/>
      <c r="BI86" s="268"/>
      <c r="BJ86" s="268"/>
      <c r="BK86" s="268"/>
      <c r="BL86" s="268"/>
      <c r="BM86" s="268"/>
      <c r="BN86" s="268"/>
      <c r="BO86" s="268"/>
      <c r="BP86" s="268"/>
      <c r="BQ86" s="268"/>
      <c r="BR86" s="268"/>
      <c r="BS86" s="268"/>
      <c r="BT86" s="268"/>
      <c r="BU86" s="268"/>
      <c r="BV86" s="268"/>
      <c r="BW86" s="268"/>
      <c r="BX86" s="268"/>
      <c r="BY86" s="268"/>
      <c r="BZ86" s="268"/>
      <c r="CA86" s="268"/>
      <c r="CB86" s="268"/>
      <c r="CC86" s="268"/>
      <c r="CD86" s="268"/>
      <c r="CE86" s="268"/>
      <c r="CF86" s="268"/>
      <c r="CG86" s="268"/>
      <c r="CH86" s="268"/>
      <c r="CI86" s="262"/>
      <c r="CJ86" s="262"/>
      <c r="CK86" s="262"/>
      <c r="CL86" s="262"/>
      <c r="CM86" s="262"/>
      <c r="CN86" s="262"/>
      <c r="CO86" s="89"/>
      <c r="CP86" s="89"/>
      <c r="CQ86" s="89"/>
      <c r="CR86" s="89"/>
      <c r="CS86" s="89"/>
      <c r="CT86" s="89"/>
      <c r="CU86" s="89"/>
      <c r="CV86" s="89"/>
      <c r="CW86" s="89"/>
      <c r="CX86" s="89"/>
      <c r="CY86" s="89"/>
      <c r="CZ86" s="89"/>
      <c r="DA86" s="89"/>
      <c r="DB86" s="89"/>
      <c r="DC86" s="89"/>
      <c r="DD86" s="538" t="str">
        <f ca="1">IF(FL1=0,"","+")</f>
        <v/>
      </c>
      <c r="DE86" s="538"/>
      <c r="DF86" s="538"/>
      <c r="DG86" s="538"/>
      <c r="DH86" s="538"/>
      <c r="DI86" s="538"/>
      <c r="DJ86" s="538"/>
      <c r="DK86" s="538"/>
      <c r="DL86" s="538"/>
      <c r="DM86" s="538"/>
      <c r="DN86" s="538"/>
      <c r="DO86" s="538"/>
      <c r="DP86" s="538"/>
      <c r="DQ86" s="538"/>
      <c r="DR86" s="538"/>
      <c r="DS86" s="538"/>
      <c r="DT86" s="538"/>
      <c r="DU86" s="538"/>
      <c r="DV86" s="538"/>
      <c r="DW86" s="538"/>
      <c r="DX86" s="538"/>
      <c r="DY86" s="538"/>
      <c r="DZ86" s="538"/>
      <c r="EA86" s="538"/>
      <c r="EB86" s="538"/>
      <c r="EC86" s="254"/>
      <c r="ED86" s="254"/>
      <c r="EE86" s="254"/>
      <c r="EF86" s="254"/>
      <c r="EG86" s="254"/>
      <c r="EH86" s="89"/>
      <c r="EI86" s="89"/>
      <c r="EJ86" s="89"/>
      <c r="EK86" s="89"/>
      <c r="EL86" s="89"/>
      <c r="EM86" s="89"/>
      <c r="EN86" s="89"/>
      <c r="EO86" s="89"/>
      <c r="EP86" s="89"/>
      <c r="EQ86" s="89"/>
      <c r="ER86" s="89"/>
      <c r="ES86" s="89"/>
      <c r="ET86" s="89"/>
      <c r="EU86" s="89"/>
      <c r="EV86" s="89"/>
      <c r="EW86" s="89"/>
      <c r="EX86" s="89"/>
      <c r="EY86" s="89"/>
      <c r="EZ86" s="89"/>
      <c r="FA86" s="89"/>
      <c r="FB86" s="89"/>
      <c r="FC86" s="89"/>
      <c r="FD86" s="89"/>
      <c r="FE86" s="89"/>
      <c r="FF86" s="89"/>
      <c r="FG86" s="89"/>
      <c r="FH86" s="89"/>
      <c r="FI86" s="89"/>
      <c r="FJ86" s="96"/>
      <c r="FK86" s="96" t="s">
        <v>163</v>
      </c>
      <c r="FL86" s="313"/>
      <c r="FM86" s="312"/>
      <c r="FN86" s="300"/>
      <c r="FO86" s="108"/>
      <c r="FP86" s="108"/>
      <c r="FQ86" s="108"/>
      <c r="FR86" s="108"/>
      <c r="FS86" s="108"/>
      <c r="FT86" s="108"/>
      <c r="FU86" s="108"/>
      <c r="FV86" s="108"/>
      <c r="FW86" s="108"/>
      <c r="FX86" s="301"/>
      <c r="FY86" s="259"/>
      <c r="FZ86" s="259"/>
      <c r="GA86" s="259"/>
      <c r="GB86" s="259"/>
      <c r="GC86" s="301"/>
      <c r="GD86" s="301"/>
      <c r="GE86" s="301"/>
      <c r="GF86" s="301"/>
      <c r="GG86" s="301"/>
      <c r="GH86" s="301"/>
      <c r="GI86" s="301"/>
      <c r="GJ86" s="301"/>
      <c r="GK86" s="301"/>
      <c r="GL86" s="301"/>
      <c r="GM86" s="301"/>
      <c r="GN86" s="301"/>
      <c r="GO86" s="301"/>
      <c r="GP86" s="301"/>
      <c r="GQ86" s="301"/>
      <c r="GR86" s="301"/>
      <c r="GS86" s="301"/>
      <c r="GT86" s="301"/>
      <c r="GU86" s="301"/>
      <c r="GV86" s="301"/>
      <c r="IB86" s="65"/>
    </row>
    <row r="87" spans="1:236" ht="8.4" customHeight="1">
      <c r="A87" s="60"/>
      <c r="B87" s="69"/>
      <c r="C87" s="69"/>
      <c r="D87" s="141"/>
      <c r="E87" s="331"/>
      <c r="F87" s="331"/>
      <c r="G87" s="331"/>
      <c r="H87" s="331"/>
      <c r="I87" s="331"/>
      <c r="J87" s="331"/>
      <c r="K87" s="89"/>
      <c r="L87" s="331"/>
      <c r="M87" s="331"/>
      <c r="N87" s="331"/>
      <c r="O87" s="331"/>
      <c r="P87" s="331"/>
      <c r="Q87" s="331"/>
      <c r="R87" s="331"/>
      <c r="S87" s="331"/>
      <c r="T87" s="331"/>
      <c r="U87" s="331"/>
      <c r="V87" s="331"/>
      <c r="W87" s="331"/>
      <c r="X87" s="331"/>
      <c r="Y87" s="331"/>
      <c r="Z87" s="331"/>
      <c r="AA87" s="331"/>
      <c r="AB87" s="331"/>
      <c r="AC87" s="331"/>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68"/>
      <c r="BJ87" s="268"/>
      <c r="BK87" s="268"/>
      <c r="BL87" s="268"/>
      <c r="BM87" s="268"/>
      <c r="BN87" s="268"/>
      <c r="BO87" s="268"/>
      <c r="BP87" s="268"/>
      <c r="BQ87" s="268"/>
      <c r="BR87" s="268"/>
      <c r="BS87" s="268"/>
      <c r="BT87" s="268"/>
      <c r="BU87" s="268"/>
      <c r="BV87" s="268"/>
      <c r="BW87" s="268"/>
      <c r="BX87" s="268"/>
      <c r="BY87" s="268"/>
      <c r="BZ87" s="268"/>
      <c r="CA87" s="268"/>
      <c r="CB87" s="268"/>
      <c r="CC87" s="268"/>
      <c r="CD87" s="268"/>
      <c r="CE87" s="268"/>
      <c r="CF87" s="268"/>
      <c r="CG87" s="268"/>
      <c r="CH87" s="268"/>
      <c r="CI87" s="331"/>
      <c r="CJ87" s="331"/>
      <c r="CK87" s="331"/>
      <c r="CL87" s="331"/>
      <c r="CM87" s="331"/>
      <c r="CN87" s="331"/>
      <c r="CO87" s="89"/>
      <c r="CP87" s="89"/>
      <c r="CQ87" s="89"/>
      <c r="CR87" s="89"/>
      <c r="CS87" s="89"/>
      <c r="CT87" s="89"/>
      <c r="CU87" s="89"/>
      <c r="CV87" s="89"/>
      <c r="CW87" s="89"/>
      <c r="CX87" s="89"/>
      <c r="CY87" s="89"/>
      <c r="CZ87" s="89"/>
      <c r="DA87" s="89"/>
      <c r="DB87" s="89"/>
      <c r="DC87" s="89"/>
      <c r="DD87" s="327"/>
      <c r="DE87" s="327"/>
      <c r="DF87" s="327"/>
      <c r="DG87" s="327"/>
      <c r="DH87" s="327"/>
      <c r="DI87" s="327"/>
      <c r="DJ87" s="327"/>
      <c r="DK87" s="327"/>
      <c r="DL87" s="327"/>
      <c r="DM87" s="327"/>
      <c r="DN87" s="327"/>
      <c r="DO87" s="327"/>
      <c r="DP87" s="327"/>
      <c r="DQ87" s="327"/>
      <c r="DR87" s="327"/>
      <c r="DS87" s="327"/>
      <c r="DT87" s="327"/>
      <c r="DU87" s="327"/>
      <c r="DV87" s="327"/>
      <c r="DW87" s="327"/>
      <c r="DX87" s="327"/>
      <c r="DY87" s="327"/>
      <c r="DZ87" s="327"/>
      <c r="EA87" s="327"/>
      <c r="EB87" s="327"/>
      <c r="EC87" s="332"/>
      <c r="ED87" s="332"/>
      <c r="EE87" s="332"/>
      <c r="EF87" s="332"/>
      <c r="EG87" s="332"/>
      <c r="EH87" s="89"/>
      <c r="EI87" s="89"/>
      <c r="EJ87" s="89"/>
      <c r="EK87" s="89"/>
      <c r="EL87" s="89"/>
      <c r="EM87" s="89"/>
      <c r="EN87" s="89"/>
      <c r="EO87" s="89"/>
      <c r="EP87" s="89"/>
      <c r="EQ87" s="89"/>
      <c r="ER87" s="89"/>
      <c r="ES87" s="89"/>
      <c r="ET87" s="89"/>
      <c r="EU87" s="89"/>
      <c r="EV87" s="89"/>
      <c r="EW87" s="89"/>
      <c r="EX87" s="89"/>
      <c r="EY87" s="89"/>
      <c r="EZ87" s="89"/>
      <c r="FA87" s="89"/>
      <c r="FB87" s="89"/>
      <c r="FC87" s="89"/>
      <c r="FD87" s="89"/>
      <c r="FE87" s="89"/>
      <c r="FF87" s="89"/>
      <c r="FG87" s="89"/>
      <c r="FH87" s="89"/>
      <c r="FI87" s="89"/>
      <c r="FJ87" s="96"/>
      <c r="FK87" s="96"/>
      <c r="FL87" s="313"/>
      <c r="FM87" s="312"/>
      <c r="FN87" s="300"/>
      <c r="FO87" s="108"/>
      <c r="FP87" s="108"/>
      <c r="FQ87" s="108"/>
      <c r="FR87" s="108"/>
      <c r="FS87" s="108"/>
      <c r="FT87" s="108"/>
      <c r="FU87" s="108"/>
      <c r="FV87" s="108"/>
      <c r="FW87" s="108"/>
      <c r="FX87" s="301"/>
      <c r="FY87" s="259"/>
      <c r="FZ87" s="259"/>
      <c r="GA87" s="259"/>
      <c r="GB87" s="259"/>
      <c r="GC87" s="301"/>
      <c r="GD87" s="301"/>
      <c r="GE87" s="301"/>
      <c r="GF87" s="301"/>
      <c r="GG87" s="301"/>
      <c r="GH87" s="301"/>
      <c r="GI87" s="301"/>
      <c r="GJ87" s="301"/>
      <c r="GK87" s="301"/>
      <c r="GL87" s="301"/>
      <c r="GM87" s="301"/>
      <c r="GN87" s="301"/>
      <c r="GO87" s="301"/>
      <c r="GP87" s="301"/>
      <c r="GQ87" s="301"/>
      <c r="GR87" s="301"/>
      <c r="GS87" s="301"/>
      <c r="GT87" s="301"/>
      <c r="GU87" s="301"/>
      <c r="GV87" s="301"/>
      <c r="IB87" s="65"/>
    </row>
    <row r="88" spans="1:236" s="268" customFormat="1" ht="16.95" customHeight="1">
      <c r="A88" s="60"/>
      <c r="B88" s="69"/>
      <c r="C88" s="69"/>
      <c r="D88" s="262"/>
      <c r="E88" s="262"/>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CV88" s="89"/>
      <c r="CW88" s="89"/>
      <c r="CX88" s="89"/>
      <c r="CY88" s="89"/>
      <c r="CZ88" s="89"/>
      <c r="DA88" s="89"/>
      <c r="DB88" s="89"/>
      <c r="DC88" s="89"/>
      <c r="DD88" s="89"/>
      <c r="DE88" s="89"/>
      <c r="DF88" s="89"/>
      <c r="DG88" s="89"/>
      <c r="DH88" s="89"/>
      <c r="DI88" s="89"/>
      <c r="DJ88" s="89"/>
      <c r="DK88" s="89"/>
      <c r="DL88" s="89"/>
      <c r="DM88" s="89"/>
      <c r="DN88" s="89"/>
      <c r="DO88" s="89"/>
      <c r="FA88" s="89"/>
      <c r="FB88" s="89"/>
      <c r="FC88" s="89"/>
      <c r="FD88" s="89"/>
      <c r="FE88" s="89"/>
      <c r="FF88" s="89"/>
      <c r="FG88" s="89"/>
      <c r="FH88" s="89"/>
      <c r="FI88" s="89"/>
      <c r="FJ88" s="96"/>
      <c r="FK88" s="257"/>
      <c r="FL88" s="257"/>
      <c r="FM88" s="96"/>
      <c r="FN88" s="96"/>
      <c r="FO88" s="96"/>
      <c r="FP88" s="96"/>
      <c r="FQ88" s="96"/>
      <c r="FR88" s="93"/>
      <c r="FS88" s="93"/>
      <c r="FT88" s="93"/>
      <c r="FU88" s="257"/>
      <c r="FV88" s="86"/>
      <c r="FW88" s="86"/>
      <c r="FX88" s="86"/>
      <c r="FY88" s="259"/>
      <c r="FZ88" s="259"/>
      <c r="GA88" s="259"/>
      <c r="GB88" s="259"/>
      <c r="GC88" s="259"/>
      <c r="GD88" s="259"/>
      <c r="GE88" s="259"/>
      <c r="GF88" s="259"/>
      <c r="GG88" s="259"/>
      <c r="GH88" s="259"/>
      <c r="GI88" s="259"/>
      <c r="GJ88" s="259"/>
      <c r="GK88" s="86"/>
      <c r="GL88" s="86"/>
      <c r="GM88" s="86"/>
      <c r="GN88" s="86"/>
      <c r="GO88" s="86"/>
      <c r="GP88" s="377"/>
      <c r="GQ88" s="377"/>
      <c r="GR88" s="377"/>
      <c r="GS88" s="377"/>
      <c r="GT88" s="377"/>
      <c r="GU88" s="377"/>
      <c r="GV88" s="377"/>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row>
    <row r="89" spans="1:236" ht="16.95" customHeight="1">
      <c r="A89" s="60"/>
      <c r="B89" s="272" t="str">
        <f ca="1">IF(FL1=0,"",5)</f>
        <v/>
      </c>
      <c r="C89" s="69"/>
      <c r="D89" s="331" t="str">
        <f ca="1">IF(FL1=0,"","In de grafiek hiernaast zijn de")</f>
        <v/>
      </c>
      <c r="E89" s="331"/>
      <c r="F89" s="331"/>
      <c r="G89" s="331"/>
      <c r="H89" s="331"/>
      <c r="I89" s="331"/>
      <c r="J89" s="331"/>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89"/>
      <c r="AZ89" s="89"/>
      <c r="BA89" s="89"/>
      <c r="BB89" s="89"/>
      <c r="BC89" s="89"/>
      <c r="BD89" s="89"/>
      <c r="BE89" s="89"/>
      <c r="BF89" s="89"/>
      <c r="BG89" s="89"/>
      <c r="BH89" s="89"/>
      <c r="BI89" s="89"/>
      <c r="BJ89" s="89"/>
      <c r="BK89" s="89"/>
      <c r="BL89" s="89"/>
      <c r="BM89" s="89"/>
      <c r="BN89" s="89"/>
      <c r="BP89" s="89"/>
      <c r="BR89" s="89"/>
      <c r="BS89" s="89"/>
      <c r="BT89" s="89"/>
      <c r="BU89" s="89"/>
      <c r="BV89" s="89"/>
      <c r="BW89" s="89"/>
      <c r="BX89" s="89"/>
      <c r="BY89" s="89"/>
      <c r="BZ89" s="89"/>
      <c r="CA89" s="89"/>
      <c r="CB89" s="89"/>
      <c r="CC89" s="89"/>
      <c r="CD89" s="89"/>
      <c r="CE89" s="89"/>
      <c r="CF89" s="89"/>
      <c r="CG89" s="89"/>
      <c r="CH89" s="89"/>
      <c r="CI89" s="89"/>
      <c r="CJ89" s="89"/>
      <c r="CK89" s="89"/>
      <c r="CL89" s="89"/>
      <c r="CM89" s="268"/>
      <c r="CN89" s="268"/>
      <c r="CO89" s="268"/>
      <c r="CP89" s="268"/>
      <c r="CQ89" s="89"/>
      <c r="CR89" s="89"/>
      <c r="CS89" s="89"/>
      <c r="CT89" s="89"/>
      <c r="CU89" s="89"/>
      <c r="CV89" s="89"/>
      <c r="CW89" s="89"/>
      <c r="CX89" s="89"/>
      <c r="CY89" s="89"/>
      <c r="CZ89" s="89"/>
      <c r="DA89" s="89"/>
      <c r="DB89" s="89"/>
      <c r="DC89" s="89"/>
      <c r="DD89" s="89"/>
      <c r="DE89" s="89"/>
      <c r="DF89" s="89"/>
      <c r="DG89" s="89"/>
      <c r="DH89" s="89"/>
      <c r="DI89" s="89"/>
      <c r="DJ89" s="89"/>
      <c r="DK89" s="89"/>
      <c r="DL89" s="89"/>
      <c r="DM89" s="89"/>
      <c r="DN89" s="89"/>
      <c r="DO89" s="89"/>
      <c r="DP89" s="89"/>
      <c r="DQ89" s="89"/>
      <c r="DR89" s="89"/>
      <c r="DS89" s="89"/>
      <c r="DT89" s="89"/>
      <c r="DU89" s="89"/>
      <c r="DV89" s="89"/>
      <c r="DW89" s="89"/>
      <c r="DX89" s="89"/>
      <c r="DY89" s="141"/>
      <c r="DZ89" s="141"/>
      <c r="EA89" s="141"/>
      <c r="EB89" s="141"/>
      <c r="EC89" s="141"/>
      <c r="ED89" s="141"/>
      <c r="EE89" s="141"/>
      <c r="EF89" s="89"/>
      <c r="EG89" s="89"/>
      <c r="EH89" s="89"/>
      <c r="EI89" s="89"/>
      <c r="EJ89" s="89"/>
      <c r="EK89" s="89"/>
      <c r="EL89" s="89"/>
      <c r="EM89" s="89"/>
      <c r="EN89" s="89"/>
      <c r="EO89" s="89"/>
      <c r="EP89" s="89"/>
      <c r="EQ89" s="89"/>
      <c r="ER89" s="89"/>
      <c r="ES89" s="89"/>
      <c r="ET89" s="89"/>
      <c r="EU89" s="89"/>
      <c r="EV89" s="89"/>
      <c r="EW89" s="89"/>
      <c r="EX89" s="89"/>
      <c r="EY89" s="89"/>
      <c r="EZ89" s="89"/>
      <c r="FA89" s="89"/>
      <c r="FB89" s="89"/>
      <c r="FC89" s="89"/>
      <c r="FD89" s="89"/>
      <c r="FE89" s="89"/>
      <c r="FF89" s="89"/>
      <c r="FG89" s="89"/>
      <c r="FH89" s="89"/>
      <c r="FI89" s="89"/>
      <c r="FJ89" s="96"/>
      <c r="FK89" s="96"/>
      <c r="FL89" s="96"/>
      <c r="FM89" s="96"/>
      <c r="FN89" s="96"/>
      <c r="FO89" s="300"/>
      <c r="FP89" s="300"/>
      <c r="FQ89" s="300"/>
      <c r="FR89" s="300"/>
      <c r="FS89" s="300"/>
      <c r="FT89" s="300"/>
      <c r="FU89" s="300"/>
      <c r="FV89" s="108"/>
      <c r="FW89" s="108"/>
      <c r="FX89" s="301"/>
      <c r="FY89" s="259"/>
      <c r="FZ89" s="259"/>
      <c r="GA89" s="259"/>
      <c r="GB89" s="259"/>
      <c r="GC89" s="301"/>
      <c r="GD89" s="301"/>
      <c r="GE89" s="301"/>
      <c r="GF89" s="301"/>
      <c r="GG89" s="301"/>
      <c r="GH89" s="301"/>
      <c r="GI89" s="301"/>
      <c r="GJ89" s="301"/>
      <c r="GK89" s="301"/>
      <c r="GL89" s="301"/>
      <c r="GM89" s="301"/>
      <c r="GN89" s="301"/>
      <c r="GO89" s="301"/>
      <c r="GP89" s="301"/>
      <c r="GQ89" s="301"/>
      <c r="GR89" s="301"/>
      <c r="GS89" s="301"/>
      <c r="GT89" s="301"/>
      <c r="GU89" s="301"/>
      <c r="GV89" s="301"/>
      <c r="IB89" s="65"/>
    </row>
    <row r="90" spans="1:236" s="268" customFormat="1" ht="16.95" customHeight="1">
      <c r="A90" s="60"/>
      <c r="B90" s="272"/>
      <c r="C90" s="69"/>
      <c r="D90" s="331" t="str">
        <f ca="1">IF(FL1=0,"","functies van de totale opbrengst")</f>
        <v/>
      </c>
      <c r="E90" s="141"/>
      <c r="F90" s="141"/>
      <c r="G90" s="141"/>
      <c r="H90" s="141"/>
      <c r="I90" s="141"/>
      <c r="J90" s="141"/>
      <c r="K90" s="141"/>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c r="DI90" s="141"/>
      <c r="DJ90" s="141"/>
      <c r="DK90" s="141"/>
      <c r="DL90" s="141"/>
      <c r="DM90" s="141"/>
      <c r="DN90" s="141"/>
      <c r="DO90" s="141"/>
      <c r="DP90" s="141"/>
      <c r="DQ90" s="141"/>
      <c r="DR90" s="141"/>
      <c r="DS90" s="141"/>
      <c r="DT90" s="141"/>
      <c r="DU90" s="141"/>
      <c r="DV90" s="141"/>
      <c r="DW90" s="141"/>
      <c r="DX90" s="141"/>
      <c r="DY90" s="141"/>
      <c r="DZ90" s="141"/>
      <c r="EA90" s="141"/>
      <c r="EB90" s="141"/>
      <c r="EC90" s="141"/>
      <c r="ED90" s="141"/>
      <c r="EE90" s="141"/>
      <c r="EF90" s="141"/>
      <c r="EG90" s="141"/>
      <c r="EH90" s="141"/>
      <c r="EI90" s="141"/>
      <c r="EJ90" s="141"/>
      <c r="EK90" s="141"/>
      <c r="EL90" s="141"/>
      <c r="EM90" s="141"/>
      <c r="EN90" s="141"/>
      <c r="EO90" s="141"/>
      <c r="EP90" s="141"/>
      <c r="EQ90" s="141"/>
      <c r="ER90" s="141"/>
      <c r="ES90" s="141"/>
      <c r="ET90" s="141"/>
      <c r="EU90" s="141"/>
      <c r="EV90" s="141"/>
      <c r="EW90" s="141"/>
      <c r="EX90" s="141"/>
      <c r="EY90" s="141"/>
      <c r="EZ90" s="141"/>
      <c r="FA90" s="141"/>
      <c r="FB90" s="141"/>
      <c r="FC90" s="141"/>
      <c r="FD90" s="141"/>
      <c r="FE90" s="141"/>
      <c r="FF90" s="141"/>
      <c r="FG90" s="141"/>
      <c r="FH90" s="141"/>
      <c r="FI90" s="141"/>
      <c r="FJ90" s="96"/>
      <c r="FK90" s="96"/>
      <c r="FL90" s="96"/>
      <c r="FM90" s="86"/>
      <c r="FN90" s="96"/>
      <c r="FO90" s="96"/>
      <c r="FP90" s="96"/>
      <c r="FQ90" s="86"/>
      <c r="FR90" s="86"/>
      <c r="FS90" s="86"/>
      <c r="FT90" s="86"/>
      <c r="FU90" s="86"/>
      <c r="FV90" s="86"/>
      <c r="FW90" s="86"/>
      <c r="FX90" s="86"/>
      <c r="FY90" s="259"/>
      <c r="FZ90" s="259"/>
      <c r="GA90" s="259"/>
      <c r="GB90" s="259"/>
      <c r="GC90" s="86"/>
      <c r="GD90" s="86"/>
      <c r="GE90" s="86"/>
      <c r="GF90" s="86"/>
      <c r="GG90" s="86"/>
      <c r="GH90" s="86"/>
      <c r="GI90" s="86"/>
      <c r="GJ90" s="86"/>
      <c r="GK90" s="86"/>
      <c r="GL90" s="86"/>
      <c r="GM90" s="86"/>
      <c r="GN90" s="86"/>
      <c r="GO90" s="86"/>
      <c r="GP90" s="377"/>
      <c r="GQ90" s="377"/>
      <c r="GR90" s="377"/>
      <c r="GS90" s="377"/>
      <c r="GT90" s="377"/>
      <c r="GU90" s="377"/>
      <c r="GV90" s="377"/>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row>
    <row r="91" spans="1:236" s="268" customFormat="1" ht="16.95" customHeight="1">
      <c r="A91" s="60"/>
      <c r="B91" s="69"/>
      <c r="C91" s="69"/>
      <c r="D91" s="331" t="str">
        <f ca="1">IF(FL1=0,"","en de totale kosten getekend")</f>
        <v/>
      </c>
      <c r="E91" s="331"/>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CV91" s="89"/>
      <c r="CW91" s="89"/>
      <c r="CX91" s="89"/>
      <c r="CY91" s="89"/>
      <c r="CZ91" s="89"/>
      <c r="DA91" s="89"/>
      <c r="DB91" s="89"/>
      <c r="DC91" s="89"/>
      <c r="DD91" s="89"/>
      <c r="DE91" s="89"/>
      <c r="DF91" s="89"/>
      <c r="DG91" s="89"/>
      <c r="DH91" s="89"/>
      <c r="DI91" s="89"/>
      <c r="DJ91" s="89"/>
      <c r="DK91" s="89"/>
      <c r="DL91" s="89"/>
      <c r="DM91" s="89"/>
      <c r="DN91" s="89"/>
      <c r="DO91" s="89"/>
      <c r="FA91" s="89"/>
      <c r="FB91" s="89"/>
      <c r="FC91" s="89"/>
      <c r="FD91" s="89"/>
      <c r="FE91" s="89"/>
      <c r="FF91" s="89"/>
      <c r="FG91" s="89"/>
      <c r="FH91" s="89"/>
      <c r="FI91" s="89"/>
      <c r="FJ91" s="96"/>
      <c r="FK91" s="257"/>
      <c r="FL91" s="257"/>
      <c r="FM91" s="96"/>
      <c r="FN91" s="96"/>
      <c r="FO91" s="96"/>
      <c r="FP91" s="96"/>
      <c r="FQ91" s="96"/>
      <c r="FR91" s="93"/>
      <c r="FS91" s="93"/>
      <c r="FT91" s="93"/>
      <c r="FU91" s="257"/>
      <c r="FV91" s="86"/>
      <c r="FW91" s="86"/>
      <c r="FX91" s="86"/>
      <c r="FY91" s="259"/>
      <c r="FZ91" s="259"/>
      <c r="GA91" s="259"/>
      <c r="GB91" s="259"/>
      <c r="GC91" s="259"/>
      <c r="GD91" s="259"/>
      <c r="GE91" s="259"/>
      <c r="GF91" s="259"/>
      <c r="GG91" s="259"/>
      <c r="GH91" s="259"/>
      <c r="GI91" s="259"/>
      <c r="GJ91" s="259"/>
      <c r="GK91" s="86"/>
      <c r="GL91" s="86"/>
      <c r="GM91" s="86"/>
      <c r="GN91" s="86"/>
      <c r="GO91" s="86"/>
      <c r="GP91" s="377"/>
      <c r="GQ91" s="377"/>
      <c r="GR91" s="377"/>
      <c r="GS91" s="377"/>
      <c r="GT91" s="377"/>
      <c r="GU91" s="377"/>
      <c r="GV91" s="377"/>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row>
    <row r="92" spans="1:236" ht="16.95" customHeight="1">
      <c r="A92" s="60"/>
      <c r="B92" s="69"/>
      <c r="C92" s="69"/>
      <c r="D92" s="341" t="str">
        <f ca="1">IF(FL1=0,"","bij prijszetting. Hoeveel is de totale")</f>
        <v/>
      </c>
      <c r="E92" s="331"/>
      <c r="F92" s="331"/>
      <c r="G92" s="331"/>
      <c r="H92" s="331"/>
      <c r="I92" s="331"/>
      <c r="J92" s="331"/>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89"/>
      <c r="AZ92" s="89"/>
      <c r="BA92" s="89"/>
      <c r="BB92" s="89"/>
      <c r="BC92" s="89"/>
      <c r="BD92" s="89"/>
      <c r="BE92" s="89"/>
      <c r="BF92" s="89"/>
      <c r="BG92" s="89"/>
      <c r="BH92" s="89"/>
      <c r="BI92" s="89"/>
      <c r="BJ92" s="89"/>
      <c r="BK92" s="89"/>
      <c r="BL92" s="89"/>
      <c r="BM92" s="89"/>
      <c r="BN92" s="89"/>
      <c r="BO92" s="89"/>
      <c r="BP92" s="89"/>
      <c r="BQ92" s="89"/>
      <c r="BR92" s="89"/>
      <c r="BS92" s="89"/>
      <c r="BT92" s="348" t="str">
        <f ca="1">IF(FL1=0,"",""&amp;FN103&amp;"")</f>
        <v/>
      </c>
      <c r="BU92" s="89"/>
      <c r="BV92" s="89"/>
      <c r="BW92" s="89"/>
      <c r="BX92" s="89"/>
      <c r="BY92" s="89"/>
      <c r="BZ92" s="89"/>
      <c r="CA92" s="89"/>
      <c r="CB92" s="89"/>
      <c r="CC92" s="89"/>
      <c r="CD92" s="89"/>
      <c r="CE92" s="89"/>
      <c r="CF92" s="89"/>
      <c r="CG92" s="89"/>
      <c r="CH92" s="89"/>
      <c r="CI92" s="89"/>
      <c r="CJ92" s="89"/>
      <c r="CK92" s="89"/>
      <c r="CL92" s="89"/>
      <c r="CM92" s="89"/>
      <c r="CN92" s="89"/>
      <c r="CO92" s="89"/>
      <c r="CP92" s="89"/>
      <c r="CQ92" s="89"/>
      <c r="CR92" s="89"/>
      <c r="CS92" s="89"/>
      <c r="CT92" s="89"/>
      <c r="CU92" s="89"/>
      <c r="CV92" s="89"/>
      <c r="CW92" s="89"/>
      <c r="CX92" s="89"/>
      <c r="CY92" s="89"/>
      <c r="CZ92" s="89"/>
      <c r="DA92" s="89"/>
      <c r="DB92" s="89"/>
      <c r="DC92" s="89"/>
      <c r="DD92" s="89"/>
      <c r="DE92" s="89"/>
      <c r="DF92" s="89"/>
      <c r="DG92" s="89"/>
      <c r="DH92" s="89"/>
      <c r="DI92" s="89"/>
      <c r="DJ92" s="89"/>
      <c r="DK92" s="89"/>
      <c r="DL92" s="89"/>
      <c r="DM92" s="89"/>
      <c r="DN92" s="89"/>
      <c r="DO92" s="89"/>
      <c r="DP92" s="89"/>
      <c r="DQ92" s="89"/>
      <c r="DR92" s="89"/>
      <c r="DS92" s="89"/>
      <c r="DT92" s="89"/>
      <c r="DU92" s="141"/>
      <c r="DV92" s="141"/>
      <c r="DW92" s="141"/>
      <c r="DX92" s="141"/>
      <c r="DY92" s="141"/>
      <c r="DZ92" s="141"/>
      <c r="EA92" s="141"/>
      <c r="EB92" s="89"/>
      <c r="EC92" s="89"/>
      <c r="ED92" s="89"/>
      <c r="EE92" s="89"/>
      <c r="EF92" s="89"/>
      <c r="EG92" s="89"/>
      <c r="EH92" s="89"/>
      <c r="EI92" s="89"/>
      <c r="EJ92" s="89"/>
      <c r="EK92" s="89"/>
      <c r="EL92" s="89"/>
      <c r="EM92" s="89"/>
      <c r="EN92" s="89"/>
      <c r="EO92" s="89"/>
      <c r="EP92" s="89"/>
      <c r="EQ92" s="89"/>
      <c r="ER92" s="89"/>
      <c r="ES92" s="89"/>
      <c r="ET92" s="89"/>
      <c r="EU92" s="89"/>
      <c r="EV92" s="89"/>
      <c r="EW92" s="89"/>
      <c r="EX92" s="89"/>
      <c r="EY92" s="89"/>
      <c r="EZ92" s="89"/>
      <c r="FA92" s="89"/>
      <c r="FB92" s="89"/>
      <c r="FC92" s="89"/>
      <c r="FD92" s="89"/>
      <c r="FE92" s="89"/>
      <c r="FF92" s="89"/>
      <c r="FG92" s="89"/>
      <c r="FH92" s="89"/>
      <c r="FI92" s="89"/>
      <c r="FJ92" s="96"/>
      <c r="FK92" s="96"/>
      <c r="FL92" s="96"/>
      <c r="FM92" s="96"/>
      <c r="FN92" s="96"/>
      <c r="FO92" s="300"/>
      <c r="FP92" s="300"/>
      <c r="FQ92" s="300"/>
      <c r="FR92" s="300"/>
      <c r="FS92" s="300"/>
      <c r="FT92" s="300"/>
      <c r="FU92" s="300"/>
      <c r="FV92" s="108"/>
      <c r="FW92" s="108"/>
      <c r="FX92" s="301"/>
      <c r="FY92" s="259"/>
      <c r="FZ92" s="259"/>
      <c r="GA92" s="259"/>
      <c r="GB92" s="259"/>
      <c r="GC92" s="301"/>
      <c r="GD92" s="301"/>
      <c r="GE92" s="301"/>
      <c r="GF92" s="301"/>
      <c r="GG92" s="301"/>
      <c r="GH92" s="301"/>
      <c r="GI92" s="301"/>
      <c r="GJ92" s="301"/>
      <c r="GK92" s="301"/>
      <c r="GL92" s="301"/>
      <c r="GM92" s="301"/>
      <c r="GN92" s="301"/>
      <c r="GO92" s="301"/>
      <c r="GP92" s="301"/>
      <c r="GQ92" s="301"/>
      <c r="GR92" s="301"/>
      <c r="GS92" s="301"/>
      <c r="GT92" s="301"/>
      <c r="GU92" s="301"/>
      <c r="GV92" s="301"/>
      <c r="IB92" s="65"/>
    </row>
    <row r="93" spans="1:236" ht="16.95" customHeight="1">
      <c r="A93" s="60"/>
      <c r="B93" s="69"/>
      <c r="C93" s="69"/>
      <c r="D93" s="341" t="str">
        <f ca="1">IF(FL1=0,"","winst bij een afzet van "&amp;FP103&amp;" stuks?")</f>
        <v/>
      </c>
      <c r="E93" s="331"/>
      <c r="F93" s="331"/>
      <c r="G93" s="331"/>
      <c r="H93" s="331"/>
      <c r="I93" s="331"/>
      <c r="J93" s="331"/>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89"/>
      <c r="AZ93" s="89"/>
      <c r="BA93" s="89"/>
      <c r="BB93" s="89"/>
      <c r="BC93" s="89"/>
      <c r="BD93" s="89"/>
      <c r="BE93" s="89"/>
      <c r="BF93" s="89"/>
      <c r="BG93" s="89"/>
      <c r="BH93" s="89"/>
      <c r="BI93" s="89"/>
      <c r="BJ93" s="89"/>
      <c r="BK93" s="89"/>
      <c r="BL93" s="89"/>
      <c r="BM93" s="89"/>
      <c r="BN93" s="89"/>
      <c r="BO93" s="89"/>
      <c r="BP93" s="89"/>
      <c r="BQ93" s="89"/>
      <c r="BR93" s="89"/>
      <c r="BS93" s="89"/>
      <c r="BT93" s="89"/>
      <c r="BU93" s="89"/>
      <c r="BV93" s="89"/>
      <c r="BW93" s="89"/>
      <c r="BX93" s="89"/>
      <c r="BY93" s="89"/>
      <c r="BZ93" s="89"/>
      <c r="CA93" s="89"/>
      <c r="CB93" s="89"/>
      <c r="CC93" s="89"/>
      <c r="CD93" s="89"/>
      <c r="CE93" s="89"/>
      <c r="CF93" s="89"/>
      <c r="CG93" s="89"/>
      <c r="CH93" s="89"/>
      <c r="CI93" s="89"/>
      <c r="CJ93" s="89"/>
      <c r="CK93" s="89"/>
      <c r="CL93" s="89"/>
      <c r="CM93" s="89"/>
      <c r="CN93" s="89"/>
      <c r="CO93" s="89"/>
      <c r="CP93" s="89"/>
      <c r="CQ93" s="89"/>
      <c r="CR93" s="89"/>
      <c r="CS93" s="89"/>
      <c r="CT93" s="89"/>
      <c r="CU93" s="89"/>
      <c r="CV93" s="89"/>
      <c r="CW93" s="89"/>
      <c r="CX93" s="89"/>
      <c r="CY93" s="89"/>
      <c r="CZ93" s="89"/>
      <c r="DA93" s="89"/>
      <c r="DB93" s="89"/>
      <c r="DC93" s="89"/>
      <c r="DD93" s="89"/>
      <c r="DE93" s="89"/>
      <c r="DF93" s="89"/>
      <c r="DG93" s="89"/>
      <c r="DH93" s="89"/>
      <c r="DI93" s="89"/>
      <c r="DJ93" s="89"/>
      <c r="DK93" s="89"/>
      <c r="DL93" s="89"/>
      <c r="DM93" s="89"/>
      <c r="DN93" s="89"/>
      <c r="DO93" s="89"/>
      <c r="DP93" s="89"/>
      <c r="DQ93" s="89"/>
      <c r="DR93" s="89"/>
      <c r="DS93" s="89"/>
      <c r="DT93" s="89"/>
      <c r="DU93" s="141"/>
      <c r="DV93" s="141"/>
      <c r="DW93" s="141"/>
      <c r="DX93" s="141"/>
      <c r="DY93" s="141"/>
      <c r="DZ93" s="141"/>
      <c r="EA93" s="141"/>
      <c r="EB93" s="89"/>
      <c r="EC93" s="89"/>
      <c r="ED93" s="89"/>
      <c r="EE93" s="89"/>
      <c r="EF93" s="89"/>
      <c r="EG93" s="89"/>
      <c r="EH93" s="89"/>
      <c r="EI93" s="89"/>
      <c r="EJ93" s="89"/>
      <c r="EK93" s="89"/>
      <c r="EL93" s="89"/>
      <c r="EM93" s="89"/>
      <c r="EN93" s="89"/>
      <c r="EO93" s="89"/>
      <c r="EP93" s="89"/>
      <c r="EQ93" s="89"/>
      <c r="ER93" s="89"/>
      <c r="ES93" s="89"/>
      <c r="ET93" s="89"/>
      <c r="EU93" s="89"/>
      <c r="EV93" s="89"/>
      <c r="EW93" s="89"/>
      <c r="EX93" s="89"/>
      <c r="EY93" s="89"/>
      <c r="EZ93" s="89"/>
      <c r="FA93" s="89"/>
      <c r="FB93" s="89"/>
      <c r="FC93" s="89"/>
      <c r="FD93" s="89"/>
      <c r="FE93" s="89"/>
      <c r="FF93" s="89"/>
      <c r="FG93" s="89"/>
      <c r="FH93" s="89"/>
      <c r="FI93" s="89"/>
      <c r="FJ93" s="96"/>
      <c r="FK93" s="96"/>
      <c r="FL93" s="96"/>
      <c r="FM93" s="96"/>
      <c r="FN93" s="96"/>
      <c r="FO93" s="108"/>
      <c r="FP93" s="108"/>
      <c r="FQ93" s="108"/>
      <c r="FR93" s="108"/>
      <c r="FS93" s="108"/>
      <c r="FT93" s="108"/>
      <c r="FU93" s="108"/>
      <c r="FV93" s="108"/>
      <c r="FW93" s="108"/>
      <c r="FX93" s="301"/>
      <c r="FY93" s="259"/>
      <c r="FZ93" s="259"/>
      <c r="GA93" s="259"/>
      <c r="GB93" s="259"/>
      <c r="GC93" s="301"/>
      <c r="GD93" s="301"/>
      <c r="GE93" s="301"/>
      <c r="GF93" s="301"/>
      <c r="GG93" s="301"/>
      <c r="GH93" s="301"/>
      <c r="GI93" s="301"/>
      <c r="GJ93" s="301"/>
      <c r="GK93" s="301"/>
      <c r="GL93" s="301"/>
      <c r="GM93" s="301"/>
      <c r="GN93" s="301"/>
      <c r="GO93" s="301"/>
      <c r="GP93" s="301"/>
      <c r="GQ93" s="301"/>
      <c r="GR93" s="301"/>
      <c r="GS93" s="301"/>
      <c r="GT93" s="301"/>
      <c r="GU93" s="301"/>
      <c r="GV93" s="301"/>
      <c r="IB93" s="65"/>
    </row>
    <row r="94" spans="1:236" ht="16.95" customHeight="1">
      <c r="A94" s="60"/>
      <c r="B94" s="69"/>
      <c r="C94" s="69"/>
      <c r="D94" s="268"/>
      <c r="E94" s="331"/>
      <c r="F94" s="331"/>
      <c r="G94" s="331"/>
      <c r="H94" s="331"/>
      <c r="I94" s="331"/>
      <c r="J94" s="331"/>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89"/>
      <c r="AZ94" s="89"/>
      <c r="BA94" s="89"/>
      <c r="BB94" s="89"/>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141"/>
      <c r="DV94" s="141"/>
      <c r="DW94" s="141"/>
      <c r="DX94" s="141"/>
      <c r="DY94" s="141"/>
      <c r="DZ94" s="141"/>
      <c r="EA94" s="141"/>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c r="FD94" s="89"/>
      <c r="FE94" s="89"/>
      <c r="FF94" s="89"/>
      <c r="FG94" s="89"/>
      <c r="FH94" s="89"/>
      <c r="FI94" s="89"/>
      <c r="FJ94" s="300"/>
      <c r="FK94" s="300"/>
      <c r="FL94" s="300"/>
      <c r="FM94" s="300"/>
      <c r="FN94" s="300"/>
      <c r="FO94" s="108"/>
      <c r="FP94" s="108"/>
      <c r="FQ94" s="108"/>
      <c r="FR94" s="108"/>
      <c r="FS94" s="108"/>
      <c r="FT94" s="108"/>
      <c r="FU94" s="108"/>
      <c r="FV94" s="108"/>
      <c r="FW94" s="108"/>
      <c r="FX94" s="301"/>
      <c r="FY94" s="259"/>
      <c r="FZ94" s="259"/>
      <c r="GA94" s="259"/>
      <c r="GB94" s="259"/>
      <c r="GC94" s="301"/>
      <c r="GD94" s="301"/>
      <c r="GE94" s="301"/>
      <c r="GF94" s="301"/>
      <c r="GG94" s="301"/>
      <c r="GH94" s="301"/>
      <c r="GI94" s="301"/>
      <c r="GJ94" s="301"/>
      <c r="GK94" s="301"/>
      <c r="GL94" s="301"/>
      <c r="GM94" s="301"/>
      <c r="GN94" s="301"/>
      <c r="GO94" s="301"/>
      <c r="GP94" s="301"/>
      <c r="GQ94" s="301"/>
      <c r="GR94" s="301"/>
      <c r="GS94" s="301"/>
      <c r="GT94" s="301"/>
      <c r="GU94" s="301"/>
      <c r="GV94" s="301"/>
      <c r="IB94" s="65"/>
    </row>
    <row r="95" spans="1:236" ht="16.95" customHeight="1">
      <c r="A95" s="60"/>
      <c r="B95" s="69"/>
      <c r="C95" s="69"/>
      <c r="D95" s="268"/>
      <c r="E95" s="331"/>
      <c r="F95" s="331"/>
      <c r="G95" s="331"/>
      <c r="H95" s="331"/>
      <c r="I95" s="331"/>
      <c r="J95" s="331"/>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89"/>
      <c r="AZ95" s="89"/>
      <c r="BA95" s="89"/>
      <c r="BB95" s="89"/>
      <c r="BC95" s="89"/>
      <c r="BD95" s="89"/>
      <c r="BE95" s="89"/>
      <c r="BF95" s="89"/>
      <c r="BG95" s="89"/>
      <c r="BH95" s="89"/>
      <c r="BI95" s="89"/>
      <c r="BJ95" s="89"/>
      <c r="BK95" s="89"/>
      <c r="BL95" s="89"/>
      <c r="BM95" s="89"/>
      <c r="BN95" s="89"/>
      <c r="BO95" s="89"/>
      <c r="BP95" s="89"/>
      <c r="BQ95" s="89"/>
      <c r="BR95" s="89"/>
      <c r="BS95" s="89"/>
      <c r="BT95" s="348" t="str">
        <f ca="1">IF(FL1=0,"",""&amp;FO103&amp;"")</f>
        <v/>
      </c>
      <c r="BU95" s="89"/>
      <c r="BV95" s="89"/>
      <c r="BW95" s="89"/>
      <c r="BX95" s="89"/>
      <c r="BY95" s="89"/>
      <c r="BZ95" s="89"/>
      <c r="CA95" s="89"/>
      <c r="CB95" s="89"/>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c r="DG95" s="89"/>
      <c r="DH95" s="89"/>
      <c r="DI95" s="89"/>
      <c r="DJ95" s="89"/>
      <c r="DK95" s="89"/>
      <c r="DL95" s="89"/>
      <c r="DM95" s="89"/>
      <c r="DN95" s="89"/>
      <c r="DO95" s="89"/>
      <c r="DP95" s="89"/>
      <c r="DQ95" s="89"/>
      <c r="DR95" s="89"/>
      <c r="DS95" s="89"/>
      <c r="DT95" s="89"/>
      <c r="DU95" s="141"/>
      <c r="DV95" s="141"/>
      <c r="DW95" s="141"/>
      <c r="DX95" s="141"/>
      <c r="DY95" s="141"/>
      <c r="DZ95" s="141"/>
      <c r="EA95" s="141"/>
      <c r="EB95" s="89"/>
      <c r="EC95" s="89"/>
      <c r="ED95" s="89"/>
      <c r="EE95" s="89"/>
      <c r="EF95" s="89"/>
      <c r="EG95" s="89"/>
      <c r="EH95" s="89"/>
      <c r="EI95" s="89"/>
      <c r="EJ95" s="89"/>
      <c r="EK95" s="89"/>
      <c r="EL95" s="89"/>
      <c r="EM95" s="89"/>
      <c r="EN95" s="89"/>
      <c r="EO95" s="89"/>
      <c r="EP95" s="89"/>
      <c r="EQ95" s="89"/>
      <c r="ER95" s="89"/>
      <c r="ES95" s="89"/>
      <c r="ET95" s="89"/>
      <c r="EU95" s="89"/>
      <c r="EV95" s="89"/>
      <c r="EW95" s="89"/>
      <c r="EX95" s="89"/>
      <c r="EY95" s="89"/>
      <c r="EZ95" s="89"/>
      <c r="FA95" s="89"/>
      <c r="FB95" s="89"/>
      <c r="FC95" s="89"/>
      <c r="FD95" s="89"/>
      <c r="FE95" s="89"/>
      <c r="FF95" s="89"/>
      <c r="FG95" s="89"/>
      <c r="FH95" s="89"/>
      <c r="FI95" s="89"/>
      <c r="FJ95" s="300"/>
      <c r="FK95" s="300"/>
      <c r="FL95" s="300"/>
      <c r="FM95" s="300"/>
      <c r="FN95" s="300"/>
      <c r="FO95" s="108"/>
      <c r="FP95" s="108"/>
      <c r="FQ95" s="108"/>
      <c r="FR95" s="108"/>
      <c r="FS95" s="108"/>
      <c r="FT95" s="108"/>
      <c r="FU95" s="108"/>
      <c r="FV95" s="108"/>
      <c r="FW95" s="108"/>
      <c r="FX95" s="301"/>
      <c r="FY95" s="259"/>
      <c r="FZ95" s="259"/>
      <c r="GA95" s="259"/>
      <c r="GB95" s="259"/>
      <c r="GC95" s="301"/>
      <c r="GD95" s="301"/>
      <c r="GE95" s="301"/>
      <c r="GF95" s="301"/>
      <c r="GG95" s="301"/>
      <c r="GH95" s="301"/>
      <c r="GI95" s="301"/>
      <c r="GJ95" s="301"/>
      <c r="GK95" s="301"/>
      <c r="GL95" s="301"/>
      <c r="GM95" s="301"/>
      <c r="GN95" s="301"/>
      <c r="GO95" s="301"/>
      <c r="GP95" s="301"/>
      <c r="GQ95" s="301"/>
      <c r="GR95" s="301"/>
      <c r="GS95" s="301"/>
      <c r="GT95" s="301"/>
      <c r="GU95" s="301"/>
      <c r="GV95" s="301"/>
      <c r="IB95" s="65"/>
    </row>
    <row r="96" spans="1:236" ht="16.95" customHeight="1">
      <c r="A96" s="60"/>
      <c r="B96" s="69"/>
      <c r="C96" s="69"/>
      <c r="D96" s="268"/>
      <c r="E96" s="331"/>
      <c r="F96" s="331"/>
      <c r="G96" s="331"/>
      <c r="H96" s="331"/>
      <c r="I96" s="331"/>
      <c r="J96" s="331"/>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89"/>
      <c r="AZ96" s="89"/>
      <c r="BA96" s="89"/>
      <c r="BB96" s="89"/>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c r="CG96" s="89"/>
      <c r="CH96" s="89"/>
      <c r="CI96" s="89"/>
      <c r="CJ96" s="89"/>
      <c r="CK96" s="89"/>
      <c r="CL96" s="89"/>
      <c r="CM96" s="89"/>
      <c r="CN96" s="89"/>
      <c r="CO96" s="89"/>
      <c r="CP96" s="89"/>
      <c r="CQ96" s="89"/>
      <c r="CR96" s="89"/>
      <c r="CS96" s="89"/>
      <c r="CT96" s="89"/>
      <c r="CU96" s="89"/>
      <c r="CV96" s="89"/>
      <c r="CW96" s="89"/>
      <c r="CX96" s="89"/>
      <c r="CY96" s="89"/>
      <c r="CZ96" s="89"/>
      <c r="DA96" s="89"/>
      <c r="DB96" s="89"/>
      <c r="DC96" s="89"/>
      <c r="DD96" s="89"/>
      <c r="DE96" s="89"/>
      <c r="DF96" s="89"/>
      <c r="DG96" s="89"/>
      <c r="DH96" s="89"/>
      <c r="DI96" s="89"/>
      <c r="DJ96" s="89"/>
      <c r="DK96" s="89"/>
      <c r="DL96" s="89"/>
      <c r="DM96" s="89"/>
      <c r="DN96" s="89"/>
      <c r="DO96" s="89"/>
      <c r="DP96" s="89"/>
      <c r="DQ96" s="89"/>
      <c r="DR96" s="89"/>
      <c r="DS96" s="89"/>
      <c r="DT96" s="89"/>
      <c r="DU96" s="141"/>
      <c r="DV96" s="141"/>
      <c r="DW96" s="141"/>
      <c r="DX96" s="141"/>
      <c r="DY96" s="141"/>
      <c r="DZ96" s="141"/>
      <c r="EA96" s="141"/>
      <c r="EB96" s="89"/>
      <c r="EC96" s="89"/>
      <c r="ED96" s="89"/>
      <c r="EE96" s="89"/>
      <c r="EF96" s="89"/>
      <c r="EG96" s="89"/>
      <c r="EH96" s="89"/>
      <c r="EI96" s="89"/>
      <c r="EJ96" s="89"/>
      <c r="EK96" s="89"/>
      <c r="EL96" s="89"/>
      <c r="EM96" s="89"/>
      <c r="EN96" s="89"/>
      <c r="EO96" s="89"/>
      <c r="EP96" s="89"/>
      <c r="EQ96" s="89"/>
      <c r="ER96" s="89"/>
      <c r="ES96" s="89"/>
      <c r="ET96" s="89"/>
      <c r="EU96" s="89"/>
      <c r="EV96" s="89"/>
      <c r="EW96" s="89"/>
      <c r="EX96" s="89"/>
      <c r="EY96" s="89"/>
      <c r="EZ96" s="89"/>
      <c r="FA96" s="89"/>
      <c r="FB96" s="89"/>
      <c r="FC96" s="89"/>
      <c r="FD96" s="89"/>
      <c r="FE96" s="89"/>
      <c r="FF96" s="89"/>
      <c r="FG96" s="89"/>
      <c r="FH96" s="89"/>
      <c r="FI96" s="89"/>
      <c r="FJ96" s="300"/>
      <c r="FK96" s="300"/>
      <c r="FL96" s="300"/>
      <c r="FM96" s="300"/>
      <c r="FN96" s="300"/>
      <c r="FO96" s="108"/>
      <c r="FP96" s="108"/>
      <c r="FQ96" s="108"/>
      <c r="FR96" s="108"/>
      <c r="FS96" s="108"/>
      <c r="FT96" s="108"/>
      <c r="FU96" s="108"/>
      <c r="FV96" s="108"/>
      <c r="FW96" s="108"/>
      <c r="FX96" s="301"/>
      <c r="FY96" s="259"/>
      <c r="FZ96" s="259"/>
      <c r="GA96" s="259"/>
      <c r="GB96" s="259"/>
      <c r="GC96" s="301"/>
      <c r="GD96" s="301"/>
      <c r="GE96" s="301"/>
      <c r="GF96" s="301"/>
      <c r="GG96" s="301"/>
      <c r="GH96" s="301"/>
      <c r="GI96" s="301"/>
      <c r="GJ96" s="301"/>
      <c r="GK96" s="301"/>
      <c r="GL96" s="301"/>
      <c r="GM96" s="301"/>
      <c r="GN96" s="301"/>
      <c r="GO96" s="301"/>
      <c r="GP96" s="301"/>
      <c r="GQ96" s="301"/>
      <c r="GR96" s="301"/>
      <c r="GS96" s="301"/>
      <c r="GT96" s="301"/>
      <c r="GU96" s="301"/>
      <c r="GV96" s="301"/>
      <c r="IB96" s="65"/>
    </row>
    <row r="97" spans="1:236" ht="16.95" customHeight="1">
      <c r="A97" s="60"/>
      <c r="B97" s="69"/>
      <c r="C97" s="69"/>
      <c r="D97" s="268"/>
      <c r="E97" s="331"/>
      <c r="F97" s="331"/>
      <c r="G97" s="331"/>
      <c r="H97" s="331"/>
      <c r="I97" s="331"/>
      <c r="J97" s="331"/>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89"/>
      <c r="AZ97" s="89"/>
      <c r="BA97" s="89"/>
      <c r="BB97" s="89"/>
      <c r="BC97" s="89"/>
      <c r="BD97" s="89"/>
      <c r="BE97" s="89"/>
      <c r="BF97" s="89"/>
      <c r="BG97" s="89"/>
      <c r="BH97" s="89"/>
      <c r="BI97" s="89"/>
      <c r="BJ97" s="89"/>
      <c r="BK97" s="89"/>
      <c r="BL97" s="89"/>
      <c r="BM97" s="89"/>
      <c r="BN97" s="89"/>
      <c r="BO97" s="89"/>
      <c r="BP97" s="89"/>
      <c r="BQ97" s="89"/>
      <c r="BR97" s="89"/>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141"/>
      <c r="DV97" s="141"/>
      <c r="DW97" s="141"/>
      <c r="DX97" s="141"/>
      <c r="DY97" s="141"/>
      <c r="DZ97" s="141"/>
      <c r="EA97" s="141"/>
      <c r="EB97" s="89"/>
      <c r="EC97" s="89"/>
      <c r="ED97" s="89"/>
      <c r="EE97" s="89"/>
      <c r="EF97" s="89"/>
      <c r="EG97" s="89"/>
      <c r="EH97" s="89"/>
      <c r="EI97" s="89"/>
      <c r="EJ97" s="89"/>
      <c r="EK97" s="89"/>
      <c r="EL97" s="89"/>
      <c r="EM97" s="89"/>
      <c r="EN97" s="89"/>
      <c r="EO97" s="89"/>
      <c r="EP97" s="89"/>
      <c r="EQ97" s="89"/>
      <c r="ER97" s="89"/>
      <c r="ES97" s="89"/>
      <c r="ET97" s="89"/>
      <c r="EU97" s="89"/>
      <c r="EV97" s="89"/>
      <c r="EW97" s="89"/>
      <c r="EX97" s="89"/>
      <c r="EY97" s="89"/>
      <c r="EZ97" s="89"/>
      <c r="FA97" s="89"/>
      <c r="FB97" s="89"/>
      <c r="FC97" s="89"/>
      <c r="FD97" s="89"/>
      <c r="FE97" s="89"/>
      <c r="FF97" s="89"/>
      <c r="FG97" s="89"/>
      <c r="FH97" s="89"/>
      <c r="FI97" s="89"/>
      <c r="FJ97" s="300"/>
      <c r="FK97" s="300"/>
      <c r="FL97" s="300"/>
      <c r="FM97" s="300"/>
      <c r="FN97" s="300"/>
      <c r="FO97" s="108"/>
      <c r="FP97" s="108"/>
      <c r="FQ97" s="108"/>
      <c r="FR97" s="108"/>
      <c r="FS97" s="108"/>
      <c r="FT97" s="108"/>
      <c r="FU97" s="108"/>
      <c r="FV97" s="108"/>
      <c r="FW97" s="108"/>
      <c r="FX97" s="301"/>
      <c r="FY97" s="259"/>
      <c r="FZ97" s="259"/>
      <c r="GA97" s="259"/>
      <c r="GB97" s="259"/>
      <c r="GC97" s="301"/>
      <c r="GD97" s="301"/>
      <c r="GE97" s="301"/>
      <c r="GF97" s="301"/>
      <c r="GG97" s="301"/>
      <c r="GH97" s="301"/>
      <c r="GI97" s="301"/>
      <c r="GJ97" s="301"/>
      <c r="GK97" s="301"/>
      <c r="GL97" s="301"/>
      <c r="GM97" s="301"/>
      <c r="GN97" s="301"/>
      <c r="GO97" s="301"/>
      <c r="GP97" s="301"/>
      <c r="GQ97" s="301"/>
      <c r="GR97" s="301"/>
      <c r="GS97" s="301"/>
      <c r="GT97" s="301"/>
      <c r="GU97" s="301"/>
      <c r="GV97" s="301"/>
      <c r="IB97" s="65"/>
    </row>
    <row r="98" spans="1:236" ht="16.95" customHeight="1">
      <c r="A98" s="60"/>
      <c r="B98" s="69"/>
      <c r="C98" s="69"/>
      <c r="D98" s="268"/>
      <c r="E98" s="331"/>
      <c r="F98" s="331"/>
      <c r="G98" s="331"/>
      <c r="H98" s="331"/>
      <c r="I98" s="331"/>
      <c r="J98" s="331"/>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89"/>
      <c r="AZ98" s="89"/>
      <c r="BA98" s="89"/>
      <c r="BB98" s="89"/>
      <c r="BC98" s="89"/>
      <c r="BD98" s="89"/>
      <c r="BE98" s="89"/>
      <c r="BF98" s="89"/>
      <c r="BG98" s="89"/>
      <c r="BH98" s="89"/>
      <c r="BI98" s="89"/>
      <c r="BJ98" s="89"/>
      <c r="BK98" s="89"/>
      <c r="BL98" s="89"/>
      <c r="BM98" s="89"/>
      <c r="BN98" s="89"/>
      <c r="BO98" s="89"/>
      <c r="BP98" s="89"/>
      <c r="BQ98" s="89"/>
      <c r="BR98" s="89"/>
      <c r="BS98" s="89"/>
      <c r="BT98" s="89"/>
      <c r="BU98" s="89"/>
      <c r="BV98" s="89"/>
      <c r="BW98" s="89"/>
      <c r="BX98" s="89"/>
      <c r="BY98" s="89"/>
      <c r="BZ98" s="89"/>
      <c r="CA98" s="89"/>
      <c r="CB98" s="89"/>
      <c r="CC98" s="89"/>
      <c r="CD98" s="89"/>
      <c r="CE98" s="89"/>
      <c r="CF98" s="89"/>
      <c r="CG98" s="89"/>
      <c r="CH98" s="89"/>
      <c r="CI98" s="89"/>
      <c r="CJ98" s="89"/>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c r="DI98" s="89"/>
      <c r="DJ98" s="89"/>
      <c r="DK98" s="89"/>
      <c r="DL98" s="89"/>
      <c r="DM98" s="89"/>
      <c r="DN98" s="89"/>
      <c r="DO98" s="89"/>
      <c r="DP98" s="89"/>
      <c r="DQ98" s="89"/>
      <c r="DR98" s="89"/>
      <c r="DS98" s="89"/>
      <c r="DT98" s="89"/>
      <c r="DU98" s="141"/>
      <c r="DV98" s="141"/>
      <c r="DW98" s="141"/>
      <c r="DX98" s="141"/>
      <c r="DY98" s="141"/>
      <c r="DZ98" s="141"/>
      <c r="EA98" s="141"/>
      <c r="EB98" s="89"/>
      <c r="EC98" s="89"/>
      <c r="ED98" s="89"/>
      <c r="EE98" s="89"/>
      <c r="EF98" s="89"/>
      <c r="EG98" s="89"/>
      <c r="EH98" s="89"/>
      <c r="EI98" s="89"/>
      <c r="EJ98" s="89"/>
      <c r="EK98" s="89"/>
      <c r="EL98" s="89"/>
      <c r="EM98" s="89"/>
      <c r="EN98" s="89"/>
      <c r="EO98" s="89"/>
      <c r="EP98" s="89"/>
      <c r="EQ98" s="89"/>
      <c r="ER98" s="89"/>
      <c r="ES98" s="89"/>
      <c r="ET98" s="89"/>
      <c r="EU98" s="89"/>
      <c r="EV98" s="89"/>
      <c r="EW98" s="89"/>
      <c r="EX98" s="89"/>
      <c r="EY98" s="89"/>
      <c r="EZ98" s="89"/>
      <c r="FA98" s="89"/>
      <c r="FB98" s="89"/>
      <c r="FC98" s="89"/>
      <c r="FD98" s="89"/>
      <c r="FE98" s="89"/>
      <c r="FF98" s="89"/>
      <c r="FG98" s="89"/>
      <c r="FH98" s="89"/>
      <c r="FI98" s="89"/>
      <c r="FJ98" s="300"/>
      <c r="FK98" s="300"/>
      <c r="FL98" s="300"/>
      <c r="FM98" s="300"/>
      <c r="FN98" s="300"/>
      <c r="FO98" s="108"/>
      <c r="FP98" s="108"/>
      <c r="FQ98" s="108"/>
      <c r="FR98" s="108"/>
      <c r="FS98" s="108"/>
      <c r="FT98" s="108"/>
      <c r="FU98" s="108"/>
      <c r="FV98" s="108"/>
      <c r="FW98" s="108"/>
      <c r="FX98" s="301"/>
      <c r="FY98" s="259"/>
      <c r="FZ98" s="259"/>
      <c r="GA98" s="259"/>
      <c r="GB98" s="259"/>
      <c r="GC98" s="301"/>
      <c r="GD98" s="301"/>
      <c r="GE98" s="301"/>
      <c r="GF98" s="301"/>
      <c r="GG98" s="301"/>
      <c r="GH98" s="301"/>
      <c r="GI98" s="301"/>
      <c r="GJ98" s="301"/>
      <c r="GK98" s="301"/>
      <c r="GL98" s="301"/>
      <c r="GM98" s="301"/>
      <c r="GN98" s="301"/>
      <c r="GO98" s="301"/>
      <c r="GP98" s="301"/>
      <c r="GQ98" s="301"/>
      <c r="GR98" s="301"/>
      <c r="GS98" s="301"/>
      <c r="GT98" s="301"/>
      <c r="GU98" s="301"/>
      <c r="GV98" s="301"/>
      <c r="IB98" s="65"/>
    </row>
    <row r="99" spans="1:236" ht="16.95" customHeight="1">
      <c r="A99" s="60"/>
      <c r="B99" s="69"/>
      <c r="C99" s="69"/>
      <c r="D99" s="341"/>
      <c r="E99" s="331"/>
      <c r="F99" s="331"/>
      <c r="G99" s="331"/>
      <c r="H99" s="331"/>
      <c r="I99" s="331"/>
      <c r="J99" s="331"/>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89"/>
      <c r="AZ99" s="89"/>
      <c r="BA99" s="89"/>
      <c r="BB99" s="89"/>
      <c r="BC99" s="89"/>
      <c r="BD99" s="89"/>
      <c r="BE99" s="89"/>
      <c r="BF99" s="89"/>
      <c r="BG99" s="89"/>
      <c r="BH99" s="89"/>
      <c r="BI99" s="89"/>
      <c r="BJ99" s="89"/>
      <c r="BK99" s="89"/>
      <c r="BL99" s="89"/>
      <c r="BM99" s="89"/>
      <c r="BN99" s="89"/>
      <c r="BO99" s="89"/>
      <c r="BP99" s="89"/>
      <c r="BQ99" s="89"/>
      <c r="BR99" s="89"/>
      <c r="BS99" s="89"/>
      <c r="BT99" s="89"/>
      <c r="BU99" s="89"/>
      <c r="BV99" s="89"/>
      <c r="BW99" s="89"/>
      <c r="BX99" s="89"/>
      <c r="BY99" s="89"/>
      <c r="BZ99" s="89"/>
      <c r="CA99" s="89"/>
      <c r="CB99" s="562" t="str">
        <f ca="1">IF(FL1=0,"",""&amp;FP103&amp;"")</f>
        <v/>
      </c>
      <c r="CC99" s="547"/>
      <c r="CD99" s="547"/>
      <c r="CE99" s="547"/>
      <c r="CF99" s="547"/>
      <c r="CG99" s="547"/>
      <c r="CH99" s="547"/>
      <c r="CI99" s="547"/>
      <c r="CJ99" s="547"/>
      <c r="CK99" s="547"/>
      <c r="CL99" s="89"/>
      <c r="CM99" s="89"/>
      <c r="CN99" s="89"/>
      <c r="CO99" s="89"/>
      <c r="CP99" s="89"/>
      <c r="CQ99" s="89"/>
      <c r="CR99" s="89"/>
      <c r="CS99" s="89"/>
      <c r="CT99" s="89"/>
      <c r="CU99" s="89"/>
      <c r="CV99" s="89"/>
      <c r="CW99" s="89"/>
      <c r="CX99" s="89"/>
      <c r="CY99" s="89"/>
      <c r="CZ99" s="89"/>
      <c r="DA99" s="89"/>
      <c r="DB99" s="89"/>
      <c r="DC99" s="89"/>
      <c r="DD99" s="89"/>
      <c r="DE99" s="89"/>
      <c r="DF99" s="89"/>
      <c r="DG99" s="89"/>
      <c r="DH99" s="89"/>
      <c r="DI99" s="89"/>
      <c r="DJ99" s="89"/>
      <c r="DK99" s="89"/>
      <c r="DL99" s="89"/>
      <c r="DM99" s="89"/>
      <c r="DN99" s="89"/>
      <c r="DO99" s="89"/>
      <c r="DP99" s="89"/>
      <c r="DQ99" s="89"/>
      <c r="DR99" s="89"/>
      <c r="DS99" s="89"/>
      <c r="DT99" s="89"/>
      <c r="DU99" s="141"/>
      <c r="DV99" s="141"/>
      <c r="DW99" s="141"/>
      <c r="DX99" s="141"/>
      <c r="DY99" s="141"/>
      <c r="DZ99" s="141"/>
      <c r="EA99" s="141"/>
      <c r="EB99" s="89"/>
      <c r="EC99" s="89"/>
      <c r="ED99" s="89"/>
      <c r="EE99" s="89"/>
      <c r="EF99" s="89"/>
      <c r="EG99" s="89"/>
      <c r="EH99" s="89"/>
      <c r="EI99" s="89"/>
      <c r="EJ99" s="89"/>
      <c r="EK99" s="89"/>
      <c r="EL99" s="89"/>
      <c r="EM99" s="89"/>
      <c r="EN99" s="89"/>
      <c r="EO99" s="89"/>
      <c r="EP99" s="89"/>
      <c r="EQ99" s="89"/>
      <c r="ER99" s="89"/>
      <c r="ES99" s="89"/>
      <c r="ET99" s="89"/>
      <c r="EU99" s="89"/>
      <c r="EV99" s="89"/>
      <c r="EW99" s="89"/>
      <c r="EX99" s="89"/>
      <c r="EY99" s="89"/>
      <c r="EZ99" s="89"/>
      <c r="FA99" s="89"/>
      <c r="FB99" s="89"/>
      <c r="FC99" s="89"/>
      <c r="FD99" s="89"/>
      <c r="FE99" s="89"/>
      <c r="FF99" s="89"/>
      <c r="FG99" s="89"/>
      <c r="FH99" s="89"/>
      <c r="FI99" s="89"/>
      <c r="FJ99" s="300"/>
      <c r="FK99" s="300"/>
      <c r="FL99" s="300"/>
      <c r="FM99" s="300"/>
      <c r="FN99" s="300"/>
      <c r="FO99" s="108"/>
      <c r="FP99" s="108"/>
      <c r="FQ99" s="108"/>
      <c r="FR99" s="108"/>
      <c r="FS99" s="108"/>
      <c r="FT99" s="108"/>
      <c r="FU99" s="108"/>
      <c r="FV99" s="108"/>
      <c r="FW99" s="108"/>
      <c r="FX99" s="301"/>
      <c r="FY99" s="259"/>
      <c r="FZ99" s="259"/>
      <c r="GA99" s="259"/>
      <c r="GB99" s="259"/>
      <c r="GC99" s="301"/>
      <c r="GD99" s="301"/>
      <c r="GE99" s="301"/>
      <c r="GF99" s="301"/>
      <c r="GG99" s="301"/>
      <c r="GH99" s="301"/>
      <c r="GI99" s="301"/>
      <c r="GJ99" s="301"/>
      <c r="GK99" s="301"/>
      <c r="GL99" s="301"/>
      <c r="GM99" s="301"/>
      <c r="GN99" s="301"/>
      <c r="GO99" s="301"/>
      <c r="GP99" s="301"/>
      <c r="GQ99" s="301"/>
      <c r="GR99" s="301"/>
      <c r="GS99" s="301"/>
      <c r="GT99" s="301"/>
      <c r="GU99" s="301"/>
      <c r="GV99" s="301"/>
      <c r="IB99" s="65"/>
    </row>
    <row r="100" spans="1:236" ht="16.95" customHeight="1">
      <c r="A100" s="60"/>
      <c r="B100" s="69"/>
      <c r="C100" s="69"/>
      <c r="D100" s="341"/>
      <c r="E100" s="331"/>
      <c r="F100" s="331"/>
      <c r="G100" s="331"/>
      <c r="H100" s="331"/>
      <c r="I100" s="331"/>
      <c r="J100" s="331"/>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89"/>
      <c r="AZ100" s="89"/>
      <c r="BA100" s="89"/>
      <c r="BB100" s="89"/>
      <c r="BC100" s="89"/>
      <c r="BD100" s="89"/>
      <c r="BE100" s="89"/>
      <c r="BF100" s="89"/>
      <c r="BG100" s="89"/>
      <c r="BH100" s="89"/>
      <c r="BI100" s="89"/>
      <c r="BJ100" s="89"/>
      <c r="BK100" s="89"/>
      <c r="BL100" s="89"/>
      <c r="BM100" s="89"/>
      <c r="BN100" s="89"/>
      <c r="BO100" s="89"/>
      <c r="BP100" s="89"/>
      <c r="BQ100" s="89"/>
      <c r="BR100" s="89"/>
      <c r="BS100" s="89"/>
      <c r="BT100" s="89"/>
      <c r="BU100" s="89"/>
      <c r="BV100" s="89"/>
      <c r="BW100" s="89"/>
      <c r="BX100" s="89"/>
      <c r="BY100" s="89"/>
      <c r="BZ100" s="89"/>
      <c r="CA100" s="89"/>
      <c r="CB100" s="89"/>
      <c r="CC100" s="89"/>
      <c r="CD100" s="89"/>
      <c r="CE100" s="89"/>
      <c r="CF100" s="89"/>
      <c r="CG100" s="89"/>
      <c r="CH100" s="89"/>
      <c r="CI100" s="89"/>
      <c r="CJ100" s="89"/>
      <c r="CK100" s="89"/>
      <c r="CL100" s="89"/>
      <c r="CM100" s="89"/>
      <c r="CN100" s="89"/>
      <c r="CO100" s="89"/>
      <c r="CP100" s="89"/>
      <c r="CQ100" s="89"/>
      <c r="CR100" s="89"/>
      <c r="CS100" s="89"/>
      <c r="CT100" s="89"/>
      <c r="CU100" s="89"/>
      <c r="CV100" s="89"/>
      <c r="CW100" s="89"/>
      <c r="CX100" s="89"/>
      <c r="CY100" s="89"/>
      <c r="CZ100" s="89"/>
      <c r="DA100" s="89"/>
      <c r="DB100" s="89"/>
      <c r="DC100" s="89"/>
      <c r="DD100" s="89"/>
      <c r="DE100" s="89"/>
      <c r="DF100" s="89"/>
      <c r="DG100" s="89"/>
      <c r="DH100" s="89"/>
      <c r="DI100" s="89"/>
      <c r="DJ100" s="89"/>
      <c r="DK100" s="89"/>
      <c r="DL100" s="89"/>
      <c r="DM100" s="89"/>
      <c r="DN100" s="89"/>
      <c r="DO100" s="89"/>
      <c r="DP100" s="89"/>
      <c r="DQ100" s="89"/>
      <c r="DR100" s="89"/>
      <c r="DS100" s="89"/>
      <c r="DT100" s="89"/>
      <c r="DU100" s="141"/>
      <c r="DV100" s="141"/>
      <c r="DW100" s="141"/>
      <c r="DX100" s="141"/>
      <c r="DY100" s="141"/>
      <c r="DZ100" s="141"/>
      <c r="EA100" s="141"/>
      <c r="EB100" s="89"/>
      <c r="EC100" s="89"/>
      <c r="ED100" s="89"/>
      <c r="EE100" s="89"/>
      <c r="EF100" s="89"/>
      <c r="EG100" s="89"/>
      <c r="EH100" s="89"/>
      <c r="EI100" s="89"/>
      <c r="EJ100" s="89"/>
      <c r="EK100" s="89"/>
      <c r="EL100" s="89"/>
      <c r="EM100" s="89"/>
      <c r="EN100" s="89"/>
      <c r="EO100" s="89"/>
      <c r="EP100" s="89"/>
      <c r="EQ100" s="89"/>
      <c r="ER100" s="89"/>
      <c r="ES100" s="89"/>
      <c r="ET100" s="89"/>
      <c r="EU100" s="89"/>
      <c r="EV100" s="89"/>
      <c r="EW100" s="89"/>
      <c r="EX100" s="89"/>
      <c r="EY100" s="89"/>
      <c r="EZ100" s="89"/>
      <c r="FA100" s="89"/>
      <c r="FB100" s="89"/>
      <c r="FC100" s="89"/>
      <c r="FD100" s="89"/>
      <c r="FE100" s="89"/>
      <c r="FF100" s="89"/>
      <c r="FG100" s="89"/>
      <c r="FH100" s="89"/>
      <c r="FI100" s="89"/>
      <c r="FJ100" s="300"/>
      <c r="FK100" s="300"/>
      <c r="FL100" s="300"/>
      <c r="FM100" s="300"/>
      <c r="FN100" s="300"/>
      <c r="FO100" s="108"/>
      <c r="FP100" s="108"/>
      <c r="FQ100" s="108"/>
      <c r="FR100" s="108"/>
      <c r="FS100" s="108"/>
      <c r="FT100" s="108"/>
      <c r="FU100" s="108"/>
      <c r="FV100" s="108"/>
      <c r="FW100" s="108"/>
      <c r="FX100" s="301"/>
      <c r="FY100" s="259"/>
      <c r="FZ100" s="259"/>
      <c r="GA100" s="259"/>
      <c r="GB100" s="259"/>
      <c r="GC100" s="301"/>
      <c r="GD100" s="301"/>
      <c r="GE100" s="301"/>
      <c r="GF100" s="301"/>
      <c r="GG100" s="301"/>
      <c r="GH100" s="301"/>
      <c r="GI100" s="301"/>
      <c r="GJ100" s="301"/>
      <c r="GK100" s="301"/>
      <c r="GL100" s="301"/>
      <c r="GM100" s="301"/>
      <c r="GN100" s="301"/>
      <c r="GO100" s="301"/>
      <c r="GP100" s="301"/>
      <c r="GQ100" s="301"/>
      <c r="GR100" s="301"/>
      <c r="GS100" s="301"/>
      <c r="GT100" s="301"/>
      <c r="GU100" s="301"/>
      <c r="GV100" s="301"/>
      <c r="IB100" s="65"/>
    </row>
    <row r="101" spans="1:236" customFormat="1" ht="11.4" customHeight="1">
      <c r="A101" s="1"/>
      <c r="B101" s="3"/>
      <c r="C101" s="3"/>
      <c r="D101" s="74" t="str">
        <f ca="1">IF(FL1=0,"","")</f>
        <v/>
      </c>
      <c r="E101" s="70"/>
      <c r="F101" s="70"/>
      <c r="G101" s="70"/>
      <c r="H101" s="70"/>
      <c r="I101" s="70"/>
      <c r="J101" s="89"/>
      <c r="K101" s="89"/>
      <c r="L101" s="141"/>
      <c r="M101" s="141"/>
      <c r="N101" s="141"/>
      <c r="O101" s="141"/>
      <c r="P101" s="141"/>
      <c r="Q101" s="141"/>
      <c r="R101" s="141"/>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c r="BG101" s="137"/>
      <c r="BH101" s="137"/>
      <c r="BI101" s="137"/>
      <c r="BJ101" s="137"/>
      <c r="BK101" s="137"/>
      <c r="BL101" s="137"/>
      <c r="BM101" s="137"/>
      <c r="BN101" s="137"/>
      <c r="BO101" s="137"/>
      <c r="BP101" s="137"/>
      <c r="BQ101" s="137"/>
      <c r="BR101" s="137"/>
      <c r="BS101" s="137"/>
      <c r="BT101" s="137"/>
      <c r="BU101" s="137"/>
      <c r="BV101" s="137"/>
      <c r="BW101" s="137"/>
      <c r="BX101" s="137"/>
      <c r="BY101" s="137"/>
      <c r="BZ101" s="137"/>
      <c r="CA101" s="137"/>
      <c r="CB101" s="137"/>
      <c r="CC101" s="137"/>
      <c r="CD101" s="137"/>
      <c r="CE101" s="137"/>
      <c r="CF101" s="70"/>
      <c r="CG101" s="70"/>
      <c r="CH101" s="70"/>
      <c r="CI101" s="70"/>
      <c r="CJ101" s="70"/>
      <c r="CK101" s="70"/>
      <c r="CL101" s="70"/>
      <c r="CM101" s="70"/>
      <c r="CN101" s="70"/>
      <c r="CO101" s="79"/>
      <c r="CP101" s="79"/>
      <c r="CQ101" s="79"/>
      <c r="CR101" s="79"/>
      <c r="CS101" s="79"/>
      <c r="CT101" s="79"/>
      <c r="CU101" s="79"/>
      <c r="CV101" s="79"/>
      <c r="CW101" s="79"/>
      <c r="CX101" s="79"/>
      <c r="CY101" s="79"/>
      <c r="CZ101" s="79"/>
      <c r="DA101" s="79"/>
      <c r="DB101" s="79"/>
      <c r="DC101" s="79"/>
      <c r="DD101" s="79"/>
      <c r="DE101" s="79"/>
      <c r="DF101" s="79"/>
      <c r="DG101" s="79"/>
      <c r="DH101" s="79"/>
      <c r="DI101" s="79"/>
      <c r="DJ101" s="79"/>
      <c r="DK101" s="79"/>
      <c r="DL101" s="79"/>
      <c r="DM101" s="79"/>
      <c r="DN101" s="79"/>
      <c r="DO101" s="79"/>
      <c r="DP101" s="79"/>
      <c r="DQ101" s="79"/>
      <c r="DR101" s="79"/>
      <c r="DS101" s="79"/>
      <c r="DT101" s="79"/>
      <c r="DU101" s="79"/>
      <c r="DV101" s="79"/>
      <c r="DW101" s="79"/>
      <c r="DX101" s="79"/>
      <c r="DY101" s="79"/>
      <c r="DZ101" s="79"/>
      <c r="EA101" s="79"/>
      <c r="EB101" s="79"/>
      <c r="EC101" s="79"/>
      <c r="ED101" s="79"/>
      <c r="EE101" s="79"/>
      <c r="EF101" s="79"/>
      <c r="EG101" s="79"/>
      <c r="EH101" s="79"/>
      <c r="EI101" s="79"/>
      <c r="EJ101" s="79"/>
      <c r="EK101" s="79"/>
      <c r="EL101" s="79"/>
      <c r="EM101" s="79"/>
      <c r="EN101" s="79"/>
      <c r="EO101" s="79"/>
      <c r="EP101" s="79"/>
      <c r="EQ101" s="10"/>
      <c r="ER101" s="10"/>
      <c r="ES101" s="10"/>
      <c r="ET101" s="10"/>
      <c r="EU101" s="10"/>
      <c r="EV101" s="10"/>
      <c r="EW101" s="10"/>
      <c r="EX101" s="10"/>
      <c r="EY101" s="10"/>
      <c r="EZ101" s="10"/>
      <c r="FA101" s="10"/>
      <c r="FB101" s="10"/>
      <c r="FC101" s="10"/>
      <c r="FD101" s="10"/>
      <c r="FE101" s="10"/>
      <c r="FF101" s="10"/>
      <c r="FG101" s="10"/>
      <c r="FH101" s="10"/>
      <c r="FI101" s="10"/>
      <c r="FJ101" s="257"/>
      <c r="FK101" s="257"/>
      <c r="FL101" s="312"/>
      <c r="FM101" s="188"/>
      <c r="FN101" s="66"/>
      <c r="FO101" s="66"/>
      <c r="FP101" s="66"/>
      <c r="FQ101" s="66"/>
      <c r="FR101" s="66"/>
      <c r="FS101" s="66"/>
      <c r="FT101" s="47"/>
      <c r="FU101" s="47"/>
      <c r="FV101" s="47"/>
      <c r="FW101" s="47"/>
      <c r="FX101" s="47"/>
      <c r="FY101" s="259"/>
      <c r="FZ101" s="259"/>
      <c r="GA101" s="259"/>
      <c r="GB101" s="259"/>
      <c r="GC101" s="49"/>
      <c r="GD101" s="49"/>
      <c r="GE101" s="49"/>
      <c r="GF101" s="49"/>
      <c r="GG101" s="49"/>
      <c r="GH101" s="49"/>
      <c r="GI101" s="49"/>
      <c r="GJ101" s="49"/>
      <c r="GK101" s="49"/>
      <c r="GL101" s="49"/>
      <c r="GM101" s="49"/>
      <c r="GN101" s="49"/>
      <c r="GO101" s="49"/>
      <c r="GP101" s="49"/>
      <c r="GQ101" s="49"/>
      <c r="GR101" s="49"/>
      <c r="GS101" s="49"/>
      <c r="GT101" s="49"/>
      <c r="GU101" s="49"/>
      <c r="GV101" s="49"/>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row>
    <row r="102" spans="1:236" ht="3.6" customHeight="1">
      <c r="A102" s="60"/>
      <c r="B102" s="69"/>
      <c r="C102" s="69"/>
      <c r="D102" s="331"/>
      <c r="E102" s="331"/>
      <c r="F102" s="331"/>
      <c r="G102" s="331"/>
      <c r="H102" s="331"/>
      <c r="I102" s="331"/>
      <c r="J102" s="331"/>
      <c r="K102" s="89"/>
      <c r="L102" s="331"/>
      <c r="M102" s="331"/>
      <c r="N102" s="331"/>
      <c r="O102" s="331"/>
      <c r="P102" s="331"/>
      <c r="Q102" s="331"/>
      <c r="R102" s="331"/>
      <c r="S102" s="331"/>
      <c r="T102" s="331"/>
      <c r="U102" s="331"/>
      <c r="V102" s="331"/>
      <c r="W102" s="331"/>
      <c r="X102" s="331"/>
      <c r="Y102" s="331"/>
      <c r="Z102" s="331"/>
      <c r="AA102" s="331"/>
      <c r="AB102" s="331"/>
      <c r="AC102" s="331"/>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c r="BJ102" s="268"/>
      <c r="BK102" s="268"/>
      <c r="BL102" s="268"/>
      <c r="BM102" s="268"/>
      <c r="BN102" s="268"/>
      <c r="BO102" s="268"/>
      <c r="BP102" s="268"/>
      <c r="BQ102" s="268"/>
      <c r="BR102" s="268"/>
      <c r="BS102" s="268"/>
      <c r="BT102" s="268"/>
      <c r="BU102" s="268"/>
      <c r="BV102" s="268"/>
      <c r="BW102" s="268"/>
      <c r="BX102" s="268"/>
      <c r="BY102" s="268"/>
      <c r="BZ102" s="268"/>
      <c r="CA102" s="268"/>
      <c r="CB102" s="268"/>
      <c r="CC102" s="268"/>
      <c r="CD102" s="268"/>
      <c r="CE102" s="268"/>
      <c r="CF102" s="268"/>
      <c r="CG102" s="268"/>
      <c r="CH102" s="268"/>
      <c r="CI102" s="331"/>
      <c r="CJ102" s="331"/>
      <c r="CK102" s="331"/>
      <c r="CL102" s="331"/>
      <c r="CM102" s="331"/>
      <c r="CN102" s="331"/>
      <c r="CO102" s="89"/>
      <c r="CP102" s="89"/>
      <c r="CQ102" s="89"/>
      <c r="CR102" s="89"/>
      <c r="CS102" s="89"/>
      <c r="CT102" s="89"/>
      <c r="CU102" s="89"/>
      <c r="CV102" s="89"/>
      <c r="CW102" s="89"/>
      <c r="CX102" s="89"/>
      <c r="CY102" s="89"/>
      <c r="CZ102" s="89"/>
      <c r="DA102" s="89"/>
      <c r="DB102" s="89"/>
      <c r="DC102" s="89"/>
      <c r="DD102" s="538" t="str">
        <f ca="1">IF(FL1=0,"","+")</f>
        <v/>
      </c>
      <c r="DE102" s="538"/>
      <c r="DF102" s="538"/>
      <c r="DG102" s="538"/>
      <c r="DH102" s="538"/>
      <c r="DI102" s="538"/>
      <c r="DJ102" s="538"/>
      <c r="DK102" s="538"/>
      <c r="DL102" s="538"/>
      <c r="DM102" s="538"/>
      <c r="DN102" s="538"/>
      <c r="DO102" s="538"/>
      <c r="DP102" s="538"/>
      <c r="DQ102" s="538"/>
      <c r="DR102" s="538"/>
      <c r="DS102" s="538"/>
      <c r="DT102" s="538"/>
      <c r="DU102" s="538"/>
      <c r="DV102" s="538"/>
      <c r="DW102" s="538"/>
      <c r="DX102" s="538"/>
      <c r="DY102" s="538"/>
      <c r="DZ102" s="538"/>
      <c r="EA102" s="538"/>
      <c r="EB102" s="538"/>
      <c r="EC102" s="332"/>
      <c r="ED102" s="332"/>
      <c r="EE102" s="332"/>
      <c r="EF102" s="332"/>
      <c r="EG102" s="332"/>
      <c r="EH102" s="89"/>
      <c r="EI102" s="89"/>
      <c r="EJ102" s="89"/>
      <c r="EK102" s="89"/>
      <c r="EL102" s="89"/>
      <c r="EM102" s="89"/>
      <c r="EN102" s="89"/>
      <c r="EO102" s="89"/>
      <c r="EP102" s="89"/>
      <c r="EQ102" s="89"/>
      <c r="ER102" s="89"/>
      <c r="ES102" s="89"/>
      <c r="ET102" s="89"/>
      <c r="EU102" s="89"/>
      <c r="EV102" s="89"/>
      <c r="EW102" s="89"/>
      <c r="EX102" s="89"/>
      <c r="EY102" s="89"/>
      <c r="EZ102" s="89"/>
      <c r="FA102" s="89"/>
      <c r="FB102" s="89"/>
      <c r="FC102" s="89"/>
      <c r="FD102" s="89"/>
      <c r="FE102" s="89"/>
      <c r="FF102" s="89"/>
      <c r="FG102" s="89"/>
      <c r="FH102" s="89"/>
      <c r="FI102" s="89"/>
      <c r="FJ102" s="257"/>
      <c r="FK102" s="257"/>
      <c r="FL102" s="312"/>
      <c r="FM102" s="188"/>
      <c r="FN102" s="300"/>
      <c r="FO102" s="108"/>
      <c r="FP102" s="108"/>
      <c r="FQ102" s="108"/>
      <c r="FR102" s="108"/>
      <c r="FS102" s="108"/>
      <c r="FT102" s="108"/>
      <c r="FU102" s="108"/>
      <c r="FV102" s="108"/>
      <c r="FW102" s="108"/>
      <c r="FX102" s="301"/>
      <c r="FY102" s="259"/>
      <c r="FZ102" s="259"/>
      <c r="GA102" s="259"/>
      <c r="GB102" s="259"/>
      <c r="GC102" s="301"/>
      <c r="GD102" s="301"/>
      <c r="GE102" s="301"/>
      <c r="GF102" s="301"/>
      <c r="GG102" s="301"/>
      <c r="GH102" s="301"/>
      <c r="GI102" s="301"/>
      <c r="GJ102" s="301"/>
      <c r="GK102" s="301"/>
      <c r="GL102" s="301"/>
      <c r="GM102" s="301"/>
      <c r="GN102" s="301"/>
      <c r="GO102" s="301"/>
      <c r="GP102" s="301"/>
      <c r="GQ102" s="301"/>
      <c r="GR102" s="301"/>
      <c r="GS102" s="301"/>
      <c r="GT102" s="301"/>
      <c r="GU102" s="301"/>
      <c r="GV102" s="301"/>
      <c r="IB102" s="65"/>
    </row>
    <row r="103" spans="1:236" ht="16.5" customHeight="1">
      <c r="A103" s="60"/>
      <c r="B103" s="69"/>
      <c r="C103" s="69"/>
      <c r="D103" s="268"/>
      <c r="E103" s="331"/>
      <c r="F103" s="331"/>
      <c r="G103" s="331"/>
      <c r="H103" s="331"/>
      <c r="I103" s="331"/>
      <c r="J103" s="331"/>
      <c r="K103" s="89"/>
      <c r="L103" s="331"/>
      <c r="M103" s="331"/>
      <c r="N103" s="331"/>
      <c r="O103" s="331"/>
      <c r="P103" s="331"/>
      <c r="Q103" s="331"/>
      <c r="R103" s="331"/>
      <c r="S103" s="331"/>
      <c r="T103" s="331"/>
      <c r="U103" s="331"/>
      <c r="V103" s="331"/>
      <c r="W103" s="331"/>
      <c r="X103" s="331"/>
      <c r="Y103" s="331"/>
      <c r="Z103" s="331"/>
      <c r="AA103" s="331"/>
      <c r="AB103" s="331"/>
      <c r="AC103" s="331"/>
      <c r="AD103" s="268"/>
      <c r="AE103" s="268"/>
      <c r="AF103" s="268"/>
      <c r="AG103" s="268"/>
      <c r="AH103" s="268"/>
      <c r="AI103" s="268"/>
      <c r="AJ103" s="268"/>
      <c r="AK103" s="268"/>
      <c r="AL103" s="268"/>
      <c r="AM103" s="268"/>
      <c r="AN103" s="268"/>
      <c r="AO103" s="268"/>
      <c r="AP103" s="268"/>
      <c r="AQ103" s="268"/>
      <c r="AR103" s="268"/>
      <c r="AS103" s="268"/>
      <c r="AT103" s="268"/>
      <c r="AU103" s="268"/>
      <c r="AV103" s="268"/>
      <c r="AW103" s="268"/>
      <c r="AX103" s="268"/>
      <c r="AY103" s="268"/>
      <c r="AZ103" s="268"/>
      <c r="BA103" s="268"/>
      <c r="BB103" s="268"/>
      <c r="BC103" s="268"/>
      <c r="BD103" s="268"/>
      <c r="BE103" s="268"/>
      <c r="BF103" s="268"/>
      <c r="BG103" s="268"/>
      <c r="BH103" s="268"/>
      <c r="BI103" s="268"/>
      <c r="BJ103" s="268"/>
      <c r="BK103" s="268"/>
      <c r="BL103" s="268"/>
      <c r="BM103" s="268"/>
      <c r="BN103" s="268"/>
      <c r="BO103" s="268"/>
      <c r="BP103" s="268"/>
      <c r="BQ103" s="268"/>
      <c r="BR103" s="268"/>
      <c r="BS103" s="268"/>
      <c r="BT103" s="268"/>
      <c r="BU103" s="268"/>
      <c r="BV103" s="268"/>
      <c r="BW103" s="268"/>
      <c r="BX103" s="268"/>
      <c r="BY103" s="268"/>
      <c r="BZ103" s="268"/>
      <c r="CA103" s="268"/>
      <c r="CB103" s="268"/>
      <c r="CC103" s="268"/>
      <c r="CD103" s="268"/>
      <c r="CE103" s="268"/>
      <c r="CF103" s="268"/>
      <c r="CG103" s="268"/>
      <c r="CH103" s="268"/>
      <c r="CI103" s="331"/>
      <c r="CJ103" s="331"/>
      <c r="CK103" s="331"/>
      <c r="CL103" s="331"/>
      <c r="CM103" s="331"/>
      <c r="CN103" s="331"/>
      <c r="CO103" s="89"/>
      <c r="CP103" s="89"/>
      <c r="CQ103" s="89"/>
      <c r="CR103" s="89"/>
      <c r="CS103" s="89"/>
      <c r="CT103" s="89"/>
      <c r="CU103" s="89"/>
      <c r="CV103" s="89"/>
      <c r="CW103" s="89"/>
      <c r="CX103" s="89"/>
      <c r="CY103" s="89"/>
      <c r="CZ103" s="89"/>
      <c r="DA103" s="89"/>
      <c r="DB103" s="302" t="str">
        <f ca="1">IF(FL1=0,"","De totale winst is dan:")</f>
        <v/>
      </c>
      <c r="DC103" s="303"/>
      <c r="DD103" s="327" t="str">
        <f ca="1">IF(FL1=0,"","+")</f>
        <v/>
      </c>
      <c r="DE103" s="561"/>
      <c r="DF103" s="561"/>
      <c r="DG103" s="561"/>
      <c r="DH103" s="561"/>
      <c r="DI103" s="561"/>
      <c r="DJ103" s="561"/>
      <c r="DK103" s="561"/>
      <c r="DL103" s="561"/>
      <c r="DM103" s="561"/>
      <c r="DN103" s="561"/>
      <c r="DO103" s="561"/>
      <c r="DP103" s="561"/>
      <c r="DQ103" s="561"/>
      <c r="DR103" s="561"/>
      <c r="DS103" s="561"/>
      <c r="DT103" s="561"/>
      <c r="DU103" s="561"/>
      <c r="DV103" s="561"/>
      <c r="DW103" s="561"/>
      <c r="DX103" s="561"/>
      <c r="DY103" s="561"/>
      <c r="DZ103" s="561"/>
      <c r="EA103" s="561"/>
      <c r="EB103" s="327" t="str">
        <f ca="1">IF(FL1=0,"","+")</f>
        <v/>
      </c>
      <c r="EC103" s="304" t="s">
        <v>131</v>
      </c>
      <c r="ED103" s="141"/>
      <c r="EE103" s="298" t="str">
        <f ca="1">IF(OR(CO461="",TODAY()&gt;=Blad1!AY3),"",IF(FL1=0,"",IF(DE103="","Deze moet je nog maken.",IF(FL103=1,"Goed!","Fout!"))))</f>
        <v/>
      </c>
      <c r="EF103" s="332"/>
      <c r="EG103" s="332"/>
      <c r="EH103" s="89"/>
      <c r="EI103" s="89"/>
      <c r="EJ103" s="89"/>
      <c r="EK103" s="89"/>
      <c r="EL103" s="89"/>
      <c r="EM103" s="89"/>
      <c r="EN103" s="89"/>
      <c r="EO103" s="89"/>
      <c r="EP103" s="89"/>
      <c r="EQ103" s="89"/>
      <c r="ER103" s="89"/>
      <c r="ES103" s="89"/>
      <c r="ET103" s="89"/>
      <c r="EU103" s="89"/>
      <c r="EV103" s="89"/>
      <c r="EW103" s="89"/>
      <c r="EX103" s="89"/>
      <c r="EY103" s="89"/>
      <c r="EZ103" s="89"/>
      <c r="FA103" s="89"/>
      <c r="FB103" s="89"/>
      <c r="FC103" s="89"/>
      <c r="FD103" s="89"/>
      <c r="FE103" s="89"/>
      <c r="FF103" s="89"/>
      <c r="FG103" s="89"/>
      <c r="FH103" s="89"/>
      <c r="FI103" s="89"/>
      <c r="FJ103" s="257"/>
      <c r="FK103" s="257"/>
      <c r="FL103" s="312">
        <f ca="1">IF(programma!B1="X",1,IF(FL1=0,0,IF(AND(DE103&gt;=FM103-0.01,DE103&lt;=FM103+0.01),1,0)))</f>
        <v>0</v>
      </c>
      <c r="FM103" s="188">
        <f ca="1">IF(FK1=0,"",FN103-FO103)</f>
        <v>213</v>
      </c>
      <c r="FN103" s="96">
        <f ca="1">1.3*FP103</f>
        <v>533</v>
      </c>
      <c r="FO103" s="66">
        <f ca="1">ROUND(0.6*FN103,0)</f>
        <v>320</v>
      </c>
      <c r="FP103" s="103">
        <f ca="1">ROUND(10*Blad1!Z24+Blad1!AA9,-1)</f>
        <v>410</v>
      </c>
      <c r="FQ103" s="300"/>
      <c r="FR103" s="300"/>
      <c r="FS103" s="300"/>
      <c r="FT103" s="300"/>
      <c r="FU103" s="300"/>
      <c r="FV103" s="300"/>
      <c r="FW103" s="108"/>
      <c r="FX103" s="301"/>
      <c r="FY103" s="259"/>
      <c r="FZ103" s="259"/>
      <c r="GA103" s="259"/>
      <c r="GB103" s="259"/>
      <c r="GC103" s="301"/>
      <c r="GD103" s="301"/>
      <c r="GE103" s="301"/>
      <c r="GF103" s="301"/>
      <c r="GG103" s="301"/>
      <c r="GH103" s="301"/>
      <c r="GI103" s="301"/>
      <c r="GJ103" s="301"/>
      <c r="GK103" s="301"/>
      <c r="GL103" s="301"/>
      <c r="GM103" s="301"/>
      <c r="GN103" s="301"/>
      <c r="GO103" s="301"/>
      <c r="GP103" s="301"/>
      <c r="GQ103" s="301"/>
      <c r="GR103" s="301"/>
      <c r="GS103" s="301"/>
      <c r="GT103" s="301"/>
      <c r="GU103" s="301"/>
      <c r="GV103" s="301"/>
      <c r="IB103" s="65"/>
    </row>
    <row r="104" spans="1:236" ht="3.6" customHeight="1">
      <c r="A104" s="60"/>
      <c r="B104" s="69"/>
      <c r="C104" s="69"/>
      <c r="D104" s="141"/>
      <c r="E104" s="331"/>
      <c r="F104" s="331"/>
      <c r="G104" s="331"/>
      <c r="H104" s="331"/>
      <c r="I104" s="331"/>
      <c r="J104" s="331"/>
      <c r="K104" s="89"/>
      <c r="L104" s="331"/>
      <c r="M104" s="331"/>
      <c r="N104" s="331"/>
      <c r="O104" s="331"/>
      <c r="P104" s="331"/>
      <c r="Q104" s="331"/>
      <c r="R104" s="331"/>
      <c r="S104" s="331"/>
      <c r="T104" s="331"/>
      <c r="U104" s="331"/>
      <c r="V104" s="331"/>
      <c r="W104" s="331"/>
      <c r="X104" s="331"/>
      <c r="Y104" s="331"/>
      <c r="Z104" s="331"/>
      <c r="AA104" s="331"/>
      <c r="AB104" s="331"/>
      <c r="AC104" s="331"/>
      <c r="AD104" s="268"/>
      <c r="AE104" s="268"/>
      <c r="AF104" s="268"/>
      <c r="AG104" s="268"/>
      <c r="AH104" s="268"/>
      <c r="AI104" s="268"/>
      <c r="AJ104" s="268"/>
      <c r="AK104" s="268"/>
      <c r="AL104" s="268"/>
      <c r="AM104" s="268"/>
      <c r="AN104" s="268"/>
      <c r="AO104" s="268"/>
      <c r="AP104" s="268"/>
      <c r="AQ104" s="268"/>
      <c r="AR104" s="268"/>
      <c r="AS104" s="268"/>
      <c r="AT104" s="268"/>
      <c r="AU104" s="268"/>
      <c r="AV104" s="268"/>
      <c r="AW104" s="268"/>
      <c r="AX104" s="268"/>
      <c r="AY104" s="268"/>
      <c r="AZ104" s="268"/>
      <c r="BA104" s="268"/>
      <c r="BB104" s="268"/>
      <c r="BC104" s="268"/>
      <c r="BD104" s="268"/>
      <c r="BE104" s="268"/>
      <c r="BF104" s="268"/>
      <c r="BG104" s="268"/>
      <c r="BH104" s="268"/>
      <c r="BI104" s="268"/>
      <c r="BJ104" s="268"/>
      <c r="BK104" s="268"/>
      <c r="BL104" s="268"/>
      <c r="BM104" s="268"/>
      <c r="BN104" s="268"/>
      <c r="BO104" s="268"/>
      <c r="BP104" s="268"/>
      <c r="BQ104" s="268"/>
      <c r="BR104" s="268"/>
      <c r="BS104" s="268"/>
      <c r="BT104" s="268"/>
      <c r="BU104" s="268"/>
      <c r="BV104" s="268"/>
      <c r="BW104" s="268"/>
      <c r="BX104" s="268"/>
      <c r="BY104" s="268"/>
      <c r="BZ104" s="268"/>
      <c r="CA104" s="268"/>
      <c r="CB104" s="268"/>
      <c r="CC104" s="268"/>
      <c r="CD104" s="268"/>
      <c r="CE104" s="268"/>
      <c r="CF104" s="268"/>
      <c r="CG104" s="268"/>
      <c r="CH104" s="268"/>
      <c r="CI104" s="331"/>
      <c r="CJ104" s="331"/>
      <c r="CK104" s="331"/>
      <c r="CL104" s="331"/>
      <c r="CM104" s="331"/>
      <c r="CN104" s="331"/>
      <c r="CO104" s="89"/>
      <c r="CP104" s="89"/>
      <c r="CQ104" s="89"/>
      <c r="CR104" s="89"/>
      <c r="CS104" s="89"/>
      <c r="CT104" s="89"/>
      <c r="CU104" s="89"/>
      <c r="CV104" s="89"/>
      <c r="CW104" s="89"/>
      <c r="CX104" s="89"/>
      <c r="CY104" s="89"/>
      <c r="CZ104" s="89"/>
      <c r="DA104" s="89"/>
      <c r="DB104" s="89"/>
      <c r="DC104" s="89"/>
      <c r="DD104" s="538" t="str">
        <f ca="1">IF(FL1=0,"","+")</f>
        <v/>
      </c>
      <c r="DE104" s="538"/>
      <c r="DF104" s="538"/>
      <c r="DG104" s="538"/>
      <c r="DH104" s="538"/>
      <c r="DI104" s="538"/>
      <c r="DJ104" s="538"/>
      <c r="DK104" s="538"/>
      <c r="DL104" s="538"/>
      <c r="DM104" s="538"/>
      <c r="DN104" s="538"/>
      <c r="DO104" s="538"/>
      <c r="DP104" s="538"/>
      <c r="DQ104" s="538"/>
      <c r="DR104" s="538"/>
      <c r="DS104" s="538"/>
      <c r="DT104" s="538"/>
      <c r="DU104" s="538"/>
      <c r="DV104" s="538"/>
      <c r="DW104" s="538"/>
      <c r="DX104" s="538"/>
      <c r="DY104" s="538"/>
      <c r="DZ104" s="538"/>
      <c r="EA104" s="538"/>
      <c r="EB104" s="538"/>
      <c r="EC104" s="332"/>
      <c r="ED104" s="332"/>
      <c r="EE104" s="332"/>
      <c r="EF104" s="332"/>
      <c r="EG104" s="332"/>
      <c r="EH104" s="89"/>
      <c r="EI104" s="89"/>
      <c r="EJ104" s="89"/>
      <c r="EK104" s="89"/>
      <c r="EL104" s="89"/>
      <c r="EM104" s="89"/>
      <c r="EN104" s="89"/>
      <c r="EO104" s="89"/>
      <c r="EP104" s="89"/>
      <c r="EQ104" s="89"/>
      <c r="ER104" s="89"/>
      <c r="ES104" s="89"/>
      <c r="ET104" s="89"/>
      <c r="EU104" s="89"/>
      <c r="EV104" s="89"/>
      <c r="EW104" s="89"/>
      <c r="EX104" s="89"/>
      <c r="EY104" s="89"/>
      <c r="EZ104" s="89"/>
      <c r="FA104" s="89"/>
      <c r="FB104" s="89"/>
      <c r="FC104" s="89"/>
      <c r="FD104" s="89"/>
      <c r="FE104" s="89"/>
      <c r="FF104" s="89"/>
      <c r="FG104" s="89"/>
      <c r="FH104" s="89"/>
      <c r="FI104" s="89"/>
      <c r="FJ104" s="96"/>
      <c r="FK104" s="96" t="s">
        <v>163</v>
      </c>
      <c r="FL104" s="313"/>
      <c r="FM104" s="312"/>
      <c r="FN104" s="300"/>
      <c r="FO104" s="108"/>
      <c r="FP104" s="108"/>
      <c r="FQ104" s="108"/>
      <c r="FR104" s="108"/>
      <c r="FS104" s="108"/>
      <c r="FT104" s="108"/>
      <c r="FU104" s="108"/>
      <c r="FV104" s="108"/>
      <c r="FW104" s="108"/>
      <c r="FX104" s="301"/>
      <c r="FY104" s="259"/>
      <c r="FZ104" s="259"/>
      <c r="GA104" s="259"/>
      <c r="GB104" s="259"/>
      <c r="GC104" s="301"/>
      <c r="GD104" s="301"/>
      <c r="GE104" s="301"/>
      <c r="GF104" s="301"/>
      <c r="GG104" s="301"/>
      <c r="GH104" s="301"/>
      <c r="GI104" s="301"/>
      <c r="GJ104" s="301"/>
      <c r="GK104" s="301"/>
      <c r="GL104" s="301"/>
      <c r="GM104" s="301"/>
      <c r="GN104" s="301"/>
      <c r="GO104" s="301"/>
      <c r="GP104" s="301"/>
      <c r="GQ104" s="301"/>
      <c r="GR104" s="301"/>
      <c r="GS104" s="301"/>
      <c r="GT104" s="301"/>
      <c r="GU104" s="301"/>
      <c r="GV104" s="301"/>
      <c r="IB104" s="65"/>
    </row>
    <row r="105" spans="1:236" s="268" customFormat="1" ht="16.95" customHeight="1">
      <c r="A105" s="60"/>
      <c r="B105" s="69"/>
      <c r="C105" s="69"/>
      <c r="D105" s="331"/>
      <c r="E105" s="331"/>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141"/>
      <c r="AF105" s="141"/>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CV105" s="89"/>
      <c r="CW105" s="89"/>
      <c r="CX105" s="89"/>
      <c r="CY105" s="89"/>
      <c r="CZ105" s="89"/>
      <c r="DA105" s="89"/>
      <c r="DB105" s="89"/>
      <c r="DC105" s="89"/>
      <c r="DD105" s="89"/>
      <c r="DE105" s="89"/>
      <c r="DF105" s="89"/>
      <c r="DG105" s="89"/>
      <c r="DH105" s="89"/>
      <c r="DI105" s="89"/>
      <c r="DJ105" s="89"/>
      <c r="DK105" s="89"/>
      <c r="DL105" s="89"/>
      <c r="DM105" s="89"/>
      <c r="DN105" s="89"/>
      <c r="DO105" s="89"/>
      <c r="FA105" s="89"/>
      <c r="FB105" s="89"/>
      <c r="FC105" s="89"/>
      <c r="FD105" s="89"/>
      <c r="FE105" s="89"/>
      <c r="FF105" s="89"/>
      <c r="FG105" s="89"/>
      <c r="FH105" s="89"/>
      <c r="FI105" s="89"/>
      <c r="FJ105" s="96"/>
      <c r="FK105" s="257"/>
      <c r="FL105" s="257"/>
      <c r="FM105" s="96"/>
      <c r="FN105" s="96"/>
      <c r="FO105" s="96"/>
      <c r="FP105" s="96"/>
      <c r="FQ105" s="96"/>
      <c r="FR105" s="93"/>
      <c r="FS105" s="93"/>
      <c r="FT105" s="93"/>
      <c r="FU105" s="257"/>
      <c r="FV105" s="86"/>
      <c r="FW105" s="86"/>
      <c r="FX105" s="86"/>
      <c r="FY105" s="259"/>
      <c r="FZ105" s="259"/>
      <c r="GA105" s="259"/>
      <c r="GB105" s="259"/>
      <c r="GC105" s="259"/>
      <c r="GD105" s="259"/>
      <c r="GE105" s="259"/>
      <c r="GF105" s="259"/>
      <c r="GG105" s="259"/>
      <c r="GH105" s="259"/>
      <c r="GI105" s="259"/>
      <c r="GJ105" s="259"/>
      <c r="GK105" s="86"/>
      <c r="GL105" s="86"/>
      <c r="GM105" s="86"/>
      <c r="GN105" s="86"/>
      <c r="GO105" s="86"/>
      <c r="GP105" s="377"/>
      <c r="GQ105" s="377"/>
      <c r="GR105" s="377"/>
      <c r="GS105" s="377"/>
      <c r="GT105" s="377"/>
      <c r="GU105" s="377"/>
      <c r="GV105" s="377"/>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row>
    <row r="106" spans="1:236" s="268" customFormat="1" ht="18.600000000000001" customHeight="1">
      <c r="A106" s="60"/>
      <c r="B106" s="69"/>
      <c r="C106" s="69"/>
      <c r="D106" s="270" t="str">
        <f ca="1">IF(FL1=0,"","Opgaven Gemiddeld en marginaal")</f>
        <v/>
      </c>
      <c r="E106" s="264"/>
      <c r="F106" s="264"/>
      <c r="G106" s="264"/>
      <c r="H106" s="264"/>
      <c r="I106" s="264"/>
      <c r="J106" s="265"/>
      <c r="K106" s="265"/>
      <c r="L106" s="265"/>
      <c r="M106" s="265"/>
      <c r="N106" s="265"/>
      <c r="O106" s="265"/>
      <c r="P106" s="265"/>
      <c r="Q106" s="265"/>
      <c r="R106" s="265"/>
      <c r="S106" s="265"/>
      <c r="T106" s="265"/>
      <c r="U106" s="265"/>
      <c r="V106" s="265"/>
      <c r="W106" s="265"/>
      <c r="X106" s="265"/>
      <c r="Y106" s="265"/>
      <c r="Z106" s="265"/>
      <c r="AA106" s="265"/>
      <c r="AB106" s="265"/>
      <c r="AC106" s="265"/>
      <c r="AD106" s="265"/>
      <c r="AE106" s="265"/>
      <c r="AF106" s="265"/>
      <c r="AG106" s="265"/>
      <c r="AH106" s="265"/>
      <c r="AI106" s="265"/>
      <c r="AJ106" s="265"/>
      <c r="AK106" s="265"/>
      <c r="AL106" s="265"/>
      <c r="AM106" s="265"/>
      <c r="AN106" s="265"/>
      <c r="AO106" s="265"/>
      <c r="AP106" s="265"/>
      <c r="AQ106" s="265"/>
      <c r="AR106" s="265"/>
      <c r="AS106" s="265"/>
      <c r="AT106" s="265"/>
      <c r="AU106" s="265"/>
      <c r="AV106" s="265"/>
      <c r="AW106" s="265"/>
      <c r="AX106" s="265"/>
      <c r="AY106" s="265"/>
      <c r="AZ106" s="265"/>
      <c r="BA106" s="265"/>
      <c r="BB106" s="265"/>
      <c r="BC106" s="265"/>
      <c r="BD106" s="265"/>
      <c r="BE106" s="265"/>
      <c r="BF106" s="265"/>
      <c r="BG106" s="265"/>
      <c r="BH106" s="265"/>
      <c r="BI106" s="265"/>
      <c r="BJ106" s="265"/>
      <c r="BK106" s="265"/>
      <c r="BL106" s="265"/>
      <c r="BM106" s="265"/>
      <c r="BN106" s="265"/>
      <c r="BO106" s="265"/>
      <c r="BP106" s="265"/>
      <c r="BQ106" s="265"/>
      <c r="BR106" s="265"/>
      <c r="BS106" s="265"/>
      <c r="BT106" s="265"/>
      <c r="BU106" s="265"/>
      <c r="BV106" s="265"/>
      <c r="BW106" s="265"/>
      <c r="BX106" s="265"/>
      <c r="BY106" s="265"/>
      <c r="BZ106" s="265"/>
      <c r="CA106" s="265"/>
      <c r="CB106" s="265"/>
      <c r="CC106" s="265"/>
      <c r="CD106" s="265"/>
      <c r="CE106" s="265"/>
      <c r="CF106" s="265"/>
      <c r="CG106" s="265"/>
      <c r="CH106" s="265"/>
      <c r="CI106" s="265"/>
      <c r="CJ106" s="265"/>
      <c r="CK106" s="265"/>
      <c r="CL106" s="265"/>
      <c r="CM106" s="265"/>
      <c r="CN106" s="265"/>
      <c r="CO106" s="265"/>
      <c r="CP106" s="265"/>
      <c r="CQ106" s="265"/>
      <c r="CR106" s="265"/>
      <c r="CS106" s="265"/>
      <c r="CT106" s="265"/>
      <c r="CU106" s="265"/>
      <c r="CV106" s="265"/>
      <c r="CW106" s="265"/>
      <c r="CX106" s="265"/>
      <c r="CY106" s="265"/>
      <c r="CZ106" s="265"/>
      <c r="DA106" s="265"/>
      <c r="DB106" s="265"/>
      <c r="DC106" s="265"/>
      <c r="DD106" s="265"/>
      <c r="DE106" s="265"/>
      <c r="DF106" s="265"/>
      <c r="DG106" s="265"/>
      <c r="DH106" s="265"/>
      <c r="DI106" s="265"/>
      <c r="DJ106" s="265"/>
      <c r="DK106" s="265"/>
      <c r="EC106" s="265"/>
      <c r="ED106" s="265"/>
      <c r="EE106" s="265"/>
      <c r="EF106" s="265"/>
      <c r="EG106" s="265"/>
      <c r="EH106" s="265"/>
      <c r="EI106" s="265"/>
      <c r="EJ106" s="265"/>
      <c r="EK106" s="265"/>
      <c r="EL106" s="265"/>
      <c r="EM106" s="265"/>
      <c r="EN106" s="265"/>
      <c r="EO106" s="265"/>
      <c r="EP106" s="265"/>
      <c r="EQ106" s="265"/>
      <c r="ER106" s="265"/>
      <c r="ES106" s="265"/>
      <c r="ET106" s="265"/>
      <c r="EU106" s="265"/>
      <c r="EV106" s="265"/>
      <c r="EW106" s="265"/>
      <c r="EX106" s="265"/>
      <c r="EY106" s="265"/>
      <c r="EZ106" s="265"/>
      <c r="FA106" s="265"/>
      <c r="FB106" s="265"/>
      <c r="FC106" s="265"/>
      <c r="FD106" s="265"/>
      <c r="FE106" s="265"/>
      <c r="FF106" s="265"/>
      <c r="FH106" s="271"/>
      <c r="FI106" s="141"/>
      <c r="FJ106" s="96"/>
      <c r="FK106" s="257"/>
      <c r="FL106" s="257"/>
      <c r="FM106" s="96"/>
      <c r="FN106" s="96"/>
      <c r="FO106" s="96"/>
      <c r="FP106" s="96"/>
      <c r="FQ106" s="96"/>
      <c r="FR106" s="93"/>
      <c r="FS106" s="93"/>
      <c r="FT106" s="93"/>
      <c r="FU106" s="257"/>
      <c r="FV106" s="86"/>
      <c r="FW106" s="86"/>
      <c r="FX106" s="86"/>
      <c r="FY106" s="259"/>
      <c r="FZ106" s="259"/>
      <c r="GA106" s="259"/>
      <c r="GB106" s="259"/>
      <c r="GC106" s="259"/>
      <c r="GD106" s="259"/>
      <c r="GE106" s="259"/>
      <c r="GF106" s="259"/>
      <c r="GG106" s="259"/>
      <c r="GH106" s="259"/>
      <c r="GI106" s="259"/>
      <c r="GJ106" s="259"/>
      <c r="GK106" s="86"/>
      <c r="GL106" s="86"/>
      <c r="GM106" s="86"/>
      <c r="GN106" s="86"/>
      <c r="GO106" s="86"/>
      <c r="GP106" s="377"/>
      <c r="GQ106" s="377"/>
      <c r="GR106" s="377"/>
      <c r="GS106" s="377"/>
      <c r="GT106" s="377"/>
      <c r="GU106" s="377"/>
      <c r="GV106" s="377"/>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row>
    <row r="107" spans="1:236" s="268" customFormat="1" ht="16.95" customHeight="1">
      <c r="A107" s="60"/>
      <c r="B107" s="69"/>
      <c r="C107" s="69"/>
      <c r="D107" s="308"/>
      <c r="E107" s="262"/>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CV107" s="89"/>
      <c r="CW107" s="89"/>
      <c r="CX107" s="89"/>
      <c r="CY107" s="89"/>
      <c r="CZ107" s="89"/>
      <c r="DA107" s="89"/>
      <c r="DB107" s="89"/>
      <c r="DC107" s="89"/>
      <c r="DD107" s="89"/>
      <c r="DE107" s="89"/>
      <c r="DF107" s="89"/>
      <c r="DG107" s="89"/>
      <c r="DH107" s="89"/>
      <c r="DI107" s="89"/>
      <c r="DJ107" s="89"/>
      <c r="DK107" s="89"/>
      <c r="DL107" s="89"/>
      <c r="DM107" s="89"/>
      <c r="DN107" s="89"/>
      <c r="DO107" s="89"/>
      <c r="FA107" s="89"/>
      <c r="FB107" s="89"/>
      <c r="FC107" s="89"/>
      <c r="FD107" s="89"/>
      <c r="FE107" s="89"/>
      <c r="FF107" s="89"/>
      <c r="FG107" s="89"/>
      <c r="FH107" s="89"/>
      <c r="FI107" s="89"/>
      <c r="FJ107" s="96"/>
      <c r="FK107" s="257"/>
      <c r="FL107" s="257"/>
      <c r="FM107" s="96"/>
      <c r="FN107" s="96"/>
      <c r="FO107" s="96"/>
      <c r="FP107" s="96"/>
      <c r="FQ107" s="96"/>
      <c r="FR107" s="93"/>
      <c r="FS107" s="93"/>
      <c r="FT107" s="93"/>
      <c r="FU107" s="257"/>
      <c r="FV107" s="86"/>
      <c r="FW107" s="86"/>
      <c r="FX107" s="86"/>
      <c r="FY107" s="259"/>
      <c r="FZ107" s="259"/>
      <c r="GA107" s="259"/>
      <c r="GB107" s="259"/>
      <c r="GC107" s="259"/>
      <c r="GD107" s="259"/>
      <c r="GE107" s="259"/>
      <c r="GF107" s="259"/>
      <c r="GG107" s="259"/>
      <c r="GH107" s="259"/>
      <c r="GI107" s="259"/>
      <c r="GJ107" s="259"/>
      <c r="GK107" s="86"/>
      <c r="GL107" s="86"/>
      <c r="GM107" s="86"/>
      <c r="GN107" s="86"/>
      <c r="GO107" s="86"/>
      <c r="GP107" s="377"/>
      <c r="GQ107" s="377"/>
      <c r="GR107" s="377"/>
      <c r="GS107" s="377"/>
      <c r="GT107" s="377"/>
      <c r="GU107" s="377"/>
      <c r="GV107" s="377"/>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row>
    <row r="108" spans="1:236" ht="16.95" customHeight="1">
      <c r="A108" s="60"/>
      <c r="B108" s="311" t="str">
        <f ca="1">IF(FL1=0,"",6)</f>
        <v/>
      </c>
      <c r="C108" s="69"/>
      <c r="D108" s="308" t="str">
        <f ca="1">IF(FL1=0,"","In de grafiek hiernaast zijn de functies van")</f>
        <v/>
      </c>
      <c r="E108" s="262"/>
      <c r="F108" s="262"/>
      <c r="G108" s="262"/>
      <c r="H108" s="262"/>
      <c r="I108" s="262"/>
      <c r="J108" s="262"/>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89"/>
      <c r="AZ108" s="89"/>
      <c r="BA108" s="89"/>
      <c r="BB108" s="89"/>
      <c r="BC108" s="89"/>
      <c r="BD108" s="89"/>
      <c r="BE108" s="89"/>
      <c r="BF108" s="89"/>
      <c r="BG108" s="89"/>
      <c r="BH108" s="89"/>
      <c r="BI108" s="89"/>
      <c r="BJ108" s="89"/>
      <c r="BK108" s="89"/>
      <c r="BL108" s="89"/>
      <c r="BM108" s="89"/>
      <c r="BN108" s="89"/>
      <c r="BO108" s="89"/>
      <c r="BP108" s="89"/>
      <c r="BQ108" s="89"/>
      <c r="BR108" s="89"/>
      <c r="BS108" s="89"/>
      <c r="BT108" s="89"/>
      <c r="BU108" s="89"/>
      <c r="BV108" s="89"/>
      <c r="BW108" s="89"/>
      <c r="BX108" s="89"/>
      <c r="BY108" s="89"/>
      <c r="BZ108" s="89"/>
      <c r="CA108" s="89"/>
      <c r="CB108" s="89"/>
      <c r="CC108" s="89"/>
      <c r="CD108" s="89"/>
      <c r="CE108" s="89"/>
      <c r="CF108" s="89"/>
      <c r="CG108" s="89"/>
      <c r="CH108" s="89"/>
      <c r="CI108" s="89"/>
      <c r="CJ108" s="89"/>
      <c r="CK108" s="89"/>
      <c r="CL108" s="89"/>
      <c r="CM108" s="89"/>
      <c r="CN108" s="89"/>
      <c r="CO108" s="89"/>
      <c r="CP108" s="89"/>
      <c r="CQ108" s="89"/>
      <c r="CR108" s="89"/>
      <c r="CS108" s="89"/>
      <c r="CT108" s="89"/>
      <c r="CU108" s="89"/>
      <c r="CV108" s="89"/>
      <c r="CW108" s="89"/>
      <c r="CX108" s="89"/>
      <c r="CY108" s="89"/>
      <c r="CZ108" s="89"/>
      <c r="DA108" s="89"/>
      <c r="DB108" s="89"/>
      <c r="DC108" s="89"/>
      <c r="DD108" s="89"/>
      <c r="DE108" s="89"/>
      <c r="DF108" s="89"/>
      <c r="DG108" s="89"/>
      <c r="DH108" s="89"/>
      <c r="DI108" s="89"/>
      <c r="DJ108" s="89"/>
      <c r="DK108" s="89"/>
      <c r="DL108" s="89"/>
      <c r="DM108" s="89"/>
      <c r="DN108" s="89"/>
      <c r="DO108" s="89"/>
      <c r="DP108" s="89"/>
      <c r="DQ108" s="89"/>
      <c r="DR108" s="89"/>
      <c r="DS108" s="89"/>
      <c r="DT108" s="89"/>
      <c r="DU108" s="141"/>
      <c r="DV108" s="141"/>
      <c r="DW108" s="141"/>
      <c r="DX108" s="141"/>
      <c r="DY108" s="141"/>
      <c r="DZ108" s="141"/>
      <c r="EA108" s="141"/>
      <c r="EB108" s="89"/>
      <c r="EC108" s="89"/>
      <c r="ED108" s="89"/>
      <c r="EE108" s="89"/>
      <c r="EF108" s="89"/>
      <c r="EG108" s="89"/>
      <c r="EH108" s="89"/>
      <c r="EI108" s="89"/>
      <c r="EJ108" s="89"/>
      <c r="EK108" s="89"/>
      <c r="EL108" s="89"/>
      <c r="EM108" s="89"/>
      <c r="EN108" s="89"/>
      <c r="EO108" s="89"/>
      <c r="EP108" s="89"/>
      <c r="EQ108" s="89"/>
      <c r="ER108" s="89"/>
      <c r="ES108" s="89"/>
      <c r="ET108" s="89"/>
      <c r="EU108" s="89"/>
      <c r="EV108" s="89"/>
      <c r="EW108" s="89"/>
      <c r="EX108" s="89"/>
      <c r="EY108" s="89"/>
      <c r="EZ108" s="89"/>
      <c r="FA108" s="89"/>
      <c r="FB108" s="89"/>
      <c r="FC108" s="89"/>
      <c r="FD108" s="89"/>
      <c r="FE108" s="89"/>
      <c r="FF108" s="89"/>
      <c r="FG108" s="89"/>
      <c r="FH108" s="89"/>
      <c r="FI108" s="89"/>
      <c r="FJ108" s="96"/>
      <c r="FK108" s="96"/>
      <c r="FL108" s="96"/>
      <c r="FM108" s="96"/>
      <c r="FN108" s="96"/>
      <c r="FO108" s="300"/>
      <c r="FP108" s="300"/>
      <c r="FQ108" s="300"/>
      <c r="FR108" s="300"/>
      <c r="FS108" s="300"/>
      <c r="FT108" s="300"/>
      <c r="FU108" s="300"/>
      <c r="FV108" s="108"/>
      <c r="FW108" s="108"/>
      <c r="FX108" s="301"/>
      <c r="FY108" s="259"/>
      <c r="FZ108" s="259"/>
      <c r="GA108" s="259"/>
      <c r="GB108" s="259"/>
      <c r="GC108" s="301"/>
      <c r="GD108" s="301"/>
      <c r="GE108" s="301"/>
      <c r="GF108" s="301"/>
      <c r="GG108" s="301"/>
      <c r="GH108" s="301"/>
      <c r="GI108" s="301"/>
      <c r="GJ108" s="301"/>
      <c r="GK108" s="301"/>
      <c r="GL108" s="301"/>
      <c r="GM108" s="301"/>
      <c r="GN108" s="301"/>
      <c r="GO108" s="301"/>
      <c r="GP108" s="301"/>
      <c r="GQ108" s="301"/>
      <c r="GR108" s="301"/>
      <c r="GS108" s="301"/>
      <c r="GT108" s="301"/>
      <c r="GU108" s="301"/>
      <c r="GV108" s="301"/>
      <c r="IB108" s="65"/>
    </row>
    <row r="109" spans="1:236" ht="16.95" customHeight="1">
      <c r="A109" s="60"/>
      <c r="B109" s="69"/>
      <c r="C109" s="69"/>
      <c r="D109" s="308" t="str">
        <f ca="1">IF(FL1=0,"","de gemiddelde totale kosten (GTK), de")</f>
        <v/>
      </c>
      <c r="E109" s="262"/>
      <c r="F109" s="262"/>
      <c r="G109" s="262"/>
      <c r="H109" s="262"/>
      <c r="I109" s="262"/>
      <c r="J109" s="262"/>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89"/>
      <c r="BH109" s="89"/>
      <c r="BI109" s="89"/>
      <c r="BJ109" s="89"/>
      <c r="BK109" s="89"/>
      <c r="BL109" s="89"/>
      <c r="BM109" s="89"/>
      <c r="BN109" s="89"/>
      <c r="BO109" s="89"/>
      <c r="BP109" s="89"/>
      <c r="BQ109" s="89"/>
      <c r="BR109" s="89"/>
      <c r="BS109" s="89"/>
      <c r="BT109" s="89"/>
      <c r="BU109" s="89"/>
      <c r="BV109" s="89"/>
      <c r="BW109" s="89"/>
      <c r="BX109" s="89"/>
      <c r="BY109" s="89"/>
      <c r="BZ109" s="89"/>
      <c r="CA109" s="89"/>
      <c r="CB109" s="89"/>
      <c r="CC109" s="89"/>
      <c r="CD109" s="89"/>
      <c r="CE109" s="89"/>
      <c r="CF109" s="89"/>
      <c r="CG109" s="89"/>
      <c r="CH109" s="89"/>
      <c r="CI109" s="89"/>
      <c r="CJ109" s="89"/>
      <c r="CK109" s="89"/>
      <c r="CL109" s="89"/>
      <c r="CM109" s="89"/>
      <c r="CN109" s="89"/>
      <c r="CO109" s="89"/>
      <c r="CP109" s="89"/>
      <c r="CQ109" s="89"/>
      <c r="CR109" s="89"/>
      <c r="CS109" s="89"/>
      <c r="CT109" s="89"/>
      <c r="CU109" s="89"/>
      <c r="CV109" s="89"/>
      <c r="CW109" s="89"/>
      <c r="CX109" s="89"/>
      <c r="CY109" s="89"/>
      <c r="CZ109" s="89"/>
      <c r="DA109" s="89"/>
      <c r="DB109" s="89"/>
      <c r="DC109" s="89"/>
      <c r="DD109" s="89"/>
      <c r="DE109" s="89"/>
      <c r="DF109" s="89"/>
      <c r="DG109" s="89"/>
      <c r="DH109" s="89"/>
      <c r="DI109" s="89"/>
      <c r="DJ109" s="89"/>
      <c r="DK109" s="89"/>
      <c r="DL109" s="89"/>
      <c r="DM109" s="89"/>
      <c r="DN109" s="89"/>
      <c r="DO109" s="89"/>
      <c r="DP109" s="89"/>
      <c r="DQ109" s="89"/>
      <c r="DR109" s="89"/>
      <c r="DS109" s="89"/>
      <c r="DT109" s="89"/>
      <c r="DU109" s="141"/>
      <c r="DV109" s="141"/>
      <c r="DW109" s="141"/>
      <c r="DX109" s="141"/>
      <c r="DY109" s="141"/>
      <c r="DZ109" s="141"/>
      <c r="EA109" s="141"/>
      <c r="EB109" s="89"/>
      <c r="EC109" s="89"/>
      <c r="ED109" s="89"/>
      <c r="EE109" s="89"/>
      <c r="EF109" s="89"/>
      <c r="EG109" s="89"/>
      <c r="EH109" s="89"/>
      <c r="EI109" s="89"/>
      <c r="EJ109" s="89"/>
      <c r="EK109" s="89"/>
      <c r="EL109" s="89"/>
      <c r="EM109" s="89"/>
      <c r="EN109" s="89"/>
      <c r="EO109" s="89"/>
      <c r="EP109" s="89"/>
      <c r="EQ109" s="89"/>
      <c r="ER109" s="89"/>
      <c r="ES109" s="89"/>
      <c r="ET109" s="89"/>
      <c r="EU109" s="89"/>
      <c r="EV109" s="89"/>
      <c r="EW109" s="89"/>
      <c r="EX109" s="89"/>
      <c r="EY109" s="89"/>
      <c r="EZ109" s="89"/>
      <c r="FA109" s="89"/>
      <c r="FB109" s="89"/>
      <c r="FC109" s="89"/>
      <c r="FD109" s="89"/>
      <c r="FE109" s="89"/>
      <c r="FF109" s="89"/>
      <c r="FG109" s="89"/>
      <c r="FH109" s="89"/>
      <c r="FI109" s="89"/>
      <c r="FJ109" s="96"/>
      <c r="FK109" s="96"/>
      <c r="FL109" s="96"/>
      <c r="FM109" s="96"/>
      <c r="FN109" s="96"/>
      <c r="FO109" s="108"/>
      <c r="FP109" s="108"/>
      <c r="FQ109" s="108"/>
      <c r="FR109" s="108"/>
      <c r="FS109" s="108"/>
      <c r="FT109" s="108"/>
      <c r="FU109" s="108"/>
      <c r="FV109" s="108"/>
      <c r="FW109" s="108"/>
      <c r="FX109" s="301"/>
      <c r="FY109" s="259"/>
      <c r="FZ109" s="259"/>
      <c r="GA109" s="259"/>
      <c r="GB109" s="259"/>
      <c r="GC109" s="301"/>
      <c r="GD109" s="301"/>
      <c r="GE109" s="301"/>
      <c r="GF109" s="301"/>
      <c r="GG109" s="301"/>
      <c r="GH109" s="301"/>
      <c r="GI109" s="301"/>
      <c r="GJ109" s="301"/>
      <c r="GK109" s="301"/>
      <c r="GL109" s="301"/>
      <c r="GM109" s="301"/>
      <c r="GN109" s="301"/>
      <c r="GO109" s="301"/>
      <c r="GP109" s="301"/>
      <c r="GQ109" s="301"/>
      <c r="GR109" s="301"/>
      <c r="GS109" s="301"/>
      <c r="GT109" s="301"/>
      <c r="GU109" s="301"/>
      <c r="GV109" s="301"/>
      <c r="IB109" s="65"/>
    </row>
    <row r="110" spans="1:236" ht="16.95" customHeight="1">
      <c r="A110" s="60"/>
      <c r="B110" s="69"/>
      <c r="C110" s="69"/>
      <c r="D110" s="308" t="str">
        <f ca="1">IF(FL1=0,"","gemiddelde variabele kosten (GVK), de")</f>
        <v/>
      </c>
      <c r="E110" s="262"/>
      <c r="F110" s="262"/>
      <c r="G110" s="262"/>
      <c r="H110" s="262"/>
      <c r="I110" s="262"/>
      <c r="J110" s="262"/>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c r="BJ110" s="89"/>
      <c r="BK110" s="89"/>
      <c r="BL110" s="89"/>
      <c r="BM110" s="89"/>
      <c r="BN110" s="89"/>
      <c r="BO110" s="89"/>
      <c r="BP110" s="89"/>
      <c r="BQ110" s="89"/>
      <c r="BR110" s="89"/>
      <c r="BS110" s="89"/>
      <c r="BT110" s="89"/>
      <c r="BU110" s="89"/>
      <c r="BV110" s="89"/>
      <c r="BW110" s="89"/>
      <c r="BX110" s="89"/>
      <c r="BY110" s="89"/>
      <c r="BZ110" s="89"/>
      <c r="CA110" s="89"/>
      <c r="CB110" s="89"/>
      <c r="CC110" s="89"/>
      <c r="CD110" s="89"/>
      <c r="CE110" s="89"/>
      <c r="CF110" s="89"/>
      <c r="CG110" s="89"/>
      <c r="CH110" s="89"/>
      <c r="CI110" s="89"/>
      <c r="CJ110" s="89"/>
      <c r="CK110" s="89"/>
      <c r="CL110" s="89"/>
      <c r="CM110" s="89"/>
      <c r="CN110" s="89"/>
      <c r="CO110" s="89"/>
      <c r="CP110" s="89"/>
      <c r="CQ110" s="89"/>
      <c r="CR110" s="89"/>
      <c r="CS110" s="89"/>
      <c r="CT110" s="89"/>
      <c r="CU110" s="89"/>
      <c r="CV110" s="89"/>
      <c r="CW110" s="89"/>
      <c r="CX110" s="89"/>
      <c r="CY110" s="89"/>
      <c r="CZ110" s="89"/>
      <c r="DA110" s="89"/>
      <c r="DB110" s="89"/>
      <c r="DC110" s="89"/>
      <c r="DD110" s="89"/>
      <c r="DE110" s="89"/>
      <c r="DF110" s="89"/>
      <c r="DG110" s="89"/>
      <c r="DH110" s="89"/>
      <c r="DI110" s="89"/>
      <c r="DJ110" s="89"/>
      <c r="DK110" s="89"/>
      <c r="DL110" s="89"/>
      <c r="DM110" s="89"/>
      <c r="DN110" s="89"/>
      <c r="DO110" s="89"/>
      <c r="DP110" s="89"/>
      <c r="DQ110" s="89"/>
      <c r="DR110" s="89"/>
      <c r="DS110" s="89"/>
      <c r="DT110" s="89"/>
      <c r="DU110" s="141"/>
      <c r="DV110" s="141"/>
      <c r="DW110" s="141"/>
      <c r="DX110" s="141"/>
      <c r="DY110" s="141"/>
      <c r="DZ110" s="141"/>
      <c r="EA110" s="141"/>
      <c r="EB110" s="89"/>
      <c r="EC110" s="89"/>
      <c r="ED110" s="89"/>
      <c r="EE110" s="89"/>
      <c r="EF110" s="89"/>
      <c r="EG110" s="89"/>
      <c r="EH110" s="89"/>
      <c r="EI110" s="89"/>
      <c r="EJ110" s="89"/>
      <c r="EK110" s="89"/>
      <c r="EL110" s="89"/>
      <c r="EM110" s="89"/>
      <c r="EN110" s="89"/>
      <c r="EO110" s="89"/>
      <c r="EP110" s="89"/>
      <c r="EQ110" s="89"/>
      <c r="ER110" s="89"/>
      <c r="ES110" s="89"/>
      <c r="ET110" s="89"/>
      <c r="EU110" s="89"/>
      <c r="EV110" s="89"/>
      <c r="EW110" s="89"/>
      <c r="EX110" s="89"/>
      <c r="EY110" s="89"/>
      <c r="EZ110" s="89"/>
      <c r="FA110" s="89"/>
      <c r="FB110" s="89"/>
      <c r="FC110" s="89"/>
      <c r="FD110" s="89"/>
      <c r="FE110" s="89"/>
      <c r="FF110" s="89"/>
      <c r="FG110" s="89"/>
      <c r="FH110" s="89"/>
      <c r="FI110" s="89"/>
      <c r="FJ110" s="300"/>
      <c r="FK110" s="300"/>
      <c r="FL110" s="300"/>
      <c r="FM110" s="300"/>
      <c r="FN110" s="300"/>
      <c r="FO110" s="108"/>
      <c r="FP110" s="108"/>
      <c r="FQ110" s="108"/>
      <c r="FR110" s="108"/>
      <c r="FS110" s="108"/>
      <c r="FT110" s="108"/>
      <c r="FU110" s="108"/>
      <c r="FV110" s="108"/>
      <c r="FW110" s="108"/>
      <c r="FX110" s="301"/>
      <c r="FY110" s="259"/>
      <c r="FZ110" s="259"/>
      <c r="GA110" s="259"/>
      <c r="GB110" s="259"/>
      <c r="GC110" s="301"/>
      <c r="GD110" s="301"/>
      <c r="GE110" s="301"/>
      <c r="GF110" s="301"/>
      <c r="GG110" s="301"/>
      <c r="GH110" s="301"/>
      <c r="GI110" s="301"/>
      <c r="GJ110" s="301"/>
      <c r="GK110" s="301"/>
      <c r="GL110" s="301"/>
      <c r="GM110" s="301"/>
      <c r="GN110" s="301"/>
      <c r="GO110" s="301"/>
      <c r="GP110" s="301"/>
      <c r="GQ110" s="301"/>
      <c r="GR110" s="301"/>
      <c r="GS110" s="301"/>
      <c r="GT110" s="301"/>
      <c r="GU110" s="301"/>
      <c r="GV110" s="301"/>
      <c r="IB110" s="65"/>
    </row>
    <row r="111" spans="1:236" ht="16.95" customHeight="1">
      <c r="A111" s="60"/>
      <c r="B111" s="69"/>
      <c r="C111" s="69"/>
      <c r="D111" s="308" t="str">
        <f ca="1">IF(FL1=0,"","prijsafzetlijn (P) en de MO-lijn ingetekend.")</f>
        <v/>
      </c>
      <c r="E111" s="262"/>
      <c r="F111" s="262"/>
      <c r="G111" s="262"/>
      <c r="H111" s="262"/>
      <c r="I111" s="262"/>
      <c r="J111" s="262"/>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89"/>
      <c r="AU111" s="89"/>
      <c r="AV111" s="89"/>
      <c r="AW111" s="89"/>
      <c r="AX111" s="89"/>
      <c r="AY111" s="89"/>
      <c r="AZ111" s="89"/>
      <c r="BA111" s="89"/>
      <c r="BB111" s="89"/>
      <c r="BC111" s="89"/>
      <c r="BD111" s="89"/>
      <c r="BE111" s="89"/>
      <c r="BF111" s="89"/>
      <c r="BG111" s="89"/>
      <c r="BH111" s="89"/>
      <c r="BI111" s="89"/>
      <c r="BJ111" s="89"/>
      <c r="BK111" s="89"/>
      <c r="BL111" s="89"/>
      <c r="BM111" s="89"/>
      <c r="BN111" s="89"/>
      <c r="BO111" s="89"/>
      <c r="BP111" s="89"/>
      <c r="BQ111" s="89"/>
      <c r="BR111" s="89"/>
      <c r="BS111" s="89"/>
      <c r="BT111" s="89"/>
      <c r="BU111" s="89"/>
      <c r="BV111" s="89"/>
      <c r="BW111" s="89"/>
      <c r="BX111" s="89"/>
      <c r="BY111" s="89"/>
      <c r="BZ111" s="89"/>
      <c r="CA111" s="89"/>
      <c r="CB111" s="89"/>
      <c r="CC111" s="89"/>
      <c r="CD111" s="89"/>
      <c r="CE111" s="89"/>
      <c r="CF111" s="89"/>
      <c r="CG111" s="89"/>
      <c r="CH111" s="89"/>
      <c r="CI111" s="89"/>
      <c r="CJ111" s="89"/>
      <c r="CK111" s="89"/>
      <c r="CL111" s="89"/>
      <c r="CM111" s="89"/>
      <c r="CN111" s="89"/>
      <c r="CO111" s="89"/>
      <c r="CP111" s="89"/>
      <c r="CQ111" s="89"/>
      <c r="CR111" s="89"/>
      <c r="CS111" s="89"/>
      <c r="CT111" s="89"/>
      <c r="CU111" s="89"/>
      <c r="CV111" s="89"/>
      <c r="CW111" s="89"/>
      <c r="CX111" s="89"/>
      <c r="CY111" s="89"/>
      <c r="CZ111" s="89"/>
      <c r="DA111" s="89"/>
      <c r="DB111" s="89"/>
      <c r="DC111" s="89"/>
      <c r="DD111" s="89"/>
      <c r="DE111" s="89"/>
      <c r="DF111" s="89"/>
      <c r="DG111" s="89"/>
      <c r="DH111" s="89"/>
      <c r="DI111" s="89"/>
      <c r="DJ111" s="89"/>
      <c r="DK111" s="89"/>
      <c r="DL111" s="89"/>
      <c r="DM111" s="89"/>
      <c r="DN111" s="89"/>
      <c r="DO111" s="89"/>
      <c r="DP111" s="89"/>
      <c r="DQ111" s="89"/>
      <c r="DR111" s="89"/>
      <c r="DS111" s="89"/>
      <c r="DT111" s="89"/>
      <c r="DU111" s="141"/>
      <c r="DV111" s="141"/>
      <c r="DW111" s="141"/>
      <c r="DX111" s="141"/>
      <c r="DY111" s="141"/>
      <c r="DZ111" s="141"/>
      <c r="EA111" s="141"/>
      <c r="EB111" s="89"/>
      <c r="EC111" s="89"/>
      <c r="ED111" s="89"/>
      <c r="EE111" s="89"/>
      <c r="EF111" s="89"/>
      <c r="EG111" s="89"/>
      <c r="EH111" s="89"/>
      <c r="EI111" s="89"/>
      <c r="EJ111" s="89"/>
      <c r="EK111" s="89"/>
      <c r="EL111" s="89"/>
      <c r="EM111" s="89"/>
      <c r="EN111" s="89"/>
      <c r="EO111" s="89"/>
      <c r="EP111" s="89"/>
      <c r="EQ111" s="89"/>
      <c r="ER111" s="89"/>
      <c r="ES111" s="89"/>
      <c r="ET111" s="89"/>
      <c r="EU111" s="89"/>
      <c r="EV111" s="89"/>
      <c r="EW111" s="89"/>
      <c r="EX111" s="89"/>
      <c r="EY111" s="89"/>
      <c r="EZ111" s="89"/>
      <c r="FA111" s="89"/>
      <c r="FB111" s="89"/>
      <c r="FC111" s="89"/>
      <c r="FD111" s="89"/>
      <c r="FE111" s="89"/>
      <c r="FF111" s="89"/>
      <c r="FG111" s="89"/>
      <c r="FH111" s="89"/>
      <c r="FI111" s="89"/>
      <c r="FJ111" s="300"/>
      <c r="FK111" s="300"/>
      <c r="FL111" s="300"/>
      <c r="FM111" s="300"/>
      <c r="FN111" s="300"/>
      <c r="FO111" s="108"/>
      <c r="FP111" s="108"/>
      <c r="FQ111" s="108"/>
      <c r="FR111" s="108"/>
      <c r="FS111" s="108"/>
      <c r="FT111" s="108"/>
      <c r="FU111" s="108"/>
      <c r="FV111" s="108"/>
      <c r="FW111" s="108"/>
      <c r="FX111" s="301"/>
      <c r="FY111" s="259"/>
      <c r="FZ111" s="259"/>
      <c r="GA111" s="259"/>
      <c r="GB111" s="259"/>
      <c r="GC111" s="301"/>
      <c r="GD111" s="301"/>
      <c r="GE111" s="301"/>
      <c r="GF111" s="301"/>
      <c r="GG111" s="301"/>
      <c r="GH111" s="301"/>
      <c r="GI111" s="301"/>
      <c r="GJ111" s="301"/>
      <c r="GK111" s="301"/>
      <c r="GL111" s="301"/>
      <c r="GM111" s="301"/>
      <c r="GN111" s="301"/>
      <c r="GO111" s="301"/>
      <c r="GP111" s="301"/>
      <c r="GQ111" s="301"/>
      <c r="GR111" s="301"/>
      <c r="GS111" s="301"/>
      <c r="GT111" s="301"/>
      <c r="GU111" s="301"/>
      <c r="GV111" s="301"/>
      <c r="IB111" s="65"/>
    </row>
    <row r="112" spans="1:236" ht="16.95" customHeight="1">
      <c r="A112" s="60"/>
      <c r="B112" s="69"/>
      <c r="C112" s="69"/>
      <c r="D112" s="341" t="str">
        <f ca="1">IF(FL1=0,"","Zoals je ziet is dit er niet bij gezet. Wat")</f>
        <v/>
      </c>
      <c r="E112" s="262"/>
      <c r="F112" s="262"/>
      <c r="G112" s="262"/>
      <c r="H112" s="262"/>
      <c r="I112" s="262"/>
      <c r="J112" s="262"/>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89"/>
      <c r="AZ112" s="89"/>
      <c r="BA112" s="89"/>
      <c r="BB112" s="89"/>
      <c r="BC112" s="89"/>
      <c r="BD112" s="89"/>
      <c r="BE112" s="89"/>
      <c r="BF112" s="89"/>
      <c r="BG112" s="89"/>
      <c r="BH112" s="89"/>
      <c r="BI112" s="89"/>
      <c r="BJ112" s="89"/>
      <c r="BK112" s="89"/>
      <c r="BL112" s="89"/>
      <c r="BM112" s="89"/>
      <c r="BN112" s="89"/>
      <c r="BO112" s="89"/>
      <c r="BP112" s="89"/>
      <c r="BQ112" s="89"/>
      <c r="BR112" s="89"/>
      <c r="BS112" s="89"/>
      <c r="BT112" s="89"/>
      <c r="BU112" s="89"/>
      <c r="BV112" s="89"/>
      <c r="BW112" s="89"/>
      <c r="BX112" s="89"/>
      <c r="BY112" s="89"/>
      <c r="BZ112" s="89"/>
      <c r="CA112" s="89"/>
      <c r="CB112" s="89"/>
      <c r="CC112" s="89"/>
      <c r="CD112" s="89"/>
      <c r="CE112" s="89"/>
      <c r="CF112" s="89"/>
      <c r="CG112" s="89"/>
      <c r="CH112" s="89"/>
      <c r="CI112" s="89"/>
      <c r="CJ112" s="89"/>
      <c r="CK112" s="89"/>
      <c r="CL112" s="89"/>
      <c r="CM112" s="89"/>
      <c r="CN112" s="89"/>
      <c r="CO112" s="89"/>
      <c r="CP112" s="89"/>
      <c r="CQ112" s="89"/>
      <c r="CR112" s="89"/>
      <c r="CS112" s="89"/>
      <c r="CT112" s="89"/>
      <c r="CU112" s="89"/>
      <c r="CV112" s="89"/>
      <c r="CW112" s="89"/>
      <c r="CX112" s="89"/>
      <c r="CY112" s="89"/>
      <c r="CZ112" s="89"/>
      <c r="DA112" s="89"/>
      <c r="DB112" s="89"/>
      <c r="DC112" s="89"/>
      <c r="DD112" s="89"/>
      <c r="DE112" s="89"/>
      <c r="DF112" s="89"/>
      <c r="DG112" s="89"/>
      <c r="DH112" s="89"/>
      <c r="DI112" s="89"/>
      <c r="DJ112" s="89"/>
      <c r="DK112" s="89"/>
      <c r="DL112" s="89"/>
      <c r="DM112" s="89"/>
      <c r="DN112" s="89"/>
      <c r="DO112" s="89"/>
      <c r="DP112" s="89"/>
      <c r="DQ112" s="89"/>
      <c r="DR112" s="89"/>
      <c r="DS112" s="89"/>
      <c r="DT112" s="89"/>
      <c r="DU112" s="141"/>
      <c r="DV112" s="141"/>
      <c r="DW112" s="141"/>
      <c r="DX112" s="141"/>
      <c r="DY112" s="141"/>
      <c r="DZ112" s="141"/>
      <c r="EA112" s="141"/>
      <c r="EB112" s="89"/>
      <c r="EC112" s="89"/>
      <c r="ED112" s="89"/>
      <c r="EE112" s="89"/>
      <c r="EF112" s="89"/>
      <c r="EG112" s="89"/>
      <c r="EH112" s="89"/>
      <c r="EI112" s="89"/>
      <c r="EJ112" s="89"/>
      <c r="EK112" s="89"/>
      <c r="EL112" s="89"/>
      <c r="EM112" s="89"/>
      <c r="EN112" s="89"/>
      <c r="EO112" s="89"/>
      <c r="EP112" s="89"/>
      <c r="EQ112" s="89"/>
      <c r="ER112" s="89"/>
      <c r="ES112" s="89"/>
      <c r="ET112" s="89"/>
      <c r="EU112" s="89"/>
      <c r="EV112" s="89"/>
      <c r="EW112" s="89"/>
      <c r="EX112" s="89"/>
      <c r="EY112" s="89"/>
      <c r="EZ112" s="89"/>
      <c r="FA112" s="89"/>
      <c r="FB112" s="89"/>
      <c r="FC112" s="89"/>
      <c r="FD112" s="89"/>
      <c r="FE112" s="89"/>
      <c r="FF112" s="89"/>
      <c r="FG112" s="89"/>
      <c r="FH112" s="89"/>
      <c r="FI112" s="89"/>
      <c r="FJ112" s="300"/>
      <c r="FK112" s="300"/>
      <c r="FL112" s="300"/>
      <c r="FM112" s="300"/>
      <c r="FN112" s="300"/>
      <c r="FO112" s="108"/>
      <c r="FP112" s="108"/>
      <c r="FQ112" s="108"/>
      <c r="FR112" s="108"/>
      <c r="FS112" s="108"/>
      <c r="FT112" s="108"/>
      <c r="FU112" s="108"/>
      <c r="FV112" s="108"/>
      <c r="FW112" s="108"/>
      <c r="FX112" s="301"/>
      <c r="FY112" s="259"/>
      <c r="FZ112" s="259"/>
      <c r="GA112" s="259"/>
      <c r="GB112" s="259"/>
      <c r="GC112" s="301"/>
      <c r="GD112" s="301"/>
      <c r="GE112" s="301"/>
      <c r="GF112" s="301"/>
      <c r="GG112" s="301"/>
      <c r="GH112" s="301"/>
      <c r="GI112" s="301"/>
      <c r="GJ112" s="301"/>
      <c r="GK112" s="301"/>
      <c r="GL112" s="301"/>
      <c r="GM112" s="301"/>
      <c r="GN112" s="301"/>
      <c r="GO112" s="301"/>
      <c r="GP112" s="301"/>
      <c r="GQ112" s="301"/>
      <c r="GR112" s="301"/>
      <c r="GS112" s="301"/>
      <c r="GT112" s="301"/>
      <c r="GU112" s="301"/>
      <c r="GV112" s="301"/>
      <c r="IB112" s="65"/>
    </row>
    <row r="113" spans="1:236" ht="16.95" customHeight="1">
      <c r="A113" s="60"/>
      <c r="B113" s="69"/>
      <c r="C113" s="69"/>
      <c r="D113" s="341" t="str">
        <f ca="1">IF(FL1=0,"","stelt het grijze vlak voor?")</f>
        <v/>
      </c>
      <c r="E113" s="262"/>
      <c r="F113" s="262"/>
      <c r="G113" s="262"/>
      <c r="H113" s="262"/>
      <c r="I113" s="262"/>
      <c r="J113" s="262"/>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89"/>
      <c r="AZ113" s="89"/>
      <c r="BA113" s="89"/>
      <c r="BB113" s="89"/>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141"/>
      <c r="DV113" s="141"/>
      <c r="DW113" s="141"/>
      <c r="DX113" s="141"/>
      <c r="DY113" s="141"/>
      <c r="DZ113" s="141"/>
      <c r="EA113" s="141"/>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c r="FD113" s="89"/>
      <c r="FE113" s="89"/>
      <c r="FF113" s="89"/>
      <c r="FG113" s="89"/>
      <c r="FH113" s="89"/>
      <c r="FI113" s="89"/>
      <c r="FJ113" s="300"/>
      <c r="FK113" s="300"/>
      <c r="FL113" s="300"/>
      <c r="FM113" s="300"/>
      <c r="FN113" s="300"/>
      <c r="FO113" s="108"/>
      <c r="FP113" s="108"/>
      <c r="FQ113" s="108"/>
      <c r="FR113" s="108"/>
      <c r="FS113" s="108"/>
      <c r="FT113" s="108"/>
      <c r="FU113" s="108"/>
      <c r="FV113" s="108"/>
      <c r="FW113" s="108"/>
      <c r="FX113" s="301"/>
      <c r="FY113" s="259"/>
      <c r="FZ113" s="259"/>
      <c r="GA113" s="259"/>
      <c r="GB113" s="259"/>
      <c r="GC113" s="301"/>
      <c r="GD113" s="301"/>
      <c r="GE113" s="301"/>
      <c r="GF113" s="301"/>
      <c r="GG113" s="301"/>
      <c r="GH113" s="301"/>
      <c r="GI113" s="301"/>
      <c r="GJ113" s="301"/>
      <c r="GK113" s="301"/>
      <c r="GL113" s="301"/>
      <c r="GM113" s="301"/>
      <c r="GN113" s="301"/>
      <c r="GO113" s="301"/>
      <c r="GP113" s="301"/>
      <c r="GQ113" s="301"/>
      <c r="GR113" s="301"/>
      <c r="GS113" s="301"/>
      <c r="GT113" s="301"/>
      <c r="GU113" s="301"/>
      <c r="GV113" s="301"/>
      <c r="IB113" s="65"/>
    </row>
    <row r="114" spans="1:236" ht="16.95" customHeight="1">
      <c r="A114" s="60"/>
      <c r="B114" s="69"/>
      <c r="C114" s="69"/>
      <c r="D114" s="268"/>
      <c r="E114" s="262"/>
      <c r="F114" s="262"/>
      <c r="G114" s="262"/>
      <c r="H114" s="262"/>
      <c r="I114" s="262"/>
      <c r="J114" s="262"/>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89"/>
      <c r="AL114" s="89"/>
      <c r="AM114" s="89"/>
      <c r="AN114" s="89"/>
      <c r="AO114" s="89"/>
      <c r="AP114" s="89"/>
      <c r="AQ114" s="89"/>
      <c r="AR114" s="89"/>
      <c r="AS114" s="89"/>
      <c r="AT114" s="89"/>
      <c r="AU114" s="89"/>
      <c r="AV114" s="89"/>
      <c r="AW114" s="89"/>
      <c r="AX114" s="89"/>
      <c r="AY114" s="89"/>
      <c r="AZ114" s="89"/>
      <c r="BA114" s="89"/>
      <c r="BB114" s="89"/>
      <c r="BC114" s="89"/>
      <c r="BD114" s="89"/>
      <c r="BE114" s="89"/>
      <c r="BF114" s="89"/>
      <c r="BG114" s="89"/>
      <c r="BH114" s="89"/>
      <c r="BI114" s="89"/>
      <c r="BJ114" s="89"/>
      <c r="BK114" s="89"/>
      <c r="BL114" s="89"/>
      <c r="BM114" s="89"/>
      <c r="BN114" s="89"/>
      <c r="BO114" s="89"/>
      <c r="BP114" s="89"/>
      <c r="BQ114" s="89"/>
      <c r="BR114" s="89"/>
      <c r="BS114" s="89"/>
      <c r="BT114" s="89"/>
      <c r="BU114" s="89"/>
      <c r="BV114" s="89"/>
      <c r="BW114" s="89"/>
      <c r="BX114" s="89"/>
      <c r="BY114" s="89"/>
      <c r="BZ114" s="89"/>
      <c r="CA114" s="89"/>
      <c r="CB114" s="89"/>
      <c r="CC114" s="89"/>
      <c r="CD114" s="89"/>
      <c r="CE114" s="89"/>
      <c r="CF114" s="89"/>
      <c r="CG114" s="89"/>
      <c r="CH114" s="89"/>
      <c r="CI114" s="89"/>
      <c r="CJ114" s="89"/>
      <c r="CK114" s="89"/>
      <c r="CL114" s="89"/>
      <c r="CM114" s="89"/>
      <c r="CN114" s="89"/>
      <c r="CO114" s="89"/>
      <c r="CP114" s="89"/>
      <c r="CQ114" s="89"/>
      <c r="CR114" s="89"/>
      <c r="CS114" s="89"/>
      <c r="CT114" s="89"/>
      <c r="CU114" s="89"/>
      <c r="CV114" s="89"/>
      <c r="CW114" s="89"/>
      <c r="CX114" s="89"/>
      <c r="CY114" s="89"/>
      <c r="CZ114" s="89"/>
      <c r="DA114" s="89"/>
      <c r="DB114" s="89"/>
      <c r="DC114" s="89"/>
      <c r="DD114" s="89"/>
      <c r="DE114" s="89"/>
      <c r="DF114" s="89"/>
      <c r="DG114" s="89"/>
      <c r="DH114" s="89"/>
      <c r="DI114" s="89"/>
      <c r="DJ114" s="89"/>
      <c r="DK114" s="89"/>
      <c r="DL114" s="89"/>
      <c r="DM114" s="89"/>
      <c r="DN114" s="89"/>
      <c r="DO114" s="89"/>
      <c r="DP114" s="89"/>
      <c r="DQ114" s="89"/>
      <c r="DR114" s="89"/>
      <c r="DS114" s="89"/>
      <c r="DT114" s="89"/>
      <c r="DU114" s="141"/>
      <c r="DV114" s="141"/>
      <c r="DW114" s="141"/>
      <c r="DX114" s="141"/>
      <c r="DY114" s="141"/>
      <c r="DZ114" s="141"/>
      <c r="EA114" s="141"/>
      <c r="EB114" s="89"/>
      <c r="EC114" s="89"/>
      <c r="ED114" s="89"/>
      <c r="EE114" s="89"/>
      <c r="EF114" s="89"/>
      <c r="EG114" s="89"/>
      <c r="EH114" s="89"/>
      <c r="EI114" s="89"/>
      <c r="EJ114" s="89"/>
      <c r="EK114" s="89"/>
      <c r="EL114" s="89"/>
      <c r="EM114" s="89"/>
      <c r="EN114" s="89"/>
      <c r="EO114" s="89"/>
      <c r="EP114" s="89"/>
      <c r="EQ114" s="89"/>
      <c r="ER114" s="89"/>
      <c r="ES114" s="89"/>
      <c r="ET114" s="89"/>
      <c r="EU114" s="89"/>
      <c r="EV114" s="89"/>
      <c r="EW114" s="89"/>
      <c r="EX114" s="89"/>
      <c r="EY114" s="89"/>
      <c r="EZ114" s="89"/>
      <c r="FA114" s="89"/>
      <c r="FB114" s="89"/>
      <c r="FC114" s="89"/>
      <c r="FD114" s="89"/>
      <c r="FE114" s="89"/>
      <c r="FF114" s="89"/>
      <c r="FG114" s="89"/>
      <c r="FH114" s="89"/>
      <c r="FI114" s="89"/>
      <c r="FJ114" s="300"/>
      <c r="FK114" s="300"/>
      <c r="FL114" s="300"/>
      <c r="FM114" s="300"/>
      <c r="FN114" s="300"/>
      <c r="FO114" s="108"/>
      <c r="FP114" s="108"/>
      <c r="FQ114" s="108"/>
      <c r="FR114" s="108"/>
      <c r="FS114" s="108"/>
      <c r="FT114" s="108"/>
      <c r="FU114" s="108"/>
      <c r="FV114" s="108"/>
      <c r="FW114" s="108"/>
      <c r="FX114" s="301"/>
      <c r="FY114" s="259"/>
      <c r="FZ114" s="259"/>
      <c r="GA114" s="259"/>
      <c r="GB114" s="259"/>
      <c r="GC114" s="301"/>
      <c r="GD114" s="301"/>
      <c r="GE114" s="301"/>
      <c r="GF114" s="301"/>
      <c r="GG114" s="301"/>
      <c r="GH114" s="301"/>
      <c r="GI114" s="301"/>
      <c r="GJ114" s="301"/>
      <c r="GK114" s="301"/>
      <c r="GL114" s="301"/>
      <c r="GM114" s="301"/>
      <c r="GN114" s="301"/>
      <c r="GO114" s="301"/>
      <c r="GP114" s="301"/>
      <c r="GQ114" s="301"/>
      <c r="GR114" s="301"/>
      <c r="GS114" s="301"/>
      <c r="GT114" s="301"/>
      <c r="GU114" s="301"/>
      <c r="GV114" s="301"/>
      <c r="IB114" s="65"/>
    </row>
    <row r="115" spans="1:236" ht="16.95" customHeight="1">
      <c r="A115" s="60"/>
      <c r="B115" s="69"/>
      <c r="C115" s="69"/>
      <c r="D115" s="268"/>
      <c r="E115" s="262"/>
      <c r="F115" s="262"/>
      <c r="G115" s="262"/>
      <c r="H115" s="262"/>
      <c r="I115" s="262"/>
      <c r="J115" s="262"/>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89"/>
      <c r="AS115" s="89"/>
      <c r="AT115" s="89"/>
      <c r="AU115" s="89"/>
      <c r="AV115" s="89"/>
      <c r="AW115" s="89"/>
      <c r="AX115" s="89"/>
      <c r="AY115" s="89"/>
      <c r="AZ115" s="89"/>
      <c r="BA115" s="89"/>
      <c r="BB115" s="89"/>
      <c r="BC115" s="89"/>
      <c r="BD115" s="89"/>
      <c r="BE115" s="89"/>
      <c r="BF115" s="89"/>
      <c r="BG115" s="89"/>
      <c r="BH115" s="89"/>
      <c r="BI115" s="89"/>
      <c r="BJ115" s="89"/>
      <c r="BK115" s="89"/>
      <c r="BL115" s="89"/>
      <c r="BM115" s="89"/>
      <c r="BN115" s="89"/>
      <c r="BO115" s="89"/>
      <c r="BP115" s="89"/>
      <c r="BQ115" s="89"/>
      <c r="BR115" s="89"/>
      <c r="BS115" s="89"/>
      <c r="BT115" s="89"/>
      <c r="BU115" s="89"/>
      <c r="BV115" s="89"/>
      <c r="BW115" s="89"/>
      <c r="BX115" s="89"/>
      <c r="BY115" s="89"/>
      <c r="BZ115" s="89"/>
      <c r="CA115" s="89"/>
      <c r="CB115" s="89"/>
      <c r="CC115" s="89"/>
      <c r="CD115" s="89"/>
      <c r="CE115" s="89"/>
      <c r="CF115" s="89"/>
      <c r="CG115" s="89"/>
      <c r="CH115" s="89"/>
      <c r="CI115" s="89"/>
      <c r="CJ115" s="89"/>
      <c r="CK115" s="89"/>
      <c r="CL115" s="89"/>
      <c r="CM115" s="89"/>
      <c r="CN115" s="89"/>
      <c r="CO115" s="89"/>
      <c r="CP115" s="89"/>
      <c r="CQ115" s="89"/>
      <c r="CR115" s="89"/>
      <c r="CS115" s="89"/>
      <c r="CT115" s="89"/>
      <c r="CU115" s="89"/>
      <c r="CV115" s="89"/>
      <c r="CW115" s="89"/>
      <c r="CX115" s="89"/>
      <c r="CY115" s="89"/>
      <c r="CZ115" s="89"/>
      <c r="DA115" s="89"/>
      <c r="DB115" s="89"/>
      <c r="DC115" s="89"/>
      <c r="DD115" s="89"/>
      <c r="DE115" s="89"/>
      <c r="DF115" s="89"/>
      <c r="DG115" s="89"/>
      <c r="DH115" s="89"/>
      <c r="DI115" s="89"/>
      <c r="DJ115" s="89"/>
      <c r="DK115" s="89"/>
      <c r="DL115" s="89"/>
      <c r="DM115" s="89"/>
      <c r="DN115" s="89"/>
      <c r="DO115" s="89"/>
      <c r="DP115" s="89"/>
      <c r="DQ115" s="89"/>
      <c r="DR115" s="89"/>
      <c r="DS115" s="89"/>
      <c r="DT115" s="89"/>
      <c r="DU115" s="141"/>
      <c r="DV115" s="141"/>
      <c r="DW115" s="141"/>
      <c r="DX115" s="141"/>
      <c r="DY115" s="141"/>
      <c r="DZ115" s="141"/>
      <c r="EA115" s="141"/>
      <c r="EB115" s="89"/>
      <c r="EC115" s="89"/>
      <c r="ED115" s="89"/>
      <c r="EE115" s="89"/>
      <c r="EF115" s="89"/>
      <c r="EG115" s="89"/>
      <c r="EH115" s="89"/>
      <c r="EI115" s="89"/>
      <c r="EJ115" s="89"/>
      <c r="EK115" s="89"/>
      <c r="EL115" s="89"/>
      <c r="EM115" s="89"/>
      <c r="EN115" s="89"/>
      <c r="EO115" s="89"/>
      <c r="EP115" s="89"/>
      <c r="EQ115" s="89"/>
      <c r="ER115" s="89"/>
      <c r="ES115" s="89"/>
      <c r="ET115" s="89"/>
      <c r="EU115" s="89"/>
      <c r="EV115" s="89"/>
      <c r="EW115" s="89"/>
      <c r="EX115" s="89"/>
      <c r="EY115" s="89"/>
      <c r="EZ115" s="89"/>
      <c r="FA115" s="89"/>
      <c r="FB115" s="89"/>
      <c r="FC115" s="89"/>
      <c r="FD115" s="89"/>
      <c r="FE115" s="89"/>
      <c r="FF115" s="89"/>
      <c r="FG115" s="89"/>
      <c r="FH115" s="89"/>
      <c r="FI115" s="89"/>
      <c r="FJ115" s="300"/>
      <c r="FK115" s="300"/>
      <c r="FL115" s="300"/>
      <c r="FM115" s="300"/>
      <c r="FN115" s="300"/>
      <c r="FO115" s="108"/>
      <c r="FP115" s="108"/>
      <c r="FQ115" s="108"/>
      <c r="FR115" s="108"/>
      <c r="FS115" s="108"/>
      <c r="FT115" s="108"/>
      <c r="FU115" s="108"/>
      <c r="FV115" s="108"/>
      <c r="FW115" s="108"/>
      <c r="FX115" s="301"/>
      <c r="FY115" s="259"/>
      <c r="FZ115" s="259"/>
      <c r="GA115" s="259"/>
      <c r="GB115" s="259"/>
      <c r="GC115" s="301"/>
      <c r="GD115" s="301"/>
      <c r="GE115" s="301"/>
      <c r="GF115" s="301"/>
      <c r="GG115" s="301"/>
      <c r="GH115" s="301"/>
      <c r="GI115" s="301"/>
      <c r="GJ115" s="301"/>
      <c r="GK115" s="301"/>
      <c r="GL115" s="301"/>
      <c r="GM115" s="301"/>
      <c r="GN115" s="301"/>
      <c r="GO115" s="301"/>
      <c r="GP115" s="301"/>
      <c r="GQ115" s="301"/>
      <c r="GR115" s="301"/>
      <c r="GS115" s="301"/>
      <c r="GT115" s="301"/>
      <c r="GU115" s="301"/>
      <c r="GV115" s="301"/>
      <c r="IB115" s="65"/>
    </row>
    <row r="116" spans="1:236" ht="16.95" customHeight="1">
      <c r="A116" s="60"/>
      <c r="B116" s="69"/>
      <c r="C116" s="69"/>
      <c r="D116" s="268"/>
      <c r="E116" s="262"/>
      <c r="F116" s="262"/>
      <c r="G116" s="262"/>
      <c r="H116" s="262"/>
      <c r="I116" s="262"/>
      <c r="J116" s="262"/>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89"/>
      <c r="AZ116" s="89"/>
      <c r="BA116" s="89"/>
      <c r="BB116" s="89"/>
      <c r="BC116" s="89"/>
      <c r="BD116" s="89"/>
      <c r="BE116" s="89"/>
      <c r="BF116" s="89"/>
      <c r="BG116" s="89"/>
      <c r="BH116" s="89"/>
      <c r="BI116" s="89"/>
      <c r="BJ116" s="89"/>
      <c r="BK116" s="89"/>
      <c r="BL116" s="89"/>
      <c r="BM116" s="89"/>
      <c r="BN116" s="89"/>
      <c r="BO116" s="89"/>
      <c r="BP116" s="89"/>
      <c r="BQ116" s="89"/>
      <c r="BR116" s="89"/>
      <c r="BS116" s="89"/>
      <c r="BT116" s="89"/>
      <c r="BU116" s="89"/>
      <c r="BV116" s="89"/>
      <c r="BW116" s="89"/>
      <c r="BX116" s="89"/>
      <c r="BY116" s="89"/>
      <c r="BZ116" s="89"/>
      <c r="CA116" s="89"/>
      <c r="CB116" s="89"/>
      <c r="CC116" s="89"/>
      <c r="CD116" s="89"/>
      <c r="CE116" s="89"/>
      <c r="CF116" s="89"/>
      <c r="CG116" s="89"/>
      <c r="CH116" s="89"/>
      <c r="CI116" s="89"/>
      <c r="CJ116" s="89"/>
      <c r="CK116" s="89"/>
      <c r="CL116" s="89"/>
      <c r="CM116" s="89"/>
      <c r="CN116" s="89"/>
      <c r="CO116" s="89"/>
      <c r="CP116" s="89"/>
      <c r="CQ116" s="89"/>
      <c r="CR116" s="89"/>
      <c r="CS116" s="89"/>
      <c r="CT116" s="89"/>
      <c r="CU116" s="89"/>
      <c r="CV116" s="89"/>
      <c r="CW116" s="89"/>
      <c r="CX116" s="89"/>
      <c r="CY116" s="89"/>
      <c r="CZ116" s="89"/>
      <c r="DA116" s="89"/>
      <c r="DB116" s="89"/>
      <c r="DC116" s="89"/>
      <c r="DD116" s="89"/>
      <c r="DE116" s="89"/>
      <c r="DF116" s="89"/>
      <c r="DG116" s="89"/>
      <c r="DH116" s="89"/>
      <c r="DI116" s="89"/>
      <c r="DJ116" s="89"/>
      <c r="DK116" s="89"/>
      <c r="DL116" s="89"/>
      <c r="DM116" s="89"/>
      <c r="DN116" s="89"/>
      <c r="DO116" s="89"/>
      <c r="DP116" s="89"/>
      <c r="DQ116" s="89"/>
      <c r="DR116" s="89"/>
      <c r="DS116" s="89"/>
      <c r="DT116" s="89"/>
      <c r="DU116" s="141"/>
      <c r="DV116" s="141"/>
      <c r="DW116" s="141"/>
      <c r="DX116" s="141"/>
      <c r="DY116" s="141"/>
      <c r="DZ116" s="141"/>
      <c r="EA116" s="141"/>
      <c r="EB116" s="89"/>
      <c r="EC116" s="89"/>
      <c r="ED116" s="89"/>
      <c r="EE116" s="89"/>
      <c r="EF116" s="89"/>
      <c r="EG116" s="89"/>
      <c r="EH116" s="89"/>
      <c r="EI116" s="89"/>
      <c r="EJ116" s="89"/>
      <c r="EK116" s="89"/>
      <c r="EL116" s="89"/>
      <c r="EM116" s="89"/>
      <c r="EN116" s="89"/>
      <c r="EO116" s="89"/>
      <c r="EP116" s="89"/>
      <c r="EQ116" s="89"/>
      <c r="ER116" s="89"/>
      <c r="ES116" s="89"/>
      <c r="ET116" s="89"/>
      <c r="EU116" s="89"/>
      <c r="EV116" s="89"/>
      <c r="EW116" s="89"/>
      <c r="EX116" s="89"/>
      <c r="EY116" s="89"/>
      <c r="EZ116" s="89"/>
      <c r="FA116" s="89"/>
      <c r="FB116" s="89"/>
      <c r="FC116" s="89"/>
      <c r="FD116" s="89"/>
      <c r="FE116" s="89"/>
      <c r="FF116" s="89"/>
      <c r="FG116" s="89"/>
      <c r="FH116" s="89"/>
      <c r="FI116" s="89"/>
      <c r="FJ116" s="300"/>
      <c r="FK116" s="300"/>
      <c r="FL116" s="300"/>
      <c r="FM116" s="300"/>
      <c r="FN116" s="300"/>
      <c r="FO116" s="108"/>
      <c r="FP116" s="108"/>
      <c r="FQ116" s="108"/>
      <c r="FR116" s="108"/>
      <c r="FS116" s="108"/>
      <c r="FT116" s="108"/>
      <c r="FU116" s="108"/>
      <c r="FV116" s="108"/>
      <c r="FW116" s="108"/>
      <c r="FX116" s="301"/>
      <c r="FY116" s="259"/>
      <c r="FZ116" s="259"/>
      <c r="GA116" s="259"/>
      <c r="GB116" s="259"/>
      <c r="GC116" s="301"/>
      <c r="GD116" s="301"/>
      <c r="GE116" s="301"/>
      <c r="GF116" s="301"/>
      <c r="GG116" s="301"/>
      <c r="GH116" s="301"/>
      <c r="GI116" s="301"/>
      <c r="GJ116" s="301"/>
      <c r="GK116" s="301"/>
      <c r="GL116" s="301"/>
      <c r="GM116" s="301"/>
      <c r="GN116" s="301"/>
      <c r="GO116" s="301"/>
      <c r="GP116" s="301"/>
      <c r="GQ116" s="301"/>
      <c r="GR116" s="301"/>
      <c r="GS116" s="301"/>
      <c r="GT116" s="301"/>
      <c r="GU116" s="301"/>
      <c r="GV116" s="301"/>
      <c r="IB116" s="65"/>
    </row>
    <row r="117" spans="1:236" ht="16.95" customHeight="1">
      <c r="A117" s="60"/>
      <c r="B117" s="69"/>
      <c r="C117" s="69"/>
      <c r="D117" s="341"/>
      <c r="E117" s="262"/>
      <c r="F117" s="262"/>
      <c r="G117" s="262"/>
      <c r="H117" s="262"/>
      <c r="I117" s="262"/>
      <c r="J117" s="262"/>
      <c r="K117" s="89"/>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89"/>
      <c r="AZ117" s="89"/>
      <c r="BA117" s="89"/>
      <c r="BB117" s="89"/>
      <c r="BC117" s="89"/>
      <c r="BD117" s="89"/>
      <c r="BE117" s="89"/>
      <c r="BF117" s="89"/>
      <c r="BG117" s="89"/>
      <c r="BH117" s="89"/>
      <c r="BI117" s="89"/>
      <c r="BJ117" s="89"/>
      <c r="BK117" s="89"/>
      <c r="BL117" s="89"/>
      <c r="BM117" s="89"/>
      <c r="BN117" s="89"/>
      <c r="BO117" s="89"/>
      <c r="BP117" s="89"/>
      <c r="BQ117" s="89"/>
      <c r="BR117" s="89"/>
      <c r="BS117" s="89"/>
      <c r="BT117" s="89"/>
      <c r="BU117" s="89"/>
      <c r="BV117" s="89"/>
      <c r="BW117" s="89"/>
      <c r="BX117" s="89"/>
      <c r="BY117" s="89"/>
      <c r="BZ117" s="89"/>
      <c r="CA117" s="89"/>
      <c r="CB117" s="89"/>
      <c r="CC117" s="89"/>
      <c r="CD117" s="89"/>
      <c r="CE117" s="89"/>
      <c r="CF117" s="89"/>
      <c r="CG117" s="89"/>
      <c r="CH117" s="89"/>
      <c r="CI117" s="89"/>
      <c r="CJ117" s="89"/>
      <c r="CK117" s="89"/>
      <c r="CL117" s="89"/>
      <c r="CM117" s="89"/>
      <c r="CN117" s="89"/>
      <c r="CO117" s="89"/>
      <c r="CP117" s="89"/>
      <c r="CQ117" s="89"/>
      <c r="CR117" s="89"/>
      <c r="CS117" s="89"/>
      <c r="CT117" s="89"/>
      <c r="CU117" s="89"/>
      <c r="CV117" s="89"/>
      <c r="CW117" s="89"/>
      <c r="CX117" s="89"/>
      <c r="CY117" s="89"/>
      <c r="CZ117" s="89"/>
      <c r="DA117" s="89"/>
      <c r="DB117" s="89"/>
      <c r="DC117" s="89"/>
      <c r="DD117" s="89"/>
      <c r="DE117" s="89"/>
      <c r="DF117" s="89"/>
      <c r="DG117" s="89"/>
      <c r="DH117" s="89"/>
      <c r="DI117" s="89"/>
      <c r="DJ117" s="89"/>
      <c r="DK117" s="89"/>
      <c r="DL117" s="89"/>
      <c r="DM117" s="89"/>
      <c r="DN117" s="89"/>
      <c r="DO117" s="89"/>
      <c r="DP117" s="89"/>
      <c r="DQ117" s="89"/>
      <c r="DR117" s="89"/>
      <c r="DS117" s="89"/>
      <c r="DT117" s="89"/>
      <c r="DU117" s="141"/>
      <c r="DV117" s="141"/>
      <c r="DW117" s="141"/>
      <c r="DX117" s="141"/>
      <c r="DY117" s="141"/>
      <c r="DZ117" s="141"/>
      <c r="EA117" s="141"/>
      <c r="EB117" s="89"/>
      <c r="EC117" s="89"/>
      <c r="ED117" s="89"/>
      <c r="EE117" s="89"/>
      <c r="EF117" s="89"/>
      <c r="EG117" s="89"/>
      <c r="EH117" s="89"/>
      <c r="EI117" s="89"/>
      <c r="EJ117" s="89"/>
      <c r="EK117" s="89"/>
      <c r="EL117" s="89"/>
      <c r="EM117" s="89"/>
      <c r="EN117" s="89"/>
      <c r="EO117" s="89"/>
      <c r="EP117" s="89"/>
      <c r="EQ117" s="89"/>
      <c r="ER117" s="89"/>
      <c r="ES117" s="89"/>
      <c r="ET117" s="89"/>
      <c r="EU117" s="89"/>
      <c r="EV117" s="89"/>
      <c r="EW117" s="89"/>
      <c r="EX117" s="89"/>
      <c r="EY117" s="89"/>
      <c r="EZ117" s="89"/>
      <c r="FA117" s="89"/>
      <c r="FB117" s="89"/>
      <c r="FC117" s="89"/>
      <c r="FD117" s="89"/>
      <c r="FE117" s="89"/>
      <c r="FF117" s="89"/>
      <c r="FG117" s="89"/>
      <c r="FH117" s="89"/>
      <c r="FI117" s="89"/>
      <c r="FJ117" s="300"/>
      <c r="FK117" s="300"/>
      <c r="FL117" s="300"/>
      <c r="FM117" s="300"/>
      <c r="FN117" s="300"/>
      <c r="FO117" s="108"/>
      <c r="FP117" s="108"/>
      <c r="FQ117" s="108"/>
      <c r="FR117" s="108"/>
      <c r="FS117" s="108"/>
      <c r="FT117" s="108"/>
      <c r="FU117" s="108"/>
      <c r="FV117" s="108"/>
      <c r="FW117" s="108"/>
      <c r="FX117" s="301"/>
      <c r="FY117" s="259"/>
      <c r="FZ117" s="259"/>
      <c r="GA117" s="259"/>
      <c r="GB117" s="259"/>
      <c r="GC117" s="301"/>
      <c r="GD117" s="301"/>
      <c r="GE117" s="301"/>
      <c r="GF117" s="301"/>
      <c r="GG117" s="301"/>
      <c r="GH117" s="301"/>
      <c r="GI117" s="301"/>
      <c r="GJ117" s="301"/>
      <c r="GK117" s="301"/>
      <c r="GL117" s="301"/>
      <c r="GM117" s="301"/>
      <c r="GN117" s="301"/>
      <c r="GO117" s="301"/>
      <c r="GP117" s="301"/>
      <c r="GQ117" s="301"/>
      <c r="GR117" s="301"/>
      <c r="GS117" s="301"/>
      <c r="GT117" s="301"/>
      <c r="GU117" s="301"/>
      <c r="GV117" s="301"/>
      <c r="IB117" s="65"/>
    </row>
    <row r="118" spans="1:236" ht="16.95" customHeight="1">
      <c r="A118" s="60"/>
      <c r="B118" s="69"/>
      <c r="C118" s="69"/>
      <c r="D118" s="341"/>
      <c r="E118" s="262"/>
      <c r="F118" s="262"/>
      <c r="G118" s="262"/>
      <c r="H118" s="262"/>
      <c r="I118" s="262"/>
      <c r="J118" s="262"/>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89"/>
      <c r="AU118" s="89"/>
      <c r="AV118" s="89"/>
      <c r="AW118" s="89"/>
      <c r="AX118" s="89"/>
      <c r="AY118" s="89"/>
      <c r="AZ118" s="89"/>
      <c r="BA118" s="89"/>
      <c r="BB118" s="89"/>
      <c r="BC118" s="89"/>
      <c r="BD118" s="89"/>
      <c r="BE118" s="89"/>
      <c r="BF118" s="89"/>
      <c r="BG118" s="89"/>
      <c r="BH118" s="89"/>
      <c r="BI118" s="89"/>
      <c r="BJ118" s="89"/>
      <c r="BK118" s="89"/>
      <c r="BL118" s="89"/>
      <c r="BM118" s="89"/>
      <c r="BN118" s="89"/>
      <c r="BO118" s="89"/>
      <c r="BP118" s="89"/>
      <c r="BQ118" s="89"/>
      <c r="BR118" s="89"/>
      <c r="BS118" s="89"/>
      <c r="BT118" s="89"/>
      <c r="BU118" s="89"/>
      <c r="BV118" s="89"/>
      <c r="BW118" s="89"/>
      <c r="BX118" s="89"/>
      <c r="BY118" s="89"/>
      <c r="BZ118" s="89"/>
      <c r="CA118" s="89"/>
      <c r="CB118" s="89"/>
      <c r="CC118" s="89"/>
      <c r="CD118" s="89"/>
      <c r="CE118" s="89"/>
      <c r="CF118" s="89"/>
      <c r="CG118" s="89"/>
      <c r="CH118" s="89"/>
      <c r="CI118" s="89"/>
      <c r="CJ118" s="89"/>
      <c r="CK118" s="89"/>
      <c r="CL118" s="89"/>
      <c r="CM118" s="89"/>
      <c r="CN118" s="89"/>
      <c r="CO118" s="89"/>
      <c r="CP118" s="89"/>
      <c r="CQ118" s="89"/>
      <c r="CR118" s="89"/>
      <c r="CS118" s="89"/>
      <c r="CT118" s="89"/>
      <c r="CU118" s="89"/>
      <c r="CV118" s="89"/>
      <c r="CW118" s="89"/>
      <c r="CX118" s="89"/>
      <c r="CY118" s="89"/>
      <c r="CZ118" s="89"/>
      <c r="DA118" s="89"/>
      <c r="DB118" s="89"/>
      <c r="DC118" s="89"/>
      <c r="DD118" s="89"/>
      <c r="DE118" s="89"/>
      <c r="DF118" s="89"/>
      <c r="DG118" s="89"/>
      <c r="DH118" s="89"/>
      <c r="DI118" s="89"/>
      <c r="DJ118" s="89"/>
      <c r="DK118" s="89"/>
      <c r="DL118" s="89"/>
      <c r="DM118" s="89"/>
      <c r="DN118" s="89"/>
      <c r="DO118" s="89"/>
      <c r="DP118" s="89"/>
      <c r="DQ118" s="89"/>
      <c r="DR118" s="89"/>
      <c r="DS118" s="89"/>
      <c r="DT118" s="89"/>
      <c r="DU118" s="141"/>
      <c r="DV118" s="141"/>
      <c r="DW118" s="141"/>
      <c r="DX118" s="141"/>
      <c r="DY118" s="141"/>
      <c r="DZ118" s="141"/>
      <c r="EA118" s="141"/>
      <c r="EB118" s="89"/>
      <c r="EC118" s="89"/>
      <c r="ED118" s="89"/>
      <c r="EE118" s="89"/>
      <c r="EF118" s="89"/>
      <c r="EG118" s="89"/>
      <c r="EH118" s="89"/>
      <c r="EI118" s="89"/>
      <c r="EJ118" s="89"/>
      <c r="EK118" s="89"/>
      <c r="EL118" s="89"/>
      <c r="EM118" s="89"/>
      <c r="EN118" s="89"/>
      <c r="EO118" s="89"/>
      <c r="EP118" s="89"/>
      <c r="EQ118" s="89"/>
      <c r="ER118" s="89"/>
      <c r="ES118" s="89"/>
      <c r="ET118" s="89"/>
      <c r="EU118" s="89"/>
      <c r="EV118" s="89"/>
      <c r="EW118" s="89"/>
      <c r="EX118" s="89"/>
      <c r="EY118" s="89"/>
      <c r="EZ118" s="89"/>
      <c r="FA118" s="89"/>
      <c r="FB118" s="89"/>
      <c r="FC118" s="89"/>
      <c r="FD118" s="89"/>
      <c r="FE118" s="89"/>
      <c r="FF118" s="89"/>
      <c r="FG118" s="89"/>
      <c r="FH118" s="89"/>
      <c r="FI118" s="89"/>
      <c r="FJ118" s="300"/>
      <c r="FK118" s="300"/>
      <c r="FL118" s="300"/>
      <c r="FM118" s="300"/>
      <c r="FN118" s="300"/>
      <c r="FO118" s="108"/>
      <c r="FP118" s="108"/>
      <c r="FQ118" s="108"/>
      <c r="FR118" s="108"/>
      <c r="FS118" s="108"/>
      <c r="FT118" s="108"/>
      <c r="FU118" s="108"/>
      <c r="FV118" s="108"/>
      <c r="FW118" s="108"/>
      <c r="FX118" s="301"/>
      <c r="FY118" s="259"/>
      <c r="FZ118" s="259"/>
      <c r="GA118" s="259"/>
      <c r="GB118" s="259"/>
      <c r="GC118" s="301"/>
      <c r="GD118" s="301"/>
      <c r="GE118" s="301"/>
      <c r="GF118" s="301"/>
      <c r="GG118" s="301"/>
      <c r="GH118" s="301"/>
      <c r="GI118" s="301"/>
      <c r="GJ118" s="301"/>
      <c r="GK118" s="301"/>
      <c r="GL118" s="301"/>
      <c r="GM118" s="301"/>
      <c r="GN118" s="301"/>
      <c r="GO118" s="301"/>
      <c r="GP118" s="301"/>
      <c r="GQ118" s="301"/>
      <c r="GR118" s="301"/>
      <c r="GS118" s="301"/>
      <c r="GT118" s="301"/>
      <c r="GU118" s="301"/>
      <c r="GV118" s="301"/>
      <c r="IB118" s="65"/>
    </row>
    <row r="119" spans="1:236" ht="16.95" customHeight="1">
      <c r="A119" s="60"/>
      <c r="B119" s="69"/>
      <c r="C119" s="69"/>
      <c r="D119" s="262"/>
      <c r="E119" s="262"/>
      <c r="F119" s="262"/>
      <c r="G119" s="262"/>
      <c r="H119" s="262"/>
      <c r="I119" s="262"/>
      <c r="J119" s="262"/>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89"/>
      <c r="AS119" s="89"/>
      <c r="AT119" s="89"/>
      <c r="AU119" s="89"/>
      <c r="AV119" s="89"/>
      <c r="AW119" s="89"/>
      <c r="AX119" s="89"/>
      <c r="AY119" s="89"/>
      <c r="AZ119" s="89"/>
      <c r="BA119" s="89"/>
      <c r="BB119" s="89"/>
      <c r="BC119" s="89"/>
      <c r="BD119" s="89"/>
      <c r="BE119" s="89"/>
      <c r="BF119" s="89"/>
      <c r="BG119" s="89"/>
      <c r="BH119" s="89"/>
      <c r="BI119" s="89"/>
      <c r="BJ119" s="89"/>
      <c r="BK119" s="89"/>
      <c r="BL119" s="89"/>
      <c r="BM119" s="89"/>
      <c r="BN119" s="89"/>
      <c r="BO119" s="89"/>
      <c r="BP119" s="89"/>
      <c r="BQ119" s="89"/>
      <c r="BR119" s="89"/>
      <c r="BS119" s="89"/>
      <c r="BT119" s="89"/>
      <c r="BU119" s="89"/>
      <c r="BV119" s="89"/>
      <c r="BW119" s="89"/>
      <c r="BX119" s="89"/>
      <c r="BY119" s="89"/>
      <c r="BZ119" s="89"/>
      <c r="CA119" s="89"/>
      <c r="CB119" s="89"/>
      <c r="CC119" s="89"/>
      <c r="CD119" s="89"/>
      <c r="CE119" s="89"/>
      <c r="CF119" s="89"/>
      <c r="CG119" s="89"/>
      <c r="CH119" s="89"/>
      <c r="CI119" s="89"/>
      <c r="CJ119" s="89"/>
      <c r="CK119" s="89"/>
      <c r="CL119" s="89"/>
      <c r="CM119" s="89"/>
      <c r="CN119" s="89"/>
      <c r="CO119" s="89"/>
      <c r="CP119" s="89"/>
      <c r="CQ119" s="89"/>
      <c r="CR119" s="89"/>
      <c r="CS119" s="89"/>
      <c r="CT119" s="89"/>
      <c r="CU119" s="89"/>
      <c r="CV119" s="89"/>
      <c r="CW119" s="89"/>
      <c r="CX119" s="89"/>
      <c r="CY119" s="89"/>
      <c r="CZ119" s="89"/>
      <c r="DA119" s="89"/>
      <c r="DB119" s="89"/>
      <c r="DC119" s="89"/>
      <c r="DD119" s="89"/>
      <c r="DE119" s="89"/>
      <c r="DF119" s="89"/>
      <c r="DG119" s="89"/>
      <c r="DH119" s="89"/>
      <c r="DI119" s="89"/>
      <c r="DJ119" s="89"/>
      <c r="DK119" s="89"/>
      <c r="DL119" s="89"/>
      <c r="DM119" s="89"/>
      <c r="DN119" s="89"/>
      <c r="DO119" s="89"/>
      <c r="DP119" s="89"/>
      <c r="DQ119" s="89"/>
      <c r="DR119" s="89"/>
      <c r="DS119" s="89"/>
      <c r="DT119" s="89"/>
      <c r="DU119" s="141"/>
      <c r="DV119" s="141"/>
      <c r="DW119" s="141"/>
      <c r="DX119" s="141"/>
      <c r="DY119" s="141"/>
      <c r="DZ119" s="141"/>
      <c r="EA119" s="141"/>
      <c r="EB119" s="89"/>
      <c r="EC119" s="89"/>
      <c r="ED119" s="89"/>
      <c r="EE119" s="89"/>
      <c r="EF119" s="89"/>
      <c r="EG119" s="89"/>
      <c r="EH119" s="89"/>
      <c r="EI119" s="89"/>
      <c r="EJ119" s="89"/>
      <c r="EK119" s="89"/>
      <c r="EL119" s="89"/>
      <c r="EM119" s="89"/>
      <c r="EN119" s="89"/>
      <c r="EO119" s="89"/>
      <c r="EP119" s="89"/>
      <c r="EQ119" s="89"/>
      <c r="ER119" s="89"/>
      <c r="ES119" s="89"/>
      <c r="ET119" s="89"/>
      <c r="EU119" s="89"/>
      <c r="EV119" s="89"/>
      <c r="EW119" s="89"/>
      <c r="EX119" s="89"/>
      <c r="EY119" s="89"/>
      <c r="EZ119" s="89"/>
      <c r="FA119" s="89"/>
      <c r="FB119" s="89"/>
      <c r="FC119" s="89"/>
      <c r="FD119" s="89"/>
      <c r="FE119" s="89"/>
      <c r="FF119" s="89"/>
      <c r="FG119" s="89"/>
      <c r="FH119" s="89"/>
      <c r="FI119" s="89"/>
      <c r="FJ119" s="300"/>
      <c r="FK119" s="300"/>
      <c r="FL119" s="300"/>
      <c r="FM119" s="300"/>
      <c r="FN119" s="300"/>
      <c r="FO119" s="300"/>
      <c r="FP119" s="300"/>
      <c r="FQ119" s="108"/>
      <c r="FR119" s="108"/>
      <c r="FS119" s="108"/>
      <c r="FT119" s="108"/>
      <c r="FU119" s="108"/>
      <c r="FV119" s="108"/>
      <c r="FW119" s="108"/>
      <c r="FX119" s="301"/>
      <c r="FY119" s="259"/>
      <c r="FZ119" s="259"/>
      <c r="GA119" s="259"/>
      <c r="GB119" s="259"/>
      <c r="GC119" s="301"/>
      <c r="GD119" s="301"/>
      <c r="GE119" s="301"/>
      <c r="GF119" s="301"/>
      <c r="GG119" s="301"/>
      <c r="GH119" s="301"/>
      <c r="GI119" s="301"/>
      <c r="GJ119" s="301"/>
      <c r="GK119" s="301"/>
      <c r="GL119" s="301"/>
      <c r="GM119" s="301"/>
      <c r="GN119" s="301"/>
      <c r="GO119" s="301"/>
      <c r="GP119" s="301"/>
      <c r="GQ119" s="301"/>
      <c r="GR119" s="301"/>
      <c r="GS119" s="301"/>
      <c r="GT119" s="301"/>
      <c r="GU119" s="301"/>
      <c r="GV119" s="301"/>
      <c r="IB119" s="65"/>
    </row>
    <row r="120" spans="1:236" s="268" customFormat="1" ht="8.4" customHeight="1">
      <c r="A120" s="60"/>
      <c r="B120" s="69"/>
      <c r="C120" s="69"/>
      <c r="D120" s="262"/>
      <c r="E120" s="262"/>
      <c r="F120" s="262"/>
      <c r="G120" s="262"/>
      <c r="H120" s="262"/>
      <c r="I120" s="262"/>
      <c r="J120" s="262"/>
      <c r="K120" s="262"/>
      <c r="L120" s="262"/>
      <c r="M120" s="262"/>
      <c r="N120" s="262"/>
      <c r="O120" s="262"/>
      <c r="DZ120" s="141"/>
      <c r="EA120" s="141"/>
      <c r="EB120" s="141"/>
      <c r="EC120" s="141"/>
      <c r="ED120" s="141"/>
      <c r="EE120" s="141"/>
      <c r="EF120" s="141"/>
      <c r="EG120" s="141"/>
      <c r="EH120" s="141"/>
      <c r="EI120" s="141"/>
      <c r="EJ120" s="141"/>
      <c r="EK120" s="141"/>
      <c r="EL120" s="141"/>
      <c r="EM120" s="141"/>
      <c r="EN120" s="141"/>
      <c r="EO120" s="141"/>
      <c r="EP120" s="141"/>
      <c r="EQ120" s="141"/>
      <c r="ER120" s="141"/>
      <c r="ES120" s="141"/>
      <c r="ET120" s="141"/>
      <c r="EU120" s="141"/>
      <c r="EV120" s="141"/>
      <c r="EW120" s="141"/>
      <c r="EX120" s="141"/>
      <c r="EY120" s="141"/>
      <c r="EZ120" s="141"/>
      <c r="FA120" s="141"/>
      <c r="FB120" s="141"/>
      <c r="FC120" s="141"/>
      <c r="FD120" s="141"/>
      <c r="FE120" s="141"/>
      <c r="FF120" s="141"/>
      <c r="FG120" s="141"/>
      <c r="FH120" s="141"/>
      <c r="FI120" s="141"/>
      <c r="FJ120" s="257"/>
      <c r="FK120" s="257"/>
      <c r="FL120" s="257"/>
      <c r="FM120" s="300"/>
      <c r="FN120" s="277"/>
      <c r="FO120" s="277"/>
      <c r="FP120" s="277"/>
      <c r="FQ120" s="277"/>
      <c r="FR120" s="277"/>
      <c r="FS120" s="277"/>
      <c r="FT120" s="277"/>
      <c r="FU120" s="277"/>
      <c r="FV120" s="277"/>
      <c r="FW120" s="277"/>
      <c r="FX120" s="277"/>
      <c r="FY120" s="259"/>
      <c r="FZ120" s="259"/>
      <c r="GA120" s="259"/>
      <c r="GB120" s="259"/>
      <c r="GC120" s="257"/>
      <c r="GD120" s="257"/>
      <c r="GE120" s="257"/>
      <c r="GF120" s="257"/>
      <c r="GG120" s="257"/>
      <c r="GH120" s="257"/>
      <c r="GI120" s="257"/>
      <c r="GJ120" s="257"/>
      <c r="GK120" s="257"/>
      <c r="GL120" s="257"/>
      <c r="GM120" s="257"/>
      <c r="GN120" s="257"/>
      <c r="GO120" s="257"/>
      <c r="GP120" s="257"/>
      <c r="GQ120" s="257"/>
      <c r="GR120" s="257"/>
      <c r="GS120" s="257"/>
      <c r="GT120" s="257"/>
      <c r="GU120" s="257"/>
      <c r="GV120" s="257"/>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row>
    <row r="121" spans="1:236" s="268" customFormat="1" ht="3.6" customHeight="1">
      <c r="A121" s="60"/>
      <c r="B121" s="69"/>
      <c r="C121" s="69"/>
      <c r="D121" s="262"/>
      <c r="E121" s="262"/>
      <c r="F121" s="262"/>
      <c r="G121" s="262"/>
      <c r="H121" s="262"/>
      <c r="U121" s="254"/>
      <c r="V121" s="254"/>
      <c r="W121" s="254"/>
      <c r="X121" s="254"/>
      <c r="Y121" s="254"/>
      <c r="Z121" s="254"/>
      <c r="AA121" s="254"/>
      <c r="AB121" s="254"/>
      <c r="AC121" s="254"/>
      <c r="AD121" s="254"/>
      <c r="AE121" s="254"/>
      <c r="AF121" s="254"/>
      <c r="AG121" s="254"/>
      <c r="AH121" s="254"/>
      <c r="AI121" s="254"/>
      <c r="AJ121" s="254"/>
      <c r="AK121" s="254"/>
      <c r="AL121" s="254"/>
      <c r="AM121" s="254"/>
      <c r="AN121" s="254"/>
      <c r="AO121" s="254"/>
      <c r="AP121" s="254"/>
      <c r="AQ121" s="254"/>
      <c r="AR121" s="254"/>
      <c r="AS121" s="254"/>
      <c r="AT121" s="254"/>
      <c r="AU121" s="254"/>
      <c r="AV121" s="254"/>
      <c r="AW121" s="254"/>
      <c r="AX121" s="254"/>
      <c r="AY121" s="254"/>
      <c r="AZ121" s="254"/>
      <c r="BA121" s="254"/>
      <c r="BB121" s="254"/>
      <c r="BC121" s="254"/>
      <c r="BD121" s="254"/>
      <c r="BE121" s="254"/>
      <c r="BF121" s="538" t="str">
        <f ca="1">IF(FL1=0,"","+")</f>
        <v/>
      </c>
      <c r="BG121" s="554"/>
      <c r="BH121" s="554"/>
      <c r="BI121" s="554"/>
      <c r="BJ121" s="554"/>
      <c r="BK121" s="554"/>
      <c r="BL121" s="554"/>
      <c r="BM121" s="554"/>
      <c r="BN121" s="554"/>
      <c r="BO121" s="554"/>
      <c r="BP121" s="554"/>
      <c r="BQ121" s="554"/>
      <c r="BR121" s="554"/>
      <c r="BS121" s="554"/>
      <c r="BT121" s="554"/>
      <c r="BU121" s="554"/>
      <c r="BV121" s="554"/>
      <c r="BW121" s="554"/>
      <c r="BX121" s="554"/>
      <c r="BY121" s="554"/>
      <c r="BZ121" s="554"/>
      <c r="CA121" s="554"/>
      <c r="CB121" s="554"/>
      <c r="CC121" s="554"/>
      <c r="CD121" s="554"/>
      <c r="CE121" s="554"/>
      <c r="CF121" s="554"/>
      <c r="CG121" s="554"/>
      <c r="CH121" s="554"/>
      <c r="CI121" s="554"/>
      <c r="CJ121" s="554"/>
      <c r="CK121" s="554"/>
      <c r="CL121" s="554"/>
      <c r="CM121" s="554"/>
      <c r="CN121" s="554"/>
      <c r="CO121" s="554"/>
      <c r="CP121" s="554"/>
      <c r="CQ121" s="554"/>
      <c r="CR121" s="554"/>
      <c r="CS121" s="554"/>
      <c r="CT121" s="554"/>
      <c r="CU121" s="554"/>
      <c r="CV121" s="554"/>
      <c r="CW121" s="554"/>
      <c r="CX121" s="554"/>
      <c r="CY121" s="554"/>
      <c r="CZ121" s="554"/>
      <c r="DA121" s="554"/>
      <c r="DB121" s="554"/>
      <c r="DC121" s="554"/>
      <c r="DD121" s="554"/>
      <c r="DE121" s="554"/>
      <c r="DF121" s="554"/>
      <c r="DG121" s="554"/>
      <c r="DH121" s="554"/>
      <c r="DI121" s="554"/>
      <c r="DJ121" s="554"/>
      <c r="DK121" s="554"/>
      <c r="DL121" s="554"/>
      <c r="DM121" s="554"/>
      <c r="DN121" s="554"/>
      <c r="DO121" s="554"/>
      <c r="DP121" s="554"/>
      <c r="DQ121" s="554"/>
      <c r="DR121" s="554"/>
      <c r="DS121" s="554"/>
      <c r="DT121" s="554"/>
      <c r="DU121" s="554"/>
      <c r="DV121" s="554"/>
      <c r="DW121" s="554"/>
      <c r="DX121" s="554"/>
      <c r="DY121" s="554"/>
      <c r="DZ121" s="554"/>
      <c r="EA121" s="554"/>
      <c r="EB121" s="554"/>
      <c r="ED121" s="141"/>
      <c r="EE121" s="141"/>
      <c r="EF121" s="141"/>
      <c r="EG121" s="141"/>
      <c r="EH121" s="141"/>
      <c r="EI121" s="141"/>
      <c r="EJ121" s="141"/>
      <c r="EK121" s="141"/>
      <c r="EL121" s="141"/>
      <c r="EM121" s="141"/>
      <c r="EN121" s="141"/>
      <c r="EO121" s="141"/>
      <c r="EP121" s="141"/>
      <c r="EQ121" s="141"/>
      <c r="ER121" s="141"/>
      <c r="ES121" s="141"/>
      <c r="ET121" s="141"/>
      <c r="EU121" s="141"/>
      <c r="EV121" s="141"/>
      <c r="EW121" s="141"/>
      <c r="EX121" s="141"/>
      <c r="EY121" s="141"/>
      <c r="EZ121" s="141"/>
      <c r="FA121" s="141"/>
      <c r="FB121" s="141"/>
      <c r="FC121" s="141"/>
      <c r="FD121" s="141"/>
      <c r="FE121" s="141"/>
      <c r="FF121" s="141"/>
      <c r="FG121" s="141"/>
      <c r="FH121" s="141"/>
      <c r="FI121" s="141"/>
      <c r="FJ121" s="257"/>
      <c r="FK121" s="257"/>
      <c r="FL121" s="257"/>
      <c r="FM121" s="300"/>
      <c r="FN121" s="277"/>
      <c r="FO121" s="277"/>
      <c r="FP121" s="277"/>
      <c r="FQ121" s="277"/>
      <c r="FR121" s="277"/>
      <c r="FS121" s="277"/>
      <c r="FT121" s="277"/>
      <c r="FU121" s="277"/>
      <c r="FV121" s="277"/>
      <c r="FW121" s="277"/>
      <c r="FX121" s="277"/>
      <c r="FY121" s="259"/>
      <c r="FZ121" s="259"/>
      <c r="GA121" s="259"/>
      <c r="GB121" s="259"/>
      <c r="GC121" s="257"/>
      <c r="GD121" s="257"/>
      <c r="GE121" s="257"/>
      <c r="GF121" s="257"/>
      <c r="GG121" s="257"/>
      <c r="GH121" s="257"/>
      <c r="GI121" s="257"/>
      <c r="GJ121" s="257"/>
      <c r="GK121" s="257"/>
      <c r="GL121" s="257"/>
      <c r="GM121" s="257"/>
      <c r="GN121" s="257"/>
      <c r="GO121" s="257"/>
      <c r="GP121" s="257"/>
      <c r="GQ121" s="257"/>
      <c r="GR121" s="257"/>
      <c r="GS121" s="257"/>
      <c r="GT121" s="257"/>
      <c r="GU121" s="257"/>
      <c r="GV121" s="257"/>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row>
    <row r="122" spans="1:236" s="268" customFormat="1" ht="16.5" customHeight="1">
      <c r="A122" s="60"/>
      <c r="B122" s="69"/>
      <c r="C122" s="69"/>
      <c r="BD122" s="302" t="str">
        <f ca="1">IF(FL1=0,"","het gearceerde vak geeft aan = ")</f>
        <v/>
      </c>
      <c r="BF122" s="253" t="str">
        <f ca="1">IF(FL1=0,"","+")</f>
        <v/>
      </c>
      <c r="BG122" s="549"/>
      <c r="BH122" s="555"/>
      <c r="BI122" s="555"/>
      <c r="BJ122" s="555"/>
      <c r="BK122" s="555"/>
      <c r="BL122" s="555"/>
      <c r="BM122" s="555"/>
      <c r="BN122" s="555"/>
      <c r="BO122" s="555"/>
      <c r="BP122" s="555"/>
      <c r="BQ122" s="555"/>
      <c r="BR122" s="555"/>
      <c r="BS122" s="555"/>
      <c r="BT122" s="555"/>
      <c r="BU122" s="555"/>
      <c r="BV122" s="555"/>
      <c r="BW122" s="555"/>
      <c r="BX122" s="555"/>
      <c r="BY122" s="555"/>
      <c r="BZ122" s="555"/>
      <c r="CA122" s="555"/>
      <c r="CB122" s="555"/>
      <c r="CC122" s="555"/>
      <c r="CD122" s="555"/>
      <c r="CE122" s="555"/>
      <c r="CF122" s="555"/>
      <c r="CG122" s="555"/>
      <c r="CH122" s="555"/>
      <c r="CI122" s="555"/>
      <c r="CJ122" s="555"/>
      <c r="CK122" s="555"/>
      <c r="CL122" s="555"/>
      <c r="CM122" s="555"/>
      <c r="CN122" s="555"/>
      <c r="CO122" s="555"/>
      <c r="CP122" s="555"/>
      <c r="CQ122" s="555"/>
      <c r="CR122" s="555"/>
      <c r="CS122" s="555"/>
      <c r="CT122" s="555"/>
      <c r="CU122" s="555"/>
      <c r="CV122" s="555"/>
      <c r="CW122" s="555"/>
      <c r="CX122" s="555"/>
      <c r="CY122" s="555"/>
      <c r="CZ122" s="555"/>
      <c r="DA122" s="555"/>
      <c r="DB122" s="555"/>
      <c r="DC122" s="555"/>
      <c r="DD122" s="555"/>
      <c r="DE122" s="555"/>
      <c r="DF122" s="555"/>
      <c r="DG122" s="555"/>
      <c r="DH122" s="555"/>
      <c r="DI122" s="555"/>
      <c r="DJ122" s="555"/>
      <c r="DK122" s="555"/>
      <c r="DL122" s="555"/>
      <c r="DM122" s="555"/>
      <c r="DN122" s="555"/>
      <c r="DO122" s="555"/>
      <c r="DP122" s="555"/>
      <c r="DQ122" s="555"/>
      <c r="DR122" s="555"/>
      <c r="DS122" s="555"/>
      <c r="DT122" s="555"/>
      <c r="DU122" s="555"/>
      <c r="DV122" s="555"/>
      <c r="DW122" s="555"/>
      <c r="DX122" s="555"/>
      <c r="DY122" s="555"/>
      <c r="DZ122" s="555"/>
      <c r="EA122" s="555"/>
      <c r="EB122" s="253" t="str">
        <f ca="1">IF(FL1=0,"","+")</f>
        <v/>
      </c>
      <c r="EC122" s="304" t="s">
        <v>131</v>
      </c>
      <c r="ED122" s="255"/>
      <c r="EE122" s="279" t="str">
        <f ca="1">IF(OR(CO461="",TODAY()&gt;=Blad1!AY3),"",IF(FL1=0,"",IF(BG122="","Deze moet je nog maken.",IF(FL122=1,"Goed!","Fout!"))))</f>
        <v/>
      </c>
      <c r="EF122" s="141"/>
      <c r="EL122" s="141"/>
      <c r="EM122" s="141"/>
      <c r="EN122" s="141"/>
      <c r="EO122" s="141"/>
      <c r="EP122" s="141"/>
      <c r="EQ122" s="141"/>
      <c r="ER122" s="141"/>
      <c r="ES122" s="141"/>
      <c r="ET122" s="141"/>
      <c r="EU122" s="141"/>
      <c r="EV122" s="141"/>
      <c r="EW122" s="141"/>
      <c r="EX122" s="141"/>
      <c r="EY122" s="141"/>
      <c r="EZ122" s="141"/>
      <c r="FA122" s="141"/>
      <c r="FB122" s="141"/>
      <c r="FC122" s="141"/>
      <c r="FD122" s="141"/>
      <c r="FE122" s="141"/>
      <c r="FF122" s="141"/>
      <c r="FG122" s="141"/>
      <c r="FH122" s="141"/>
      <c r="FI122" s="141"/>
      <c r="FJ122" s="257"/>
      <c r="FK122" s="257"/>
      <c r="FL122" s="277">
        <f>IF(programma!B1="X",1,IF(BG122=FS122,1,0))</f>
        <v>0</v>
      </c>
      <c r="FM122" s="300" t="str">
        <f ca="1">IF(FK1=0,"",FS122)</f>
        <v>de totale constante kosten bij de maximale omzet</v>
      </c>
      <c r="FN122" s="277"/>
      <c r="FO122" s="277" t="s">
        <v>175</v>
      </c>
      <c r="FP122" s="277" t="s">
        <v>176</v>
      </c>
      <c r="FQ122" s="277" t="s">
        <v>177</v>
      </c>
      <c r="FR122" s="277" t="s">
        <v>183</v>
      </c>
      <c r="FS122" s="277" t="s">
        <v>184</v>
      </c>
      <c r="FT122" s="277" t="s">
        <v>185</v>
      </c>
      <c r="FU122" s="277" t="s">
        <v>174</v>
      </c>
      <c r="FV122" s="277" t="s">
        <v>178</v>
      </c>
      <c r="FW122" s="277"/>
      <c r="FX122" s="277"/>
      <c r="FY122" s="259"/>
      <c r="FZ122" s="259"/>
      <c r="GA122" s="259"/>
      <c r="GB122" s="259"/>
      <c r="GC122" s="257"/>
      <c r="GD122" s="257"/>
      <c r="GE122" s="257"/>
      <c r="GF122" s="257"/>
      <c r="GG122" s="257"/>
      <c r="GH122" s="257"/>
      <c r="GI122" s="257"/>
      <c r="GJ122" s="257"/>
      <c r="GK122" s="257"/>
      <c r="GL122" s="257"/>
      <c r="GM122" s="257"/>
      <c r="GN122" s="257"/>
      <c r="GO122" s="257"/>
      <c r="GP122" s="257"/>
      <c r="GQ122" s="257"/>
      <c r="GR122" s="257"/>
      <c r="GS122" s="257"/>
      <c r="GT122" s="257"/>
      <c r="GU122" s="257"/>
      <c r="GV122" s="257"/>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row>
    <row r="123" spans="1:236" s="268" customFormat="1" ht="3.6" customHeight="1">
      <c r="A123" s="60"/>
      <c r="B123" s="69"/>
      <c r="C123" s="69"/>
      <c r="D123" s="262"/>
      <c r="E123" s="262"/>
      <c r="F123" s="262"/>
      <c r="G123" s="262"/>
      <c r="H123" s="262"/>
      <c r="BF123" s="538" t="str">
        <f ca="1">IF(FL1=0,"","+")</f>
        <v/>
      </c>
      <c r="BG123" s="554"/>
      <c r="BH123" s="554"/>
      <c r="BI123" s="554"/>
      <c r="BJ123" s="554"/>
      <c r="BK123" s="554"/>
      <c r="BL123" s="554"/>
      <c r="BM123" s="554"/>
      <c r="BN123" s="554"/>
      <c r="BO123" s="554"/>
      <c r="BP123" s="554"/>
      <c r="BQ123" s="554"/>
      <c r="BR123" s="554"/>
      <c r="BS123" s="554"/>
      <c r="BT123" s="554"/>
      <c r="BU123" s="554"/>
      <c r="BV123" s="554"/>
      <c r="BW123" s="554"/>
      <c r="BX123" s="554"/>
      <c r="BY123" s="554"/>
      <c r="BZ123" s="554"/>
      <c r="CA123" s="554"/>
      <c r="CB123" s="554"/>
      <c r="CC123" s="554"/>
      <c r="CD123" s="554"/>
      <c r="CE123" s="554"/>
      <c r="CF123" s="554"/>
      <c r="CG123" s="554"/>
      <c r="CH123" s="554"/>
      <c r="CI123" s="554"/>
      <c r="CJ123" s="554"/>
      <c r="CK123" s="554"/>
      <c r="CL123" s="554"/>
      <c r="CM123" s="554"/>
      <c r="CN123" s="554"/>
      <c r="CO123" s="554"/>
      <c r="CP123" s="554"/>
      <c r="CQ123" s="554"/>
      <c r="CR123" s="554"/>
      <c r="CS123" s="554"/>
      <c r="CT123" s="554"/>
      <c r="CU123" s="554"/>
      <c r="CV123" s="554"/>
      <c r="CW123" s="554"/>
      <c r="CX123" s="554"/>
      <c r="CY123" s="554"/>
      <c r="CZ123" s="554"/>
      <c r="DA123" s="554"/>
      <c r="DB123" s="554"/>
      <c r="DC123" s="554"/>
      <c r="DD123" s="554"/>
      <c r="DE123" s="554"/>
      <c r="DF123" s="554"/>
      <c r="DG123" s="554"/>
      <c r="DH123" s="554"/>
      <c r="DI123" s="554"/>
      <c r="DJ123" s="554"/>
      <c r="DK123" s="554"/>
      <c r="DL123" s="554"/>
      <c r="DM123" s="554"/>
      <c r="DN123" s="554"/>
      <c r="DO123" s="554"/>
      <c r="DP123" s="554"/>
      <c r="DQ123" s="554"/>
      <c r="DR123" s="554"/>
      <c r="DS123" s="554"/>
      <c r="DT123" s="554"/>
      <c r="DU123" s="554"/>
      <c r="DV123" s="554"/>
      <c r="DW123" s="554"/>
      <c r="DX123" s="554"/>
      <c r="DY123" s="554"/>
      <c r="DZ123" s="554"/>
      <c r="EA123" s="554"/>
      <c r="EB123" s="554"/>
      <c r="ED123" s="141"/>
      <c r="EE123" s="141"/>
      <c r="EF123" s="141"/>
      <c r="EG123" s="141"/>
      <c r="EH123" s="141"/>
      <c r="EI123" s="141"/>
      <c r="EJ123" s="141"/>
      <c r="EK123" s="141"/>
      <c r="EL123" s="141"/>
      <c r="EM123" s="141"/>
      <c r="EN123" s="141"/>
      <c r="EO123" s="141"/>
      <c r="EP123" s="141"/>
      <c r="EQ123" s="141"/>
      <c r="ER123" s="141"/>
      <c r="ES123" s="141"/>
      <c r="ET123" s="141"/>
      <c r="EU123" s="141"/>
      <c r="EV123" s="141"/>
      <c r="EW123" s="141"/>
      <c r="EX123" s="141"/>
      <c r="EY123" s="141"/>
      <c r="EZ123" s="141"/>
      <c r="FA123" s="141"/>
      <c r="FB123" s="141"/>
      <c r="FC123" s="141"/>
      <c r="FD123" s="141"/>
      <c r="FE123" s="141"/>
      <c r="FF123" s="141"/>
      <c r="FG123" s="141"/>
      <c r="FH123" s="141"/>
      <c r="FI123" s="141"/>
      <c r="FJ123" s="257"/>
      <c r="FK123" s="257"/>
      <c r="FL123" s="257"/>
      <c r="FM123" s="300"/>
      <c r="FN123" s="277"/>
      <c r="FO123" s="277"/>
      <c r="FP123" s="277"/>
      <c r="FQ123" s="277"/>
      <c r="FR123" s="277"/>
      <c r="FS123" s="277"/>
      <c r="FT123" s="277"/>
      <c r="FU123" s="277"/>
      <c r="FV123" s="277"/>
      <c r="FW123" s="277"/>
      <c r="FX123" s="277"/>
      <c r="FY123" s="259"/>
      <c r="FZ123" s="259"/>
      <c r="GA123" s="259"/>
      <c r="GB123" s="259"/>
      <c r="GC123" s="257"/>
      <c r="GD123" s="257"/>
      <c r="GE123" s="257"/>
      <c r="GF123" s="257"/>
      <c r="GG123" s="257"/>
      <c r="GH123" s="257"/>
      <c r="GI123" s="257"/>
      <c r="GJ123" s="257"/>
      <c r="GK123" s="257"/>
      <c r="GL123" s="257"/>
      <c r="GM123" s="257"/>
      <c r="GN123" s="257"/>
      <c r="GO123" s="257"/>
      <c r="GP123" s="257"/>
      <c r="GQ123" s="257"/>
      <c r="GR123" s="257"/>
      <c r="GS123" s="257"/>
      <c r="GT123" s="257"/>
      <c r="GU123" s="257"/>
      <c r="GV123" s="257"/>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row>
    <row r="124" spans="1:236" ht="16.95" customHeight="1">
      <c r="A124" s="60"/>
      <c r="B124" s="69"/>
      <c r="C124" s="69"/>
      <c r="D124" s="262"/>
      <c r="E124" s="262"/>
      <c r="F124" s="262"/>
      <c r="G124" s="262"/>
      <c r="H124" s="262"/>
      <c r="I124" s="262"/>
      <c r="J124" s="262"/>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89"/>
      <c r="AS124" s="89"/>
      <c r="AT124" s="89"/>
      <c r="AU124" s="89"/>
      <c r="AV124" s="89"/>
      <c r="AW124" s="89"/>
      <c r="AX124" s="89"/>
      <c r="AY124" s="89"/>
      <c r="AZ124" s="268"/>
      <c r="BA124" s="268"/>
      <c r="BB124" s="268"/>
      <c r="BC124" s="268"/>
      <c r="BD124" s="268"/>
      <c r="BE124" s="268"/>
      <c r="BF124" s="268"/>
      <c r="BG124" s="268"/>
      <c r="BH124" s="268"/>
      <c r="BI124" s="268"/>
      <c r="BJ124" s="268"/>
      <c r="BK124" s="268"/>
      <c r="BL124" s="268"/>
      <c r="BM124" s="268"/>
      <c r="BN124" s="268"/>
      <c r="BO124" s="268"/>
      <c r="BP124" s="268"/>
      <c r="BQ124" s="268"/>
      <c r="BR124" s="268"/>
      <c r="BS124" s="268"/>
      <c r="BT124" s="268"/>
      <c r="BU124" s="268"/>
      <c r="BV124" s="268"/>
      <c r="BW124" s="268"/>
      <c r="BX124" s="268"/>
      <c r="BY124" s="268"/>
      <c r="BZ124" s="268"/>
      <c r="CA124" s="268"/>
      <c r="CB124" s="268"/>
      <c r="CC124" s="268"/>
      <c r="CD124" s="268"/>
      <c r="CE124" s="268"/>
      <c r="CF124" s="268"/>
      <c r="CG124" s="268"/>
      <c r="CH124" s="268"/>
      <c r="CI124" s="268"/>
      <c r="CJ124" s="268"/>
      <c r="CK124" s="268"/>
      <c r="CL124" s="268"/>
      <c r="CM124" s="268"/>
      <c r="CN124" s="268"/>
      <c r="CO124" s="268"/>
      <c r="CP124" s="268"/>
      <c r="CQ124" s="268"/>
      <c r="CR124" s="268"/>
      <c r="CS124" s="268"/>
      <c r="CT124" s="268"/>
      <c r="CU124" s="268"/>
      <c r="CV124" s="268"/>
      <c r="CW124" s="268"/>
      <c r="CX124" s="268"/>
      <c r="CY124" s="268"/>
      <c r="CZ124" s="268"/>
      <c r="DA124" s="268"/>
      <c r="DB124" s="268"/>
      <c r="DC124" s="268"/>
      <c r="DD124" s="268"/>
      <c r="DE124" s="268"/>
      <c r="DF124" s="268"/>
      <c r="DG124" s="268"/>
      <c r="DH124" s="268"/>
      <c r="DI124" s="268"/>
      <c r="DJ124" s="268"/>
      <c r="DK124" s="268"/>
      <c r="DL124" s="268"/>
      <c r="DM124" s="268"/>
      <c r="DN124" s="268"/>
      <c r="DO124" s="268"/>
      <c r="DP124" s="268"/>
      <c r="DQ124" s="268"/>
      <c r="DR124" s="268"/>
      <c r="DS124" s="268"/>
      <c r="DT124" s="268"/>
      <c r="DU124" s="268"/>
      <c r="DV124" s="268"/>
      <c r="DW124" s="268"/>
      <c r="DX124" s="268"/>
      <c r="DY124" s="268"/>
      <c r="DZ124" s="268"/>
      <c r="EA124" s="268"/>
      <c r="EB124" s="268"/>
      <c r="EC124" s="89"/>
      <c r="ED124" s="89"/>
      <c r="EE124" s="89"/>
      <c r="EF124" s="89"/>
      <c r="EG124" s="89"/>
      <c r="EH124" s="89"/>
      <c r="EI124" s="89"/>
      <c r="EJ124" s="89"/>
      <c r="EK124" s="89"/>
      <c r="EL124" s="89"/>
      <c r="EM124" s="89"/>
      <c r="EN124" s="89"/>
      <c r="EO124" s="89"/>
      <c r="EP124" s="89"/>
      <c r="EQ124" s="89"/>
      <c r="ER124" s="89"/>
      <c r="ES124" s="89"/>
      <c r="ET124" s="89"/>
      <c r="EU124" s="89"/>
      <c r="EV124" s="89"/>
      <c r="EW124" s="89"/>
      <c r="EX124" s="89"/>
      <c r="EY124" s="89"/>
      <c r="EZ124" s="89"/>
      <c r="FA124" s="89"/>
      <c r="FB124" s="89"/>
      <c r="FC124" s="89"/>
      <c r="FD124" s="89"/>
      <c r="FE124" s="89"/>
      <c r="FF124" s="89"/>
      <c r="FG124" s="89"/>
      <c r="FH124" s="89"/>
      <c r="FI124" s="89"/>
      <c r="FJ124" s="300"/>
      <c r="FK124" s="300"/>
      <c r="FL124" s="300"/>
      <c r="FM124" s="300"/>
      <c r="FN124" s="300"/>
      <c r="FO124" s="108"/>
      <c r="FP124" s="108"/>
      <c r="FQ124" s="108"/>
      <c r="FR124" s="108"/>
      <c r="FS124" s="108"/>
      <c r="FT124" s="108"/>
      <c r="FU124" s="108"/>
      <c r="FV124" s="108"/>
      <c r="FW124" s="108"/>
      <c r="FX124" s="301"/>
      <c r="FY124" s="259"/>
      <c r="FZ124" s="259"/>
      <c r="GA124" s="259"/>
      <c r="GB124" s="259"/>
      <c r="GC124" s="301"/>
      <c r="GD124" s="301"/>
      <c r="GE124" s="301"/>
      <c r="GF124" s="301"/>
      <c r="GG124" s="301"/>
      <c r="GH124" s="301"/>
      <c r="GI124" s="301"/>
      <c r="GJ124" s="301"/>
      <c r="GK124" s="301"/>
      <c r="GL124" s="301"/>
      <c r="GM124" s="301"/>
      <c r="GN124" s="301"/>
      <c r="GO124" s="301"/>
      <c r="GP124" s="301"/>
      <c r="GQ124" s="301"/>
      <c r="GR124" s="301"/>
      <c r="GS124" s="301"/>
      <c r="GT124" s="301"/>
      <c r="GU124" s="301"/>
      <c r="GV124" s="301"/>
      <c r="IB124" s="65"/>
    </row>
    <row r="125" spans="1:236" ht="16.95" customHeight="1">
      <c r="A125" s="60"/>
      <c r="B125" s="311" t="str">
        <f ca="1">IF(FL1=0,"",7)</f>
        <v/>
      </c>
      <c r="C125" s="69"/>
      <c r="D125" s="252" t="str">
        <f ca="1">IF(FL1=0,"","De vraaglijn bij een markt van monopolie luidt q = "&amp;FP125&amp;"p + "&amp;FO125&amp;". Hoe luidt de")</f>
        <v/>
      </c>
      <c r="E125" s="262"/>
      <c r="F125" s="262"/>
      <c r="G125" s="262"/>
      <c r="H125" s="262"/>
      <c r="I125" s="262"/>
      <c r="J125" s="262"/>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AQ125" s="89"/>
      <c r="AR125" s="89"/>
      <c r="AS125" s="89"/>
      <c r="AT125" s="89"/>
      <c r="AU125" s="89"/>
      <c r="AV125" s="89"/>
      <c r="AW125" s="89"/>
      <c r="AX125" s="89"/>
      <c r="AY125" s="89"/>
      <c r="AZ125" s="268"/>
      <c r="BA125" s="268"/>
      <c r="BB125" s="268"/>
      <c r="BC125" s="268"/>
      <c r="BD125" s="268"/>
      <c r="BE125" s="268"/>
      <c r="BF125" s="268"/>
      <c r="BG125" s="268"/>
      <c r="BH125" s="268"/>
      <c r="BI125" s="268"/>
      <c r="BJ125" s="268"/>
      <c r="BK125" s="268"/>
      <c r="BL125" s="268"/>
      <c r="BM125" s="268"/>
      <c r="BN125" s="268"/>
      <c r="BO125" s="268"/>
      <c r="BP125" s="268"/>
      <c r="BQ125" s="268"/>
      <c r="BR125" s="268"/>
      <c r="BS125" s="268"/>
      <c r="BT125" s="268"/>
      <c r="BU125" s="268"/>
      <c r="BV125" s="268"/>
      <c r="BW125" s="268"/>
      <c r="BX125" s="268"/>
      <c r="BY125" s="268"/>
      <c r="BZ125" s="268"/>
      <c r="CA125" s="268"/>
      <c r="CB125" s="268"/>
      <c r="CC125" s="268"/>
      <c r="CD125" s="268"/>
      <c r="CE125" s="268"/>
      <c r="CF125" s="268"/>
      <c r="CG125" s="268"/>
      <c r="CH125" s="268"/>
      <c r="CI125" s="268"/>
      <c r="CJ125" s="268"/>
      <c r="CK125" s="268"/>
      <c r="CL125" s="268"/>
      <c r="CM125" s="268"/>
      <c r="CN125" s="268"/>
      <c r="CO125" s="268"/>
      <c r="CP125" s="268"/>
      <c r="CQ125" s="268"/>
      <c r="CR125" s="268"/>
      <c r="CS125" s="268"/>
      <c r="CT125" s="268"/>
      <c r="CU125" s="268"/>
      <c r="CV125" s="268"/>
      <c r="CW125" s="268"/>
      <c r="CX125" s="268"/>
      <c r="CY125" s="268"/>
      <c r="CZ125" s="268"/>
      <c r="DA125" s="268"/>
      <c r="DB125" s="268"/>
      <c r="DC125" s="268"/>
      <c r="DD125" s="268"/>
      <c r="DE125" s="268"/>
      <c r="DF125" s="268"/>
      <c r="DG125" s="268"/>
      <c r="DH125" s="268"/>
      <c r="DI125" s="268"/>
      <c r="DJ125" s="268"/>
      <c r="DK125" s="268"/>
      <c r="DL125" s="268"/>
      <c r="DM125" s="268"/>
      <c r="DN125" s="268"/>
      <c r="DO125" s="268"/>
      <c r="DP125" s="268"/>
      <c r="DQ125" s="268"/>
      <c r="DR125" s="268"/>
      <c r="DS125" s="268"/>
      <c r="DT125" s="268"/>
      <c r="DU125" s="268"/>
      <c r="DV125" s="268"/>
      <c r="DW125" s="268"/>
      <c r="DX125" s="268"/>
      <c r="DY125" s="268"/>
      <c r="DZ125" s="268"/>
      <c r="EA125" s="268"/>
      <c r="EB125" s="268"/>
      <c r="EC125" s="89"/>
      <c r="ED125" s="89"/>
      <c r="EE125" s="89"/>
      <c r="EF125" s="89"/>
      <c r="EG125" s="89"/>
      <c r="EH125" s="89"/>
      <c r="EI125" s="89"/>
      <c r="EJ125" s="89"/>
      <c r="EK125" s="89"/>
      <c r="EL125" s="89"/>
      <c r="EM125" s="89"/>
      <c r="EN125" s="89"/>
      <c r="EO125" s="89"/>
      <c r="EP125" s="89"/>
      <c r="EQ125" s="89"/>
      <c r="ER125" s="89"/>
      <c r="ES125" s="89"/>
      <c r="ET125" s="89"/>
      <c r="EU125" s="89"/>
      <c r="EV125" s="89"/>
      <c r="EW125" s="89"/>
      <c r="EX125" s="89"/>
      <c r="EY125" s="89"/>
      <c r="EZ125" s="89"/>
      <c r="FA125" s="89"/>
      <c r="FB125" s="89"/>
      <c r="FC125" s="89"/>
      <c r="FD125" s="89"/>
      <c r="FE125" s="89"/>
      <c r="FF125" s="89"/>
      <c r="FG125" s="89"/>
      <c r="FH125" s="89"/>
      <c r="FI125" s="89"/>
      <c r="FJ125" s="300"/>
      <c r="FK125" s="300"/>
      <c r="FL125" s="300"/>
      <c r="FM125" s="300"/>
      <c r="FN125" s="300"/>
      <c r="FO125" s="300">
        <f ca="1">ROUND((Blad1!Z24*Blad1!AA14+Blad1!AA12)*FP125,-1)</f>
        <v>-560</v>
      </c>
      <c r="FP125" s="300">
        <f ca="1">-5*Blad1!AA17</f>
        <v>-2.5</v>
      </c>
      <c r="FQ125" s="300"/>
      <c r="FR125" s="300"/>
      <c r="FS125" s="108"/>
      <c r="FT125" s="108"/>
      <c r="FU125" s="108"/>
      <c r="FV125" s="108"/>
      <c r="FW125" s="108"/>
      <c r="FX125" s="301"/>
      <c r="FY125" s="259"/>
      <c r="FZ125" s="259"/>
      <c r="GA125" s="259"/>
      <c r="GB125" s="259"/>
      <c r="GC125" s="301"/>
      <c r="GD125" s="301"/>
      <c r="GE125" s="301"/>
      <c r="GF125" s="301"/>
      <c r="GG125" s="301"/>
      <c r="GH125" s="301"/>
      <c r="GI125" s="301"/>
      <c r="GJ125" s="301"/>
      <c r="GK125" s="301"/>
      <c r="GL125" s="301"/>
      <c r="GM125" s="301"/>
      <c r="GN125" s="301"/>
      <c r="GO125" s="301"/>
      <c r="GP125" s="301"/>
      <c r="GQ125" s="301"/>
      <c r="GR125" s="301"/>
      <c r="GS125" s="301"/>
      <c r="GT125" s="301"/>
      <c r="GU125" s="301"/>
      <c r="GV125" s="301"/>
      <c r="IB125" s="65"/>
    </row>
    <row r="126" spans="1:236" ht="16.95" customHeight="1">
      <c r="A126" s="60"/>
      <c r="B126" s="69"/>
      <c r="C126" s="69"/>
      <c r="D126" s="252" t="str">
        <f ca="1">IF(FL1=0,"","functie van de prijsafzetlijn?")</f>
        <v/>
      </c>
      <c r="E126" s="262"/>
      <c r="F126" s="262"/>
      <c r="G126" s="262"/>
      <c r="H126" s="262"/>
      <c r="I126" s="262"/>
      <c r="J126" s="262"/>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89"/>
      <c r="AR126" s="89"/>
      <c r="AS126" s="89"/>
      <c r="AT126" s="89"/>
      <c r="AU126" s="89"/>
      <c r="AV126" s="89"/>
      <c r="AW126" s="89"/>
      <c r="AX126" s="89"/>
      <c r="AY126" s="89"/>
      <c r="AZ126" s="268"/>
      <c r="BA126" s="268"/>
      <c r="BB126" s="268"/>
      <c r="BC126" s="268"/>
      <c r="BD126" s="268"/>
      <c r="BE126" s="268"/>
      <c r="BF126" s="268"/>
      <c r="BG126" s="268"/>
      <c r="BH126" s="268"/>
      <c r="BI126" s="268"/>
      <c r="BJ126" s="268"/>
      <c r="BK126" s="268"/>
      <c r="BL126" s="268"/>
      <c r="BM126" s="268"/>
      <c r="BN126" s="268"/>
      <c r="BO126" s="268"/>
      <c r="BP126" s="268"/>
      <c r="BQ126" s="268"/>
      <c r="BR126" s="268"/>
      <c r="BS126" s="268"/>
      <c r="BT126" s="268"/>
      <c r="BU126" s="268"/>
      <c r="BV126" s="268"/>
      <c r="BW126" s="268"/>
      <c r="BX126" s="268"/>
      <c r="BY126" s="268"/>
      <c r="BZ126" s="268"/>
      <c r="CA126" s="268"/>
      <c r="CB126" s="268"/>
      <c r="CC126" s="268"/>
      <c r="CD126" s="268"/>
      <c r="CE126" s="268"/>
      <c r="CF126" s="268"/>
      <c r="CG126" s="268"/>
      <c r="CH126" s="268"/>
      <c r="CI126" s="268"/>
      <c r="CJ126" s="268"/>
      <c r="CK126" s="268"/>
      <c r="CL126" s="268"/>
      <c r="CM126" s="268"/>
      <c r="CN126" s="268"/>
      <c r="CO126" s="268"/>
      <c r="CP126" s="268"/>
      <c r="CQ126" s="268"/>
      <c r="CR126" s="268"/>
      <c r="CS126" s="268"/>
      <c r="CT126" s="268"/>
      <c r="CU126" s="268"/>
      <c r="CV126" s="268"/>
      <c r="CW126" s="268"/>
      <c r="CX126" s="268"/>
      <c r="CY126" s="268"/>
      <c r="CZ126" s="268"/>
      <c r="DA126" s="268"/>
      <c r="DB126" s="268"/>
      <c r="DC126" s="268"/>
      <c r="DD126" s="268"/>
      <c r="DE126" s="268"/>
      <c r="DF126" s="268"/>
      <c r="DG126" s="268"/>
      <c r="DH126" s="268"/>
      <c r="DI126" s="268"/>
      <c r="DJ126" s="268"/>
      <c r="DK126" s="268"/>
      <c r="DL126" s="268"/>
      <c r="DM126" s="268"/>
      <c r="DN126" s="268"/>
      <c r="DO126" s="268"/>
      <c r="DP126" s="268"/>
      <c r="DQ126" s="268"/>
      <c r="DR126" s="268"/>
      <c r="DS126" s="268"/>
      <c r="DT126" s="268"/>
      <c r="DU126" s="268"/>
      <c r="DV126" s="268"/>
      <c r="DW126" s="268"/>
      <c r="DX126" s="268"/>
      <c r="DY126" s="268"/>
      <c r="DZ126" s="268"/>
      <c r="EA126" s="268"/>
      <c r="EB126" s="268"/>
      <c r="EC126" s="89"/>
      <c r="ED126" s="89"/>
      <c r="EE126" s="89"/>
      <c r="EF126" s="89"/>
      <c r="EG126" s="89"/>
      <c r="EH126" s="89"/>
      <c r="EI126" s="89"/>
      <c r="EJ126" s="89"/>
      <c r="EK126" s="89"/>
      <c r="EL126" s="89"/>
      <c r="EM126" s="89"/>
      <c r="EN126" s="89"/>
      <c r="EO126" s="89"/>
      <c r="EP126" s="89"/>
      <c r="EQ126" s="89"/>
      <c r="ER126" s="89"/>
      <c r="ES126" s="89"/>
      <c r="ET126" s="89"/>
      <c r="EU126" s="89"/>
      <c r="EV126" s="89"/>
      <c r="EW126" s="89"/>
      <c r="EX126" s="89"/>
      <c r="EY126" s="89"/>
      <c r="EZ126" s="89"/>
      <c r="FA126" s="89"/>
      <c r="FB126" s="89"/>
      <c r="FC126" s="89"/>
      <c r="FD126" s="89"/>
      <c r="FE126" s="89"/>
      <c r="FF126" s="89"/>
      <c r="FG126" s="89"/>
      <c r="FH126" s="89"/>
      <c r="FI126" s="89"/>
      <c r="FJ126" s="300"/>
      <c r="FK126" s="300"/>
      <c r="FL126" s="300"/>
      <c r="FM126" s="300"/>
      <c r="FN126" s="300"/>
      <c r="FO126" s="108"/>
      <c r="FP126" s="108"/>
      <c r="FQ126" s="108"/>
      <c r="FR126" s="108"/>
      <c r="FS126" s="108"/>
      <c r="FT126" s="108"/>
      <c r="FU126" s="108"/>
      <c r="FV126" s="108"/>
      <c r="FW126" s="108"/>
      <c r="FX126" s="301"/>
      <c r="FY126" s="259"/>
      <c r="FZ126" s="259"/>
      <c r="GA126" s="259"/>
      <c r="GB126" s="259"/>
      <c r="GC126" s="301"/>
      <c r="GD126" s="301"/>
      <c r="GE126" s="301"/>
      <c r="GF126" s="301"/>
      <c r="GG126" s="301"/>
      <c r="GH126" s="301"/>
      <c r="GI126" s="301"/>
      <c r="GJ126" s="301"/>
      <c r="GK126" s="301"/>
      <c r="GL126" s="301"/>
      <c r="GM126" s="301"/>
      <c r="GN126" s="301"/>
      <c r="GO126" s="301"/>
      <c r="GP126" s="301"/>
      <c r="GQ126" s="301"/>
      <c r="GR126" s="301"/>
      <c r="GS126" s="301"/>
      <c r="GT126" s="301"/>
      <c r="GU126" s="301"/>
      <c r="GV126" s="301"/>
      <c r="IB126" s="65"/>
    </row>
    <row r="127" spans="1:236" ht="13.2" customHeight="1">
      <c r="A127" s="60"/>
      <c r="B127" s="69"/>
      <c r="C127" s="69"/>
      <c r="D127" s="262"/>
      <c r="E127" s="262"/>
      <c r="F127" s="262"/>
      <c r="G127" s="262"/>
      <c r="H127" s="262"/>
      <c r="I127" s="262"/>
      <c r="J127" s="262"/>
      <c r="K127" s="89"/>
      <c r="L127" s="262"/>
      <c r="M127" s="262"/>
      <c r="N127" s="262"/>
      <c r="O127" s="262"/>
      <c r="P127" s="262"/>
      <c r="Q127" s="262"/>
      <c r="R127" s="262"/>
      <c r="S127" s="262"/>
      <c r="T127" s="262"/>
      <c r="U127" s="262"/>
      <c r="V127" s="262"/>
      <c r="W127" s="262"/>
      <c r="X127" s="262"/>
      <c r="Y127" s="262"/>
      <c r="Z127" s="262"/>
      <c r="AA127" s="262"/>
      <c r="AB127" s="262"/>
      <c r="AC127" s="262"/>
      <c r="AD127" s="262"/>
      <c r="AE127" s="262"/>
      <c r="AF127" s="262"/>
      <c r="AG127" s="262"/>
      <c r="AH127" s="262"/>
      <c r="AI127" s="262"/>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c r="BJ127" s="89"/>
      <c r="BK127" s="89"/>
      <c r="BL127" s="89"/>
      <c r="BM127" s="89"/>
      <c r="BN127" s="89"/>
      <c r="BO127" s="89"/>
      <c r="BP127" s="89"/>
      <c r="BQ127" s="89"/>
      <c r="BR127" s="89"/>
      <c r="BS127" s="89"/>
      <c r="BT127" s="89"/>
      <c r="BU127" s="89"/>
      <c r="BV127" s="89"/>
      <c r="BW127" s="89"/>
      <c r="BX127" s="89"/>
      <c r="BY127" s="89"/>
      <c r="BZ127" s="89"/>
      <c r="CA127" s="89"/>
      <c r="CB127" s="89"/>
      <c r="CC127" s="89"/>
      <c r="CD127" s="89"/>
      <c r="CE127" s="89"/>
      <c r="CF127" s="89"/>
      <c r="CG127" s="89"/>
      <c r="CH127" s="89"/>
      <c r="CI127" s="89"/>
      <c r="CJ127" s="89"/>
      <c r="CK127" s="89"/>
      <c r="CL127" s="89"/>
      <c r="CM127" s="89"/>
      <c r="CN127" s="89"/>
      <c r="CO127" s="89"/>
      <c r="CP127" s="89"/>
      <c r="CQ127" s="89"/>
      <c r="CR127" s="89"/>
      <c r="CS127" s="89"/>
      <c r="CT127" s="89"/>
      <c r="DT127" s="89"/>
      <c r="DU127" s="89"/>
      <c r="DV127" s="89"/>
      <c r="DW127" s="89"/>
      <c r="DX127" s="89"/>
      <c r="DY127" s="89"/>
      <c r="DZ127" s="89"/>
      <c r="EA127" s="89"/>
      <c r="EB127" s="89"/>
      <c r="EC127" s="89"/>
      <c r="ED127" s="89"/>
      <c r="EE127" s="89"/>
      <c r="EF127" s="89"/>
      <c r="EG127" s="89"/>
      <c r="EH127" s="89"/>
      <c r="EI127" s="89"/>
      <c r="EJ127" s="89"/>
      <c r="EK127" s="89"/>
      <c r="EL127" s="89"/>
      <c r="EM127" s="89"/>
      <c r="EN127" s="89"/>
      <c r="EO127" s="89"/>
      <c r="EP127" s="89"/>
      <c r="EQ127" s="89"/>
      <c r="ER127" s="89"/>
      <c r="ES127" s="89"/>
      <c r="ET127" s="89"/>
      <c r="EU127" s="89"/>
      <c r="EV127" s="89"/>
      <c r="EW127" s="89"/>
      <c r="EX127" s="89"/>
      <c r="EY127" s="89"/>
      <c r="EZ127" s="89"/>
      <c r="FA127" s="89"/>
      <c r="FB127" s="89"/>
      <c r="FC127" s="89"/>
      <c r="FD127" s="89"/>
      <c r="FE127" s="89"/>
      <c r="FF127" s="89"/>
      <c r="FG127" s="89"/>
      <c r="FH127" s="89"/>
      <c r="FI127" s="89"/>
      <c r="FJ127" s="96"/>
      <c r="FK127" s="96"/>
      <c r="FL127" s="96"/>
      <c r="FM127" s="300"/>
      <c r="FN127" s="300"/>
      <c r="FO127" s="108"/>
      <c r="FP127" s="108"/>
      <c r="FQ127" s="108"/>
      <c r="FR127" s="108"/>
      <c r="FS127" s="108"/>
      <c r="FT127" s="108"/>
      <c r="FU127" s="108"/>
      <c r="FV127" s="108"/>
      <c r="FW127" s="108"/>
      <c r="FX127" s="301"/>
      <c r="FY127" s="259"/>
      <c r="FZ127" s="259"/>
      <c r="GA127" s="259"/>
      <c r="GB127" s="259"/>
      <c r="GC127" s="301"/>
      <c r="GD127" s="301"/>
      <c r="GE127" s="301"/>
      <c r="GF127" s="301"/>
      <c r="GG127" s="301"/>
      <c r="GH127" s="301"/>
      <c r="GI127" s="301"/>
      <c r="GJ127" s="301"/>
      <c r="GK127" s="301"/>
      <c r="GL127" s="301"/>
      <c r="GM127" s="301"/>
      <c r="GN127" s="301"/>
      <c r="GO127" s="301"/>
      <c r="GP127" s="301"/>
      <c r="GQ127" s="301"/>
      <c r="GR127" s="301"/>
      <c r="GS127" s="301"/>
      <c r="GT127" s="301"/>
      <c r="GU127" s="301"/>
      <c r="GV127" s="301"/>
      <c r="IB127" s="65"/>
    </row>
    <row r="128" spans="1:236" ht="3.6" customHeight="1">
      <c r="A128" s="60"/>
      <c r="B128" s="69"/>
      <c r="C128" s="69"/>
      <c r="D128" s="262"/>
      <c r="E128" s="262"/>
      <c r="F128" s="262"/>
      <c r="G128" s="262"/>
      <c r="H128" s="262"/>
      <c r="I128" s="262"/>
      <c r="J128" s="262"/>
      <c r="K128" s="89"/>
      <c r="L128" s="262"/>
      <c r="M128" s="262"/>
      <c r="N128" s="262"/>
      <c r="O128" s="262"/>
      <c r="P128" s="262"/>
      <c r="Q128" s="262"/>
      <c r="R128" s="262"/>
      <c r="S128" s="262"/>
      <c r="T128" s="262"/>
      <c r="U128" s="262"/>
      <c r="V128" s="262"/>
      <c r="W128" s="262"/>
      <c r="X128" s="262"/>
      <c r="Y128" s="262"/>
      <c r="Z128" s="262"/>
      <c r="AA128" s="262"/>
      <c r="AB128" s="262"/>
      <c r="AC128" s="262"/>
      <c r="AD128" s="268"/>
      <c r="AE128" s="268"/>
      <c r="AF128" s="268"/>
      <c r="AG128" s="268"/>
      <c r="AH128" s="268"/>
      <c r="AI128" s="268"/>
      <c r="AJ128" s="268"/>
      <c r="AK128" s="268"/>
      <c r="AL128" s="268"/>
      <c r="AM128" s="268"/>
      <c r="AN128" s="268"/>
      <c r="AO128" s="268"/>
      <c r="AP128" s="268"/>
      <c r="AQ128" s="268"/>
      <c r="AR128" s="268"/>
      <c r="AS128" s="268"/>
      <c r="AT128" s="268"/>
      <c r="AU128" s="268"/>
      <c r="AV128" s="268"/>
      <c r="AW128" s="268"/>
      <c r="AX128" s="268"/>
      <c r="AY128" s="268"/>
      <c r="AZ128" s="268"/>
      <c r="BA128" s="268"/>
      <c r="BB128" s="268"/>
      <c r="BC128" s="268"/>
      <c r="BD128" s="268"/>
      <c r="BE128" s="268"/>
      <c r="BF128" s="268"/>
      <c r="BG128" s="268"/>
      <c r="BH128" s="268"/>
      <c r="BI128" s="268"/>
      <c r="BJ128" s="268"/>
      <c r="BK128" s="268"/>
      <c r="BL128" s="268"/>
      <c r="BM128" s="268"/>
      <c r="BN128" s="268"/>
      <c r="BO128" s="268"/>
      <c r="BP128" s="268"/>
      <c r="BQ128" s="268"/>
      <c r="BR128" s="268"/>
      <c r="BS128" s="268"/>
      <c r="BT128" s="268"/>
      <c r="BU128" s="268"/>
      <c r="BV128" s="268"/>
      <c r="BW128" s="268"/>
      <c r="BX128" s="268"/>
      <c r="BY128" s="268"/>
      <c r="BZ128" s="268"/>
      <c r="CA128" s="268"/>
      <c r="CB128" s="268"/>
      <c r="CC128" s="268"/>
      <c r="CD128" s="268"/>
      <c r="CE128" s="268"/>
      <c r="CF128" s="268"/>
      <c r="CG128" s="268"/>
      <c r="CH128" s="268"/>
      <c r="CI128" s="262"/>
      <c r="CJ128" s="262"/>
      <c r="CK128" s="262"/>
      <c r="CL128" s="262"/>
      <c r="CM128" s="262"/>
      <c r="CN128" s="262"/>
      <c r="CO128" s="89"/>
      <c r="CP128" s="89"/>
      <c r="CQ128" s="89"/>
      <c r="CR128" s="89"/>
      <c r="CS128" s="89"/>
      <c r="CT128" s="89"/>
      <c r="CU128" s="538" t="str">
        <f ca="1">IF(FL1=0,"","+")</f>
        <v/>
      </c>
      <c r="CV128" s="538"/>
      <c r="CW128" s="538"/>
      <c r="CX128" s="538"/>
      <c r="CY128" s="538"/>
      <c r="CZ128" s="538"/>
      <c r="DA128" s="538"/>
      <c r="DB128" s="538"/>
      <c r="DC128" s="538"/>
      <c r="DD128" s="538"/>
      <c r="DE128" s="538"/>
      <c r="DF128" s="538"/>
      <c r="DG128" s="538"/>
      <c r="DH128" s="538"/>
      <c r="DI128" s="538"/>
      <c r="DJ128" s="538"/>
      <c r="DK128" s="538"/>
      <c r="DL128" s="538"/>
      <c r="DM128" s="538"/>
      <c r="DN128" s="538"/>
      <c r="DO128" s="538"/>
      <c r="DP128" s="538"/>
      <c r="DQ128" s="538"/>
      <c r="DR128" s="538"/>
      <c r="DS128" s="538"/>
      <c r="DT128" s="532"/>
      <c r="DU128" s="532"/>
      <c r="DV128" s="532"/>
      <c r="DW128" s="532"/>
      <c r="DX128" s="532"/>
      <c r="DY128" s="532"/>
      <c r="DZ128" s="532"/>
      <c r="EA128" s="532"/>
      <c r="EB128" s="532"/>
      <c r="EC128" s="254"/>
      <c r="ED128" s="254"/>
      <c r="EE128" s="254"/>
      <c r="EF128" s="254"/>
      <c r="EG128" s="254"/>
      <c r="EH128" s="89"/>
      <c r="EI128" s="89"/>
      <c r="EJ128" s="89"/>
      <c r="EK128" s="89"/>
      <c r="EL128" s="89"/>
      <c r="EM128" s="89"/>
      <c r="EN128" s="89"/>
      <c r="EO128" s="89"/>
      <c r="EP128" s="89"/>
      <c r="EQ128" s="89"/>
      <c r="ER128" s="89"/>
      <c r="ES128" s="89"/>
      <c r="ET128" s="89"/>
      <c r="EU128" s="89"/>
      <c r="EV128" s="89"/>
      <c r="EW128" s="89"/>
      <c r="EX128" s="89"/>
      <c r="EY128" s="89"/>
      <c r="EZ128" s="89"/>
      <c r="FA128" s="89"/>
      <c r="FB128" s="89"/>
      <c r="FC128" s="89"/>
      <c r="FD128" s="89"/>
      <c r="FE128" s="89"/>
      <c r="FF128" s="89"/>
      <c r="FG128" s="89"/>
      <c r="FH128" s="89"/>
      <c r="FI128" s="89"/>
      <c r="FJ128" s="96"/>
      <c r="FK128" s="96"/>
      <c r="FL128" s="96"/>
      <c r="FM128" s="300"/>
      <c r="FN128" s="300"/>
      <c r="FO128" s="108"/>
      <c r="FP128" s="108"/>
      <c r="FQ128" s="108"/>
      <c r="FR128" s="108"/>
      <c r="FS128" s="108"/>
      <c r="FT128" s="108"/>
      <c r="FU128" s="108"/>
      <c r="FV128" s="108"/>
      <c r="FW128" s="108"/>
      <c r="FX128" s="301"/>
      <c r="FY128" s="259"/>
      <c r="FZ128" s="259"/>
      <c r="GA128" s="259"/>
      <c r="GB128" s="259"/>
      <c r="GC128" s="301"/>
      <c r="GD128" s="301"/>
      <c r="GE128" s="301"/>
      <c r="GF128" s="301"/>
      <c r="GG128" s="301"/>
      <c r="GH128" s="301"/>
      <c r="GI128" s="301"/>
      <c r="GJ128" s="301"/>
      <c r="GK128" s="301"/>
      <c r="GL128" s="301"/>
      <c r="GM128" s="301"/>
      <c r="GN128" s="301"/>
      <c r="GO128" s="301"/>
      <c r="GP128" s="301"/>
      <c r="GQ128" s="301"/>
      <c r="GR128" s="301"/>
      <c r="GS128" s="301"/>
      <c r="GT128" s="301"/>
      <c r="GU128" s="301"/>
      <c r="GV128" s="301"/>
      <c r="IB128" s="65"/>
    </row>
    <row r="129" spans="1:236" ht="16.5" customHeight="1">
      <c r="A129" s="60"/>
      <c r="B129" s="69"/>
      <c r="C129" s="69"/>
      <c r="D129" s="268"/>
      <c r="E129" s="262"/>
      <c r="F129" s="262"/>
      <c r="G129" s="262"/>
      <c r="H129" s="262"/>
      <c r="I129" s="262"/>
      <c r="J129" s="262"/>
      <c r="K129" s="89"/>
      <c r="L129" s="262"/>
      <c r="M129" s="262"/>
      <c r="N129" s="262"/>
      <c r="O129" s="262"/>
      <c r="P129" s="262"/>
      <c r="Q129" s="262"/>
      <c r="R129" s="262"/>
      <c r="S129" s="262"/>
      <c r="T129" s="262"/>
      <c r="U129" s="262"/>
      <c r="V129" s="262"/>
      <c r="W129" s="262"/>
      <c r="X129" s="262"/>
      <c r="Y129" s="262"/>
      <c r="Z129" s="262"/>
      <c r="AA129" s="262"/>
      <c r="AB129" s="262"/>
      <c r="AC129" s="262"/>
      <c r="AD129" s="268"/>
      <c r="AE129" s="268"/>
      <c r="AF129" s="268"/>
      <c r="AG129" s="268"/>
      <c r="AH129" s="268"/>
      <c r="AI129" s="268"/>
      <c r="AJ129" s="268"/>
      <c r="AK129" s="268"/>
      <c r="AL129" s="268"/>
      <c r="AM129" s="268"/>
      <c r="AN129" s="268"/>
      <c r="AO129" s="268"/>
      <c r="AP129" s="268"/>
      <c r="AQ129" s="268"/>
      <c r="AR129" s="268"/>
      <c r="AS129" s="268"/>
      <c r="AT129" s="268"/>
      <c r="AU129" s="268"/>
      <c r="AV129" s="268"/>
      <c r="AW129" s="268"/>
      <c r="AX129" s="268"/>
      <c r="AY129" s="268"/>
      <c r="AZ129" s="268"/>
      <c r="BA129" s="268"/>
      <c r="BB129" s="268"/>
      <c r="BC129" s="268"/>
      <c r="BD129" s="268"/>
      <c r="BE129" s="268"/>
      <c r="BF129" s="268"/>
      <c r="BG129" s="268"/>
      <c r="BH129" s="268"/>
      <c r="BI129" s="268"/>
      <c r="BJ129" s="268"/>
      <c r="BK129" s="268"/>
      <c r="BL129" s="268"/>
      <c r="BM129" s="268"/>
      <c r="BN129" s="268"/>
      <c r="BO129" s="268"/>
      <c r="BP129" s="268"/>
      <c r="BQ129" s="268"/>
      <c r="BR129" s="268"/>
      <c r="BS129" s="268"/>
      <c r="BT129" s="268"/>
      <c r="BU129" s="268"/>
      <c r="BV129" s="268"/>
      <c r="BW129" s="268"/>
      <c r="BX129" s="268"/>
      <c r="BY129" s="268"/>
      <c r="BZ129" s="268"/>
      <c r="CA129" s="268"/>
      <c r="CB129" s="268"/>
      <c r="CC129" s="268"/>
      <c r="CD129" s="268"/>
      <c r="CE129" s="268"/>
      <c r="CF129" s="268"/>
      <c r="CG129" s="268"/>
      <c r="CH129" s="268"/>
      <c r="CI129" s="262"/>
      <c r="CJ129" s="262"/>
      <c r="CK129" s="262"/>
      <c r="CL129" s="262"/>
      <c r="CM129" s="262"/>
      <c r="CN129" s="262"/>
      <c r="CO129" s="89"/>
      <c r="CP129" s="89"/>
      <c r="CQ129" s="89"/>
      <c r="CR129" s="89"/>
      <c r="CS129" s="302" t="str">
        <f ca="1">IF(FL1=0,"","De functie van de prijsafzetlijn luidt:")</f>
        <v/>
      </c>
      <c r="CT129" s="303"/>
      <c r="CU129" s="253" t="str">
        <f ca="1">IF(FL1=0,"","+")</f>
        <v/>
      </c>
      <c r="CV129" s="563"/>
      <c r="CW129" s="563"/>
      <c r="CX129" s="563"/>
      <c r="CY129" s="563"/>
      <c r="CZ129" s="563"/>
      <c r="DA129" s="563"/>
      <c r="DB129" s="563"/>
      <c r="DC129" s="563"/>
      <c r="DD129" s="563"/>
      <c r="DE129" s="563"/>
      <c r="DF129" s="563"/>
      <c r="DG129" s="563"/>
      <c r="DH129" s="563"/>
      <c r="DI129" s="563"/>
      <c r="DJ129" s="563"/>
      <c r="DK129" s="563"/>
      <c r="DL129" s="563"/>
      <c r="DM129" s="563"/>
      <c r="DN129" s="563"/>
      <c r="DO129" s="563"/>
      <c r="DP129" s="563"/>
      <c r="DQ129" s="563"/>
      <c r="DR129" s="563"/>
      <c r="DS129" s="564"/>
      <c r="DT129" s="564"/>
      <c r="DU129" s="564"/>
      <c r="DV129" s="564"/>
      <c r="DW129" s="564"/>
      <c r="DX129" s="564"/>
      <c r="DY129" s="564"/>
      <c r="DZ129" s="564"/>
      <c r="EA129" s="564"/>
      <c r="EB129" s="253" t="str">
        <f ca="1">IF(FL1=0,"","+")</f>
        <v/>
      </c>
      <c r="EC129" s="304" t="s">
        <v>131</v>
      </c>
      <c r="ED129" s="141"/>
      <c r="EE129" s="279" t="str">
        <f ca="1">IF(OR(CO461="",TODAY()&gt;=Blad1!AY3),"",IF(FL1=0,"",IF(CV129="","Deze moet je nog maken.",IF(FL129=1,"Goed!","Fout!"))))</f>
        <v/>
      </c>
      <c r="EF129" s="254"/>
      <c r="EG129" s="254"/>
      <c r="EH129" s="89"/>
      <c r="EI129" s="89"/>
      <c r="EJ129" s="89"/>
      <c r="EK129" s="89"/>
      <c r="EL129" s="89"/>
      <c r="EM129" s="89"/>
      <c r="EN129" s="89"/>
      <c r="EO129" s="89"/>
      <c r="EP129" s="89"/>
      <c r="EQ129" s="89"/>
      <c r="ER129" s="89"/>
      <c r="ES129" s="89"/>
      <c r="ET129" s="89"/>
      <c r="EU129" s="89"/>
      <c r="EV129" s="89"/>
      <c r="EW129" s="89"/>
      <c r="EX129" s="89"/>
      <c r="EY129" s="89"/>
      <c r="EZ129" s="89"/>
      <c r="FA129" s="89"/>
      <c r="FB129" s="89"/>
      <c r="FC129" s="89"/>
      <c r="FD129" s="89"/>
      <c r="FE129" s="89"/>
      <c r="FF129" s="89"/>
      <c r="FG129" s="89"/>
      <c r="FH129" s="89"/>
      <c r="FI129" s="89"/>
      <c r="FJ129" s="96"/>
      <c r="FK129" s="96"/>
      <c r="FL129" s="300">
        <f ca="1">IF(programma!B1="X",1,IF(FL1=0,0,IF(CV129=FT129,1,0)))</f>
        <v>0</v>
      </c>
      <c r="FM129" s="300" t="str">
        <f ca="1">IF(FK1=0,"",FT129)</f>
        <v>p = -0,4q + 224</v>
      </c>
      <c r="FN129" s="300"/>
      <c r="FO129" s="300" t="str">
        <f ca="1">"q = "&amp;2*FP125&amp;"p + "&amp;-FO125&amp;""</f>
        <v>q = -5p + 560</v>
      </c>
      <c r="FP129" s="300" t="str">
        <f ca="1">"q = "&amp;FP125/2&amp;"p + "&amp;-FO125&amp;""</f>
        <v>q = -1,25p + 560</v>
      </c>
      <c r="FQ129" s="300" t="str">
        <f ca="1">"p = "&amp;2*FP125&amp;"q + "&amp;-FO125&amp;""</f>
        <v>p = -5q + 560</v>
      </c>
      <c r="FR129" s="300" t="str">
        <f ca="1">"p = "&amp;FP125/2&amp;"q + "&amp;-FO125&amp;""</f>
        <v>p = -1,25q + 560</v>
      </c>
      <c r="FS129" s="300" t="str">
        <f ca="1">"p = "&amp;1/FP125&amp;"q + "&amp;-FO125&amp;""</f>
        <v>p = -0,4q + 560</v>
      </c>
      <c r="FT129" s="300" t="str">
        <f ca="1">"p = "&amp;1/FP125&amp;"q + "&amp;FO125/FP125&amp;""</f>
        <v>p = -0,4q + 224</v>
      </c>
      <c r="FU129" s="300" t="str">
        <f ca="1">"p = "&amp;2/FP125&amp;"q + "&amp;-FO125&amp;""</f>
        <v>p = -0,8q + 560</v>
      </c>
      <c r="FV129" s="300" t="str">
        <f ca="1">"p = "&amp;2/FP125&amp;"q + "&amp;FO125/FP125&amp;""</f>
        <v>p = -0,8q + 224</v>
      </c>
      <c r="FW129" s="108"/>
      <c r="FX129" s="301"/>
      <c r="FY129" s="259"/>
      <c r="FZ129" s="259"/>
      <c r="GA129" s="259"/>
      <c r="GB129" s="259"/>
      <c r="GC129" s="301"/>
      <c r="GD129" s="301"/>
      <c r="GE129" s="301"/>
      <c r="GF129" s="301"/>
      <c r="GG129" s="301"/>
      <c r="GH129" s="301"/>
      <c r="GI129" s="301"/>
      <c r="GJ129" s="301"/>
      <c r="GK129" s="301"/>
      <c r="GL129" s="301"/>
      <c r="GM129" s="301"/>
      <c r="GN129" s="301"/>
      <c r="GO129" s="301"/>
      <c r="GP129" s="301"/>
      <c r="GQ129" s="301"/>
      <c r="GR129" s="301"/>
      <c r="GS129" s="301"/>
      <c r="GT129" s="301"/>
      <c r="GU129" s="301"/>
      <c r="GV129" s="301"/>
      <c r="IB129" s="65"/>
    </row>
    <row r="130" spans="1:236" ht="3.6" customHeight="1">
      <c r="A130" s="60"/>
      <c r="B130" s="69"/>
      <c r="C130" s="69"/>
      <c r="D130" s="141"/>
      <c r="E130" s="262"/>
      <c r="F130" s="262"/>
      <c r="G130" s="262"/>
      <c r="H130" s="262"/>
      <c r="I130" s="262"/>
      <c r="J130" s="262"/>
      <c r="K130" s="89"/>
      <c r="L130" s="262"/>
      <c r="M130" s="262"/>
      <c r="N130" s="262"/>
      <c r="O130" s="262"/>
      <c r="P130" s="262"/>
      <c r="Q130" s="262"/>
      <c r="R130" s="262"/>
      <c r="S130" s="262"/>
      <c r="T130" s="262"/>
      <c r="U130" s="262"/>
      <c r="V130" s="262"/>
      <c r="W130" s="262"/>
      <c r="X130" s="262"/>
      <c r="Y130" s="262"/>
      <c r="Z130" s="262"/>
      <c r="AA130" s="262"/>
      <c r="AB130" s="262"/>
      <c r="AC130" s="262"/>
      <c r="AD130" s="268"/>
      <c r="AE130" s="268"/>
      <c r="AF130" s="268"/>
      <c r="AG130" s="268"/>
      <c r="AH130" s="268"/>
      <c r="AI130" s="268"/>
      <c r="AJ130" s="268"/>
      <c r="AK130" s="268"/>
      <c r="AL130" s="268"/>
      <c r="AM130" s="268"/>
      <c r="AN130" s="268"/>
      <c r="AO130" s="268"/>
      <c r="AP130" s="268"/>
      <c r="AQ130" s="268"/>
      <c r="AR130" s="268"/>
      <c r="AS130" s="268"/>
      <c r="AT130" s="268"/>
      <c r="AU130" s="268"/>
      <c r="AV130" s="268"/>
      <c r="AW130" s="268"/>
      <c r="AX130" s="268"/>
      <c r="AY130" s="268"/>
      <c r="AZ130" s="268"/>
      <c r="BA130" s="268"/>
      <c r="BB130" s="268"/>
      <c r="BC130" s="268"/>
      <c r="BD130" s="268"/>
      <c r="BE130" s="268"/>
      <c r="BF130" s="268"/>
      <c r="BG130" s="268"/>
      <c r="BH130" s="268"/>
      <c r="BI130" s="268"/>
      <c r="BJ130" s="268"/>
      <c r="BK130" s="268"/>
      <c r="BL130" s="268"/>
      <c r="BM130" s="268"/>
      <c r="BN130" s="268"/>
      <c r="BO130" s="268"/>
      <c r="BP130" s="268"/>
      <c r="BQ130" s="268"/>
      <c r="BR130" s="268"/>
      <c r="BS130" s="268"/>
      <c r="BT130" s="268"/>
      <c r="BU130" s="268"/>
      <c r="BV130" s="268"/>
      <c r="BW130" s="268"/>
      <c r="BX130" s="268"/>
      <c r="BY130" s="268"/>
      <c r="BZ130" s="268"/>
      <c r="CA130" s="268"/>
      <c r="CB130" s="268"/>
      <c r="CC130" s="268"/>
      <c r="CD130" s="268"/>
      <c r="CE130" s="268"/>
      <c r="CF130" s="268"/>
      <c r="CG130" s="268"/>
      <c r="CH130" s="268"/>
      <c r="CI130" s="262"/>
      <c r="CJ130" s="262"/>
      <c r="CK130" s="262"/>
      <c r="CL130" s="262"/>
      <c r="CM130" s="262"/>
      <c r="CN130" s="262"/>
      <c r="CO130" s="89"/>
      <c r="CP130" s="89"/>
      <c r="CQ130" s="89"/>
      <c r="CR130" s="89"/>
      <c r="CS130" s="89"/>
      <c r="CT130" s="89"/>
      <c r="CU130" s="538" t="str">
        <f ca="1">IF(FL1=0,"","+")</f>
        <v/>
      </c>
      <c r="CV130" s="538"/>
      <c r="CW130" s="538"/>
      <c r="CX130" s="538"/>
      <c r="CY130" s="538"/>
      <c r="CZ130" s="538"/>
      <c r="DA130" s="538"/>
      <c r="DB130" s="538"/>
      <c r="DC130" s="538"/>
      <c r="DD130" s="538"/>
      <c r="DE130" s="538"/>
      <c r="DF130" s="538"/>
      <c r="DG130" s="538"/>
      <c r="DH130" s="538"/>
      <c r="DI130" s="538"/>
      <c r="DJ130" s="538"/>
      <c r="DK130" s="538"/>
      <c r="DL130" s="538"/>
      <c r="DM130" s="538"/>
      <c r="DN130" s="538"/>
      <c r="DO130" s="538"/>
      <c r="DP130" s="538"/>
      <c r="DQ130" s="538"/>
      <c r="DR130" s="538"/>
      <c r="DS130" s="538"/>
      <c r="DT130" s="522"/>
      <c r="DU130" s="522"/>
      <c r="DV130" s="522"/>
      <c r="DW130" s="522"/>
      <c r="DX130" s="522"/>
      <c r="DY130" s="522"/>
      <c r="DZ130" s="522"/>
      <c r="EA130" s="522"/>
      <c r="EB130" s="522"/>
      <c r="EC130" s="254"/>
      <c r="ED130" s="254"/>
      <c r="EE130" s="254"/>
      <c r="EF130" s="254"/>
      <c r="EG130" s="254"/>
      <c r="EH130" s="89"/>
      <c r="EI130" s="89"/>
      <c r="EJ130" s="89"/>
      <c r="EK130" s="89"/>
      <c r="EL130" s="89"/>
      <c r="EM130" s="89"/>
      <c r="EN130" s="89"/>
      <c r="EO130" s="89"/>
      <c r="EP130" s="89"/>
      <c r="EQ130" s="89"/>
      <c r="ER130" s="89"/>
      <c r="ES130" s="89"/>
      <c r="ET130" s="89"/>
      <c r="EU130" s="89"/>
      <c r="EV130" s="89"/>
      <c r="EW130" s="89"/>
      <c r="EX130" s="89"/>
      <c r="EY130" s="89"/>
      <c r="EZ130" s="89"/>
      <c r="FA130" s="89"/>
      <c r="FB130" s="89"/>
      <c r="FC130" s="89"/>
      <c r="FD130" s="89"/>
      <c r="FE130" s="89"/>
      <c r="FF130" s="89"/>
      <c r="FG130" s="89"/>
      <c r="FH130" s="89"/>
      <c r="FI130" s="89"/>
      <c r="FJ130" s="96"/>
      <c r="FK130" s="96" t="s">
        <v>163</v>
      </c>
      <c r="FL130" s="96"/>
      <c r="FM130" s="300"/>
      <c r="FN130" s="300"/>
      <c r="FO130" s="108"/>
      <c r="FP130" s="108"/>
      <c r="FQ130" s="108"/>
      <c r="FR130" s="108"/>
      <c r="FS130" s="108"/>
      <c r="FT130" s="108"/>
      <c r="FU130" s="108"/>
      <c r="FV130" s="108"/>
      <c r="FW130" s="108"/>
      <c r="FX130" s="301"/>
      <c r="FY130" s="259"/>
      <c r="FZ130" s="259"/>
      <c r="GA130" s="259"/>
      <c r="GB130" s="259"/>
      <c r="GC130" s="301"/>
      <c r="GD130" s="301"/>
      <c r="GE130" s="301"/>
      <c r="GF130" s="301"/>
      <c r="GG130" s="301"/>
      <c r="GH130" s="301"/>
      <c r="GI130" s="301"/>
      <c r="GJ130" s="301"/>
      <c r="GK130" s="301"/>
      <c r="GL130" s="301"/>
      <c r="GM130" s="301"/>
      <c r="GN130" s="301"/>
      <c r="GO130" s="301"/>
      <c r="GP130" s="301"/>
      <c r="GQ130" s="301"/>
      <c r="GR130" s="301"/>
      <c r="GS130" s="301"/>
      <c r="GT130" s="301"/>
      <c r="GU130" s="301"/>
      <c r="GV130" s="301"/>
      <c r="IB130" s="65"/>
    </row>
    <row r="131" spans="1:236" s="268" customFormat="1" ht="21" customHeight="1">
      <c r="A131" s="60"/>
      <c r="B131" s="69"/>
      <c r="C131" s="69"/>
      <c r="D131" s="262"/>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262"/>
      <c r="BD131" s="262"/>
      <c r="BE131" s="262"/>
      <c r="BF131" s="262"/>
      <c r="BG131" s="262"/>
      <c r="BH131" s="262"/>
      <c r="BI131" s="262"/>
      <c r="BJ131" s="262"/>
      <c r="BK131" s="262"/>
      <c r="BL131" s="262"/>
      <c r="BM131" s="262"/>
      <c r="BN131" s="262"/>
      <c r="BO131" s="262"/>
      <c r="BP131" s="262"/>
      <c r="BQ131" s="262"/>
      <c r="BR131" s="262"/>
      <c r="BS131" s="262"/>
      <c r="BT131" s="262"/>
      <c r="BU131" s="262"/>
      <c r="BV131" s="141"/>
      <c r="BW131" s="141"/>
      <c r="BX131" s="141"/>
      <c r="BY131" s="141"/>
      <c r="BZ131" s="141"/>
      <c r="CA131" s="141"/>
      <c r="CB131" s="141"/>
      <c r="CC131" s="141"/>
      <c r="CD131" s="141"/>
      <c r="CE131" s="141"/>
      <c r="CF131" s="141"/>
      <c r="CG131" s="141"/>
      <c r="CH131" s="141"/>
      <c r="CI131" s="141"/>
      <c r="CJ131" s="141"/>
      <c r="CK131" s="141"/>
      <c r="EK131" s="141"/>
      <c r="EL131" s="141"/>
      <c r="EM131" s="141"/>
      <c r="EN131" s="141"/>
      <c r="EO131" s="141"/>
      <c r="EP131" s="141"/>
      <c r="EQ131" s="141"/>
      <c r="ER131" s="141"/>
      <c r="ES131" s="141"/>
      <c r="ET131" s="141"/>
      <c r="EU131" s="141"/>
      <c r="EV131" s="141"/>
      <c r="EW131" s="141"/>
      <c r="EX131" s="141"/>
      <c r="EY131" s="141"/>
      <c r="EZ131" s="141"/>
      <c r="FA131" s="141"/>
      <c r="FB131" s="141"/>
      <c r="FC131" s="141"/>
      <c r="FD131" s="141"/>
      <c r="FE131" s="141"/>
      <c r="FF131" s="141"/>
      <c r="FG131" s="141"/>
      <c r="FH131" s="141"/>
      <c r="FI131" s="141"/>
      <c r="FJ131" s="96"/>
      <c r="FK131" s="96"/>
      <c r="FL131" s="96"/>
      <c r="FM131" s="86"/>
      <c r="FN131" s="86"/>
      <c r="FO131" s="86"/>
      <c r="FP131" s="86"/>
      <c r="FQ131" s="86"/>
      <c r="FR131" s="86"/>
      <c r="FS131" s="86"/>
      <c r="FT131" s="86"/>
      <c r="FU131" s="86"/>
      <c r="FV131" s="86"/>
      <c r="FW131" s="86"/>
      <c r="FX131" s="86"/>
      <c r="FY131" s="259"/>
      <c r="FZ131" s="259"/>
      <c r="GA131" s="259"/>
      <c r="GB131" s="259"/>
      <c r="GC131" s="259"/>
      <c r="GD131" s="259"/>
      <c r="GE131" s="259"/>
      <c r="GF131" s="259"/>
      <c r="GG131" s="259"/>
      <c r="GH131" s="259"/>
      <c r="GI131" s="259"/>
      <c r="GJ131" s="259"/>
      <c r="GK131" s="86"/>
      <c r="GL131" s="86"/>
      <c r="GM131" s="86"/>
      <c r="GN131" s="86"/>
      <c r="GO131" s="86"/>
      <c r="GP131" s="377"/>
      <c r="GQ131" s="377"/>
      <c r="GR131" s="377"/>
      <c r="GS131" s="377"/>
      <c r="GT131" s="377"/>
      <c r="GU131" s="377"/>
      <c r="GV131" s="377"/>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row>
    <row r="132" spans="1:236" ht="18.75" customHeight="1">
      <c r="A132" s="60"/>
      <c r="B132" s="69"/>
      <c r="C132" s="69"/>
      <c r="D132" s="270" t="str">
        <f ca="1">IF(FL1=0,"","Opgaven TVK, TCK en GVK en GCK")</f>
        <v/>
      </c>
      <c r="E132" s="264"/>
      <c r="F132" s="264"/>
      <c r="G132" s="264"/>
      <c r="H132" s="264"/>
      <c r="I132" s="264"/>
      <c r="J132" s="265"/>
      <c r="K132" s="265"/>
      <c r="L132" s="265"/>
      <c r="M132" s="265"/>
      <c r="N132" s="265"/>
      <c r="O132" s="265"/>
      <c r="P132" s="265"/>
      <c r="Q132" s="265"/>
      <c r="R132" s="265"/>
      <c r="S132" s="265"/>
      <c r="T132" s="265"/>
      <c r="U132" s="265"/>
      <c r="V132" s="265"/>
      <c r="W132" s="265"/>
      <c r="X132" s="265"/>
      <c r="Y132" s="265"/>
      <c r="Z132" s="265"/>
      <c r="AA132" s="265"/>
      <c r="AB132" s="265"/>
      <c r="AC132" s="265"/>
      <c r="AD132" s="265"/>
      <c r="AE132" s="265"/>
      <c r="AF132" s="265"/>
      <c r="AG132" s="265"/>
      <c r="AH132" s="265"/>
      <c r="AI132" s="265"/>
      <c r="AJ132" s="265"/>
      <c r="AK132" s="265"/>
      <c r="AL132" s="265"/>
      <c r="AM132" s="265"/>
      <c r="AN132" s="265"/>
      <c r="AO132" s="265"/>
      <c r="AP132" s="265"/>
      <c r="AQ132" s="265"/>
      <c r="AR132" s="265"/>
      <c r="AS132" s="265"/>
      <c r="AT132" s="265"/>
      <c r="AU132" s="265"/>
      <c r="AV132" s="265"/>
      <c r="AW132" s="265"/>
      <c r="AX132" s="265"/>
      <c r="AY132" s="265"/>
      <c r="AZ132" s="265"/>
      <c r="BA132" s="265"/>
      <c r="BB132" s="265"/>
      <c r="BC132" s="265"/>
      <c r="BD132" s="265"/>
      <c r="BE132" s="265"/>
      <c r="BF132" s="265"/>
      <c r="BG132" s="265"/>
      <c r="BH132" s="265"/>
      <c r="BI132" s="265"/>
      <c r="BJ132" s="265"/>
      <c r="BK132" s="265"/>
      <c r="BL132" s="265"/>
      <c r="BM132" s="265"/>
      <c r="BN132" s="265"/>
      <c r="BO132" s="265"/>
      <c r="BP132" s="265"/>
      <c r="BQ132" s="265"/>
      <c r="BR132" s="265"/>
      <c r="BS132" s="265"/>
      <c r="BT132" s="265"/>
      <c r="BU132" s="265"/>
      <c r="BV132" s="265"/>
      <c r="BW132" s="265"/>
      <c r="BX132" s="265"/>
      <c r="BY132" s="265"/>
      <c r="BZ132" s="265"/>
      <c r="CA132" s="265"/>
      <c r="CB132" s="265"/>
      <c r="CC132" s="265"/>
      <c r="CD132" s="265"/>
      <c r="CE132" s="265"/>
      <c r="CF132" s="265"/>
      <c r="CG132" s="265"/>
      <c r="CH132" s="265"/>
      <c r="CI132" s="265"/>
      <c r="CJ132" s="265"/>
      <c r="CK132" s="265"/>
      <c r="CL132" s="265"/>
      <c r="CM132" s="265"/>
      <c r="CN132" s="265"/>
      <c r="CO132" s="265"/>
      <c r="CP132" s="265"/>
      <c r="CQ132" s="265"/>
      <c r="CR132" s="265"/>
      <c r="CS132" s="265"/>
      <c r="CT132" s="265"/>
      <c r="CU132" s="265"/>
      <c r="CV132" s="265"/>
      <c r="CW132" s="265"/>
      <c r="CX132" s="265"/>
      <c r="CY132" s="265"/>
      <c r="CZ132" s="265"/>
      <c r="DA132" s="265"/>
      <c r="DB132" s="265"/>
      <c r="DC132" s="265"/>
      <c r="DD132" s="265"/>
      <c r="DE132" s="265"/>
      <c r="DF132" s="265"/>
      <c r="DG132" s="265"/>
      <c r="DH132" s="265"/>
      <c r="DI132" s="265"/>
      <c r="DJ132" s="265"/>
      <c r="DK132" s="265"/>
      <c r="DL132" s="268"/>
      <c r="DM132" s="268"/>
      <c r="DN132" s="268"/>
      <c r="DO132" s="268"/>
      <c r="DP132" s="268"/>
      <c r="DQ132" s="268"/>
      <c r="DR132" s="268"/>
      <c r="DS132" s="268"/>
      <c r="DT132" s="268"/>
      <c r="DU132" s="268"/>
      <c r="DV132" s="268"/>
      <c r="DW132" s="268"/>
      <c r="DX132" s="268"/>
      <c r="DY132" s="268"/>
      <c r="DZ132" s="268"/>
      <c r="EA132" s="268"/>
      <c r="EB132" s="268"/>
      <c r="EC132" s="265"/>
      <c r="ED132" s="265"/>
      <c r="EE132" s="265"/>
      <c r="EF132" s="265"/>
      <c r="EG132" s="265"/>
      <c r="EH132" s="265"/>
      <c r="EI132" s="265"/>
      <c r="EJ132" s="265"/>
      <c r="EK132" s="265"/>
      <c r="EL132" s="265"/>
      <c r="EM132" s="265"/>
      <c r="EN132" s="265"/>
      <c r="EO132" s="265"/>
      <c r="EP132" s="265"/>
      <c r="EQ132" s="265"/>
      <c r="ER132" s="265"/>
      <c r="ES132" s="265"/>
      <c r="ET132" s="265"/>
      <c r="EU132" s="265"/>
      <c r="EV132" s="265"/>
      <c r="EW132" s="265"/>
      <c r="EX132" s="265"/>
      <c r="EY132" s="265"/>
      <c r="EZ132" s="265"/>
      <c r="FA132" s="265"/>
      <c r="FB132" s="265"/>
      <c r="FC132" s="265"/>
      <c r="FD132" s="265"/>
      <c r="FE132" s="265"/>
      <c r="FF132" s="265"/>
      <c r="FG132" s="268"/>
      <c r="FH132" s="271"/>
      <c r="FI132" s="141"/>
      <c r="FJ132" s="257"/>
      <c r="FK132" s="257"/>
      <c r="FL132" s="257"/>
      <c r="FM132" s="257"/>
      <c r="FN132" s="258"/>
      <c r="FO132" s="257"/>
      <c r="FP132" s="257"/>
      <c r="FQ132" s="257"/>
      <c r="FR132" s="257"/>
      <c r="FS132" s="257"/>
      <c r="FT132" s="257"/>
      <c r="FU132" s="257"/>
      <c r="FV132" s="269"/>
      <c r="FW132" s="269"/>
      <c r="FX132" s="259"/>
      <c r="FY132" s="259"/>
      <c r="FZ132" s="259"/>
      <c r="GA132" s="259"/>
      <c r="GB132" s="259"/>
      <c r="GC132" s="259"/>
      <c r="GD132" s="259"/>
      <c r="GE132" s="259"/>
      <c r="GF132" s="259"/>
      <c r="GG132" s="259"/>
      <c r="GH132" s="259"/>
      <c r="GI132" s="259"/>
      <c r="GJ132" s="259"/>
      <c r="GK132" s="259"/>
      <c r="GL132" s="259"/>
      <c r="GM132" s="259"/>
      <c r="GN132" s="259"/>
      <c r="GO132" s="259"/>
      <c r="GP132" s="259"/>
      <c r="GQ132" s="259"/>
      <c r="GR132" s="259"/>
      <c r="GS132" s="259"/>
      <c r="GT132" s="259"/>
      <c r="GU132" s="259"/>
      <c r="GV132" s="259"/>
    </row>
    <row r="133" spans="1:236" s="268" customFormat="1" ht="16.2" customHeight="1">
      <c r="A133" s="60"/>
      <c r="B133" s="69"/>
      <c r="C133" s="69"/>
      <c r="D133" s="262"/>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262"/>
      <c r="BD133" s="262"/>
      <c r="BE133" s="262"/>
      <c r="BF133" s="262"/>
      <c r="BG133" s="262"/>
      <c r="BH133" s="262"/>
      <c r="BI133" s="262"/>
      <c r="BJ133" s="262"/>
      <c r="BK133" s="262"/>
      <c r="BL133" s="262"/>
      <c r="BM133" s="262"/>
      <c r="BN133" s="262"/>
      <c r="BO133" s="262"/>
      <c r="BP133" s="262"/>
      <c r="BQ133" s="262"/>
      <c r="BR133" s="262"/>
      <c r="BS133" s="262"/>
      <c r="BT133" s="262"/>
      <c r="BU133" s="262"/>
      <c r="BV133" s="141"/>
      <c r="BW133" s="141"/>
      <c r="BX133" s="141"/>
      <c r="BY133" s="141"/>
      <c r="BZ133" s="141"/>
      <c r="CA133" s="141"/>
      <c r="CB133" s="141"/>
      <c r="CC133" s="141"/>
      <c r="CD133" s="141"/>
      <c r="CE133" s="141"/>
      <c r="CF133" s="141"/>
      <c r="CG133" s="141"/>
      <c r="CH133" s="141"/>
      <c r="CI133" s="141"/>
      <c r="CJ133" s="141"/>
      <c r="CK133" s="141"/>
      <c r="EK133" s="141"/>
      <c r="EL133" s="141"/>
      <c r="EM133" s="141"/>
      <c r="EN133" s="141"/>
      <c r="EO133" s="141"/>
      <c r="EP133" s="141"/>
      <c r="EQ133" s="141"/>
      <c r="ER133" s="141"/>
      <c r="ES133" s="141"/>
      <c r="ET133" s="141"/>
      <c r="EU133" s="141"/>
      <c r="EV133" s="141"/>
      <c r="EW133" s="141"/>
      <c r="EX133" s="141"/>
      <c r="EY133" s="141"/>
      <c r="EZ133" s="141"/>
      <c r="FA133" s="141"/>
      <c r="FB133" s="141"/>
      <c r="FC133" s="141"/>
      <c r="FD133" s="141"/>
      <c r="FE133" s="141"/>
      <c r="FF133" s="141"/>
      <c r="FG133" s="141"/>
      <c r="FH133" s="141"/>
      <c r="FI133" s="141"/>
      <c r="FJ133" s="96"/>
      <c r="FK133" s="96"/>
      <c r="FL133" s="96"/>
      <c r="FM133" s="86"/>
      <c r="FN133" s="86"/>
      <c r="FO133" s="86"/>
      <c r="FP133" s="86"/>
      <c r="FQ133" s="86"/>
      <c r="FR133" s="86"/>
      <c r="FS133" s="86"/>
      <c r="FT133" s="86"/>
      <c r="FU133" s="86"/>
      <c r="FV133" s="86"/>
      <c r="FW133" s="86"/>
      <c r="FX133" s="86"/>
      <c r="FY133" s="259"/>
      <c r="FZ133" s="259"/>
      <c r="GA133" s="259"/>
      <c r="GB133" s="259"/>
      <c r="GC133" s="377"/>
      <c r="GD133" s="377"/>
      <c r="GE133" s="377"/>
      <c r="GF133" s="377"/>
      <c r="GG133" s="377"/>
      <c r="GH133" s="377"/>
      <c r="GI133" s="377"/>
      <c r="GJ133" s="377"/>
      <c r="GK133" s="377"/>
      <c r="GL133" s="377"/>
      <c r="GM133" s="377"/>
      <c r="GN133" s="377"/>
      <c r="GO133" s="86"/>
      <c r="GP133" s="377"/>
      <c r="GQ133" s="377"/>
      <c r="GR133" s="377"/>
      <c r="GS133" s="377"/>
      <c r="GT133" s="377"/>
      <c r="GU133" s="377"/>
      <c r="GV133" s="377"/>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row>
    <row r="134" spans="1:236" ht="16.95" customHeight="1">
      <c r="A134" s="60"/>
      <c r="B134" s="311" t="str">
        <f ca="1">IF(FL1=0,"",8)</f>
        <v/>
      </c>
      <c r="C134" s="69"/>
      <c r="D134" s="252" t="str">
        <f ca="1">IF(FL1=0,"","Hieronder zijn vier vlakken aangegeven in een situatie van prijszetting bij")</f>
        <v/>
      </c>
      <c r="E134" s="262"/>
      <c r="F134" s="262"/>
      <c r="G134" s="262"/>
      <c r="H134" s="262"/>
      <c r="I134" s="262"/>
      <c r="J134" s="262"/>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c r="AR134" s="89"/>
      <c r="AS134" s="89"/>
      <c r="AT134" s="89"/>
      <c r="AU134" s="89"/>
      <c r="AV134" s="89"/>
      <c r="AW134" s="89"/>
      <c r="AX134" s="89"/>
      <c r="AY134" s="89"/>
      <c r="AZ134" s="89"/>
      <c r="BA134" s="89"/>
      <c r="BB134" s="89"/>
      <c r="BC134" s="89"/>
      <c r="BD134" s="89"/>
      <c r="BE134" s="89"/>
      <c r="BF134" s="89"/>
      <c r="BG134" s="89"/>
      <c r="BH134" s="89"/>
      <c r="BI134" s="89"/>
      <c r="BJ134" s="89"/>
      <c r="BK134" s="89"/>
      <c r="BL134" s="89"/>
      <c r="BM134" s="89"/>
      <c r="BN134" s="89"/>
      <c r="BO134" s="89"/>
      <c r="BP134" s="89"/>
      <c r="BQ134" s="89"/>
      <c r="BR134" s="89"/>
      <c r="BS134" s="89"/>
      <c r="BT134" s="89"/>
      <c r="BU134" s="89"/>
      <c r="BV134" s="89"/>
      <c r="BW134" s="89"/>
      <c r="BX134" s="89"/>
      <c r="BY134" s="89"/>
      <c r="BZ134" s="89"/>
      <c r="CA134" s="89"/>
      <c r="CB134" s="89"/>
      <c r="CC134" s="89"/>
      <c r="CD134" s="89"/>
      <c r="CE134" s="89"/>
      <c r="CF134" s="89"/>
      <c r="CG134" s="89"/>
      <c r="CH134" s="89"/>
      <c r="CI134" s="89"/>
      <c r="CJ134" s="89"/>
      <c r="CK134" s="89"/>
      <c r="CL134" s="89"/>
      <c r="CM134" s="268"/>
      <c r="CN134" s="268"/>
      <c r="CO134" s="268"/>
      <c r="CP134" s="268"/>
      <c r="CQ134" s="89"/>
      <c r="CR134" s="89"/>
      <c r="CS134" s="89"/>
      <c r="CT134" s="89"/>
      <c r="CU134" s="89"/>
      <c r="CV134" s="89"/>
      <c r="CW134" s="89"/>
      <c r="CX134" s="89"/>
      <c r="CY134" s="89"/>
      <c r="CZ134" s="89"/>
      <c r="DA134" s="89"/>
      <c r="DB134" s="89"/>
      <c r="DC134" s="89"/>
      <c r="DD134" s="89"/>
      <c r="DE134" s="89"/>
      <c r="DF134" s="89"/>
      <c r="DG134" s="89"/>
      <c r="DH134" s="89"/>
      <c r="DI134" s="89"/>
      <c r="DJ134" s="89"/>
      <c r="DK134" s="89"/>
      <c r="DL134" s="89"/>
      <c r="DM134" s="89"/>
      <c r="DN134" s="89"/>
      <c r="DO134" s="89"/>
      <c r="DP134" s="89"/>
      <c r="DQ134" s="89"/>
      <c r="DR134" s="89"/>
      <c r="DS134" s="89"/>
      <c r="DT134" s="89"/>
      <c r="DU134" s="89"/>
      <c r="DV134" s="89"/>
      <c r="DW134" s="89"/>
      <c r="DX134" s="89"/>
      <c r="DY134" s="141"/>
      <c r="DZ134" s="141"/>
      <c r="EA134" s="141"/>
      <c r="EB134" s="141"/>
      <c r="EC134" s="141"/>
      <c r="ED134" s="141"/>
      <c r="EE134" s="141"/>
      <c r="EF134" s="89"/>
      <c r="EG134" s="89"/>
      <c r="EH134" s="89"/>
      <c r="EI134" s="89"/>
      <c r="EJ134" s="89"/>
      <c r="EK134" s="89"/>
      <c r="EL134" s="89"/>
      <c r="EM134" s="89"/>
      <c r="EN134" s="89"/>
      <c r="EO134" s="89"/>
      <c r="EP134" s="89"/>
      <c r="EQ134" s="89"/>
      <c r="ER134" s="89"/>
      <c r="ES134" s="89"/>
      <c r="ET134" s="89"/>
      <c r="EU134" s="89"/>
      <c r="EV134" s="89"/>
      <c r="EW134" s="89"/>
      <c r="EX134" s="89"/>
      <c r="EY134" s="89"/>
      <c r="EZ134" s="89"/>
      <c r="FA134" s="89"/>
      <c r="FB134" s="89"/>
      <c r="FC134" s="89"/>
      <c r="FD134" s="89"/>
      <c r="FE134" s="89"/>
      <c r="FF134" s="89"/>
      <c r="FG134" s="89"/>
      <c r="FH134" s="89"/>
      <c r="FI134" s="89"/>
      <c r="FJ134" s="96"/>
      <c r="FK134" s="96"/>
      <c r="FL134" s="96"/>
      <c r="FM134" s="96"/>
      <c r="FN134" s="96">
        <f>CEILING(2.5*Blad1!AB1+Blad1!AB31*0.01,1)+0.5</f>
        <v>3.5</v>
      </c>
      <c r="FO134" s="300">
        <f>CEILING(Blad1!AB31*1000+Blad1!AB10*Blad1!AB1,100)</f>
        <v>31100</v>
      </c>
      <c r="FP134" s="300">
        <f>IF(AND(FN134&gt;6-0.01,FN134&lt;6+0.01),4.5,IF(FN134&gt;7,6.5,FN134))</f>
        <v>3.5</v>
      </c>
      <c r="FQ134" s="300">
        <f>FP134*FO134</f>
        <v>108850</v>
      </c>
      <c r="FR134" s="300">
        <f>IF(CEILING(FP134*Blad1!AB14,1)&lt;5,5,CEILING(FP134*Blad1!AB14,1))</f>
        <v>49</v>
      </c>
      <c r="FS134" s="300" t="str">
        <f>IF(AND(FR134&gt;11-0.1,FR134&lt;11+0.1),"elf",IF(AND(FR134&gt;10-0.1,FR134&lt;10+0.1),"tien",IF(AND(FR134&gt;9-0.1,FR134&lt;9+0.1),"negen",IF(AND(FR134&gt;8-0.1,FR134&lt;8+0.1),"acht",IF(AND(FR134&gt;7-0.1,FR134&lt;7+0.1),"zeven",IF(AND(FR134&gt;6-0.1,FR134&lt;6+0.1),"zes","vijf"))))))</f>
        <v>vijf</v>
      </c>
      <c r="FT134" s="300"/>
      <c r="FU134" s="300"/>
      <c r="FV134" s="108"/>
      <c r="FW134" s="108"/>
      <c r="FX134" s="301"/>
      <c r="FY134" s="259"/>
      <c r="FZ134" s="259"/>
      <c r="GA134" s="259"/>
      <c r="GB134" s="259"/>
      <c r="GC134" s="377"/>
      <c r="GD134" s="377"/>
      <c r="GE134" s="377"/>
      <c r="GF134" s="377"/>
      <c r="GG134" s="377"/>
      <c r="GH134" s="377"/>
      <c r="GI134" s="377"/>
      <c r="GJ134" s="377"/>
      <c r="GK134" s="377"/>
      <c r="GL134" s="377"/>
      <c r="GM134" s="377"/>
      <c r="GN134" s="377"/>
      <c r="GO134" s="301"/>
      <c r="GP134" s="301"/>
      <c r="GQ134" s="301"/>
      <c r="GR134" s="301"/>
      <c r="GS134" s="301"/>
      <c r="GT134" s="301"/>
      <c r="GU134" s="301"/>
      <c r="GV134" s="301"/>
      <c r="IB134" s="65"/>
    </row>
    <row r="135" spans="1:236" ht="16.95" customHeight="1">
      <c r="A135" s="60"/>
      <c r="B135" s="272"/>
      <c r="C135" s="69"/>
      <c r="D135" s="252" t="str">
        <f ca="1">IF(FL1=0,"","de hoeveelheid ''x''. Wat stelt elk vlak voor?")</f>
        <v/>
      </c>
      <c r="E135" s="262"/>
      <c r="F135" s="262"/>
      <c r="G135" s="262"/>
      <c r="H135" s="262"/>
      <c r="I135" s="262"/>
      <c r="J135" s="262"/>
      <c r="K135" s="89"/>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c r="AK135" s="89"/>
      <c r="AL135" s="89"/>
      <c r="AM135" s="89"/>
      <c r="AN135" s="89"/>
      <c r="AO135" s="89"/>
      <c r="AP135" s="89"/>
      <c r="AQ135" s="89"/>
      <c r="AR135" s="89"/>
      <c r="AS135" s="89"/>
      <c r="AT135" s="89"/>
      <c r="AU135" s="89"/>
      <c r="AV135" s="89"/>
      <c r="AW135" s="89"/>
      <c r="AX135" s="89"/>
      <c r="AY135" s="89"/>
      <c r="AZ135" s="89"/>
      <c r="BA135" s="89"/>
      <c r="BB135" s="89"/>
      <c r="BC135" s="89"/>
      <c r="BD135" s="89"/>
      <c r="BE135" s="89"/>
      <c r="BF135" s="89"/>
      <c r="BG135" s="89"/>
      <c r="BH135" s="89"/>
      <c r="BI135" s="89"/>
      <c r="BJ135" s="89"/>
      <c r="BK135" s="89"/>
      <c r="BL135" s="89"/>
      <c r="BM135" s="89"/>
      <c r="BN135" s="89"/>
      <c r="BO135" s="89"/>
      <c r="BP135" s="89"/>
      <c r="BQ135" s="89"/>
      <c r="BR135" s="89"/>
      <c r="BS135" s="89"/>
      <c r="BT135" s="89"/>
      <c r="BU135" s="89"/>
      <c r="BV135" s="89"/>
      <c r="BW135" s="89"/>
      <c r="BX135" s="89"/>
      <c r="BY135" s="89"/>
      <c r="BZ135" s="89"/>
      <c r="CA135" s="89"/>
      <c r="CB135" s="89"/>
      <c r="CC135" s="89"/>
      <c r="CD135" s="89"/>
      <c r="CE135" s="89"/>
      <c r="CF135" s="89"/>
      <c r="CG135" s="89"/>
      <c r="CH135" s="89"/>
      <c r="CI135" s="89"/>
      <c r="CJ135" s="89"/>
      <c r="CK135" s="89"/>
      <c r="CL135" s="89"/>
      <c r="CM135" s="268"/>
      <c r="CN135" s="268"/>
      <c r="CO135" s="268"/>
      <c r="CP135" s="268"/>
      <c r="CQ135" s="89"/>
      <c r="CR135" s="89"/>
      <c r="CS135" s="89"/>
      <c r="CT135" s="89"/>
      <c r="CU135" s="89"/>
      <c r="CV135" s="89"/>
      <c r="CW135" s="89"/>
      <c r="CX135" s="89"/>
      <c r="CY135" s="89"/>
      <c r="CZ135" s="89"/>
      <c r="DA135" s="89"/>
      <c r="DB135" s="89"/>
      <c r="DC135" s="89"/>
      <c r="DD135" s="89"/>
      <c r="DE135" s="89"/>
      <c r="DF135" s="89"/>
      <c r="DG135" s="89"/>
      <c r="DH135" s="89"/>
      <c r="DI135" s="89"/>
      <c r="DJ135" s="89"/>
      <c r="DK135" s="89"/>
      <c r="DL135" s="89"/>
      <c r="DM135" s="89"/>
      <c r="DN135" s="89"/>
      <c r="DO135" s="89"/>
      <c r="DP135" s="89"/>
      <c r="DQ135" s="89"/>
      <c r="DR135" s="89"/>
      <c r="DS135" s="89"/>
      <c r="DT135" s="89"/>
      <c r="DU135" s="89"/>
      <c r="DV135" s="89"/>
      <c r="DW135" s="89"/>
      <c r="DX135" s="89"/>
      <c r="DY135" s="141"/>
      <c r="DZ135" s="141"/>
      <c r="EA135" s="141"/>
      <c r="EB135" s="141"/>
      <c r="EC135" s="141"/>
      <c r="ED135" s="141"/>
      <c r="EE135" s="141"/>
      <c r="EF135" s="89"/>
      <c r="EG135" s="89"/>
      <c r="EH135" s="89"/>
      <c r="EI135" s="89"/>
      <c r="EJ135" s="89"/>
      <c r="EK135" s="89"/>
      <c r="EL135" s="89"/>
      <c r="EM135" s="89"/>
      <c r="EN135" s="89"/>
      <c r="EO135" s="89"/>
      <c r="EP135" s="89"/>
      <c r="EQ135" s="89"/>
      <c r="ER135" s="89"/>
      <c r="ES135" s="89"/>
      <c r="ET135" s="89"/>
      <c r="EU135" s="89"/>
      <c r="EV135" s="89"/>
      <c r="EW135" s="89"/>
      <c r="EX135" s="89"/>
      <c r="EY135" s="89"/>
      <c r="EZ135" s="89"/>
      <c r="FA135" s="89"/>
      <c r="FB135" s="89"/>
      <c r="FC135" s="89"/>
      <c r="FD135" s="89"/>
      <c r="FE135" s="89"/>
      <c r="FF135" s="89"/>
      <c r="FG135" s="89"/>
      <c r="FH135" s="89"/>
      <c r="FI135" s="89"/>
      <c r="FJ135" s="96"/>
      <c r="FK135" s="96"/>
      <c r="FL135" s="96"/>
      <c r="FM135" s="96"/>
      <c r="FN135" s="96"/>
      <c r="FO135" s="300"/>
      <c r="FP135" s="300"/>
      <c r="FQ135" s="300"/>
      <c r="FR135" s="300"/>
      <c r="FS135" s="300"/>
      <c r="FT135" s="300"/>
      <c r="FU135" s="300"/>
      <c r="FV135" s="108"/>
      <c r="FW135" s="108"/>
      <c r="FX135" s="301"/>
      <c r="FY135" s="259"/>
      <c r="FZ135" s="259"/>
      <c r="GA135" s="259"/>
      <c r="GB135" s="259"/>
      <c r="GC135" s="377"/>
      <c r="GD135" s="377"/>
      <c r="GE135" s="377"/>
      <c r="GF135" s="377"/>
      <c r="GG135" s="377"/>
      <c r="GH135" s="377"/>
      <c r="GI135" s="377"/>
      <c r="GJ135" s="377"/>
      <c r="GK135" s="377"/>
      <c r="GL135" s="377"/>
      <c r="GM135" s="377"/>
      <c r="GN135" s="377"/>
      <c r="GO135" s="301"/>
      <c r="GP135" s="301"/>
      <c r="GQ135" s="301"/>
      <c r="GR135" s="301"/>
      <c r="GS135" s="301"/>
      <c r="GT135" s="301"/>
      <c r="GU135" s="301"/>
      <c r="GV135" s="301"/>
      <c r="IB135" s="65"/>
    </row>
    <row r="136" spans="1:236" customFormat="1" ht="16.5" customHeight="1">
      <c r="A136" s="1"/>
      <c r="B136" s="3"/>
      <c r="C136" s="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43"/>
      <c r="FE136" s="43"/>
      <c r="FF136" s="43"/>
      <c r="FG136" s="43"/>
      <c r="FH136" s="43"/>
      <c r="FI136" s="43"/>
      <c r="FJ136" s="96"/>
      <c r="FK136" s="96"/>
      <c r="FL136" s="96"/>
      <c r="FM136" s="96"/>
      <c r="FN136" s="48"/>
      <c r="FO136" s="48"/>
      <c r="FP136" s="48"/>
      <c r="FQ136" s="48"/>
      <c r="FR136" s="48"/>
      <c r="FS136" s="48"/>
      <c r="FT136" s="47"/>
      <c r="FU136" s="47"/>
      <c r="FV136" s="47"/>
      <c r="FW136" s="47"/>
      <c r="FX136" s="47"/>
      <c r="FY136" s="259"/>
      <c r="FZ136" s="259"/>
      <c r="GA136" s="259"/>
      <c r="GB136" s="259"/>
      <c r="GC136" s="377"/>
      <c r="GD136" s="377"/>
      <c r="GE136" s="377"/>
      <c r="GF136" s="377"/>
      <c r="GG136" s="377"/>
      <c r="GH136" s="377"/>
      <c r="GI136" s="377"/>
      <c r="GJ136" s="377"/>
      <c r="GK136" s="377"/>
      <c r="GL136" s="377"/>
      <c r="GM136" s="377"/>
      <c r="GN136" s="377"/>
      <c r="GO136" s="49"/>
      <c r="GP136" s="49"/>
      <c r="GQ136" s="49"/>
      <c r="GR136" s="49"/>
      <c r="GS136" s="49"/>
      <c r="GT136" s="49"/>
      <c r="GU136" s="49"/>
      <c r="GV136" s="49"/>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row>
    <row r="137" spans="1:236" customFormat="1" ht="16.5" customHeight="1">
      <c r="A137" s="1"/>
      <c r="B137" s="3"/>
      <c r="C137" s="3"/>
      <c r="D137" s="545"/>
      <c r="E137" s="532"/>
      <c r="F137" s="532"/>
      <c r="G137" s="532"/>
      <c r="H137" s="532"/>
      <c r="I137" s="532"/>
      <c r="J137" s="532"/>
      <c r="K137" s="532"/>
      <c r="L137" s="532"/>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c r="AM137" s="532"/>
      <c r="AN137" s="532"/>
      <c r="AO137" s="532"/>
      <c r="AP137" s="532"/>
      <c r="AQ137" s="532"/>
      <c r="AR137" s="532"/>
      <c r="AS137" s="532"/>
      <c r="AT137" s="532"/>
      <c r="AU137" s="532"/>
      <c r="AV137" s="532"/>
      <c r="AW137" s="532"/>
      <c r="AX137" s="532"/>
      <c r="AY137" s="532"/>
      <c r="AZ137" s="532"/>
      <c r="BA137" s="532"/>
      <c r="BB137" s="532"/>
      <c r="BC137" s="532"/>
      <c r="BD137" s="532"/>
      <c r="BE137" s="532"/>
      <c r="BF137" s="532"/>
      <c r="BG137" s="532"/>
      <c r="BH137" s="532"/>
      <c r="BI137" s="532"/>
      <c r="BJ137" s="532"/>
      <c r="BK137" s="532"/>
      <c r="BL137" s="532"/>
      <c r="BM137" s="532"/>
      <c r="BN137" s="532"/>
      <c r="BO137" s="532"/>
      <c r="BP137" s="532"/>
      <c r="BQ137" s="532"/>
      <c r="BR137" s="532"/>
      <c r="BS137" s="532"/>
      <c r="BT137" s="532"/>
      <c r="BU137" s="532"/>
      <c r="BV137" s="532"/>
      <c r="BW137" s="532"/>
      <c r="BX137" s="532"/>
      <c r="BY137" s="532"/>
      <c r="BZ137" s="532"/>
      <c r="CA137" s="532"/>
      <c r="CB137" s="532"/>
      <c r="CC137" s="532"/>
      <c r="CD137" s="532"/>
      <c r="CE137" s="532"/>
      <c r="CF137" s="532"/>
      <c r="CG137" s="532"/>
      <c r="CH137" s="532"/>
      <c r="CI137" s="532"/>
      <c r="CJ137" s="532"/>
      <c r="CK137" s="532"/>
      <c r="CL137" s="532"/>
      <c r="CM137" s="532"/>
      <c r="CN137" s="532"/>
      <c r="CO137" s="532"/>
      <c r="CP137" s="532"/>
      <c r="CQ137" s="532"/>
      <c r="CR137" s="532"/>
      <c r="CS137" s="532"/>
      <c r="CT137" s="532"/>
      <c r="CU137" s="532"/>
      <c r="CV137" s="532"/>
      <c r="CW137" s="532"/>
      <c r="CX137" s="532"/>
      <c r="CY137" s="532"/>
      <c r="CZ137" s="532"/>
      <c r="DA137" s="532"/>
      <c r="DB137" s="532"/>
      <c r="DC137" s="532"/>
      <c r="DD137" s="532"/>
      <c r="DE137" s="532"/>
      <c r="DF137" s="532"/>
      <c r="DG137" s="532"/>
      <c r="DH137" s="532"/>
      <c r="DI137" s="532"/>
      <c r="DJ137" s="532"/>
      <c r="DK137" s="532"/>
      <c r="DL137" s="532"/>
      <c r="DM137" s="532"/>
      <c r="DN137" s="532"/>
      <c r="DO137" s="532"/>
      <c r="DP137" s="532"/>
      <c r="DQ137" s="532"/>
      <c r="DR137" s="532"/>
      <c r="DS137" s="532"/>
      <c r="DT137" s="532"/>
      <c r="DU137" s="532"/>
      <c r="DV137" s="532"/>
      <c r="DW137" s="532"/>
      <c r="DX137" s="532"/>
      <c r="DY137" s="532"/>
      <c r="DZ137" s="532"/>
      <c r="EA137" s="532"/>
      <c r="EB137" s="532"/>
      <c r="EC137" s="532"/>
      <c r="ED137" s="532"/>
      <c r="EE137" s="532"/>
      <c r="EF137" s="532"/>
      <c r="EG137" s="532"/>
      <c r="EH137" s="532"/>
      <c r="EI137" s="532"/>
      <c r="EJ137" s="532"/>
      <c r="EK137" s="532"/>
      <c r="EL137" s="532"/>
      <c r="EM137" s="532"/>
      <c r="EN137" s="532"/>
      <c r="EO137" s="532"/>
      <c r="EP137" s="532"/>
      <c r="EQ137" s="532"/>
      <c r="ER137" s="532"/>
      <c r="ES137" s="532"/>
      <c r="ET137" s="532"/>
      <c r="EU137" s="532"/>
      <c r="EV137" s="532"/>
      <c r="EW137" s="532"/>
      <c r="EX137" s="532"/>
      <c r="EY137" s="532"/>
      <c r="EZ137" s="532"/>
      <c r="FA137" s="532"/>
      <c r="FB137" s="532"/>
      <c r="FC137" s="532"/>
      <c r="FD137" s="532"/>
      <c r="FE137" s="532"/>
      <c r="FF137" s="532"/>
      <c r="FG137" s="532"/>
      <c r="FH137" s="532"/>
      <c r="FI137" s="532"/>
      <c r="FJ137" s="96"/>
      <c r="FK137" s="96"/>
      <c r="FL137" s="96"/>
      <c r="FM137" s="96"/>
      <c r="FN137" s="47"/>
      <c r="FO137" s="47"/>
      <c r="FP137" s="47"/>
      <c r="FQ137" s="47"/>
      <c r="FR137" s="47"/>
      <c r="FS137" s="47"/>
      <c r="FT137" s="47"/>
      <c r="FU137" s="47"/>
      <c r="FV137" s="47"/>
      <c r="FW137" s="47"/>
      <c r="FX137" s="47"/>
      <c r="FY137" s="259"/>
      <c r="FZ137" s="259"/>
      <c r="GA137" s="259"/>
      <c r="GB137" s="259"/>
      <c r="GC137" s="377"/>
      <c r="GD137" s="377"/>
      <c r="GE137" s="377"/>
      <c r="GF137" s="377"/>
      <c r="GG137" s="377"/>
      <c r="GH137" s="377"/>
      <c r="GI137" s="377"/>
      <c r="GJ137" s="377"/>
      <c r="GK137" s="377"/>
      <c r="GL137" s="377"/>
      <c r="GM137" s="377"/>
      <c r="GN137" s="377"/>
      <c r="GO137" s="49"/>
      <c r="GP137" s="49"/>
      <c r="GQ137" s="49"/>
      <c r="GR137" s="49"/>
      <c r="GS137" s="49"/>
      <c r="GT137" s="49"/>
      <c r="GU137" s="49"/>
      <c r="GV137" s="49"/>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row>
    <row r="138" spans="1:236" customFormat="1" ht="16.5" customHeight="1">
      <c r="A138" s="1"/>
      <c r="B138" s="272"/>
      <c r="C138" s="3"/>
      <c r="D138" s="532"/>
      <c r="E138" s="532"/>
      <c r="F138" s="532"/>
      <c r="G138" s="532"/>
      <c r="H138" s="532"/>
      <c r="I138" s="532"/>
      <c r="J138" s="532"/>
      <c r="K138" s="532"/>
      <c r="L138" s="532"/>
      <c r="M138" s="532"/>
      <c r="N138" s="532"/>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c r="AM138" s="532"/>
      <c r="AN138" s="532"/>
      <c r="AO138" s="532"/>
      <c r="AP138" s="532"/>
      <c r="AQ138" s="532"/>
      <c r="AR138" s="532"/>
      <c r="AS138" s="532"/>
      <c r="AT138" s="532"/>
      <c r="AU138" s="532"/>
      <c r="AV138" s="532"/>
      <c r="AW138" s="532"/>
      <c r="AX138" s="532"/>
      <c r="AY138" s="532"/>
      <c r="AZ138" s="532"/>
      <c r="BA138" s="532"/>
      <c r="BB138" s="532"/>
      <c r="BC138" s="532"/>
      <c r="BD138" s="532"/>
      <c r="BE138" s="532"/>
      <c r="BF138" s="532"/>
      <c r="BG138" s="532"/>
      <c r="BH138" s="532"/>
      <c r="BI138" s="532"/>
      <c r="BJ138" s="532"/>
      <c r="BK138" s="532"/>
      <c r="BL138" s="532"/>
      <c r="BM138" s="532"/>
      <c r="BN138" s="532"/>
      <c r="BO138" s="532"/>
      <c r="BP138" s="532"/>
      <c r="BQ138" s="532"/>
      <c r="BR138" s="532"/>
      <c r="BS138" s="532"/>
      <c r="BT138" s="532"/>
      <c r="BU138" s="532"/>
      <c r="BV138" s="532"/>
      <c r="BW138" s="532"/>
      <c r="BX138" s="532"/>
      <c r="BY138" s="532"/>
      <c r="BZ138" s="532"/>
      <c r="CA138" s="532"/>
      <c r="CB138" s="532"/>
      <c r="CC138" s="532"/>
      <c r="CD138" s="532"/>
      <c r="CE138" s="532"/>
      <c r="CF138" s="532"/>
      <c r="CG138" s="532"/>
      <c r="CH138" s="532"/>
      <c r="CI138" s="532"/>
      <c r="CJ138" s="532"/>
      <c r="CK138" s="532"/>
      <c r="CL138" s="532"/>
      <c r="CM138" s="532"/>
      <c r="CN138" s="532"/>
      <c r="CO138" s="532"/>
      <c r="CP138" s="532"/>
      <c r="CQ138" s="532"/>
      <c r="CR138" s="532"/>
      <c r="CS138" s="532"/>
      <c r="CT138" s="532"/>
      <c r="CU138" s="532"/>
      <c r="CV138" s="532"/>
      <c r="CW138" s="532"/>
      <c r="CX138" s="532"/>
      <c r="CY138" s="532"/>
      <c r="CZ138" s="532"/>
      <c r="DA138" s="532"/>
      <c r="DB138" s="532"/>
      <c r="DC138" s="532"/>
      <c r="DD138" s="532"/>
      <c r="DE138" s="532"/>
      <c r="DF138" s="532"/>
      <c r="DG138" s="532"/>
      <c r="DH138" s="532"/>
      <c r="DI138" s="532"/>
      <c r="DJ138" s="532"/>
      <c r="DK138" s="532"/>
      <c r="DL138" s="532"/>
      <c r="DM138" s="532"/>
      <c r="DN138" s="532"/>
      <c r="DO138" s="532"/>
      <c r="DP138" s="532"/>
      <c r="DQ138" s="532"/>
      <c r="DR138" s="532"/>
      <c r="DS138" s="532"/>
      <c r="DT138" s="532"/>
      <c r="DU138" s="532"/>
      <c r="DV138" s="532"/>
      <c r="DW138" s="532"/>
      <c r="DX138" s="532"/>
      <c r="DY138" s="532"/>
      <c r="DZ138" s="532"/>
      <c r="EA138" s="532"/>
      <c r="EB138" s="532"/>
      <c r="EC138" s="532"/>
      <c r="ED138" s="532"/>
      <c r="EE138" s="532"/>
      <c r="EF138" s="532"/>
      <c r="EG138" s="532"/>
      <c r="EH138" s="532"/>
      <c r="EI138" s="532"/>
      <c r="EJ138" s="532"/>
      <c r="EK138" s="532"/>
      <c r="EL138" s="532"/>
      <c r="EM138" s="532"/>
      <c r="EN138" s="532"/>
      <c r="EO138" s="532"/>
      <c r="EP138" s="532"/>
      <c r="EQ138" s="532"/>
      <c r="ER138" s="532"/>
      <c r="ES138" s="532"/>
      <c r="ET138" s="532"/>
      <c r="EU138" s="532"/>
      <c r="EV138" s="532"/>
      <c r="EW138" s="532"/>
      <c r="EX138" s="532"/>
      <c r="EY138" s="532"/>
      <c r="EZ138" s="532"/>
      <c r="FA138" s="532"/>
      <c r="FB138" s="532"/>
      <c r="FC138" s="532"/>
      <c r="FD138" s="532"/>
      <c r="FE138" s="532"/>
      <c r="FF138" s="532"/>
      <c r="FG138" s="532"/>
      <c r="FH138" s="532"/>
      <c r="FI138" s="532"/>
      <c r="FJ138" s="96"/>
      <c r="FK138" s="96"/>
      <c r="FL138" s="96"/>
      <c r="FM138" s="96"/>
      <c r="FN138" s="47"/>
      <c r="FO138" s="47"/>
      <c r="FP138" s="47"/>
      <c r="FQ138" s="47"/>
      <c r="FR138" s="47"/>
      <c r="FS138" s="47"/>
      <c r="FT138" s="47"/>
      <c r="FU138" s="47"/>
      <c r="FV138" s="47"/>
      <c r="FW138" s="47"/>
      <c r="FX138" s="47"/>
      <c r="FY138" s="259"/>
      <c r="FZ138" s="259"/>
      <c r="GA138" s="259"/>
      <c r="GB138" s="259"/>
      <c r="GC138" s="377"/>
      <c r="GD138" s="377"/>
      <c r="GE138" s="377"/>
      <c r="GF138" s="377"/>
      <c r="GG138" s="377"/>
      <c r="GH138" s="377"/>
      <c r="GI138" s="377"/>
      <c r="GJ138" s="377"/>
      <c r="GK138" s="377"/>
      <c r="GL138" s="377"/>
      <c r="GM138" s="377"/>
      <c r="GN138" s="377"/>
      <c r="GO138" s="49"/>
      <c r="GP138" s="49"/>
      <c r="GQ138" s="49"/>
      <c r="GR138" s="49"/>
      <c r="GS138" s="49"/>
      <c r="GT138" s="49"/>
      <c r="GU138" s="49"/>
      <c r="GV138" s="49"/>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row>
    <row r="139" spans="1:236" customFormat="1" ht="16.5" customHeight="1">
      <c r="A139" s="1"/>
      <c r="B139" s="3"/>
      <c r="C139" s="3"/>
      <c r="D139" s="532"/>
      <c r="E139" s="532"/>
      <c r="F139" s="532"/>
      <c r="G139" s="532"/>
      <c r="H139" s="532"/>
      <c r="I139" s="532"/>
      <c r="J139" s="532"/>
      <c r="K139" s="532"/>
      <c r="L139" s="532"/>
      <c r="M139" s="532"/>
      <c r="N139" s="532"/>
      <c r="O139" s="532"/>
      <c r="P139" s="532"/>
      <c r="Q139" s="532"/>
      <c r="R139" s="532"/>
      <c r="S139" s="532"/>
      <c r="T139" s="532"/>
      <c r="U139" s="532"/>
      <c r="V139" s="532"/>
      <c r="W139" s="532"/>
      <c r="X139" s="532"/>
      <c r="Y139" s="532"/>
      <c r="Z139" s="532"/>
      <c r="AA139" s="532"/>
      <c r="AB139" s="532"/>
      <c r="AC139" s="532"/>
      <c r="AD139" s="532"/>
      <c r="AE139" s="532"/>
      <c r="AF139" s="532"/>
      <c r="AG139" s="532"/>
      <c r="AH139" s="532"/>
      <c r="AI139" s="532"/>
      <c r="AJ139" s="532"/>
      <c r="AK139" s="532"/>
      <c r="AL139" s="532"/>
      <c r="AM139" s="532"/>
      <c r="AN139" s="532"/>
      <c r="AO139" s="532"/>
      <c r="AP139" s="532"/>
      <c r="AQ139" s="532"/>
      <c r="AR139" s="532"/>
      <c r="AS139" s="532"/>
      <c r="AT139" s="532"/>
      <c r="AU139" s="532"/>
      <c r="AV139" s="532"/>
      <c r="AW139" s="532"/>
      <c r="AX139" s="532"/>
      <c r="AY139" s="532"/>
      <c r="AZ139" s="532"/>
      <c r="BA139" s="532"/>
      <c r="BB139" s="532"/>
      <c r="BC139" s="532"/>
      <c r="BD139" s="532"/>
      <c r="BE139" s="532"/>
      <c r="BF139" s="532"/>
      <c r="BG139" s="532"/>
      <c r="BH139" s="532"/>
      <c r="BI139" s="532"/>
      <c r="BJ139" s="532"/>
      <c r="BK139" s="532"/>
      <c r="BL139" s="532"/>
      <c r="BM139" s="532"/>
      <c r="BN139" s="532"/>
      <c r="BO139" s="532"/>
      <c r="BP139" s="532"/>
      <c r="BQ139" s="532"/>
      <c r="BR139" s="532"/>
      <c r="BS139" s="532"/>
      <c r="BT139" s="532"/>
      <c r="BU139" s="532"/>
      <c r="BV139" s="532"/>
      <c r="BW139" s="532"/>
      <c r="BX139" s="532"/>
      <c r="BY139" s="532"/>
      <c r="BZ139" s="532"/>
      <c r="CA139" s="532"/>
      <c r="CB139" s="532"/>
      <c r="CC139" s="532"/>
      <c r="CD139" s="532"/>
      <c r="CE139" s="532"/>
      <c r="CF139" s="532"/>
      <c r="CG139" s="532"/>
      <c r="CH139" s="532"/>
      <c r="CI139" s="532"/>
      <c r="CJ139" s="532"/>
      <c r="CK139" s="532"/>
      <c r="CL139" s="532"/>
      <c r="CM139" s="532"/>
      <c r="CN139" s="532"/>
      <c r="CO139" s="532"/>
      <c r="CP139" s="532"/>
      <c r="CQ139" s="532"/>
      <c r="CR139" s="532"/>
      <c r="CS139" s="532"/>
      <c r="CT139" s="532"/>
      <c r="CU139" s="532"/>
      <c r="CV139" s="532"/>
      <c r="CW139" s="532"/>
      <c r="CX139" s="532"/>
      <c r="CY139" s="532"/>
      <c r="CZ139" s="532"/>
      <c r="DA139" s="532"/>
      <c r="DB139" s="532"/>
      <c r="DC139" s="532"/>
      <c r="DD139" s="532"/>
      <c r="DE139" s="532"/>
      <c r="DF139" s="532"/>
      <c r="DG139" s="532"/>
      <c r="DH139" s="532"/>
      <c r="DI139" s="532"/>
      <c r="DJ139" s="532"/>
      <c r="DK139" s="532"/>
      <c r="DL139" s="532"/>
      <c r="DM139" s="532"/>
      <c r="DN139" s="532"/>
      <c r="DO139" s="532"/>
      <c r="DP139" s="532"/>
      <c r="DQ139" s="532"/>
      <c r="DR139" s="532"/>
      <c r="DS139" s="532"/>
      <c r="DT139" s="532"/>
      <c r="DU139" s="532"/>
      <c r="DV139" s="532"/>
      <c r="DW139" s="532"/>
      <c r="DX139" s="532"/>
      <c r="DY139" s="532"/>
      <c r="DZ139" s="532"/>
      <c r="EA139" s="532"/>
      <c r="EB139" s="532"/>
      <c r="EC139" s="532"/>
      <c r="ED139" s="532"/>
      <c r="EE139" s="532"/>
      <c r="EF139" s="532"/>
      <c r="EG139" s="532"/>
      <c r="EH139" s="532"/>
      <c r="EI139" s="532"/>
      <c r="EJ139" s="532"/>
      <c r="EK139" s="532"/>
      <c r="EL139" s="532"/>
      <c r="EM139" s="532"/>
      <c r="EN139" s="532"/>
      <c r="EO139" s="532"/>
      <c r="EP139" s="532"/>
      <c r="EQ139" s="532"/>
      <c r="ER139" s="532"/>
      <c r="ES139" s="532"/>
      <c r="ET139" s="532"/>
      <c r="EU139" s="532"/>
      <c r="EV139" s="532"/>
      <c r="EW139" s="532"/>
      <c r="EX139" s="532"/>
      <c r="EY139" s="532"/>
      <c r="EZ139" s="532"/>
      <c r="FA139" s="532"/>
      <c r="FB139" s="532"/>
      <c r="FC139" s="532"/>
      <c r="FD139" s="532"/>
      <c r="FE139" s="532"/>
      <c r="FF139" s="532"/>
      <c r="FG139" s="532"/>
      <c r="FH139" s="532"/>
      <c r="FI139" s="532"/>
      <c r="FJ139" s="96"/>
      <c r="FK139" s="96"/>
      <c r="FL139" s="96"/>
      <c r="FM139" s="96"/>
      <c r="FN139" s="47"/>
      <c r="FO139" s="47"/>
      <c r="FP139" s="47"/>
      <c r="FQ139" s="47"/>
      <c r="FR139" s="47"/>
      <c r="FS139" s="47"/>
      <c r="FT139" s="47"/>
      <c r="FU139" s="47"/>
      <c r="FV139" s="47"/>
      <c r="FW139" s="47"/>
      <c r="FX139" s="47"/>
      <c r="FY139" s="259"/>
      <c r="FZ139" s="259"/>
      <c r="GA139" s="259"/>
      <c r="GB139" s="259"/>
      <c r="GC139" s="377"/>
      <c r="GD139" s="377"/>
      <c r="GE139" s="377"/>
      <c r="GF139" s="377"/>
      <c r="GG139" s="377"/>
      <c r="GH139" s="377"/>
      <c r="GI139" s="377"/>
      <c r="GJ139" s="377"/>
      <c r="GK139" s="377"/>
      <c r="GL139" s="377"/>
      <c r="GM139" s="377"/>
      <c r="GN139" s="377"/>
      <c r="GO139" s="93"/>
      <c r="GP139" s="93"/>
      <c r="GQ139" s="93"/>
      <c r="GR139" s="93"/>
      <c r="GS139" s="93"/>
      <c r="GT139" s="93"/>
      <c r="GU139" s="93"/>
      <c r="GV139" s="93"/>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row>
    <row r="140" spans="1:236" customFormat="1" ht="16.5" customHeight="1">
      <c r="A140" s="1"/>
      <c r="B140" s="3"/>
      <c r="C140" s="3"/>
      <c r="D140" s="532"/>
      <c r="E140" s="532"/>
      <c r="F140" s="532"/>
      <c r="G140" s="532"/>
      <c r="H140" s="532"/>
      <c r="I140" s="532"/>
      <c r="J140" s="532"/>
      <c r="K140" s="532"/>
      <c r="L140" s="532"/>
      <c r="M140" s="532"/>
      <c r="N140" s="532"/>
      <c r="O140" s="532"/>
      <c r="P140" s="532"/>
      <c r="Q140" s="532"/>
      <c r="R140" s="532"/>
      <c r="S140" s="532"/>
      <c r="T140" s="532"/>
      <c r="U140" s="532"/>
      <c r="V140" s="532"/>
      <c r="W140" s="532"/>
      <c r="X140" s="532"/>
      <c r="Y140" s="532"/>
      <c r="Z140" s="532"/>
      <c r="AA140" s="532"/>
      <c r="AB140" s="532"/>
      <c r="AC140" s="532"/>
      <c r="AD140" s="532"/>
      <c r="AE140" s="532"/>
      <c r="AF140" s="532"/>
      <c r="AG140" s="532"/>
      <c r="AH140" s="532"/>
      <c r="AI140" s="532"/>
      <c r="AJ140" s="532"/>
      <c r="AK140" s="532"/>
      <c r="AL140" s="532"/>
      <c r="AM140" s="532"/>
      <c r="AN140" s="532"/>
      <c r="AO140" s="532"/>
      <c r="AP140" s="532"/>
      <c r="AQ140" s="532"/>
      <c r="AR140" s="532"/>
      <c r="AS140" s="532"/>
      <c r="AT140" s="532"/>
      <c r="AU140" s="532"/>
      <c r="AV140" s="532"/>
      <c r="AW140" s="532"/>
      <c r="AX140" s="532"/>
      <c r="AY140" s="532"/>
      <c r="AZ140" s="532"/>
      <c r="BA140" s="532"/>
      <c r="BB140" s="532"/>
      <c r="BC140" s="532"/>
      <c r="BD140" s="532"/>
      <c r="BE140" s="532"/>
      <c r="BF140" s="532"/>
      <c r="BG140" s="532"/>
      <c r="BH140" s="532"/>
      <c r="BI140" s="532"/>
      <c r="BJ140" s="532"/>
      <c r="BK140" s="532"/>
      <c r="BL140" s="532"/>
      <c r="BM140" s="532"/>
      <c r="BN140" s="532"/>
      <c r="BO140" s="532"/>
      <c r="BP140" s="532"/>
      <c r="BQ140" s="532"/>
      <c r="BR140" s="532"/>
      <c r="BS140" s="532"/>
      <c r="BT140" s="532"/>
      <c r="BU140" s="532"/>
      <c r="BV140" s="532"/>
      <c r="BW140" s="532"/>
      <c r="BX140" s="532"/>
      <c r="BY140" s="532"/>
      <c r="BZ140" s="532"/>
      <c r="CA140" s="532"/>
      <c r="CB140" s="532"/>
      <c r="CC140" s="532"/>
      <c r="CD140" s="532"/>
      <c r="CE140" s="532"/>
      <c r="CF140" s="532"/>
      <c r="CG140" s="532"/>
      <c r="CH140" s="532"/>
      <c r="CI140" s="532"/>
      <c r="CJ140" s="532"/>
      <c r="CK140" s="532"/>
      <c r="CL140" s="532"/>
      <c r="CM140" s="532"/>
      <c r="CN140" s="532"/>
      <c r="CO140" s="532"/>
      <c r="CP140" s="532"/>
      <c r="CQ140" s="532"/>
      <c r="CR140" s="532"/>
      <c r="CS140" s="532"/>
      <c r="CT140" s="532"/>
      <c r="CU140" s="532"/>
      <c r="CV140" s="532"/>
      <c r="CW140" s="532"/>
      <c r="CX140" s="532"/>
      <c r="CY140" s="532"/>
      <c r="CZ140" s="532"/>
      <c r="DA140" s="532"/>
      <c r="DB140" s="532"/>
      <c r="DC140" s="532"/>
      <c r="DD140" s="532"/>
      <c r="DE140" s="532"/>
      <c r="DF140" s="532"/>
      <c r="DG140" s="532"/>
      <c r="DH140" s="532"/>
      <c r="DI140" s="532"/>
      <c r="DJ140" s="532"/>
      <c r="DK140" s="532"/>
      <c r="DL140" s="532"/>
      <c r="DM140" s="532"/>
      <c r="DN140" s="532"/>
      <c r="DO140" s="532"/>
      <c r="DP140" s="532"/>
      <c r="DQ140" s="532"/>
      <c r="DR140" s="532"/>
      <c r="DS140" s="532"/>
      <c r="DT140" s="532"/>
      <c r="DU140" s="532"/>
      <c r="DV140" s="532"/>
      <c r="DW140" s="532"/>
      <c r="DX140" s="532"/>
      <c r="DY140" s="532"/>
      <c r="DZ140" s="532"/>
      <c r="EA140" s="532"/>
      <c r="EB140" s="532"/>
      <c r="EC140" s="532"/>
      <c r="ED140" s="532"/>
      <c r="EE140" s="532"/>
      <c r="EF140" s="532"/>
      <c r="EG140" s="532"/>
      <c r="EH140" s="532"/>
      <c r="EI140" s="532"/>
      <c r="EJ140" s="532"/>
      <c r="EK140" s="532"/>
      <c r="EL140" s="532"/>
      <c r="EM140" s="532"/>
      <c r="EN140" s="532"/>
      <c r="EO140" s="532"/>
      <c r="EP140" s="532"/>
      <c r="EQ140" s="532"/>
      <c r="ER140" s="532"/>
      <c r="ES140" s="532"/>
      <c r="ET140" s="532"/>
      <c r="EU140" s="532"/>
      <c r="EV140" s="532"/>
      <c r="EW140" s="532"/>
      <c r="EX140" s="532"/>
      <c r="EY140" s="532"/>
      <c r="EZ140" s="532"/>
      <c r="FA140" s="532"/>
      <c r="FB140" s="532"/>
      <c r="FC140" s="532"/>
      <c r="FD140" s="532"/>
      <c r="FE140" s="532"/>
      <c r="FF140" s="532"/>
      <c r="FG140" s="532"/>
      <c r="FH140" s="532"/>
      <c r="FI140" s="532"/>
      <c r="FJ140" s="96"/>
      <c r="FK140" s="96"/>
      <c r="FL140" s="96"/>
      <c r="FM140" s="96"/>
      <c r="FN140" s="47"/>
      <c r="FO140" s="47"/>
      <c r="FP140" s="47"/>
      <c r="FQ140" s="47"/>
      <c r="FR140" s="47"/>
      <c r="FS140" s="47"/>
      <c r="FT140" s="47"/>
      <c r="FU140" s="47"/>
      <c r="FV140" s="47"/>
      <c r="FW140" s="47"/>
      <c r="FX140" s="47"/>
      <c r="FY140" s="259"/>
      <c r="FZ140" s="259"/>
      <c r="GA140" s="259"/>
      <c r="GB140" s="259"/>
      <c r="GC140" s="377"/>
      <c r="GD140" s="377"/>
      <c r="GE140" s="377"/>
      <c r="GF140" s="377"/>
      <c r="GG140" s="377"/>
      <c r="GH140" s="377"/>
      <c r="GI140" s="377"/>
      <c r="GJ140" s="377"/>
      <c r="GK140" s="377"/>
      <c r="GL140" s="377"/>
      <c r="GM140" s="377"/>
      <c r="GN140" s="377"/>
      <c r="GO140" s="93"/>
      <c r="GP140" s="93"/>
      <c r="GQ140" s="93"/>
      <c r="GR140" s="93"/>
      <c r="GS140" s="93"/>
      <c r="GT140" s="93"/>
      <c r="GU140" s="93"/>
      <c r="GV140" s="93"/>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row>
    <row r="141" spans="1:236" customFormat="1" ht="16.5" customHeight="1">
      <c r="A141" s="1"/>
      <c r="B141" s="3"/>
      <c r="C141" s="3"/>
      <c r="D141" s="532"/>
      <c r="E141" s="532"/>
      <c r="F141" s="532"/>
      <c r="G141" s="532"/>
      <c r="H141" s="532"/>
      <c r="I141" s="532"/>
      <c r="J141" s="532"/>
      <c r="K141" s="532"/>
      <c r="L141" s="532"/>
      <c r="M141" s="532"/>
      <c r="N141" s="532"/>
      <c r="O141" s="532"/>
      <c r="P141" s="532"/>
      <c r="Q141" s="532"/>
      <c r="R141" s="532"/>
      <c r="S141" s="532"/>
      <c r="T141" s="532"/>
      <c r="U141" s="532"/>
      <c r="V141" s="532"/>
      <c r="W141" s="532"/>
      <c r="X141" s="532"/>
      <c r="Y141" s="532"/>
      <c r="Z141" s="532"/>
      <c r="AA141" s="532"/>
      <c r="AB141" s="532"/>
      <c r="AC141" s="532"/>
      <c r="AD141" s="532"/>
      <c r="AE141" s="532"/>
      <c r="AF141" s="532"/>
      <c r="AG141" s="532"/>
      <c r="AH141" s="532"/>
      <c r="AI141" s="532"/>
      <c r="AJ141" s="532"/>
      <c r="AK141" s="532"/>
      <c r="AL141" s="532"/>
      <c r="AM141" s="532"/>
      <c r="AN141" s="532"/>
      <c r="AO141" s="532"/>
      <c r="AP141" s="532"/>
      <c r="AQ141" s="532"/>
      <c r="AR141" s="532"/>
      <c r="AS141" s="532"/>
      <c r="AT141" s="532"/>
      <c r="AU141" s="532"/>
      <c r="AV141" s="532"/>
      <c r="AW141" s="532"/>
      <c r="AX141" s="532"/>
      <c r="AY141" s="532"/>
      <c r="AZ141" s="532"/>
      <c r="BA141" s="532"/>
      <c r="BB141" s="532"/>
      <c r="BC141" s="532"/>
      <c r="BD141" s="532"/>
      <c r="BE141" s="532"/>
      <c r="BF141" s="532"/>
      <c r="BG141" s="532"/>
      <c r="BH141" s="532"/>
      <c r="BI141" s="532"/>
      <c r="BJ141" s="532"/>
      <c r="BK141" s="532"/>
      <c r="BL141" s="532"/>
      <c r="BM141" s="532"/>
      <c r="BN141" s="532"/>
      <c r="BO141" s="532"/>
      <c r="BP141" s="532"/>
      <c r="BQ141" s="532"/>
      <c r="BR141" s="532"/>
      <c r="BS141" s="532"/>
      <c r="BT141" s="532"/>
      <c r="BU141" s="532"/>
      <c r="BV141" s="532"/>
      <c r="BW141" s="532"/>
      <c r="BX141" s="532"/>
      <c r="BY141" s="532"/>
      <c r="BZ141" s="532"/>
      <c r="CA141" s="532"/>
      <c r="CB141" s="532"/>
      <c r="CC141" s="532"/>
      <c r="CD141" s="532"/>
      <c r="CE141" s="532"/>
      <c r="CF141" s="532"/>
      <c r="CG141" s="532"/>
      <c r="CH141" s="532"/>
      <c r="CI141" s="532"/>
      <c r="CJ141" s="532"/>
      <c r="CK141" s="532"/>
      <c r="CL141" s="532"/>
      <c r="CM141" s="532"/>
      <c r="CN141" s="532"/>
      <c r="CO141" s="532"/>
      <c r="CP141" s="532"/>
      <c r="CQ141" s="532"/>
      <c r="CR141" s="532"/>
      <c r="CS141" s="532"/>
      <c r="CT141" s="532"/>
      <c r="CU141" s="532"/>
      <c r="CV141" s="532"/>
      <c r="CW141" s="532"/>
      <c r="CX141" s="532"/>
      <c r="CY141" s="532"/>
      <c r="CZ141" s="532"/>
      <c r="DA141" s="532"/>
      <c r="DB141" s="532"/>
      <c r="DC141" s="532"/>
      <c r="DD141" s="532"/>
      <c r="DE141" s="532"/>
      <c r="DF141" s="532"/>
      <c r="DG141" s="532"/>
      <c r="DH141" s="532"/>
      <c r="DI141" s="532"/>
      <c r="DJ141" s="532"/>
      <c r="DK141" s="532"/>
      <c r="DL141" s="532"/>
      <c r="DM141" s="532"/>
      <c r="DN141" s="532"/>
      <c r="DO141" s="532"/>
      <c r="DP141" s="532"/>
      <c r="DQ141" s="532"/>
      <c r="DR141" s="532"/>
      <c r="DS141" s="532"/>
      <c r="DT141" s="532"/>
      <c r="DU141" s="532"/>
      <c r="DV141" s="532"/>
      <c r="DW141" s="532"/>
      <c r="DX141" s="532"/>
      <c r="DY141" s="532"/>
      <c r="DZ141" s="532"/>
      <c r="EA141" s="532"/>
      <c r="EB141" s="532"/>
      <c r="EC141" s="532"/>
      <c r="ED141" s="532"/>
      <c r="EE141" s="532"/>
      <c r="EF141" s="532"/>
      <c r="EG141" s="532"/>
      <c r="EH141" s="532"/>
      <c r="EI141" s="532"/>
      <c r="EJ141" s="532"/>
      <c r="EK141" s="532"/>
      <c r="EL141" s="532"/>
      <c r="EM141" s="532"/>
      <c r="EN141" s="532"/>
      <c r="EO141" s="532"/>
      <c r="EP141" s="532"/>
      <c r="EQ141" s="532"/>
      <c r="ER141" s="532"/>
      <c r="ES141" s="532"/>
      <c r="ET141" s="532"/>
      <c r="EU141" s="532"/>
      <c r="EV141" s="532"/>
      <c r="EW141" s="532"/>
      <c r="EX141" s="532"/>
      <c r="EY141" s="532"/>
      <c r="EZ141" s="532"/>
      <c r="FA141" s="532"/>
      <c r="FB141" s="532"/>
      <c r="FC141" s="532"/>
      <c r="FD141" s="532"/>
      <c r="FE141" s="532"/>
      <c r="FF141" s="532"/>
      <c r="FG141" s="532"/>
      <c r="FH141" s="532"/>
      <c r="FI141" s="532"/>
      <c r="FJ141" s="96"/>
      <c r="FK141" s="96"/>
      <c r="FL141" s="96"/>
      <c r="FM141" s="47"/>
      <c r="FN141" s="47"/>
      <c r="FO141" s="47"/>
      <c r="FP141" s="47"/>
      <c r="FQ141" s="47"/>
      <c r="FR141" s="47"/>
      <c r="FS141" s="47"/>
      <c r="FT141" s="47"/>
      <c r="FU141" s="47"/>
      <c r="FV141" s="47"/>
      <c r="FW141" s="47"/>
      <c r="FX141" s="47"/>
      <c r="FY141" s="259"/>
      <c r="FZ141" s="259"/>
      <c r="GA141" s="259"/>
      <c r="GB141" s="259"/>
      <c r="GC141" s="377"/>
      <c r="GD141" s="377"/>
      <c r="GE141" s="377"/>
      <c r="GF141" s="377"/>
      <c r="GG141" s="377"/>
      <c r="GH141" s="377"/>
      <c r="GI141" s="377"/>
      <c r="GJ141" s="377"/>
      <c r="GK141" s="377"/>
      <c r="GL141" s="377"/>
      <c r="GM141" s="377"/>
      <c r="GN141" s="377"/>
      <c r="GO141" s="93"/>
      <c r="GP141" s="93"/>
      <c r="GQ141" s="93"/>
      <c r="GR141" s="93"/>
      <c r="GS141" s="93"/>
      <c r="GT141" s="93"/>
      <c r="GU141" s="93"/>
      <c r="GV141" s="93"/>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row>
    <row r="142" spans="1:236" customFormat="1" ht="16.5" customHeight="1">
      <c r="A142" s="1"/>
      <c r="B142" s="3"/>
      <c r="C142" s="3"/>
      <c r="D142" s="532"/>
      <c r="E142" s="532"/>
      <c r="F142" s="532"/>
      <c r="G142" s="532"/>
      <c r="H142" s="532"/>
      <c r="I142" s="532"/>
      <c r="J142" s="532"/>
      <c r="K142" s="532"/>
      <c r="L142" s="532"/>
      <c r="M142" s="532"/>
      <c r="N142" s="532"/>
      <c r="O142" s="532"/>
      <c r="P142" s="532"/>
      <c r="Q142" s="532"/>
      <c r="R142" s="532"/>
      <c r="S142" s="532"/>
      <c r="T142" s="532"/>
      <c r="U142" s="532"/>
      <c r="V142" s="532"/>
      <c r="W142" s="532"/>
      <c r="X142" s="532"/>
      <c r="Y142" s="532"/>
      <c r="Z142" s="532"/>
      <c r="AA142" s="532"/>
      <c r="AB142" s="532"/>
      <c r="AC142" s="532"/>
      <c r="AD142" s="532"/>
      <c r="AE142" s="532"/>
      <c r="AF142" s="532"/>
      <c r="AG142" s="532"/>
      <c r="AH142" s="532"/>
      <c r="AI142" s="532"/>
      <c r="AJ142" s="532"/>
      <c r="AK142" s="532"/>
      <c r="AL142" s="532"/>
      <c r="AM142" s="532"/>
      <c r="AN142" s="532"/>
      <c r="AO142" s="532"/>
      <c r="AP142" s="532"/>
      <c r="AQ142" s="532"/>
      <c r="AR142" s="532"/>
      <c r="AS142" s="532"/>
      <c r="AT142" s="532"/>
      <c r="AU142" s="532"/>
      <c r="AV142" s="532"/>
      <c r="AW142" s="532"/>
      <c r="AX142" s="532"/>
      <c r="AY142" s="532"/>
      <c r="AZ142" s="532"/>
      <c r="BA142" s="532"/>
      <c r="BB142" s="532"/>
      <c r="BC142" s="532"/>
      <c r="BD142" s="532"/>
      <c r="BE142" s="532"/>
      <c r="BF142" s="532"/>
      <c r="BG142" s="532"/>
      <c r="BH142" s="532"/>
      <c r="BI142" s="532"/>
      <c r="BJ142" s="532"/>
      <c r="BK142" s="532"/>
      <c r="BL142" s="532"/>
      <c r="BM142" s="532"/>
      <c r="BN142" s="532"/>
      <c r="BO142" s="532"/>
      <c r="BP142" s="532"/>
      <c r="BQ142" s="532"/>
      <c r="BR142" s="532"/>
      <c r="BS142" s="532"/>
      <c r="BT142" s="532"/>
      <c r="BU142" s="532"/>
      <c r="BV142" s="532"/>
      <c r="BW142" s="532"/>
      <c r="BX142" s="532"/>
      <c r="BY142" s="532"/>
      <c r="BZ142" s="532"/>
      <c r="CA142" s="532"/>
      <c r="CB142" s="532"/>
      <c r="CC142" s="532"/>
      <c r="CD142" s="532"/>
      <c r="CE142" s="532"/>
      <c r="CF142" s="532"/>
      <c r="CG142" s="532"/>
      <c r="CH142" s="532"/>
      <c r="CI142" s="532"/>
      <c r="CJ142" s="532"/>
      <c r="CK142" s="532"/>
      <c r="CL142" s="532"/>
      <c r="CM142" s="532"/>
      <c r="CN142" s="532"/>
      <c r="CO142" s="532"/>
      <c r="CP142" s="532"/>
      <c r="CQ142" s="532"/>
      <c r="CR142" s="532"/>
      <c r="CS142" s="532"/>
      <c r="CT142" s="532"/>
      <c r="CU142" s="532"/>
      <c r="CV142" s="532"/>
      <c r="CW142" s="532"/>
      <c r="CX142" s="532"/>
      <c r="CY142" s="532"/>
      <c r="CZ142" s="532"/>
      <c r="DA142" s="532"/>
      <c r="DB142" s="532"/>
      <c r="DC142" s="532"/>
      <c r="DD142" s="532"/>
      <c r="DE142" s="532"/>
      <c r="DF142" s="532"/>
      <c r="DG142" s="532"/>
      <c r="DH142" s="532"/>
      <c r="DI142" s="532"/>
      <c r="DJ142" s="532"/>
      <c r="DK142" s="532"/>
      <c r="DL142" s="532"/>
      <c r="DM142" s="532"/>
      <c r="DN142" s="532"/>
      <c r="DO142" s="532"/>
      <c r="DP142" s="532"/>
      <c r="DQ142" s="532"/>
      <c r="DR142" s="532"/>
      <c r="DS142" s="532"/>
      <c r="DT142" s="532"/>
      <c r="DU142" s="532"/>
      <c r="DV142" s="532"/>
      <c r="DW142" s="532"/>
      <c r="DX142" s="532"/>
      <c r="DY142" s="532"/>
      <c r="DZ142" s="532"/>
      <c r="EA142" s="532"/>
      <c r="EB142" s="532"/>
      <c r="EC142" s="532"/>
      <c r="ED142" s="532"/>
      <c r="EE142" s="532"/>
      <c r="EF142" s="532"/>
      <c r="EG142" s="532"/>
      <c r="EH142" s="532"/>
      <c r="EI142" s="532"/>
      <c r="EJ142" s="532"/>
      <c r="EK142" s="532"/>
      <c r="EL142" s="532"/>
      <c r="EM142" s="532"/>
      <c r="EN142" s="532"/>
      <c r="EO142" s="532"/>
      <c r="EP142" s="532"/>
      <c r="EQ142" s="532"/>
      <c r="ER142" s="532"/>
      <c r="ES142" s="532"/>
      <c r="ET142" s="532"/>
      <c r="EU142" s="532"/>
      <c r="EV142" s="532"/>
      <c r="EW142" s="532"/>
      <c r="EX142" s="532"/>
      <c r="EY142" s="532"/>
      <c r="EZ142" s="532"/>
      <c r="FA142" s="532"/>
      <c r="FB142" s="532"/>
      <c r="FC142" s="532"/>
      <c r="FD142" s="532"/>
      <c r="FE142" s="532"/>
      <c r="FF142" s="532"/>
      <c r="FG142" s="532"/>
      <c r="FH142" s="532"/>
      <c r="FI142" s="532"/>
      <c r="FJ142" s="96"/>
      <c r="FK142" s="96"/>
      <c r="FL142" s="96"/>
      <c r="FM142" s="48">
        <f>IF(AH147=FO142,1,0)</f>
        <v>0</v>
      </c>
      <c r="FN142" s="48" t="s">
        <v>179</v>
      </c>
      <c r="FO142" s="48" t="s">
        <v>180</v>
      </c>
      <c r="FP142" s="48" t="s">
        <v>181</v>
      </c>
      <c r="FQ142" s="48" t="s">
        <v>182</v>
      </c>
      <c r="FR142" s="48"/>
      <c r="FS142" s="48"/>
      <c r="FT142" s="48"/>
      <c r="FU142" s="48"/>
      <c r="FV142" s="48"/>
      <c r="FW142" s="47"/>
      <c r="FX142" s="48"/>
      <c r="FY142" s="259"/>
      <c r="FZ142" s="259"/>
      <c r="GA142" s="259"/>
      <c r="GB142" s="259"/>
      <c r="GC142" s="377"/>
      <c r="GD142" s="377"/>
      <c r="GE142" s="377"/>
      <c r="GF142" s="377"/>
      <c r="GG142" s="377"/>
      <c r="GH142" s="377"/>
      <c r="GI142" s="377"/>
      <c r="GJ142" s="377"/>
      <c r="GK142" s="377"/>
      <c r="GL142" s="377"/>
      <c r="GM142" s="377"/>
      <c r="GN142" s="377"/>
      <c r="GO142" s="93"/>
      <c r="GP142" s="93"/>
      <c r="GQ142" s="93"/>
      <c r="GR142" s="93"/>
      <c r="GS142" s="93"/>
      <c r="GT142" s="93"/>
      <c r="GU142" s="93"/>
      <c r="GV142" s="93"/>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row>
    <row r="143" spans="1:236" customFormat="1" ht="16.5" customHeight="1">
      <c r="A143" s="1"/>
      <c r="B143" s="3"/>
      <c r="C143" s="3"/>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532"/>
      <c r="AE143" s="532"/>
      <c r="AF143" s="532"/>
      <c r="AG143" s="532"/>
      <c r="AH143" s="532"/>
      <c r="AI143" s="532"/>
      <c r="AJ143" s="532"/>
      <c r="AK143" s="532"/>
      <c r="AL143" s="532"/>
      <c r="AM143" s="532"/>
      <c r="AN143" s="532"/>
      <c r="AO143" s="532"/>
      <c r="AP143" s="532"/>
      <c r="AQ143" s="532"/>
      <c r="AR143" s="532"/>
      <c r="AS143" s="532"/>
      <c r="AT143" s="532"/>
      <c r="AU143" s="532"/>
      <c r="AV143" s="532"/>
      <c r="AW143" s="532"/>
      <c r="AX143" s="532"/>
      <c r="AY143" s="532"/>
      <c r="AZ143" s="532"/>
      <c r="BA143" s="532"/>
      <c r="BB143" s="532"/>
      <c r="BC143" s="532"/>
      <c r="BD143" s="532"/>
      <c r="BE143" s="532"/>
      <c r="BF143" s="532"/>
      <c r="BG143" s="532"/>
      <c r="BH143" s="532"/>
      <c r="BI143" s="532"/>
      <c r="BJ143" s="532"/>
      <c r="BK143" s="532"/>
      <c r="BL143" s="532"/>
      <c r="BM143" s="532"/>
      <c r="BN143" s="532"/>
      <c r="BO143" s="532"/>
      <c r="BP143" s="532"/>
      <c r="BQ143" s="532"/>
      <c r="BR143" s="532"/>
      <c r="BS143" s="532"/>
      <c r="BT143" s="532"/>
      <c r="BU143" s="532"/>
      <c r="BV143" s="532"/>
      <c r="BW143" s="532"/>
      <c r="BX143" s="532"/>
      <c r="BY143" s="532"/>
      <c r="BZ143" s="532"/>
      <c r="CA143" s="532"/>
      <c r="CB143" s="532"/>
      <c r="CC143" s="532"/>
      <c r="CD143" s="532"/>
      <c r="CE143" s="532"/>
      <c r="CF143" s="532"/>
      <c r="CG143" s="532"/>
      <c r="CH143" s="532"/>
      <c r="CI143" s="532"/>
      <c r="CJ143" s="532"/>
      <c r="CK143" s="532"/>
      <c r="CL143" s="532"/>
      <c r="CM143" s="532"/>
      <c r="CN143" s="532"/>
      <c r="CO143" s="532"/>
      <c r="CP143" s="532"/>
      <c r="CQ143" s="532"/>
      <c r="CR143" s="532"/>
      <c r="CS143" s="532"/>
      <c r="CT143" s="532"/>
      <c r="CU143" s="532"/>
      <c r="CV143" s="532"/>
      <c r="CW143" s="532"/>
      <c r="CX143" s="532"/>
      <c r="CY143" s="532"/>
      <c r="CZ143" s="532"/>
      <c r="DA143" s="532"/>
      <c r="DB143" s="532"/>
      <c r="DC143" s="532"/>
      <c r="DD143" s="532"/>
      <c r="DE143" s="532"/>
      <c r="DF143" s="532"/>
      <c r="DG143" s="532"/>
      <c r="DH143" s="532"/>
      <c r="DI143" s="532"/>
      <c r="DJ143" s="532"/>
      <c r="DK143" s="532"/>
      <c r="DL143" s="532"/>
      <c r="DM143" s="532"/>
      <c r="DN143" s="532"/>
      <c r="DO143" s="532"/>
      <c r="DP143" s="532"/>
      <c r="DQ143" s="532"/>
      <c r="DR143" s="532"/>
      <c r="DS143" s="532"/>
      <c r="DT143" s="532"/>
      <c r="DU143" s="532"/>
      <c r="DV143" s="532"/>
      <c r="DW143" s="532"/>
      <c r="DX143" s="532"/>
      <c r="DY143" s="532"/>
      <c r="DZ143" s="532"/>
      <c r="EA143" s="532"/>
      <c r="EB143" s="532"/>
      <c r="EC143" s="532"/>
      <c r="ED143" s="532"/>
      <c r="EE143" s="532"/>
      <c r="EF143" s="532"/>
      <c r="EG143" s="532"/>
      <c r="EH143" s="532"/>
      <c r="EI143" s="532"/>
      <c r="EJ143" s="532"/>
      <c r="EK143" s="532"/>
      <c r="EL143" s="532"/>
      <c r="EM143" s="532"/>
      <c r="EN143" s="532"/>
      <c r="EO143" s="532"/>
      <c r="EP143" s="532"/>
      <c r="EQ143" s="532"/>
      <c r="ER143" s="532"/>
      <c r="ES143" s="532"/>
      <c r="ET143" s="532"/>
      <c r="EU143" s="532"/>
      <c r="EV143" s="532"/>
      <c r="EW143" s="532"/>
      <c r="EX143" s="532"/>
      <c r="EY143" s="532"/>
      <c r="EZ143" s="532"/>
      <c r="FA143" s="532"/>
      <c r="FB143" s="532"/>
      <c r="FC143" s="532"/>
      <c r="FD143" s="532"/>
      <c r="FE143" s="532"/>
      <c r="FF143" s="532"/>
      <c r="FG143" s="532"/>
      <c r="FH143" s="532"/>
      <c r="FI143" s="532"/>
      <c r="FJ143" s="96"/>
      <c r="FK143" s="96"/>
      <c r="FL143" s="96"/>
      <c r="FM143" s="48">
        <f>IF(AH151=FQ142,1,0)</f>
        <v>0</v>
      </c>
      <c r="FN143" s="48"/>
      <c r="FO143" s="48"/>
      <c r="FP143" s="48"/>
      <c r="FQ143" s="48"/>
      <c r="FR143" s="48"/>
      <c r="FS143" s="48"/>
      <c r="FT143" s="48"/>
      <c r="FU143" s="48"/>
      <c r="FV143" s="48"/>
      <c r="FW143" s="48"/>
      <c r="FX143" s="48"/>
      <c r="FY143" s="259"/>
      <c r="FZ143" s="259"/>
      <c r="GA143" s="259"/>
      <c r="GB143" s="259"/>
      <c r="GC143" s="377"/>
      <c r="GD143" s="377"/>
      <c r="GE143" s="377"/>
      <c r="GF143" s="377"/>
      <c r="GG143" s="377"/>
      <c r="GH143" s="377"/>
      <c r="GI143" s="377"/>
      <c r="GJ143" s="377"/>
      <c r="GK143" s="377"/>
      <c r="GL143" s="377"/>
      <c r="GM143" s="377"/>
      <c r="GN143" s="377"/>
      <c r="GO143" s="93"/>
      <c r="GP143" s="93"/>
      <c r="GQ143" s="93"/>
      <c r="GR143" s="93"/>
      <c r="GS143" s="93"/>
      <c r="GT143" s="93"/>
      <c r="GU143" s="93"/>
      <c r="GV143" s="93"/>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row>
    <row r="144" spans="1:236" customFormat="1" ht="16.5" customHeight="1">
      <c r="A144" s="1"/>
      <c r="B144" s="3"/>
      <c r="C144" s="3"/>
      <c r="D144" s="532"/>
      <c r="E144" s="532"/>
      <c r="F144" s="532"/>
      <c r="G144" s="532"/>
      <c r="H144" s="532"/>
      <c r="I144" s="532"/>
      <c r="J144" s="532"/>
      <c r="K144" s="532"/>
      <c r="L144" s="532"/>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c r="AM144" s="532"/>
      <c r="AN144" s="532"/>
      <c r="AO144" s="532"/>
      <c r="AP144" s="532"/>
      <c r="AQ144" s="532"/>
      <c r="AR144" s="532"/>
      <c r="AS144" s="532"/>
      <c r="AT144" s="532"/>
      <c r="AU144" s="532"/>
      <c r="AV144" s="532"/>
      <c r="AW144" s="532"/>
      <c r="AX144" s="532"/>
      <c r="AY144" s="532"/>
      <c r="AZ144" s="532"/>
      <c r="BA144" s="532"/>
      <c r="BB144" s="532"/>
      <c r="BC144" s="532"/>
      <c r="BD144" s="532"/>
      <c r="BE144" s="532"/>
      <c r="BF144" s="532"/>
      <c r="BG144" s="532"/>
      <c r="BH144" s="532"/>
      <c r="BI144" s="532"/>
      <c r="BJ144" s="532"/>
      <c r="BK144" s="532"/>
      <c r="BL144" s="532"/>
      <c r="BM144" s="532"/>
      <c r="BN144" s="532"/>
      <c r="BO144" s="532"/>
      <c r="BP144" s="532"/>
      <c r="BQ144" s="532"/>
      <c r="BR144" s="532"/>
      <c r="BS144" s="532"/>
      <c r="BT144" s="532"/>
      <c r="BU144" s="532"/>
      <c r="BV144" s="532"/>
      <c r="BW144" s="532"/>
      <c r="BX144" s="532"/>
      <c r="BY144" s="532"/>
      <c r="BZ144" s="532"/>
      <c r="CA144" s="532"/>
      <c r="CB144" s="532"/>
      <c r="CC144" s="532"/>
      <c r="CD144" s="532"/>
      <c r="CE144" s="532"/>
      <c r="CF144" s="532"/>
      <c r="CG144" s="532"/>
      <c r="CH144" s="532"/>
      <c r="CI144" s="532"/>
      <c r="CJ144" s="532"/>
      <c r="CK144" s="532"/>
      <c r="CL144" s="532"/>
      <c r="CM144" s="532"/>
      <c r="CN144" s="532"/>
      <c r="CO144" s="532"/>
      <c r="CP144" s="532"/>
      <c r="CQ144" s="532"/>
      <c r="CR144" s="532"/>
      <c r="CS144" s="532"/>
      <c r="CT144" s="532"/>
      <c r="CU144" s="532"/>
      <c r="CV144" s="532"/>
      <c r="CW144" s="532"/>
      <c r="CX144" s="532"/>
      <c r="CY144" s="532"/>
      <c r="CZ144" s="532"/>
      <c r="DA144" s="532"/>
      <c r="DB144" s="532"/>
      <c r="DC144" s="532"/>
      <c r="DD144" s="532"/>
      <c r="DE144" s="532"/>
      <c r="DF144" s="532"/>
      <c r="DG144" s="532"/>
      <c r="DH144" s="532"/>
      <c r="DI144" s="532"/>
      <c r="DJ144" s="532"/>
      <c r="DK144" s="532"/>
      <c r="DL144" s="532"/>
      <c r="DM144" s="532"/>
      <c r="DN144" s="532"/>
      <c r="DO144" s="532"/>
      <c r="DP144" s="532"/>
      <c r="DQ144" s="532"/>
      <c r="DR144" s="532"/>
      <c r="DS144" s="532"/>
      <c r="DT144" s="532"/>
      <c r="DU144" s="532"/>
      <c r="DV144" s="532"/>
      <c r="DW144" s="532"/>
      <c r="DX144" s="532"/>
      <c r="DY144" s="532"/>
      <c r="DZ144" s="532"/>
      <c r="EA144" s="532"/>
      <c r="EB144" s="532"/>
      <c r="EC144" s="532"/>
      <c r="ED144" s="532"/>
      <c r="EE144" s="532"/>
      <c r="EF144" s="532"/>
      <c r="EG144" s="532"/>
      <c r="EH144" s="532"/>
      <c r="EI144" s="532"/>
      <c r="EJ144" s="532"/>
      <c r="EK144" s="532"/>
      <c r="EL144" s="532"/>
      <c r="EM144" s="532"/>
      <c r="EN144" s="532"/>
      <c r="EO144" s="532"/>
      <c r="EP144" s="532"/>
      <c r="EQ144" s="532"/>
      <c r="ER144" s="532"/>
      <c r="ES144" s="532"/>
      <c r="ET144" s="532"/>
      <c r="EU144" s="532"/>
      <c r="EV144" s="532"/>
      <c r="EW144" s="532"/>
      <c r="EX144" s="532"/>
      <c r="EY144" s="532"/>
      <c r="EZ144" s="532"/>
      <c r="FA144" s="532"/>
      <c r="FB144" s="532"/>
      <c r="FC144" s="532"/>
      <c r="FD144" s="532"/>
      <c r="FE144" s="532"/>
      <c r="FF144" s="532"/>
      <c r="FG144" s="532"/>
      <c r="FH144" s="532"/>
      <c r="FI144" s="532"/>
      <c r="FJ144" s="96"/>
      <c r="FK144" s="96"/>
      <c r="FL144" s="96"/>
      <c r="FM144" s="96"/>
      <c r="FN144" s="48"/>
      <c r="FO144" s="48"/>
      <c r="FP144" s="48"/>
      <c r="FQ144" s="48"/>
      <c r="FR144" s="48"/>
      <c r="FS144" s="48"/>
      <c r="FT144" s="48"/>
      <c r="FU144" s="48"/>
      <c r="FV144" s="48"/>
      <c r="FW144" s="48"/>
      <c r="FX144" s="48"/>
      <c r="FY144" s="259"/>
      <c r="FZ144" s="259"/>
      <c r="GA144" s="259"/>
      <c r="GB144" s="259"/>
      <c r="GC144" s="377"/>
      <c r="GD144" s="377"/>
      <c r="GE144" s="377"/>
      <c r="GF144" s="377"/>
      <c r="GG144" s="377"/>
      <c r="GH144" s="377"/>
      <c r="GI144" s="377"/>
      <c r="GJ144" s="377"/>
      <c r="GK144" s="377"/>
      <c r="GL144" s="377"/>
      <c r="GM144" s="377"/>
      <c r="GN144" s="377"/>
      <c r="GO144" s="93"/>
      <c r="GP144" s="93"/>
      <c r="GQ144" s="93"/>
      <c r="GR144" s="93"/>
      <c r="GS144" s="93"/>
      <c r="GT144" s="93"/>
      <c r="GU144" s="93"/>
      <c r="GV144" s="93"/>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row>
    <row r="145" spans="1:236" customFormat="1" ht="11.4" customHeight="1">
      <c r="A145" s="1"/>
      <c r="B145" s="3"/>
      <c r="C145" s="3"/>
      <c r="D145" s="532"/>
      <c r="E145" s="532"/>
      <c r="F145" s="532"/>
      <c r="G145" s="532"/>
      <c r="H145" s="532"/>
      <c r="I145" s="532"/>
      <c r="J145" s="532"/>
      <c r="K145" s="532"/>
      <c r="L145" s="532"/>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c r="AM145" s="532"/>
      <c r="AN145" s="532"/>
      <c r="AO145" s="532"/>
      <c r="AP145" s="532"/>
      <c r="AQ145" s="532"/>
      <c r="AR145" s="532"/>
      <c r="AS145" s="532"/>
      <c r="AT145" s="532"/>
      <c r="AU145" s="532"/>
      <c r="AV145" s="532"/>
      <c r="AW145" s="532"/>
      <c r="AX145" s="532"/>
      <c r="AY145" s="532"/>
      <c r="AZ145" s="532"/>
      <c r="BA145" s="532"/>
      <c r="BB145" s="532"/>
      <c r="BC145" s="532"/>
      <c r="BD145" s="532"/>
      <c r="BE145" s="532"/>
      <c r="BF145" s="532"/>
      <c r="BG145" s="532"/>
      <c r="BH145" s="532"/>
      <c r="BI145" s="532"/>
      <c r="BJ145" s="532"/>
      <c r="BK145" s="532"/>
      <c r="BL145" s="532"/>
      <c r="BM145" s="532"/>
      <c r="BN145" s="532"/>
      <c r="BO145" s="532"/>
      <c r="BP145" s="532"/>
      <c r="BQ145" s="532"/>
      <c r="BR145" s="532"/>
      <c r="BS145" s="532"/>
      <c r="BT145" s="532"/>
      <c r="BU145" s="532"/>
      <c r="BV145" s="532"/>
      <c r="BW145" s="532"/>
      <c r="BX145" s="532"/>
      <c r="BY145" s="532"/>
      <c r="BZ145" s="532"/>
      <c r="CA145" s="532"/>
      <c r="CB145" s="532"/>
      <c r="CC145" s="532"/>
      <c r="CD145" s="532"/>
      <c r="CE145" s="532"/>
      <c r="CF145" s="532"/>
      <c r="CG145" s="532"/>
      <c r="CH145" s="532"/>
      <c r="CI145" s="532"/>
      <c r="CJ145" s="532"/>
      <c r="CK145" s="532"/>
      <c r="CL145" s="532"/>
      <c r="CM145" s="532"/>
      <c r="CN145" s="532"/>
      <c r="CO145" s="532"/>
      <c r="CP145" s="532"/>
      <c r="CQ145" s="532"/>
      <c r="CR145" s="532"/>
      <c r="CS145" s="532"/>
      <c r="CT145" s="532"/>
      <c r="CU145" s="532"/>
      <c r="CV145" s="532"/>
      <c r="CW145" s="532"/>
      <c r="CX145" s="532"/>
      <c r="CY145" s="532"/>
      <c r="CZ145" s="532"/>
      <c r="DA145" s="532"/>
      <c r="DB145" s="532"/>
      <c r="DC145" s="532"/>
      <c r="DD145" s="532"/>
      <c r="DE145" s="532"/>
      <c r="DF145" s="532"/>
      <c r="DG145" s="532"/>
      <c r="DH145" s="532"/>
      <c r="DI145" s="532"/>
      <c r="DJ145" s="532"/>
      <c r="DK145" s="532"/>
      <c r="DL145" s="532"/>
      <c r="DM145" s="532"/>
      <c r="DN145" s="532"/>
      <c r="DO145" s="532"/>
      <c r="DP145" s="532"/>
      <c r="DQ145" s="532"/>
      <c r="DR145" s="532"/>
      <c r="DS145" s="532"/>
      <c r="DT145" s="532"/>
      <c r="DU145" s="532"/>
      <c r="DV145" s="532"/>
      <c r="DW145" s="532"/>
      <c r="DX145" s="532"/>
      <c r="DY145" s="532"/>
      <c r="DZ145" s="532"/>
      <c r="EA145" s="532"/>
      <c r="EB145" s="532"/>
      <c r="EC145" s="532"/>
      <c r="ED145" s="532"/>
      <c r="EE145" s="532"/>
      <c r="EF145" s="532"/>
      <c r="EG145" s="532"/>
      <c r="EH145" s="532"/>
      <c r="EI145" s="532"/>
      <c r="EJ145" s="532"/>
      <c r="EK145" s="532"/>
      <c r="EL145" s="532"/>
      <c r="EM145" s="532"/>
      <c r="EN145" s="532"/>
      <c r="EO145" s="532"/>
      <c r="EP145" s="532"/>
      <c r="EQ145" s="532"/>
      <c r="ER145" s="532"/>
      <c r="ES145" s="532"/>
      <c r="ET145" s="532"/>
      <c r="EU145" s="532"/>
      <c r="EV145" s="532"/>
      <c r="EW145" s="532"/>
      <c r="EX145" s="532"/>
      <c r="EY145" s="532"/>
      <c r="EZ145" s="532"/>
      <c r="FA145" s="532"/>
      <c r="FB145" s="532"/>
      <c r="FC145" s="532"/>
      <c r="FD145" s="532"/>
      <c r="FE145" s="532"/>
      <c r="FF145" s="532"/>
      <c r="FG145" s="532"/>
      <c r="FH145" s="532"/>
      <c r="FI145" s="532"/>
      <c r="FJ145" s="96"/>
      <c r="FK145" s="96"/>
      <c r="FL145" s="96"/>
      <c r="FM145" s="96"/>
      <c r="FN145" s="48"/>
      <c r="FO145" s="48"/>
      <c r="FP145" s="48"/>
      <c r="FQ145" s="48"/>
      <c r="FR145" s="48"/>
      <c r="FS145" s="48"/>
      <c r="FT145" s="48"/>
      <c r="FU145" s="48"/>
      <c r="FV145" s="48"/>
      <c r="FW145" s="48"/>
      <c r="FX145" s="48"/>
      <c r="FY145" s="259"/>
      <c r="FZ145" s="259"/>
      <c r="GA145" s="259"/>
      <c r="GB145" s="259"/>
      <c r="GC145" s="377"/>
      <c r="GD145" s="377"/>
      <c r="GE145" s="377"/>
      <c r="GF145" s="377"/>
      <c r="GG145" s="377"/>
      <c r="GH145" s="377"/>
      <c r="GI145" s="377"/>
      <c r="GJ145" s="377"/>
      <c r="GK145" s="377"/>
      <c r="GL145" s="377"/>
      <c r="GM145" s="377"/>
      <c r="GN145" s="377"/>
      <c r="GO145" s="93"/>
      <c r="GP145" s="93"/>
      <c r="GQ145" s="93"/>
      <c r="GR145" s="93"/>
      <c r="GS145" s="93"/>
      <c r="GT145" s="93"/>
      <c r="GU145" s="93"/>
      <c r="GV145" s="93"/>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row>
    <row r="146" spans="1:236" customFormat="1" ht="4.5" customHeight="1">
      <c r="A146" s="1"/>
      <c r="B146" s="3"/>
      <c r="C146" s="3"/>
      <c r="D146" s="43"/>
      <c r="E146" s="43"/>
      <c r="F146" s="79"/>
      <c r="G146" s="79"/>
      <c r="H146" s="79"/>
      <c r="I146" s="79"/>
      <c r="J146" s="79"/>
      <c r="K146" s="79"/>
      <c r="L146" s="12"/>
      <c r="M146" s="10"/>
      <c r="N146" s="10"/>
      <c r="O146" s="66"/>
      <c r="P146" s="66"/>
      <c r="Q146" s="66"/>
      <c r="R146" s="66"/>
      <c r="S146" s="66"/>
      <c r="T146" s="66"/>
      <c r="U146" s="66"/>
      <c r="V146" s="66"/>
      <c r="W146" s="66"/>
      <c r="X146" s="66"/>
      <c r="Y146" s="66"/>
      <c r="Z146" s="10"/>
      <c r="AA146" s="10"/>
      <c r="AB146" s="10"/>
      <c r="AC146" s="10"/>
      <c r="AD146" s="10"/>
      <c r="AE146" s="10"/>
      <c r="AF146" s="10"/>
      <c r="AG146" s="544" t="str">
        <f ca="1">IF(FL1=0,"","+")</f>
        <v/>
      </c>
      <c r="AH146" s="544"/>
      <c r="AI146" s="544"/>
      <c r="AJ146" s="544"/>
      <c r="AK146" s="544"/>
      <c r="AL146" s="544"/>
      <c r="AM146" s="544"/>
      <c r="AN146" s="544"/>
      <c r="AO146" s="544"/>
      <c r="AP146" s="544"/>
      <c r="AQ146" s="544"/>
      <c r="AR146" s="544"/>
      <c r="AS146" s="544"/>
      <c r="AT146" s="544"/>
      <c r="AU146" s="544"/>
      <c r="AV146" s="544"/>
      <c r="AW146" s="544"/>
      <c r="AX146" s="544"/>
      <c r="AY146" s="544"/>
      <c r="AZ146" s="544"/>
      <c r="BA146" s="544"/>
      <c r="BB146" s="544"/>
      <c r="BC146" s="544"/>
      <c r="BD146" s="544"/>
      <c r="BE146" s="544"/>
      <c r="BF146" s="544"/>
      <c r="BG146" s="544"/>
      <c r="BH146" s="544"/>
      <c r="BI146" s="544"/>
      <c r="BJ146" s="544"/>
      <c r="BK146" s="544"/>
      <c r="BL146" s="544"/>
      <c r="BM146" s="544"/>
      <c r="BN146" s="544"/>
      <c r="BO146" s="544"/>
      <c r="BP146" s="544"/>
      <c r="BQ146" s="544"/>
      <c r="BR146" s="544"/>
      <c r="BS146" s="544"/>
      <c r="BT146" s="544"/>
      <c r="BU146" s="544"/>
      <c r="BV146" s="544"/>
      <c r="BW146" s="544"/>
      <c r="BX146" s="544"/>
      <c r="BY146" s="66"/>
      <c r="BZ146" s="66"/>
      <c r="CA146" s="66"/>
      <c r="CB146" s="10"/>
      <c r="CC146" s="10"/>
      <c r="CD146" s="10"/>
      <c r="CE146" s="10"/>
      <c r="CF146" s="10"/>
      <c r="CG146" s="10"/>
      <c r="CH146" s="10"/>
      <c r="CI146" s="10"/>
      <c r="CJ146" s="10"/>
      <c r="CK146" s="544" t="str">
        <f ca="1">IF(FL1=0,"","+")</f>
        <v/>
      </c>
      <c r="CL146" s="545"/>
      <c r="CM146" s="545"/>
      <c r="CN146" s="545"/>
      <c r="CO146" s="545"/>
      <c r="CP146" s="545"/>
      <c r="CQ146" s="545"/>
      <c r="CR146" s="545"/>
      <c r="CS146" s="545"/>
      <c r="CT146" s="545"/>
      <c r="CU146" s="545"/>
      <c r="CV146" s="545"/>
      <c r="CW146" s="545"/>
      <c r="CX146" s="545"/>
      <c r="CY146" s="545"/>
      <c r="CZ146" s="545"/>
      <c r="DA146" s="545"/>
      <c r="DB146" s="545"/>
      <c r="DC146" s="545"/>
      <c r="DD146" s="545"/>
      <c r="DE146" s="545"/>
      <c r="DF146" s="545"/>
      <c r="DG146" s="545"/>
      <c r="DH146" s="545"/>
      <c r="DI146" s="545"/>
      <c r="DJ146" s="545"/>
      <c r="DK146" s="545"/>
      <c r="DL146" s="545"/>
      <c r="DM146" s="545"/>
      <c r="DN146" s="545"/>
      <c r="DO146" s="545"/>
      <c r="DP146" s="545"/>
      <c r="DQ146" s="545"/>
      <c r="DR146" s="545"/>
      <c r="DS146" s="545"/>
      <c r="DT146" s="545"/>
      <c r="DU146" s="545"/>
      <c r="DV146" s="545"/>
      <c r="DW146" s="545"/>
      <c r="DX146" s="545"/>
      <c r="DY146" s="545"/>
      <c r="DZ146" s="545"/>
      <c r="EA146" s="545"/>
      <c r="EB146" s="545"/>
      <c r="EC146" s="43"/>
      <c r="ED146" s="43"/>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79"/>
      <c r="FJ146" s="96"/>
      <c r="FK146" s="96"/>
      <c r="FL146" s="96"/>
      <c r="FM146" s="96"/>
      <c r="FN146" s="48"/>
      <c r="FO146" s="48"/>
      <c r="FP146" s="48"/>
      <c r="FQ146" s="48"/>
      <c r="FR146" s="48"/>
      <c r="FS146" s="48"/>
      <c r="FT146" s="48"/>
      <c r="FU146" s="48"/>
      <c r="FV146" s="48"/>
      <c r="FW146" s="48"/>
      <c r="FX146" s="48"/>
      <c r="FY146" s="259"/>
      <c r="FZ146" s="259"/>
      <c r="GA146" s="259"/>
      <c r="GB146" s="259"/>
      <c r="GC146" s="377"/>
      <c r="GD146" s="377"/>
      <c r="GE146" s="377"/>
      <c r="GF146" s="377"/>
      <c r="GG146" s="377"/>
      <c r="GH146" s="377"/>
      <c r="GI146" s="377"/>
      <c r="GJ146" s="377"/>
      <c r="GK146" s="377"/>
      <c r="GL146" s="377"/>
      <c r="GM146" s="377"/>
      <c r="GN146" s="377"/>
      <c r="GO146" s="93"/>
      <c r="GP146" s="93"/>
      <c r="GQ146" s="93"/>
      <c r="GR146" s="93"/>
      <c r="GS146" s="93"/>
      <c r="GT146" s="93"/>
      <c r="GU146" s="93"/>
      <c r="GV146" s="93"/>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row>
    <row r="147" spans="1:236" customFormat="1" ht="16.5" customHeight="1">
      <c r="A147" s="1"/>
      <c r="B147" s="3"/>
      <c r="C147" s="3"/>
      <c r="D147" s="43"/>
      <c r="E147" s="43"/>
      <c r="F147" s="79"/>
      <c r="G147" s="79"/>
      <c r="H147" s="79"/>
      <c r="I147" s="79"/>
      <c r="J147" s="79"/>
      <c r="K147" s="79"/>
      <c r="L147" s="12"/>
      <c r="M147" s="10"/>
      <c r="N147" s="10"/>
      <c r="O147" s="66"/>
      <c r="P147" s="66"/>
      <c r="Q147" s="66"/>
      <c r="R147" s="66"/>
      <c r="S147" s="66"/>
      <c r="T147" s="66"/>
      <c r="U147" s="66"/>
      <c r="V147" s="66"/>
      <c r="W147" s="66"/>
      <c r="X147" s="66"/>
      <c r="Y147" s="66"/>
      <c r="Z147" s="10"/>
      <c r="AA147" s="10"/>
      <c r="AB147" s="10"/>
      <c r="AC147" s="10"/>
      <c r="AD147" s="10"/>
      <c r="AE147" s="10"/>
      <c r="AF147" s="133" t="str">
        <f ca="1">IF(FL1=1,"A:  ","")</f>
        <v/>
      </c>
      <c r="AG147" s="250" t="str">
        <f ca="1">IF(FL1=0,"","+")</f>
        <v/>
      </c>
      <c r="AH147" s="602"/>
      <c r="AI147" s="602"/>
      <c r="AJ147" s="602"/>
      <c r="AK147" s="602"/>
      <c r="AL147" s="602"/>
      <c r="AM147" s="602"/>
      <c r="AN147" s="602"/>
      <c r="AO147" s="602"/>
      <c r="AP147" s="602"/>
      <c r="AQ147" s="602"/>
      <c r="AR147" s="602"/>
      <c r="AS147" s="602"/>
      <c r="AT147" s="602"/>
      <c r="AU147" s="602"/>
      <c r="AV147" s="602"/>
      <c r="AW147" s="602"/>
      <c r="AX147" s="602"/>
      <c r="AY147" s="602"/>
      <c r="AZ147" s="602"/>
      <c r="BA147" s="602"/>
      <c r="BB147" s="602"/>
      <c r="BC147" s="602"/>
      <c r="BD147" s="602"/>
      <c r="BE147" s="602"/>
      <c r="BF147" s="602"/>
      <c r="BG147" s="602"/>
      <c r="BH147" s="602"/>
      <c r="BI147" s="602"/>
      <c r="BJ147" s="602"/>
      <c r="BK147" s="602"/>
      <c r="BL147" s="602"/>
      <c r="BM147" s="602"/>
      <c r="BN147" s="602"/>
      <c r="BO147" s="602"/>
      <c r="BP147" s="602"/>
      <c r="BQ147" s="602"/>
      <c r="BR147" s="602"/>
      <c r="BS147" s="602"/>
      <c r="BT147" s="602"/>
      <c r="BU147" s="602"/>
      <c r="BV147" s="602"/>
      <c r="BW147" s="602"/>
      <c r="BX147" s="250" t="str">
        <f ca="1">IF(FL1=0,"","+")</f>
        <v/>
      </c>
      <c r="BY147" s="386" t="s">
        <v>131</v>
      </c>
      <c r="BZ147" s="66"/>
      <c r="CA147" s="66"/>
      <c r="CB147" s="10"/>
      <c r="CC147" s="10"/>
      <c r="CD147" s="10"/>
      <c r="CE147" s="10"/>
      <c r="CF147" s="10"/>
      <c r="CG147" s="10"/>
      <c r="CH147" s="10"/>
      <c r="CI147" s="10"/>
      <c r="CJ147" s="133" t="str">
        <f ca="1">IF(FL1=1,"C:  ","")</f>
        <v/>
      </c>
      <c r="CK147" s="250" t="str">
        <f ca="1">IF(FL1=0,"","+")</f>
        <v/>
      </c>
      <c r="CL147" s="602"/>
      <c r="CM147" s="602"/>
      <c r="CN147" s="602"/>
      <c r="CO147" s="602"/>
      <c r="CP147" s="602"/>
      <c r="CQ147" s="602"/>
      <c r="CR147" s="602"/>
      <c r="CS147" s="602"/>
      <c r="CT147" s="602"/>
      <c r="CU147" s="602"/>
      <c r="CV147" s="602"/>
      <c r="CW147" s="602"/>
      <c r="CX147" s="602"/>
      <c r="CY147" s="602"/>
      <c r="CZ147" s="602"/>
      <c r="DA147" s="602"/>
      <c r="DB147" s="602"/>
      <c r="DC147" s="602"/>
      <c r="DD147" s="602"/>
      <c r="DE147" s="602"/>
      <c r="DF147" s="602"/>
      <c r="DG147" s="602"/>
      <c r="DH147" s="602"/>
      <c r="DI147" s="602"/>
      <c r="DJ147" s="602"/>
      <c r="DK147" s="602"/>
      <c r="DL147" s="602"/>
      <c r="DM147" s="602"/>
      <c r="DN147" s="602"/>
      <c r="DO147" s="602"/>
      <c r="DP147" s="602"/>
      <c r="DQ147" s="602"/>
      <c r="DR147" s="602"/>
      <c r="DS147" s="602"/>
      <c r="DT147" s="602"/>
      <c r="DU147" s="602"/>
      <c r="DV147" s="602"/>
      <c r="DW147" s="602"/>
      <c r="DX147" s="602"/>
      <c r="DY147" s="602"/>
      <c r="DZ147" s="602"/>
      <c r="EA147" s="602"/>
      <c r="EB147" s="250" t="str">
        <f ca="1">IF(FL1=0,"","+")</f>
        <v/>
      </c>
      <c r="EC147" s="165" t="s">
        <v>131</v>
      </c>
      <c r="ED147" s="43"/>
      <c r="EE147" s="43"/>
      <c r="EF147" s="43"/>
      <c r="EG147" s="43"/>
      <c r="EH147" s="43"/>
      <c r="EI147" s="43"/>
      <c r="EJ147" s="43"/>
      <c r="EK147" s="43"/>
      <c r="EL147" s="43"/>
      <c r="EM147" s="79"/>
      <c r="EN147" s="79"/>
      <c r="EO147" s="79"/>
      <c r="EP147" s="79"/>
      <c r="EQ147" s="79"/>
      <c r="ER147" s="79"/>
      <c r="ES147" s="79"/>
      <c r="ET147" s="79"/>
      <c r="EU147" s="79"/>
      <c r="EV147" s="79"/>
      <c r="EW147" s="79"/>
      <c r="EX147" s="79"/>
      <c r="EY147" s="79"/>
      <c r="EZ147" s="79"/>
      <c r="FA147" s="79"/>
      <c r="FB147" s="79"/>
      <c r="FC147" s="79"/>
      <c r="FD147" s="79"/>
      <c r="FE147" s="79"/>
      <c r="FF147" s="79"/>
      <c r="FG147" s="79"/>
      <c r="FH147" s="79"/>
      <c r="FI147" s="79"/>
      <c r="FJ147" s="96"/>
      <c r="FK147" s="96"/>
      <c r="FL147" s="96"/>
      <c r="FM147" s="48">
        <f>IF(CL147=FN142,1,0)</f>
        <v>0</v>
      </c>
      <c r="FN147" s="300" t="str">
        <f ca="1">IF(FK1=0,"",FO142)</f>
        <v>de totale opbrengst (omzet)</v>
      </c>
      <c r="FO147" s="300" t="str">
        <f ca="1">IF(FK1=0,"",FQ142)</f>
        <v>de totale winst</v>
      </c>
      <c r="FP147" s="300" t="str">
        <f ca="1">IF(FK1=0,"",FN142)</f>
        <v>de totale constante kosten</v>
      </c>
      <c r="FQ147" s="300" t="str">
        <f ca="1">IF(FK1=0,"",FP142)</f>
        <v>de totale variabele kosten</v>
      </c>
      <c r="FR147" s="449"/>
      <c r="FS147" s="48"/>
      <c r="FT147" s="48"/>
      <c r="FU147" s="48"/>
      <c r="FV147" s="48"/>
      <c r="FW147" s="48"/>
      <c r="FX147" s="48"/>
      <c r="FY147" s="259"/>
      <c r="FZ147" s="259"/>
      <c r="GA147" s="259"/>
      <c r="GB147" s="259"/>
      <c r="GC147" s="377"/>
      <c r="GD147" s="377"/>
      <c r="GE147" s="377"/>
      <c r="GF147" s="377"/>
      <c r="GG147" s="377"/>
      <c r="GH147" s="377"/>
      <c r="GI147" s="377"/>
      <c r="GJ147" s="377"/>
      <c r="GK147" s="377"/>
      <c r="GL147" s="377"/>
      <c r="GM147" s="377"/>
      <c r="GN147" s="377"/>
      <c r="GO147" s="93"/>
      <c r="GP147" s="93"/>
      <c r="GQ147" s="93"/>
      <c r="GR147" s="93"/>
      <c r="GS147" s="93"/>
      <c r="GT147" s="93"/>
      <c r="GU147" s="93"/>
      <c r="GV147" s="93"/>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row>
    <row r="148" spans="1:236" customFormat="1" ht="4.5" customHeight="1">
      <c r="A148" s="1"/>
      <c r="B148" s="3"/>
      <c r="C148" s="3"/>
      <c r="D148" s="43"/>
      <c r="E148" s="43"/>
      <c r="F148" s="79"/>
      <c r="G148" s="79"/>
      <c r="H148" s="79"/>
      <c r="I148" s="79"/>
      <c r="J148" s="79"/>
      <c r="K148" s="79"/>
      <c r="L148" s="12"/>
      <c r="M148" s="10"/>
      <c r="N148" s="10"/>
      <c r="O148" s="66"/>
      <c r="P148" s="66"/>
      <c r="Q148" s="66"/>
      <c r="R148" s="66"/>
      <c r="S148" s="66"/>
      <c r="T148" s="66"/>
      <c r="U148" s="66"/>
      <c r="V148" s="66"/>
      <c r="W148" s="66"/>
      <c r="X148" s="66"/>
      <c r="Y148" s="66"/>
      <c r="Z148" s="10"/>
      <c r="AA148" s="10"/>
      <c r="AB148" s="10"/>
      <c r="AC148" s="10"/>
      <c r="AD148" s="10"/>
      <c r="AE148" s="10"/>
      <c r="AF148" s="10"/>
      <c r="AG148" s="544" t="str">
        <f ca="1">IF(FL1=0,"","+")</f>
        <v/>
      </c>
      <c r="AH148" s="544"/>
      <c r="AI148" s="544"/>
      <c r="AJ148" s="544"/>
      <c r="AK148" s="544"/>
      <c r="AL148" s="544"/>
      <c r="AM148" s="544"/>
      <c r="AN148" s="544"/>
      <c r="AO148" s="544"/>
      <c r="AP148" s="544"/>
      <c r="AQ148" s="544"/>
      <c r="AR148" s="544"/>
      <c r="AS148" s="544"/>
      <c r="AT148" s="544"/>
      <c r="AU148" s="544"/>
      <c r="AV148" s="544"/>
      <c r="AW148" s="544"/>
      <c r="AX148" s="544"/>
      <c r="AY148" s="544"/>
      <c r="AZ148" s="544"/>
      <c r="BA148" s="544"/>
      <c r="BB148" s="544"/>
      <c r="BC148" s="544"/>
      <c r="BD148" s="544"/>
      <c r="BE148" s="544"/>
      <c r="BF148" s="544"/>
      <c r="BG148" s="544"/>
      <c r="BH148" s="544"/>
      <c r="BI148" s="544"/>
      <c r="BJ148" s="544"/>
      <c r="BK148" s="544"/>
      <c r="BL148" s="544"/>
      <c r="BM148" s="544"/>
      <c r="BN148" s="544"/>
      <c r="BO148" s="544"/>
      <c r="BP148" s="544"/>
      <c r="BQ148" s="544"/>
      <c r="BR148" s="544"/>
      <c r="BS148" s="544"/>
      <c r="BT148" s="544"/>
      <c r="BU148" s="544"/>
      <c r="BV148" s="544"/>
      <c r="BW148" s="544"/>
      <c r="BX148" s="544"/>
      <c r="BY148" s="66"/>
      <c r="BZ148" s="66"/>
      <c r="CA148" s="66"/>
      <c r="CB148" s="10"/>
      <c r="CC148" s="10"/>
      <c r="CD148" s="10"/>
      <c r="CE148" s="10"/>
      <c r="CF148" s="10"/>
      <c r="CG148" s="10"/>
      <c r="CH148" s="10"/>
      <c r="CI148" s="10"/>
      <c r="CJ148" s="10"/>
      <c r="CK148" s="544" t="str">
        <f ca="1">IF(FL1=0,"","+")</f>
        <v/>
      </c>
      <c r="CL148" s="545"/>
      <c r="CM148" s="545"/>
      <c r="CN148" s="545"/>
      <c r="CO148" s="545"/>
      <c r="CP148" s="545"/>
      <c r="CQ148" s="545"/>
      <c r="CR148" s="545"/>
      <c r="CS148" s="545"/>
      <c r="CT148" s="545"/>
      <c r="CU148" s="545"/>
      <c r="CV148" s="545"/>
      <c r="CW148" s="545"/>
      <c r="CX148" s="545"/>
      <c r="CY148" s="545"/>
      <c r="CZ148" s="545"/>
      <c r="DA148" s="545"/>
      <c r="DB148" s="545"/>
      <c r="DC148" s="545"/>
      <c r="DD148" s="545"/>
      <c r="DE148" s="545"/>
      <c r="DF148" s="545"/>
      <c r="DG148" s="545"/>
      <c r="DH148" s="545"/>
      <c r="DI148" s="545"/>
      <c r="DJ148" s="545"/>
      <c r="DK148" s="545"/>
      <c r="DL148" s="545"/>
      <c r="DM148" s="545"/>
      <c r="DN148" s="545"/>
      <c r="DO148" s="545"/>
      <c r="DP148" s="545"/>
      <c r="DQ148" s="545"/>
      <c r="DR148" s="545"/>
      <c r="DS148" s="545"/>
      <c r="DT148" s="545"/>
      <c r="DU148" s="545"/>
      <c r="DV148" s="545"/>
      <c r="DW148" s="545"/>
      <c r="DX148" s="545"/>
      <c r="DY148" s="545"/>
      <c r="DZ148" s="545"/>
      <c r="EA148" s="545"/>
      <c r="EB148" s="545"/>
      <c r="EC148" s="43"/>
      <c r="ED148" s="43"/>
      <c r="EE148" s="535" t="str">
        <f ca="1">IF(OR(CO461="",TODAY()&gt;=Blad1!AY3),"",IF(FL1=0,"",IF(OR(AH147="",AH151="",CL147="",CL151=""),"Deze moet je nog (af-) maken.",IF(FL151=1,"Goed!",IF(FM142+FM143+FM147+FM151=3,"Je hebt er één fout!","Je hebt er twee of meer fout!")))))</f>
        <v/>
      </c>
      <c r="EF148" s="535"/>
      <c r="EG148" s="535"/>
      <c r="EH148" s="535"/>
      <c r="EI148" s="535"/>
      <c r="EJ148" s="535"/>
      <c r="EK148" s="535"/>
      <c r="EL148" s="535"/>
      <c r="EM148" s="535"/>
      <c r="EN148" s="535"/>
      <c r="EO148" s="535"/>
      <c r="EP148" s="535"/>
      <c r="EQ148" s="535"/>
      <c r="ER148" s="535"/>
      <c r="ES148" s="535"/>
      <c r="ET148" s="535"/>
      <c r="EU148" s="535"/>
      <c r="EV148" s="535"/>
      <c r="EW148" s="535"/>
      <c r="EX148" s="535"/>
      <c r="EY148" s="535"/>
      <c r="EZ148" s="535"/>
      <c r="FA148" s="535"/>
      <c r="FB148" s="535"/>
      <c r="FC148" s="535"/>
      <c r="FD148" s="535"/>
      <c r="FE148" s="535"/>
      <c r="FF148" s="535"/>
      <c r="FG148" s="535"/>
      <c r="FH148" s="535"/>
      <c r="FI148" s="79"/>
      <c r="FJ148" s="96"/>
      <c r="FK148" s="96"/>
      <c r="FL148" s="96"/>
      <c r="FM148" s="96"/>
      <c r="FN148" s="48"/>
      <c r="FO148" s="48"/>
      <c r="FP148" s="48"/>
      <c r="FQ148" s="48"/>
      <c r="FR148" s="48"/>
      <c r="FS148" s="48"/>
      <c r="FT148" s="48"/>
      <c r="FU148" s="48"/>
      <c r="FV148" s="48"/>
      <c r="FW148" s="48"/>
      <c r="FX148" s="48"/>
      <c r="FY148" s="259"/>
      <c r="FZ148" s="259"/>
      <c r="GA148" s="259"/>
      <c r="GB148" s="259"/>
      <c r="GC148" s="377"/>
      <c r="GD148" s="377"/>
      <c r="GE148" s="377"/>
      <c r="GF148" s="377"/>
      <c r="GG148" s="377"/>
      <c r="GH148" s="377"/>
      <c r="GI148" s="377"/>
      <c r="GJ148" s="377"/>
      <c r="GK148" s="377"/>
      <c r="GL148" s="377"/>
      <c r="GM148" s="377"/>
      <c r="GN148" s="377"/>
      <c r="GO148" s="256"/>
      <c r="GP148" s="338"/>
      <c r="GQ148" s="338"/>
      <c r="GR148" s="338"/>
      <c r="GS148" s="338"/>
      <c r="GT148" s="338"/>
      <c r="GU148" s="338"/>
      <c r="GV148" s="338"/>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row>
    <row r="149" spans="1:236" customFormat="1" ht="8.25" customHeight="1">
      <c r="A149" s="1"/>
      <c r="B149" s="3"/>
      <c r="C149" s="3"/>
      <c r="D149" s="43"/>
      <c r="E149" s="43"/>
      <c r="F149" s="79"/>
      <c r="G149" s="79"/>
      <c r="H149" s="79"/>
      <c r="I149" s="79"/>
      <c r="J149" s="79"/>
      <c r="K149" s="79"/>
      <c r="L149" s="12"/>
      <c r="M149" s="10"/>
      <c r="N149" s="10"/>
      <c r="O149" s="66"/>
      <c r="P149" s="66"/>
      <c r="Q149" s="66"/>
      <c r="R149" s="66"/>
      <c r="S149" s="66"/>
      <c r="T149" s="66"/>
      <c r="U149" s="66"/>
      <c r="V149" s="66"/>
      <c r="W149" s="66"/>
      <c r="X149" s="66"/>
      <c r="Y149" s="66"/>
      <c r="Z149" s="10"/>
      <c r="AA149" s="10"/>
      <c r="AB149" s="10"/>
      <c r="AC149" s="10"/>
      <c r="AD149" s="10"/>
      <c r="AE149" s="10"/>
      <c r="AF149" s="10"/>
      <c r="AG149" s="278"/>
      <c r="AH149" s="278"/>
      <c r="AI149" s="278"/>
      <c r="AJ149" s="278"/>
      <c r="AK149" s="278"/>
      <c r="AL149" s="278"/>
      <c r="AM149" s="278"/>
      <c r="AN149" s="278"/>
      <c r="AO149" s="278"/>
      <c r="AP149" s="278"/>
      <c r="AQ149" s="278"/>
      <c r="AR149" s="278"/>
      <c r="AS149" s="278"/>
      <c r="AT149" s="278"/>
      <c r="AU149" s="278"/>
      <c r="AV149" s="278"/>
      <c r="AW149" s="278"/>
      <c r="AX149" s="278"/>
      <c r="AY149" s="278"/>
      <c r="AZ149" s="278"/>
      <c r="BA149" s="278"/>
      <c r="BB149" s="278"/>
      <c r="BC149" s="278"/>
      <c r="BD149" s="278"/>
      <c r="BE149" s="278"/>
      <c r="BF149" s="278"/>
      <c r="BG149" s="278"/>
      <c r="BH149" s="278"/>
      <c r="BI149" s="278"/>
      <c r="BJ149" s="278"/>
      <c r="BK149" s="278"/>
      <c r="BL149" s="278"/>
      <c r="BM149" s="278"/>
      <c r="BN149" s="278"/>
      <c r="BO149" s="278"/>
      <c r="BP149" s="278"/>
      <c r="BQ149" s="278"/>
      <c r="BR149" s="278"/>
      <c r="BS149" s="278"/>
      <c r="BT149" s="278"/>
      <c r="BU149" s="278"/>
      <c r="BV149" s="278"/>
      <c r="BW149" s="278"/>
      <c r="BX149" s="278"/>
      <c r="BY149" s="66"/>
      <c r="BZ149" s="66"/>
      <c r="CA149" s="66"/>
      <c r="CB149" s="10"/>
      <c r="CC149" s="10"/>
      <c r="CD149" s="10"/>
      <c r="CE149" s="10"/>
      <c r="CF149" s="10"/>
      <c r="CG149" s="10"/>
      <c r="CH149" s="10"/>
      <c r="CI149" s="10"/>
      <c r="CJ149" s="10"/>
      <c r="CK149" s="278"/>
      <c r="CL149" s="278"/>
      <c r="CM149" s="278"/>
      <c r="CN149" s="278"/>
      <c r="CO149" s="278"/>
      <c r="CP149" s="278"/>
      <c r="CQ149" s="278"/>
      <c r="CR149" s="278"/>
      <c r="CS149" s="278"/>
      <c r="CT149" s="278"/>
      <c r="CU149" s="278"/>
      <c r="CV149" s="278"/>
      <c r="CW149" s="278"/>
      <c r="CX149" s="278"/>
      <c r="CY149" s="278"/>
      <c r="CZ149" s="278"/>
      <c r="DA149" s="278"/>
      <c r="DB149" s="278"/>
      <c r="DC149" s="278"/>
      <c r="DD149" s="278"/>
      <c r="DE149" s="278"/>
      <c r="DF149" s="278"/>
      <c r="DG149" s="278"/>
      <c r="DH149" s="278"/>
      <c r="DI149" s="278"/>
      <c r="DJ149" s="278"/>
      <c r="DK149" s="278"/>
      <c r="DL149" s="278"/>
      <c r="DM149" s="278"/>
      <c r="DN149" s="278"/>
      <c r="DO149" s="278"/>
      <c r="DP149" s="278"/>
      <c r="DQ149" s="278"/>
      <c r="DR149" s="278"/>
      <c r="DS149" s="278"/>
      <c r="DT149" s="278"/>
      <c r="DU149" s="278"/>
      <c r="DV149" s="278"/>
      <c r="DW149" s="278"/>
      <c r="DX149" s="278"/>
      <c r="DY149" s="278"/>
      <c r="DZ149" s="278"/>
      <c r="EA149" s="278"/>
      <c r="EB149" s="278"/>
      <c r="EC149" s="43"/>
      <c r="ED149" s="43"/>
      <c r="EE149" s="535"/>
      <c r="EF149" s="535"/>
      <c r="EG149" s="535"/>
      <c r="EH149" s="535"/>
      <c r="EI149" s="535"/>
      <c r="EJ149" s="535"/>
      <c r="EK149" s="535"/>
      <c r="EL149" s="535"/>
      <c r="EM149" s="535"/>
      <c r="EN149" s="535"/>
      <c r="EO149" s="535"/>
      <c r="EP149" s="535"/>
      <c r="EQ149" s="535"/>
      <c r="ER149" s="535"/>
      <c r="ES149" s="535"/>
      <c r="ET149" s="535"/>
      <c r="EU149" s="535"/>
      <c r="EV149" s="535"/>
      <c r="EW149" s="535"/>
      <c r="EX149" s="535"/>
      <c r="EY149" s="535"/>
      <c r="EZ149" s="535"/>
      <c r="FA149" s="535"/>
      <c r="FB149" s="535"/>
      <c r="FC149" s="535"/>
      <c r="FD149" s="535"/>
      <c r="FE149" s="535"/>
      <c r="FF149" s="535"/>
      <c r="FG149" s="535"/>
      <c r="FH149" s="535"/>
      <c r="FI149" s="79"/>
      <c r="FJ149" s="96"/>
      <c r="FK149" s="96"/>
      <c r="FL149" s="96"/>
      <c r="FM149" s="96"/>
      <c r="FN149" s="48"/>
      <c r="FO149" s="48"/>
      <c r="FP149" s="48"/>
      <c r="FQ149" s="48"/>
      <c r="FR149" s="48"/>
      <c r="FS149" s="48"/>
      <c r="FT149" s="48"/>
      <c r="FU149" s="48"/>
      <c r="FV149" s="48"/>
      <c r="FW149" s="48"/>
      <c r="FX149" s="48"/>
      <c r="FY149" s="259"/>
      <c r="FZ149" s="259"/>
      <c r="GA149" s="259"/>
      <c r="GB149" s="259"/>
      <c r="GC149" s="377"/>
      <c r="GD149" s="377"/>
      <c r="GE149" s="377"/>
      <c r="GF149" s="377"/>
      <c r="GG149" s="377"/>
      <c r="GH149" s="377"/>
      <c r="GI149" s="377"/>
      <c r="GJ149" s="377"/>
      <c r="GK149" s="377"/>
      <c r="GL149" s="377"/>
      <c r="GM149" s="377"/>
      <c r="GN149" s="377"/>
      <c r="GO149" s="49"/>
      <c r="GP149" s="49"/>
      <c r="GQ149" s="49"/>
      <c r="GR149" s="49"/>
      <c r="GS149" s="49"/>
      <c r="GT149" s="49"/>
      <c r="GU149" s="49"/>
      <c r="GV149" s="49"/>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row>
    <row r="150" spans="1:236" customFormat="1" ht="3.75" customHeight="1">
      <c r="A150" s="1"/>
      <c r="B150" s="3"/>
      <c r="C150" s="3"/>
      <c r="D150" s="43"/>
      <c r="E150" s="43"/>
      <c r="F150" s="79"/>
      <c r="G150" s="79"/>
      <c r="H150" s="79"/>
      <c r="I150" s="79"/>
      <c r="J150" s="79"/>
      <c r="K150" s="79"/>
      <c r="L150" s="12"/>
      <c r="M150" s="10"/>
      <c r="N150" s="10"/>
      <c r="O150" s="66"/>
      <c r="P150" s="66"/>
      <c r="Q150" s="66"/>
      <c r="R150" s="66"/>
      <c r="S150" s="66"/>
      <c r="T150" s="66"/>
      <c r="U150" s="66"/>
      <c r="V150" s="66"/>
      <c r="W150" s="66"/>
      <c r="X150" s="66"/>
      <c r="Y150" s="66"/>
      <c r="Z150" s="10"/>
      <c r="AA150" s="10"/>
      <c r="AB150" s="10"/>
      <c r="AC150" s="10"/>
      <c r="AD150" s="10"/>
      <c r="AE150" s="10"/>
      <c r="AF150" s="10"/>
      <c r="AG150" s="544" t="str">
        <f ca="1">IF(FL1=0,"","+")</f>
        <v/>
      </c>
      <c r="AH150" s="545"/>
      <c r="AI150" s="545"/>
      <c r="AJ150" s="545"/>
      <c r="AK150" s="545"/>
      <c r="AL150" s="545"/>
      <c r="AM150" s="545"/>
      <c r="AN150" s="545"/>
      <c r="AO150" s="545"/>
      <c r="AP150" s="545"/>
      <c r="AQ150" s="545"/>
      <c r="AR150" s="545"/>
      <c r="AS150" s="545"/>
      <c r="AT150" s="545"/>
      <c r="AU150" s="545"/>
      <c r="AV150" s="545"/>
      <c r="AW150" s="545"/>
      <c r="AX150" s="545"/>
      <c r="AY150" s="545"/>
      <c r="AZ150" s="545"/>
      <c r="BA150" s="545"/>
      <c r="BB150" s="545"/>
      <c r="BC150" s="545"/>
      <c r="BD150" s="545"/>
      <c r="BE150" s="545"/>
      <c r="BF150" s="545"/>
      <c r="BG150" s="545"/>
      <c r="BH150" s="545"/>
      <c r="BI150" s="545"/>
      <c r="BJ150" s="545"/>
      <c r="BK150" s="545"/>
      <c r="BL150" s="545"/>
      <c r="BM150" s="545"/>
      <c r="BN150" s="545"/>
      <c r="BO150" s="545"/>
      <c r="BP150" s="545"/>
      <c r="BQ150" s="545"/>
      <c r="BR150" s="545"/>
      <c r="BS150" s="545"/>
      <c r="BT150" s="545"/>
      <c r="BU150" s="545"/>
      <c r="BV150" s="545"/>
      <c r="BW150" s="545"/>
      <c r="BX150" s="545"/>
      <c r="BY150" s="66"/>
      <c r="BZ150" s="66"/>
      <c r="CA150" s="66"/>
      <c r="CB150" s="10"/>
      <c r="CC150" s="10"/>
      <c r="CD150" s="10"/>
      <c r="CE150" s="10"/>
      <c r="CF150" s="10"/>
      <c r="CG150" s="10"/>
      <c r="CH150" s="10"/>
      <c r="CI150" s="10"/>
      <c r="CJ150" s="10"/>
      <c r="CK150" s="544" t="str">
        <f ca="1">IF(FL1=0,"","+")</f>
        <v/>
      </c>
      <c r="CL150" s="545"/>
      <c r="CM150" s="545"/>
      <c r="CN150" s="545"/>
      <c r="CO150" s="545"/>
      <c r="CP150" s="545"/>
      <c r="CQ150" s="545"/>
      <c r="CR150" s="545"/>
      <c r="CS150" s="545"/>
      <c r="CT150" s="545"/>
      <c r="CU150" s="545"/>
      <c r="CV150" s="545"/>
      <c r="CW150" s="545"/>
      <c r="CX150" s="545"/>
      <c r="CY150" s="545"/>
      <c r="CZ150" s="545"/>
      <c r="DA150" s="545"/>
      <c r="DB150" s="545"/>
      <c r="DC150" s="545"/>
      <c r="DD150" s="545"/>
      <c r="DE150" s="545"/>
      <c r="DF150" s="545"/>
      <c r="DG150" s="545"/>
      <c r="DH150" s="545"/>
      <c r="DI150" s="545"/>
      <c r="DJ150" s="545"/>
      <c r="DK150" s="545"/>
      <c r="DL150" s="545"/>
      <c r="DM150" s="545"/>
      <c r="DN150" s="545"/>
      <c r="DO150" s="545"/>
      <c r="DP150" s="545"/>
      <c r="DQ150" s="545"/>
      <c r="DR150" s="545"/>
      <c r="DS150" s="545"/>
      <c r="DT150" s="545"/>
      <c r="DU150" s="545"/>
      <c r="DV150" s="545"/>
      <c r="DW150" s="545"/>
      <c r="DX150" s="545"/>
      <c r="DY150" s="545"/>
      <c r="DZ150" s="545"/>
      <c r="EA150" s="545"/>
      <c r="EB150" s="545"/>
      <c r="EC150" s="43"/>
      <c r="ED150" s="43"/>
      <c r="EE150" s="535"/>
      <c r="EF150" s="535"/>
      <c r="EG150" s="535"/>
      <c r="EH150" s="535"/>
      <c r="EI150" s="535"/>
      <c r="EJ150" s="535"/>
      <c r="EK150" s="535"/>
      <c r="EL150" s="535"/>
      <c r="EM150" s="535"/>
      <c r="EN150" s="535"/>
      <c r="EO150" s="535"/>
      <c r="EP150" s="535"/>
      <c r="EQ150" s="535"/>
      <c r="ER150" s="535"/>
      <c r="ES150" s="535"/>
      <c r="ET150" s="535"/>
      <c r="EU150" s="535"/>
      <c r="EV150" s="535"/>
      <c r="EW150" s="535"/>
      <c r="EX150" s="535"/>
      <c r="EY150" s="535"/>
      <c r="EZ150" s="535"/>
      <c r="FA150" s="535"/>
      <c r="FB150" s="535"/>
      <c r="FC150" s="535"/>
      <c r="FD150" s="535"/>
      <c r="FE150" s="535"/>
      <c r="FF150" s="535"/>
      <c r="FG150" s="535"/>
      <c r="FH150" s="535"/>
      <c r="FI150" s="79"/>
      <c r="FJ150" s="96"/>
      <c r="FK150" s="96"/>
      <c r="FL150" s="96"/>
      <c r="FM150" s="96"/>
      <c r="FN150" s="48"/>
      <c r="FO150" s="48"/>
      <c r="FP150" s="48"/>
      <c r="FQ150" s="48"/>
      <c r="FR150" s="48"/>
      <c r="FS150" s="48"/>
      <c r="FT150" s="48"/>
      <c r="FU150" s="48"/>
      <c r="FV150" s="48"/>
      <c r="FW150" s="48"/>
      <c r="FX150" s="48"/>
      <c r="FY150" s="259"/>
      <c r="FZ150" s="259"/>
      <c r="GA150" s="259"/>
      <c r="GB150" s="259"/>
      <c r="GC150" s="377"/>
      <c r="GD150" s="377"/>
      <c r="GE150" s="377"/>
      <c r="GF150" s="377"/>
      <c r="GG150" s="377"/>
      <c r="GH150" s="377"/>
      <c r="GI150" s="377"/>
      <c r="GJ150" s="377"/>
      <c r="GK150" s="377"/>
      <c r="GL150" s="377"/>
      <c r="GM150" s="377"/>
      <c r="GN150" s="377"/>
      <c r="GO150" s="93"/>
      <c r="GP150" s="93"/>
      <c r="GQ150" s="93"/>
      <c r="GR150" s="93"/>
      <c r="GS150" s="93"/>
      <c r="GT150" s="93"/>
      <c r="GU150" s="93"/>
      <c r="GV150" s="93"/>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row>
    <row r="151" spans="1:236" customFormat="1" ht="16.5" customHeight="1">
      <c r="A151" s="1"/>
      <c r="B151" s="3"/>
      <c r="C151" s="3"/>
      <c r="D151" s="43"/>
      <c r="E151" s="43"/>
      <c r="F151" s="79"/>
      <c r="G151" s="79"/>
      <c r="H151" s="79"/>
      <c r="I151" s="79"/>
      <c r="J151" s="79"/>
      <c r="K151" s="79"/>
      <c r="L151" s="12"/>
      <c r="M151" s="10"/>
      <c r="N151" s="10"/>
      <c r="O151" s="66"/>
      <c r="P151" s="66"/>
      <c r="Q151" s="66"/>
      <c r="R151" s="66"/>
      <c r="S151" s="66"/>
      <c r="T151" s="66"/>
      <c r="U151" s="66"/>
      <c r="V151" s="66"/>
      <c r="W151" s="66"/>
      <c r="X151" s="66"/>
      <c r="Y151" s="66"/>
      <c r="Z151" s="10"/>
      <c r="AA151" s="10"/>
      <c r="AB151" s="10"/>
      <c r="AC151" s="10"/>
      <c r="AD151" s="10"/>
      <c r="AE151" s="10"/>
      <c r="AF151" s="133" t="str">
        <f ca="1">IF(FL1=1,"B:  ","")</f>
        <v/>
      </c>
      <c r="AG151" s="250" t="str">
        <f ca="1">IF(FL1=0,"","+")</f>
        <v/>
      </c>
      <c r="AH151" s="602"/>
      <c r="AI151" s="602"/>
      <c r="AJ151" s="602"/>
      <c r="AK151" s="602"/>
      <c r="AL151" s="602"/>
      <c r="AM151" s="602"/>
      <c r="AN151" s="602"/>
      <c r="AO151" s="602"/>
      <c r="AP151" s="602"/>
      <c r="AQ151" s="602"/>
      <c r="AR151" s="602"/>
      <c r="AS151" s="602"/>
      <c r="AT151" s="602"/>
      <c r="AU151" s="602"/>
      <c r="AV151" s="602"/>
      <c r="AW151" s="602"/>
      <c r="AX151" s="602"/>
      <c r="AY151" s="602"/>
      <c r="AZ151" s="602"/>
      <c r="BA151" s="602"/>
      <c r="BB151" s="602"/>
      <c r="BC151" s="602"/>
      <c r="BD151" s="602"/>
      <c r="BE151" s="602"/>
      <c r="BF151" s="602"/>
      <c r="BG151" s="602"/>
      <c r="BH151" s="602"/>
      <c r="BI151" s="602"/>
      <c r="BJ151" s="602"/>
      <c r="BK151" s="602"/>
      <c r="BL151" s="602"/>
      <c r="BM151" s="602"/>
      <c r="BN151" s="602"/>
      <c r="BO151" s="602"/>
      <c r="BP151" s="602"/>
      <c r="BQ151" s="602"/>
      <c r="BR151" s="602"/>
      <c r="BS151" s="602"/>
      <c r="BT151" s="602"/>
      <c r="BU151" s="602"/>
      <c r="BV151" s="602"/>
      <c r="BW151" s="602"/>
      <c r="BX151" s="250" t="str">
        <f ca="1">IF(FL1=0,"","+")</f>
        <v/>
      </c>
      <c r="BY151" s="386" t="s">
        <v>131</v>
      </c>
      <c r="BZ151" s="66"/>
      <c r="CA151" s="66"/>
      <c r="CB151" s="10"/>
      <c r="CC151" s="10"/>
      <c r="CD151" s="10"/>
      <c r="CE151" s="10"/>
      <c r="CF151" s="10"/>
      <c r="CG151" s="10"/>
      <c r="CH151" s="10"/>
      <c r="CI151" s="10"/>
      <c r="CJ151" s="133" t="str">
        <f ca="1">IF(FL1=1,"D:  ","")</f>
        <v/>
      </c>
      <c r="CK151" s="250" t="str">
        <f ca="1">IF(FL1=0,"","+")</f>
        <v/>
      </c>
      <c r="CL151" s="602"/>
      <c r="CM151" s="602"/>
      <c r="CN151" s="602"/>
      <c r="CO151" s="602"/>
      <c r="CP151" s="602"/>
      <c r="CQ151" s="602"/>
      <c r="CR151" s="602"/>
      <c r="CS151" s="602"/>
      <c r="CT151" s="602"/>
      <c r="CU151" s="602"/>
      <c r="CV151" s="602"/>
      <c r="CW151" s="602"/>
      <c r="CX151" s="602"/>
      <c r="CY151" s="602"/>
      <c r="CZ151" s="602"/>
      <c r="DA151" s="602"/>
      <c r="DB151" s="602"/>
      <c r="DC151" s="602"/>
      <c r="DD151" s="602"/>
      <c r="DE151" s="602"/>
      <c r="DF151" s="602"/>
      <c r="DG151" s="602"/>
      <c r="DH151" s="602"/>
      <c r="DI151" s="602"/>
      <c r="DJ151" s="602"/>
      <c r="DK151" s="602"/>
      <c r="DL151" s="602"/>
      <c r="DM151" s="602"/>
      <c r="DN151" s="602"/>
      <c r="DO151" s="602"/>
      <c r="DP151" s="602"/>
      <c r="DQ151" s="602"/>
      <c r="DR151" s="602"/>
      <c r="DS151" s="602"/>
      <c r="DT151" s="602"/>
      <c r="DU151" s="602"/>
      <c r="DV151" s="602"/>
      <c r="DW151" s="602"/>
      <c r="DX151" s="602"/>
      <c r="DY151" s="602"/>
      <c r="DZ151" s="602"/>
      <c r="EA151" s="602"/>
      <c r="EB151" s="250" t="str">
        <f ca="1">IF(FL1=0,"","+")</f>
        <v/>
      </c>
      <c r="EC151" s="165" t="s">
        <v>131</v>
      </c>
      <c r="ED151" s="43"/>
      <c r="EE151" s="43"/>
      <c r="EF151" s="43"/>
      <c r="EG151" s="43"/>
      <c r="EH151" s="43"/>
      <c r="EI151" s="43"/>
      <c r="EJ151" s="43"/>
      <c r="EK151" s="43"/>
      <c r="EL151" s="43"/>
      <c r="EM151" s="79"/>
      <c r="EN151" s="79"/>
      <c r="EO151" s="79"/>
      <c r="EP151" s="79"/>
      <c r="EQ151" s="79"/>
      <c r="ER151" s="79"/>
      <c r="ES151" s="79"/>
      <c r="ET151" s="79"/>
      <c r="EU151" s="79"/>
      <c r="EV151" s="79"/>
      <c r="EW151" s="79"/>
      <c r="EX151" s="79"/>
      <c r="EY151" s="79"/>
      <c r="EZ151" s="79"/>
      <c r="FA151" s="79"/>
      <c r="FB151" s="79"/>
      <c r="FC151" s="79"/>
      <c r="FD151" s="79"/>
      <c r="FE151" s="79"/>
      <c r="FF151" s="79"/>
      <c r="FG151" s="79"/>
      <c r="FH151" s="79"/>
      <c r="FI151" s="79"/>
      <c r="FJ151" s="96">
        <f ca="1">IF(FM142+FM143+FM147+FM151=4,1,IF(FL1=0,0,IF(FM142+FM143+FM147+FM151=3,2/3,IF(FL1=0,0,IF(FM142+FM143+FM147+FM151=2,1/3,0)))))</f>
        <v>0</v>
      </c>
      <c r="FK151" s="96"/>
      <c r="FL151" s="96">
        <f ca="1">IF(programma!B1="X",1,IF(FL1=0,0,IF(FM142+FM143+FM147+FM151=4,1,0)))</f>
        <v>0</v>
      </c>
      <c r="FM151" s="48">
        <f>IF(CL151=FP142,1,0)</f>
        <v>0</v>
      </c>
      <c r="FN151" s="48"/>
      <c r="FO151" s="48"/>
      <c r="FP151" s="48"/>
      <c r="FQ151" s="48"/>
      <c r="FR151" s="48"/>
      <c r="FS151" s="48"/>
      <c r="FT151" s="48"/>
      <c r="FU151" s="48"/>
      <c r="FV151" s="48"/>
      <c r="FW151" s="48"/>
      <c r="FX151" s="48"/>
      <c r="FY151" s="259"/>
      <c r="FZ151" s="259"/>
      <c r="GA151" s="259"/>
      <c r="GB151" s="259"/>
      <c r="GC151" s="377"/>
      <c r="GD151" s="377"/>
      <c r="GE151" s="377"/>
      <c r="GF151" s="377"/>
      <c r="GG151" s="377"/>
      <c r="GH151" s="377"/>
      <c r="GI151" s="377"/>
      <c r="GJ151" s="377"/>
      <c r="GK151" s="377"/>
      <c r="GL151" s="377"/>
      <c r="GM151" s="377"/>
      <c r="GN151" s="377"/>
      <c r="GO151" s="93"/>
      <c r="GP151" s="93"/>
      <c r="GQ151" s="93"/>
      <c r="GR151" s="93"/>
      <c r="GS151" s="93"/>
      <c r="GT151" s="93"/>
      <c r="GU151" s="93"/>
      <c r="GV151" s="93"/>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row>
    <row r="152" spans="1:236" customFormat="1" ht="3.75" customHeight="1">
      <c r="A152" s="1"/>
      <c r="B152" s="3"/>
      <c r="C152" s="3"/>
      <c r="D152" s="43"/>
      <c r="E152" s="43"/>
      <c r="F152" s="79"/>
      <c r="G152" s="79"/>
      <c r="H152" s="79"/>
      <c r="I152" s="79"/>
      <c r="J152" s="79"/>
      <c r="K152" s="79"/>
      <c r="L152" s="12"/>
      <c r="M152" s="10"/>
      <c r="N152" s="10"/>
      <c r="O152" s="10"/>
      <c r="P152" s="10"/>
      <c r="Q152" s="10"/>
      <c r="R152" s="10"/>
      <c r="S152" s="10"/>
      <c r="T152" s="10"/>
      <c r="U152" s="10"/>
      <c r="V152" s="10"/>
      <c r="W152" s="10"/>
      <c r="X152" s="66"/>
      <c r="Y152" s="251"/>
      <c r="Z152" s="10"/>
      <c r="AA152" s="10"/>
      <c r="AB152" s="10"/>
      <c r="AC152" s="10"/>
      <c r="AD152" s="10"/>
      <c r="AE152" s="10"/>
      <c r="AF152" s="10"/>
      <c r="AG152" s="544" t="str">
        <f ca="1">IF(FL1=0,"","+")</f>
        <v/>
      </c>
      <c r="AH152" s="545"/>
      <c r="AI152" s="545"/>
      <c r="AJ152" s="545"/>
      <c r="AK152" s="545"/>
      <c r="AL152" s="545"/>
      <c r="AM152" s="545"/>
      <c r="AN152" s="545"/>
      <c r="AO152" s="545"/>
      <c r="AP152" s="545"/>
      <c r="AQ152" s="545"/>
      <c r="AR152" s="545"/>
      <c r="AS152" s="545"/>
      <c r="AT152" s="545"/>
      <c r="AU152" s="545"/>
      <c r="AV152" s="545"/>
      <c r="AW152" s="545"/>
      <c r="AX152" s="545"/>
      <c r="AY152" s="545"/>
      <c r="AZ152" s="545"/>
      <c r="BA152" s="545"/>
      <c r="BB152" s="545"/>
      <c r="BC152" s="545"/>
      <c r="BD152" s="545"/>
      <c r="BE152" s="545"/>
      <c r="BF152" s="545"/>
      <c r="BG152" s="545"/>
      <c r="BH152" s="545"/>
      <c r="BI152" s="545"/>
      <c r="BJ152" s="545"/>
      <c r="BK152" s="545"/>
      <c r="BL152" s="545"/>
      <c r="BM152" s="545"/>
      <c r="BN152" s="545"/>
      <c r="BO152" s="545"/>
      <c r="BP152" s="545"/>
      <c r="BQ152" s="545"/>
      <c r="BR152" s="545"/>
      <c r="BS152" s="545"/>
      <c r="BT152" s="545"/>
      <c r="BU152" s="545"/>
      <c r="BV152" s="545"/>
      <c r="BW152" s="545"/>
      <c r="BX152" s="545"/>
      <c r="BY152" s="251"/>
      <c r="BZ152" s="251"/>
      <c r="CA152" s="251"/>
      <c r="CB152" s="251"/>
      <c r="CC152" s="251"/>
      <c r="CD152" s="251"/>
      <c r="CE152" s="251"/>
      <c r="CF152" s="251"/>
      <c r="CG152" s="251"/>
      <c r="CH152" s="251"/>
      <c r="CI152" s="251"/>
      <c r="CJ152" s="251"/>
      <c r="CK152" s="544" t="str">
        <f ca="1">IF(FL1=0,"","+")</f>
        <v/>
      </c>
      <c r="CL152" s="545"/>
      <c r="CM152" s="545"/>
      <c r="CN152" s="545"/>
      <c r="CO152" s="545"/>
      <c r="CP152" s="545"/>
      <c r="CQ152" s="545"/>
      <c r="CR152" s="545"/>
      <c r="CS152" s="545"/>
      <c r="CT152" s="545"/>
      <c r="CU152" s="545"/>
      <c r="CV152" s="545"/>
      <c r="CW152" s="545"/>
      <c r="CX152" s="545"/>
      <c r="CY152" s="545"/>
      <c r="CZ152" s="545"/>
      <c r="DA152" s="545"/>
      <c r="DB152" s="545"/>
      <c r="DC152" s="545"/>
      <c r="DD152" s="545"/>
      <c r="DE152" s="545"/>
      <c r="DF152" s="545"/>
      <c r="DG152" s="545"/>
      <c r="DH152" s="545"/>
      <c r="DI152" s="545"/>
      <c r="DJ152" s="545"/>
      <c r="DK152" s="545"/>
      <c r="DL152" s="545"/>
      <c r="DM152" s="545"/>
      <c r="DN152" s="545"/>
      <c r="DO152" s="545"/>
      <c r="DP152" s="545"/>
      <c r="DQ152" s="545"/>
      <c r="DR152" s="545"/>
      <c r="DS152" s="545"/>
      <c r="DT152" s="545"/>
      <c r="DU152" s="545"/>
      <c r="DV152" s="545"/>
      <c r="DW152" s="545"/>
      <c r="DX152" s="545"/>
      <c r="DY152" s="545"/>
      <c r="DZ152" s="545"/>
      <c r="EA152" s="545"/>
      <c r="EB152" s="545"/>
      <c r="EC152" s="43"/>
      <c r="ED152" s="43"/>
      <c r="EE152" s="43"/>
      <c r="EF152" s="43"/>
      <c r="EG152" s="43"/>
      <c r="EH152" s="43"/>
      <c r="EI152" s="43"/>
      <c r="EJ152" s="43"/>
      <c r="EK152" s="43"/>
      <c r="EL152" s="43"/>
      <c r="EM152" s="79"/>
      <c r="EN152" s="79"/>
      <c r="EO152" s="79"/>
      <c r="EP152" s="79"/>
      <c r="EQ152" s="79"/>
      <c r="ER152" s="79"/>
      <c r="ES152" s="79"/>
      <c r="ET152" s="79"/>
      <c r="EU152" s="79"/>
      <c r="EV152" s="79"/>
      <c r="EW152" s="79"/>
      <c r="EX152" s="79"/>
      <c r="EY152" s="79"/>
      <c r="EZ152" s="79"/>
      <c r="FA152" s="79"/>
      <c r="FB152" s="79"/>
      <c r="FC152" s="79"/>
      <c r="FD152" s="79"/>
      <c r="FE152" s="79"/>
      <c r="FF152" s="79"/>
      <c r="FG152" s="79"/>
      <c r="FH152" s="79"/>
      <c r="FI152" s="79"/>
      <c r="FJ152" s="96"/>
      <c r="FK152" s="96"/>
      <c r="FL152" s="96"/>
      <c r="FM152" s="96"/>
      <c r="FN152" s="48"/>
      <c r="FO152" s="48"/>
      <c r="FP152" s="48"/>
      <c r="FQ152" s="48"/>
      <c r="FR152" s="48"/>
      <c r="FS152" s="48"/>
      <c r="FT152" s="48"/>
      <c r="FU152" s="48"/>
      <c r="FV152" s="48"/>
      <c r="FW152" s="48"/>
      <c r="FX152" s="48"/>
      <c r="FY152" s="259"/>
      <c r="FZ152" s="259"/>
      <c r="GA152" s="259"/>
      <c r="GB152" s="259"/>
      <c r="GC152" s="377"/>
      <c r="GD152" s="377"/>
      <c r="GE152" s="377"/>
      <c r="GF152" s="377"/>
      <c r="GG152" s="377"/>
      <c r="GH152" s="377"/>
      <c r="GI152" s="377"/>
      <c r="GJ152" s="377"/>
      <c r="GK152" s="377"/>
      <c r="GL152" s="377"/>
      <c r="GM152" s="377"/>
      <c r="GN152" s="377"/>
      <c r="GO152" s="93"/>
      <c r="GP152" s="93"/>
      <c r="GQ152" s="93"/>
      <c r="GR152" s="93"/>
      <c r="GS152" s="93"/>
      <c r="GT152" s="93"/>
      <c r="GU152" s="93"/>
      <c r="GV152" s="93"/>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row>
    <row r="153" spans="1:236" ht="16.95" customHeight="1">
      <c r="A153" s="60"/>
      <c r="B153" s="272"/>
      <c r="C153" s="69"/>
      <c r="D153" s="331"/>
      <c r="E153" s="262"/>
      <c r="F153" s="262"/>
      <c r="G153" s="262"/>
      <c r="H153" s="262"/>
      <c r="I153" s="262"/>
      <c r="J153" s="262"/>
      <c r="K153" s="89"/>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AQ153" s="89"/>
      <c r="AR153" s="89"/>
      <c r="AS153" s="89"/>
      <c r="AT153" s="89"/>
      <c r="AU153" s="89"/>
      <c r="AV153" s="89"/>
      <c r="AW153" s="89"/>
      <c r="AX153" s="89"/>
      <c r="AY153" s="89"/>
      <c r="AZ153" s="89"/>
      <c r="BA153" s="89"/>
      <c r="BB153" s="89"/>
      <c r="BC153" s="89"/>
      <c r="BD153" s="89"/>
      <c r="BE153" s="89"/>
      <c r="BF153" s="89"/>
      <c r="BG153" s="89"/>
      <c r="BH153" s="89"/>
      <c r="BI153" s="89"/>
      <c r="BJ153" s="89"/>
      <c r="BK153" s="89"/>
      <c r="BL153" s="89"/>
      <c r="BM153" s="89"/>
      <c r="BN153" s="89"/>
      <c r="BO153" s="89"/>
      <c r="BP153" s="89"/>
      <c r="BQ153" s="89"/>
      <c r="BR153" s="89"/>
      <c r="BS153" s="89"/>
      <c r="BT153" s="89"/>
      <c r="BU153" s="89"/>
      <c r="BV153" s="89"/>
      <c r="BW153" s="89"/>
      <c r="BX153" s="89"/>
      <c r="BY153" s="89"/>
      <c r="BZ153" s="89"/>
      <c r="CA153" s="89"/>
      <c r="CB153" s="89"/>
      <c r="CC153" s="89"/>
      <c r="CD153" s="89"/>
      <c r="CE153" s="89"/>
      <c r="CF153" s="89"/>
      <c r="CG153" s="89"/>
      <c r="CH153" s="89"/>
      <c r="CI153" s="89"/>
      <c r="CJ153" s="89"/>
      <c r="CK153" s="89"/>
      <c r="CL153" s="89"/>
      <c r="CM153" s="268"/>
      <c r="CN153" s="268"/>
      <c r="CO153" s="268"/>
      <c r="CP153" s="268"/>
      <c r="CQ153" s="89"/>
      <c r="CR153" s="89"/>
      <c r="CS153" s="89"/>
      <c r="CT153" s="89"/>
      <c r="CU153" s="89"/>
      <c r="CV153" s="89"/>
      <c r="CW153" s="89"/>
      <c r="CX153" s="89"/>
      <c r="CY153" s="89"/>
      <c r="CZ153" s="89"/>
      <c r="DA153" s="89"/>
      <c r="DB153" s="89"/>
      <c r="DC153" s="89"/>
      <c r="DD153" s="89"/>
      <c r="DE153" s="89"/>
      <c r="DF153" s="89"/>
      <c r="DG153" s="89"/>
      <c r="DH153" s="89"/>
      <c r="DI153" s="89"/>
      <c r="DJ153" s="89"/>
      <c r="DK153" s="89"/>
      <c r="DL153" s="89"/>
      <c r="DM153" s="89"/>
      <c r="DN153" s="89"/>
      <c r="DO153" s="89"/>
      <c r="DP153" s="89"/>
      <c r="DQ153" s="89"/>
      <c r="DR153" s="89"/>
      <c r="DS153" s="89"/>
      <c r="DT153" s="89"/>
      <c r="DU153" s="89"/>
      <c r="DV153" s="89"/>
      <c r="DW153" s="89"/>
      <c r="DX153" s="89"/>
      <c r="DY153" s="141"/>
      <c r="DZ153" s="141"/>
      <c r="EA153" s="141"/>
      <c r="EB153" s="141"/>
      <c r="EC153" s="141"/>
      <c r="ED153" s="141"/>
      <c r="EE153" s="141"/>
      <c r="EF153" s="89"/>
      <c r="EG153" s="89"/>
      <c r="EH153" s="89"/>
      <c r="EI153" s="89"/>
      <c r="EJ153" s="89"/>
      <c r="EK153" s="89"/>
      <c r="EL153" s="89"/>
      <c r="EM153" s="89"/>
      <c r="EN153" s="89"/>
      <c r="EO153" s="89"/>
      <c r="EP153" s="89"/>
      <c r="EQ153" s="89"/>
      <c r="ER153" s="89"/>
      <c r="ES153" s="89"/>
      <c r="ET153" s="89"/>
      <c r="EU153" s="89"/>
      <c r="EV153" s="89"/>
      <c r="EW153" s="89"/>
      <c r="EX153" s="89"/>
      <c r="EY153" s="89"/>
      <c r="EZ153" s="89"/>
      <c r="FA153" s="89"/>
      <c r="FB153" s="89"/>
      <c r="FC153" s="89"/>
      <c r="FD153" s="89"/>
      <c r="FE153" s="89"/>
      <c r="FF153" s="89"/>
      <c r="FG153" s="89"/>
      <c r="FH153" s="89"/>
      <c r="FI153" s="89"/>
      <c r="FJ153" s="96"/>
      <c r="FK153" s="96"/>
      <c r="FL153" s="96"/>
      <c r="FM153" s="96"/>
      <c r="FN153" s="96"/>
      <c r="FO153" s="300"/>
      <c r="FP153" s="300"/>
      <c r="FQ153" s="300"/>
      <c r="FR153" s="300"/>
      <c r="FS153" s="300"/>
      <c r="FT153" s="300"/>
      <c r="FU153" s="300"/>
      <c r="FV153" s="108"/>
      <c r="FW153" s="108"/>
      <c r="FX153" s="301"/>
      <c r="FY153" s="259"/>
      <c r="FZ153" s="259"/>
      <c r="GA153" s="259"/>
      <c r="GB153" s="259"/>
      <c r="GC153" s="377"/>
      <c r="GD153" s="377"/>
      <c r="GE153" s="377"/>
      <c r="GF153" s="377"/>
      <c r="GG153" s="377"/>
      <c r="GH153" s="377"/>
      <c r="GI153" s="377"/>
      <c r="GJ153" s="377"/>
      <c r="GK153" s="377"/>
      <c r="GL153" s="377"/>
      <c r="GM153" s="377"/>
      <c r="GN153" s="377"/>
      <c r="GO153" s="301"/>
      <c r="GP153" s="301"/>
      <c r="GQ153" s="301"/>
      <c r="GR153" s="301"/>
      <c r="GS153" s="301"/>
      <c r="GT153" s="301"/>
      <c r="GU153" s="301"/>
      <c r="GV153" s="301"/>
      <c r="IB153" s="65"/>
    </row>
    <row r="154" spans="1:236" s="268" customFormat="1" ht="16.95" customHeight="1">
      <c r="A154" s="60"/>
      <c r="B154" s="69"/>
      <c r="C154" s="69"/>
      <c r="D154" s="331"/>
      <c r="E154" s="331"/>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141"/>
      <c r="AF154" s="141"/>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c r="BG154" s="141"/>
      <c r="BH154" s="141"/>
      <c r="BI154" s="141"/>
      <c r="BJ154" s="141"/>
      <c r="BK154" s="141"/>
      <c r="BL154" s="141"/>
      <c r="BM154" s="141"/>
      <c r="BN154" s="141"/>
      <c r="BO154" s="141"/>
      <c r="BP154" s="141"/>
      <c r="BQ154" s="141"/>
      <c r="CV154" s="89"/>
      <c r="CW154" s="89"/>
      <c r="CX154" s="89"/>
      <c r="CY154" s="89"/>
      <c r="CZ154" s="89"/>
      <c r="DA154" s="89"/>
      <c r="DB154" s="89"/>
      <c r="DC154" s="89"/>
      <c r="DD154" s="89"/>
      <c r="DE154" s="89"/>
      <c r="DF154" s="89"/>
      <c r="DG154" s="89"/>
      <c r="DH154" s="89"/>
      <c r="DI154" s="89"/>
      <c r="DJ154" s="89"/>
      <c r="DK154" s="89"/>
      <c r="DL154" s="89"/>
      <c r="DM154" s="89"/>
      <c r="DN154" s="89"/>
      <c r="DO154" s="89"/>
      <c r="FA154" s="89"/>
      <c r="FB154" s="89"/>
      <c r="FC154" s="89"/>
      <c r="FD154" s="89"/>
      <c r="FE154" s="89"/>
      <c r="FF154" s="89"/>
      <c r="FG154" s="89"/>
      <c r="FH154" s="89"/>
      <c r="FI154" s="89"/>
      <c r="FJ154" s="96"/>
      <c r="FK154" s="257"/>
      <c r="FL154" s="257"/>
      <c r="FM154" s="96"/>
      <c r="FN154" s="96"/>
      <c r="FO154" s="96"/>
      <c r="FP154" s="96"/>
      <c r="FQ154" s="96"/>
      <c r="FR154" s="93"/>
      <c r="FS154" s="93"/>
      <c r="FT154" s="93"/>
      <c r="FU154" s="257"/>
      <c r="FV154" s="86"/>
      <c r="FW154" s="86"/>
      <c r="FX154" s="86"/>
      <c r="FY154" s="259"/>
      <c r="FZ154" s="259"/>
      <c r="GA154" s="259"/>
      <c r="GB154" s="259"/>
      <c r="GC154" s="377"/>
      <c r="GD154" s="377"/>
      <c r="GE154" s="377"/>
      <c r="GF154" s="377"/>
      <c r="GG154" s="377"/>
      <c r="GH154" s="377"/>
      <c r="GI154" s="377"/>
      <c r="GJ154" s="377"/>
      <c r="GK154" s="377"/>
      <c r="GL154" s="377"/>
      <c r="GM154" s="377"/>
      <c r="GN154" s="377"/>
      <c r="GO154" s="86"/>
      <c r="GP154" s="377"/>
      <c r="GQ154" s="377"/>
      <c r="GR154" s="377"/>
      <c r="GS154" s="377"/>
      <c r="GT154" s="377"/>
      <c r="GU154" s="377"/>
      <c r="GV154" s="377"/>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row>
    <row r="155" spans="1:236" ht="16.95" customHeight="1">
      <c r="A155" s="60"/>
      <c r="B155" s="69"/>
      <c r="C155" s="69"/>
      <c r="D155" s="268"/>
      <c r="E155" s="331"/>
      <c r="F155" s="331"/>
      <c r="G155" s="331"/>
      <c r="H155" s="331"/>
      <c r="I155" s="331"/>
      <c r="J155" s="331"/>
      <c r="K155" s="89"/>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89"/>
      <c r="BC155" s="89"/>
      <c r="BD155" s="89"/>
      <c r="BE155" s="89"/>
      <c r="BF155" s="89"/>
      <c r="BG155" s="89"/>
      <c r="BH155" s="89"/>
      <c r="BI155" s="89"/>
      <c r="BJ155" s="89"/>
      <c r="BK155" s="89"/>
      <c r="BL155" s="89"/>
      <c r="BM155" s="89"/>
      <c r="BN155" s="89"/>
      <c r="BO155" s="89"/>
      <c r="BP155" s="89"/>
      <c r="BQ155" s="89"/>
      <c r="BR155" s="89"/>
      <c r="BS155" s="89"/>
      <c r="BT155" s="89"/>
      <c r="BU155" s="89"/>
      <c r="BV155" s="89"/>
      <c r="BW155" s="89"/>
      <c r="BX155" s="89"/>
      <c r="BY155" s="89"/>
      <c r="BZ155" s="89"/>
      <c r="CA155" s="89"/>
      <c r="CB155" s="89"/>
      <c r="CC155" s="89"/>
      <c r="CD155" s="89"/>
      <c r="CE155" s="89"/>
      <c r="CF155" s="89"/>
      <c r="CG155" s="89"/>
      <c r="CH155" s="89"/>
      <c r="CI155" s="89"/>
      <c r="CJ155" s="89"/>
      <c r="CK155" s="89"/>
      <c r="CL155" s="89"/>
      <c r="CM155" s="89"/>
      <c r="CN155" s="89"/>
      <c r="CO155" s="89"/>
      <c r="CP155" s="89"/>
      <c r="CQ155" s="89"/>
      <c r="CR155" s="89"/>
      <c r="CS155" s="89"/>
      <c r="CT155" s="89"/>
      <c r="CU155" s="89"/>
      <c r="CV155" s="89"/>
      <c r="CW155" s="89"/>
      <c r="CX155" s="89"/>
      <c r="CY155" s="89"/>
      <c r="CZ155" s="89"/>
      <c r="DA155" s="89"/>
      <c r="DB155" s="89"/>
      <c r="DC155" s="89"/>
      <c r="DD155" s="89"/>
      <c r="DE155" s="89"/>
      <c r="DF155" s="89"/>
      <c r="DG155" s="89"/>
      <c r="DH155" s="89"/>
      <c r="DI155" s="89"/>
      <c r="DJ155" s="89"/>
      <c r="DK155" s="89"/>
      <c r="DL155" s="89"/>
      <c r="DM155" s="89"/>
      <c r="DN155" s="89"/>
      <c r="DO155" s="89"/>
      <c r="DP155" s="89"/>
      <c r="DQ155" s="89"/>
      <c r="DR155" s="89"/>
      <c r="DS155" s="89"/>
      <c r="DT155" s="89"/>
      <c r="DU155" s="141"/>
      <c r="DV155" s="141"/>
      <c r="DW155" s="141"/>
      <c r="DX155" s="141"/>
      <c r="DY155" s="141"/>
      <c r="DZ155" s="141"/>
      <c r="EA155" s="141"/>
      <c r="EB155" s="89"/>
      <c r="EC155" s="89"/>
      <c r="ED155" s="89"/>
      <c r="EE155" s="89"/>
      <c r="EF155" s="89"/>
      <c r="EG155" s="89"/>
      <c r="EH155" s="89"/>
      <c r="EI155" s="89"/>
      <c r="EJ155" s="89"/>
      <c r="EK155" s="89"/>
      <c r="EL155" s="89"/>
      <c r="EM155" s="89"/>
      <c r="EN155" s="89"/>
      <c r="EO155" s="89"/>
      <c r="EP155" s="89"/>
      <c r="EQ155" s="89"/>
      <c r="ER155" s="89"/>
      <c r="ES155" s="89"/>
      <c r="ET155" s="89"/>
      <c r="EU155" s="89"/>
      <c r="EV155" s="89"/>
      <c r="EW155" s="89"/>
      <c r="EX155" s="89"/>
      <c r="EY155" s="89"/>
      <c r="EZ155" s="89"/>
      <c r="FA155" s="89"/>
      <c r="FB155" s="89"/>
      <c r="FC155" s="89"/>
      <c r="FD155" s="89"/>
      <c r="FE155" s="89"/>
      <c r="FF155" s="89"/>
      <c r="FG155" s="89"/>
      <c r="FH155" s="89"/>
      <c r="FI155" s="89"/>
      <c r="FJ155" s="96"/>
      <c r="FK155" s="96"/>
      <c r="FL155" s="96"/>
      <c r="FM155" s="96"/>
      <c r="FN155" s="96"/>
      <c r="FO155" s="300"/>
      <c r="FP155" s="300"/>
      <c r="FQ155" s="300"/>
      <c r="FR155" s="300"/>
      <c r="FS155" s="300"/>
      <c r="FT155" s="300"/>
      <c r="FU155" s="300">
        <f>FLOOR(0.5*FS155,1)</f>
        <v>0</v>
      </c>
      <c r="FV155" s="108"/>
      <c r="FW155" s="108"/>
      <c r="FX155" s="301"/>
      <c r="FY155" s="259"/>
      <c r="FZ155" s="259"/>
      <c r="GA155" s="259"/>
      <c r="GB155" s="259"/>
      <c r="GC155" s="377"/>
      <c r="GD155" s="377"/>
      <c r="GE155" s="377"/>
      <c r="GF155" s="377"/>
      <c r="GG155" s="377"/>
      <c r="GH155" s="377"/>
      <c r="GI155" s="377"/>
      <c r="GJ155" s="377"/>
      <c r="GK155" s="377"/>
      <c r="GL155" s="377"/>
      <c r="GM155" s="377"/>
      <c r="GN155" s="377"/>
      <c r="GO155" s="301"/>
      <c r="GP155" s="301"/>
      <c r="GQ155" s="301"/>
      <c r="GR155" s="301"/>
      <c r="GS155" s="301"/>
      <c r="GT155" s="301"/>
      <c r="GU155" s="301"/>
      <c r="GV155" s="301"/>
      <c r="IB155" s="65"/>
    </row>
    <row r="156" spans="1:236" ht="16.95" customHeight="1">
      <c r="A156" s="60"/>
      <c r="B156" s="311" t="str">
        <f ca="1">IF(FL1=0,"",9)</f>
        <v/>
      </c>
      <c r="C156" s="69"/>
      <c r="D156" s="331" t="str">
        <f ca="1">IF(FL1=0,"","In de grafiek hiernaast zijn de functies van")</f>
        <v/>
      </c>
      <c r="E156" s="331"/>
      <c r="F156" s="331"/>
      <c r="G156" s="331"/>
      <c r="H156" s="331"/>
      <c r="I156" s="331"/>
      <c r="J156" s="331"/>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c r="AK156" s="89"/>
      <c r="AL156" s="89"/>
      <c r="AM156" s="89"/>
      <c r="AN156" s="89"/>
      <c r="AO156" s="89"/>
      <c r="AP156" s="89"/>
      <c r="AQ156" s="89"/>
      <c r="AR156" s="89"/>
      <c r="AS156" s="89"/>
      <c r="AT156" s="89"/>
      <c r="AU156" s="89"/>
      <c r="AV156" s="89"/>
      <c r="AW156" s="89"/>
      <c r="AX156" s="89"/>
      <c r="AY156" s="89"/>
      <c r="AZ156" s="89"/>
      <c r="BA156" s="89"/>
      <c r="BB156" s="89"/>
      <c r="BC156" s="89"/>
      <c r="BD156" s="89"/>
      <c r="BE156" s="89"/>
      <c r="BF156" s="89"/>
      <c r="BG156" s="89"/>
      <c r="BH156" s="89"/>
      <c r="BI156" s="89"/>
      <c r="BJ156" s="89"/>
      <c r="BK156" s="89"/>
      <c r="BL156" s="89"/>
      <c r="BM156" s="89"/>
      <c r="BN156" s="89"/>
      <c r="BO156" s="89"/>
      <c r="BP156" s="89"/>
      <c r="BQ156" s="89"/>
      <c r="BR156" s="89"/>
      <c r="BS156" s="89"/>
      <c r="BT156" s="89"/>
      <c r="BU156" s="89"/>
      <c r="BV156" s="89"/>
      <c r="BW156" s="89"/>
      <c r="BX156" s="89"/>
      <c r="BY156" s="89"/>
      <c r="BZ156" s="89"/>
      <c r="CA156" s="89"/>
      <c r="CB156" s="89"/>
      <c r="CC156" s="89"/>
      <c r="CD156" s="89"/>
      <c r="CE156" s="89"/>
      <c r="CF156" s="89"/>
      <c r="CG156" s="89"/>
      <c r="CH156" s="89"/>
      <c r="CI156" s="89"/>
      <c r="CJ156" s="89"/>
      <c r="CK156" s="89"/>
      <c r="CL156" s="89"/>
      <c r="CM156" s="89"/>
      <c r="CN156" s="89"/>
      <c r="CO156" s="89"/>
      <c r="CP156" s="89"/>
      <c r="CQ156" s="89"/>
      <c r="CR156" s="89"/>
      <c r="CS156" s="89"/>
      <c r="CT156" s="89"/>
      <c r="CU156" s="89"/>
      <c r="CV156" s="89"/>
      <c r="CW156" s="89"/>
      <c r="CX156" s="89"/>
      <c r="CY156" s="89"/>
      <c r="CZ156" s="89"/>
      <c r="DA156" s="89"/>
      <c r="DB156" s="89"/>
      <c r="DC156" s="89"/>
      <c r="DD156" s="89"/>
      <c r="DE156" s="89"/>
      <c r="DF156" s="89"/>
      <c r="DG156" s="89"/>
      <c r="DH156" s="89"/>
      <c r="DI156" s="89"/>
      <c r="DJ156" s="89"/>
      <c r="DK156" s="89"/>
      <c r="DL156" s="89"/>
      <c r="DM156" s="89"/>
      <c r="DN156" s="89"/>
      <c r="DO156" s="89"/>
      <c r="DP156" s="89"/>
      <c r="DQ156" s="89"/>
      <c r="DR156" s="89"/>
      <c r="DS156" s="89"/>
      <c r="DT156" s="89"/>
      <c r="DU156" s="141"/>
      <c r="DV156" s="141"/>
      <c r="DW156" s="141"/>
      <c r="DX156" s="141"/>
      <c r="DY156" s="141"/>
      <c r="DZ156" s="141"/>
      <c r="EA156" s="141"/>
      <c r="EB156" s="89"/>
      <c r="EC156" s="89"/>
      <c r="ED156" s="89"/>
      <c r="EE156" s="89"/>
      <c r="EF156" s="89"/>
      <c r="EG156" s="89"/>
      <c r="EH156" s="89"/>
      <c r="EI156" s="89"/>
      <c r="EJ156" s="89"/>
      <c r="EK156" s="89"/>
      <c r="EL156" s="89"/>
      <c r="EM156" s="89"/>
      <c r="EN156" s="89"/>
      <c r="EO156" s="89"/>
      <c r="EP156" s="89"/>
      <c r="EQ156" s="89"/>
      <c r="ER156" s="89"/>
      <c r="ES156" s="89"/>
      <c r="ET156" s="89"/>
      <c r="EU156" s="89"/>
      <c r="EV156" s="89"/>
      <c r="EW156" s="89"/>
      <c r="EX156" s="89"/>
      <c r="EY156" s="89"/>
      <c r="EZ156" s="89"/>
      <c r="FA156" s="89"/>
      <c r="FB156" s="89"/>
      <c r="FC156" s="89"/>
      <c r="FD156" s="89"/>
      <c r="FE156" s="89"/>
      <c r="FF156" s="89"/>
      <c r="FG156" s="89"/>
      <c r="FH156" s="89"/>
      <c r="FI156" s="89"/>
      <c r="FJ156" s="96"/>
      <c r="FK156" s="96"/>
      <c r="FL156" s="96"/>
      <c r="FM156" s="96"/>
      <c r="FN156" s="96"/>
      <c r="FO156" s="108"/>
      <c r="FP156" s="108"/>
      <c r="FQ156" s="108"/>
      <c r="FR156" s="108"/>
      <c r="FS156" s="108"/>
      <c r="FT156" s="108"/>
      <c r="FU156" s="108"/>
      <c r="FV156" s="108"/>
      <c r="FW156" s="108"/>
      <c r="FX156" s="301"/>
      <c r="FY156" s="259"/>
      <c r="FZ156" s="259"/>
      <c r="GA156" s="259"/>
      <c r="GB156" s="259"/>
      <c r="GC156" s="377"/>
      <c r="GD156" s="377"/>
      <c r="GE156" s="377"/>
      <c r="GF156" s="377"/>
      <c r="GG156" s="377"/>
      <c r="GH156" s="377"/>
      <c r="GI156" s="377"/>
      <c r="GJ156" s="377"/>
      <c r="GK156" s="377"/>
      <c r="GL156" s="377"/>
      <c r="GM156" s="377"/>
      <c r="GN156" s="377"/>
      <c r="GO156" s="301"/>
      <c r="GP156" s="301"/>
      <c r="GQ156" s="301"/>
      <c r="GR156" s="301"/>
      <c r="GS156" s="301"/>
      <c r="GT156" s="301"/>
      <c r="GU156" s="301"/>
      <c r="GV156" s="301"/>
      <c r="IB156" s="65"/>
    </row>
    <row r="157" spans="1:236" ht="16.95" customHeight="1">
      <c r="A157" s="60"/>
      <c r="B157" s="69"/>
      <c r="C157" s="69"/>
      <c r="D157" s="331" t="str">
        <f ca="1">IF(FL1=0,"","de gemiddelde totale kosten (GTK), de")</f>
        <v/>
      </c>
      <c r="E157" s="331"/>
      <c r="F157" s="331"/>
      <c r="G157" s="331"/>
      <c r="H157" s="331"/>
      <c r="I157" s="331"/>
      <c r="J157" s="331"/>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89"/>
      <c r="AS157" s="89"/>
      <c r="AT157" s="89"/>
      <c r="AU157" s="89"/>
      <c r="AV157" s="89"/>
      <c r="AW157" s="89"/>
      <c r="AX157" s="89"/>
      <c r="AY157" s="89"/>
      <c r="AZ157" s="89"/>
      <c r="BA157" s="89"/>
      <c r="BB157" s="89"/>
      <c r="BC157" s="89"/>
      <c r="BD157" s="89"/>
      <c r="BE157" s="89"/>
      <c r="BF157" s="89"/>
      <c r="BG157" s="89"/>
      <c r="BH157" s="89"/>
      <c r="BI157" s="89"/>
      <c r="BJ157" s="89"/>
      <c r="BK157" s="89"/>
      <c r="BL157" s="89"/>
      <c r="BM157" s="89"/>
      <c r="BN157" s="89"/>
      <c r="BO157" s="89"/>
      <c r="BP157" s="89"/>
      <c r="BQ157" s="89"/>
      <c r="BR157" s="89"/>
      <c r="BS157" s="89"/>
      <c r="BT157" s="89"/>
      <c r="BU157" s="89"/>
      <c r="BV157" s="89"/>
      <c r="BW157" s="89"/>
      <c r="BX157" s="89"/>
      <c r="BY157" s="89"/>
      <c r="BZ157" s="89"/>
      <c r="CA157" s="89"/>
      <c r="CB157" s="89"/>
      <c r="CC157" s="89"/>
      <c r="CD157" s="89"/>
      <c r="CE157" s="89"/>
      <c r="CF157" s="89"/>
      <c r="CG157" s="89"/>
      <c r="CH157" s="89"/>
      <c r="CI157" s="89"/>
      <c r="CJ157" s="89"/>
      <c r="CK157" s="89"/>
      <c r="CL157" s="89"/>
      <c r="CM157" s="89"/>
      <c r="CN157" s="89"/>
      <c r="CO157" s="89"/>
      <c r="CP157" s="89"/>
      <c r="CQ157" s="89"/>
      <c r="CR157" s="89"/>
      <c r="CS157" s="89"/>
      <c r="CT157" s="89"/>
      <c r="CU157" s="89"/>
      <c r="CV157" s="89"/>
      <c r="CW157" s="89"/>
      <c r="CX157" s="89"/>
      <c r="CY157" s="89"/>
      <c r="CZ157" s="89"/>
      <c r="DA157" s="89"/>
      <c r="DB157" s="89"/>
      <c r="DC157" s="89"/>
      <c r="DD157" s="89"/>
      <c r="DE157" s="89"/>
      <c r="DF157" s="89"/>
      <c r="DG157" s="89"/>
      <c r="DH157" s="89"/>
      <c r="DI157" s="89"/>
      <c r="DJ157" s="89"/>
      <c r="DK157" s="89"/>
      <c r="DL157" s="89"/>
      <c r="DM157" s="89"/>
      <c r="DN157" s="89"/>
      <c r="DO157" s="89"/>
      <c r="DP157" s="89"/>
      <c r="DQ157" s="89"/>
      <c r="DR157" s="89"/>
      <c r="DS157" s="89"/>
      <c r="DT157" s="89"/>
      <c r="DU157" s="141"/>
      <c r="DV157" s="141"/>
      <c r="DW157" s="141"/>
      <c r="DX157" s="141"/>
      <c r="DY157" s="141"/>
      <c r="DZ157" s="141"/>
      <c r="EA157" s="141"/>
      <c r="EB157" s="89"/>
      <c r="EC157" s="89"/>
      <c r="ED157" s="89"/>
      <c r="EE157" s="89"/>
      <c r="EF157" s="89"/>
      <c r="EG157" s="89"/>
      <c r="EH157" s="89"/>
      <c r="EI157" s="89"/>
      <c r="EJ157" s="89"/>
      <c r="EK157" s="89"/>
      <c r="EL157" s="89"/>
      <c r="EM157" s="89"/>
      <c r="EN157" s="89"/>
      <c r="EO157" s="89"/>
      <c r="EP157" s="89"/>
      <c r="EQ157" s="89"/>
      <c r="ER157" s="89"/>
      <c r="ES157" s="89"/>
      <c r="ET157" s="89"/>
      <c r="EU157" s="89"/>
      <c r="EV157" s="89"/>
      <c r="EW157" s="89"/>
      <c r="EX157" s="89"/>
      <c r="EY157" s="89"/>
      <c r="EZ157" s="89"/>
      <c r="FA157" s="89"/>
      <c r="FB157" s="89"/>
      <c r="FC157" s="89"/>
      <c r="FD157" s="89"/>
      <c r="FE157" s="89"/>
      <c r="FF157" s="89"/>
      <c r="FG157" s="89"/>
      <c r="FH157" s="89"/>
      <c r="FI157" s="89"/>
      <c r="FJ157" s="300"/>
      <c r="FK157" s="300"/>
      <c r="FL157" s="300"/>
      <c r="FM157" s="300"/>
      <c r="FN157" s="300"/>
      <c r="FO157" s="108"/>
      <c r="FP157" s="108"/>
      <c r="FQ157" s="108"/>
      <c r="FR157" s="108"/>
      <c r="FS157" s="108"/>
      <c r="FT157" s="108"/>
      <c r="FU157" s="108"/>
      <c r="FV157" s="108"/>
      <c r="FW157" s="108"/>
      <c r="FX157" s="301"/>
      <c r="FY157" s="259"/>
      <c r="FZ157" s="259"/>
      <c r="GA157" s="259"/>
      <c r="GB157" s="259"/>
      <c r="GC157" s="377"/>
      <c r="GD157" s="377"/>
      <c r="GE157" s="377"/>
      <c r="GF157" s="377"/>
      <c r="GG157" s="377"/>
      <c r="GH157" s="377"/>
      <c r="GI157" s="377"/>
      <c r="GJ157" s="377"/>
      <c r="GK157" s="377"/>
      <c r="GL157" s="377"/>
      <c r="GM157" s="377"/>
      <c r="GN157" s="377"/>
      <c r="GO157" s="301"/>
      <c r="GP157" s="301"/>
      <c r="GQ157" s="301"/>
      <c r="GR157" s="301"/>
      <c r="GS157" s="301"/>
      <c r="GT157" s="301"/>
      <c r="GU157" s="301"/>
      <c r="GV157" s="301"/>
      <c r="IB157" s="65"/>
    </row>
    <row r="158" spans="1:236" ht="16.95" customHeight="1">
      <c r="A158" s="60"/>
      <c r="B158" s="69"/>
      <c r="C158" s="69"/>
      <c r="D158" s="331" t="str">
        <f ca="1">IF(FL1=0,"","marginale kosten (MK), de prijsafzetlijn (P)")</f>
        <v/>
      </c>
      <c r="E158" s="331"/>
      <c r="F158" s="331"/>
      <c r="G158" s="331"/>
      <c r="H158" s="331"/>
      <c r="I158" s="331"/>
      <c r="J158" s="331"/>
      <c r="K158" s="89"/>
      <c r="L158" s="89"/>
      <c r="M158" s="89"/>
      <c r="N158" s="89"/>
      <c r="O158" s="89"/>
      <c r="P158" s="89"/>
      <c r="Q158" s="89"/>
      <c r="R158" s="89"/>
      <c r="S158" s="89"/>
      <c r="T158" s="89"/>
      <c r="U158" s="89"/>
      <c r="V158" s="89"/>
      <c r="W158" s="89"/>
      <c r="X158" s="89"/>
      <c r="Y158" s="89"/>
      <c r="Z158" s="89"/>
      <c r="AA158" s="89"/>
      <c r="AB158" s="89"/>
      <c r="AC158" s="89"/>
      <c r="AD158" s="89"/>
      <c r="AE158" s="89"/>
      <c r="AF158" s="89"/>
      <c r="AG158" s="89"/>
      <c r="AH158" s="89"/>
      <c r="AI158" s="89"/>
      <c r="AJ158" s="89"/>
      <c r="AK158" s="89"/>
      <c r="AL158" s="89"/>
      <c r="AM158" s="89"/>
      <c r="AN158" s="89"/>
      <c r="AO158" s="89"/>
      <c r="AP158" s="89"/>
      <c r="AQ158" s="89"/>
      <c r="AR158" s="89"/>
      <c r="AS158" s="89"/>
      <c r="AT158" s="89"/>
      <c r="AU158" s="89"/>
      <c r="AV158" s="89"/>
      <c r="AW158" s="89"/>
      <c r="AX158" s="89"/>
      <c r="AY158" s="89"/>
      <c r="AZ158" s="89"/>
      <c r="BA158" s="89"/>
      <c r="BB158" s="89"/>
      <c r="BC158" s="89"/>
      <c r="BD158" s="89"/>
      <c r="BE158" s="89"/>
      <c r="BF158" s="89"/>
      <c r="BG158" s="89"/>
      <c r="BH158" s="89"/>
      <c r="BI158" s="89"/>
      <c r="BJ158" s="89"/>
      <c r="BK158" s="89"/>
      <c r="BL158" s="89"/>
      <c r="BM158" s="89"/>
      <c r="BN158" s="89"/>
      <c r="BO158" s="89"/>
      <c r="BP158" s="89"/>
      <c r="BQ158" s="89"/>
      <c r="BR158" s="89"/>
      <c r="BS158" s="89"/>
      <c r="BT158" s="89"/>
      <c r="BU158" s="89"/>
      <c r="BV158" s="89"/>
      <c r="BW158" s="89"/>
      <c r="BX158" s="89"/>
      <c r="BY158" s="89"/>
      <c r="BZ158" s="89"/>
      <c r="CA158" s="89"/>
      <c r="CB158" s="89"/>
      <c r="CC158" s="89"/>
      <c r="CD158" s="89"/>
      <c r="CE158" s="89"/>
      <c r="CF158" s="89"/>
      <c r="CG158" s="89"/>
      <c r="CH158" s="89"/>
      <c r="CI158" s="89"/>
      <c r="CJ158" s="89"/>
      <c r="CK158" s="89"/>
      <c r="CL158" s="89"/>
      <c r="CM158" s="89"/>
      <c r="CN158" s="89"/>
      <c r="CO158" s="89"/>
      <c r="CP158" s="89"/>
      <c r="CQ158" s="89"/>
      <c r="CR158" s="89"/>
      <c r="CS158" s="89"/>
      <c r="CT158" s="89"/>
      <c r="CU158" s="89"/>
      <c r="CV158" s="89"/>
      <c r="CW158" s="89"/>
      <c r="CX158" s="89"/>
      <c r="CY158" s="89"/>
      <c r="CZ158" s="89"/>
      <c r="DA158" s="89"/>
      <c r="DB158" s="89"/>
      <c r="DC158" s="89"/>
      <c r="DD158" s="89"/>
      <c r="DE158" s="89"/>
      <c r="DF158" s="89"/>
      <c r="DG158" s="89"/>
      <c r="DH158" s="89"/>
      <c r="DI158" s="89"/>
      <c r="DJ158" s="89"/>
      <c r="DK158" s="89"/>
      <c r="DL158" s="89"/>
      <c r="DM158" s="89"/>
      <c r="DN158" s="89"/>
      <c r="DO158" s="89"/>
      <c r="DP158" s="89"/>
      <c r="DQ158" s="89"/>
      <c r="DR158" s="89"/>
      <c r="DS158" s="89"/>
      <c r="DT158" s="89"/>
      <c r="DU158" s="141"/>
      <c r="DV158" s="141"/>
      <c r="DW158" s="141"/>
      <c r="DX158" s="141"/>
      <c r="DY158" s="141"/>
      <c r="DZ158" s="141"/>
      <c r="EA158" s="141"/>
      <c r="EB158" s="89"/>
      <c r="EC158" s="89"/>
      <c r="ED158" s="89"/>
      <c r="EE158" s="89"/>
      <c r="EF158" s="89"/>
      <c r="EG158" s="89"/>
      <c r="EH158" s="89"/>
      <c r="EI158" s="89"/>
      <c r="EJ158" s="89"/>
      <c r="EK158" s="89"/>
      <c r="EL158" s="89"/>
      <c r="EM158" s="89"/>
      <c r="EN158" s="89"/>
      <c r="EO158" s="89"/>
      <c r="EP158" s="89"/>
      <c r="EQ158" s="89"/>
      <c r="ER158" s="89"/>
      <c r="ES158" s="89"/>
      <c r="ET158" s="89"/>
      <c r="EU158" s="89"/>
      <c r="EV158" s="89"/>
      <c r="EW158" s="89"/>
      <c r="EX158" s="89"/>
      <c r="EY158" s="89"/>
      <c r="EZ158" s="89"/>
      <c r="FA158" s="89"/>
      <c r="FB158" s="89"/>
      <c r="FC158" s="89"/>
      <c r="FD158" s="89"/>
      <c r="FE158" s="89"/>
      <c r="FF158" s="89"/>
      <c r="FG158" s="89"/>
      <c r="FH158" s="89"/>
      <c r="FI158" s="89"/>
      <c r="FJ158" s="300"/>
      <c r="FK158" s="300"/>
      <c r="FL158" s="300"/>
      <c r="FM158" s="300"/>
      <c r="FN158" s="300"/>
      <c r="FO158" s="108"/>
      <c r="FP158" s="108"/>
      <c r="FQ158" s="108"/>
      <c r="FR158" s="108"/>
      <c r="FS158" s="108"/>
      <c r="FT158" s="108"/>
      <c r="FU158" s="108"/>
      <c r="FV158" s="108"/>
      <c r="FW158" s="108"/>
      <c r="FX158" s="301"/>
      <c r="FY158" s="259"/>
      <c r="FZ158" s="259"/>
      <c r="GA158" s="259"/>
      <c r="GB158" s="259"/>
      <c r="GC158" s="377"/>
      <c r="GD158" s="377"/>
      <c r="GE158" s="377"/>
      <c r="GF158" s="377"/>
      <c r="GG158" s="377"/>
      <c r="GH158" s="377"/>
      <c r="GI158" s="377"/>
      <c r="GJ158" s="377"/>
      <c r="GK158" s="377"/>
      <c r="GL158" s="377"/>
      <c r="GM158" s="377"/>
      <c r="GN158" s="377"/>
      <c r="GO158" s="301"/>
      <c r="GP158" s="301"/>
      <c r="GQ158" s="301"/>
      <c r="GR158" s="301"/>
      <c r="GS158" s="301"/>
      <c r="GT158" s="301"/>
      <c r="GU158" s="301"/>
      <c r="GV158" s="301"/>
      <c r="IB158" s="65"/>
    </row>
    <row r="159" spans="1:236" ht="16.95" customHeight="1">
      <c r="A159" s="60"/>
      <c r="B159" s="69"/>
      <c r="C159" s="69"/>
      <c r="D159" s="331" t="str">
        <f ca="1">IF(FL1=0,"","en de MO-lijn ingetekend. Zoals je ziet")</f>
        <v/>
      </c>
      <c r="E159" s="331"/>
      <c r="F159" s="331"/>
      <c r="G159" s="331"/>
      <c r="H159" s="331"/>
      <c r="I159" s="331"/>
      <c r="J159" s="331"/>
      <c r="K159" s="89"/>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c r="AR159" s="89"/>
      <c r="AS159" s="89"/>
      <c r="AT159" s="89"/>
      <c r="AU159" s="89"/>
      <c r="AV159" s="89"/>
      <c r="AW159" s="89"/>
      <c r="AX159" s="89"/>
      <c r="AY159" s="89"/>
      <c r="AZ159" s="89"/>
      <c r="BA159" s="89"/>
      <c r="BB159" s="89"/>
      <c r="BC159" s="89"/>
      <c r="BD159" s="89"/>
      <c r="BE159" s="89"/>
      <c r="BF159" s="89"/>
      <c r="BG159" s="89"/>
      <c r="BH159" s="89"/>
      <c r="BI159" s="89"/>
      <c r="BJ159" s="89"/>
      <c r="BK159" s="89"/>
      <c r="BL159" s="89"/>
      <c r="BM159" s="89"/>
      <c r="BN159" s="89"/>
      <c r="BO159" s="89"/>
      <c r="BP159" s="89"/>
      <c r="BQ159" s="89"/>
      <c r="BR159" s="89"/>
      <c r="BS159" s="89"/>
      <c r="BT159" s="89"/>
      <c r="BU159" s="89"/>
      <c r="BV159" s="89"/>
      <c r="BW159" s="89"/>
      <c r="BX159" s="89"/>
      <c r="BY159" s="89"/>
      <c r="BZ159" s="89"/>
      <c r="CA159" s="89"/>
      <c r="CB159" s="89"/>
      <c r="CC159" s="89"/>
      <c r="CD159" s="89"/>
      <c r="CE159" s="89"/>
      <c r="CF159" s="89"/>
      <c r="CG159" s="89"/>
      <c r="CH159" s="89"/>
      <c r="CI159" s="89"/>
      <c r="CJ159" s="89"/>
      <c r="CK159" s="89"/>
      <c r="CL159" s="89"/>
      <c r="CM159" s="89"/>
      <c r="CN159" s="89"/>
      <c r="CO159" s="89"/>
      <c r="CP159" s="89"/>
      <c r="CQ159" s="89"/>
      <c r="CR159" s="89"/>
      <c r="CS159" s="89"/>
      <c r="CT159" s="89"/>
      <c r="CU159" s="89"/>
      <c r="CV159" s="89"/>
      <c r="CW159" s="89"/>
      <c r="CX159" s="89"/>
      <c r="CY159" s="89"/>
      <c r="CZ159" s="89"/>
      <c r="DA159" s="89"/>
      <c r="DB159" s="89"/>
      <c r="DC159" s="89"/>
      <c r="DD159" s="89"/>
      <c r="DE159" s="89"/>
      <c r="DF159" s="89"/>
      <c r="DG159" s="89"/>
      <c r="DH159" s="89"/>
      <c r="DI159" s="89"/>
      <c r="DJ159" s="89"/>
      <c r="DK159" s="89"/>
      <c r="DL159" s="89"/>
      <c r="DM159" s="89"/>
      <c r="DN159" s="89"/>
      <c r="DO159" s="89"/>
      <c r="DP159" s="89"/>
      <c r="DQ159" s="89"/>
      <c r="DR159" s="89"/>
      <c r="DS159" s="89"/>
      <c r="DT159" s="89"/>
      <c r="DU159" s="141"/>
      <c r="DV159" s="141"/>
      <c r="DW159" s="141"/>
      <c r="DX159" s="141"/>
      <c r="DY159" s="141"/>
      <c r="DZ159" s="141"/>
      <c r="EA159" s="141"/>
      <c r="EB159" s="89"/>
      <c r="EC159" s="89"/>
      <c r="ED159" s="89"/>
      <c r="EE159" s="89"/>
      <c r="EF159" s="89"/>
      <c r="EG159" s="89"/>
      <c r="EH159" s="89"/>
      <c r="EI159" s="89"/>
      <c r="EJ159" s="89"/>
      <c r="EK159" s="89"/>
      <c r="EL159" s="89"/>
      <c r="EM159" s="89"/>
      <c r="EN159" s="89"/>
      <c r="EO159" s="89"/>
      <c r="EP159" s="89"/>
      <c r="EQ159" s="89"/>
      <c r="ER159" s="89"/>
      <c r="ES159" s="89"/>
      <c r="ET159" s="89"/>
      <c r="EU159" s="89"/>
      <c r="EV159" s="89"/>
      <c r="EW159" s="89"/>
      <c r="EX159" s="89"/>
      <c r="EY159" s="89"/>
      <c r="EZ159" s="89"/>
      <c r="FA159" s="89"/>
      <c r="FB159" s="89"/>
      <c r="FC159" s="89"/>
      <c r="FD159" s="89"/>
      <c r="FE159" s="89"/>
      <c r="FF159" s="89"/>
      <c r="FG159" s="89"/>
      <c r="FH159" s="89"/>
      <c r="FI159" s="89"/>
      <c r="FJ159" s="300"/>
      <c r="FK159" s="300"/>
      <c r="FL159" s="300"/>
      <c r="FM159" s="300"/>
      <c r="FN159" s="300"/>
      <c r="FO159" s="108"/>
      <c r="FP159" s="108"/>
      <c r="FQ159" s="108"/>
      <c r="FR159" s="108"/>
      <c r="FS159" s="108"/>
      <c r="FT159" s="108"/>
      <c r="FU159" s="108"/>
      <c r="FV159" s="108"/>
      <c r="FW159" s="108"/>
      <c r="FX159" s="301"/>
      <c r="FY159" s="259"/>
      <c r="FZ159" s="259"/>
      <c r="GA159" s="259"/>
      <c r="GB159" s="259"/>
      <c r="GC159" s="377"/>
      <c r="GD159" s="377"/>
      <c r="GE159" s="377"/>
      <c r="GF159" s="377"/>
      <c r="GG159" s="377"/>
      <c r="GH159" s="377"/>
      <c r="GI159" s="377"/>
      <c r="GJ159" s="377"/>
      <c r="GK159" s="377"/>
      <c r="GL159" s="377"/>
      <c r="GM159" s="377"/>
      <c r="GN159" s="377"/>
      <c r="GO159" s="301"/>
      <c r="GP159" s="301"/>
      <c r="GQ159" s="301"/>
      <c r="GR159" s="301"/>
      <c r="GS159" s="301"/>
      <c r="GT159" s="301"/>
      <c r="GU159" s="301"/>
      <c r="GV159" s="301"/>
      <c r="IB159" s="65"/>
    </row>
    <row r="160" spans="1:236" ht="16.95" customHeight="1">
      <c r="A160" s="60"/>
      <c r="B160" s="69"/>
      <c r="C160" s="69"/>
      <c r="D160" s="331" t="str">
        <f ca="1">IF(FL1=0,"","is dit er niet bij gezet. Hoeveel bedraagt")</f>
        <v/>
      </c>
      <c r="E160" s="331"/>
      <c r="F160" s="331"/>
      <c r="G160" s="331"/>
      <c r="H160" s="331"/>
      <c r="I160" s="331"/>
      <c r="J160" s="331"/>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AQ160" s="89"/>
      <c r="AR160" s="89"/>
      <c r="AS160" s="89"/>
      <c r="AT160" s="89"/>
      <c r="AU160" s="89"/>
      <c r="AV160" s="89"/>
      <c r="AW160" s="89"/>
      <c r="AX160" s="89"/>
      <c r="AY160" s="89"/>
      <c r="AZ160" s="89"/>
      <c r="BA160" s="89"/>
      <c r="BB160" s="89"/>
      <c r="BC160" s="89"/>
      <c r="BD160" s="89"/>
      <c r="BE160" s="89"/>
      <c r="BF160" s="89"/>
      <c r="BG160" s="89"/>
      <c r="BH160" s="89"/>
      <c r="BI160" s="89"/>
      <c r="BJ160" s="89"/>
      <c r="BK160" s="89"/>
      <c r="BL160" s="89"/>
      <c r="BM160" s="89"/>
      <c r="BN160" s="89"/>
      <c r="BO160" s="89"/>
      <c r="BP160" s="89"/>
      <c r="BQ160" s="89"/>
      <c r="BR160" s="89"/>
      <c r="BS160" s="89"/>
      <c r="BT160" s="89"/>
      <c r="BU160" s="89"/>
      <c r="BV160" s="89"/>
      <c r="BW160" s="89"/>
      <c r="BX160" s="89"/>
      <c r="BY160" s="89"/>
      <c r="BZ160" s="89"/>
      <c r="CA160" s="89"/>
      <c r="CB160" s="89"/>
      <c r="CC160" s="89"/>
      <c r="CD160" s="89"/>
      <c r="CE160" s="89"/>
      <c r="CF160" s="89"/>
      <c r="CG160" s="89"/>
      <c r="CH160" s="89"/>
      <c r="CI160" s="89"/>
      <c r="CJ160" s="89"/>
      <c r="CK160" s="89"/>
      <c r="CL160" s="89"/>
      <c r="CM160" s="89"/>
      <c r="CN160" s="89"/>
      <c r="CO160" s="89"/>
      <c r="CP160" s="89"/>
      <c r="CQ160" s="89"/>
      <c r="CR160" s="89"/>
      <c r="CS160" s="89"/>
      <c r="CT160" s="89"/>
      <c r="CU160" s="89"/>
      <c r="CV160" s="89"/>
      <c r="CW160" s="89"/>
      <c r="CX160" s="89"/>
      <c r="CY160" s="89"/>
      <c r="CZ160" s="89"/>
      <c r="DA160" s="89"/>
      <c r="DB160" s="89"/>
      <c r="DC160" s="89"/>
      <c r="DD160" s="89"/>
      <c r="DE160" s="89"/>
      <c r="DF160" s="89"/>
      <c r="DG160" s="89"/>
      <c r="DH160" s="89"/>
      <c r="DI160" s="89"/>
      <c r="DJ160" s="89"/>
      <c r="DK160" s="89"/>
      <c r="DL160" s="89"/>
      <c r="DM160" s="89"/>
      <c r="DN160" s="89"/>
      <c r="DO160" s="89"/>
      <c r="DP160" s="89"/>
      <c r="DQ160" s="89"/>
      <c r="DR160" s="89"/>
      <c r="DS160" s="89"/>
      <c r="DT160" s="89"/>
      <c r="DU160" s="141"/>
      <c r="DV160" s="141"/>
      <c r="DW160" s="141"/>
      <c r="DX160" s="141"/>
      <c r="DY160" s="141"/>
      <c r="DZ160" s="141"/>
      <c r="EA160" s="141"/>
      <c r="EB160" s="89"/>
      <c r="EC160" s="89"/>
      <c r="ED160" s="89"/>
      <c r="EE160" s="89"/>
      <c r="EF160" s="89"/>
      <c r="EG160" s="89"/>
      <c r="EH160" s="89"/>
      <c r="EI160" s="89"/>
      <c r="EJ160" s="89"/>
      <c r="EK160" s="89"/>
      <c r="EL160" s="89"/>
      <c r="EM160" s="89"/>
      <c r="EN160" s="89"/>
      <c r="EO160" s="89"/>
      <c r="EP160" s="89"/>
      <c r="EQ160" s="89"/>
      <c r="ER160" s="89"/>
      <c r="ES160" s="89"/>
      <c r="ET160" s="89"/>
      <c r="EU160" s="89"/>
      <c r="EV160" s="89"/>
      <c r="EW160" s="89"/>
      <c r="EX160" s="89"/>
      <c r="EY160" s="89"/>
      <c r="EZ160" s="89"/>
      <c r="FA160" s="89"/>
      <c r="FB160" s="89"/>
      <c r="FC160" s="89"/>
      <c r="FD160" s="89"/>
      <c r="FE160" s="89"/>
      <c r="FF160" s="89"/>
      <c r="FG160" s="89"/>
      <c r="FH160" s="89"/>
      <c r="FI160" s="89"/>
      <c r="FJ160" s="300"/>
      <c r="FK160" s="300"/>
      <c r="FL160" s="300"/>
      <c r="FM160" s="300"/>
      <c r="FN160" s="300"/>
      <c r="FO160" s="108"/>
      <c r="FP160" s="108"/>
      <c r="FQ160" s="108"/>
      <c r="FR160" s="108"/>
      <c r="FS160" s="108"/>
      <c r="FT160" s="108"/>
      <c r="FU160" s="108"/>
      <c r="FV160" s="108"/>
      <c r="FW160" s="108"/>
      <c r="FX160" s="301"/>
      <c r="FY160" s="259"/>
      <c r="FZ160" s="259"/>
      <c r="GA160" s="259"/>
      <c r="GB160" s="259"/>
      <c r="GC160" s="377"/>
      <c r="GD160" s="377"/>
      <c r="GE160" s="377"/>
      <c r="GF160" s="377"/>
      <c r="GG160" s="377"/>
      <c r="GH160" s="377"/>
      <c r="GI160" s="377"/>
      <c r="GJ160" s="377"/>
      <c r="GK160" s="377"/>
      <c r="GL160" s="377"/>
      <c r="GM160" s="377"/>
      <c r="GN160" s="377"/>
      <c r="GO160" s="301"/>
      <c r="GP160" s="301"/>
      <c r="GQ160" s="301"/>
      <c r="GR160" s="301"/>
      <c r="GS160" s="301"/>
      <c r="GT160" s="301"/>
      <c r="GU160" s="301"/>
      <c r="GV160" s="301"/>
      <c r="IB160" s="65"/>
    </row>
    <row r="161" spans="1:236" ht="16.95" customHeight="1">
      <c r="A161" s="60"/>
      <c r="B161" s="69"/>
      <c r="C161" s="69"/>
      <c r="D161" s="341" t="str">
        <f ca="1">IF(FL1=0,"","de totale winst in euro's bij de aangegeven")</f>
        <v/>
      </c>
      <c r="E161" s="331"/>
      <c r="F161" s="331"/>
      <c r="G161" s="331"/>
      <c r="H161" s="331"/>
      <c r="I161" s="331"/>
      <c r="J161" s="331"/>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c r="BJ161" s="89"/>
      <c r="BK161" s="89"/>
      <c r="BL161" s="89"/>
      <c r="BM161" s="89"/>
      <c r="BN161" s="89"/>
      <c r="BO161" s="89"/>
      <c r="BP161" s="89"/>
      <c r="BQ161" s="89"/>
      <c r="BR161" s="89"/>
      <c r="BS161" s="89"/>
      <c r="BT161" s="89"/>
      <c r="BU161" s="89"/>
      <c r="BV161" s="89"/>
      <c r="BW161" s="89"/>
      <c r="BX161" s="89"/>
      <c r="BY161" s="89"/>
      <c r="BZ161" s="89"/>
      <c r="CA161" s="89"/>
      <c r="CB161" s="348" t="str">
        <f ca="1">IF(FL1=0,"",""&amp;FN169&amp;"")</f>
        <v/>
      </c>
      <c r="CC161" s="89"/>
      <c r="CD161" s="89"/>
      <c r="CE161" s="89"/>
      <c r="CF161" s="89"/>
      <c r="CG161" s="89"/>
      <c r="CH161" s="89"/>
      <c r="CI161" s="89"/>
      <c r="CJ161" s="89"/>
      <c r="CK161" s="89"/>
      <c r="CL161" s="89"/>
      <c r="CM161" s="89"/>
      <c r="CN161" s="89"/>
      <c r="CO161" s="89"/>
      <c r="CP161" s="89"/>
      <c r="CQ161" s="89"/>
      <c r="CR161" s="89"/>
      <c r="CS161" s="89"/>
      <c r="CT161" s="89"/>
      <c r="CU161" s="89"/>
      <c r="CV161" s="89"/>
      <c r="CW161" s="89"/>
      <c r="CX161" s="89"/>
      <c r="CY161" s="89"/>
      <c r="CZ161" s="89"/>
      <c r="DA161" s="89"/>
      <c r="DB161" s="89"/>
      <c r="DC161" s="89"/>
      <c r="DD161" s="89"/>
      <c r="DE161" s="89"/>
      <c r="DF161" s="89"/>
      <c r="DG161" s="89"/>
      <c r="DH161" s="89"/>
      <c r="DI161" s="89"/>
      <c r="DJ161" s="89"/>
      <c r="DK161" s="89"/>
      <c r="DL161" s="89"/>
      <c r="DM161" s="89"/>
      <c r="DN161" s="89"/>
      <c r="DO161" s="89"/>
      <c r="DP161" s="89"/>
      <c r="DQ161" s="89"/>
      <c r="DR161" s="89"/>
      <c r="DS161" s="89"/>
      <c r="DT161" s="89"/>
      <c r="DU161" s="141"/>
      <c r="DV161" s="141"/>
      <c r="DW161" s="141"/>
      <c r="DX161" s="141"/>
      <c r="DY161" s="141"/>
      <c r="DZ161" s="141"/>
      <c r="EA161" s="141"/>
      <c r="EB161" s="89"/>
      <c r="EC161" s="89"/>
      <c r="ED161" s="89"/>
      <c r="EE161" s="89"/>
      <c r="EF161" s="89"/>
      <c r="EG161" s="89"/>
      <c r="EH161" s="89"/>
      <c r="EI161" s="89"/>
      <c r="EJ161" s="89"/>
      <c r="EK161" s="89"/>
      <c r="EL161" s="89"/>
      <c r="EM161" s="89"/>
      <c r="EN161" s="89"/>
      <c r="EO161" s="89"/>
      <c r="EP161" s="89"/>
      <c r="EQ161" s="89"/>
      <c r="ER161" s="89"/>
      <c r="ES161" s="89"/>
      <c r="ET161" s="89"/>
      <c r="EU161" s="89"/>
      <c r="EV161" s="89"/>
      <c r="EW161" s="89"/>
      <c r="EX161" s="89"/>
      <c r="EY161" s="89"/>
      <c r="EZ161" s="89"/>
      <c r="FA161" s="89"/>
      <c r="FB161" s="89"/>
      <c r="FC161" s="89"/>
      <c r="FD161" s="89"/>
      <c r="FE161" s="89"/>
      <c r="FF161" s="89"/>
      <c r="FG161" s="89"/>
      <c r="FH161" s="89"/>
      <c r="FI161" s="89"/>
      <c r="FJ161" s="300"/>
      <c r="FK161" s="300"/>
      <c r="FL161" s="300"/>
      <c r="FM161" s="300"/>
      <c r="FN161" s="300"/>
      <c r="FO161" s="108"/>
      <c r="FP161" s="108"/>
      <c r="FQ161" s="108"/>
      <c r="FR161" s="108"/>
      <c r="FS161" s="108"/>
      <c r="FT161" s="108"/>
      <c r="FU161" s="108"/>
      <c r="FV161" s="108"/>
      <c r="FW161" s="108"/>
      <c r="FX161" s="301"/>
      <c r="FY161" s="259"/>
      <c r="FZ161" s="259"/>
      <c r="GA161" s="259"/>
      <c r="GB161" s="259"/>
      <c r="GC161" s="377"/>
      <c r="GD161" s="377"/>
      <c r="GE161" s="377"/>
      <c r="GF161" s="377"/>
      <c r="GG161" s="377"/>
      <c r="GH161" s="377"/>
      <c r="GI161" s="377"/>
      <c r="GJ161" s="377"/>
      <c r="GK161" s="377"/>
      <c r="GL161" s="377"/>
      <c r="GM161" s="377"/>
      <c r="GN161" s="377"/>
      <c r="GO161" s="301"/>
      <c r="GP161" s="301"/>
      <c r="GQ161" s="301"/>
      <c r="GR161" s="301"/>
      <c r="GS161" s="301"/>
      <c r="GT161" s="301"/>
      <c r="GU161" s="301"/>
      <c r="GV161" s="301"/>
      <c r="IB161" s="65"/>
    </row>
    <row r="162" spans="1:236" ht="16.95" customHeight="1">
      <c r="A162" s="60"/>
      <c r="B162" s="69"/>
      <c r="C162" s="69"/>
      <c r="D162" s="341" t="str">
        <f ca="1">IF(FL1=0,"","afzet?")</f>
        <v/>
      </c>
      <c r="E162" s="331"/>
      <c r="F162" s="331"/>
      <c r="G162" s="331"/>
      <c r="H162" s="331"/>
      <c r="I162" s="331"/>
      <c r="J162" s="331"/>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c r="AJ162" s="89"/>
      <c r="AK162" s="89"/>
      <c r="AL162" s="89"/>
      <c r="AM162" s="89"/>
      <c r="AN162" s="89"/>
      <c r="AO162" s="89"/>
      <c r="AP162" s="89"/>
      <c r="AQ162" s="89"/>
      <c r="AR162" s="89"/>
      <c r="AS162" s="89"/>
      <c r="AT162" s="89"/>
      <c r="AU162" s="89"/>
      <c r="AV162" s="89"/>
      <c r="AW162" s="89"/>
      <c r="AX162" s="89"/>
      <c r="AY162" s="89"/>
      <c r="AZ162" s="89"/>
      <c r="BA162" s="89"/>
      <c r="BB162" s="89"/>
      <c r="BC162" s="89"/>
      <c r="BD162" s="89"/>
      <c r="BE162" s="89"/>
      <c r="BF162" s="89"/>
      <c r="BG162" s="89"/>
      <c r="BH162" s="89"/>
      <c r="BI162" s="89"/>
      <c r="BJ162" s="89"/>
      <c r="BK162" s="89"/>
      <c r="BL162" s="89"/>
      <c r="BM162" s="89"/>
      <c r="BN162" s="89"/>
      <c r="BO162" s="89"/>
      <c r="BP162" s="89"/>
      <c r="BQ162" s="89"/>
      <c r="BR162" s="89"/>
      <c r="BS162" s="89"/>
      <c r="BT162" s="89"/>
      <c r="BU162" s="89"/>
      <c r="BV162" s="89"/>
      <c r="BW162" s="89"/>
      <c r="BX162" s="89"/>
      <c r="BY162" s="89"/>
      <c r="BZ162" s="89"/>
      <c r="CA162" s="89"/>
      <c r="CB162" s="349" t="str">
        <f ca="1">IF(FL1=0,"",""&amp;FO169&amp;"")</f>
        <v/>
      </c>
      <c r="CC162" s="89"/>
      <c r="CD162" s="89"/>
      <c r="CE162" s="89"/>
      <c r="CF162" s="89"/>
      <c r="CG162" s="89"/>
      <c r="CH162" s="89"/>
      <c r="CI162" s="89"/>
      <c r="CJ162" s="89"/>
      <c r="CK162" s="89"/>
      <c r="CL162" s="89"/>
      <c r="CM162" s="89"/>
      <c r="CN162" s="89"/>
      <c r="CO162" s="89"/>
      <c r="CP162" s="89"/>
      <c r="CQ162" s="89"/>
      <c r="CR162" s="89"/>
      <c r="CS162" s="89"/>
      <c r="CT162" s="89"/>
      <c r="CU162" s="89"/>
      <c r="CV162" s="89"/>
      <c r="CW162" s="89"/>
      <c r="CX162" s="89"/>
      <c r="CY162" s="89"/>
      <c r="CZ162" s="89"/>
      <c r="DA162" s="89"/>
      <c r="DB162" s="89"/>
      <c r="DC162" s="89"/>
      <c r="DD162" s="89"/>
      <c r="DE162" s="89"/>
      <c r="DF162" s="89"/>
      <c r="DG162" s="89"/>
      <c r="DH162" s="89"/>
      <c r="DI162" s="89"/>
      <c r="DJ162" s="89"/>
      <c r="DK162" s="89"/>
      <c r="DL162" s="89"/>
      <c r="DM162" s="89"/>
      <c r="DN162" s="89"/>
      <c r="DO162" s="89"/>
      <c r="DP162" s="89"/>
      <c r="DQ162" s="89"/>
      <c r="DR162" s="89"/>
      <c r="DS162" s="89"/>
      <c r="DT162" s="89"/>
      <c r="DU162" s="141"/>
      <c r="DV162" s="141"/>
      <c r="DW162" s="141"/>
      <c r="DX162" s="141"/>
      <c r="DY162" s="141"/>
      <c r="DZ162" s="141"/>
      <c r="EA162" s="141"/>
      <c r="EB162" s="89"/>
      <c r="EC162" s="89"/>
      <c r="ED162" s="89"/>
      <c r="EE162" s="89"/>
      <c r="EF162" s="89"/>
      <c r="EG162" s="89"/>
      <c r="EH162" s="89"/>
      <c r="EI162" s="89"/>
      <c r="EJ162" s="89"/>
      <c r="EK162" s="89"/>
      <c r="EL162" s="89"/>
      <c r="EM162" s="89"/>
      <c r="EN162" s="89"/>
      <c r="EO162" s="89"/>
      <c r="EP162" s="89"/>
      <c r="EQ162" s="89"/>
      <c r="ER162" s="89"/>
      <c r="ES162" s="89"/>
      <c r="ET162" s="89"/>
      <c r="EU162" s="89"/>
      <c r="EV162" s="89"/>
      <c r="EW162" s="89"/>
      <c r="EX162" s="89"/>
      <c r="EY162" s="89"/>
      <c r="EZ162" s="89"/>
      <c r="FA162" s="89"/>
      <c r="FB162" s="89"/>
      <c r="FC162" s="89"/>
      <c r="FD162" s="89"/>
      <c r="FE162" s="89"/>
      <c r="FF162" s="89"/>
      <c r="FG162" s="89"/>
      <c r="FH162" s="89"/>
      <c r="FI162" s="89"/>
      <c r="FJ162" s="300"/>
      <c r="FK162" s="300"/>
      <c r="FL162" s="300"/>
      <c r="FM162" s="300"/>
      <c r="FN162" s="300"/>
      <c r="FO162" s="108"/>
      <c r="FP162" s="108"/>
      <c r="FQ162" s="108"/>
      <c r="FR162" s="108"/>
      <c r="FS162" s="108"/>
      <c r="FT162" s="108"/>
      <c r="FU162" s="108"/>
      <c r="FV162" s="108"/>
      <c r="FW162" s="108"/>
      <c r="FX162" s="301"/>
      <c r="FY162" s="259"/>
      <c r="FZ162" s="259"/>
      <c r="GA162" s="259"/>
      <c r="GB162" s="259"/>
      <c r="GC162" s="377"/>
      <c r="GD162" s="377"/>
      <c r="GE162" s="377"/>
      <c r="GF162" s="377"/>
      <c r="GG162" s="377"/>
      <c r="GH162" s="377"/>
      <c r="GI162" s="377"/>
      <c r="GJ162" s="377"/>
      <c r="GK162" s="377"/>
      <c r="GL162" s="377"/>
      <c r="GM162" s="377"/>
      <c r="GN162" s="377"/>
      <c r="GO162" s="301"/>
      <c r="GP162" s="301"/>
      <c r="GQ162" s="301"/>
      <c r="GR162" s="301"/>
      <c r="GS162" s="301"/>
      <c r="GT162" s="301"/>
      <c r="GU162" s="301"/>
      <c r="GV162" s="301"/>
      <c r="IB162" s="65"/>
    </row>
    <row r="163" spans="1:236" ht="16.95" customHeight="1">
      <c r="A163" s="60"/>
      <c r="B163" s="69"/>
      <c r="C163" s="69"/>
      <c r="D163" s="268"/>
      <c r="E163" s="331"/>
      <c r="F163" s="331"/>
      <c r="G163" s="331"/>
      <c r="H163" s="331"/>
      <c r="I163" s="331"/>
      <c r="J163" s="331"/>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c r="AK163" s="89"/>
      <c r="AL163" s="89"/>
      <c r="AM163" s="89"/>
      <c r="AN163" s="89"/>
      <c r="AO163" s="89"/>
      <c r="AP163" s="89"/>
      <c r="AQ163" s="89"/>
      <c r="AR163" s="89"/>
      <c r="AS163" s="89"/>
      <c r="AT163" s="89"/>
      <c r="AU163" s="89"/>
      <c r="AV163" s="89"/>
      <c r="AW163" s="89"/>
      <c r="AX163" s="89"/>
      <c r="AY163" s="89"/>
      <c r="AZ163" s="89"/>
      <c r="BA163" s="89"/>
      <c r="BB163" s="89"/>
      <c r="BC163" s="89"/>
      <c r="BD163" s="89"/>
      <c r="BE163" s="89"/>
      <c r="BF163" s="89"/>
      <c r="BG163" s="89"/>
      <c r="BH163" s="89"/>
      <c r="BI163" s="89"/>
      <c r="BJ163" s="89"/>
      <c r="BK163" s="89"/>
      <c r="BL163" s="89"/>
      <c r="BM163" s="89"/>
      <c r="BN163" s="89"/>
      <c r="BO163" s="89"/>
      <c r="BP163" s="89"/>
      <c r="BQ163" s="89"/>
      <c r="BR163" s="89"/>
      <c r="BS163" s="89"/>
      <c r="BT163" s="89"/>
      <c r="BU163" s="89"/>
      <c r="BV163" s="89"/>
      <c r="BW163" s="89"/>
      <c r="BX163" s="89"/>
      <c r="BY163" s="89"/>
      <c r="BZ163" s="89"/>
      <c r="CA163" s="89"/>
      <c r="CB163" s="348" t="str">
        <f ca="1">IF(FL1=0,"",""&amp;FP169&amp;"")</f>
        <v/>
      </c>
      <c r="CC163" s="89"/>
      <c r="CD163" s="89"/>
      <c r="CE163" s="89"/>
      <c r="CF163" s="89"/>
      <c r="CG163" s="89"/>
      <c r="CH163" s="89"/>
      <c r="CI163" s="89"/>
      <c r="CJ163" s="89"/>
      <c r="CK163" s="89"/>
      <c r="CL163" s="89"/>
      <c r="CM163" s="89"/>
      <c r="CN163" s="89"/>
      <c r="CO163" s="89"/>
      <c r="CP163" s="89"/>
      <c r="CQ163" s="89"/>
      <c r="CR163" s="89"/>
      <c r="CS163" s="89"/>
      <c r="CT163" s="89"/>
      <c r="CU163" s="89"/>
      <c r="CV163" s="89"/>
      <c r="CW163" s="89"/>
      <c r="CX163" s="89"/>
      <c r="CY163" s="89"/>
      <c r="CZ163" s="89"/>
      <c r="DA163" s="89"/>
      <c r="DB163" s="89"/>
      <c r="DC163" s="89"/>
      <c r="DD163" s="89"/>
      <c r="DE163" s="89"/>
      <c r="DF163" s="89"/>
      <c r="DG163" s="89"/>
      <c r="DH163" s="89"/>
      <c r="DI163" s="89"/>
      <c r="DJ163" s="89"/>
      <c r="DK163" s="89"/>
      <c r="DL163" s="89"/>
      <c r="DM163" s="89"/>
      <c r="DN163" s="89"/>
      <c r="DO163" s="89"/>
      <c r="DP163" s="89"/>
      <c r="DQ163" s="89"/>
      <c r="DR163" s="89"/>
      <c r="DS163" s="89"/>
      <c r="DT163" s="89"/>
      <c r="DU163" s="141"/>
      <c r="DV163" s="141"/>
      <c r="DW163" s="141"/>
      <c r="DX163" s="141"/>
      <c r="DY163" s="141"/>
      <c r="DZ163" s="141"/>
      <c r="EA163" s="141"/>
      <c r="EB163" s="89"/>
      <c r="EC163" s="89"/>
      <c r="ED163" s="89"/>
      <c r="EE163" s="89"/>
      <c r="EF163" s="89"/>
      <c r="EG163" s="89"/>
      <c r="EH163" s="89"/>
      <c r="EI163" s="89"/>
      <c r="EJ163" s="89"/>
      <c r="EK163" s="89"/>
      <c r="EL163" s="89"/>
      <c r="EM163" s="89"/>
      <c r="EN163" s="89"/>
      <c r="EO163" s="89"/>
      <c r="EP163" s="89"/>
      <c r="EQ163" s="89"/>
      <c r="ER163" s="89"/>
      <c r="ES163" s="89"/>
      <c r="ET163" s="89"/>
      <c r="EU163" s="89"/>
      <c r="EV163" s="89"/>
      <c r="EW163" s="89"/>
      <c r="EX163" s="89"/>
      <c r="EY163" s="89"/>
      <c r="EZ163" s="89"/>
      <c r="FA163" s="89"/>
      <c r="FB163" s="89"/>
      <c r="FC163" s="89"/>
      <c r="FD163" s="89"/>
      <c r="FE163" s="89"/>
      <c r="FF163" s="89"/>
      <c r="FG163" s="89"/>
      <c r="FH163" s="89"/>
      <c r="FI163" s="89"/>
      <c r="FJ163" s="300"/>
      <c r="FK163" s="300"/>
      <c r="FL163" s="300"/>
      <c r="FM163" s="300"/>
      <c r="FN163" s="300"/>
      <c r="FO163" s="108"/>
      <c r="FP163" s="108"/>
      <c r="FQ163" s="108"/>
      <c r="FR163" s="108"/>
      <c r="FS163" s="108"/>
      <c r="FT163" s="108"/>
      <c r="FU163" s="108"/>
      <c r="FV163" s="108"/>
      <c r="FW163" s="108"/>
      <c r="FX163" s="301"/>
      <c r="FY163" s="259"/>
      <c r="FZ163" s="259"/>
      <c r="GA163" s="259"/>
      <c r="GB163" s="259"/>
      <c r="GC163" s="377"/>
      <c r="GD163" s="377"/>
      <c r="GE163" s="377"/>
      <c r="GF163" s="377"/>
      <c r="GG163" s="377"/>
      <c r="GH163" s="377"/>
      <c r="GI163" s="377"/>
      <c r="GJ163" s="377"/>
      <c r="GK163" s="377"/>
      <c r="GL163" s="377"/>
      <c r="GM163" s="377"/>
      <c r="GN163" s="377"/>
      <c r="GO163" s="301"/>
      <c r="GP163" s="301"/>
      <c r="GQ163" s="301"/>
      <c r="GR163" s="301"/>
      <c r="GS163" s="301"/>
      <c r="GT163" s="301"/>
      <c r="GU163" s="301"/>
      <c r="GV163" s="301"/>
      <c r="IB163" s="65"/>
    </row>
    <row r="164" spans="1:236" ht="16.95" customHeight="1">
      <c r="A164" s="60"/>
      <c r="B164" s="69"/>
      <c r="C164" s="69"/>
      <c r="D164" s="268"/>
      <c r="E164" s="331"/>
      <c r="F164" s="331"/>
      <c r="G164" s="331"/>
      <c r="H164" s="331"/>
      <c r="I164" s="331"/>
      <c r="J164" s="331"/>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c r="AW164" s="89"/>
      <c r="AX164" s="89"/>
      <c r="AY164" s="89"/>
      <c r="AZ164" s="89"/>
      <c r="BA164" s="89"/>
      <c r="BB164" s="89"/>
      <c r="BC164" s="89"/>
      <c r="BD164" s="89"/>
      <c r="BE164" s="89"/>
      <c r="BF164" s="89"/>
      <c r="BG164" s="89"/>
      <c r="BH164" s="89"/>
      <c r="BI164" s="89"/>
      <c r="BJ164" s="89"/>
      <c r="BK164" s="89"/>
      <c r="BL164" s="89"/>
      <c r="BM164" s="89"/>
      <c r="BN164" s="89"/>
      <c r="BO164" s="89"/>
      <c r="BP164" s="89"/>
      <c r="BQ164" s="89"/>
      <c r="BR164" s="89"/>
      <c r="BS164" s="89"/>
      <c r="BT164" s="89"/>
      <c r="BU164" s="89"/>
      <c r="BV164" s="89"/>
      <c r="BW164" s="89"/>
      <c r="BX164" s="89"/>
      <c r="BY164" s="89"/>
      <c r="BZ164" s="89"/>
      <c r="CA164" s="89"/>
      <c r="CB164" s="89"/>
      <c r="CC164" s="89"/>
      <c r="CD164" s="89"/>
      <c r="CE164" s="89"/>
      <c r="CF164" s="89"/>
      <c r="CG164" s="89"/>
      <c r="CH164" s="89"/>
      <c r="CI164" s="89"/>
      <c r="CJ164" s="89"/>
      <c r="CK164" s="89"/>
      <c r="CL164" s="89"/>
      <c r="CM164" s="89"/>
      <c r="CN164" s="89"/>
      <c r="CO164" s="89"/>
      <c r="CP164" s="89"/>
      <c r="CQ164" s="89"/>
      <c r="CR164" s="89"/>
      <c r="CS164" s="89"/>
      <c r="CT164" s="89"/>
      <c r="CU164" s="89"/>
      <c r="CV164" s="89"/>
      <c r="CW164" s="89"/>
      <c r="CX164" s="89"/>
      <c r="CY164" s="89"/>
      <c r="CZ164" s="89"/>
      <c r="DA164" s="89"/>
      <c r="DB164" s="89"/>
      <c r="DC164" s="89"/>
      <c r="DD164" s="89"/>
      <c r="DE164" s="89"/>
      <c r="DF164" s="89"/>
      <c r="DG164" s="89"/>
      <c r="DH164" s="89"/>
      <c r="DI164" s="89"/>
      <c r="DJ164" s="89"/>
      <c r="DK164" s="89"/>
      <c r="DL164" s="89"/>
      <c r="DM164" s="89"/>
      <c r="DN164" s="89"/>
      <c r="DO164" s="89"/>
      <c r="DP164" s="89"/>
      <c r="DQ164" s="89"/>
      <c r="DR164" s="89"/>
      <c r="DS164" s="89"/>
      <c r="DT164" s="89"/>
      <c r="DU164" s="141"/>
      <c r="DV164" s="141"/>
      <c r="DW164" s="141"/>
      <c r="DX164" s="141"/>
      <c r="DY164" s="141"/>
      <c r="DZ164" s="141"/>
      <c r="EA164" s="141"/>
      <c r="EB164" s="89"/>
      <c r="EC164" s="89"/>
      <c r="ED164" s="89"/>
      <c r="EE164" s="89"/>
      <c r="EF164" s="89"/>
      <c r="EG164" s="89"/>
      <c r="EH164" s="89"/>
      <c r="EI164" s="89"/>
      <c r="EJ164" s="89"/>
      <c r="EK164" s="89"/>
      <c r="EL164" s="89"/>
      <c r="EM164" s="89"/>
      <c r="EN164" s="89"/>
      <c r="EO164" s="89"/>
      <c r="EP164" s="89"/>
      <c r="EQ164" s="89"/>
      <c r="ER164" s="89"/>
      <c r="ES164" s="89"/>
      <c r="ET164" s="89"/>
      <c r="EU164" s="89"/>
      <c r="EV164" s="89"/>
      <c r="EW164" s="89"/>
      <c r="EX164" s="89"/>
      <c r="EY164" s="89"/>
      <c r="EZ164" s="89"/>
      <c r="FA164" s="89"/>
      <c r="FB164" s="89"/>
      <c r="FC164" s="89"/>
      <c r="FD164" s="89"/>
      <c r="FE164" s="89"/>
      <c r="FF164" s="89"/>
      <c r="FG164" s="89"/>
      <c r="FH164" s="89"/>
      <c r="FI164" s="89"/>
      <c r="FJ164" s="300"/>
      <c r="FK164" s="300"/>
      <c r="FL164" s="300"/>
      <c r="FM164" s="300"/>
      <c r="FN164" s="300"/>
      <c r="FO164" s="108"/>
      <c r="FP164" s="108"/>
      <c r="FQ164" s="108"/>
      <c r="FR164" s="108"/>
      <c r="FS164" s="108"/>
      <c r="FT164" s="108"/>
      <c r="FU164" s="108"/>
      <c r="FV164" s="108"/>
      <c r="FW164" s="108"/>
      <c r="FX164" s="301"/>
      <c r="FY164" s="259"/>
      <c r="FZ164" s="259"/>
      <c r="GA164" s="259"/>
      <c r="GB164" s="259"/>
      <c r="GC164" s="377"/>
      <c r="GD164" s="377"/>
      <c r="GE164" s="377"/>
      <c r="GF164" s="377"/>
      <c r="GG164" s="377"/>
      <c r="GH164" s="377"/>
      <c r="GI164" s="377"/>
      <c r="GJ164" s="377"/>
      <c r="GK164" s="377"/>
      <c r="GL164" s="377"/>
      <c r="GM164" s="377"/>
      <c r="GN164" s="377"/>
      <c r="GO164" s="301"/>
      <c r="GP164" s="301"/>
      <c r="GQ164" s="301"/>
      <c r="GR164" s="301"/>
      <c r="GS164" s="301"/>
      <c r="GT164" s="301"/>
      <c r="GU164" s="301"/>
      <c r="GV164" s="301"/>
      <c r="IB164" s="65"/>
    </row>
    <row r="165" spans="1:236" ht="16.95" customHeight="1">
      <c r="A165" s="60"/>
      <c r="B165" s="69"/>
      <c r="C165" s="69"/>
      <c r="D165" s="341"/>
      <c r="E165" s="331"/>
      <c r="F165" s="331"/>
      <c r="G165" s="331"/>
      <c r="H165" s="331"/>
      <c r="I165" s="331"/>
      <c r="J165" s="331"/>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c r="AJ165" s="89"/>
      <c r="AK165" s="89"/>
      <c r="AL165" s="89"/>
      <c r="AM165" s="89"/>
      <c r="AN165" s="89"/>
      <c r="AO165" s="89"/>
      <c r="AP165" s="89"/>
      <c r="AQ165" s="89"/>
      <c r="AR165" s="89"/>
      <c r="AS165" s="89"/>
      <c r="AT165" s="89"/>
      <c r="AU165" s="89"/>
      <c r="AV165" s="89"/>
      <c r="AW165" s="89"/>
      <c r="AX165" s="89"/>
      <c r="AY165" s="89"/>
      <c r="AZ165" s="89"/>
      <c r="BA165" s="89"/>
      <c r="BB165" s="89"/>
      <c r="BC165" s="89"/>
      <c r="BD165" s="89"/>
      <c r="BE165" s="89"/>
      <c r="BF165" s="89"/>
      <c r="BG165" s="89"/>
      <c r="BH165" s="89"/>
      <c r="BI165" s="89"/>
      <c r="BJ165" s="89"/>
      <c r="BK165" s="89"/>
      <c r="BL165" s="89"/>
      <c r="BM165" s="89"/>
      <c r="BN165" s="89"/>
      <c r="BO165" s="89"/>
      <c r="BP165" s="89"/>
      <c r="BQ165" s="89"/>
      <c r="BR165" s="89"/>
      <c r="BS165" s="89"/>
      <c r="BT165" s="89"/>
      <c r="BU165" s="89"/>
      <c r="BV165" s="89"/>
      <c r="BW165" s="89"/>
      <c r="BX165" s="89"/>
      <c r="BY165" s="89"/>
      <c r="BZ165" s="89"/>
      <c r="CA165" s="89"/>
      <c r="CB165" s="89"/>
      <c r="CC165" s="89"/>
      <c r="CD165" s="89"/>
      <c r="CE165" s="89"/>
      <c r="CF165" s="89"/>
      <c r="CG165" s="89"/>
      <c r="CH165" s="89"/>
      <c r="CI165" s="89"/>
      <c r="CJ165" s="89"/>
      <c r="CK165" s="89"/>
      <c r="CL165" s="89"/>
      <c r="CM165" s="89"/>
      <c r="CN165" s="89"/>
      <c r="CO165" s="89"/>
      <c r="CP165" s="89"/>
      <c r="CQ165" s="89"/>
      <c r="CR165" s="89"/>
      <c r="CS165" s="89"/>
      <c r="CT165" s="89"/>
      <c r="CU165" s="89"/>
      <c r="CV165" s="89"/>
      <c r="CW165" s="552" t="str">
        <f ca="1">IF(FL1=0,"",""&amp;FQ169&amp;"")</f>
        <v/>
      </c>
      <c r="CX165" s="552"/>
      <c r="CY165" s="552"/>
      <c r="CZ165" s="552"/>
      <c r="DA165" s="552"/>
      <c r="DB165" s="552"/>
      <c r="DC165" s="552"/>
      <c r="DD165" s="552"/>
      <c r="DE165" s="552"/>
      <c r="DF165" s="350"/>
      <c r="DG165" s="89"/>
      <c r="DH165" s="89"/>
      <c r="DI165" s="89"/>
      <c r="DJ165" s="89"/>
      <c r="DK165" s="89"/>
      <c r="DL165" s="89"/>
      <c r="DM165" s="89"/>
      <c r="DN165" s="89"/>
      <c r="DO165" s="89"/>
      <c r="DP165" s="89"/>
      <c r="DQ165" s="89"/>
      <c r="DR165" s="89"/>
      <c r="DS165" s="89"/>
      <c r="DT165" s="89"/>
      <c r="DU165" s="141"/>
      <c r="DV165" s="141"/>
      <c r="DW165" s="141"/>
      <c r="DX165" s="141"/>
      <c r="DY165" s="141"/>
      <c r="DZ165" s="141"/>
      <c r="EA165" s="141"/>
      <c r="EB165" s="89"/>
      <c r="EC165" s="89"/>
      <c r="ED165" s="89"/>
      <c r="EE165" s="89"/>
      <c r="EF165" s="89"/>
      <c r="EG165" s="89"/>
      <c r="EH165" s="89"/>
      <c r="EI165" s="89"/>
      <c r="EJ165" s="89"/>
      <c r="EK165" s="89"/>
      <c r="EL165" s="89"/>
      <c r="EM165" s="89"/>
      <c r="EN165" s="89"/>
      <c r="EO165" s="89"/>
      <c r="EP165" s="89"/>
      <c r="EQ165" s="89"/>
      <c r="ER165" s="89"/>
      <c r="ES165" s="89"/>
      <c r="ET165" s="89"/>
      <c r="EU165" s="89"/>
      <c r="EV165" s="89"/>
      <c r="EW165" s="89"/>
      <c r="EX165" s="89"/>
      <c r="EY165" s="89"/>
      <c r="EZ165" s="89"/>
      <c r="FA165" s="89"/>
      <c r="FB165" s="89"/>
      <c r="FC165" s="89"/>
      <c r="FD165" s="89"/>
      <c r="FE165" s="89"/>
      <c r="FF165" s="89"/>
      <c r="FG165" s="89"/>
      <c r="FH165" s="89"/>
      <c r="FI165" s="89"/>
      <c r="FJ165" s="300"/>
      <c r="FK165" s="300"/>
      <c r="FL165" s="300"/>
      <c r="FM165" s="300"/>
      <c r="FN165" s="300"/>
      <c r="FO165" s="108"/>
      <c r="FP165" s="108"/>
      <c r="FQ165" s="108"/>
      <c r="FR165" s="108"/>
      <c r="FS165" s="108"/>
      <c r="FT165" s="108"/>
      <c r="FU165" s="108"/>
      <c r="FV165" s="108"/>
      <c r="FW165" s="108"/>
      <c r="FX165" s="301"/>
      <c r="FY165" s="259"/>
      <c r="FZ165" s="259"/>
      <c r="GA165" s="259"/>
      <c r="GB165" s="259"/>
      <c r="GC165" s="377"/>
      <c r="GD165" s="377"/>
      <c r="GE165" s="377"/>
      <c r="GF165" s="377"/>
      <c r="GG165" s="377"/>
      <c r="GH165" s="377"/>
      <c r="GI165" s="377"/>
      <c r="GJ165" s="377"/>
      <c r="GK165" s="377"/>
      <c r="GL165" s="377"/>
      <c r="GM165" s="377"/>
      <c r="GN165" s="377"/>
      <c r="GO165" s="301"/>
      <c r="GP165" s="301"/>
      <c r="GQ165" s="301"/>
      <c r="GR165" s="301"/>
      <c r="GS165" s="301"/>
      <c r="GT165" s="301"/>
      <c r="GU165" s="301"/>
      <c r="GV165" s="301"/>
      <c r="IB165" s="65"/>
    </row>
    <row r="166" spans="1:236" ht="16.95" customHeight="1">
      <c r="A166" s="60"/>
      <c r="B166" s="69"/>
      <c r="C166" s="69"/>
      <c r="D166" s="341"/>
      <c r="E166" s="331"/>
      <c r="F166" s="331"/>
      <c r="G166" s="331"/>
      <c r="H166" s="331"/>
      <c r="I166" s="331"/>
      <c r="J166" s="331"/>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c r="AK166" s="89"/>
      <c r="AL166" s="89"/>
      <c r="AM166" s="89"/>
      <c r="AN166" s="89"/>
      <c r="AO166" s="89"/>
      <c r="AP166" s="89"/>
      <c r="AQ166" s="89"/>
      <c r="AR166" s="89"/>
      <c r="AS166" s="89"/>
      <c r="AT166" s="89"/>
      <c r="AU166" s="89"/>
      <c r="AV166" s="89"/>
      <c r="AW166" s="89"/>
      <c r="AX166" s="89"/>
      <c r="AY166" s="89"/>
      <c r="AZ166" s="89"/>
      <c r="BA166" s="89"/>
      <c r="BB166" s="89"/>
      <c r="BC166" s="89"/>
      <c r="BD166" s="89"/>
      <c r="BE166" s="89"/>
      <c r="BF166" s="89"/>
      <c r="BG166" s="89"/>
      <c r="BH166" s="89"/>
      <c r="BI166" s="89"/>
      <c r="BJ166" s="89"/>
      <c r="BK166" s="89"/>
      <c r="BL166" s="89"/>
      <c r="BM166" s="89"/>
      <c r="BN166" s="89"/>
      <c r="BO166" s="89"/>
      <c r="BP166" s="89"/>
      <c r="BQ166" s="89"/>
      <c r="BR166" s="89"/>
      <c r="BS166" s="89"/>
      <c r="BT166" s="89"/>
      <c r="BU166" s="89"/>
      <c r="BV166" s="89"/>
      <c r="BW166" s="89"/>
      <c r="BX166" s="89"/>
      <c r="BY166" s="89"/>
      <c r="BZ166" s="89"/>
      <c r="CA166" s="89"/>
      <c r="CB166" s="89"/>
      <c r="CC166" s="89"/>
      <c r="CD166" s="89"/>
      <c r="CE166" s="89"/>
      <c r="CF166" s="89"/>
      <c r="CG166" s="89"/>
      <c r="CH166" s="89"/>
      <c r="CI166" s="89"/>
      <c r="CJ166" s="89"/>
      <c r="CK166" s="89"/>
      <c r="CL166" s="89"/>
      <c r="CM166" s="89"/>
      <c r="CN166" s="89"/>
      <c r="CO166" s="89"/>
      <c r="CP166" s="89"/>
      <c r="CQ166" s="89"/>
      <c r="CR166" s="89"/>
      <c r="CS166" s="89"/>
      <c r="CT166" s="89"/>
      <c r="CU166" s="89"/>
      <c r="CV166" s="89"/>
      <c r="CW166" s="89"/>
      <c r="CX166" s="89"/>
      <c r="CY166" s="89"/>
      <c r="CZ166" s="89"/>
      <c r="DA166" s="89"/>
      <c r="DB166" s="89"/>
      <c r="DC166" s="89"/>
      <c r="DD166" s="89"/>
      <c r="DE166" s="89"/>
      <c r="DF166" s="89"/>
      <c r="DG166" s="89"/>
      <c r="DH166" s="89"/>
      <c r="DI166" s="89"/>
      <c r="DJ166" s="89"/>
      <c r="DK166" s="89"/>
      <c r="DL166" s="89"/>
      <c r="DM166" s="89"/>
      <c r="DN166" s="89"/>
      <c r="DO166" s="89"/>
      <c r="DP166" s="89"/>
      <c r="DQ166" s="89"/>
      <c r="DR166" s="89"/>
      <c r="DS166" s="89"/>
      <c r="DT166" s="89"/>
      <c r="DU166" s="141"/>
      <c r="DV166" s="141"/>
      <c r="DW166" s="141"/>
      <c r="DX166" s="141"/>
      <c r="DY166" s="141"/>
      <c r="DZ166" s="141"/>
      <c r="EA166" s="141"/>
      <c r="EB166" s="89"/>
      <c r="EC166" s="89"/>
      <c r="ED166" s="89"/>
      <c r="EE166" s="89"/>
      <c r="EF166" s="89"/>
      <c r="EG166" s="89"/>
      <c r="EH166" s="89"/>
      <c r="EI166" s="89"/>
      <c r="EJ166" s="89"/>
      <c r="EK166" s="89"/>
      <c r="EL166" s="89"/>
      <c r="EM166" s="89"/>
      <c r="EN166" s="89"/>
      <c r="EO166" s="89"/>
      <c r="EP166" s="89"/>
      <c r="EQ166" s="89"/>
      <c r="ER166" s="89"/>
      <c r="ES166" s="89"/>
      <c r="ET166" s="89"/>
      <c r="EU166" s="89"/>
      <c r="EV166" s="89"/>
      <c r="EW166" s="89"/>
      <c r="EX166" s="89"/>
      <c r="EY166" s="89"/>
      <c r="EZ166" s="89"/>
      <c r="FA166" s="89"/>
      <c r="FB166" s="89"/>
      <c r="FC166" s="89"/>
      <c r="FD166" s="89"/>
      <c r="FE166" s="89"/>
      <c r="FF166" s="89"/>
      <c r="FG166" s="89"/>
      <c r="FH166" s="89"/>
      <c r="FI166" s="89"/>
      <c r="FJ166" s="300"/>
      <c r="FK166" s="300"/>
      <c r="FL166" s="300"/>
      <c r="FM166" s="300"/>
      <c r="FN166" s="300"/>
      <c r="FO166" s="300"/>
      <c r="FP166" s="300"/>
      <c r="FQ166" s="108"/>
      <c r="FR166" s="108"/>
      <c r="FS166" s="108"/>
      <c r="FT166" s="108"/>
      <c r="FU166" s="108"/>
      <c r="FV166" s="108"/>
      <c r="FW166" s="108"/>
      <c r="FX166" s="301"/>
      <c r="FY166" s="259"/>
      <c r="FZ166" s="259"/>
      <c r="GA166" s="259"/>
      <c r="GB166" s="259"/>
      <c r="GC166" s="377"/>
      <c r="GD166" s="377"/>
      <c r="GE166" s="377"/>
      <c r="GF166" s="377"/>
      <c r="GG166" s="377"/>
      <c r="GH166" s="377"/>
      <c r="GI166" s="377"/>
      <c r="GJ166" s="377"/>
      <c r="GK166" s="377"/>
      <c r="GL166" s="377"/>
      <c r="GM166" s="377"/>
      <c r="GN166" s="377"/>
      <c r="GO166" s="301"/>
      <c r="GP166" s="301"/>
      <c r="GQ166" s="301"/>
      <c r="GR166" s="301"/>
      <c r="GS166" s="301"/>
      <c r="GT166" s="301"/>
      <c r="GU166" s="301"/>
      <c r="GV166" s="301"/>
      <c r="IB166" s="65"/>
    </row>
    <row r="167" spans="1:236" customFormat="1" ht="11.4" customHeight="1">
      <c r="A167" s="1"/>
      <c r="B167" s="3"/>
      <c r="C167" s="3"/>
      <c r="D167" s="341" t="str">
        <f ca="1">IF(FL1=0,"","")</f>
        <v/>
      </c>
      <c r="E167" s="70"/>
      <c r="F167" s="70"/>
      <c r="G167" s="70"/>
      <c r="H167" s="70"/>
      <c r="I167" s="70"/>
      <c r="J167" s="89"/>
      <c r="K167" s="89"/>
      <c r="L167" s="141"/>
      <c r="M167" s="141"/>
      <c r="N167" s="141"/>
      <c r="O167" s="141"/>
      <c r="P167" s="141"/>
      <c r="Q167" s="141"/>
      <c r="R167" s="141"/>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c r="BA167" s="137"/>
      <c r="BB167" s="137"/>
      <c r="BC167" s="137"/>
      <c r="BD167" s="137"/>
      <c r="BE167" s="137"/>
      <c r="BF167" s="137"/>
      <c r="BG167" s="137"/>
      <c r="BH167" s="137"/>
      <c r="BI167" s="137"/>
      <c r="BJ167" s="137"/>
      <c r="BK167" s="137"/>
      <c r="BL167" s="137"/>
      <c r="BM167" s="137"/>
      <c r="BN167" s="137"/>
      <c r="BO167" s="137"/>
      <c r="BP167" s="137"/>
      <c r="BQ167" s="137"/>
      <c r="BR167" s="137"/>
      <c r="BS167" s="137"/>
      <c r="BT167" s="137"/>
      <c r="BU167" s="137"/>
      <c r="BV167" s="137"/>
      <c r="BW167" s="137"/>
      <c r="BX167" s="137"/>
      <c r="BY167" s="137"/>
      <c r="BZ167" s="137"/>
      <c r="CA167" s="137"/>
      <c r="CB167" s="137"/>
      <c r="CC167" s="137"/>
      <c r="CD167" s="137"/>
      <c r="CE167" s="137"/>
      <c r="CF167" s="70"/>
      <c r="CG167" s="70"/>
      <c r="CH167" s="70"/>
      <c r="CI167" s="70"/>
      <c r="CJ167" s="70"/>
      <c r="CK167" s="70"/>
      <c r="CL167" s="70"/>
      <c r="CM167" s="70"/>
      <c r="CN167" s="70"/>
      <c r="CO167" s="79"/>
      <c r="CP167" s="79"/>
      <c r="CQ167" s="79"/>
      <c r="CR167" s="79"/>
      <c r="CS167" s="79"/>
      <c r="CT167" s="79"/>
      <c r="CU167" s="79"/>
      <c r="CV167" s="79"/>
      <c r="CW167" s="79"/>
      <c r="CX167" s="79"/>
      <c r="CY167" s="79"/>
      <c r="CZ167" s="79"/>
      <c r="DA167" s="79"/>
      <c r="DB167" s="79"/>
      <c r="DC167" s="79"/>
      <c r="DD167" s="79"/>
      <c r="DE167" s="79"/>
      <c r="DF167" s="79"/>
      <c r="DG167" s="79"/>
      <c r="DH167" s="79"/>
      <c r="DI167" s="79"/>
      <c r="DJ167" s="79"/>
      <c r="DK167" s="79"/>
      <c r="DL167" s="79"/>
      <c r="DM167" s="79"/>
      <c r="DN167" s="79"/>
      <c r="DO167" s="79"/>
      <c r="DP167" s="79"/>
      <c r="DQ167" s="79"/>
      <c r="DR167" s="79"/>
      <c r="DS167" s="79"/>
      <c r="DT167" s="79"/>
      <c r="DU167" s="79"/>
      <c r="DV167" s="79"/>
      <c r="DW167" s="79"/>
      <c r="DX167" s="79"/>
      <c r="DY167" s="79"/>
      <c r="DZ167" s="79"/>
      <c r="EA167" s="79"/>
      <c r="EB167" s="79"/>
      <c r="EC167" s="79"/>
      <c r="ED167" s="79"/>
      <c r="EE167" s="79"/>
      <c r="EF167" s="79"/>
      <c r="EG167" s="79"/>
      <c r="EH167" s="79"/>
      <c r="EI167" s="79"/>
      <c r="EJ167" s="79"/>
      <c r="EK167" s="79"/>
      <c r="EL167" s="79"/>
      <c r="EM167" s="79"/>
      <c r="EN167" s="79"/>
      <c r="EO167" s="79"/>
      <c r="EP167" s="79"/>
      <c r="EQ167" s="10"/>
      <c r="ER167" s="10"/>
      <c r="ES167" s="10"/>
      <c r="ET167" s="10"/>
      <c r="EU167" s="10"/>
      <c r="EV167" s="10"/>
      <c r="EW167" s="10"/>
      <c r="EX167" s="10"/>
      <c r="EY167" s="10"/>
      <c r="EZ167" s="10"/>
      <c r="FA167" s="10"/>
      <c r="FB167" s="10"/>
      <c r="FC167" s="10"/>
      <c r="FD167" s="10"/>
      <c r="FE167" s="10"/>
      <c r="FF167" s="10"/>
      <c r="FG167" s="10"/>
      <c r="FH167" s="10"/>
      <c r="FI167" s="10"/>
      <c r="FJ167" s="257"/>
      <c r="FK167" s="257"/>
      <c r="FL167" s="312"/>
      <c r="FM167" s="188"/>
      <c r="FN167" s="66"/>
      <c r="FO167" s="66"/>
      <c r="FP167" s="66"/>
      <c r="FQ167" s="66"/>
      <c r="FR167" s="66"/>
      <c r="FS167" s="66"/>
      <c r="FT167" s="47"/>
      <c r="FU167" s="47"/>
      <c r="FV167" s="47"/>
      <c r="FW167" s="47"/>
      <c r="FX167" s="47"/>
      <c r="FY167" s="259"/>
      <c r="FZ167" s="259"/>
      <c r="GA167" s="259"/>
      <c r="GB167" s="259"/>
      <c r="GC167" s="377"/>
      <c r="GD167" s="377"/>
      <c r="GE167" s="377"/>
      <c r="GF167" s="377"/>
      <c r="GG167" s="377"/>
      <c r="GH167" s="377"/>
      <c r="GI167" s="377"/>
      <c r="GJ167" s="377"/>
      <c r="GK167" s="377"/>
      <c r="GL167" s="377"/>
      <c r="GM167" s="377"/>
      <c r="GN167" s="377"/>
      <c r="GO167" s="49"/>
      <c r="GP167" s="49"/>
      <c r="GQ167" s="49"/>
      <c r="GR167" s="49"/>
      <c r="GS167" s="49"/>
      <c r="GT167" s="49"/>
      <c r="GU167" s="49"/>
      <c r="GV167" s="49"/>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row>
    <row r="168" spans="1:236" ht="3.6" customHeight="1">
      <c r="A168" s="60"/>
      <c r="B168" s="69"/>
      <c r="C168" s="69"/>
      <c r="D168" s="331"/>
      <c r="E168" s="331"/>
      <c r="F168" s="331"/>
      <c r="G168" s="331"/>
      <c r="H168" s="331"/>
      <c r="I168" s="331"/>
      <c r="J168" s="331"/>
      <c r="K168" s="89"/>
      <c r="L168" s="331"/>
      <c r="M168" s="331"/>
      <c r="N168" s="331"/>
      <c r="O168" s="331"/>
      <c r="P168" s="331"/>
      <c r="Q168" s="331"/>
      <c r="R168" s="331"/>
      <c r="S168" s="331"/>
      <c r="T168" s="331"/>
      <c r="U168" s="331"/>
      <c r="V168" s="331"/>
      <c r="W168" s="331"/>
      <c r="X168" s="331"/>
      <c r="Y168" s="331"/>
      <c r="Z168" s="331"/>
      <c r="AA168" s="331"/>
      <c r="AB168" s="331"/>
      <c r="AC168" s="331"/>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268"/>
      <c r="CC168" s="268"/>
      <c r="CD168" s="268"/>
      <c r="CE168" s="268"/>
      <c r="CF168" s="268"/>
      <c r="CG168" s="268"/>
      <c r="CH168" s="268"/>
      <c r="CI168" s="331"/>
      <c r="CJ168" s="331"/>
      <c r="CK168" s="331"/>
      <c r="CL168" s="331"/>
      <c r="CM168" s="331"/>
      <c r="CN168" s="331"/>
      <c r="CO168" s="89"/>
      <c r="CP168" s="89"/>
      <c r="CQ168" s="89"/>
      <c r="CR168" s="89"/>
      <c r="CS168" s="89"/>
      <c r="CT168" s="89"/>
      <c r="CU168" s="89"/>
      <c r="CV168" s="89"/>
      <c r="CW168" s="89"/>
      <c r="CX168" s="89"/>
      <c r="CY168" s="89"/>
      <c r="CZ168" s="89"/>
      <c r="DA168" s="89"/>
      <c r="DB168" s="89"/>
      <c r="DC168" s="89"/>
      <c r="DD168" s="538" t="str">
        <f ca="1">IF(FL1=0,"","+")</f>
        <v/>
      </c>
      <c r="DE168" s="538"/>
      <c r="DF168" s="538"/>
      <c r="DG168" s="538"/>
      <c r="DH168" s="538"/>
      <c r="DI168" s="538"/>
      <c r="DJ168" s="538"/>
      <c r="DK168" s="538"/>
      <c r="DL168" s="538"/>
      <c r="DM168" s="538"/>
      <c r="DN168" s="538"/>
      <c r="DO168" s="538"/>
      <c r="DP168" s="538"/>
      <c r="DQ168" s="538"/>
      <c r="DR168" s="538"/>
      <c r="DS168" s="538"/>
      <c r="DT168" s="538"/>
      <c r="DU168" s="538"/>
      <c r="DV168" s="538"/>
      <c r="DW168" s="538"/>
      <c r="DX168" s="538"/>
      <c r="DY168" s="538"/>
      <c r="DZ168" s="538"/>
      <c r="EA168" s="538"/>
      <c r="EB168" s="538"/>
      <c r="EC168" s="332"/>
      <c r="ED168" s="332"/>
      <c r="EE168" s="332"/>
      <c r="EF168" s="332"/>
      <c r="EG168" s="332"/>
      <c r="EH168" s="89"/>
      <c r="EI168" s="89"/>
      <c r="EJ168" s="89"/>
      <c r="EK168" s="89"/>
      <c r="EL168" s="89"/>
      <c r="EM168" s="89"/>
      <c r="EN168" s="89"/>
      <c r="EO168" s="89"/>
      <c r="EP168" s="89"/>
      <c r="EQ168" s="89"/>
      <c r="ER168" s="89"/>
      <c r="ES168" s="89"/>
      <c r="ET168" s="89"/>
      <c r="EU168" s="89"/>
      <c r="EV168" s="89"/>
      <c r="EW168" s="89"/>
      <c r="EX168" s="89"/>
      <c r="EY168" s="89"/>
      <c r="EZ168" s="89"/>
      <c r="FA168" s="89"/>
      <c r="FB168" s="89"/>
      <c r="FC168" s="89"/>
      <c r="FD168" s="89"/>
      <c r="FE168" s="89"/>
      <c r="FF168" s="89"/>
      <c r="FG168" s="89"/>
      <c r="FH168" s="89"/>
      <c r="FI168" s="89"/>
      <c r="FJ168" s="257"/>
      <c r="FK168" s="257"/>
      <c r="FL168" s="312"/>
      <c r="FM168" s="188"/>
      <c r="FN168" s="300"/>
      <c r="FO168" s="108"/>
      <c r="FP168" s="108"/>
      <c r="FQ168" s="108"/>
      <c r="FR168" s="108"/>
      <c r="FS168" s="108"/>
      <c r="FT168" s="108"/>
      <c r="FU168" s="108"/>
      <c r="FV168" s="108"/>
      <c r="FW168" s="108"/>
      <c r="FX168" s="301"/>
      <c r="FY168" s="259"/>
      <c r="FZ168" s="259"/>
      <c r="GA168" s="259"/>
      <c r="GB168" s="259"/>
      <c r="GC168" s="377"/>
      <c r="GD168" s="377"/>
      <c r="GE168" s="377"/>
      <c r="GF168" s="377"/>
      <c r="GG168" s="377"/>
      <c r="GH168" s="377"/>
      <c r="GI168" s="377"/>
      <c r="GJ168" s="377"/>
      <c r="GK168" s="377"/>
      <c r="GL168" s="377"/>
      <c r="GM168" s="377"/>
      <c r="GN168" s="377"/>
      <c r="GO168" s="301"/>
      <c r="GP168" s="301"/>
      <c r="GQ168" s="301"/>
      <c r="GR168" s="301"/>
      <c r="GS168" s="301"/>
      <c r="GT168" s="301"/>
      <c r="GU168" s="301"/>
      <c r="GV168" s="301"/>
      <c r="IB168" s="65"/>
    </row>
    <row r="169" spans="1:236" ht="16.5" customHeight="1">
      <c r="A169" s="60"/>
      <c r="B169" s="69"/>
      <c r="C169" s="69"/>
      <c r="D169" s="268"/>
      <c r="E169" s="331"/>
      <c r="F169" s="331"/>
      <c r="G169" s="331"/>
      <c r="H169" s="331"/>
      <c r="I169" s="331"/>
      <c r="J169" s="331"/>
      <c r="K169" s="89"/>
      <c r="L169" s="331"/>
      <c r="M169" s="331"/>
      <c r="N169" s="331"/>
      <c r="O169" s="331"/>
      <c r="P169" s="331"/>
      <c r="Q169" s="331"/>
      <c r="R169" s="331"/>
      <c r="S169" s="331"/>
      <c r="T169" s="331"/>
      <c r="U169" s="331"/>
      <c r="V169" s="331"/>
      <c r="W169" s="331"/>
      <c r="X169" s="331"/>
      <c r="Y169" s="331"/>
      <c r="Z169" s="331"/>
      <c r="AA169" s="331"/>
      <c r="AB169" s="331"/>
      <c r="AC169" s="331"/>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268"/>
      <c r="CC169" s="268"/>
      <c r="CD169" s="268"/>
      <c r="CE169" s="268"/>
      <c r="CF169" s="268"/>
      <c r="CG169" s="268"/>
      <c r="CH169" s="268"/>
      <c r="CI169" s="331"/>
      <c r="CJ169" s="331"/>
      <c r="CK169" s="331"/>
      <c r="CL169" s="331"/>
      <c r="CM169" s="331"/>
      <c r="CN169" s="331"/>
      <c r="CO169" s="89"/>
      <c r="CP169" s="89"/>
      <c r="CQ169" s="89"/>
      <c r="CR169" s="89"/>
      <c r="CS169" s="89"/>
      <c r="CT169" s="89"/>
      <c r="CU169" s="89"/>
      <c r="CV169" s="89"/>
      <c r="CW169" s="89"/>
      <c r="CX169" s="89"/>
      <c r="CY169" s="89"/>
      <c r="CZ169" s="89"/>
      <c r="DA169" s="89"/>
      <c r="DB169" s="302" t="str">
        <f ca="1">IF(FL1=0,"","De totale winst is dan:")</f>
        <v/>
      </c>
      <c r="DC169" s="303"/>
      <c r="DD169" s="327" t="str">
        <f ca="1">IF(FL1=0,"","+")</f>
        <v/>
      </c>
      <c r="DE169" s="539"/>
      <c r="DF169" s="539"/>
      <c r="DG169" s="539"/>
      <c r="DH169" s="539"/>
      <c r="DI169" s="539"/>
      <c r="DJ169" s="539"/>
      <c r="DK169" s="539"/>
      <c r="DL169" s="539"/>
      <c r="DM169" s="539"/>
      <c r="DN169" s="539"/>
      <c r="DO169" s="539"/>
      <c r="DP169" s="539"/>
      <c r="DQ169" s="539"/>
      <c r="DR169" s="539"/>
      <c r="DS169" s="539"/>
      <c r="DT169" s="539"/>
      <c r="DU169" s="539"/>
      <c r="DV169" s="539"/>
      <c r="DW169" s="539"/>
      <c r="DX169" s="539"/>
      <c r="DY169" s="539"/>
      <c r="DZ169" s="539"/>
      <c r="EA169" s="539"/>
      <c r="EB169" s="327" t="str">
        <f ca="1">IF(FL1=0,"","+")</f>
        <v/>
      </c>
      <c r="EC169" s="304" t="s">
        <v>131</v>
      </c>
      <c r="ED169" s="141"/>
      <c r="EE169" s="298" t="str">
        <f ca="1">IF(OR(CO461="",TODAY()&gt;=Blad1!AY3),"",IF(FL1=0,"",IF(DE169="","Deze moet je nog maken.",IF(FL169=1,"Goed!","Fout!"))))</f>
        <v/>
      </c>
      <c r="EF169" s="332"/>
      <c r="EG169" s="332"/>
      <c r="EH169" s="89"/>
      <c r="EI169" s="89"/>
      <c r="EJ169" s="89"/>
      <c r="EK169" s="89"/>
      <c r="EL169" s="89"/>
      <c r="EM169" s="89"/>
      <c r="EN169" s="89"/>
      <c r="EO169" s="89"/>
      <c r="EP169" s="89"/>
      <c r="EQ169" s="89"/>
      <c r="ER169" s="89"/>
      <c r="ES169" s="89"/>
      <c r="ET169" s="89"/>
      <c r="EU169" s="89"/>
      <c r="EV169" s="89"/>
      <c r="EW169" s="89"/>
      <c r="EX169" s="89"/>
      <c r="EY169" s="89"/>
      <c r="EZ169" s="89"/>
      <c r="FA169" s="89"/>
      <c r="FB169" s="89"/>
      <c r="FC169" s="89"/>
      <c r="FD169" s="89"/>
      <c r="FE169" s="89"/>
      <c r="FF169" s="89"/>
      <c r="FG169" s="89"/>
      <c r="FH169" s="89"/>
      <c r="FI169" s="89"/>
      <c r="FJ169" s="257"/>
      <c r="FK169" s="257"/>
      <c r="FL169" s="312">
        <f ca="1">IF(programma!B1="X",1,IF(FL1=0,0,IF(AND(DE169&gt;=FM169-0.01,DE169&lt;=FM169+0.01),1,0)))</f>
        <v>0</v>
      </c>
      <c r="FM169" s="188">
        <f ca="1">IF(FK1=0,"",100*(FN169-FO169)*FQ169)</f>
        <v>350400</v>
      </c>
      <c r="FN169" s="96">
        <f ca="1">ROUND(2.5*FQ169,0)</f>
        <v>183</v>
      </c>
      <c r="FO169" s="66">
        <f ca="1">ROUND(0.74*FN169,0)</f>
        <v>135</v>
      </c>
      <c r="FP169" s="66">
        <f ca="1">ROUND(0.47*FN169,0)</f>
        <v>86</v>
      </c>
      <c r="FQ169" s="103">
        <f ca="1">ROUND(100-15/Blad1!Z24^0.5-Blad1!AA5,0)</f>
        <v>73</v>
      </c>
      <c r="FR169" s="300"/>
      <c r="FS169" s="300"/>
      <c r="FT169" s="300"/>
      <c r="FU169" s="300"/>
      <c r="FV169" s="300"/>
      <c r="FW169" s="108"/>
      <c r="FX169" s="301"/>
      <c r="FY169" s="259"/>
      <c r="FZ169" s="259"/>
      <c r="GA169" s="259"/>
      <c r="GB169" s="259"/>
      <c r="GC169" s="377"/>
      <c r="GD169" s="377"/>
      <c r="GE169" s="377"/>
      <c r="GF169" s="377"/>
      <c r="GG169" s="377"/>
      <c r="GH169" s="377"/>
      <c r="GI169" s="377"/>
      <c r="GJ169" s="377"/>
      <c r="GK169" s="377"/>
      <c r="GL169" s="377"/>
      <c r="GM169" s="377"/>
      <c r="GN169" s="377"/>
      <c r="GO169" s="301"/>
      <c r="GP169" s="301"/>
      <c r="GQ169" s="301"/>
      <c r="GR169" s="301"/>
      <c r="GS169" s="301"/>
      <c r="GT169" s="301"/>
      <c r="GU169" s="301"/>
      <c r="GV169" s="301"/>
      <c r="IB169" s="65"/>
    </row>
    <row r="170" spans="1:236" ht="3.6" customHeight="1">
      <c r="A170" s="60"/>
      <c r="B170" s="69"/>
      <c r="C170" s="69"/>
      <c r="D170" s="141"/>
      <c r="E170" s="331"/>
      <c r="F170" s="331"/>
      <c r="G170" s="331"/>
      <c r="H170" s="331"/>
      <c r="I170" s="331"/>
      <c r="J170" s="331"/>
      <c r="K170" s="89"/>
      <c r="L170" s="331"/>
      <c r="M170" s="331"/>
      <c r="N170" s="331"/>
      <c r="O170" s="331"/>
      <c r="P170" s="331"/>
      <c r="Q170" s="331"/>
      <c r="R170" s="331"/>
      <c r="S170" s="331"/>
      <c r="T170" s="331"/>
      <c r="U170" s="331"/>
      <c r="V170" s="331"/>
      <c r="W170" s="331"/>
      <c r="X170" s="331"/>
      <c r="Y170" s="331"/>
      <c r="Z170" s="331"/>
      <c r="AA170" s="331"/>
      <c r="AB170" s="331"/>
      <c r="AC170" s="331"/>
      <c r="AD170" s="268"/>
      <c r="AE170" s="268"/>
      <c r="AF170" s="268"/>
      <c r="AG170" s="268"/>
      <c r="AH170" s="268"/>
      <c r="AI170" s="268"/>
      <c r="AJ170" s="268"/>
      <c r="AK170" s="268"/>
      <c r="AL170" s="268"/>
      <c r="AM170" s="268"/>
      <c r="AN170" s="268"/>
      <c r="AO170" s="268"/>
      <c r="AP170" s="268"/>
      <c r="AQ170" s="268"/>
      <c r="AR170" s="268"/>
      <c r="AS170" s="268"/>
      <c r="AT170" s="268"/>
      <c r="AU170" s="268"/>
      <c r="AV170" s="268"/>
      <c r="AW170" s="268"/>
      <c r="AX170" s="268"/>
      <c r="AY170" s="268"/>
      <c r="AZ170" s="268"/>
      <c r="BA170" s="268"/>
      <c r="BB170" s="268"/>
      <c r="BC170" s="268"/>
      <c r="BD170" s="268"/>
      <c r="BE170" s="268"/>
      <c r="BF170" s="268"/>
      <c r="BG170" s="268"/>
      <c r="BH170" s="268"/>
      <c r="BI170" s="268"/>
      <c r="BJ170" s="268"/>
      <c r="BK170" s="268"/>
      <c r="BL170" s="268"/>
      <c r="BM170" s="268"/>
      <c r="BN170" s="268"/>
      <c r="BO170" s="268"/>
      <c r="BP170" s="268"/>
      <c r="BQ170" s="268"/>
      <c r="BR170" s="268"/>
      <c r="BS170" s="268"/>
      <c r="BT170" s="268"/>
      <c r="BU170" s="268"/>
      <c r="BV170" s="268"/>
      <c r="BW170" s="268"/>
      <c r="BX170" s="268"/>
      <c r="BY170" s="268"/>
      <c r="BZ170" s="268"/>
      <c r="CA170" s="268"/>
      <c r="CB170" s="268"/>
      <c r="CC170" s="268"/>
      <c r="CD170" s="268"/>
      <c r="CE170" s="268"/>
      <c r="CF170" s="268"/>
      <c r="CG170" s="268"/>
      <c r="CH170" s="268"/>
      <c r="CI170" s="331"/>
      <c r="CJ170" s="331"/>
      <c r="CK170" s="331"/>
      <c r="CL170" s="331"/>
      <c r="CM170" s="331"/>
      <c r="CN170" s="331"/>
      <c r="CO170" s="89"/>
      <c r="CP170" s="89"/>
      <c r="CQ170" s="89"/>
      <c r="CR170" s="89"/>
      <c r="CS170" s="89"/>
      <c r="CT170" s="89"/>
      <c r="CU170" s="89"/>
      <c r="CV170" s="89"/>
      <c r="CW170" s="89"/>
      <c r="CX170" s="89"/>
      <c r="CY170" s="89"/>
      <c r="CZ170" s="89"/>
      <c r="DA170" s="89"/>
      <c r="DB170" s="89"/>
      <c r="DC170" s="89"/>
      <c r="DD170" s="538" t="str">
        <f ca="1">IF(FL1=0,"","+")</f>
        <v/>
      </c>
      <c r="DE170" s="538"/>
      <c r="DF170" s="538"/>
      <c r="DG170" s="538"/>
      <c r="DH170" s="538"/>
      <c r="DI170" s="538"/>
      <c r="DJ170" s="538"/>
      <c r="DK170" s="538"/>
      <c r="DL170" s="538"/>
      <c r="DM170" s="538"/>
      <c r="DN170" s="538"/>
      <c r="DO170" s="538"/>
      <c r="DP170" s="538"/>
      <c r="DQ170" s="538"/>
      <c r="DR170" s="538"/>
      <c r="DS170" s="538"/>
      <c r="DT170" s="538"/>
      <c r="DU170" s="538"/>
      <c r="DV170" s="538"/>
      <c r="DW170" s="538"/>
      <c r="DX170" s="538"/>
      <c r="DY170" s="538"/>
      <c r="DZ170" s="538"/>
      <c r="EA170" s="538"/>
      <c r="EB170" s="538"/>
      <c r="EC170" s="332"/>
      <c r="ED170" s="332"/>
      <c r="EE170" s="332"/>
      <c r="EF170" s="332"/>
      <c r="EG170" s="332"/>
      <c r="EH170" s="89"/>
      <c r="EI170" s="89"/>
      <c r="EJ170" s="89"/>
      <c r="EK170" s="89"/>
      <c r="EL170" s="89"/>
      <c r="EM170" s="89"/>
      <c r="EN170" s="89"/>
      <c r="EO170" s="89"/>
      <c r="EP170" s="89"/>
      <c r="EQ170" s="89"/>
      <c r="ER170" s="89"/>
      <c r="ES170" s="89"/>
      <c r="ET170" s="89"/>
      <c r="EU170" s="89"/>
      <c r="EV170" s="89"/>
      <c r="EW170" s="89"/>
      <c r="EX170" s="89"/>
      <c r="EY170" s="89"/>
      <c r="EZ170" s="89"/>
      <c r="FA170" s="89"/>
      <c r="FB170" s="89"/>
      <c r="FC170" s="89"/>
      <c r="FD170" s="89"/>
      <c r="FE170" s="89"/>
      <c r="FF170" s="89"/>
      <c r="FG170" s="89"/>
      <c r="FH170" s="89"/>
      <c r="FI170" s="89"/>
      <c r="FJ170" s="96"/>
      <c r="FK170" s="96" t="s">
        <v>163</v>
      </c>
      <c r="FL170" s="313"/>
      <c r="FM170" s="312"/>
      <c r="FN170" s="300"/>
      <c r="FO170" s="108"/>
      <c r="FP170" s="108"/>
      <c r="FQ170" s="108"/>
      <c r="FR170" s="108"/>
      <c r="FS170" s="108"/>
      <c r="FT170" s="108"/>
      <c r="FU170" s="108"/>
      <c r="FV170" s="108"/>
      <c r="FW170" s="108"/>
      <c r="FX170" s="301"/>
      <c r="FY170" s="259"/>
      <c r="FZ170" s="259"/>
      <c r="GA170" s="259"/>
      <c r="GB170" s="259"/>
      <c r="GC170" s="377"/>
      <c r="GD170" s="377"/>
      <c r="GE170" s="377"/>
      <c r="GF170" s="377"/>
      <c r="GG170" s="377"/>
      <c r="GH170" s="377"/>
      <c r="GI170" s="377"/>
      <c r="GJ170" s="377"/>
      <c r="GK170" s="377"/>
      <c r="GL170" s="377"/>
      <c r="GM170" s="377"/>
      <c r="GN170" s="377"/>
      <c r="GO170" s="301"/>
      <c r="GP170" s="301"/>
      <c r="GQ170" s="301"/>
      <c r="GR170" s="301"/>
      <c r="GS170" s="301"/>
      <c r="GT170" s="301"/>
      <c r="GU170" s="301"/>
      <c r="GV170" s="301"/>
      <c r="IB170" s="65"/>
    </row>
    <row r="171" spans="1:236" s="268" customFormat="1" ht="20.399999999999999" customHeight="1">
      <c r="A171" s="60"/>
      <c r="B171" s="69"/>
      <c r="C171" s="69"/>
      <c r="D171" s="33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331"/>
      <c r="BD171" s="331"/>
      <c r="BE171" s="331"/>
      <c r="BF171" s="331"/>
      <c r="BG171" s="331"/>
      <c r="BH171" s="331"/>
      <c r="BI171" s="331"/>
      <c r="BJ171" s="331"/>
      <c r="BK171" s="331"/>
      <c r="BL171" s="331"/>
      <c r="BM171" s="331"/>
      <c r="BN171" s="331"/>
      <c r="BO171" s="331"/>
      <c r="BP171" s="331"/>
      <c r="BQ171" s="331"/>
      <c r="BR171" s="331"/>
      <c r="BS171" s="331"/>
      <c r="BT171" s="331"/>
      <c r="BU171" s="33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c r="CU171" s="141"/>
      <c r="CV171" s="141"/>
      <c r="CW171" s="141"/>
      <c r="CX171" s="141"/>
      <c r="CY171" s="141"/>
      <c r="CZ171" s="141"/>
      <c r="DA171" s="141"/>
      <c r="DB171" s="141"/>
      <c r="DC171" s="141"/>
      <c r="DD171" s="141"/>
      <c r="DE171" s="141"/>
      <c r="DF171" s="141"/>
      <c r="DG171" s="141"/>
      <c r="DH171" s="141"/>
      <c r="DI171" s="141"/>
      <c r="DJ171" s="141"/>
      <c r="DK171" s="141"/>
      <c r="DL171" s="141"/>
      <c r="DM171" s="141"/>
      <c r="DN171" s="141"/>
      <c r="DO171" s="141"/>
      <c r="DP171" s="141"/>
      <c r="DQ171" s="141"/>
      <c r="DR171" s="141"/>
      <c r="DS171" s="141"/>
      <c r="DT171" s="141"/>
      <c r="DU171" s="141"/>
      <c r="DV171" s="141"/>
      <c r="DW171" s="141"/>
      <c r="DX171" s="141"/>
      <c r="DY171" s="141"/>
      <c r="DZ171" s="141"/>
      <c r="EA171" s="141"/>
      <c r="EB171" s="141"/>
      <c r="EC171" s="141"/>
      <c r="ED171" s="141"/>
      <c r="EE171" s="141"/>
      <c r="EF171" s="141"/>
      <c r="EG171" s="141"/>
      <c r="EH171" s="141"/>
      <c r="EI171" s="141"/>
      <c r="EJ171" s="141"/>
      <c r="EK171" s="141"/>
      <c r="EL171" s="141"/>
      <c r="EM171" s="141"/>
      <c r="EN171" s="141"/>
      <c r="EO171" s="141"/>
      <c r="EP171" s="141"/>
      <c r="EQ171" s="141"/>
      <c r="ER171" s="141"/>
      <c r="ES171" s="141"/>
      <c r="ET171" s="141"/>
      <c r="EU171" s="141"/>
      <c r="EV171" s="141"/>
      <c r="EW171" s="141"/>
      <c r="EX171" s="141"/>
      <c r="EY171" s="141"/>
      <c r="EZ171" s="141"/>
      <c r="FA171" s="141"/>
      <c r="FB171" s="141"/>
      <c r="FC171" s="141"/>
      <c r="FD171" s="141"/>
      <c r="FE171" s="141"/>
      <c r="FF171" s="141"/>
      <c r="FG171" s="141"/>
      <c r="FH171" s="141"/>
      <c r="FI171" s="141"/>
      <c r="FJ171" s="96"/>
      <c r="FK171" s="96"/>
      <c r="FL171" s="86"/>
      <c r="FM171" s="86"/>
      <c r="FN171" s="86"/>
      <c r="FO171" s="86"/>
      <c r="FP171" s="86"/>
      <c r="FQ171" s="86"/>
      <c r="FR171" s="86"/>
      <c r="FS171" s="86"/>
      <c r="FT171" s="86"/>
      <c r="FU171" s="86"/>
      <c r="FV171" s="86"/>
      <c r="FW171" s="86"/>
      <c r="FX171" s="86"/>
      <c r="FY171" s="259"/>
      <c r="FZ171" s="259"/>
      <c r="GA171" s="259"/>
      <c r="GB171" s="259"/>
      <c r="GC171" s="377"/>
      <c r="GD171" s="377"/>
      <c r="GE171" s="377"/>
      <c r="GF171" s="377"/>
      <c r="GG171" s="377"/>
      <c r="GH171" s="377"/>
      <c r="GI171" s="377"/>
      <c r="GJ171" s="377"/>
      <c r="GK171" s="377"/>
      <c r="GL171" s="377"/>
      <c r="GM171" s="377"/>
      <c r="GN171" s="377"/>
      <c r="GO171" s="86"/>
      <c r="GP171" s="377"/>
      <c r="GQ171" s="377"/>
      <c r="GR171" s="377"/>
      <c r="GS171" s="377"/>
      <c r="GT171" s="377"/>
      <c r="GU171" s="377"/>
      <c r="GV171" s="377"/>
      <c r="GW171" s="66"/>
      <c r="GX171" s="66"/>
      <c r="GY171" s="66"/>
      <c r="GZ171" s="66"/>
      <c r="HA171" s="66"/>
      <c r="HB171" s="66"/>
      <c r="HC171" s="66"/>
      <c r="HD171" s="66"/>
      <c r="HE171" s="66"/>
      <c r="HF171" s="66"/>
      <c r="HG171" s="66"/>
      <c r="HH171" s="66"/>
      <c r="HI171" s="66"/>
      <c r="HJ171" s="66"/>
      <c r="HK171" s="66"/>
      <c r="HL171" s="66"/>
      <c r="HM171" s="66"/>
      <c r="HN171" s="66"/>
      <c r="HO171" s="66"/>
      <c r="HP171" s="66"/>
      <c r="HQ171" s="66"/>
      <c r="HR171" s="66"/>
      <c r="HS171" s="66"/>
      <c r="HT171" s="66"/>
      <c r="HU171" s="66"/>
      <c r="HV171" s="66"/>
      <c r="HW171" s="66"/>
      <c r="HX171" s="66"/>
      <c r="HY171" s="66"/>
      <c r="HZ171" s="66"/>
      <c r="IA171" s="66"/>
    </row>
    <row r="172" spans="1:236" ht="18.75" customHeight="1">
      <c r="A172" s="60"/>
      <c r="B172" s="69"/>
      <c r="C172" s="69"/>
      <c r="D172" s="270" t="str">
        <f ca="1">IF(FL1=0,"","Opgaven Berekening maximale winst")</f>
        <v/>
      </c>
      <c r="E172" s="264"/>
      <c r="F172" s="264"/>
      <c r="G172" s="264"/>
      <c r="H172" s="264"/>
      <c r="I172" s="264"/>
      <c r="J172" s="265"/>
      <c r="K172" s="265"/>
      <c r="L172" s="265"/>
      <c r="M172" s="265"/>
      <c r="N172" s="265"/>
      <c r="O172" s="265"/>
      <c r="P172" s="265"/>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8"/>
      <c r="DM172" s="268"/>
      <c r="DN172" s="268"/>
      <c r="DO172" s="268"/>
      <c r="DP172" s="268"/>
      <c r="DQ172" s="268"/>
      <c r="DR172" s="268"/>
      <c r="DS172" s="268"/>
      <c r="DT172" s="268"/>
      <c r="DU172" s="268"/>
      <c r="DV172" s="268"/>
      <c r="DW172" s="268"/>
      <c r="DX172" s="268"/>
      <c r="DY172" s="268"/>
      <c r="DZ172" s="268"/>
      <c r="EA172" s="268"/>
      <c r="EB172" s="268"/>
      <c r="EC172" s="265"/>
      <c r="ED172" s="265"/>
      <c r="EE172" s="265"/>
      <c r="EF172" s="265"/>
      <c r="EG172" s="265"/>
      <c r="EH172" s="265"/>
      <c r="EI172" s="265"/>
      <c r="EJ172" s="265"/>
      <c r="EK172" s="265"/>
      <c r="EL172" s="265"/>
      <c r="EM172" s="265"/>
      <c r="EN172" s="265"/>
      <c r="EO172" s="265"/>
      <c r="EP172" s="265"/>
      <c r="EQ172" s="265"/>
      <c r="ER172" s="265"/>
      <c r="ES172" s="265"/>
      <c r="ET172" s="265"/>
      <c r="EU172" s="265"/>
      <c r="EV172" s="265"/>
      <c r="EW172" s="265"/>
      <c r="EX172" s="265"/>
      <c r="EY172" s="265"/>
      <c r="EZ172" s="265"/>
      <c r="FA172" s="265"/>
      <c r="FB172" s="265"/>
      <c r="FC172" s="265"/>
      <c r="FD172" s="265"/>
      <c r="FE172" s="265"/>
      <c r="FF172" s="265"/>
      <c r="FG172" s="268"/>
      <c r="FH172" s="271"/>
      <c r="FI172" s="141"/>
      <c r="FJ172" s="257"/>
      <c r="FK172" s="257"/>
      <c r="FL172" s="257"/>
      <c r="FM172" s="257"/>
      <c r="FN172" s="258"/>
      <c r="FO172" s="257"/>
      <c r="FP172" s="257"/>
      <c r="FQ172" s="257"/>
      <c r="FR172" s="257"/>
      <c r="FS172" s="257"/>
      <c r="FT172" s="257"/>
      <c r="FU172" s="257"/>
      <c r="FV172" s="269"/>
      <c r="FW172" s="269"/>
      <c r="FX172" s="259"/>
      <c r="FY172" s="259"/>
      <c r="FZ172" s="259"/>
      <c r="GA172" s="259"/>
      <c r="GB172" s="259"/>
      <c r="GC172" s="377"/>
      <c r="GD172" s="377"/>
      <c r="GE172" s="377"/>
      <c r="GF172" s="377"/>
      <c r="GG172" s="377"/>
      <c r="GH172" s="377"/>
      <c r="GI172" s="377"/>
      <c r="GJ172" s="377"/>
      <c r="GK172" s="377"/>
      <c r="GL172" s="377"/>
      <c r="GM172" s="377"/>
      <c r="GN172" s="377"/>
      <c r="GO172" s="259"/>
      <c r="GP172" s="259"/>
      <c r="GQ172" s="259"/>
      <c r="GR172" s="259"/>
      <c r="GS172" s="259"/>
      <c r="GT172" s="259"/>
      <c r="GU172" s="259"/>
      <c r="GV172" s="259"/>
    </row>
    <row r="173" spans="1:236" ht="18.75" customHeight="1">
      <c r="A173" s="60"/>
      <c r="B173" s="69"/>
      <c r="C173" s="69"/>
      <c r="D173" s="270"/>
      <c r="E173" s="264"/>
      <c r="F173" s="264"/>
      <c r="G173" s="264"/>
      <c r="H173" s="264"/>
      <c r="I173" s="264"/>
      <c r="J173" s="265"/>
      <c r="K173" s="265"/>
      <c r="L173" s="265"/>
      <c r="M173" s="265"/>
      <c r="N173" s="265"/>
      <c r="O173" s="265"/>
      <c r="P173" s="265"/>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8"/>
      <c r="DM173" s="268"/>
      <c r="DN173" s="268"/>
      <c r="DO173" s="268"/>
      <c r="DP173" s="268"/>
      <c r="DQ173" s="268"/>
      <c r="DR173" s="268"/>
      <c r="DS173" s="268"/>
      <c r="DT173" s="268"/>
      <c r="DU173" s="268"/>
      <c r="DV173" s="268"/>
      <c r="DW173" s="268"/>
      <c r="DX173" s="268"/>
      <c r="DY173" s="268"/>
      <c r="DZ173" s="268"/>
      <c r="EA173" s="268"/>
      <c r="EB173" s="268"/>
      <c r="EC173" s="265"/>
      <c r="ED173" s="265"/>
      <c r="EE173" s="265"/>
      <c r="EF173" s="265"/>
      <c r="EG173" s="265"/>
      <c r="EH173" s="265"/>
      <c r="EI173" s="265"/>
      <c r="EJ173" s="265"/>
      <c r="EK173" s="265"/>
      <c r="EL173" s="265"/>
      <c r="EM173" s="265"/>
      <c r="EN173" s="265"/>
      <c r="EO173" s="265"/>
      <c r="EP173" s="265"/>
      <c r="EQ173" s="265"/>
      <c r="ER173" s="265"/>
      <c r="ES173" s="265"/>
      <c r="ET173" s="265"/>
      <c r="EU173" s="265"/>
      <c r="EV173" s="265"/>
      <c r="EW173" s="265"/>
      <c r="EX173" s="265"/>
      <c r="EY173" s="265"/>
      <c r="EZ173" s="265"/>
      <c r="FA173" s="265"/>
      <c r="FB173" s="265"/>
      <c r="FC173" s="265"/>
      <c r="FD173" s="265"/>
      <c r="FE173" s="265"/>
      <c r="FF173" s="265"/>
      <c r="FG173" s="268"/>
      <c r="FH173" s="271"/>
      <c r="FI173" s="141"/>
      <c r="FJ173" s="257"/>
      <c r="FK173" s="257"/>
      <c r="FL173" s="257"/>
      <c r="FM173" s="257"/>
      <c r="FN173" s="258"/>
      <c r="FO173" s="257"/>
      <c r="FP173" s="257"/>
      <c r="FQ173" s="257"/>
      <c r="FR173" s="257"/>
      <c r="FS173" s="257"/>
      <c r="FT173" s="257"/>
      <c r="FU173" s="257"/>
      <c r="FV173" s="269"/>
      <c r="FW173" s="269"/>
      <c r="FX173" s="259"/>
      <c r="FY173" s="259"/>
      <c r="FZ173" s="259"/>
      <c r="GA173" s="259"/>
      <c r="GB173" s="259"/>
      <c r="GC173" s="377"/>
      <c r="GD173" s="377"/>
      <c r="GE173" s="377"/>
      <c r="GF173" s="377"/>
      <c r="GG173" s="377"/>
      <c r="GH173" s="377"/>
      <c r="GI173" s="377"/>
      <c r="GJ173" s="377"/>
      <c r="GK173" s="377"/>
      <c r="GL173" s="377"/>
      <c r="GM173" s="377"/>
      <c r="GN173" s="377"/>
      <c r="GO173" s="259"/>
      <c r="GP173" s="259"/>
      <c r="GQ173" s="259"/>
      <c r="GR173" s="259"/>
      <c r="GS173" s="259"/>
      <c r="GT173" s="259"/>
      <c r="GU173" s="259"/>
      <c r="GV173" s="259"/>
    </row>
    <row r="174" spans="1:236" s="268" customFormat="1" ht="16.95" customHeight="1">
      <c r="A174" s="60"/>
      <c r="B174" s="272" t="str">
        <f ca="1">IF(FL1=0,"",10)</f>
        <v/>
      </c>
      <c r="C174" s="69"/>
      <c r="D174" s="262" t="str">
        <f ca="1">IF(FL1=0,"","Vul de opengelaten vakken in. Rond alle antwoorden af op twee decimalen.")</f>
        <v/>
      </c>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c r="AA174" s="141"/>
      <c r="AB174" s="141"/>
      <c r="AC174" s="141"/>
      <c r="AD174" s="141"/>
      <c r="AE174" s="141"/>
      <c r="AF174" s="141"/>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c r="BG174" s="141"/>
      <c r="BH174" s="141"/>
      <c r="BI174" s="141"/>
      <c r="BJ174" s="141"/>
      <c r="BK174" s="141"/>
      <c r="BL174" s="141"/>
      <c r="BM174" s="141"/>
      <c r="BN174" s="141"/>
      <c r="BO174" s="141"/>
      <c r="BP174" s="141"/>
      <c r="BQ174" s="141"/>
      <c r="BR174" s="141"/>
      <c r="BS174" s="141"/>
      <c r="BT174" s="141"/>
      <c r="BU174" s="141"/>
      <c r="BV174" s="141"/>
      <c r="BW174" s="141"/>
      <c r="BX174" s="141"/>
      <c r="BY174" s="141"/>
      <c r="BZ174" s="141"/>
      <c r="CA174" s="141"/>
      <c r="CB174" s="141"/>
      <c r="CC174" s="141"/>
      <c r="CD174" s="141"/>
      <c r="CE174" s="141"/>
      <c r="CF174" s="141"/>
      <c r="CG174" s="141"/>
      <c r="CH174" s="141"/>
      <c r="CI174" s="141"/>
      <c r="CJ174" s="141"/>
      <c r="CK174" s="141"/>
      <c r="CL174" s="141"/>
      <c r="CM174" s="141"/>
      <c r="CN174" s="141"/>
      <c r="CO174" s="141"/>
      <c r="CP174" s="141"/>
      <c r="CQ174" s="141"/>
      <c r="CR174" s="141"/>
      <c r="CS174" s="141"/>
      <c r="CT174" s="141"/>
      <c r="CU174" s="141"/>
      <c r="CV174" s="141"/>
      <c r="CW174" s="141"/>
      <c r="CX174" s="141"/>
      <c r="CY174" s="141"/>
      <c r="CZ174" s="141"/>
      <c r="DA174" s="141"/>
      <c r="DB174" s="141"/>
      <c r="DC174" s="141"/>
      <c r="DD174" s="141"/>
      <c r="DE174" s="141"/>
      <c r="DF174" s="141"/>
      <c r="DG174" s="141"/>
      <c r="DH174" s="141"/>
      <c r="DI174" s="141"/>
      <c r="DJ174" s="141"/>
      <c r="DK174" s="141"/>
      <c r="DL174" s="141"/>
      <c r="DM174" s="141"/>
      <c r="DN174" s="141"/>
      <c r="DO174" s="141"/>
      <c r="DP174" s="141"/>
      <c r="DQ174" s="141"/>
      <c r="DR174" s="141"/>
      <c r="DS174" s="141"/>
      <c r="DT174" s="141"/>
      <c r="DU174" s="141"/>
      <c r="DV174" s="141"/>
      <c r="DW174" s="141"/>
      <c r="DX174" s="141"/>
      <c r="DY174" s="141"/>
      <c r="DZ174" s="141"/>
      <c r="EA174" s="141"/>
      <c r="EB174" s="141"/>
      <c r="EC174" s="141"/>
      <c r="ED174" s="141"/>
      <c r="EE174" s="141"/>
      <c r="EF174" s="141"/>
      <c r="EG174" s="141"/>
      <c r="EH174" s="141"/>
      <c r="EI174" s="141"/>
      <c r="EJ174" s="141"/>
      <c r="EK174" s="141"/>
      <c r="EL174" s="141"/>
      <c r="EM174" s="141"/>
      <c r="EN174" s="141"/>
      <c r="EO174" s="141"/>
      <c r="EP174" s="141"/>
      <c r="EQ174" s="141"/>
      <c r="ER174" s="141"/>
      <c r="ES174" s="141"/>
      <c r="ET174" s="141"/>
      <c r="EU174" s="141"/>
      <c r="EV174" s="141"/>
      <c r="EW174" s="141"/>
      <c r="EX174" s="141"/>
      <c r="EY174" s="141"/>
      <c r="EZ174" s="141"/>
      <c r="FA174" s="141"/>
      <c r="FB174" s="141"/>
      <c r="FC174" s="141"/>
      <c r="FD174" s="141"/>
      <c r="FE174" s="141"/>
      <c r="FF174" s="141"/>
      <c r="FG174" s="141"/>
      <c r="FH174" s="141"/>
      <c r="FI174" s="141"/>
      <c r="FJ174" s="96"/>
      <c r="FK174" s="96"/>
      <c r="FL174" s="96"/>
      <c r="FM174" s="96"/>
      <c r="FN174" s="96"/>
      <c r="FO174" s="96"/>
      <c r="FP174" s="96"/>
      <c r="FQ174" s="96"/>
      <c r="FR174" s="96"/>
      <c r="FS174" s="96"/>
      <c r="FT174" s="86"/>
      <c r="FU174" s="86"/>
      <c r="FV174" s="86"/>
      <c r="FW174" s="86"/>
      <c r="FX174" s="86"/>
      <c r="FY174" s="259"/>
      <c r="FZ174" s="259"/>
      <c r="GA174" s="259"/>
      <c r="GB174" s="259"/>
      <c r="GC174" s="377"/>
      <c r="GD174" s="377"/>
      <c r="GE174" s="377"/>
      <c r="GF174" s="377"/>
      <c r="GG174" s="377"/>
      <c r="GH174" s="377"/>
      <c r="GI174" s="377"/>
      <c r="GJ174" s="377"/>
      <c r="GK174" s="377"/>
      <c r="GL174" s="377"/>
      <c r="GM174" s="377"/>
      <c r="GN174" s="377"/>
      <c r="GO174" s="86"/>
      <c r="GP174" s="377"/>
      <c r="GQ174" s="377"/>
      <c r="GR174" s="377"/>
      <c r="GS174" s="377"/>
      <c r="GT174" s="377"/>
      <c r="GU174" s="377"/>
      <c r="GV174" s="377"/>
      <c r="GW174" s="66"/>
      <c r="GX174" s="66"/>
      <c r="GY174" s="66"/>
      <c r="GZ174" s="66"/>
      <c r="HA174" s="66"/>
      <c r="HB174" s="66"/>
      <c r="HC174" s="66"/>
      <c r="HD174" s="66"/>
      <c r="HE174" s="66"/>
      <c r="HF174" s="66"/>
      <c r="HG174" s="66"/>
      <c r="HH174" s="66"/>
      <c r="HI174" s="66"/>
      <c r="HJ174" s="66"/>
      <c r="HK174" s="66"/>
      <c r="HL174" s="66"/>
      <c r="HM174" s="66"/>
      <c r="HN174" s="66"/>
      <c r="HO174" s="66"/>
      <c r="HP174" s="66"/>
      <c r="HQ174" s="66"/>
      <c r="HR174" s="66"/>
      <c r="HS174" s="66"/>
      <c r="HT174" s="66"/>
      <c r="HU174" s="66"/>
      <c r="HV174" s="66"/>
      <c r="HW174" s="66"/>
      <c r="HX174" s="66"/>
      <c r="HY174" s="66"/>
      <c r="HZ174" s="66"/>
      <c r="IA174" s="66"/>
    </row>
    <row r="175" spans="1:236" s="268" customFormat="1" ht="16.95" customHeight="1">
      <c r="A175" s="60"/>
      <c r="B175" s="272"/>
      <c r="C175" s="69"/>
      <c r="D175" s="262" t="str">
        <f ca="1">IF(FL1=0,"","Gegeven is dat de prijs en de variabele kosten per stuk niet veranderen.")</f>
        <v/>
      </c>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c r="AA175" s="141"/>
      <c r="AB175" s="141"/>
      <c r="AC175" s="141"/>
      <c r="AD175" s="141"/>
      <c r="AE175" s="141"/>
      <c r="AF175" s="141"/>
      <c r="AG175" s="141"/>
      <c r="AH175" s="141"/>
      <c r="AI175" s="141"/>
      <c r="AJ175" s="141"/>
      <c r="AK175" s="141"/>
      <c r="AL175" s="141"/>
      <c r="AM175" s="141"/>
      <c r="AN175" s="141"/>
      <c r="AO175" s="141"/>
      <c r="AP175" s="141"/>
      <c r="AQ175" s="141"/>
      <c r="AR175" s="141"/>
      <c r="AS175" s="141"/>
      <c r="AT175" s="141"/>
      <c r="AU175" s="141"/>
      <c r="AV175" s="141"/>
      <c r="AW175" s="141"/>
      <c r="AX175" s="141"/>
      <c r="AY175" s="141"/>
      <c r="AZ175" s="141"/>
      <c r="BA175" s="141"/>
      <c r="BB175" s="141"/>
      <c r="BC175" s="141"/>
      <c r="BD175" s="141"/>
      <c r="BE175" s="141"/>
      <c r="BF175" s="141"/>
      <c r="BG175" s="141"/>
      <c r="BH175" s="141"/>
      <c r="BI175" s="141"/>
      <c r="BJ175" s="141"/>
      <c r="BK175" s="141"/>
      <c r="BL175" s="141"/>
      <c r="BM175" s="141"/>
      <c r="BN175" s="141"/>
      <c r="BO175" s="141"/>
      <c r="BP175" s="141"/>
      <c r="BQ175" s="141"/>
      <c r="BR175" s="141"/>
      <c r="BS175" s="141"/>
      <c r="BT175" s="141"/>
      <c r="BU175" s="141"/>
      <c r="BV175" s="141"/>
      <c r="BW175" s="141"/>
      <c r="BX175" s="141"/>
      <c r="BY175" s="141"/>
      <c r="BZ175" s="141"/>
      <c r="CA175" s="141"/>
      <c r="CB175" s="141"/>
      <c r="CC175" s="141"/>
      <c r="CD175" s="141"/>
      <c r="CE175" s="141"/>
      <c r="CF175" s="141"/>
      <c r="CG175" s="141"/>
      <c r="CH175" s="141"/>
      <c r="CI175" s="141"/>
      <c r="CJ175" s="141"/>
      <c r="CK175" s="141"/>
      <c r="CL175" s="141"/>
      <c r="CM175" s="141"/>
      <c r="CN175" s="141"/>
      <c r="CO175" s="141"/>
      <c r="CP175" s="141"/>
      <c r="CQ175" s="141"/>
      <c r="CR175" s="141"/>
      <c r="CS175" s="141"/>
      <c r="CT175" s="141"/>
      <c r="CU175" s="141"/>
      <c r="CV175" s="141"/>
      <c r="CW175" s="141"/>
      <c r="CX175" s="141"/>
      <c r="CY175" s="141"/>
      <c r="CZ175" s="141"/>
      <c r="DA175" s="141"/>
      <c r="DB175" s="141"/>
      <c r="DC175" s="141"/>
      <c r="DD175" s="141"/>
      <c r="DE175" s="141"/>
      <c r="DF175" s="141"/>
      <c r="DG175" s="141"/>
      <c r="DH175" s="141"/>
      <c r="DI175" s="141"/>
      <c r="DJ175" s="141"/>
      <c r="DK175" s="141"/>
      <c r="DL175" s="141"/>
      <c r="DM175" s="141"/>
      <c r="DN175" s="141"/>
      <c r="DO175" s="141"/>
      <c r="DP175" s="141"/>
      <c r="DQ175" s="141"/>
      <c r="DR175" s="141"/>
      <c r="DS175" s="141"/>
      <c r="DT175" s="141"/>
      <c r="DU175" s="141"/>
      <c r="DV175" s="141"/>
      <c r="DW175" s="141"/>
      <c r="DX175" s="141"/>
      <c r="DY175" s="141"/>
      <c r="DZ175" s="141"/>
      <c r="EA175" s="141"/>
      <c r="EB175" s="141"/>
      <c r="EC175" s="141"/>
      <c r="ED175" s="141"/>
      <c r="EE175" s="141"/>
      <c r="EF175" s="141"/>
      <c r="EG175" s="141"/>
      <c r="EH175" s="141"/>
      <c r="EI175" s="141"/>
      <c r="EJ175" s="141"/>
      <c r="EK175" s="141"/>
      <c r="EL175" s="141"/>
      <c r="EM175" s="141"/>
      <c r="EN175" s="141"/>
      <c r="EO175" s="141"/>
      <c r="EP175" s="141"/>
      <c r="EQ175" s="141"/>
      <c r="ER175" s="141"/>
      <c r="ES175" s="141"/>
      <c r="ET175" s="141"/>
      <c r="EU175" s="141"/>
      <c r="EV175" s="141"/>
      <c r="EW175" s="141"/>
      <c r="EX175" s="141"/>
      <c r="EY175" s="141"/>
      <c r="EZ175" s="141"/>
      <c r="FA175" s="141"/>
      <c r="FB175" s="141"/>
      <c r="FC175" s="141"/>
      <c r="FD175" s="141"/>
      <c r="FE175" s="141"/>
      <c r="FF175" s="141"/>
      <c r="FG175" s="141"/>
      <c r="FH175" s="141"/>
      <c r="FI175" s="141"/>
      <c r="FJ175" s="96"/>
      <c r="FK175" s="96"/>
      <c r="FL175" s="96"/>
      <c r="FM175" s="96"/>
      <c r="FN175" s="96"/>
      <c r="FO175" s="96"/>
      <c r="FP175" s="96"/>
      <c r="FQ175" s="96"/>
      <c r="FR175" s="96"/>
      <c r="FS175" s="96"/>
      <c r="FT175" s="86"/>
      <c r="FU175" s="86"/>
      <c r="FV175" s="86"/>
      <c r="FW175" s="86"/>
      <c r="FX175" s="86"/>
      <c r="FY175" s="259"/>
      <c r="FZ175" s="259"/>
      <c r="GA175" s="259"/>
      <c r="GB175" s="259"/>
      <c r="GC175" s="377"/>
      <c r="GD175" s="377"/>
      <c r="GE175" s="377"/>
      <c r="GF175" s="377"/>
      <c r="GG175" s="377"/>
      <c r="GH175" s="377"/>
      <c r="GI175" s="377"/>
      <c r="GJ175" s="377"/>
      <c r="GK175" s="377"/>
      <c r="GL175" s="377"/>
      <c r="GM175" s="377"/>
      <c r="GN175" s="377"/>
      <c r="GO175" s="86"/>
      <c r="GP175" s="377"/>
      <c r="GQ175" s="377"/>
      <c r="GR175" s="377"/>
      <c r="GS175" s="377"/>
      <c r="GT175" s="377"/>
      <c r="GU175" s="377"/>
      <c r="GV175" s="377"/>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row>
    <row r="176" spans="1:236" customFormat="1" ht="16.5" customHeight="1" thickBot="1">
      <c r="A176" s="1"/>
      <c r="B176" s="3"/>
      <c r="C176" s="3"/>
      <c r="D176" s="252"/>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25"/>
      <c r="AY176" s="26"/>
      <c r="AZ176" s="41"/>
      <c r="BA176" s="41"/>
      <c r="BB176" s="41"/>
      <c r="BC176" s="41"/>
      <c r="BD176" s="42"/>
      <c r="BE176" s="41"/>
      <c r="BF176" s="41"/>
      <c r="BG176" s="41"/>
      <c r="BH176" s="41"/>
      <c r="BI176" s="41"/>
      <c r="BJ176" s="41"/>
      <c r="BK176" s="42"/>
      <c r="BL176" s="41"/>
      <c r="BM176" s="41"/>
      <c r="BN176" s="41"/>
      <c r="BO176" s="41"/>
      <c r="BP176" s="41"/>
      <c r="BQ176" s="41"/>
      <c r="BR176" s="80"/>
      <c r="BS176" s="79"/>
      <c r="BT176" s="79"/>
      <c r="BU176" s="79"/>
      <c r="BV176" s="79"/>
      <c r="BW176" s="79"/>
      <c r="BX176" s="79"/>
      <c r="BY176" s="79"/>
      <c r="BZ176" s="80"/>
      <c r="CA176" s="80"/>
      <c r="CB176" s="80"/>
      <c r="CC176" s="80"/>
      <c r="CD176" s="80"/>
      <c r="CE176" s="80"/>
      <c r="CF176" s="80"/>
      <c r="CG176" s="80"/>
      <c r="CH176" s="80"/>
      <c r="CI176" s="80"/>
      <c r="CJ176" s="80"/>
      <c r="CK176" s="80"/>
      <c r="CL176" s="80"/>
      <c r="CM176" s="80"/>
      <c r="CN176" s="80"/>
      <c r="CO176" s="80"/>
      <c r="CP176" s="79"/>
      <c r="CQ176" s="79"/>
      <c r="CR176" s="79"/>
      <c r="CS176" s="79"/>
      <c r="CT176" s="79"/>
      <c r="CU176" s="79"/>
      <c r="CV176" s="79"/>
      <c r="CW176" s="79"/>
      <c r="CX176" s="79"/>
      <c r="CY176" s="79"/>
      <c r="CZ176" s="79"/>
      <c r="DA176" s="79"/>
      <c r="DB176" s="79"/>
      <c r="DC176" s="79"/>
      <c r="DD176" s="79"/>
      <c r="DE176" s="79"/>
      <c r="DF176" s="79"/>
      <c r="DG176" s="79"/>
      <c r="DH176" s="79"/>
      <c r="DI176" s="79"/>
      <c r="DJ176" s="79"/>
      <c r="DK176" s="79"/>
      <c r="DL176" s="79"/>
      <c r="DM176" s="79"/>
      <c r="DN176" s="79"/>
      <c r="DO176" s="79"/>
      <c r="DP176" s="79"/>
      <c r="DQ176" s="79"/>
      <c r="DR176" s="79"/>
      <c r="DS176" s="79"/>
      <c r="DT176" s="79"/>
      <c r="DU176" s="79"/>
      <c r="DV176" s="79"/>
      <c r="DW176" s="79"/>
      <c r="DX176" s="79"/>
      <c r="DY176" s="79"/>
      <c r="DZ176" s="79"/>
      <c r="EA176" s="79"/>
      <c r="EB176" s="79"/>
      <c r="EC176" s="79"/>
      <c r="ED176" s="79"/>
      <c r="EE176" s="79"/>
      <c r="EF176" s="79"/>
      <c r="EG176" s="79"/>
      <c r="EH176" s="79"/>
      <c r="EI176" s="79"/>
      <c r="EJ176" s="79"/>
      <c r="EK176" s="79"/>
      <c r="EL176" s="79"/>
      <c r="EM176" s="79"/>
      <c r="EN176" s="79"/>
      <c r="EO176" s="79"/>
      <c r="EP176" s="79"/>
      <c r="EQ176" s="79"/>
      <c r="ER176" s="79"/>
      <c r="ES176" s="79"/>
      <c r="ET176" s="79"/>
      <c r="EU176" s="79"/>
      <c r="EV176" s="79"/>
      <c r="EW176" s="79"/>
      <c r="EX176" s="79"/>
      <c r="EY176" s="79"/>
      <c r="EZ176" s="79"/>
      <c r="FA176" s="79"/>
      <c r="FB176" s="79"/>
      <c r="FC176" s="79"/>
      <c r="FD176" s="79"/>
      <c r="FE176" s="79"/>
      <c r="FF176" s="79"/>
      <c r="FG176" s="79"/>
      <c r="FH176" s="79"/>
      <c r="FI176" s="79"/>
      <c r="FJ176" s="96"/>
      <c r="FK176" s="96"/>
      <c r="FL176" s="96"/>
      <c r="FM176" s="47"/>
      <c r="FN176" s="47"/>
      <c r="FO176" s="96"/>
      <c r="FP176" s="96"/>
      <c r="FQ176" s="96"/>
      <c r="FR176" s="103">
        <f ca="1">ROUND(2*Blad1!Z24^0.4+4.2*Blad1!AA1,1)</f>
        <v>8.3000000000000007</v>
      </c>
      <c r="FS176" s="103">
        <f ca="1">CEILING((Blad1!Z24^1.2+Blad1!AA8)*100,100)</f>
        <v>6000</v>
      </c>
      <c r="FT176" s="103">
        <f ca="1">Blad1!AA9+Blad1!Z24*10</f>
        <v>410</v>
      </c>
      <c r="FU176" s="103">
        <f ca="1">CEILING(20*FR176,10)</f>
        <v>170</v>
      </c>
      <c r="FV176" s="103">
        <f ca="1">ROUND(FU176/FT176,1)</f>
        <v>0.4</v>
      </c>
      <c r="FW176" s="47"/>
      <c r="FX176" s="47"/>
      <c r="FY176" s="259"/>
      <c r="FZ176" s="259"/>
      <c r="GA176" s="259"/>
      <c r="GB176" s="259"/>
      <c r="GC176" s="377"/>
      <c r="GD176" s="377"/>
      <c r="GE176" s="377"/>
      <c r="GF176" s="377"/>
      <c r="GG176" s="377"/>
      <c r="GH176" s="377"/>
      <c r="GI176" s="377"/>
      <c r="GJ176" s="377"/>
      <c r="GK176" s="377"/>
      <c r="GL176" s="377"/>
      <c r="GM176" s="377"/>
      <c r="GN176" s="377"/>
      <c r="GO176" s="49"/>
      <c r="GP176" s="49"/>
      <c r="GQ176" s="49"/>
      <c r="GR176" s="49"/>
      <c r="GS176" s="49"/>
      <c r="GT176" s="49"/>
      <c r="GU176" s="49"/>
      <c r="GV176" s="49"/>
      <c r="GW176" s="66"/>
      <c r="GX176" s="66"/>
      <c r="GY176" s="66"/>
      <c r="GZ176" s="66"/>
      <c r="HA176" s="66"/>
      <c r="HB176" s="66"/>
      <c r="HC176" s="66"/>
      <c r="HD176" s="66"/>
      <c r="HE176" s="66"/>
      <c r="HF176" s="66"/>
      <c r="HG176" s="66"/>
      <c r="HH176" s="66"/>
      <c r="HI176" s="66"/>
      <c r="HJ176" s="66"/>
      <c r="HK176" s="66"/>
      <c r="HL176" s="66"/>
      <c r="HM176" s="66"/>
      <c r="HN176" s="66"/>
      <c r="HO176" s="66"/>
      <c r="HP176" s="66"/>
      <c r="HQ176" s="66"/>
      <c r="HR176" s="66"/>
      <c r="HS176" s="66"/>
      <c r="HT176" s="66"/>
      <c r="HU176" s="66"/>
      <c r="HV176" s="66"/>
      <c r="HW176" s="66"/>
      <c r="HX176" s="66"/>
      <c r="HY176" s="66"/>
      <c r="HZ176" s="66"/>
      <c r="IA176" s="66"/>
    </row>
    <row r="177" spans="1:235" customFormat="1" ht="11.25" customHeight="1" thickBot="1">
      <c r="A177" s="1"/>
      <c r="B177" s="3"/>
      <c r="C177" s="3"/>
      <c r="D177" s="252"/>
      <c r="E177" s="10"/>
      <c r="F177" s="10"/>
      <c r="G177" s="10"/>
      <c r="H177" s="10"/>
      <c r="I177" s="596" t="str">
        <f ca="1">IF(FL1=0,"","q")</f>
        <v/>
      </c>
      <c r="J177" s="597"/>
      <c r="K177" s="597"/>
      <c r="L177" s="597"/>
      <c r="M177" s="597"/>
      <c r="N177" s="597"/>
      <c r="O177" s="597"/>
      <c r="P177" s="597"/>
      <c r="Q177" s="597"/>
      <c r="R177" s="597"/>
      <c r="S177" s="597"/>
      <c r="T177" s="597"/>
      <c r="U177" s="598"/>
      <c r="V177" s="596" t="str">
        <f ca="1">IF(FL1=0,"","TO")</f>
        <v/>
      </c>
      <c r="W177" s="597"/>
      <c r="X177" s="597"/>
      <c r="Y177" s="597"/>
      <c r="Z177" s="597"/>
      <c r="AA177" s="597"/>
      <c r="AB177" s="597"/>
      <c r="AC177" s="597"/>
      <c r="AD177" s="597"/>
      <c r="AE177" s="597"/>
      <c r="AF177" s="597"/>
      <c r="AG177" s="597"/>
      <c r="AH177" s="598"/>
      <c r="AI177" s="492"/>
      <c r="AJ177" s="492"/>
      <c r="AK177" s="492"/>
      <c r="AL177" s="492"/>
      <c r="AM177" s="492"/>
      <c r="AN177" s="492"/>
      <c r="AO177" s="492"/>
      <c r="AP177" s="492"/>
      <c r="AQ177" s="492"/>
      <c r="AR177" s="492"/>
      <c r="AS177" s="492"/>
      <c r="AT177" s="492"/>
      <c r="AU177" s="492"/>
      <c r="AV177" s="596" t="str">
        <f ca="1">IF(FL1=0,"","GO")</f>
        <v/>
      </c>
      <c r="AW177" s="597"/>
      <c r="AX177" s="597"/>
      <c r="AY177" s="597"/>
      <c r="AZ177" s="597"/>
      <c r="BA177" s="597"/>
      <c r="BB177" s="597"/>
      <c r="BC177" s="597"/>
      <c r="BD177" s="597"/>
      <c r="BE177" s="597"/>
      <c r="BF177" s="597"/>
      <c r="BG177" s="597"/>
      <c r="BH177" s="598"/>
      <c r="BI177" s="596" t="str">
        <f ca="1">IF(FL1=0,"","TK")</f>
        <v/>
      </c>
      <c r="BJ177" s="597"/>
      <c r="BK177" s="597"/>
      <c r="BL177" s="597"/>
      <c r="BM177" s="597"/>
      <c r="BN177" s="597"/>
      <c r="BO177" s="597"/>
      <c r="BP177" s="597"/>
      <c r="BQ177" s="597"/>
      <c r="BR177" s="597"/>
      <c r="BS177" s="597"/>
      <c r="BT177" s="597"/>
      <c r="BU177" s="598"/>
      <c r="BV177" s="492"/>
      <c r="BW177" s="492"/>
      <c r="BX177" s="492"/>
      <c r="BY177" s="492"/>
      <c r="BZ177" s="492"/>
      <c r="CA177" s="492"/>
      <c r="CB177" s="492"/>
      <c r="CC177" s="492"/>
      <c r="CD177" s="492"/>
      <c r="CE177" s="492"/>
      <c r="CF177" s="492"/>
      <c r="CG177" s="492"/>
      <c r="CH177" s="492"/>
      <c r="CI177" s="596" t="str">
        <f ca="1">IF(FL1=0,"","GTK")</f>
        <v/>
      </c>
      <c r="CJ177" s="597"/>
      <c r="CK177" s="597"/>
      <c r="CL177" s="597"/>
      <c r="CM177" s="597"/>
      <c r="CN177" s="597"/>
      <c r="CO177" s="597"/>
      <c r="CP177" s="597"/>
      <c r="CQ177" s="597"/>
      <c r="CR177" s="597"/>
      <c r="CS177" s="597"/>
      <c r="CT177" s="597"/>
      <c r="CU177" s="598"/>
      <c r="CV177" s="596" t="str">
        <f ca="1">IF(FL1=0,"","TW")</f>
        <v/>
      </c>
      <c r="CW177" s="597"/>
      <c r="CX177" s="597"/>
      <c r="CY177" s="597"/>
      <c r="CZ177" s="597"/>
      <c r="DA177" s="597"/>
      <c r="DB177" s="597"/>
      <c r="DC177" s="597"/>
      <c r="DD177" s="597"/>
      <c r="DE177" s="597"/>
      <c r="DF177" s="597"/>
      <c r="DG177" s="597"/>
      <c r="DH177" s="598"/>
      <c r="DI177" s="492"/>
      <c r="DJ177" s="492"/>
      <c r="DK177" s="492"/>
      <c r="DL177" s="492"/>
      <c r="DM177" s="492"/>
      <c r="DN177" s="492"/>
      <c r="DO177" s="492"/>
      <c r="DP177" s="492"/>
      <c r="DQ177" s="492"/>
      <c r="DR177" s="492"/>
      <c r="DS177" s="492"/>
      <c r="DT177" s="492"/>
      <c r="DU177" s="492"/>
      <c r="DV177" s="596" t="str">
        <f ca="1">IF(FL1=0,"","GW")</f>
        <v/>
      </c>
      <c r="DW177" s="597"/>
      <c r="DX177" s="597"/>
      <c r="DY177" s="597"/>
      <c r="DZ177" s="597"/>
      <c r="EA177" s="597"/>
      <c r="EB177" s="597"/>
      <c r="EC177" s="597"/>
      <c r="ED177" s="597"/>
      <c r="EE177" s="597"/>
      <c r="EF177" s="597"/>
      <c r="EG177" s="597"/>
      <c r="EH177" s="598"/>
      <c r="EI177" s="79"/>
      <c r="EJ177" s="79"/>
      <c r="EK177" s="79"/>
      <c r="EL177" s="79"/>
      <c r="EM177" s="79"/>
      <c r="EN177" s="79"/>
      <c r="EO177" s="10"/>
      <c r="EP177" s="10"/>
      <c r="EQ177" s="10"/>
      <c r="ER177" s="10"/>
      <c r="ES177" s="10"/>
      <c r="ET177" s="10"/>
      <c r="EU177" s="10"/>
      <c r="EV177" s="10"/>
      <c r="EW177" s="10"/>
      <c r="EX177" s="10"/>
      <c r="EY177" s="10"/>
      <c r="EZ177" s="10"/>
      <c r="FA177" s="10"/>
      <c r="FB177" s="10"/>
      <c r="FC177" s="10"/>
      <c r="FD177" s="10"/>
      <c r="FE177" s="10"/>
      <c r="FF177" s="25"/>
      <c r="FG177" s="25"/>
      <c r="FH177" s="10"/>
      <c r="FI177" s="10"/>
      <c r="FJ177" s="96"/>
      <c r="FK177" s="96"/>
      <c r="FL177" s="96"/>
      <c r="FM177" s="116"/>
      <c r="FN177" s="116"/>
      <c r="FO177" s="96"/>
      <c r="FP177" s="96"/>
      <c r="FQ177" s="96"/>
      <c r="FR177" s="256"/>
      <c r="FS177" s="128"/>
      <c r="FT177" s="128"/>
      <c r="FU177" s="128"/>
      <c r="FV177" s="128"/>
      <c r="FW177" s="128"/>
      <c r="FX177" s="128"/>
      <c r="FY177" s="259"/>
      <c r="FZ177" s="259"/>
      <c r="GA177" s="259"/>
      <c r="GB177" s="259"/>
      <c r="GC177" s="377"/>
      <c r="GD177" s="377"/>
      <c r="GE177" s="377"/>
      <c r="GF177" s="377"/>
      <c r="GG177" s="377"/>
      <c r="GH177" s="377"/>
      <c r="GI177" s="377"/>
      <c r="GJ177" s="377"/>
      <c r="GK177" s="377"/>
      <c r="GL177" s="377"/>
      <c r="GM177" s="377"/>
      <c r="GN177" s="377"/>
      <c r="GO177" s="49"/>
      <c r="GP177" s="49"/>
      <c r="GQ177" s="49"/>
      <c r="GR177" s="49"/>
      <c r="GS177" s="49"/>
      <c r="GT177" s="49"/>
      <c r="GU177" s="49"/>
      <c r="GV177" s="49"/>
      <c r="GW177" s="66"/>
      <c r="GX177" s="66"/>
      <c r="GY177" s="66"/>
      <c r="GZ177" s="66"/>
      <c r="HA177" s="66"/>
      <c r="HB177" s="66"/>
      <c r="HC177" s="66"/>
      <c r="HD177" s="66"/>
      <c r="HE177" s="66"/>
      <c r="HF177" s="66"/>
      <c r="HG177" s="66"/>
      <c r="HH177" s="66"/>
      <c r="HI177" s="66"/>
      <c r="HJ177" s="66"/>
      <c r="HK177" s="66"/>
      <c r="HL177" s="66"/>
      <c r="HM177" s="66"/>
      <c r="HN177" s="66"/>
      <c r="HO177" s="66"/>
      <c r="HP177" s="66"/>
      <c r="HQ177" s="66"/>
      <c r="HR177" s="66"/>
      <c r="HS177" s="66"/>
      <c r="HT177" s="66"/>
      <c r="HU177" s="66"/>
      <c r="HV177" s="66"/>
      <c r="HW177" s="66"/>
      <c r="HX177" s="66"/>
      <c r="HY177" s="66"/>
      <c r="HZ177" s="66"/>
      <c r="IA177" s="66"/>
    </row>
    <row r="178" spans="1:235" customFormat="1" ht="11.25" customHeight="1" thickBot="1">
      <c r="A178" s="1"/>
      <c r="B178" s="3"/>
      <c r="C178" s="3"/>
      <c r="D178" s="12"/>
      <c r="E178" s="10"/>
      <c r="F178" s="10"/>
      <c r="G178" s="10"/>
      <c r="H178" s="10"/>
      <c r="I178" s="599"/>
      <c r="J178" s="600"/>
      <c r="K178" s="600"/>
      <c r="L178" s="600"/>
      <c r="M178" s="600"/>
      <c r="N178" s="600"/>
      <c r="O178" s="600"/>
      <c r="P178" s="600"/>
      <c r="Q178" s="600"/>
      <c r="R178" s="600"/>
      <c r="S178" s="600"/>
      <c r="T178" s="600"/>
      <c r="U178" s="601"/>
      <c r="V178" s="599"/>
      <c r="W178" s="600"/>
      <c r="X178" s="600"/>
      <c r="Y178" s="600"/>
      <c r="Z178" s="600"/>
      <c r="AA178" s="600"/>
      <c r="AB178" s="600"/>
      <c r="AC178" s="600"/>
      <c r="AD178" s="600"/>
      <c r="AE178" s="600"/>
      <c r="AF178" s="600"/>
      <c r="AG178" s="600"/>
      <c r="AH178" s="601"/>
      <c r="AI178" s="596" t="str">
        <f ca="1">IF(FL1=0,"","MO")</f>
        <v/>
      </c>
      <c r="AJ178" s="597"/>
      <c r="AK178" s="597"/>
      <c r="AL178" s="597"/>
      <c r="AM178" s="597"/>
      <c r="AN178" s="597"/>
      <c r="AO178" s="597"/>
      <c r="AP178" s="597"/>
      <c r="AQ178" s="597"/>
      <c r="AR178" s="597"/>
      <c r="AS178" s="597"/>
      <c r="AT178" s="597"/>
      <c r="AU178" s="598"/>
      <c r="AV178" s="599"/>
      <c r="AW178" s="600"/>
      <c r="AX178" s="600"/>
      <c r="AY178" s="600"/>
      <c r="AZ178" s="600"/>
      <c r="BA178" s="600"/>
      <c r="BB178" s="600"/>
      <c r="BC178" s="600"/>
      <c r="BD178" s="600"/>
      <c r="BE178" s="600"/>
      <c r="BF178" s="600"/>
      <c r="BG178" s="600"/>
      <c r="BH178" s="601"/>
      <c r="BI178" s="599"/>
      <c r="BJ178" s="600"/>
      <c r="BK178" s="600"/>
      <c r="BL178" s="600"/>
      <c r="BM178" s="600"/>
      <c r="BN178" s="600"/>
      <c r="BO178" s="600"/>
      <c r="BP178" s="600"/>
      <c r="BQ178" s="600"/>
      <c r="BR178" s="600"/>
      <c r="BS178" s="600"/>
      <c r="BT178" s="600"/>
      <c r="BU178" s="601"/>
      <c r="BV178" s="596" t="str">
        <f ca="1">IF(FL1=0,"","MK")</f>
        <v/>
      </c>
      <c r="BW178" s="597"/>
      <c r="BX178" s="597"/>
      <c r="BY178" s="597"/>
      <c r="BZ178" s="597"/>
      <c r="CA178" s="597"/>
      <c r="CB178" s="597"/>
      <c r="CC178" s="597"/>
      <c r="CD178" s="597"/>
      <c r="CE178" s="597"/>
      <c r="CF178" s="597"/>
      <c r="CG178" s="597"/>
      <c r="CH178" s="598"/>
      <c r="CI178" s="599"/>
      <c r="CJ178" s="600"/>
      <c r="CK178" s="600"/>
      <c r="CL178" s="600"/>
      <c r="CM178" s="600"/>
      <c r="CN178" s="600"/>
      <c r="CO178" s="600"/>
      <c r="CP178" s="600"/>
      <c r="CQ178" s="600"/>
      <c r="CR178" s="600"/>
      <c r="CS178" s="600"/>
      <c r="CT178" s="600"/>
      <c r="CU178" s="601"/>
      <c r="CV178" s="599"/>
      <c r="CW178" s="600"/>
      <c r="CX178" s="600"/>
      <c r="CY178" s="600"/>
      <c r="CZ178" s="600"/>
      <c r="DA178" s="600"/>
      <c r="DB178" s="600"/>
      <c r="DC178" s="600"/>
      <c r="DD178" s="600"/>
      <c r="DE178" s="600"/>
      <c r="DF178" s="600"/>
      <c r="DG178" s="600"/>
      <c r="DH178" s="601"/>
      <c r="DI178" s="596" t="str">
        <f ca="1">IF(FL1=0,"","MW")</f>
        <v/>
      </c>
      <c r="DJ178" s="597"/>
      <c r="DK178" s="597"/>
      <c r="DL178" s="597"/>
      <c r="DM178" s="597"/>
      <c r="DN178" s="597"/>
      <c r="DO178" s="597"/>
      <c r="DP178" s="597"/>
      <c r="DQ178" s="597"/>
      <c r="DR178" s="597"/>
      <c r="DS178" s="597"/>
      <c r="DT178" s="597"/>
      <c r="DU178" s="598"/>
      <c r="DV178" s="599"/>
      <c r="DW178" s="600"/>
      <c r="DX178" s="600"/>
      <c r="DY178" s="600"/>
      <c r="DZ178" s="600"/>
      <c r="EA178" s="600"/>
      <c r="EB178" s="600"/>
      <c r="EC178" s="600"/>
      <c r="ED178" s="600"/>
      <c r="EE178" s="600"/>
      <c r="EF178" s="600"/>
      <c r="EG178" s="600"/>
      <c r="EH178" s="601"/>
      <c r="EI178" s="79"/>
      <c r="EJ178" s="79"/>
      <c r="EK178" s="79"/>
      <c r="EL178" s="79"/>
      <c r="EM178" s="79"/>
      <c r="EN178" s="79"/>
      <c r="EO178" s="10"/>
      <c r="EP178" s="10"/>
      <c r="EQ178" s="10"/>
      <c r="ER178" s="10"/>
      <c r="ES178" s="10"/>
      <c r="ET178" s="10"/>
      <c r="EU178" s="10"/>
      <c r="EV178" s="10"/>
      <c r="EW178" s="10"/>
      <c r="EX178" s="10"/>
      <c r="EY178" s="10"/>
      <c r="EZ178" s="10"/>
      <c r="FA178" s="10"/>
      <c r="FB178" s="10"/>
      <c r="FC178" s="10"/>
      <c r="FD178" s="10"/>
      <c r="FE178" s="10"/>
      <c r="FF178" s="25"/>
      <c r="FG178" s="25"/>
      <c r="FH178" s="10"/>
      <c r="FI178" s="10"/>
      <c r="FJ178" s="96"/>
      <c r="FK178" s="96"/>
      <c r="FL178" s="96"/>
      <c r="FM178" s="116"/>
      <c r="FN178" s="116"/>
      <c r="FO178" s="96"/>
      <c r="FP178" s="96"/>
      <c r="FQ178" s="96"/>
      <c r="FR178" s="93" t="s">
        <v>0</v>
      </c>
      <c r="FS178" s="128" t="s">
        <v>5</v>
      </c>
      <c r="FT178" s="128" t="s">
        <v>37</v>
      </c>
      <c r="FU178" s="128" t="s">
        <v>22</v>
      </c>
      <c r="FV178" s="128" t="s">
        <v>3</v>
      </c>
      <c r="FW178" s="128" t="s">
        <v>26</v>
      </c>
      <c r="FX178" s="128" t="s">
        <v>4</v>
      </c>
      <c r="FY178" s="259" t="s">
        <v>2</v>
      </c>
      <c r="FZ178" s="259" t="s">
        <v>114</v>
      </c>
      <c r="GA178" s="259" t="s">
        <v>76</v>
      </c>
      <c r="GB178" s="259" t="s">
        <v>107</v>
      </c>
      <c r="GC178" s="377" t="s">
        <v>106</v>
      </c>
      <c r="GD178" s="377"/>
      <c r="GE178" s="377"/>
      <c r="GF178" s="377"/>
      <c r="GG178" s="377"/>
      <c r="GH178" s="377"/>
      <c r="GI178" s="377"/>
      <c r="GJ178" s="377"/>
      <c r="GK178" s="377"/>
      <c r="GL178" s="377"/>
      <c r="GM178" s="377"/>
      <c r="GN178" s="377"/>
      <c r="GO178" s="49"/>
      <c r="GP178" s="49"/>
      <c r="GQ178" s="49"/>
      <c r="GR178" s="49"/>
      <c r="GS178" s="49"/>
      <c r="GT178" s="49"/>
      <c r="GU178" s="49"/>
      <c r="GV178" s="49"/>
      <c r="GW178" s="66"/>
      <c r="GX178" s="66"/>
      <c r="GY178" s="66"/>
      <c r="GZ178" s="66"/>
      <c r="HA178" s="66"/>
      <c r="HB178" s="66"/>
      <c r="HC178" s="66"/>
      <c r="HD178" s="66"/>
      <c r="HE178" s="66"/>
      <c r="HF178" s="66"/>
      <c r="HG178" s="66"/>
      <c r="HH178" s="66"/>
      <c r="HI178" s="66"/>
      <c r="HJ178" s="66"/>
      <c r="HK178" s="66"/>
      <c r="HL178" s="66"/>
      <c r="HM178" s="66"/>
      <c r="HN178" s="66"/>
      <c r="HO178" s="66"/>
      <c r="HP178" s="66"/>
      <c r="HQ178" s="66"/>
      <c r="HR178" s="66"/>
      <c r="HS178" s="66"/>
      <c r="HT178" s="66"/>
      <c r="HU178" s="66"/>
      <c r="HV178" s="66"/>
      <c r="HW178" s="66"/>
      <c r="HX178" s="66"/>
      <c r="HY178" s="66"/>
      <c r="HZ178" s="66"/>
      <c r="IA178" s="66"/>
    </row>
    <row r="179" spans="1:235" customFormat="1" ht="11.25" customHeight="1" thickBot="1">
      <c r="A179" s="1"/>
      <c r="B179" s="3"/>
      <c r="C179" s="3"/>
      <c r="D179" s="12"/>
      <c r="E179" s="10"/>
      <c r="F179" s="10"/>
      <c r="G179" s="10"/>
      <c r="H179" s="10"/>
      <c r="I179" s="565" t="str">
        <f ca="1">IF(FL1=0,"",FR179)</f>
        <v/>
      </c>
      <c r="J179" s="566"/>
      <c r="K179" s="566"/>
      <c r="L179" s="566"/>
      <c r="M179" s="566"/>
      <c r="N179" s="566"/>
      <c r="O179" s="566"/>
      <c r="P179" s="566"/>
      <c r="Q179" s="566"/>
      <c r="R179" s="566"/>
      <c r="S179" s="566"/>
      <c r="T179" s="566"/>
      <c r="U179" s="567"/>
      <c r="V179" s="565" t="str">
        <f ca="1">IF(FL1=0,"",FS179)</f>
        <v/>
      </c>
      <c r="W179" s="566"/>
      <c r="X179" s="566"/>
      <c r="Y179" s="566"/>
      <c r="Z179" s="566"/>
      <c r="AA179" s="566"/>
      <c r="AB179" s="566"/>
      <c r="AC179" s="566"/>
      <c r="AD179" s="566"/>
      <c r="AE179" s="566"/>
      <c r="AF179" s="566"/>
      <c r="AG179" s="566"/>
      <c r="AH179" s="567"/>
      <c r="AI179" s="599"/>
      <c r="AJ179" s="600"/>
      <c r="AK179" s="600"/>
      <c r="AL179" s="600"/>
      <c r="AM179" s="600"/>
      <c r="AN179" s="600"/>
      <c r="AO179" s="600"/>
      <c r="AP179" s="600"/>
      <c r="AQ179" s="600"/>
      <c r="AR179" s="600"/>
      <c r="AS179" s="600"/>
      <c r="AT179" s="600"/>
      <c r="AU179" s="601"/>
      <c r="AV179" s="565" t="str">
        <f ca="1">IF(FL1=0,"",FU179)</f>
        <v/>
      </c>
      <c r="AW179" s="566"/>
      <c r="AX179" s="566"/>
      <c r="AY179" s="566"/>
      <c r="AZ179" s="566"/>
      <c r="BA179" s="566"/>
      <c r="BB179" s="566"/>
      <c r="BC179" s="566"/>
      <c r="BD179" s="566"/>
      <c r="BE179" s="566"/>
      <c r="BF179" s="566"/>
      <c r="BG179" s="566"/>
      <c r="BH179" s="567"/>
      <c r="BI179" s="565" t="str">
        <f ca="1">IF(FL1=0,"",FV179)</f>
        <v/>
      </c>
      <c r="BJ179" s="566"/>
      <c r="BK179" s="566"/>
      <c r="BL179" s="566"/>
      <c r="BM179" s="566"/>
      <c r="BN179" s="566"/>
      <c r="BO179" s="566"/>
      <c r="BP179" s="566"/>
      <c r="BQ179" s="566"/>
      <c r="BR179" s="566"/>
      <c r="BS179" s="566"/>
      <c r="BT179" s="566"/>
      <c r="BU179" s="567"/>
      <c r="BV179" s="599"/>
      <c r="BW179" s="600"/>
      <c r="BX179" s="600"/>
      <c r="BY179" s="600"/>
      <c r="BZ179" s="600"/>
      <c r="CA179" s="600"/>
      <c r="CB179" s="600"/>
      <c r="CC179" s="600"/>
      <c r="CD179" s="600"/>
      <c r="CE179" s="600"/>
      <c r="CF179" s="600"/>
      <c r="CG179" s="600"/>
      <c r="CH179" s="601"/>
      <c r="CI179" s="565" t="str">
        <f ca="1">IF(FL1=0,"",FX179)</f>
        <v/>
      </c>
      <c r="CJ179" s="566"/>
      <c r="CK179" s="566"/>
      <c r="CL179" s="566"/>
      <c r="CM179" s="566"/>
      <c r="CN179" s="566"/>
      <c r="CO179" s="566"/>
      <c r="CP179" s="566"/>
      <c r="CQ179" s="566"/>
      <c r="CR179" s="566"/>
      <c r="CS179" s="566"/>
      <c r="CT179" s="566"/>
      <c r="CU179" s="567"/>
      <c r="CV179" s="565" t="str">
        <f ca="1">IF(FL1=0,"",GA179)</f>
        <v/>
      </c>
      <c r="CW179" s="566"/>
      <c r="CX179" s="566"/>
      <c r="CY179" s="566"/>
      <c r="CZ179" s="566"/>
      <c r="DA179" s="566"/>
      <c r="DB179" s="566"/>
      <c r="DC179" s="566"/>
      <c r="DD179" s="566"/>
      <c r="DE179" s="566"/>
      <c r="DF179" s="566"/>
      <c r="DG179" s="566"/>
      <c r="DH179" s="567"/>
      <c r="DI179" s="599"/>
      <c r="DJ179" s="600"/>
      <c r="DK179" s="600"/>
      <c r="DL179" s="600"/>
      <c r="DM179" s="600"/>
      <c r="DN179" s="600"/>
      <c r="DO179" s="600"/>
      <c r="DP179" s="600"/>
      <c r="DQ179" s="600"/>
      <c r="DR179" s="600"/>
      <c r="DS179" s="600"/>
      <c r="DT179" s="600"/>
      <c r="DU179" s="601"/>
      <c r="DV179" s="565" t="str">
        <f ca="1">IF(FL1=0,"",GC179)</f>
        <v/>
      </c>
      <c r="DW179" s="566"/>
      <c r="DX179" s="566"/>
      <c r="DY179" s="566"/>
      <c r="DZ179" s="566"/>
      <c r="EA179" s="566"/>
      <c r="EB179" s="566"/>
      <c r="EC179" s="566"/>
      <c r="ED179" s="566"/>
      <c r="EE179" s="566"/>
      <c r="EF179" s="566"/>
      <c r="EG179" s="566"/>
      <c r="EH179" s="567"/>
      <c r="EI179" s="79"/>
      <c r="EJ179" s="79"/>
      <c r="EK179" s="79"/>
      <c r="EL179" s="79"/>
      <c r="EM179" s="79"/>
      <c r="EN179" s="79"/>
      <c r="EO179" s="10"/>
      <c r="EP179" s="10"/>
      <c r="EQ179" s="10"/>
      <c r="ER179" s="10"/>
      <c r="ES179" s="10"/>
      <c r="ET179" s="10"/>
      <c r="EU179" s="10"/>
      <c r="EV179" s="10"/>
      <c r="EW179" s="10"/>
      <c r="EX179" s="10"/>
      <c r="EY179" s="10"/>
      <c r="EZ179" s="10"/>
      <c r="FA179" s="10"/>
      <c r="FB179" s="10"/>
      <c r="FC179" s="10"/>
      <c r="FD179" s="10"/>
      <c r="FE179" s="10"/>
      <c r="FF179" s="25"/>
      <c r="FG179" s="25"/>
      <c r="FH179" s="10"/>
      <c r="FI179" s="10"/>
      <c r="FJ179" s="96"/>
      <c r="FK179" s="96"/>
      <c r="FL179" s="96"/>
      <c r="FM179" s="116"/>
      <c r="FN179" s="116"/>
      <c r="FO179" s="96"/>
      <c r="FP179" s="96"/>
      <c r="FQ179" s="96"/>
      <c r="FR179" s="592">
        <f ca="1">ROUND(0.41*FT176,0)</f>
        <v>168</v>
      </c>
      <c r="FS179" s="592">
        <f ca="1">ROUND(-FV176*FR179^2+FU176*FR179,2)</f>
        <v>17270.400000000001</v>
      </c>
      <c r="FT179" s="48"/>
      <c r="FU179" s="592">
        <f ca="1">ROUND(FS179/FR179,2)</f>
        <v>102.8</v>
      </c>
      <c r="FV179" s="592">
        <f ca="1">ROUND(FR176*FR179+FS176,2)</f>
        <v>7394.4</v>
      </c>
      <c r="FW179" s="48"/>
      <c r="FX179" s="592">
        <f ca="1">ROUND(FV179/FR179,2)</f>
        <v>44.01</v>
      </c>
      <c r="FY179" s="259">
        <f ca="1">ROUND(FR176*FR179,2)</f>
        <v>1394.4</v>
      </c>
      <c r="FZ179" s="259">
        <f ca="1">ROUND(FR176,2)</f>
        <v>8.3000000000000007</v>
      </c>
      <c r="GA179" s="259">
        <f ca="1">ROUND(FS179-FV179,2)</f>
        <v>9876</v>
      </c>
      <c r="GB179" s="259"/>
      <c r="GC179" s="377">
        <f ca="1">ROUND(GA179/FR179,2)</f>
        <v>58.79</v>
      </c>
      <c r="GD179" s="377"/>
      <c r="GE179" s="377"/>
      <c r="GF179" s="377"/>
      <c r="GG179" s="377"/>
      <c r="GH179" s="377"/>
      <c r="GI179" s="377"/>
      <c r="GJ179" s="377"/>
      <c r="GK179" s="377"/>
      <c r="GL179" s="377"/>
      <c r="GM179" s="377"/>
      <c r="GN179" s="377"/>
      <c r="GO179" s="49"/>
      <c r="GP179" s="49"/>
      <c r="GQ179" s="49"/>
      <c r="GR179" s="49"/>
      <c r="GS179" s="49"/>
      <c r="GT179" s="49"/>
      <c r="GU179" s="49"/>
      <c r="GV179" s="49"/>
      <c r="GW179" s="66"/>
      <c r="GX179" s="66"/>
      <c r="GY179" s="66"/>
      <c r="GZ179" s="66"/>
      <c r="HA179" s="66"/>
      <c r="HB179" s="66"/>
      <c r="HC179" s="66"/>
      <c r="HD179" s="66"/>
      <c r="HE179" s="66"/>
      <c r="HF179" s="66"/>
      <c r="HG179" s="66"/>
      <c r="HH179" s="66"/>
      <c r="HI179" s="66"/>
      <c r="HJ179" s="66"/>
      <c r="HK179" s="66"/>
      <c r="HL179" s="66"/>
      <c r="HM179" s="66"/>
      <c r="HN179" s="66"/>
      <c r="HO179" s="66"/>
      <c r="HP179" s="66"/>
      <c r="HQ179" s="66"/>
      <c r="HR179" s="66"/>
      <c r="HS179" s="66"/>
      <c r="HT179" s="66"/>
      <c r="HU179" s="66"/>
      <c r="HV179" s="66"/>
      <c r="HW179" s="66"/>
      <c r="HX179" s="66"/>
      <c r="HY179" s="66"/>
      <c r="HZ179" s="66"/>
      <c r="IA179" s="66"/>
    </row>
    <row r="180" spans="1:235" customFormat="1" ht="11.25" customHeight="1" thickBot="1">
      <c r="A180" s="1"/>
      <c r="B180" s="3"/>
      <c r="C180" s="3"/>
      <c r="D180" s="12"/>
      <c r="E180" s="10"/>
      <c r="F180" s="10"/>
      <c r="G180" s="10"/>
      <c r="H180" s="10"/>
      <c r="I180" s="568"/>
      <c r="J180" s="569"/>
      <c r="K180" s="569"/>
      <c r="L180" s="569"/>
      <c r="M180" s="569"/>
      <c r="N180" s="569"/>
      <c r="O180" s="569"/>
      <c r="P180" s="569"/>
      <c r="Q180" s="569"/>
      <c r="R180" s="569"/>
      <c r="S180" s="569"/>
      <c r="T180" s="569"/>
      <c r="U180" s="570"/>
      <c r="V180" s="568"/>
      <c r="W180" s="569"/>
      <c r="X180" s="569"/>
      <c r="Y180" s="569"/>
      <c r="Z180" s="569"/>
      <c r="AA180" s="569"/>
      <c r="AB180" s="569"/>
      <c r="AC180" s="569"/>
      <c r="AD180" s="569"/>
      <c r="AE180" s="569"/>
      <c r="AF180" s="569"/>
      <c r="AG180" s="569"/>
      <c r="AH180" s="570"/>
      <c r="AI180" s="565" t="str">
        <f ca="1">IF(FL1=0,"",FT180)</f>
        <v/>
      </c>
      <c r="AJ180" s="566"/>
      <c r="AK180" s="566"/>
      <c r="AL180" s="566"/>
      <c r="AM180" s="566"/>
      <c r="AN180" s="566"/>
      <c r="AO180" s="566"/>
      <c r="AP180" s="566"/>
      <c r="AQ180" s="566"/>
      <c r="AR180" s="566"/>
      <c r="AS180" s="566"/>
      <c r="AT180" s="566"/>
      <c r="AU180" s="567"/>
      <c r="AV180" s="568"/>
      <c r="AW180" s="569"/>
      <c r="AX180" s="569"/>
      <c r="AY180" s="569"/>
      <c r="AZ180" s="569"/>
      <c r="BA180" s="569"/>
      <c r="BB180" s="569"/>
      <c r="BC180" s="569"/>
      <c r="BD180" s="569"/>
      <c r="BE180" s="569"/>
      <c r="BF180" s="569"/>
      <c r="BG180" s="569"/>
      <c r="BH180" s="570"/>
      <c r="BI180" s="568"/>
      <c r="BJ180" s="569"/>
      <c r="BK180" s="569"/>
      <c r="BL180" s="569"/>
      <c r="BM180" s="569"/>
      <c r="BN180" s="569"/>
      <c r="BO180" s="569"/>
      <c r="BP180" s="569"/>
      <c r="BQ180" s="569"/>
      <c r="BR180" s="569"/>
      <c r="BS180" s="569"/>
      <c r="BT180" s="569"/>
      <c r="BU180" s="570"/>
      <c r="BV180" s="565" t="str">
        <f ca="1">IF(FL1=0,"",FW180)</f>
        <v/>
      </c>
      <c r="BW180" s="566"/>
      <c r="BX180" s="566"/>
      <c r="BY180" s="566"/>
      <c r="BZ180" s="566"/>
      <c r="CA180" s="566"/>
      <c r="CB180" s="566"/>
      <c r="CC180" s="566"/>
      <c r="CD180" s="566"/>
      <c r="CE180" s="566"/>
      <c r="CF180" s="566"/>
      <c r="CG180" s="566"/>
      <c r="CH180" s="567"/>
      <c r="CI180" s="568"/>
      <c r="CJ180" s="569"/>
      <c r="CK180" s="569"/>
      <c r="CL180" s="569"/>
      <c r="CM180" s="569"/>
      <c r="CN180" s="569"/>
      <c r="CO180" s="569"/>
      <c r="CP180" s="569"/>
      <c r="CQ180" s="569"/>
      <c r="CR180" s="569"/>
      <c r="CS180" s="569"/>
      <c r="CT180" s="569"/>
      <c r="CU180" s="570"/>
      <c r="CV180" s="568"/>
      <c r="CW180" s="569"/>
      <c r="CX180" s="569"/>
      <c r="CY180" s="569"/>
      <c r="CZ180" s="569"/>
      <c r="DA180" s="569"/>
      <c r="DB180" s="569"/>
      <c r="DC180" s="569"/>
      <c r="DD180" s="569"/>
      <c r="DE180" s="569"/>
      <c r="DF180" s="569"/>
      <c r="DG180" s="569"/>
      <c r="DH180" s="570"/>
      <c r="DI180" s="565" t="str">
        <f ca="1">IF(FL1=0,"",GB180)</f>
        <v/>
      </c>
      <c r="DJ180" s="566"/>
      <c r="DK180" s="566"/>
      <c r="DL180" s="566"/>
      <c r="DM180" s="566"/>
      <c r="DN180" s="566"/>
      <c r="DO180" s="566"/>
      <c r="DP180" s="566"/>
      <c r="DQ180" s="566"/>
      <c r="DR180" s="566"/>
      <c r="DS180" s="566"/>
      <c r="DT180" s="566"/>
      <c r="DU180" s="567"/>
      <c r="DV180" s="568"/>
      <c r="DW180" s="569"/>
      <c r="DX180" s="569"/>
      <c r="DY180" s="569"/>
      <c r="DZ180" s="569"/>
      <c r="EA180" s="569"/>
      <c r="EB180" s="569"/>
      <c r="EC180" s="569"/>
      <c r="ED180" s="569"/>
      <c r="EE180" s="569"/>
      <c r="EF180" s="569"/>
      <c r="EG180" s="569"/>
      <c r="EH180" s="570"/>
      <c r="EI180" s="79"/>
      <c r="EJ180" s="79"/>
      <c r="EK180" s="79"/>
      <c r="EL180" s="79"/>
      <c r="EM180" s="79"/>
      <c r="EN180" s="594" t="str">
        <f ca="1">IF(OR(CO461="",TODAY()&gt;=Blad1!AY3),"",IF(OR(V184="",AI183="",AV184="",BI184="",BV183="",CI184="",CV184="",DI183="",DV184=""),"Deze moet je nog (af-) maken.",IF(FL186,"Goed!",IF(FN180+FN183+FN186+FO180+FO183+FO186+FP180+FP183+FP186=8,"Je hebt er één fout!",IF(FN180+FN183+FN186+FO180+FO183+FO186+FP180+FP183+FP186=7,"Je hebt er twee fout!","Je hebt er drie of meer fout!")))))</f>
        <v/>
      </c>
      <c r="EO180" s="595"/>
      <c r="EP180" s="595"/>
      <c r="EQ180" s="595"/>
      <c r="ER180" s="595"/>
      <c r="ES180" s="595"/>
      <c r="ET180" s="595"/>
      <c r="EU180" s="595"/>
      <c r="EV180" s="595"/>
      <c r="EW180" s="595"/>
      <c r="EX180" s="595"/>
      <c r="EY180" s="595"/>
      <c r="EZ180" s="595"/>
      <c r="FA180" s="595"/>
      <c r="FB180" s="595"/>
      <c r="FC180" s="595"/>
      <c r="FD180" s="595"/>
      <c r="FE180" s="595"/>
      <c r="FF180" s="595"/>
      <c r="FG180" s="595"/>
      <c r="FH180" s="10"/>
      <c r="FI180" s="10"/>
      <c r="FJ180" s="96"/>
      <c r="FK180" s="96"/>
      <c r="FL180" s="96"/>
      <c r="FM180" s="116"/>
      <c r="FN180" s="242">
        <f ca="1">IF(AND(V184&gt;FS184-0.02,V184&lt;FS184+0.02),1,0)</f>
        <v>0</v>
      </c>
      <c r="FO180" s="242">
        <f ca="1">IF(AND(BI184&gt;FV184-0.02,BI184&lt;FV184+0.02),1,0)</f>
        <v>0</v>
      </c>
      <c r="FP180" s="242">
        <f ca="1">IF(AND(CV184&gt;GA184-0.02,CV184&lt;GA184+0.02),1,0)</f>
        <v>0</v>
      </c>
      <c r="FQ180" s="96"/>
      <c r="FR180" s="593"/>
      <c r="FS180" s="593"/>
      <c r="FT180" s="592">
        <f ca="1">ROUND((FS181-FS179)/(FR181-FR179),2)</f>
        <v>28.8</v>
      </c>
      <c r="FU180" s="592"/>
      <c r="FV180" s="593"/>
      <c r="FW180" s="592">
        <f ca="1">ROUND((FV181-FV179)/(FR181-FR179),2)</f>
        <v>8.3000000000000007</v>
      </c>
      <c r="FX180" s="592"/>
      <c r="FY180" s="259"/>
      <c r="FZ180" s="259"/>
      <c r="GA180" s="259"/>
      <c r="GB180" s="259">
        <f ca="1">ROUND((GA181-GA179)/(FR181-FR179),2)</f>
        <v>20.5</v>
      </c>
      <c r="GC180" s="377"/>
      <c r="GD180" s="377"/>
      <c r="GE180" s="377"/>
      <c r="GF180" s="377"/>
      <c r="GG180" s="377"/>
      <c r="GH180" s="377"/>
      <c r="GI180" s="377"/>
      <c r="GJ180" s="377"/>
      <c r="GK180" s="377"/>
      <c r="GL180" s="377"/>
      <c r="GM180" s="377"/>
      <c r="GN180" s="377"/>
      <c r="GO180" s="49"/>
      <c r="GP180" s="49"/>
      <c r="GQ180" s="49"/>
      <c r="GR180" s="49"/>
      <c r="GS180" s="49"/>
      <c r="GT180" s="49"/>
      <c r="GU180" s="49"/>
      <c r="GV180" s="49"/>
      <c r="GW180" s="66"/>
      <c r="GX180" s="66"/>
      <c r="GY180" s="66"/>
      <c r="GZ180" s="66"/>
      <c r="HA180" s="66"/>
      <c r="HB180" s="66"/>
      <c r="HC180" s="66"/>
      <c r="HD180" s="66"/>
      <c r="HE180" s="66"/>
      <c r="HF180" s="66"/>
      <c r="HG180" s="66"/>
      <c r="HH180" s="66"/>
      <c r="HI180" s="66"/>
      <c r="HJ180" s="66"/>
      <c r="HK180" s="66"/>
      <c r="HL180" s="66"/>
      <c r="HM180" s="66"/>
      <c r="HN180" s="66"/>
      <c r="HO180" s="66"/>
      <c r="HP180" s="66"/>
      <c r="HQ180" s="66"/>
      <c r="HR180" s="66"/>
      <c r="HS180" s="66"/>
      <c r="HT180" s="66"/>
      <c r="HU180" s="66"/>
      <c r="HV180" s="66"/>
      <c r="HW180" s="66"/>
      <c r="HX180" s="66"/>
      <c r="HY180" s="66"/>
      <c r="HZ180" s="66"/>
      <c r="IA180" s="66"/>
    </row>
    <row r="181" spans="1:235" customFormat="1" ht="3.75" customHeight="1">
      <c r="A181" s="1"/>
      <c r="B181" s="3"/>
      <c r="C181" s="3"/>
      <c r="D181" s="12"/>
      <c r="E181" s="10"/>
      <c r="F181" s="10"/>
      <c r="G181" s="10"/>
      <c r="H181" s="10"/>
      <c r="I181" s="565" t="str">
        <f ca="1">IF(FL1=0,"",FR181)</f>
        <v/>
      </c>
      <c r="J181" s="581"/>
      <c r="K181" s="581"/>
      <c r="L181" s="581"/>
      <c r="M181" s="581"/>
      <c r="N181" s="581"/>
      <c r="O181" s="581"/>
      <c r="P181" s="581"/>
      <c r="Q181" s="581"/>
      <c r="R181" s="581"/>
      <c r="S181" s="581"/>
      <c r="T181" s="581"/>
      <c r="U181" s="582"/>
      <c r="V181" s="565" t="str">
        <f ca="1">IF(FL1=0,"",FS181)</f>
        <v/>
      </c>
      <c r="W181" s="581"/>
      <c r="X181" s="581"/>
      <c r="Y181" s="581"/>
      <c r="Z181" s="581"/>
      <c r="AA181" s="581"/>
      <c r="AB181" s="581"/>
      <c r="AC181" s="581"/>
      <c r="AD181" s="581"/>
      <c r="AE181" s="581"/>
      <c r="AF181" s="581"/>
      <c r="AG181" s="581"/>
      <c r="AH181" s="582"/>
      <c r="AI181" s="589"/>
      <c r="AJ181" s="590"/>
      <c r="AK181" s="590"/>
      <c r="AL181" s="590"/>
      <c r="AM181" s="590"/>
      <c r="AN181" s="590"/>
      <c r="AO181" s="590"/>
      <c r="AP181" s="590"/>
      <c r="AQ181" s="590"/>
      <c r="AR181" s="590"/>
      <c r="AS181" s="590"/>
      <c r="AT181" s="590"/>
      <c r="AU181" s="591"/>
      <c r="AV181" s="565" t="str">
        <f ca="1">IF(FL1=0,"",FU181)</f>
        <v/>
      </c>
      <c r="AW181" s="581"/>
      <c r="AX181" s="581"/>
      <c r="AY181" s="581"/>
      <c r="AZ181" s="581"/>
      <c r="BA181" s="581"/>
      <c r="BB181" s="581"/>
      <c r="BC181" s="581"/>
      <c r="BD181" s="581"/>
      <c r="BE181" s="581"/>
      <c r="BF181" s="581"/>
      <c r="BG181" s="581"/>
      <c r="BH181" s="582"/>
      <c r="BI181" s="565" t="str">
        <f ca="1">IF(FL1=0,"",FV181)</f>
        <v/>
      </c>
      <c r="BJ181" s="581"/>
      <c r="BK181" s="581"/>
      <c r="BL181" s="581"/>
      <c r="BM181" s="581"/>
      <c r="BN181" s="581"/>
      <c r="BO181" s="581"/>
      <c r="BP181" s="581"/>
      <c r="BQ181" s="581"/>
      <c r="BR181" s="581"/>
      <c r="BS181" s="581"/>
      <c r="BT181" s="581"/>
      <c r="BU181" s="582"/>
      <c r="BV181" s="589"/>
      <c r="BW181" s="590"/>
      <c r="BX181" s="590"/>
      <c r="BY181" s="590"/>
      <c r="BZ181" s="590"/>
      <c r="CA181" s="590"/>
      <c r="CB181" s="590"/>
      <c r="CC181" s="590"/>
      <c r="CD181" s="590"/>
      <c r="CE181" s="590"/>
      <c r="CF181" s="590"/>
      <c r="CG181" s="590"/>
      <c r="CH181" s="591"/>
      <c r="CI181" s="565" t="str">
        <f ca="1">IF(FL1=0,"",FX181)</f>
        <v/>
      </c>
      <c r="CJ181" s="581"/>
      <c r="CK181" s="581"/>
      <c r="CL181" s="581"/>
      <c r="CM181" s="581"/>
      <c r="CN181" s="581"/>
      <c r="CO181" s="581"/>
      <c r="CP181" s="581"/>
      <c r="CQ181" s="581"/>
      <c r="CR181" s="581"/>
      <c r="CS181" s="581"/>
      <c r="CT181" s="581"/>
      <c r="CU181" s="582"/>
      <c r="CV181" s="565" t="str">
        <f ca="1">IF(FL1=0,"",GA181)</f>
        <v/>
      </c>
      <c r="CW181" s="581"/>
      <c r="CX181" s="581"/>
      <c r="CY181" s="581"/>
      <c r="CZ181" s="581"/>
      <c r="DA181" s="581"/>
      <c r="DB181" s="581"/>
      <c r="DC181" s="581"/>
      <c r="DD181" s="581"/>
      <c r="DE181" s="581"/>
      <c r="DF181" s="581"/>
      <c r="DG181" s="581"/>
      <c r="DH181" s="582"/>
      <c r="DI181" s="589"/>
      <c r="DJ181" s="590"/>
      <c r="DK181" s="590"/>
      <c r="DL181" s="590"/>
      <c r="DM181" s="590"/>
      <c r="DN181" s="590"/>
      <c r="DO181" s="590"/>
      <c r="DP181" s="590"/>
      <c r="DQ181" s="590"/>
      <c r="DR181" s="590"/>
      <c r="DS181" s="590"/>
      <c r="DT181" s="590"/>
      <c r="DU181" s="591"/>
      <c r="DV181" s="565" t="str">
        <f ca="1">IF(FL1=0,"",GC181)</f>
        <v/>
      </c>
      <c r="DW181" s="581"/>
      <c r="DX181" s="581"/>
      <c r="DY181" s="581"/>
      <c r="DZ181" s="581"/>
      <c r="EA181" s="581"/>
      <c r="EB181" s="581"/>
      <c r="EC181" s="581"/>
      <c r="ED181" s="581"/>
      <c r="EE181" s="581"/>
      <c r="EF181" s="581"/>
      <c r="EG181" s="581"/>
      <c r="EH181" s="582"/>
      <c r="EI181" s="79"/>
      <c r="EJ181" s="79"/>
      <c r="EK181" s="79"/>
      <c r="EL181" s="79"/>
      <c r="EM181" s="79"/>
      <c r="EN181" s="595"/>
      <c r="EO181" s="595"/>
      <c r="EP181" s="595"/>
      <c r="EQ181" s="595"/>
      <c r="ER181" s="595"/>
      <c r="ES181" s="595"/>
      <c r="ET181" s="595"/>
      <c r="EU181" s="595"/>
      <c r="EV181" s="595"/>
      <c r="EW181" s="595"/>
      <c r="EX181" s="595"/>
      <c r="EY181" s="595"/>
      <c r="EZ181" s="595"/>
      <c r="FA181" s="595"/>
      <c r="FB181" s="595"/>
      <c r="FC181" s="595"/>
      <c r="FD181" s="595"/>
      <c r="FE181" s="595"/>
      <c r="FF181" s="595"/>
      <c r="FG181" s="595"/>
      <c r="FH181" s="10"/>
      <c r="FI181" s="10"/>
      <c r="FJ181" s="96"/>
      <c r="FK181" s="96"/>
      <c r="FL181" s="96"/>
      <c r="FM181" s="116"/>
      <c r="FN181" s="85"/>
      <c r="FO181" s="85"/>
      <c r="FP181" s="85"/>
      <c r="FQ181" s="96"/>
      <c r="FR181" s="592">
        <f ca="1">ROUND(0.45*FT176,0)</f>
        <v>185</v>
      </c>
      <c r="FS181" s="592">
        <f ca="1">ROUND(-FV176*FR181^2+FU176*FR181,2)</f>
        <v>17760</v>
      </c>
      <c r="FT181" s="592"/>
      <c r="FU181" s="592">
        <f ca="1">ROUND(FS181/FR181,2)</f>
        <v>96</v>
      </c>
      <c r="FV181" s="592">
        <f ca="1">ROUND(FR176*FR181+FS176,2)</f>
        <v>7535.5</v>
      </c>
      <c r="FW181" s="592"/>
      <c r="FX181" s="592">
        <f ca="1">ROUND(FV181/FR181,2)</f>
        <v>40.729999999999997</v>
      </c>
      <c r="FY181" s="259">
        <f ca="1">ROUND(FR176*FR181,2)</f>
        <v>1535.5</v>
      </c>
      <c r="FZ181" s="259">
        <f ca="1">ROUND(FR176,2)</f>
        <v>8.3000000000000007</v>
      </c>
      <c r="GA181" s="259">
        <f ca="1">ROUND(FS181-FV181,2)</f>
        <v>10224.5</v>
      </c>
      <c r="GB181" s="259"/>
      <c r="GC181" s="377">
        <f ca="1">ROUND(GA181/FR181,2)</f>
        <v>55.27</v>
      </c>
      <c r="GD181" s="377"/>
      <c r="GE181" s="377"/>
      <c r="GF181" s="377"/>
      <c r="GG181" s="377"/>
      <c r="GH181" s="377"/>
      <c r="GI181" s="377"/>
      <c r="GJ181" s="377"/>
      <c r="GK181" s="377"/>
      <c r="GL181" s="377"/>
      <c r="GM181" s="377"/>
      <c r="GN181" s="377"/>
      <c r="GO181" s="49"/>
      <c r="GP181" s="49"/>
      <c r="GQ181" s="49"/>
      <c r="GR181" s="49"/>
      <c r="GS181" s="49"/>
      <c r="GT181" s="49"/>
      <c r="GU181" s="49"/>
      <c r="GV181" s="49"/>
      <c r="GW181" s="66"/>
      <c r="GX181" s="66"/>
      <c r="GY181" s="66"/>
      <c r="GZ181" s="66"/>
      <c r="HA181" s="66"/>
      <c r="HB181" s="66"/>
      <c r="HC181" s="66"/>
      <c r="HD181" s="66"/>
      <c r="HE181" s="66"/>
      <c r="HF181" s="66"/>
      <c r="HG181" s="66"/>
      <c r="HH181" s="66"/>
      <c r="HI181" s="66"/>
      <c r="HJ181" s="66"/>
      <c r="HK181" s="66"/>
      <c r="HL181" s="66"/>
      <c r="HM181" s="66"/>
      <c r="HN181" s="66"/>
      <c r="HO181" s="66"/>
      <c r="HP181" s="66"/>
      <c r="HQ181" s="66"/>
      <c r="HR181" s="66"/>
      <c r="HS181" s="66"/>
      <c r="HT181" s="66"/>
      <c r="HU181" s="66"/>
      <c r="HV181" s="66"/>
      <c r="HW181" s="66"/>
      <c r="HX181" s="66"/>
      <c r="HY181" s="66"/>
      <c r="HZ181" s="66"/>
      <c r="IA181" s="66"/>
    </row>
    <row r="182" spans="1:235" customFormat="1" ht="7.5" customHeight="1" thickBot="1">
      <c r="A182" s="1"/>
      <c r="B182" s="3"/>
      <c r="C182" s="3"/>
      <c r="D182" s="12"/>
      <c r="E182" s="10"/>
      <c r="F182" s="10"/>
      <c r="G182" s="10"/>
      <c r="H182" s="10"/>
      <c r="I182" s="583"/>
      <c r="J182" s="584"/>
      <c r="K182" s="584"/>
      <c r="L182" s="584"/>
      <c r="M182" s="584"/>
      <c r="N182" s="584"/>
      <c r="O182" s="584"/>
      <c r="P182" s="584"/>
      <c r="Q182" s="584"/>
      <c r="R182" s="584"/>
      <c r="S182" s="584"/>
      <c r="T182" s="584"/>
      <c r="U182" s="585"/>
      <c r="V182" s="583"/>
      <c r="W182" s="584"/>
      <c r="X182" s="584"/>
      <c r="Y182" s="584"/>
      <c r="Z182" s="584"/>
      <c r="AA182" s="584"/>
      <c r="AB182" s="584"/>
      <c r="AC182" s="584"/>
      <c r="AD182" s="584"/>
      <c r="AE182" s="584"/>
      <c r="AF182" s="584"/>
      <c r="AG182" s="584"/>
      <c r="AH182" s="585"/>
      <c r="AI182" s="568"/>
      <c r="AJ182" s="569"/>
      <c r="AK182" s="569"/>
      <c r="AL182" s="569"/>
      <c r="AM182" s="569"/>
      <c r="AN182" s="569"/>
      <c r="AO182" s="569"/>
      <c r="AP182" s="569"/>
      <c r="AQ182" s="569"/>
      <c r="AR182" s="569"/>
      <c r="AS182" s="569"/>
      <c r="AT182" s="569"/>
      <c r="AU182" s="570"/>
      <c r="AV182" s="583"/>
      <c r="AW182" s="584"/>
      <c r="AX182" s="584"/>
      <c r="AY182" s="584"/>
      <c r="AZ182" s="584"/>
      <c r="BA182" s="584"/>
      <c r="BB182" s="584"/>
      <c r="BC182" s="584"/>
      <c r="BD182" s="584"/>
      <c r="BE182" s="584"/>
      <c r="BF182" s="584"/>
      <c r="BG182" s="584"/>
      <c r="BH182" s="585"/>
      <c r="BI182" s="583"/>
      <c r="BJ182" s="584"/>
      <c r="BK182" s="584"/>
      <c r="BL182" s="584"/>
      <c r="BM182" s="584"/>
      <c r="BN182" s="584"/>
      <c r="BO182" s="584"/>
      <c r="BP182" s="584"/>
      <c r="BQ182" s="584"/>
      <c r="BR182" s="584"/>
      <c r="BS182" s="584"/>
      <c r="BT182" s="584"/>
      <c r="BU182" s="585"/>
      <c r="BV182" s="568"/>
      <c r="BW182" s="569"/>
      <c r="BX182" s="569"/>
      <c r="BY182" s="569"/>
      <c r="BZ182" s="569"/>
      <c r="CA182" s="569"/>
      <c r="CB182" s="569"/>
      <c r="CC182" s="569"/>
      <c r="CD182" s="569"/>
      <c r="CE182" s="569"/>
      <c r="CF182" s="569"/>
      <c r="CG182" s="569"/>
      <c r="CH182" s="570"/>
      <c r="CI182" s="583"/>
      <c r="CJ182" s="584"/>
      <c r="CK182" s="584"/>
      <c r="CL182" s="584"/>
      <c r="CM182" s="584"/>
      <c r="CN182" s="584"/>
      <c r="CO182" s="584"/>
      <c r="CP182" s="584"/>
      <c r="CQ182" s="584"/>
      <c r="CR182" s="584"/>
      <c r="CS182" s="584"/>
      <c r="CT182" s="584"/>
      <c r="CU182" s="585"/>
      <c r="CV182" s="583"/>
      <c r="CW182" s="584"/>
      <c r="CX182" s="584"/>
      <c r="CY182" s="584"/>
      <c r="CZ182" s="584"/>
      <c r="DA182" s="584"/>
      <c r="DB182" s="584"/>
      <c r="DC182" s="584"/>
      <c r="DD182" s="584"/>
      <c r="DE182" s="584"/>
      <c r="DF182" s="584"/>
      <c r="DG182" s="584"/>
      <c r="DH182" s="585"/>
      <c r="DI182" s="568"/>
      <c r="DJ182" s="569"/>
      <c r="DK182" s="569"/>
      <c r="DL182" s="569"/>
      <c r="DM182" s="569"/>
      <c r="DN182" s="569"/>
      <c r="DO182" s="569"/>
      <c r="DP182" s="569"/>
      <c r="DQ182" s="569"/>
      <c r="DR182" s="569"/>
      <c r="DS182" s="569"/>
      <c r="DT182" s="569"/>
      <c r="DU182" s="570"/>
      <c r="DV182" s="583"/>
      <c r="DW182" s="584"/>
      <c r="DX182" s="584"/>
      <c r="DY182" s="584"/>
      <c r="DZ182" s="584"/>
      <c r="EA182" s="584"/>
      <c r="EB182" s="584"/>
      <c r="EC182" s="584"/>
      <c r="ED182" s="584"/>
      <c r="EE182" s="584"/>
      <c r="EF182" s="584"/>
      <c r="EG182" s="584"/>
      <c r="EH182" s="585"/>
      <c r="EI182" s="79"/>
      <c r="EJ182" s="79"/>
      <c r="EK182" s="79"/>
      <c r="EL182" s="79"/>
      <c r="EM182" s="79"/>
      <c r="EN182" s="595"/>
      <c r="EO182" s="595"/>
      <c r="EP182" s="595"/>
      <c r="EQ182" s="595"/>
      <c r="ER182" s="595"/>
      <c r="ES182" s="595"/>
      <c r="ET182" s="595"/>
      <c r="EU182" s="595"/>
      <c r="EV182" s="595"/>
      <c r="EW182" s="595"/>
      <c r="EX182" s="595"/>
      <c r="EY182" s="595"/>
      <c r="EZ182" s="595"/>
      <c r="FA182" s="595"/>
      <c r="FB182" s="595"/>
      <c r="FC182" s="595"/>
      <c r="FD182" s="595"/>
      <c r="FE182" s="595"/>
      <c r="FF182" s="595"/>
      <c r="FG182" s="595"/>
      <c r="FH182" s="10"/>
      <c r="FI182" s="10"/>
      <c r="FJ182" s="96"/>
      <c r="FK182" s="96"/>
      <c r="FL182" s="96"/>
      <c r="FM182" s="116"/>
      <c r="FN182" s="85"/>
      <c r="FO182" s="85"/>
      <c r="FP182" s="85"/>
      <c r="FQ182" s="96"/>
      <c r="FR182" s="593"/>
      <c r="FS182" s="532"/>
      <c r="FT182" s="592"/>
      <c r="FU182" s="593"/>
      <c r="FV182" s="532"/>
      <c r="FW182" s="592"/>
      <c r="FX182" s="593"/>
      <c r="FY182" s="259"/>
      <c r="FZ182" s="259"/>
      <c r="GA182" s="259"/>
      <c r="GB182" s="259"/>
      <c r="GC182" s="377"/>
      <c r="GD182" s="377"/>
      <c r="GE182" s="377"/>
      <c r="GF182" s="377"/>
      <c r="GG182" s="377"/>
      <c r="GH182" s="377"/>
      <c r="GI182" s="377"/>
      <c r="GJ182" s="377"/>
      <c r="GK182" s="377"/>
      <c r="GL182" s="377"/>
      <c r="GM182" s="377"/>
      <c r="GN182" s="377"/>
      <c r="GO182" s="49"/>
      <c r="GP182" s="49"/>
      <c r="GQ182" s="49"/>
      <c r="GR182" s="49"/>
      <c r="GS182" s="49"/>
      <c r="GT182" s="49"/>
      <c r="GU182" s="49"/>
      <c r="GV182" s="49"/>
      <c r="GW182" s="66"/>
      <c r="GX182" s="66"/>
      <c r="GY182" s="66"/>
      <c r="GZ182" s="66"/>
      <c r="HA182" s="66"/>
      <c r="HB182" s="66"/>
      <c r="HC182" s="66"/>
      <c r="HD182" s="66"/>
      <c r="HE182" s="66"/>
      <c r="HF182" s="66"/>
      <c r="HG182" s="66"/>
      <c r="HH182" s="66"/>
      <c r="HI182" s="66"/>
      <c r="HJ182" s="66"/>
      <c r="HK182" s="66"/>
      <c r="HL182" s="66"/>
      <c r="HM182" s="66"/>
      <c r="HN182" s="66"/>
      <c r="HO182" s="66"/>
      <c r="HP182" s="66"/>
      <c r="HQ182" s="66"/>
      <c r="HR182" s="66"/>
      <c r="HS182" s="66"/>
      <c r="HT182" s="66"/>
      <c r="HU182" s="66"/>
      <c r="HV182" s="66"/>
      <c r="HW182" s="66"/>
      <c r="HX182" s="66"/>
      <c r="HY182" s="66"/>
      <c r="HZ182" s="66"/>
      <c r="IA182" s="66"/>
    </row>
    <row r="183" spans="1:235" customFormat="1" ht="11.25" customHeight="1" thickBot="1">
      <c r="A183" s="1"/>
      <c r="B183" s="3"/>
      <c r="C183" s="3"/>
      <c r="D183" s="12"/>
      <c r="E183" s="10"/>
      <c r="F183" s="10"/>
      <c r="G183" s="10"/>
      <c r="H183" s="10"/>
      <c r="I183" s="586"/>
      <c r="J183" s="587"/>
      <c r="K183" s="587"/>
      <c r="L183" s="587"/>
      <c r="M183" s="587"/>
      <c r="N183" s="587"/>
      <c r="O183" s="587"/>
      <c r="P183" s="587"/>
      <c r="Q183" s="587"/>
      <c r="R183" s="587"/>
      <c r="S183" s="587"/>
      <c r="T183" s="587"/>
      <c r="U183" s="588"/>
      <c r="V183" s="586"/>
      <c r="W183" s="587"/>
      <c r="X183" s="587"/>
      <c r="Y183" s="587"/>
      <c r="Z183" s="587"/>
      <c r="AA183" s="587"/>
      <c r="AB183" s="587"/>
      <c r="AC183" s="587"/>
      <c r="AD183" s="587"/>
      <c r="AE183" s="587"/>
      <c r="AF183" s="587"/>
      <c r="AG183" s="587"/>
      <c r="AH183" s="588"/>
      <c r="AI183" s="571"/>
      <c r="AJ183" s="572"/>
      <c r="AK183" s="572"/>
      <c r="AL183" s="572"/>
      <c r="AM183" s="572"/>
      <c r="AN183" s="572"/>
      <c r="AO183" s="572"/>
      <c r="AP183" s="572"/>
      <c r="AQ183" s="572"/>
      <c r="AR183" s="572"/>
      <c r="AS183" s="572"/>
      <c r="AT183" s="572"/>
      <c r="AU183" s="573"/>
      <c r="AV183" s="586"/>
      <c r="AW183" s="587"/>
      <c r="AX183" s="587"/>
      <c r="AY183" s="587"/>
      <c r="AZ183" s="587"/>
      <c r="BA183" s="587"/>
      <c r="BB183" s="587"/>
      <c r="BC183" s="587"/>
      <c r="BD183" s="587"/>
      <c r="BE183" s="587"/>
      <c r="BF183" s="587"/>
      <c r="BG183" s="587"/>
      <c r="BH183" s="588"/>
      <c r="BI183" s="586"/>
      <c r="BJ183" s="587"/>
      <c r="BK183" s="587"/>
      <c r="BL183" s="587"/>
      <c r="BM183" s="587"/>
      <c r="BN183" s="587"/>
      <c r="BO183" s="587"/>
      <c r="BP183" s="587"/>
      <c r="BQ183" s="587"/>
      <c r="BR183" s="587"/>
      <c r="BS183" s="587"/>
      <c r="BT183" s="587"/>
      <c r="BU183" s="588"/>
      <c r="BV183" s="565" t="str">
        <f ca="1">IF(FL1=0,"",FW183)</f>
        <v/>
      </c>
      <c r="BW183" s="566"/>
      <c r="BX183" s="566"/>
      <c r="BY183" s="566"/>
      <c r="BZ183" s="566"/>
      <c r="CA183" s="566"/>
      <c r="CB183" s="566"/>
      <c r="CC183" s="566"/>
      <c r="CD183" s="566"/>
      <c r="CE183" s="566"/>
      <c r="CF183" s="566"/>
      <c r="CG183" s="566"/>
      <c r="CH183" s="567"/>
      <c r="CI183" s="586"/>
      <c r="CJ183" s="587"/>
      <c r="CK183" s="587"/>
      <c r="CL183" s="587"/>
      <c r="CM183" s="587"/>
      <c r="CN183" s="587"/>
      <c r="CO183" s="587"/>
      <c r="CP183" s="587"/>
      <c r="CQ183" s="587"/>
      <c r="CR183" s="587"/>
      <c r="CS183" s="587"/>
      <c r="CT183" s="587"/>
      <c r="CU183" s="588"/>
      <c r="CV183" s="586"/>
      <c r="CW183" s="587"/>
      <c r="CX183" s="587"/>
      <c r="CY183" s="587"/>
      <c r="CZ183" s="587"/>
      <c r="DA183" s="587"/>
      <c r="DB183" s="587"/>
      <c r="DC183" s="587"/>
      <c r="DD183" s="587"/>
      <c r="DE183" s="587"/>
      <c r="DF183" s="587"/>
      <c r="DG183" s="587"/>
      <c r="DH183" s="588"/>
      <c r="DI183" s="571"/>
      <c r="DJ183" s="572"/>
      <c r="DK183" s="572"/>
      <c r="DL183" s="572"/>
      <c r="DM183" s="572"/>
      <c r="DN183" s="572"/>
      <c r="DO183" s="572"/>
      <c r="DP183" s="572"/>
      <c r="DQ183" s="572"/>
      <c r="DR183" s="572"/>
      <c r="DS183" s="572"/>
      <c r="DT183" s="572"/>
      <c r="DU183" s="573"/>
      <c r="DV183" s="586"/>
      <c r="DW183" s="587"/>
      <c r="DX183" s="587"/>
      <c r="DY183" s="587"/>
      <c r="DZ183" s="587"/>
      <c r="EA183" s="587"/>
      <c r="EB183" s="587"/>
      <c r="EC183" s="587"/>
      <c r="ED183" s="587"/>
      <c r="EE183" s="587"/>
      <c r="EF183" s="587"/>
      <c r="EG183" s="587"/>
      <c r="EH183" s="588"/>
      <c r="EI183" s="79"/>
      <c r="EJ183" s="79"/>
      <c r="EK183" s="288"/>
      <c r="EL183" s="288"/>
      <c r="EM183" s="288"/>
      <c r="EN183" s="288"/>
      <c r="EO183" s="288"/>
      <c r="EP183" s="288"/>
      <c r="EQ183" s="288"/>
      <c r="ER183" s="288"/>
      <c r="ES183" s="288"/>
      <c r="ET183" s="288"/>
      <c r="EU183" s="288"/>
      <c r="EV183" s="288"/>
      <c r="EW183" s="288"/>
      <c r="EX183" s="288"/>
      <c r="EY183" s="288"/>
      <c r="EZ183" s="288"/>
      <c r="FA183" s="288"/>
      <c r="FB183" s="288"/>
      <c r="FC183" s="288"/>
      <c r="FD183" s="288"/>
      <c r="FE183" s="288"/>
      <c r="FF183" s="288"/>
      <c r="FG183" s="288"/>
      <c r="FH183" s="288"/>
      <c r="FI183" s="89"/>
      <c r="FJ183" s="96"/>
      <c r="FK183" s="96"/>
      <c r="FL183" s="96"/>
      <c r="FM183" s="116"/>
      <c r="FN183" s="242">
        <f ca="1">IF(AND(AI183&gt;FT183-0.02,AI183&lt;FT183+0.02),1,0)</f>
        <v>0</v>
      </c>
      <c r="FO183" s="242">
        <f ca="1">IF(AND(BV183&gt;FW183-0.02,BV183&lt;FW183+0.02),1,0)</f>
        <v>0</v>
      </c>
      <c r="FP183" s="242">
        <f ca="1">IF(AND(DI183&gt;GB183-0.02,DI183&lt;GB183+0.02),1,0)</f>
        <v>0</v>
      </c>
      <c r="FQ183" s="96"/>
      <c r="FR183" s="593"/>
      <c r="FS183" s="532"/>
      <c r="FT183" s="592">
        <f ca="1">IF(FK1=0,"",ROUND((FS184-FS181)/(FR184-FR181),2))</f>
        <v>18.8</v>
      </c>
      <c r="FU183" s="593"/>
      <c r="FV183" s="532"/>
      <c r="FW183" s="592">
        <f ca="1">ROUND((FV184-FV181)/(FR184-FR181),2)</f>
        <v>8.3000000000000007</v>
      </c>
      <c r="FX183" s="593"/>
      <c r="FY183" s="259"/>
      <c r="FZ183" s="259"/>
      <c r="GA183" s="259"/>
      <c r="GB183" s="259">
        <f ca="1">IF(FK1=0,"",ROUND((GA184-GA181)/(FR184-FR181),2))</f>
        <v>10.5</v>
      </c>
      <c r="GC183" s="377"/>
      <c r="GD183" s="377"/>
      <c r="GE183" s="377"/>
      <c r="GF183" s="377"/>
      <c r="GG183" s="377"/>
      <c r="GH183" s="377"/>
      <c r="GI183" s="377"/>
      <c r="GJ183" s="377"/>
      <c r="GK183" s="377"/>
      <c r="GL183" s="377"/>
      <c r="GM183" s="377"/>
      <c r="GN183" s="377"/>
      <c r="GO183" s="49"/>
      <c r="GP183" s="49"/>
      <c r="GQ183" s="49"/>
      <c r="GR183" s="49"/>
      <c r="GS183" s="49"/>
      <c r="GT183" s="49"/>
      <c r="GU183" s="49"/>
      <c r="GV183" s="49"/>
      <c r="GW183" s="66"/>
      <c r="GX183" s="66"/>
      <c r="GY183" s="66"/>
      <c r="GZ183" s="66"/>
      <c r="HA183" s="66"/>
      <c r="HB183" s="66"/>
      <c r="HC183" s="66"/>
      <c r="HD183" s="66"/>
      <c r="HE183" s="66"/>
      <c r="HF183" s="66"/>
      <c r="HG183" s="66"/>
      <c r="HH183" s="66"/>
      <c r="HI183" s="66"/>
      <c r="HJ183" s="66"/>
      <c r="HK183" s="66"/>
      <c r="HL183" s="66"/>
      <c r="HM183" s="66"/>
      <c r="HN183" s="66"/>
      <c r="HO183" s="66"/>
      <c r="HP183" s="66"/>
      <c r="HQ183" s="66"/>
      <c r="HR183" s="66"/>
      <c r="HS183" s="66"/>
      <c r="HT183" s="66"/>
      <c r="HU183" s="66"/>
      <c r="HV183" s="66"/>
      <c r="HW183" s="66"/>
      <c r="HX183" s="66"/>
      <c r="HY183" s="66"/>
      <c r="HZ183" s="66"/>
      <c r="IA183" s="66"/>
    </row>
    <row r="184" spans="1:235" customFormat="1" ht="3.75" customHeight="1">
      <c r="A184" s="1"/>
      <c r="B184" s="3"/>
      <c r="C184" s="3"/>
      <c r="D184" s="12"/>
      <c r="E184" s="10"/>
      <c r="F184" s="10"/>
      <c r="G184" s="10"/>
      <c r="H184" s="10"/>
      <c r="I184" s="565" t="str">
        <f ca="1">IF(FL1=0,"",FR184)</f>
        <v/>
      </c>
      <c r="J184" s="581"/>
      <c r="K184" s="581"/>
      <c r="L184" s="581"/>
      <c r="M184" s="581"/>
      <c r="N184" s="581"/>
      <c r="O184" s="581"/>
      <c r="P184" s="581"/>
      <c r="Q184" s="581"/>
      <c r="R184" s="581"/>
      <c r="S184" s="581"/>
      <c r="T184" s="581"/>
      <c r="U184" s="582"/>
      <c r="V184" s="571"/>
      <c r="W184" s="572"/>
      <c r="X184" s="572"/>
      <c r="Y184" s="572"/>
      <c r="Z184" s="572"/>
      <c r="AA184" s="572"/>
      <c r="AB184" s="572"/>
      <c r="AC184" s="572"/>
      <c r="AD184" s="572"/>
      <c r="AE184" s="572"/>
      <c r="AF184" s="572"/>
      <c r="AG184" s="572"/>
      <c r="AH184" s="573"/>
      <c r="AI184" s="574"/>
      <c r="AJ184" s="575"/>
      <c r="AK184" s="575"/>
      <c r="AL184" s="575"/>
      <c r="AM184" s="575"/>
      <c r="AN184" s="575"/>
      <c r="AO184" s="575"/>
      <c r="AP184" s="575"/>
      <c r="AQ184" s="575"/>
      <c r="AR184" s="575"/>
      <c r="AS184" s="575"/>
      <c r="AT184" s="575"/>
      <c r="AU184" s="576"/>
      <c r="AV184" s="565" t="str">
        <f ca="1">IF(FL1=0,"",FU184)</f>
        <v/>
      </c>
      <c r="AW184" s="581"/>
      <c r="AX184" s="581"/>
      <c r="AY184" s="581"/>
      <c r="AZ184" s="581"/>
      <c r="BA184" s="581"/>
      <c r="BB184" s="581"/>
      <c r="BC184" s="581"/>
      <c r="BD184" s="581"/>
      <c r="BE184" s="581"/>
      <c r="BF184" s="581"/>
      <c r="BG184" s="581"/>
      <c r="BH184" s="582"/>
      <c r="BI184" s="571"/>
      <c r="BJ184" s="572"/>
      <c r="BK184" s="572"/>
      <c r="BL184" s="572"/>
      <c r="BM184" s="572"/>
      <c r="BN184" s="572"/>
      <c r="BO184" s="572"/>
      <c r="BP184" s="572"/>
      <c r="BQ184" s="572"/>
      <c r="BR184" s="572"/>
      <c r="BS184" s="572"/>
      <c r="BT184" s="572"/>
      <c r="BU184" s="573"/>
      <c r="BV184" s="589"/>
      <c r="BW184" s="590"/>
      <c r="BX184" s="590"/>
      <c r="BY184" s="590"/>
      <c r="BZ184" s="590"/>
      <c r="CA184" s="590"/>
      <c r="CB184" s="590"/>
      <c r="CC184" s="590"/>
      <c r="CD184" s="590"/>
      <c r="CE184" s="590"/>
      <c r="CF184" s="590"/>
      <c r="CG184" s="590"/>
      <c r="CH184" s="591"/>
      <c r="CI184" s="571"/>
      <c r="CJ184" s="572"/>
      <c r="CK184" s="572"/>
      <c r="CL184" s="572"/>
      <c r="CM184" s="572"/>
      <c r="CN184" s="572"/>
      <c r="CO184" s="572"/>
      <c r="CP184" s="572"/>
      <c r="CQ184" s="572"/>
      <c r="CR184" s="572"/>
      <c r="CS184" s="572"/>
      <c r="CT184" s="572"/>
      <c r="CU184" s="573"/>
      <c r="CV184" s="571"/>
      <c r="CW184" s="572"/>
      <c r="CX184" s="572"/>
      <c r="CY184" s="572"/>
      <c r="CZ184" s="572"/>
      <c r="DA184" s="572"/>
      <c r="DB184" s="572"/>
      <c r="DC184" s="572"/>
      <c r="DD184" s="572"/>
      <c r="DE184" s="572"/>
      <c r="DF184" s="572"/>
      <c r="DG184" s="572"/>
      <c r="DH184" s="573"/>
      <c r="DI184" s="574"/>
      <c r="DJ184" s="575"/>
      <c r="DK184" s="575"/>
      <c r="DL184" s="575"/>
      <c r="DM184" s="575"/>
      <c r="DN184" s="575"/>
      <c r="DO184" s="575"/>
      <c r="DP184" s="575"/>
      <c r="DQ184" s="575"/>
      <c r="DR184" s="575"/>
      <c r="DS184" s="575"/>
      <c r="DT184" s="575"/>
      <c r="DU184" s="576"/>
      <c r="DV184" s="571"/>
      <c r="DW184" s="572"/>
      <c r="DX184" s="572"/>
      <c r="DY184" s="572"/>
      <c r="DZ184" s="572"/>
      <c r="EA184" s="572"/>
      <c r="EB184" s="572"/>
      <c r="EC184" s="572"/>
      <c r="ED184" s="572"/>
      <c r="EE184" s="572"/>
      <c r="EF184" s="572"/>
      <c r="EG184" s="572"/>
      <c r="EH184" s="573"/>
      <c r="EI184" s="79"/>
      <c r="EJ184" s="79"/>
      <c r="EK184" s="288"/>
      <c r="EL184" s="288"/>
      <c r="EM184" s="288"/>
      <c r="EN184" s="288"/>
      <c r="EO184" s="288"/>
      <c r="EP184" s="288"/>
      <c r="EQ184" s="288"/>
      <c r="ER184" s="288"/>
      <c r="ES184" s="288"/>
      <c r="ET184" s="288"/>
      <c r="EU184" s="288"/>
      <c r="EV184" s="288"/>
      <c r="EW184" s="288"/>
      <c r="EX184" s="288"/>
      <c r="EY184" s="288"/>
      <c r="EZ184" s="288"/>
      <c r="FA184" s="288"/>
      <c r="FB184" s="288"/>
      <c r="FC184" s="288"/>
      <c r="FD184" s="288"/>
      <c r="FE184" s="288"/>
      <c r="FF184" s="288"/>
      <c r="FG184" s="288"/>
      <c r="FH184" s="288"/>
      <c r="FI184" s="141"/>
      <c r="FJ184" s="96"/>
      <c r="FK184" s="96"/>
      <c r="FL184" s="96"/>
      <c r="FM184" s="116"/>
      <c r="FN184" s="85"/>
      <c r="FO184" s="85"/>
      <c r="FP184" s="85"/>
      <c r="FQ184" s="96"/>
      <c r="FR184" s="592">
        <f ca="1">ROUND(0.47*FT176,0)</f>
        <v>193</v>
      </c>
      <c r="FS184" s="592">
        <f ca="1">IF(FK1=0,"",ROUND(-FV176*FR184^2+FU176*FR184,2))</f>
        <v>17910.400000000001</v>
      </c>
      <c r="FT184" s="592"/>
      <c r="FU184" s="592">
        <f ca="1">ROUND(FS184/FR184,2)</f>
        <v>92.8</v>
      </c>
      <c r="FV184" s="592">
        <f ca="1">IF(FK1=0,"",ROUND(FR176*FR184+FS176,2))</f>
        <v>7601.9</v>
      </c>
      <c r="FW184" s="592"/>
      <c r="FX184" s="592">
        <f ca="1">IF(FK1=0,"",ROUND(FV184/FR184,2))</f>
        <v>39.39</v>
      </c>
      <c r="FY184" s="259">
        <f ca="1">ROUND(FR176*FR184,2)</f>
        <v>1601.9</v>
      </c>
      <c r="FZ184" s="259">
        <f ca="1">ROUND(FR176,2)</f>
        <v>8.3000000000000007</v>
      </c>
      <c r="GA184" s="259">
        <f ca="1">IF(FK1=0,"",ROUND(FS184-FV184,2))</f>
        <v>10308.5</v>
      </c>
      <c r="GB184" s="259"/>
      <c r="GC184" s="377">
        <f ca="1">IF(FK1=0,"",ROUND(GA184/FR184,2))</f>
        <v>53.41</v>
      </c>
      <c r="GD184" s="377"/>
      <c r="GE184" s="377"/>
      <c r="GF184" s="377"/>
      <c r="GG184" s="377"/>
      <c r="GH184" s="377"/>
      <c r="GI184" s="377"/>
      <c r="GJ184" s="377"/>
      <c r="GK184" s="377"/>
      <c r="GL184" s="377"/>
      <c r="GM184" s="377"/>
      <c r="GN184" s="377"/>
      <c r="GO184" s="49"/>
      <c r="GP184" s="49"/>
      <c r="GQ184" s="49"/>
      <c r="GR184" s="49"/>
      <c r="GS184" s="49"/>
      <c r="GT184" s="49"/>
      <c r="GU184" s="49"/>
      <c r="GV184" s="49"/>
      <c r="GW184" s="66"/>
      <c r="GX184" s="66"/>
      <c r="GY184" s="66"/>
      <c r="GZ184" s="66"/>
      <c r="HA184" s="66"/>
      <c r="HB184" s="66"/>
      <c r="HC184" s="66"/>
      <c r="HD184" s="66"/>
      <c r="HE184" s="66"/>
      <c r="HF184" s="66"/>
      <c r="HG184" s="66"/>
      <c r="HH184" s="66"/>
      <c r="HI184" s="66"/>
      <c r="HJ184" s="66"/>
      <c r="HK184" s="66"/>
      <c r="HL184" s="66"/>
      <c r="HM184" s="66"/>
      <c r="HN184" s="66"/>
      <c r="HO184" s="66"/>
      <c r="HP184" s="66"/>
      <c r="HQ184" s="66"/>
      <c r="HR184" s="66"/>
      <c r="HS184" s="66"/>
      <c r="HT184" s="66"/>
      <c r="HU184" s="66"/>
      <c r="HV184" s="66"/>
      <c r="HW184" s="66"/>
      <c r="HX184" s="66"/>
      <c r="HY184" s="66"/>
      <c r="HZ184" s="66"/>
      <c r="IA184" s="66"/>
    </row>
    <row r="185" spans="1:235" customFormat="1" ht="7.5" customHeight="1" thickBot="1">
      <c r="A185" s="1"/>
      <c r="B185" s="3"/>
      <c r="C185" s="3"/>
      <c r="D185" s="12"/>
      <c r="E185" s="10"/>
      <c r="F185" s="10"/>
      <c r="G185" s="10"/>
      <c r="H185" s="10"/>
      <c r="I185" s="583"/>
      <c r="J185" s="584"/>
      <c r="K185" s="584"/>
      <c r="L185" s="584"/>
      <c r="M185" s="584"/>
      <c r="N185" s="584"/>
      <c r="O185" s="584"/>
      <c r="P185" s="584"/>
      <c r="Q185" s="584"/>
      <c r="R185" s="584"/>
      <c r="S185" s="584"/>
      <c r="T185" s="584"/>
      <c r="U185" s="585"/>
      <c r="V185" s="574"/>
      <c r="W185" s="575"/>
      <c r="X185" s="575"/>
      <c r="Y185" s="575"/>
      <c r="Z185" s="575"/>
      <c r="AA185" s="575"/>
      <c r="AB185" s="575"/>
      <c r="AC185" s="575"/>
      <c r="AD185" s="575"/>
      <c r="AE185" s="575"/>
      <c r="AF185" s="575"/>
      <c r="AG185" s="575"/>
      <c r="AH185" s="576"/>
      <c r="AI185" s="577"/>
      <c r="AJ185" s="578"/>
      <c r="AK185" s="578"/>
      <c r="AL185" s="578"/>
      <c r="AM185" s="578"/>
      <c r="AN185" s="578"/>
      <c r="AO185" s="578"/>
      <c r="AP185" s="578"/>
      <c r="AQ185" s="578"/>
      <c r="AR185" s="578"/>
      <c r="AS185" s="578"/>
      <c r="AT185" s="578"/>
      <c r="AU185" s="579"/>
      <c r="AV185" s="583"/>
      <c r="AW185" s="584"/>
      <c r="AX185" s="584"/>
      <c r="AY185" s="584"/>
      <c r="AZ185" s="584"/>
      <c r="BA185" s="584"/>
      <c r="BB185" s="584"/>
      <c r="BC185" s="584"/>
      <c r="BD185" s="584"/>
      <c r="BE185" s="584"/>
      <c r="BF185" s="584"/>
      <c r="BG185" s="584"/>
      <c r="BH185" s="585"/>
      <c r="BI185" s="574"/>
      <c r="BJ185" s="575"/>
      <c r="BK185" s="575"/>
      <c r="BL185" s="575"/>
      <c r="BM185" s="575"/>
      <c r="BN185" s="575"/>
      <c r="BO185" s="575"/>
      <c r="BP185" s="575"/>
      <c r="BQ185" s="575"/>
      <c r="BR185" s="575"/>
      <c r="BS185" s="575"/>
      <c r="BT185" s="575"/>
      <c r="BU185" s="576"/>
      <c r="BV185" s="568"/>
      <c r="BW185" s="569"/>
      <c r="BX185" s="569"/>
      <c r="BY185" s="569"/>
      <c r="BZ185" s="569"/>
      <c r="CA185" s="569"/>
      <c r="CB185" s="569"/>
      <c r="CC185" s="569"/>
      <c r="CD185" s="569"/>
      <c r="CE185" s="569"/>
      <c r="CF185" s="569"/>
      <c r="CG185" s="569"/>
      <c r="CH185" s="570"/>
      <c r="CI185" s="574"/>
      <c r="CJ185" s="575"/>
      <c r="CK185" s="575"/>
      <c r="CL185" s="575"/>
      <c r="CM185" s="575"/>
      <c r="CN185" s="575"/>
      <c r="CO185" s="575"/>
      <c r="CP185" s="575"/>
      <c r="CQ185" s="575"/>
      <c r="CR185" s="575"/>
      <c r="CS185" s="575"/>
      <c r="CT185" s="575"/>
      <c r="CU185" s="576"/>
      <c r="CV185" s="574"/>
      <c r="CW185" s="575"/>
      <c r="CX185" s="575"/>
      <c r="CY185" s="575"/>
      <c r="CZ185" s="575"/>
      <c r="DA185" s="575"/>
      <c r="DB185" s="575"/>
      <c r="DC185" s="575"/>
      <c r="DD185" s="575"/>
      <c r="DE185" s="575"/>
      <c r="DF185" s="575"/>
      <c r="DG185" s="575"/>
      <c r="DH185" s="576"/>
      <c r="DI185" s="577"/>
      <c r="DJ185" s="578"/>
      <c r="DK185" s="578"/>
      <c r="DL185" s="578"/>
      <c r="DM185" s="578"/>
      <c r="DN185" s="578"/>
      <c r="DO185" s="578"/>
      <c r="DP185" s="578"/>
      <c r="DQ185" s="578"/>
      <c r="DR185" s="578"/>
      <c r="DS185" s="578"/>
      <c r="DT185" s="578"/>
      <c r="DU185" s="579"/>
      <c r="DV185" s="574"/>
      <c r="DW185" s="575"/>
      <c r="DX185" s="575"/>
      <c r="DY185" s="575"/>
      <c r="DZ185" s="575"/>
      <c r="EA185" s="575"/>
      <c r="EB185" s="575"/>
      <c r="EC185" s="575"/>
      <c r="ED185" s="575"/>
      <c r="EE185" s="575"/>
      <c r="EF185" s="575"/>
      <c r="EG185" s="575"/>
      <c r="EH185" s="576"/>
      <c r="EI185" s="79"/>
      <c r="EJ185" s="79"/>
      <c r="EK185" s="141"/>
      <c r="EL185" s="141"/>
      <c r="EM185" s="268"/>
      <c r="EN185" s="141"/>
      <c r="EO185" s="141"/>
      <c r="EP185" s="141"/>
      <c r="EQ185" s="141"/>
      <c r="ER185" s="141"/>
      <c r="ES185" s="141"/>
      <c r="ET185" s="141"/>
      <c r="EU185" s="141"/>
      <c r="EV185" s="141"/>
      <c r="EW185" s="141"/>
      <c r="EX185" s="141"/>
      <c r="EY185" s="141"/>
      <c r="EZ185" s="141"/>
      <c r="FA185" s="141"/>
      <c r="FB185" s="141"/>
      <c r="FC185" s="141"/>
      <c r="FD185" s="141"/>
      <c r="FE185" s="141"/>
      <c r="FF185" s="141"/>
      <c r="FG185" s="141"/>
      <c r="FH185" s="141"/>
      <c r="FI185" s="141"/>
      <c r="FJ185" s="96"/>
      <c r="FK185" s="96"/>
      <c r="FL185" s="96"/>
      <c r="FM185" s="116"/>
      <c r="FN185" s="85"/>
      <c r="FO185" s="85"/>
      <c r="FP185" s="85"/>
      <c r="FQ185" s="96"/>
      <c r="FR185" s="593"/>
      <c r="FS185" s="532"/>
      <c r="FT185" s="592"/>
      <c r="FU185" s="593"/>
      <c r="FV185" s="532"/>
      <c r="FW185" s="592"/>
      <c r="FX185" s="593"/>
      <c r="FY185" s="259"/>
      <c r="FZ185" s="259"/>
      <c r="GA185" s="259"/>
      <c r="GB185" s="259"/>
      <c r="GC185" s="377"/>
      <c r="GD185" s="377"/>
      <c r="GE185" s="377"/>
      <c r="GF185" s="377"/>
      <c r="GG185" s="377"/>
      <c r="GH185" s="377"/>
      <c r="GI185" s="377"/>
      <c r="GJ185" s="377"/>
      <c r="GK185" s="377"/>
      <c r="GL185" s="377"/>
      <c r="GM185" s="377"/>
      <c r="GN185" s="377"/>
      <c r="GO185" s="49"/>
      <c r="GP185" s="49"/>
      <c r="GQ185" s="49"/>
      <c r="GR185" s="49"/>
      <c r="GS185" s="49"/>
      <c r="GT185" s="49"/>
      <c r="GU185" s="49"/>
      <c r="GV185" s="49"/>
      <c r="GW185" s="66"/>
      <c r="GX185" s="66"/>
      <c r="GY185" s="66"/>
      <c r="GZ185" s="66"/>
      <c r="HA185" s="66"/>
      <c r="HB185" s="66"/>
      <c r="HC185" s="66"/>
      <c r="HD185" s="66"/>
      <c r="HE185" s="66"/>
      <c r="HF185" s="66"/>
      <c r="HG185" s="66"/>
      <c r="HH185" s="66"/>
      <c r="HI185" s="66"/>
      <c r="HJ185" s="66"/>
      <c r="HK185" s="66"/>
      <c r="HL185" s="66"/>
      <c r="HM185" s="66"/>
      <c r="HN185" s="66"/>
      <c r="HO185" s="66"/>
      <c r="HP185" s="66"/>
      <c r="HQ185" s="66"/>
      <c r="HR185" s="66"/>
      <c r="HS185" s="66"/>
      <c r="HT185" s="66"/>
      <c r="HU185" s="66"/>
      <c r="HV185" s="66"/>
      <c r="HW185" s="66"/>
      <c r="HX185" s="66"/>
      <c r="HY185" s="66"/>
      <c r="HZ185" s="66"/>
      <c r="IA185" s="66"/>
    </row>
    <row r="186" spans="1:235" customFormat="1" ht="11.25" customHeight="1" thickBot="1">
      <c r="A186" s="1"/>
      <c r="B186" s="3"/>
      <c r="C186" s="3"/>
      <c r="D186" s="12"/>
      <c r="E186" s="10"/>
      <c r="F186" s="10"/>
      <c r="G186" s="10"/>
      <c r="H186" s="10"/>
      <c r="I186" s="586"/>
      <c r="J186" s="587"/>
      <c r="K186" s="587"/>
      <c r="L186" s="587"/>
      <c r="M186" s="587"/>
      <c r="N186" s="587"/>
      <c r="O186" s="587"/>
      <c r="P186" s="587"/>
      <c r="Q186" s="587"/>
      <c r="R186" s="587"/>
      <c r="S186" s="587"/>
      <c r="T186" s="587"/>
      <c r="U186" s="588"/>
      <c r="V186" s="577"/>
      <c r="W186" s="578"/>
      <c r="X186" s="578"/>
      <c r="Y186" s="578"/>
      <c r="Z186" s="578"/>
      <c r="AA186" s="578"/>
      <c r="AB186" s="578"/>
      <c r="AC186" s="578"/>
      <c r="AD186" s="578"/>
      <c r="AE186" s="578"/>
      <c r="AF186" s="578"/>
      <c r="AG186" s="578"/>
      <c r="AH186" s="579"/>
      <c r="AI186" s="495"/>
      <c r="AJ186" s="495"/>
      <c r="AK186" s="495"/>
      <c r="AL186" s="495"/>
      <c r="AM186" s="495"/>
      <c r="AN186" s="495"/>
      <c r="AO186" s="495"/>
      <c r="AP186" s="495"/>
      <c r="AQ186" s="495"/>
      <c r="AR186" s="495"/>
      <c r="AS186" s="495"/>
      <c r="AT186" s="495"/>
      <c r="AU186" s="495"/>
      <c r="AV186" s="586"/>
      <c r="AW186" s="587"/>
      <c r="AX186" s="587"/>
      <c r="AY186" s="587"/>
      <c r="AZ186" s="587"/>
      <c r="BA186" s="587"/>
      <c r="BB186" s="587"/>
      <c r="BC186" s="587"/>
      <c r="BD186" s="587"/>
      <c r="BE186" s="587"/>
      <c r="BF186" s="587"/>
      <c r="BG186" s="587"/>
      <c r="BH186" s="588"/>
      <c r="BI186" s="577"/>
      <c r="BJ186" s="578"/>
      <c r="BK186" s="578"/>
      <c r="BL186" s="578"/>
      <c r="BM186" s="578"/>
      <c r="BN186" s="578"/>
      <c r="BO186" s="578"/>
      <c r="BP186" s="578"/>
      <c r="BQ186" s="578"/>
      <c r="BR186" s="578"/>
      <c r="BS186" s="578"/>
      <c r="BT186" s="578"/>
      <c r="BU186" s="579"/>
      <c r="BV186" s="496"/>
      <c r="BW186" s="496"/>
      <c r="BX186" s="496"/>
      <c r="BY186" s="496"/>
      <c r="BZ186" s="496"/>
      <c r="CA186" s="495"/>
      <c r="CB186" s="495"/>
      <c r="CC186" s="495"/>
      <c r="CD186" s="495"/>
      <c r="CE186" s="495"/>
      <c r="CF186" s="495"/>
      <c r="CG186" s="495"/>
      <c r="CH186" s="495"/>
      <c r="CI186" s="577"/>
      <c r="CJ186" s="578"/>
      <c r="CK186" s="578"/>
      <c r="CL186" s="578"/>
      <c r="CM186" s="578"/>
      <c r="CN186" s="578"/>
      <c r="CO186" s="578"/>
      <c r="CP186" s="578"/>
      <c r="CQ186" s="578"/>
      <c r="CR186" s="578"/>
      <c r="CS186" s="578"/>
      <c r="CT186" s="578"/>
      <c r="CU186" s="579"/>
      <c r="CV186" s="577"/>
      <c r="CW186" s="578"/>
      <c r="CX186" s="578"/>
      <c r="CY186" s="578"/>
      <c r="CZ186" s="578"/>
      <c r="DA186" s="578"/>
      <c r="DB186" s="578"/>
      <c r="DC186" s="578"/>
      <c r="DD186" s="578"/>
      <c r="DE186" s="578"/>
      <c r="DF186" s="578"/>
      <c r="DG186" s="578"/>
      <c r="DH186" s="579"/>
      <c r="DI186" s="496"/>
      <c r="DJ186" s="496"/>
      <c r="DK186" s="496"/>
      <c r="DL186" s="496"/>
      <c r="DM186" s="496"/>
      <c r="DN186" s="496"/>
      <c r="DO186" s="496"/>
      <c r="DP186" s="496"/>
      <c r="DQ186" s="496"/>
      <c r="DR186" s="496"/>
      <c r="DS186" s="496"/>
      <c r="DT186" s="496"/>
      <c r="DU186" s="496"/>
      <c r="DV186" s="577"/>
      <c r="DW186" s="578"/>
      <c r="DX186" s="578"/>
      <c r="DY186" s="578"/>
      <c r="DZ186" s="578"/>
      <c r="EA186" s="578"/>
      <c r="EB186" s="578"/>
      <c r="EC186" s="578"/>
      <c r="ED186" s="578"/>
      <c r="EE186" s="578"/>
      <c r="EF186" s="578"/>
      <c r="EG186" s="578"/>
      <c r="EH186" s="579"/>
      <c r="EI186" s="79"/>
      <c r="EJ186" s="79"/>
      <c r="EK186" s="141"/>
      <c r="EL186" s="141"/>
      <c r="EM186" s="141"/>
      <c r="EN186" s="141"/>
      <c r="EO186" s="141"/>
      <c r="EP186" s="141"/>
      <c r="EQ186" s="141"/>
      <c r="ER186" s="141"/>
      <c r="ES186" s="141"/>
      <c r="ET186" s="141"/>
      <c r="EU186" s="141"/>
      <c r="EV186" s="141"/>
      <c r="EW186" s="141"/>
      <c r="EX186" s="141"/>
      <c r="EY186" s="141"/>
      <c r="EZ186" s="141"/>
      <c r="FA186" s="141"/>
      <c r="FB186" s="141"/>
      <c r="FC186" s="141"/>
      <c r="FD186" s="141"/>
      <c r="FE186" s="141"/>
      <c r="FF186" s="141"/>
      <c r="FG186" s="141"/>
      <c r="FH186" s="141"/>
      <c r="FI186" s="141"/>
      <c r="FJ186" s="96">
        <f ca="1">IF(FN180+FN183+FN186+FO180+FO183+FO186+FP180+FP183+FP186=9,1,IF(FN180+FN183+FN186+FO180+FO183+FO186+FP180+FP183+FP186=8,4/5,IF(FN180+FN183+FN186+FO180+FO183+FO186+FP180+FP183+FP186=7,3/5,IF(FN180+FN183+FN186+FO180+FO183+FO186+FP180+FP183+FP186=6,2/5,IF(FN180+FN183+FN186+FO180+FO183+FO186+FP180+FP183+FP186=5,1/5,0)))))</f>
        <v>0</v>
      </c>
      <c r="FK186" s="96"/>
      <c r="FL186" s="96">
        <f ca="1">IF(programma!B1="X",1,IF(FL1=0,0,IF(FN180+FN183+FN186+FO180+FO183+FO186+FP180+FP183+FP186=9,1,0)))</f>
        <v>0</v>
      </c>
      <c r="FM186" s="116"/>
      <c r="FN186" s="242">
        <f ca="1">IF(AND(AV184&gt;FU184-0.02,AV184&lt;FU184+0.02),1,0)</f>
        <v>0</v>
      </c>
      <c r="FO186" s="242">
        <f ca="1">IF(AND(CI184&gt;FX184-0.02,CI184&lt;FX184+0.02),1,0)</f>
        <v>0</v>
      </c>
      <c r="FP186" s="242">
        <f ca="1">IF(AND(DV184&gt;GC184-0.02,DV184&lt;GC184+0.02),1,0)</f>
        <v>0</v>
      </c>
      <c r="FQ186" s="96"/>
      <c r="FR186" s="593"/>
      <c r="FS186" s="532"/>
      <c r="FT186" s="48"/>
      <c r="FU186" s="593"/>
      <c r="FV186" s="532"/>
      <c r="FW186" s="48"/>
      <c r="FX186" s="593"/>
      <c r="FY186" s="259"/>
      <c r="FZ186" s="259"/>
      <c r="GA186" s="259"/>
      <c r="GB186" s="259"/>
      <c r="GC186" s="377"/>
      <c r="GD186" s="377"/>
      <c r="GE186" s="377"/>
      <c r="GF186" s="377"/>
      <c r="GG186" s="377"/>
      <c r="GH186" s="377"/>
      <c r="GI186" s="377"/>
      <c r="GJ186" s="377"/>
      <c r="GK186" s="377"/>
      <c r="GL186" s="377"/>
      <c r="GM186" s="377"/>
      <c r="GN186" s="377"/>
      <c r="GO186" s="49"/>
      <c r="GP186" s="49"/>
      <c r="GQ186" s="49"/>
      <c r="GR186" s="49"/>
      <c r="GS186" s="49"/>
      <c r="GT186" s="49"/>
      <c r="GU186" s="49"/>
      <c r="GV186" s="49"/>
      <c r="GW186" s="66"/>
      <c r="GX186" s="66"/>
      <c r="GY186" s="66"/>
      <c r="GZ186" s="66"/>
      <c r="HA186" s="66"/>
      <c r="HB186" s="66"/>
      <c r="HC186" s="66"/>
      <c r="HD186" s="66"/>
      <c r="HE186" s="66"/>
      <c r="HF186" s="66"/>
      <c r="HG186" s="66"/>
      <c r="HH186" s="66"/>
      <c r="HI186" s="66"/>
      <c r="HJ186" s="66"/>
      <c r="HK186" s="66"/>
      <c r="HL186" s="66"/>
      <c r="HM186" s="66"/>
      <c r="HN186" s="66"/>
      <c r="HO186" s="66"/>
      <c r="HP186" s="66"/>
      <c r="HQ186" s="66"/>
      <c r="HR186" s="66"/>
      <c r="HS186" s="66"/>
      <c r="HT186" s="66"/>
      <c r="HU186" s="66"/>
      <c r="HV186" s="66"/>
      <c r="HW186" s="66"/>
      <c r="HX186" s="66"/>
      <c r="HY186" s="66"/>
      <c r="HZ186" s="66"/>
      <c r="IA186" s="66"/>
    </row>
    <row r="187" spans="1:235" ht="16.95" customHeight="1">
      <c r="A187" s="60"/>
      <c r="B187" s="69"/>
      <c r="C187" s="69"/>
      <c r="D187" s="262"/>
      <c r="E187" s="262"/>
      <c r="F187" s="305"/>
      <c r="G187" s="305"/>
      <c r="H187" s="305"/>
      <c r="I187" s="305"/>
      <c r="J187" s="305"/>
      <c r="K187" s="305"/>
      <c r="L187" s="305"/>
      <c r="M187" s="305"/>
      <c r="N187" s="305"/>
      <c r="O187" s="305"/>
      <c r="P187" s="305"/>
      <c r="Q187" s="305"/>
      <c r="R187" s="305"/>
      <c r="S187" s="305"/>
      <c r="T187" s="305"/>
      <c r="U187" s="305"/>
      <c r="V187" s="305"/>
      <c r="W187" s="305"/>
      <c r="X187" s="305"/>
      <c r="Y187" s="289"/>
      <c r="Z187" s="289"/>
      <c r="AA187" s="289"/>
      <c r="AB187" s="289"/>
      <c r="AC187" s="289"/>
      <c r="AD187" s="289"/>
      <c r="AE187" s="289"/>
      <c r="AF187" s="289"/>
      <c r="AG187" s="289"/>
      <c r="AH187" s="289"/>
      <c r="AI187" s="289"/>
      <c r="AJ187" s="289"/>
      <c r="AK187" s="289"/>
      <c r="AL187" s="289"/>
      <c r="AM187" s="289"/>
      <c r="AN187" s="289"/>
      <c r="AO187" s="289"/>
      <c r="AP187" s="289"/>
      <c r="AQ187" s="289"/>
      <c r="AR187" s="289"/>
      <c r="AS187" s="289"/>
      <c r="AT187" s="289"/>
      <c r="AU187" s="289"/>
      <c r="AV187" s="289"/>
      <c r="AW187" s="289"/>
      <c r="AX187" s="289"/>
      <c r="AY187" s="289"/>
      <c r="AZ187" s="289"/>
      <c r="BA187" s="289"/>
      <c r="BB187" s="289"/>
      <c r="BC187" s="289"/>
      <c r="BD187" s="305"/>
      <c r="BE187" s="305"/>
      <c r="BF187" s="305"/>
      <c r="BG187" s="305"/>
      <c r="BH187" s="305"/>
      <c r="BI187" s="305"/>
      <c r="BJ187" s="305"/>
      <c r="BK187" s="305"/>
      <c r="BL187" s="305"/>
      <c r="BM187" s="305"/>
      <c r="BN187" s="305"/>
      <c r="BO187" s="305"/>
      <c r="BP187" s="305"/>
      <c r="BQ187" s="305"/>
      <c r="BR187" s="305"/>
      <c r="BS187" s="305"/>
      <c r="BT187" s="305"/>
      <c r="BU187" s="305"/>
      <c r="BV187" s="305"/>
      <c r="BW187" s="305"/>
      <c r="BX187" s="305"/>
      <c r="BY187" s="305"/>
      <c r="BZ187" s="305"/>
      <c r="CA187" s="305"/>
      <c r="CB187" s="305"/>
      <c r="CC187" s="305"/>
      <c r="CD187" s="305"/>
      <c r="CE187" s="305"/>
      <c r="CF187" s="305"/>
      <c r="CG187" s="305"/>
      <c r="CH187" s="305"/>
      <c r="CI187" s="305"/>
      <c r="CJ187" s="305"/>
      <c r="CK187" s="305"/>
      <c r="CL187" s="305"/>
      <c r="CM187" s="305"/>
      <c r="CN187" s="305"/>
      <c r="CO187" s="305"/>
      <c r="CP187" s="305"/>
      <c r="CQ187" s="305"/>
      <c r="CR187" s="305"/>
      <c r="CS187" s="305"/>
      <c r="CT187" s="305"/>
      <c r="CU187" s="305"/>
      <c r="CV187" s="305"/>
      <c r="CW187" s="305"/>
      <c r="CX187" s="305"/>
      <c r="CY187" s="305"/>
      <c r="CZ187" s="305"/>
      <c r="DA187" s="305"/>
      <c r="DB187" s="305"/>
      <c r="DC187" s="305"/>
      <c r="DD187" s="305"/>
      <c r="DE187" s="305"/>
      <c r="DF187" s="305"/>
      <c r="DG187" s="305"/>
      <c r="DH187" s="305"/>
      <c r="DI187" s="305"/>
      <c r="DJ187" s="305"/>
      <c r="DK187" s="305"/>
      <c r="DL187" s="305"/>
      <c r="DM187" s="305"/>
      <c r="DN187" s="305"/>
      <c r="DO187" s="305"/>
      <c r="DP187" s="305"/>
      <c r="DQ187" s="305"/>
      <c r="DR187" s="305"/>
      <c r="DS187" s="305"/>
      <c r="DT187" s="305"/>
      <c r="DU187" s="305"/>
      <c r="DV187" s="305"/>
      <c r="DW187" s="305"/>
      <c r="DX187" s="305"/>
      <c r="DY187" s="305"/>
      <c r="DZ187" s="305"/>
      <c r="EA187" s="305"/>
      <c r="EB187" s="305"/>
      <c r="EC187" s="305"/>
      <c r="ED187" s="305"/>
      <c r="EE187" s="305"/>
      <c r="EF187" s="305"/>
      <c r="EG187" s="305"/>
      <c r="EH187" s="305"/>
      <c r="EI187" s="305"/>
      <c r="EJ187" s="305"/>
      <c r="EK187" s="305"/>
      <c r="EL187" s="305"/>
      <c r="EM187" s="305"/>
      <c r="EN187" s="305"/>
      <c r="EO187" s="305"/>
      <c r="EP187" s="305"/>
      <c r="EQ187" s="305"/>
      <c r="ER187" s="305"/>
      <c r="ES187" s="305"/>
      <c r="ET187" s="305"/>
      <c r="EU187" s="305"/>
      <c r="EV187" s="89"/>
      <c r="EW187" s="268"/>
      <c r="EX187" s="268"/>
      <c r="EY187" s="268"/>
      <c r="EZ187" s="268"/>
      <c r="FA187" s="268"/>
      <c r="FB187" s="268"/>
      <c r="FC187" s="268"/>
      <c r="FD187" s="268"/>
      <c r="FE187" s="268"/>
      <c r="FF187" s="268"/>
      <c r="FG187" s="268"/>
      <c r="FH187" s="268"/>
      <c r="FI187" s="268"/>
      <c r="FJ187" s="96"/>
      <c r="FK187" s="96"/>
      <c r="FL187" s="96"/>
      <c r="FM187" s="86"/>
      <c r="FN187" s="86"/>
      <c r="FO187" s="86"/>
      <c r="FP187" s="86"/>
      <c r="FQ187" s="86"/>
      <c r="FR187" s="86"/>
      <c r="FS187" s="86"/>
      <c r="FT187" s="86"/>
      <c r="FU187" s="86"/>
      <c r="FV187" s="86"/>
      <c r="FW187" s="86"/>
      <c r="FX187" s="86"/>
      <c r="FY187" s="259"/>
      <c r="FZ187" s="259"/>
      <c r="GA187" s="259"/>
      <c r="GB187" s="259"/>
      <c r="GC187" s="377"/>
      <c r="GD187" s="377"/>
      <c r="GE187" s="377"/>
      <c r="GF187" s="377"/>
      <c r="GG187" s="377"/>
      <c r="GH187" s="377"/>
      <c r="GI187" s="377"/>
      <c r="GJ187" s="377"/>
      <c r="GK187" s="377"/>
      <c r="GL187" s="377"/>
      <c r="GM187" s="377"/>
      <c r="GN187" s="377"/>
      <c r="GO187" s="86"/>
      <c r="GP187" s="377"/>
      <c r="GQ187" s="377"/>
      <c r="GR187" s="377"/>
      <c r="GS187" s="377"/>
      <c r="GT187" s="377"/>
      <c r="GU187" s="377"/>
      <c r="GV187" s="377"/>
    </row>
    <row r="188" spans="1:235" ht="16.95" customHeight="1">
      <c r="A188" s="60"/>
      <c r="B188" s="272" t="str">
        <f ca="1">IF(FL1=0,"",11)</f>
        <v/>
      </c>
      <c r="C188" s="273"/>
      <c r="D188" s="308" t="str">
        <f ca="1">IF(FL1=0,"","De functie van de totale kosten luidt TK = "&amp;FR188&amp;"q + "&amp;FS188&amp;" (q luidt in stuks en TK")</f>
        <v/>
      </c>
      <c r="E188" s="274"/>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275"/>
      <c r="AF188" s="275"/>
      <c r="AG188" s="275"/>
      <c r="AH188" s="275"/>
      <c r="AI188" s="275"/>
      <c r="AJ188" s="275"/>
      <c r="AK188" s="275"/>
      <c r="AL188" s="275"/>
      <c r="AM188" s="275"/>
      <c r="AN188" s="275"/>
      <c r="AO188" s="275"/>
      <c r="AP188" s="275"/>
      <c r="AQ188" s="275"/>
      <c r="AR188" s="275"/>
      <c r="AS188" s="275"/>
      <c r="AT188" s="275"/>
      <c r="AU188" s="275"/>
      <c r="AV188" s="275"/>
      <c r="AW188" s="275"/>
      <c r="AX188" s="275"/>
      <c r="AY188" s="275"/>
      <c r="AZ188" s="275"/>
      <c r="BA188" s="275"/>
      <c r="BB188" s="275"/>
      <c r="BC188" s="275"/>
      <c r="BD188" s="275"/>
      <c r="BE188" s="275"/>
      <c r="BF188" s="275"/>
      <c r="BG188" s="275"/>
      <c r="BH188" s="275"/>
      <c r="BI188" s="275"/>
      <c r="BJ188" s="275"/>
      <c r="BK188" s="275"/>
      <c r="BL188" s="275"/>
      <c r="BM188" s="275"/>
      <c r="BN188" s="275"/>
      <c r="BO188" s="276"/>
      <c r="BP188" s="276"/>
      <c r="BQ188" s="276"/>
      <c r="BR188" s="276"/>
      <c r="BS188" s="276"/>
      <c r="BT188" s="276"/>
      <c r="BU188" s="276"/>
      <c r="BV188" s="276"/>
      <c r="BW188" s="276"/>
      <c r="BX188" s="276"/>
      <c r="BY188" s="276"/>
      <c r="BZ188" s="276"/>
      <c r="CA188" s="276"/>
      <c r="CB188" s="276"/>
      <c r="CC188" s="276"/>
      <c r="CD188" s="276"/>
      <c r="CE188" s="276"/>
      <c r="CF188" s="276"/>
      <c r="CG188" s="276"/>
      <c r="CH188" s="275"/>
      <c r="CI188" s="275"/>
      <c r="CJ188" s="275"/>
      <c r="CK188" s="275"/>
      <c r="CL188" s="265"/>
      <c r="CM188" s="265"/>
      <c r="CN188" s="265"/>
      <c r="CO188" s="265"/>
      <c r="CP188" s="265"/>
      <c r="CQ188" s="265"/>
      <c r="CR188" s="265"/>
      <c r="CS188" s="265"/>
      <c r="CT188" s="265"/>
      <c r="CU188" s="265"/>
      <c r="CV188" s="265"/>
      <c r="CW188" s="265"/>
      <c r="CX188" s="265"/>
      <c r="CY188" s="265"/>
      <c r="CZ188" s="265"/>
      <c r="DA188" s="265"/>
      <c r="DB188" s="265"/>
      <c r="DC188" s="265"/>
      <c r="DD188" s="265"/>
      <c r="DE188" s="265"/>
      <c r="DF188" s="265"/>
      <c r="DG188" s="265"/>
      <c r="DH188" s="265"/>
      <c r="DI188" s="265"/>
      <c r="DJ188" s="265"/>
      <c r="DK188" s="265"/>
      <c r="DL188" s="268"/>
      <c r="DM188" s="268"/>
      <c r="DN188" s="268"/>
      <c r="DO188" s="268"/>
      <c r="DP188" s="268"/>
      <c r="DQ188" s="268"/>
      <c r="DR188" s="268"/>
      <c r="DS188" s="268"/>
      <c r="DT188" s="268"/>
      <c r="DU188" s="268"/>
      <c r="DV188" s="268"/>
      <c r="DW188" s="268"/>
      <c r="DX188" s="268"/>
      <c r="DY188" s="268"/>
      <c r="DZ188" s="268"/>
      <c r="EA188" s="268"/>
      <c r="EB188" s="268"/>
      <c r="EC188" s="265"/>
      <c r="ED188" s="265"/>
      <c r="EE188" s="265"/>
      <c r="EF188" s="265"/>
      <c r="EG188" s="265"/>
      <c r="EH188" s="265"/>
      <c r="EI188" s="265"/>
      <c r="EJ188" s="265"/>
      <c r="EK188" s="265"/>
      <c r="EL188" s="265"/>
      <c r="EM188" s="265"/>
      <c r="EN188" s="265"/>
      <c r="EO188" s="265"/>
      <c r="EP188" s="265"/>
      <c r="EQ188" s="265"/>
      <c r="ER188" s="265"/>
      <c r="ES188" s="265"/>
      <c r="ET188" s="265"/>
      <c r="EU188" s="265"/>
      <c r="EV188" s="265"/>
      <c r="EW188" s="265"/>
      <c r="EX188" s="265"/>
      <c r="EY188" s="265"/>
      <c r="EZ188" s="265"/>
      <c r="FA188" s="265"/>
      <c r="FB188" s="265"/>
      <c r="FC188" s="265"/>
      <c r="FD188" s="265"/>
      <c r="FE188" s="265"/>
      <c r="FF188" s="265"/>
      <c r="FG188" s="265"/>
      <c r="FH188" s="141"/>
      <c r="FI188" s="141"/>
      <c r="FJ188" s="257"/>
      <c r="FK188" s="257"/>
      <c r="FL188" s="257"/>
      <c r="FM188" s="258"/>
      <c r="FN188" s="258"/>
      <c r="FO188" s="258"/>
      <c r="FP188" s="258"/>
      <c r="FQ188" s="258"/>
      <c r="FR188" s="103">
        <f ca="1">CEILING(180/Blad1!Z24^0.4+40*Blad1!AA1,10)+5</f>
        <v>245</v>
      </c>
      <c r="FS188" s="103">
        <f ca="1">ROUND(0.65*(0.5*FV188*FP196^2+FZ188*FP196-FR188*FP196),-2)</f>
        <v>644100</v>
      </c>
      <c r="FT188" s="103"/>
      <c r="FU188" s="103"/>
      <c r="FV188" s="103">
        <f ca="1">IF(AND(FW188&gt;-0.5-0.0001,FW188&lt;-0.5+0.0001),-0.6,IF(AND(FW188&gt;-1-0.0001,FW188&lt;-1+0.0001),-0.9,FW188))</f>
        <v>-6.1</v>
      </c>
      <c r="FW188" s="103">
        <f ca="1">-ROUND(FR188/40,1)</f>
        <v>-6.1</v>
      </c>
      <c r="FX188" s="103">
        <f ca="1">IF(100*ROUND((-Blad1!Z24+0.5*Blad1!AA8),1)&gt;10000,ROUND((-Blad1!Z24+0.5*Blad1!AA8),-1),IF(100*ROUND((-Blad1!Z24+0.5*Blad1!AA8),1)&gt;1800,ROUND(20*(-Blad1!Z24+0.5*Blad1!AA8),-1),IF(100*ROUND((-Blad1!Z24+0.5*Blad1!AA8),1)&gt;500,ROUND(30*(-Blad1!Z24+0.5*Blad1!AA8),-1),100*ROUND((-Blad1!Z24+0.5*Blad1!AA8),1))))</f>
        <v>570</v>
      </c>
      <c r="FY188" s="259">
        <f ca="1">100*ROUND((-Blad1!Z24+0.5*Blad1!AA8),1)</f>
        <v>2850</v>
      </c>
      <c r="FZ188" s="259">
        <f ca="1">FR188-FV188*FX188</f>
        <v>3722</v>
      </c>
      <c r="GA188" s="259"/>
      <c r="GB188" s="259"/>
      <c r="GC188" s="377"/>
      <c r="GD188" s="377"/>
      <c r="GE188" s="377"/>
      <c r="GF188" s="377"/>
      <c r="GG188" s="377"/>
      <c r="GH188" s="377"/>
      <c r="GI188" s="377"/>
      <c r="GJ188" s="377"/>
      <c r="GK188" s="377"/>
      <c r="GL188" s="377"/>
      <c r="GM188" s="377"/>
      <c r="GN188" s="377"/>
      <c r="GO188" s="259"/>
      <c r="GP188" s="259"/>
      <c r="GQ188" s="259"/>
      <c r="GR188" s="259"/>
      <c r="GS188" s="259"/>
      <c r="GT188" s="259"/>
      <c r="GU188" s="259"/>
      <c r="GV188" s="259"/>
    </row>
    <row r="189" spans="1:235" ht="16.95" customHeight="1">
      <c r="A189" s="60"/>
      <c r="B189" s="69"/>
      <c r="C189" s="69"/>
      <c r="D189" s="308" t="str">
        <f ca="1">IF(FL1=0,"","in euro's) en dus geldt MK = "&amp;FR188&amp;". De functie van de totale opbrengst luidt ")</f>
        <v/>
      </c>
      <c r="E189" s="262"/>
      <c r="F189" s="89"/>
      <c r="G189" s="89"/>
      <c r="H189" s="89"/>
      <c r="I189" s="89"/>
      <c r="J189" s="89"/>
      <c r="K189" s="89"/>
      <c r="L189" s="89"/>
      <c r="M189" s="89"/>
      <c r="N189" s="89"/>
      <c r="O189" s="89"/>
      <c r="P189" s="89"/>
      <c r="Q189" s="89"/>
      <c r="R189" s="89"/>
      <c r="S189" s="89"/>
      <c r="T189" s="89"/>
      <c r="U189" s="89"/>
      <c r="V189" s="89"/>
      <c r="W189" s="89"/>
      <c r="X189" s="89"/>
      <c r="Y189" s="141"/>
      <c r="Z189" s="141"/>
      <c r="AA189" s="141"/>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89"/>
      <c r="BE189" s="89"/>
      <c r="BF189" s="89"/>
      <c r="BG189" s="89"/>
      <c r="BH189" s="89"/>
      <c r="BI189" s="89"/>
      <c r="BJ189" s="89"/>
      <c r="BK189" s="89"/>
      <c r="BL189" s="89"/>
      <c r="BM189" s="89"/>
      <c r="BN189" s="89"/>
      <c r="BO189" s="89"/>
      <c r="BP189" s="89"/>
      <c r="BQ189" s="89"/>
      <c r="BR189" s="89"/>
      <c r="BS189" s="89"/>
      <c r="BT189" s="89"/>
      <c r="BU189" s="89"/>
      <c r="BV189" s="89"/>
      <c r="BW189" s="89"/>
      <c r="BX189" s="89"/>
      <c r="BY189" s="89"/>
      <c r="BZ189" s="89"/>
      <c r="CA189" s="89"/>
      <c r="CB189" s="89"/>
      <c r="CC189" s="89"/>
      <c r="CD189" s="89"/>
      <c r="CE189" s="89"/>
      <c r="CF189" s="89"/>
      <c r="CG189" s="89"/>
      <c r="CH189" s="89"/>
      <c r="CI189" s="89"/>
      <c r="CJ189" s="89"/>
      <c r="CK189" s="89"/>
      <c r="CL189" s="89"/>
      <c r="CM189" s="89"/>
      <c r="CN189" s="89"/>
      <c r="CO189" s="89"/>
      <c r="CP189" s="89"/>
      <c r="CQ189" s="89"/>
      <c r="CR189" s="89"/>
      <c r="CS189" s="89"/>
      <c r="CT189" s="89"/>
      <c r="CU189" s="89"/>
      <c r="CV189" s="89"/>
      <c r="CW189" s="89"/>
      <c r="CX189" s="89"/>
      <c r="CY189" s="89"/>
      <c r="CZ189" s="89"/>
      <c r="DA189" s="89"/>
      <c r="DB189" s="89"/>
      <c r="DC189" s="89"/>
      <c r="DD189" s="89"/>
      <c r="DE189" s="89"/>
      <c r="DF189" s="89"/>
      <c r="DG189" s="89"/>
      <c r="DH189" s="89"/>
      <c r="DI189" s="89"/>
      <c r="DJ189" s="89"/>
      <c r="DK189" s="89"/>
      <c r="DL189" s="89"/>
      <c r="DM189" s="89"/>
      <c r="DN189" s="89"/>
      <c r="DO189" s="89"/>
      <c r="DP189" s="89"/>
      <c r="DQ189" s="89"/>
      <c r="DR189" s="89"/>
      <c r="DS189" s="89"/>
      <c r="DT189" s="89"/>
      <c r="DU189" s="89"/>
      <c r="DV189" s="89"/>
      <c r="DW189" s="89"/>
      <c r="DX189" s="89"/>
      <c r="DY189" s="89"/>
      <c r="DZ189" s="89"/>
      <c r="EA189" s="89"/>
      <c r="EB189" s="89"/>
      <c r="EC189" s="89"/>
      <c r="ED189" s="89"/>
      <c r="EE189" s="89"/>
      <c r="EF189" s="89"/>
      <c r="EG189" s="89"/>
      <c r="EH189" s="89"/>
      <c r="EI189" s="89"/>
      <c r="EJ189" s="89"/>
      <c r="EK189" s="89"/>
      <c r="EL189" s="89"/>
      <c r="EM189" s="89"/>
      <c r="EN189" s="89"/>
      <c r="EO189" s="89"/>
      <c r="EP189" s="89"/>
      <c r="EQ189" s="89"/>
      <c r="ER189" s="89"/>
      <c r="ES189" s="89"/>
      <c r="ET189" s="89"/>
      <c r="EU189" s="89"/>
      <c r="EV189" s="89"/>
      <c r="EW189" s="268"/>
      <c r="EX189" s="268"/>
      <c r="EY189" s="268"/>
      <c r="EZ189" s="268"/>
      <c r="FA189" s="268"/>
      <c r="FB189" s="268"/>
      <c r="FC189" s="268"/>
      <c r="FD189" s="268"/>
      <c r="FE189" s="268"/>
      <c r="FF189" s="268"/>
      <c r="FG189" s="268"/>
      <c r="FH189" s="268"/>
      <c r="FI189" s="268"/>
      <c r="FJ189" s="96"/>
      <c r="FK189" s="96"/>
      <c r="FL189" s="96"/>
      <c r="FM189" s="86"/>
      <c r="FN189" s="86"/>
      <c r="FO189" s="86"/>
      <c r="FP189" s="86"/>
      <c r="FQ189" s="86"/>
      <c r="FR189" s="103"/>
      <c r="FS189" s="103"/>
      <c r="FT189" s="103"/>
      <c r="FU189" s="103"/>
      <c r="FV189" s="103"/>
      <c r="FW189" s="103"/>
      <c r="FX189" s="103"/>
      <c r="FY189" s="259"/>
      <c r="FZ189" s="259"/>
      <c r="GA189" s="259"/>
      <c r="GB189" s="259"/>
      <c r="GC189" s="377"/>
      <c r="GD189" s="377"/>
      <c r="GE189" s="377"/>
      <c r="GF189" s="377"/>
      <c r="GG189" s="377"/>
      <c r="GH189" s="377"/>
      <c r="GI189" s="377"/>
      <c r="GJ189" s="377"/>
      <c r="GK189" s="377"/>
      <c r="GL189" s="377"/>
      <c r="GM189" s="377"/>
      <c r="GN189" s="377"/>
      <c r="GO189" s="86"/>
      <c r="GP189" s="377"/>
      <c r="GQ189" s="377"/>
      <c r="GR189" s="377"/>
      <c r="GS189" s="377"/>
      <c r="GT189" s="377"/>
      <c r="GU189" s="377"/>
      <c r="GV189" s="377"/>
    </row>
    <row r="190" spans="1:235" ht="16.95" customHeight="1">
      <c r="A190" s="60"/>
      <c r="B190" s="69"/>
      <c r="C190" s="69"/>
      <c r="D190" s="369" t="str">
        <f ca="1">IF(FL1=0,"","TO = "&amp;FV188/2&amp;"q² + "&amp;FZ188&amp;"q en dus geldt MO = "&amp;FV188&amp;"q + "&amp;FZ188&amp;". De productiecapaciteit")</f>
        <v/>
      </c>
      <c r="E190" s="369"/>
      <c r="F190" s="89"/>
      <c r="G190" s="89"/>
      <c r="H190" s="89"/>
      <c r="I190" s="89"/>
      <c r="J190" s="89"/>
      <c r="K190" s="89"/>
      <c r="L190" s="89"/>
      <c r="M190" s="89"/>
      <c r="N190" s="89"/>
      <c r="O190" s="89"/>
      <c r="P190" s="89"/>
      <c r="Q190" s="89"/>
      <c r="R190" s="89"/>
      <c r="S190" s="89"/>
      <c r="T190" s="89"/>
      <c r="U190" s="89"/>
      <c r="V190" s="89"/>
      <c r="W190" s="89"/>
      <c r="X190" s="89"/>
      <c r="Y190" s="141"/>
      <c r="Z190" s="141"/>
      <c r="AA190" s="141"/>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c r="BD190" s="89"/>
      <c r="BE190" s="89"/>
      <c r="BF190" s="89"/>
      <c r="BG190" s="89"/>
      <c r="BH190" s="89"/>
      <c r="BI190" s="89"/>
      <c r="BJ190" s="89"/>
      <c r="BK190" s="89"/>
      <c r="BL190" s="89"/>
      <c r="BM190" s="89"/>
      <c r="BN190" s="89"/>
      <c r="BO190" s="89"/>
      <c r="BP190" s="89"/>
      <c r="BQ190" s="89"/>
      <c r="BR190" s="89"/>
      <c r="BS190" s="89"/>
      <c r="BT190" s="89"/>
      <c r="BU190" s="89"/>
      <c r="BV190" s="89"/>
      <c r="BW190" s="89"/>
      <c r="BX190" s="89"/>
      <c r="BY190" s="89"/>
      <c r="BZ190" s="89"/>
      <c r="CA190" s="89"/>
      <c r="CB190" s="89"/>
      <c r="CC190" s="89"/>
      <c r="CD190" s="89"/>
      <c r="CE190" s="89"/>
      <c r="CF190" s="89"/>
      <c r="CG190" s="89"/>
      <c r="CH190" s="89"/>
      <c r="CI190" s="89"/>
      <c r="CJ190" s="89"/>
      <c r="CK190" s="89"/>
      <c r="CL190" s="89"/>
      <c r="CM190" s="89"/>
      <c r="CN190" s="89"/>
      <c r="CO190" s="89"/>
      <c r="CP190" s="89"/>
      <c r="CQ190" s="89"/>
      <c r="CR190" s="89"/>
      <c r="CS190" s="89"/>
      <c r="CT190" s="89"/>
      <c r="CU190" s="89"/>
      <c r="CV190" s="89"/>
      <c r="CW190" s="89"/>
      <c r="CX190" s="89"/>
      <c r="CY190" s="89"/>
      <c r="CZ190" s="89"/>
      <c r="DA190" s="89"/>
      <c r="DB190" s="89"/>
      <c r="DC190" s="89"/>
      <c r="DD190" s="89"/>
      <c r="DE190" s="89"/>
      <c r="DF190" s="89"/>
      <c r="DG190" s="89"/>
      <c r="DH190" s="89"/>
      <c r="DI190" s="89"/>
      <c r="DJ190" s="89"/>
      <c r="DK190" s="89"/>
      <c r="DL190" s="89"/>
      <c r="DM190" s="89"/>
      <c r="DN190" s="89"/>
      <c r="DO190" s="89"/>
      <c r="DP190" s="89"/>
      <c r="DQ190" s="89"/>
      <c r="DR190" s="89"/>
      <c r="DS190" s="89"/>
      <c r="DT190" s="89"/>
      <c r="DU190" s="89"/>
      <c r="DV190" s="89"/>
      <c r="DW190" s="89"/>
      <c r="DX190" s="89"/>
      <c r="DY190" s="89"/>
      <c r="DZ190" s="89"/>
      <c r="EA190" s="89"/>
      <c r="EB190" s="89"/>
      <c r="EC190" s="89"/>
      <c r="ED190" s="89"/>
      <c r="EE190" s="89"/>
      <c r="EF190" s="89"/>
      <c r="EG190" s="89"/>
      <c r="EH190" s="89"/>
      <c r="EI190" s="89"/>
      <c r="EJ190" s="89"/>
      <c r="EK190" s="89"/>
      <c r="EL190" s="89"/>
      <c r="EM190" s="89"/>
      <c r="EN190" s="89"/>
      <c r="EO190" s="89"/>
      <c r="EP190" s="89"/>
      <c r="EQ190" s="89"/>
      <c r="ER190" s="89"/>
      <c r="ES190" s="89"/>
      <c r="ET190" s="89"/>
      <c r="EU190" s="89"/>
      <c r="EV190" s="89"/>
      <c r="EW190" s="268"/>
      <c r="EX190" s="268"/>
      <c r="EY190" s="268"/>
      <c r="EZ190" s="268"/>
      <c r="FA190" s="268"/>
      <c r="FB190" s="268"/>
      <c r="FC190" s="268"/>
      <c r="FD190" s="268"/>
      <c r="FE190" s="268"/>
      <c r="FF190" s="268"/>
      <c r="FG190" s="268"/>
      <c r="FH190" s="268"/>
      <c r="FI190" s="268"/>
      <c r="FJ190" s="96"/>
      <c r="FK190" s="96"/>
      <c r="FL190" s="96"/>
      <c r="FM190" s="377"/>
      <c r="FN190" s="377"/>
      <c r="FO190" s="377"/>
      <c r="FP190" s="377"/>
      <c r="FQ190" s="377"/>
      <c r="FR190" s="103"/>
      <c r="FS190" s="103"/>
      <c r="FT190" s="103"/>
      <c r="FU190" s="103"/>
      <c r="FV190" s="103"/>
      <c r="FW190" s="103"/>
      <c r="FX190" s="103"/>
      <c r="FY190" s="259"/>
      <c r="FZ190" s="259"/>
      <c r="GA190" s="259"/>
      <c r="GB190" s="259"/>
      <c r="GC190" s="377"/>
      <c r="GD190" s="377"/>
      <c r="GE190" s="377"/>
      <c r="GF190" s="377"/>
      <c r="GG190" s="377"/>
      <c r="GH190" s="377"/>
      <c r="GI190" s="377"/>
      <c r="GJ190" s="377"/>
      <c r="GK190" s="377"/>
      <c r="GL190" s="377"/>
      <c r="GM190" s="377"/>
      <c r="GN190" s="377"/>
      <c r="GO190" s="377"/>
      <c r="GP190" s="377"/>
      <c r="GQ190" s="377"/>
      <c r="GR190" s="377"/>
      <c r="GS190" s="377"/>
      <c r="GT190" s="377"/>
      <c r="GU190" s="377"/>
      <c r="GV190" s="377"/>
    </row>
    <row r="191" spans="1:235" ht="16.95" customHeight="1">
      <c r="A191" s="60"/>
      <c r="B191" s="69"/>
      <c r="C191" s="69"/>
      <c r="D191" s="308" t="str">
        <f ca="1">IF(FL1=0,"","is "&amp;CEILING(1.8*FX188,100)&amp;" stuks. Bij welke hoeveelheid wordt maximale winst gemaakt, hoeveel")</f>
        <v/>
      </c>
      <c r="E191" s="262"/>
      <c r="F191" s="89"/>
      <c r="G191" s="89"/>
      <c r="H191" s="89"/>
      <c r="I191" s="89"/>
      <c r="J191" s="89"/>
      <c r="K191" s="89"/>
      <c r="L191" s="89"/>
      <c r="M191" s="89"/>
      <c r="N191" s="89"/>
      <c r="O191" s="89"/>
      <c r="P191" s="89"/>
      <c r="Q191" s="89"/>
      <c r="R191" s="89"/>
      <c r="S191" s="89"/>
      <c r="T191" s="89"/>
      <c r="U191" s="89"/>
      <c r="V191" s="89"/>
      <c r="W191" s="89"/>
      <c r="X191" s="89"/>
      <c r="Y191" s="141"/>
      <c r="Z191" s="141"/>
      <c r="AA191" s="141"/>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89"/>
      <c r="BE191" s="89"/>
      <c r="BF191" s="89"/>
      <c r="BG191" s="89"/>
      <c r="BH191" s="89"/>
      <c r="BI191" s="89"/>
      <c r="BJ191" s="89"/>
      <c r="BK191" s="89"/>
      <c r="BL191" s="89"/>
      <c r="BM191" s="89"/>
      <c r="BN191" s="89"/>
      <c r="BO191" s="89"/>
      <c r="BP191" s="89"/>
      <c r="BQ191" s="89"/>
      <c r="BR191" s="89"/>
      <c r="BS191" s="89"/>
      <c r="BT191" s="89"/>
      <c r="BU191" s="89"/>
      <c r="BV191" s="89"/>
      <c r="BW191" s="89"/>
      <c r="BX191" s="89"/>
      <c r="BY191" s="89"/>
      <c r="BZ191" s="89"/>
      <c r="CA191" s="89"/>
      <c r="CB191" s="89"/>
      <c r="CC191" s="89"/>
      <c r="CD191" s="89"/>
      <c r="CE191" s="89"/>
      <c r="CF191" s="89"/>
      <c r="CG191" s="89"/>
      <c r="CH191" s="89"/>
      <c r="CI191" s="89"/>
      <c r="CJ191" s="89"/>
      <c r="CK191" s="89"/>
      <c r="CL191" s="89"/>
      <c r="CM191" s="89"/>
      <c r="CN191" s="89"/>
      <c r="CO191" s="89"/>
      <c r="CP191" s="89"/>
      <c r="CQ191" s="89"/>
      <c r="CR191" s="89"/>
      <c r="CS191" s="89"/>
      <c r="CT191" s="89"/>
      <c r="CU191" s="89"/>
      <c r="CV191" s="89"/>
      <c r="CW191" s="89"/>
      <c r="CX191" s="89"/>
      <c r="CY191" s="89"/>
      <c r="CZ191" s="89"/>
      <c r="DA191" s="89"/>
      <c r="DB191" s="89"/>
      <c r="DC191" s="89"/>
      <c r="DD191" s="89"/>
      <c r="DE191" s="89"/>
      <c r="DF191" s="89"/>
      <c r="DG191" s="89"/>
      <c r="DH191" s="89"/>
      <c r="DI191" s="89"/>
      <c r="DJ191" s="89"/>
      <c r="DK191" s="89"/>
      <c r="DL191" s="89"/>
      <c r="DM191" s="89"/>
      <c r="DN191" s="89"/>
      <c r="DO191" s="89"/>
      <c r="DP191" s="89"/>
      <c r="DQ191" s="89"/>
      <c r="DR191" s="89"/>
      <c r="DS191" s="89"/>
      <c r="DT191" s="89"/>
      <c r="DU191" s="89"/>
      <c r="DV191" s="89"/>
      <c r="DW191" s="89"/>
      <c r="DX191" s="89"/>
      <c r="DY191" s="89"/>
      <c r="DZ191" s="89"/>
      <c r="EA191" s="89"/>
      <c r="EB191" s="89"/>
      <c r="EC191" s="89"/>
      <c r="ED191" s="89"/>
      <c r="EE191" s="89"/>
      <c r="EF191" s="89"/>
      <c r="EG191" s="89"/>
      <c r="EH191" s="89"/>
      <c r="EI191" s="89"/>
      <c r="EJ191" s="89"/>
      <c r="EK191" s="89"/>
      <c r="EL191" s="89"/>
      <c r="EM191" s="89"/>
      <c r="EN191" s="89"/>
      <c r="EO191" s="89"/>
      <c r="EP191" s="89"/>
      <c r="EQ191" s="89"/>
      <c r="ER191" s="89"/>
      <c r="ES191" s="89"/>
      <c r="ET191" s="89"/>
      <c r="EU191" s="89"/>
      <c r="EV191" s="89"/>
      <c r="EW191" s="268"/>
      <c r="EX191" s="268"/>
      <c r="EY191" s="268"/>
      <c r="EZ191" s="268"/>
      <c r="FA191" s="268"/>
      <c r="FB191" s="268"/>
      <c r="FC191" s="268"/>
      <c r="FD191" s="268"/>
      <c r="FE191" s="268"/>
      <c r="FF191" s="268"/>
      <c r="FG191" s="268"/>
      <c r="FH191" s="268"/>
      <c r="FI191" s="268"/>
      <c r="FJ191" s="96"/>
      <c r="FK191" s="96"/>
      <c r="FL191" s="96"/>
      <c r="FM191" s="86"/>
      <c r="FN191" s="86"/>
      <c r="FO191" s="86"/>
      <c r="FP191" s="86"/>
      <c r="FQ191" s="86"/>
      <c r="FR191" s="86"/>
      <c r="FS191" s="86"/>
      <c r="FT191" s="86"/>
      <c r="FU191" s="86"/>
      <c r="FV191" s="86"/>
      <c r="FW191" s="86"/>
      <c r="FX191" s="86"/>
      <c r="FY191" s="259"/>
      <c r="FZ191" s="259"/>
      <c r="GA191" s="259"/>
      <c r="GB191" s="259"/>
      <c r="GC191" s="377"/>
      <c r="GD191" s="377"/>
      <c r="GE191" s="377"/>
      <c r="GF191" s="377"/>
      <c r="GG191" s="377"/>
      <c r="GH191" s="377"/>
      <c r="GI191" s="377"/>
      <c r="GJ191" s="377"/>
      <c r="GK191" s="377"/>
      <c r="GL191" s="377"/>
      <c r="GM191" s="377"/>
      <c r="GN191" s="377"/>
      <c r="GO191" s="86"/>
      <c r="GP191" s="377"/>
      <c r="GQ191" s="377"/>
      <c r="GR191" s="377"/>
      <c r="GS191" s="377"/>
      <c r="GT191" s="377"/>
      <c r="GU191" s="377"/>
      <c r="GV191" s="377"/>
    </row>
    <row r="192" spans="1:235" ht="16.95" customHeight="1">
      <c r="A192" s="60"/>
      <c r="B192" s="69"/>
      <c r="C192" s="69"/>
      <c r="D192" s="308" t="str">
        <f ca="1">IF(FL1=0,"","is de omzet bij de hoeveelheid waarbij maximale winst wordt gemaakt en")</f>
        <v/>
      </c>
      <c r="E192" s="262"/>
      <c r="F192" s="89"/>
      <c r="G192" s="89"/>
      <c r="H192" s="89"/>
      <c r="I192" s="89"/>
      <c r="J192" s="89"/>
      <c r="K192" s="89"/>
      <c r="L192" s="89"/>
      <c r="M192" s="89"/>
      <c r="N192" s="89"/>
      <c r="O192" s="89"/>
      <c r="P192" s="89"/>
      <c r="Q192" s="89"/>
      <c r="R192" s="89"/>
      <c r="S192" s="89"/>
      <c r="T192" s="89"/>
      <c r="U192" s="89"/>
      <c r="V192" s="89"/>
      <c r="W192" s="89"/>
      <c r="X192" s="89"/>
      <c r="Y192" s="141"/>
      <c r="Z192" s="141"/>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89"/>
      <c r="BE192" s="89"/>
      <c r="BF192" s="89"/>
      <c r="BG192" s="89"/>
      <c r="BH192" s="89"/>
      <c r="BI192" s="89"/>
      <c r="BJ192" s="89"/>
      <c r="BK192" s="89"/>
      <c r="BL192" s="89"/>
      <c r="BM192" s="89"/>
      <c r="BN192" s="89"/>
      <c r="BO192" s="89"/>
      <c r="BP192" s="89"/>
      <c r="BQ192" s="89"/>
      <c r="BR192" s="89"/>
      <c r="BS192" s="89"/>
      <c r="BT192" s="89"/>
      <c r="BU192" s="89"/>
      <c r="BV192" s="89"/>
      <c r="BW192" s="89"/>
      <c r="BX192" s="89"/>
      <c r="BY192" s="89"/>
      <c r="BZ192" s="89"/>
      <c r="CA192" s="89"/>
      <c r="CB192" s="89"/>
      <c r="CC192" s="89"/>
      <c r="CD192" s="89"/>
      <c r="CE192" s="89"/>
      <c r="CF192" s="89"/>
      <c r="CG192" s="89"/>
      <c r="CH192" s="89"/>
      <c r="CI192" s="89"/>
      <c r="CJ192" s="89"/>
      <c r="CK192" s="89"/>
      <c r="CL192" s="89"/>
      <c r="CM192" s="89"/>
      <c r="CN192" s="89"/>
      <c r="CO192" s="89"/>
      <c r="CP192" s="89"/>
      <c r="CQ192" s="89"/>
      <c r="CR192" s="89"/>
      <c r="CS192" s="89"/>
      <c r="CT192" s="89"/>
      <c r="CU192" s="89"/>
      <c r="CV192" s="89"/>
      <c r="CW192" s="89"/>
      <c r="CX192" s="89"/>
      <c r="CY192" s="89"/>
      <c r="CZ192" s="89"/>
      <c r="DA192" s="89"/>
      <c r="DB192" s="89"/>
      <c r="DC192" s="89"/>
      <c r="DD192" s="89"/>
      <c r="DE192" s="89"/>
      <c r="DF192" s="89"/>
      <c r="DG192" s="89"/>
      <c r="DH192" s="89"/>
      <c r="DI192" s="89"/>
      <c r="DJ192" s="89"/>
      <c r="DK192" s="89"/>
      <c r="DL192" s="89"/>
      <c r="DM192" s="89"/>
      <c r="DN192" s="89"/>
      <c r="DO192" s="89"/>
      <c r="DP192" s="89"/>
      <c r="DQ192" s="89"/>
      <c r="DR192" s="89"/>
      <c r="DS192" s="89"/>
      <c r="DT192" s="89"/>
      <c r="DU192" s="89"/>
      <c r="DV192" s="89"/>
      <c r="DW192" s="89"/>
      <c r="DX192" s="89"/>
      <c r="DY192" s="89"/>
      <c r="DZ192" s="89"/>
      <c r="EA192" s="89"/>
      <c r="EB192" s="89"/>
      <c r="EC192" s="89"/>
      <c r="ED192" s="89"/>
      <c r="EE192" s="89"/>
      <c r="EF192" s="89"/>
      <c r="EG192" s="89"/>
      <c r="EH192" s="89"/>
      <c r="EI192" s="89"/>
      <c r="EJ192" s="89"/>
      <c r="EK192" s="89"/>
      <c r="EL192" s="89"/>
      <c r="EM192" s="89"/>
      <c r="EN192" s="89"/>
      <c r="EO192" s="89"/>
      <c r="EP192" s="89"/>
      <c r="EQ192" s="89"/>
      <c r="ER192" s="89"/>
      <c r="ES192" s="89"/>
      <c r="ET192" s="89"/>
      <c r="EU192" s="89"/>
      <c r="EV192" s="89"/>
      <c r="EW192" s="268"/>
      <c r="EX192" s="268"/>
      <c r="EY192" s="268"/>
      <c r="EZ192" s="268"/>
      <c r="FA192" s="268"/>
      <c r="FB192" s="268"/>
      <c r="FC192" s="268"/>
      <c r="FD192" s="268"/>
      <c r="FE192" s="268"/>
      <c r="FF192" s="268"/>
      <c r="FG192" s="268"/>
      <c r="FH192" s="268"/>
      <c r="FI192" s="268"/>
      <c r="FJ192" s="96"/>
      <c r="FK192" s="96"/>
      <c r="FL192" s="96"/>
      <c r="FM192" s="86"/>
      <c r="FN192" s="86"/>
      <c r="FO192" s="86"/>
      <c r="FP192" s="86"/>
      <c r="FQ192" s="86"/>
      <c r="FR192" s="86"/>
      <c r="FS192" s="86"/>
      <c r="FT192" s="86"/>
      <c r="FU192" s="86"/>
      <c r="FV192" s="86"/>
      <c r="FW192" s="86"/>
      <c r="FX192" s="86"/>
      <c r="FY192" s="259"/>
      <c r="FZ192" s="259"/>
      <c r="GA192" s="259"/>
      <c r="GB192" s="259"/>
      <c r="GC192" s="377"/>
      <c r="GD192" s="377"/>
      <c r="GE192" s="377"/>
      <c r="GF192" s="377"/>
      <c r="GG192" s="377"/>
      <c r="GH192" s="377"/>
      <c r="GI192" s="377"/>
      <c r="GJ192" s="377"/>
      <c r="GK192" s="377"/>
      <c r="GL192" s="377"/>
      <c r="GM192" s="377"/>
      <c r="GN192" s="377"/>
      <c r="GO192" s="86"/>
      <c r="GP192" s="377"/>
      <c r="GQ192" s="377"/>
      <c r="GR192" s="377"/>
      <c r="GS192" s="377"/>
      <c r="GT192" s="377"/>
      <c r="GU192" s="377"/>
      <c r="GV192" s="377"/>
    </row>
    <row r="193" spans="1:235" ht="16.95" customHeight="1">
      <c r="A193" s="60"/>
      <c r="B193" s="69"/>
      <c r="C193" s="69"/>
      <c r="D193" s="308" t="str">
        <f ca="1">IF(FL1=0,"","hoeveel is de maximale winst? Rond af op twee decimalen.")</f>
        <v/>
      </c>
      <c r="E193" s="262"/>
      <c r="F193" s="89"/>
      <c r="G193" s="89"/>
      <c r="H193" s="89"/>
      <c r="I193" s="89"/>
      <c r="J193" s="89"/>
      <c r="K193" s="89"/>
      <c r="L193" s="89"/>
      <c r="M193" s="89"/>
      <c r="N193" s="89"/>
      <c r="O193" s="89"/>
      <c r="P193" s="89"/>
      <c r="Q193" s="89"/>
      <c r="R193" s="89"/>
      <c r="S193" s="89"/>
      <c r="T193" s="89"/>
      <c r="U193" s="89"/>
      <c r="V193" s="89"/>
      <c r="W193" s="89"/>
      <c r="X193" s="89"/>
      <c r="Y193" s="141"/>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89"/>
      <c r="BE193" s="89"/>
      <c r="BF193" s="89"/>
      <c r="BG193" s="89"/>
      <c r="BH193" s="89"/>
      <c r="BI193" s="89"/>
      <c r="BJ193" s="89"/>
      <c r="BK193" s="89"/>
      <c r="BL193" s="89"/>
      <c r="BM193" s="89"/>
      <c r="BN193" s="89"/>
      <c r="BO193" s="89"/>
      <c r="BP193" s="89"/>
      <c r="BQ193" s="89"/>
      <c r="BR193" s="89"/>
      <c r="BS193" s="89"/>
      <c r="BT193" s="89"/>
      <c r="BU193" s="89"/>
      <c r="BV193" s="89"/>
      <c r="BW193" s="89"/>
      <c r="BX193" s="89"/>
      <c r="BY193" s="89"/>
      <c r="BZ193" s="89"/>
      <c r="CA193" s="89"/>
      <c r="CB193" s="89"/>
      <c r="CC193" s="89"/>
      <c r="CD193" s="89"/>
      <c r="CE193" s="89"/>
      <c r="CF193" s="89"/>
      <c r="CG193" s="89"/>
      <c r="CH193" s="89"/>
      <c r="CI193" s="89"/>
      <c r="CJ193" s="89"/>
      <c r="CK193" s="89"/>
      <c r="CL193" s="89"/>
      <c r="CM193" s="89"/>
      <c r="CN193" s="89"/>
      <c r="CO193" s="89"/>
      <c r="CP193" s="89"/>
      <c r="CQ193" s="89"/>
      <c r="CR193" s="89"/>
      <c r="CS193" s="89"/>
      <c r="CT193" s="89"/>
      <c r="CU193" s="89"/>
      <c r="CV193" s="89"/>
      <c r="CW193" s="89"/>
      <c r="CX193" s="89"/>
      <c r="CY193" s="89"/>
      <c r="CZ193" s="89"/>
      <c r="DA193" s="89"/>
      <c r="DB193" s="89"/>
      <c r="DC193" s="89"/>
      <c r="DD193" s="89"/>
      <c r="DE193" s="89"/>
      <c r="DF193" s="89"/>
      <c r="DG193" s="89"/>
      <c r="DH193" s="89"/>
      <c r="DI193" s="89"/>
      <c r="DJ193" s="89"/>
      <c r="DK193" s="89"/>
      <c r="DL193" s="89"/>
      <c r="DM193" s="89"/>
      <c r="DN193" s="89"/>
      <c r="DO193" s="89"/>
      <c r="DP193" s="89"/>
      <c r="DQ193" s="89"/>
      <c r="DR193" s="89"/>
      <c r="DS193" s="89"/>
      <c r="DT193" s="89"/>
      <c r="DU193" s="89"/>
      <c r="DV193" s="89"/>
      <c r="DW193" s="89"/>
      <c r="DX193" s="89"/>
      <c r="DY193" s="89"/>
      <c r="DZ193" s="89"/>
      <c r="EA193" s="89"/>
      <c r="EB193" s="89"/>
      <c r="EC193" s="89"/>
      <c r="ED193" s="89"/>
      <c r="EE193" s="89"/>
      <c r="EF193" s="89"/>
      <c r="EG193" s="89"/>
      <c r="EH193" s="89"/>
      <c r="EI193" s="89"/>
      <c r="EJ193" s="89"/>
      <c r="EK193" s="89"/>
      <c r="EL193" s="89"/>
      <c r="EM193" s="89"/>
      <c r="EN193" s="89"/>
      <c r="EO193" s="89"/>
      <c r="EP193" s="89"/>
      <c r="EQ193" s="89"/>
      <c r="ER193" s="89"/>
      <c r="ES193" s="89"/>
      <c r="ET193" s="89"/>
      <c r="EU193" s="89"/>
      <c r="EV193" s="89"/>
      <c r="EW193" s="268"/>
      <c r="EX193" s="268"/>
      <c r="EY193" s="268"/>
      <c r="EZ193" s="268"/>
      <c r="FA193" s="268"/>
      <c r="FB193" s="268"/>
      <c r="FC193" s="268"/>
      <c r="FD193" s="268"/>
      <c r="FE193" s="268"/>
      <c r="FF193" s="268"/>
      <c r="FG193" s="268"/>
      <c r="FH193" s="268"/>
      <c r="FI193" s="268"/>
      <c r="FJ193" s="96"/>
      <c r="FK193" s="96"/>
      <c r="FL193" s="96"/>
      <c r="FM193" s="86"/>
      <c r="FN193" s="86"/>
      <c r="FO193" s="86"/>
      <c r="FP193" s="86"/>
      <c r="FQ193" s="86"/>
      <c r="FR193" s="86"/>
      <c r="FS193" s="86"/>
      <c r="FT193" s="86"/>
      <c r="FU193" s="86"/>
      <c r="FV193" s="86"/>
      <c r="FW193" s="86"/>
      <c r="FX193" s="86"/>
      <c r="FY193" s="259"/>
      <c r="FZ193" s="259"/>
      <c r="GA193" s="259"/>
      <c r="GB193" s="259"/>
      <c r="GC193" s="377"/>
      <c r="GD193" s="377"/>
      <c r="GE193" s="377"/>
      <c r="GF193" s="377"/>
      <c r="GG193" s="377"/>
      <c r="GH193" s="377"/>
      <c r="GI193" s="377"/>
      <c r="GJ193" s="377"/>
      <c r="GK193" s="377"/>
      <c r="GL193" s="377"/>
      <c r="GM193" s="377"/>
      <c r="GN193" s="377"/>
      <c r="GO193" s="86"/>
      <c r="GP193" s="377"/>
      <c r="GQ193" s="377"/>
      <c r="GR193" s="377"/>
      <c r="GS193" s="377"/>
      <c r="GT193" s="377"/>
      <c r="GU193" s="377"/>
      <c r="GV193" s="377"/>
    </row>
    <row r="194" spans="1:235" ht="9" customHeight="1">
      <c r="A194" s="60"/>
      <c r="B194" s="69"/>
      <c r="C194" s="69"/>
      <c r="D194" s="369"/>
      <c r="E194" s="262"/>
      <c r="F194" s="262"/>
      <c r="G194" s="262"/>
      <c r="H194" s="262"/>
      <c r="I194" s="262"/>
      <c r="J194" s="262"/>
      <c r="K194" s="262"/>
      <c r="L194" s="262"/>
      <c r="M194" s="262"/>
      <c r="N194" s="262"/>
      <c r="O194" s="262"/>
      <c r="P194" s="262"/>
      <c r="Q194" s="262"/>
      <c r="R194" s="308"/>
      <c r="S194" s="308"/>
      <c r="T194" s="308"/>
      <c r="U194" s="308"/>
      <c r="V194" s="308"/>
      <c r="W194" s="308"/>
      <c r="X194" s="308"/>
      <c r="Y194" s="308"/>
      <c r="Z194" s="308"/>
      <c r="AA194" s="308"/>
      <c r="AB194" s="308"/>
      <c r="AC194" s="308"/>
      <c r="AD194" s="308"/>
      <c r="AE194" s="308"/>
      <c r="AF194" s="308"/>
      <c r="AG194" s="308"/>
      <c r="AH194" s="308"/>
      <c r="AI194" s="89"/>
      <c r="AJ194" s="308"/>
      <c r="AK194" s="308"/>
      <c r="AL194" s="308"/>
      <c r="AM194" s="308"/>
      <c r="AN194" s="308"/>
      <c r="AO194" s="308"/>
      <c r="AP194" s="308"/>
      <c r="AQ194" s="308"/>
      <c r="AR194" s="308"/>
      <c r="AS194" s="308"/>
      <c r="AT194" s="308"/>
      <c r="AU194" s="308"/>
      <c r="AV194" s="308"/>
      <c r="AW194" s="308"/>
      <c r="AX194" s="308"/>
      <c r="AY194" s="308"/>
      <c r="AZ194" s="308"/>
      <c r="BA194" s="308"/>
      <c r="BB194" s="308"/>
      <c r="BC194" s="89"/>
      <c r="BD194" s="89"/>
      <c r="BE194" s="89"/>
      <c r="BF194" s="89"/>
      <c r="BG194" s="89"/>
      <c r="BH194" s="89"/>
      <c r="BI194" s="89"/>
      <c r="BJ194" s="89"/>
      <c r="BK194" s="89"/>
      <c r="BL194" s="89"/>
      <c r="BM194" s="89"/>
      <c r="BN194" s="89"/>
      <c r="BO194" s="89"/>
      <c r="BP194" s="89"/>
      <c r="BQ194" s="89"/>
      <c r="BR194" s="89"/>
      <c r="BS194" s="89"/>
      <c r="BT194" s="89"/>
      <c r="BU194" s="89"/>
      <c r="BV194" s="89"/>
      <c r="BW194" s="89"/>
      <c r="BX194" s="89"/>
      <c r="BY194" s="89"/>
      <c r="BZ194" s="89"/>
      <c r="CA194" s="89"/>
      <c r="CB194" s="89"/>
      <c r="CC194" s="89"/>
      <c r="CD194" s="89"/>
      <c r="CE194" s="89"/>
      <c r="CF194" s="89"/>
      <c r="CG194" s="89"/>
      <c r="CH194" s="89"/>
      <c r="CI194" s="89"/>
      <c r="CJ194" s="89"/>
      <c r="CK194" s="89"/>
      <c r="CL194" s="89"/>
      <c r="CM194" s="89"/>
      <c r="CN194" s="89"/>
      <c r="CO194" s="89"/>
      <c r="CP194" s="89"/>
      <c r="CQ194" s="89"/>
      <c r="CR194" s="89"/>
      <c r="CS194" s="89"/>
      <c r="CT194" s="89"/>
      <c r="CU194" s="89"/>
      <c r="CV194" s="89"/>
      <c r="CW194" s="89"/>
      <c r="CX194" s="89"/>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s="89"/>
      <c r="ED194" s="89"/>
      <c r="EE194" s="89"/>
      <c r="EF194" s="89"/>
      <c r="EG194" s="89"/>
      <c r="EH194" s="89"/>
      <c r="EI194" s="89"/>
      <c r="EJ194" s="89"/>
      <c r="EK194" s="89"/>
      <c r="EL194" s="89"/>
      <c r="EM194" s="89"/>
      <c r="EN194" s="89"/>
      <c r="EO194" s="89"/>
      <c r="EP194" s="89"/>
      <c r="EQ194" s="89"/>
      <c r="ER194" s="89"/>
      <c r="ES194" s="89"/>
      <c r="ET194" s="89"/>
      <c r="EU194" s="89"/>
      <c r="EV194" s="89"/>
      <c r="EW194" s="89"/>
      <c r="EX194" s="89"/>
      <c r="EY194" s="89"/>
      <c r="EZ194" s="89"/>
      <c r="FA194" s="89"/>
      <c r="FB194" s="89"/>
      <c r="FC194" s="89"/>
      <c r="FD194" s="89"/>
      <c r="FE194" s="89"/>
      <c r="FF194" s="89"/>
      <c r="FG194" s="89"/>
      <c r="FH194" s="89"/>
      <c r="FI194" s="89"/>
      <c r="FJ194" s="306"/>
      <c r="FK194" s="306"/>
      <c r="FL194" s="300"/>
      <c r="FM194" s="300"/>
      <c r="FN194" s="108"/>
      <c r="FO194" s="108"/>
      <c r="FP194" s="108"/>
      <c r="FQ194" s="108"/>
      <c r="FR194" s="108"/>
      <c r="FS194" s="108"/>
      <c r="FT194" s="108"/>
      <c r="FU194" s="108"/>
      <c r="FV194" s="108"/>
      <c r="FW194" s="108"/>
      <c r="FX194" s="301"/>
      <c r="FY194" s="259"/>
      <c r="FZ194" s="259"/>
      <c r="GA194" s="259"/>
      <c r="GB194" s="259"/>
      <c r="GC194" s="377"/>
      <c r="GD194" s="377"/>
      <c r="GE194" s="377"/>
      <c r="GF194" s="377"/>
      <c r="GG194" s="377"/>
      <c r="GH194" s="377"/>
      <c r="GI194" s="377"/>
      <c r="GJ194" s="377"/>
      <c r="GK194" s="377"/>
      <c r="GL194" s="377"/>
      <c r="GM194" s="377"/>
      <c r="GN194" s="377"/>
      <c r="GO194" s="307"/>
      <c r="GP194" s="307"/>
      <c r="GQ194" s="307"/>
      <c r="GR194" s="307"/>
      <c r="GS194" s="307"/>
      <c r="GT194" s="307"/>
      <c r="GU194" s="307"/>
      <c r="GV194" s="307"/>
    </row>
    <row r="195" spans="1:235" ht="3.6" customHeight="1">
      <c r="A195" s="60"/>
      <c r="B195" s="69"/>
      <c r="C195" s="69"/>
      <c r="D195" s="262"/>
      <c r="E195" s="262"/>
      <c r="F195" s="262"/>
      <c r="G195" s="262"/>
      <c r="H195" s="262"/>
      <c r="I195" s="262"/>
      <c r="J195" s="262"/>
      <c r="K195" s="262"/>
      <c r="L195" s="262"/>
      <c r="M195" s="262"/>
      <c r="N195" s="262"/>
      <c r="O195" s="262"/>
      <c r="P195" s="262"/>
      <c r="Q195" s="262"/>
      <c r="R195" s="308"/>
      <c r="S195" s="308"/>
      <c r="T195" s="308"/>
      <c r="U195" s="308"/>
      <c r="V195" s="308"/>
      <c r="W195" s="308"/>
      <c r="X195" s="299"/>
      <c r="Y195" s="299"/>
      <c r="Z195" s="299"/>
      <c r="AA195" s="299"/>
      <c r="AB195" s="299"/>
      <c r="AC195" s="299"/>
      <c r="AD195" s="299"/>
      <c r="AE195" s="299"/>
      <c r="AF195" s="89"/>
      <c r="AG195" s="89"/>
      <c r="AH195" s="308"/>
      <c r="AI195" s="299"/>
      <c r="AJ195" s="299"/>
      <c r="AK195" s="299"/>
      <c r="AL195" s="299"/>
      <c r="AM195" s="299"/>
      <c r="AN195" s="299"/>
      <c r="AO195" s="299"/>
      <c r="AP195" s="299"/>
      <c r="AQ195" s="299"/>
      <c r="AR195" s="299"/>
      <c r="AS195" s="299"/>
      <c r="AT195" s="299"/>
      <c r="AU195" s="299"/>
      <c r="AV195" s="299"/>
      <c r="AW195" s="299"/>
      <c r="AX195" s="299"/>
      <c r="AY195" s="299"/>
      <c r="AZ195" s="299"/>
      <c r="BA195" s="299"/>
      <c r="BB195" s="299"/>
      <c r="BC195" s="299"/>
      <c r="BD195" s="89"/>
      <c r="BE195" s="299"/>
      <c r="BF195" s="299"/>
      <c r="BG195" s="299"/>
      <c r="BH195" s="299"/>
      <c r="BI195" s="299"/>
      <c r="BJ195" s="299"/>
      <c r="BK195" s="299"/>
      <c r="BL195" s="299"/>
      <c r="BM195" s="299"/>
      <c r="BN195" s="299"/>
      <c r="BO195" s="299"/>
      <c r="BP195" s="299"/>
      <c r="BQ195" s="299"/>
      <c r="BR195" s="299"/>
      <c r="BS195" s="299"/>
      <c r="BT195" s="299"/>
      <c r="BU195" s="299"/>
      <c r="BV195" s="299"/>
      <c r="BW195" s="299"/>
      <c r="BX195" s="299"/>
      <c r="BY195" s="299"/>
      <c r="BZ195" s="299"/>
      <c r="CA195" s="299"/>
      <c r="CB195" s="299"/>
      <c r="CC195" s="299"/>
      <c r="CD195" s="268"/>
      <c r="CE195" s="268"/>
      <c r="CF195" s="268"/>
      <c r="CG195" s="268"/>
      <c r="CH195" s="268"/>
      <c r="CI195" s="268"/>
      <c r="CJ195" s="268"/>
      <c r="CK195" s="268"/>
      <c r="CL195" s="268"/>
      <c r="CM195" s="268"/>
      <c r="CN195" s="268"/>
      <c r="CO195" s="268"/>
      <c r="CP195" s="268"/>
      <c r="CQ195" s="268"/>
      <c r="CR195" s="268"/>
      <c r="CS195" s="268"/>
      <c r="CT195" s="268"/>
      <c r="CU195" s="254"/>
      <c r="CV195" s="254"/>
      <c r="CW195" s="254"/>
      <c r="CX195" s="254"/>
      <c r="CY195" s="141"/>
      <c r="CZ195" s="141"/>
      <c r="DA195" s="141"/>
      <c r="DB195" s="89"/>
      <c r="DC195" s="89"/>
      <c r="DD195" s="553" t="str">
        <f ca="1">IF(FL1=0,"","+")</f>
        <v/>
      </c>
      <c r="DE195" s="541" t="e">
        <f>IF(#REF!=0,"","+")</f>
        <v>#REF!</v>
      </c>
      <c r="DF195" s="541" t="e">
        <f>IF(#REF!=0,"","+")</f>
        <v>#REF!</v>
      </c>
      <c r="DG195" s="541" t="e">
        <f>IF(#REF!=0,"","+")</f>
        <v>#REF!</v>
      </c>
      <c r="DH195" s="541" t="e">
        <f>IF(#REF!=0,"","+")</f>
        <v>#REF!</v>
      </c>
      <c r="DI195" s="541"/>
      <c r="DJ195" s="541"/>
      <c r="DK195" s="541"/>
      <c r="DL195" s="541" t="e">
        <f>IF(#REF!=0,"","+")</f>
        <v>#REF!</v>
      </c>
      <c r="DM195" s="541" t="e">
        <f>IF(#REF!=0,"","+")</f>
        <v>#REF!</v>
      </c>
      <c r="DN195" s="541" t="e">
        <f>IF(#REF!=0,"","+")</f>
        <v>#REF!</v>
      </c>
      <c r="DO195" s="541" t="e">
        <f>IF(#REF!=0,"","+")</f>
        <v>#REF!</v>
      </c>
      <c r="DP195" s="541" t="e">
        <f>IF(#REF!=0,"","+")</f>
        <v>#REF!</v>
      </c>
      <c r="DQ195" s="541" t="e">
        <f>IF(#REF!=0,"","+")</f>
        <v>#REF!</v>
      </c>
      <c r="DR195" s="541"/>
      <c r="DS195" s="541"/>
      <c r="DT195" s="541"/>
      <c r="DU195" s="541"/>
      <c r="DV195" s="541"/>
      <c r="DW195" s="541"/>
      <c r="DX195" s="541" t="e">
        <f>IF(#REF!=0,"","+")</f>
        <v>#REF!</v>
      </c>
      <c r="DY195" s="541" t="e">
        <f>IF(#REF!=0,"","+")</f>
        <v>#REF!</v>
      </c>
      <c r="DZ195" s="541" t="e">
        <f>IF(#REF!=0,"","+")</f>
        <v>#REF!</v>
      </c>
      <c r="EA195" s="541" t="e">
        <f>IF(#REF!=0,"","+")</f>
        <v>#REF!</v>
      </c>
      <c r="EB195" s="541" t="e">
        <f>IF(#REF!=0,"","+")</f>
        <v>#REF!</v>
      </c>
      <c r="EC195" s="89"/>
      <c r="ED195" s="89"/>
      <c r="FH195" s="89"/>
      <c r="FI195" s="89"/>
      <c r="FJ195" s="306"/>
      <c r="FK195" s="306"/>
      <c r="FL195" s="300"/>
      <c r="FM195" s="300"/>
      <c r="FN195" s="108"/>
      <c r="FO195" s="108"/>
      <c r="FP195" s="108"/>
      <c r="FQ195" s="108"/>
      <c r="FR195" s="108"/>
      <c r="FS195" s="108"/>
      <c r="FT195" s="108"/>
      <c r="FU195" s="108"/>
      <c r="FV195" s="108"/>
      <c r="FW195" s="108"/>
      <c r="FX195" s="301"/>
      <c r="FY195" s="259"/>
      <c r="FZ195" s="259"/>
      <c r="GA195" s="259"/>
      <c r="GB195" s="259"/>
      <c r="GC195" s="377"/>
      <c r="GD195" s="377"/>
      <c r="GE195" s="377"/>
      <c r="GF195" s="377"/>
      <c r="GG195" s="377"/>
      <c r="GH195" s="377"/>
      <c r="GI195" s="377"/>
      <c r="GJ195" s="377"/>
      <c r="GK195" s="377"/>
      <c r="GL195" s="377"/>
      <c r="GM195" s="377"/>
      <c r="GN195" s="377"/>
      <c r="GO195" s="307"/>
      <c r="GP195" s="307"/>
      <c r="GQ195" s="307"/>
      <c r="GR195" s="307"/>
      <c r="GS195" s="307"/>
      <c r="GT195" s="307"/>
      <c r="GU195" s="307"/>
      <c r="GV195" s="307"/>
    </row>
    <row r="196" spans="1:235" ht="16.5" customHeight="1">
      <c r="A196" s="60"/>
      <c r="B196" s="69"/>
      <c r="C196" s="69"/>
      <c r="D196" s="268"/>
      <c r="E196" s="268"/>
      <c r="F196" s="268"/>
      <c r="G196" s="268"/>
      <c r="H196" s="268"/>
      <c r="I196" s="268"/>
      <c r="J196" s="268"/>
      <c r="K196" s="268"/>
      <c r="L196" s="268"/>
      <c r="M196" s="268"/>
      <c r="N196" s="268"/>
      <c r="O196" s="268"/>
      <c r="P196" s="268"/>
      <c r="Q196" s="268"/>
      <c r="R196" s="299"/>
      <c r="S196" s="299"/>
      <c r="T196" s="299"/>
      <c r="U196" s="299"/>
      <c r="V196" s="299"/>
      <c r="W196" s="299"/>
      <c r="X196" s="299"/>
      <c r="Y196" s="299"/>
      <c r="Z196" s="299"/>
      <c r="AA196" s="299"/>
      <c r="AB196" s="299"/>
      <c r="AC196" s="299"/>
      <c r="AD196" s="299"/>
      <c r="AE196" s="299"/>
      <c r="AF196" s="302"/>
      <c r="AG196" s="89"/>
      <c r="AH196" s="308"/>
      <c r="AI196" s="325"/>
      <c r="AJ196" s="326"/>
      <c r="AK196" s="326"/>
      <c r="AL196" s="326"/>
      <c r="AM196" s="326"/>
      <c r="AN196" s="326"/>
      <c r="AO196" s="326"/>
      <c r="AP196" s="326"/>
      <c r="AQ196" s="326"/>
      <c r="AR196" s="326"/>
      <c r="AS196" s="326"/>
      <c r="AT196" s="326"/>
      <c r="AU196" s="326"/>
      <c r="AV196" s="326"/>
      <c r="AW196" s="326"/>
      <c r="AX196" s="326"/>
      <c r="AY196" s="326"/>
      <c r="AZ196" s="326"/>
      <c r="BA196" s="326"/>
      <c r="BB196" s="326"/>
      <c r="BC196" s="308"/>
      <c r="BD196" s="304"/>
      <c r="BE196" s="299"/>
      <c r="BF196" s="299"/>
      <c r="BG196" s="299"/>
      <c r="BH196" s="299"/>
      <c r="BI196" s="299"/>
      <c r="BJ196" s="299"/>
      <c r="BK196" s="299"/>
      <c r="BL196" s="299"/>
      <c r="BM196" s="299"/>
      <c r="BN196" s="299"/>
      <c r="BO196" s="299"/>
      <c r="BP196" s="299"/>
      <c r="BQ196" s="299"/>
      <c r="BR196" s="299"/>
      <c r="BS196" s="299"/>
      <c r="BT196" s="299"/>
      <c r="BU196" s="299"/>
      <c r="BV196" s="299"/>
      <c r="BW196" s="299"/>
      <c r="BX196" s="299"/>
      <c r="BY196" s="299"/>
      <c r="BZ196" s="299"/>
      <c r="CA196" s="299"/>
      <c r="CB196" s="299"/>
      <c r="CC196" s="299"/>
      <c r="CD196" s="268"/>
      <c r="CE196" s="268"/>
      <c r="CF196" s="268"/>
      <c r="CG196" s="268"/>
      <c r="CH196" s="268"/>
      <c r="CI196" s="268"/>
      <c r="CJ196" s="268"/>
      <c r="CK196" s="268"/>
      <c r="CL196" s="268"/>
      <c r="CM196" s="268"/>
      <c r="CN196" s="268"/>
      <c r="CO196" s="268"/>
      <c r="CP196" s="268"/>
      <c r="CQ196" s="268"/>
      <c r="CR196" s="268"/>
      <c r="CS196" s="268"/>
      <c r="CT196" s="268"/>
      <c r="CU196" s="254"/>
      <c r="CV196" s="254"/>
      <c r="CW196" s="254"/>
      <c r="CX196" s="254"/>
      <c r="CY196" s="141"/>
      <c r="CZ196" s="141"/>
      <c r="DA196" s="141"/>
      <c r="DB196" s="302" t="str">
        <f ca="1">IF(FL1=0,"","de hoeveelheid waarbij maximale winst wordt gemaakt, is:")</f>
        <v/>
      </c>
      <c r="DC196" s="89"/>
      <c r="DD196" s="316" t="str">
        <f ca="1">IF(FL1=0,"","+")</f>
        <v/>
      </c>
      <c r="DE196" s="559"/>
      <c r="DF196" s="560"/>
      <c r="DG196" s="560"/>
      <c r="DH196" s="560"/>
      <c r="DI196" s="560"/>
      <c r="DJ196" s="560"/>
      <c r="DK196" s="560"/>
      <c r="DL196" s="560"/>
      <c r="DM196" s="560"/>
      <c r="DN196" s="560"/>
      <c r="DO196" s="560"/>
      <c r="DP196" s="560"/>
      <c r="DQ196" s="560"/>
      <c r="DR196" s="560"/>
      <c r="DS196" s="560"/>
      <c r="DT196" s="560"/>
      <c r="DU196" s="560"/>
      <c r="DV196" s="560"/>
      <c r="DW196" s="560"/>
      <c r="DX196" s="560"/>
      <c r="DY196" s="560"/>
      <c r="DZ196" s="560"/>
      <c r="EA196" s="560"/>
      <c r="EB196" s="316" t="str">
        <f ca="1">IF(FL1=0,"","+")</f>
        <v/>
      </c>
      <c r="EC196" s="304" t="s">
        <v>131</v>
      </c>
      <c r="ED196" s="141"/>
      <c r="EE196" s="279"/>
      <c r="EF196" s="254"/>
      <c r="EG196" s="89"/>
      <c r="EH196" s="89"/>
      <c r="EI196" s="89"/>
      <c r="EJ196" s="89"/>
      <c r="EK196" s="89"/>
      <c r="EL196" s="89"/>
      <c r="EM196" s="89"/>
      <c r="EN196" s="89"/>
      <c r="EO196" s="89"/>
      <c r="EP196" s="89"/>
      <c r="EQ196" s="89"/>
      <c r="ER196" s="89"/>
      <c r="ES196" s="89"/>
      <c r="ET196" s="89"/>
      <c r="EU196" s="89"/>
      <c r="EV196" s="89"/>
      <c r="EW196" s="89"/>
      <c r="EX196" s="89"/>
      <c r="EY196" s="89"/>
      <c r="EZ196" s="89"/>
      <c r="FA196" s="89"/>
      <c r="FB196" s="89"/>
      <c r="FC196" s="89"/>
      <c r="FD196" s="89"/>
      <c r="FE196" s="89"/>
      <c r="FF196" s="89"/>
      <c r="FG196" s="89"/>
      <c r="FH196" s="89"/>
      <c r="FI196" s="89"/>
      <c r="FJ196" s="306"/>
      <c r="FK196" s="306"/>
      <c r="FL196" s="300"/>
      <c r="FM196" s="300"/>
      <c r="FN196" s="300"/>
      <c r="FO196" s="300">
        <f ca="1">IF(programma!B1="X",1,IF(AND(FL1=1,DE196&gt;FP196-0.01,DE196&lt;FP196+0.01),1,0))</f>
        <v>0</v>
      </c>
      <c r="FP196" s="339">
        <f ca="1">IF(FK1=0,"",(FR188-FZ188)/FV188)</f>
        <v>570</v>
      </c>
      <c r="FQ196" s="300"/>
      <c r="FR196" s="108"/>
      <c r="FS196" s="108"/>
      <c r="FT196" s="108"/>
      <c r="FU196" s="108"/>
      <c r="FV196" s="108"/>
      <c r="FW196" s="108"/>
      <c r="FX196" s="301"/>
      <c r="FY196" s="259"/>
      <c r="FZ196" s="259"/>
      <c r="GA196" s="259"/>
      <c r="GB196" s="259"/>
      <c r="GC196" s="377"/>
      <c r="GD196" s="377"/>
      <c r="GE196" s="377"/>
      <c r="GF196" s="377"/>
      <c r="GG196" s="377"/>
      <c r="GH196" s="377"/>
      <c r="GI196" s="377"/>
      <c r="GJ196" s="377"/>
      <c r="GK196" s="377"/>
      <c r="GL196" s="377"/>
      <c r="GM196" s="377"/>
      <c r="GN196" s="377"/>
      <c r="GO196" s="307"/>
      <c r="GP196" s="307"/>
      <c r="GQ196" s="307"/>
      <c r="GR196" s="307"/>
      <c r="GS196" s="307"/>
      <c r="GT196" s="307"/>
      <c r="GU196" s="307"/>
      <c r="GV196" s="307"/>
    </row>
    <row r="197" spans="1:235" ht="3.6" customHeight="1">
      <c r="A197" s="60"/>
      <c r="B197" s="69"/>
      <c r="C197" s="69"/>
      <c r="D197" s="262"/>
      <c r="E197" s="262"/>
      <c r="F197" s="262"/>
      <c r="G197" s="262"/>
      <c r="H197" s="262"/>
      <c r="I197" s="262"/>
      <c r="J197" s="262"/>
      <c r="K197" s="262"/>
      <c r="L197" s="262"/>
      <c r="M197" s="262"/>
      <c r="N197" s="262"/>
      <c r="O197" s="262"/>
      <c r="P197" s="262"/>
      <c r="Q197" s="262"/>
      <c r="R197" s="308"/>
      <c r="S197" s="308"/>
      <c r="T197" s="308"/>
      <c r="U197" s="308"/>
      <c r="V197" s="308"/>
      <c r="W197" s="308"/>
      <c r="X197" s="299"/>
      <c r="Y197" s="299"/>
      <c r="Z197" s="299"/>
      <c r="AA197" s="299"/>
      <c r="AB197" s="299"/>
      <c r="AC197" s="299"/>
      <c r="AD197" s="299"/>
      <c r="AE197" s="299"/>
      <c r="AF197" s="89"/>
      <c r="AG197" s="89"/>
      <c r="AH197" s="308"/>
      <c r="AI197" s="299"/>
      <c r="AJ197" s="299"/>
      <c r="AK197" s="299"/>
      <c r="AL197" s="299"/>
      <c r="AM197" s="299"/>
      <c r="AN197" s="299"/>
      <c r="AO197" s="299"/>
      <c r="AP197" s="299"/>
      <c r="AQ197" s="299"/>
      <c r="AR197" s="299"/>
      <c r="AS197" s="299"/>
      <c r="AT197" s="299"/>
      <c r="AU197" s="299"/>
      <c r="AV197" s="299"/>
      <c r="AW197" s="299"/>
      <c r="AX197" s="299"/>
      <c r="AY197" s="299"/>
      <c r="AZ197" s="299"/>
      <c r="BA197" s="299"/>
      <c r="BB197" s="299"/>
      <c r="BC197" s="299"/>
      <c r="BD197" s="89"/>
      <c r="BE197" s="299"/>
      <c r="BF197" s="299"/>
      <c r="BG197" s="299"/>
      <c r="BH197" s="299"/>
      <c r="BI197" s="299"/>
      <c r="BJ197" s="299"/>
      <c r="BK197" s="299"/>
      <c r="BL197" s="299"/>
      <c r="BM197" s="299"/>
      <c r="BN197" s="299"/>
      <c r="BO197" s="299"/>
      <c r="BP197" s="299"/>
      <c r="BQ197" s="299"/>
      <c r="BR197" s="299"/>
      <c r="BS197" s="299"/>
      <c r="BT197" s="299"/>
      <c r="BU197" s="299"/>
      <c r="BV197" s="299"/>
      <c r="BW197" s="299"/>
      <c r="BX197" s="299"/>
      <c r="BY197" s="299"/>
      <c r="BZ197" s="299"/>
      <c r="CA197" s="299"/>
      <c r="CB197" s="299"/>
      <c r="CC197" s="299"/>
      <c r="CD197" s="268"/>
      <c r="CE197" s="268"/>
      <c r="CF197" s="268"/>
      <c r="CG197" s="268"/>
      <c r="CH197" s="268"/>
      <c r="CI197" s="268"/>
      <c r="CJ197" s="268"/>
      <c r="CK197" s="268"/>
      <c r="CL197" s="268"/>
      <c r="CM197" s="268"/>
      <c r="CN197" s="268"/>
      <c r="CO197" s="268"/>
      <c r="CP197" s="268"/>
      <c r="CQ197" s="268"/>
      <c r="CR197" s="268"/>
      <c r="CS197" s="268"/>
      <c r="CT197" s="268"/>
      <c r="CU197" s="254"/>
      <c r="CV197" s="254"/>
      <c r="CW197" s="254"/>
      <c r="CX197" s="254"/>
      <c r="CY197" s="141"/>
      <c r="CZ197" s="141"/>
      <c r="DA197" s="141"/>
      <c r="DB197" s="89"/>
      <c r="DC197" s="89"/>
      <c r="DD197" s="553" t="str">
        <f ca="1">IF(FL1=0,"","+")</f>
        <v/>
      </c>
      <c r="DE197" s="541" t="e">
        <f>IF(#REF!=0,"","+")</f>
        <v>#REF!</v>
      </c>
      <c r="DF197" s="541" t="e">
        <f>IF(#REF!=0,"","+")</f>
        <v>#REF!</v>
      </c>
      <c r="DG197" s="541" t="e">
        <f>IF(#REF!=0,"","+")</f>
        <v>#REF!</v>
      </c>
      <c r="DH197" s="541" t="e">
        <f>IF(#REF!=0,"","+")</f>
        <v>#REF!</v>
      </c>
      <c r="DI197" s="541"/>
      <c r="DJ197" s="541"/>
      <c r="DK197" s="541"/>
      <c r="DL197" s="541" t="e">
        <f>IF(#REF!=0,"","+")</f>
        <v>#REF!</v>
      </c>
      <c r="DM197" s="541" t="e">
        <f>IF(#REF!=0,"","+")</f>
        <v>#REF!</v>
      </c>
      <c r="DN197" s="541" t="e">
        <f>IF(#REF!=0,"","+")</f>
        <v>#REF!</v>
      </c>
      <c r="DO197" s="541" t="e">
        <f>IF(#REF!=0,"","+")</f>
        <v>#REF!</v>
      </c>
      <c r="DP197" s="541" t="e">
        <f>IF(#REF!=0,"","+")</f>
        <v>#REF!</v>
      </c>
      <c r="DQ197" s="541" t="e">
        <f>IF(#REF!=0,"","+")</f>
        <v>#REF!</v>
      </c>
      <c r="DR197" s="541"/>
      <c r="DS197" s="541"/>
      <c r="DT197" s="541"/>
      <c r="DU197" s="541"/>
      <c r="DV197" s="541"/>
      <c r="DW197" s="541"/>
      <c r="DX197" s="541" t="e">
        <f>IF(#REF!=0,"","+")</f>
        <v>#REF!</v>
      </c>
      <c r="DY197" s="541" t="e">
        <f>IF(#REF!=0,"","+")</f>
        <v>#REF!</v>
      </c>
      <c r="DZ197" s="541" t="e">
        <f>IF(#REF!=0,"","+")</f>
        <v>#REF!</v>
      </c>
      <c r="EA197" s="541" t="e">
        <f>IF(#REF!=0,"","+")</f>
        <v>#REF!</v>
      </c>
      <c r="EB197" s="541" t="e">
        <f>IF(#REF!=0,"","+")</f>
        <v>#REF!</v>
      </c>
      <c r="EC197" s="89"/>
      <c r="ED197" s="89"/>
      <c r="FH197" s="89"/>
      <c r="FI197" s="89"/>
      <c r="FJ197" s="306"/>
      <c r="FK197" s="306"/>
      <c r="FL197" s="300"/>
      <c r="FM197" s="300"/>
      <c r="FN197" s="300"/>
      <c r="FO197" s="300"/>
      <c r="FP197" s="300"/>
      <c r="FQ197" s="108"/>
      <c r="FR197" s="108"/>
      <c r="FS197" s="108"/>
      <c r="FT197" s="108"/>
      <c r="FU197" s="108"/>
      <c r="FV197" s="108"/>
      <c r="FW197" s="108"/>
      <c r="FX197" s="301"/>
      <c r="FY197" s="259"/>
      <c r="FZ197" s="259"/>
      <c r="GA197" s="259"/>
      <c r="GB197" s="259"/>
      <c r="GC197" s="377"/>
      <c r="GD197" s="377"/>
      <c r="GE197" s="377"/>
      <c r="GF197" s="377"/>
      <c r="GG197" s="377"/>
      <c r="GH197" s="377"/>
      <c r="GI197" s="377"/>
      <c r="GJ197" s="377"/>
      <c r="GK197" s="377"/>
      <c r="GL197" s="377"/>
      <c r="GM197" s="377"/>
      <c r="GN197" s="377"/>
      <c r="GO197" s="307"/>
      <c r="GP197" s="307"/>
      <c r="GQ197" s="307"/>
      <c r="GR197" s="307"/>
      <c r="GS197" s="307"/>
      <c r="GT197" s="307"/>
      <c r="GU197" s="307"/>
      <c r="GV197" s="307"/>
    </row>
    <row r="198" spans="1:235" ht="9" customHeight="1">
      <c r="A198" s="60"/>
      <c r="B198" s="69"/>
      <c r="C198" s="69"/>
      <c r="D198" s="262"/>
      <c r="E198" s="262"/>
      <c r="F198" s="262"/>
      <c r="G198" s="262"/>
      <c r="H198" s="262"/>
      <c r="I198" s="262"/>
      <c r="J198" s="262"/>
      <c r="K198" s="262"/>
      <c r="L198" s="262"/>
      <c r="M198" s="262"/>
      <c r="N198" s="262"/>
      <c r="O198" s="262"/>
      <c r="P198" s="262"/>
      <c r="Q198" s="262"/>
      <c r="R198" s="308"/>
      <c r="S198" s="308"/>
      <c r="T198" s="308"/>
      <c r="U198" s="308"/>
      <c r="V198" s="308"/>
      <c r="W198" s="308"/>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89"/>
      <c r="AU198" s="89"/>
      <c r="AV198" s="89"/>
      <c r="AW198" s="89"/>
      <c r="AX198" s="89"/>
      <c r="AY198" s="89"/>
      <c r="AZ198" s="89"/>
      <c r="BA198" s="89"/>
      <c r="BB198" s="89"/>
      <c r="BC198" s="89"/>
      <c r="BD198" s="89"/>
      <c r="BE198" s="89"/>
      <c r="BF198" s="89"/>
      <c r="BG198" s="89"/>
      <c r="BH198" s="89"/>
      <c r="BI198" s="89"/>
      <c r="BJ198" s="89"/>
      <c r="BK198" s="89"/>
      <c r="BL198" s="89"/>
      <c r="BM198" s="89"/>
      <c r="BN198" s="89"/>
      <c r="BO198" s="89"/>
      <c r="BP198" s="89"/>
      <c r="BQ198" s="89"/>
      <c r="BR198" s="89"/>
      <c r="BS198" s="89"/>
      <c r="BT198" s="89"/>
      <c r="BU198" s="89"/>
      <c r="BV198" s="89"/>
      <c r="BW198" s="89"/>
      <c r="BX198" s="89"/>
      <c r="BY198" s="89"/>
      <c r="BZ198" s="89"/>
      <c r="CA198" s="89"/>
      <c r="CB198" s="89"/>
      <c r="CC198" s="89"/>
      <c r="CD198" s="89"/>
      <c r="CE198" s="89"/>
      <c r="CF198" s="89"/>
      <c r="CG198" s="89"/>
      <c r="CH198" s="89"/>
      <c r="CI198" s="89"/>
      <c r="CJ198" s="89"/>
      <c r="CK198" s="89"/>
      <c r="CL198" s="89"/>
      <c r="CM198" s="89"/>
      <c r="CN198" s="89"/>
      <c r="CO198" s="89"/>
      <c r="CP198" s="89"/>
      <c r="CQ198" s="89"/>
      <c r="CR198" s="89"/>
      <c r="CS198" s="89"/>
      <c r="CT198" s="89"/>
      <c r="CU198" s="89"/>
      <c r="CV198" s="89"/>
      <c r="CW198" s="89"/>
      <c r="CX198" s="89"/>
      <c r="CY198" s="89"/>
      <c r="CZ198" s="89"/>
      <c r="DA198" s="89"/>
      <c r="DB198" s="89"/>
      <c r="DC198" s="89"/>
      <c r="DD198" s="89"/>
      <c r="DE198" s="89"/>
      <c r="DF198" s="89"/>
      <c r="DG198" s="89"/>
      <c r="DH198" s="89"/>
      <c r="DI198" s="89"/>
      <c r="DJ198" s="89"/>
      <c r="DK198" s="89"/>
      <c r="DL198" s="89"/>
      <c r="DM198" s="89"/>
      <c r="DN198" s="89"/>
      <c r="DO198" s="89"/>
      <c r="DP198" s="89"/>
      <c r="DQ198" s="89"/>
      <c r="DR198" s="89"/>
      <c r="DS198" s="89"/>
      <c r="DT198" s="89"/>
      <c r="DU198" s="89"/>
      <c r="DV198" s="89"/>
      <c r="DW198" s="89"/>
      <c r="DX198" s="89"/>
      <c r="DY198" s="89"/>
      <c r="DZ198" s="89"/>
      <c r="EA198" s="89"/>
      <c r="EB198" s="89"/>
      <c r="EC198" s="89"/>
      <c r="ED198" s="89"/>
      <c r="FH198" s="89"/>
      <c r="FI198" s="89"/>
      <c r="FJ198" s="306"/>
      <c r="FK198" s="306"/>
      <c r="FL198" s="300"/>
      <c r="FM198" s="300"/>
      <c r="FN198" s="300"/>
      <c r="FO198" s="300"/>
      <c r="FP198" s="300"/>
      <c r="FQ198" s="108"/>
      <c r="FR198" s="108"/>
      <c r="FS198" s="108"/>
      <c r="FT198" s="108"/>
      <c r="FU198" s="108"/>
      <c r="FV198" s="108"/>
      <c r="FW198" s="108"/>
      <c r="FX198" s="301"/>
      <c r="FY198" s="259"/>
      <c r="FZ198" s="259"/>
      <c r="GA198" s="259"/>
      <c r="GB198" s="259"/>
      <c r="GC198" s="377"/>
      <c r="GD198" s="377"/>
      <c r="GE198" s="377"/>
      <c r="GF198" s="377"/>
      <c r="GG198" s="377"/>
      <c r="GH198" s="377"/>
      <c r="GI198" s="377"/>
      <c r="GJ198" s="377"/>
      <c r="GK198" s="377"/>
      <c r="GL198" s="377"/>
      <c r="GM198" s="377"/>
      <c r="GN198" s="377"/>
      <c r="GO198" s="307"/>
      <c r="GP198" s="307"/>
      <c r="GQ198" s="307"/>
      <c r="GR198" s="307"/>
      <c r="GS198" s="307"/>
      <c r="GT198" s="307"/>
      <c r="GU198" s="307"/>
      <c r="GV198" s="307"/>
    </row>
    <row r="199" spans="1:235" ht="3.6" customHeight="1">
      <c r="A199" s="60"/>
      <c r="B199" s="69"/>
      <c r="C199" s="69"/>
      <c r="D199" s="262"/>
      <c r="E199" s="262"/>
      <c r="F199" s="262"/>
      <c r="G199" s="262"/>
      <c r="H199" s="262"/>
      <c r="I199" s="262"/>
      <c r="J199" s="262"/>
      <c r="K199" s="262"/>
      <c r="L199" s="262"/>
      <c r="M199" s="262"/>
      <c r="N199" s="262"/>
      <c r="O199" s="262"/>
      <c r="P199" s="262"/>
      <c r="Q199" s="262"/>
      <c r="R199" s="308"/>
      <c r="S199" s="308"/>
      <c r="T199" s="308"/>
      <c r="U199" s="308"/>
      <c r="V199" s="308"/>
      <c r="W199" s="308"/>
      <c r="X199" s="299"/>
      <c r="Y199" s="299"/>
      <c r="Z199" s="299"/>
      <c r="AA199" s="297"/>
      <c r="AB199" s="297"/>
      <c r="AC199" s="297"/>
      <c r="AD199" s="297"/>
      <c r="AE199" s="297"/>
      <c r="AF199" s="297"/>
      <c r="AG199" s="297"/>
      <c r="AH199" s="297"/>
      <c r="AI199" s="297"/>
      <c r="AJ199" s="297"/>
      <c r="AK199" s="297"/>
      <c r="AL199" s="297"/>
      <c r="AM199" s="297"/>
      <c r="AN199" s="297"/>
      <c r="AO199" s="297"/>
      <c r="AP199" s="297"/>
      <c r="AQ199" s="297"/>
      <c r="AR199" s="297"/>
      <c r="AS199" s="297"/>
      <c r="AT199" s="297"/>
      <c r="AU199" s="297"/>
      <c r="AV199" s="297"/>
      <c r="AW199" s="297"/>
      <c r="AX199" s="297"/>
      <c r="AY199" s="297"/>
      <c r="AZ199" s="297"/>
      <c r="BA199" s="297"/>
      <c r="BB199" s="297"/>
      <c r="BC199" s="297"/>
      <c r="BD199" s="297"/>
      <c r="BE199" s="297"/>
      <c r="BF199" s="297"/>
      <c r="BG199" s="299"/>
      <c r="BH199" s="299"/>
      <c r="BI199" s="299"/>
      <c r="BJ199" s="299"/>
      <c r="BK199" s="299"/>
      <c r="BL199" s="299"/>
      <c r="BM199" s="299"/>
      <c r="BN199" s="299"/>
      <c r="BO199" s="299"/>
      <c r="BP199" s="299"/>
      <c r="BQ199" s="299"/>
      <c r="BR199" s="299"/>
      <c r="BS199" s="299"/>
      <c r="BT199" s="299"/>
      <c r="BU199" s="299"/>
      <c r="BV199" s="299"/>
      <c r="BW199" s="299"/>
      <c r="BX199" s="299"/>
      <c r="BY199" s="299"/>
      <c r="BZ199" s="299"/>
      <c r="CA199" s="299"/>
      <c r="CB199" s="299"/>
      <c r="CC199" s="299"/>
      <c r="CD199" s="268"/>
      <c r="CE199" s="268"/>
      <c r="CF199" s="268"/>
      <c r="CG199" s="268"/>
      <c r="CH199" s="268"/>
      <c r="CI199" s="268"/>
      <c r="CJ199" s="268"/>
      <c r="CK199" s="268"/>
      <c r="CL199" s="268"/>
      <c r="CM199" s="268"/>
      <c r="CN199" s="268"/>
      <c r="CO199" s="268"/>
      <c r="CP199" s="268"/>
      <c r="CQ199" s="268"/>
      <c r="CR199" s="268"/>
      <c r="CS199" s="268"/>
      <c r="CT199" s="268"/>
      <c r="CU199" s="254"/>
      <c r="CV199" s="254"/>
      <c r="CW199" s="254"/>
      <c r="CX199" s="254"/>
      <c r="CY199" s="141"/>
      <c r="CZ199" s="141"/>
      <c r="DA199" s="141"/>
      <c r="DB199" s="89"/>
      <c r="DC199" s="89"/>
      <c r="DD199" s="553" t="str">
        <f ca="1">IF(FL1=0,"","+")</f>
        <v/>
      </c>
      <c r="DE199" s="541" t="e">
        <f>IF(#REF!=0,"","+")</f>
        <v>#REF!</v>
      </c>
      <c r="DF199" s="541" t="e">
        <f>IF(#REF!=0,"","+")</f>
        <v>#REF!</v>
      </c>
      <c r="DG199" s="541" t="e">
        <f>IF(#REF!=0,"","+")</f>
        <v>#REF!</v>
      </c>
      <c r="DH199" s="541" t="e">
        <f>IF(#REF!=0,"","+")</f>
        <v>#REF!</v>
      </c>
      <c r="DI199" s="541"/>
      <c r="DJ199" s="541"/>
      <c r="DK199" s="541"/>
      <c r="DL199" s="541" t="e">
        <f>IF(#REF!=0,"","+")</f>
        <v>#REF!</v>
      </c>
      <c r="DM199" s="541" t="e">
        <f>IF(#REF!=0,"","+")</f>
        <v>#REF!</v>
      </c>
      <c r="DN199" s="541" t="e">
        <f>IF(#REF!=0,"","+")</f>
        <v>#REF!</v>
      </c>
      <c r="DO199" s="541" t="e">
        <f>IF(#REF!=0,"","+")</f>
        <v>#REF!</v>
      </c>
      <c r="DP199" s="541" t="e">
        <f>IF(#REF!=0,"","+")</f>
        <v>#REF!</v>
      </c>
      <c r="DQ199" s="541" t="e">
        <f>IF(#REF!=0,"","+")</f>
        <v>#REF!</v>
      </c>
      <c r="DR199" s="541"/>
      <c r="DS199" s="541"/>
      <c r="DT199" s="541"/>
      <c r="DU199" s="541"/>
      <c r="DV199" s="541"/>
      <c r="DW199" s="541"/>
      <c r="DX199" s="541" t="e">
        <f>IF(#REF!=0,"","+")</f>
        <v>#REF!</v>
      </c>
      <c r="DY199" s="541" t="e">
        <f>IF(#REF!=0,"","+")</f>
        <v>#REF!</v>
      </c>
      <c r="DZ199" s="541" t="e">
        <f>IF(#REF!=0,"","+")</f>
        <v>#REF!</v>
      </c>
      <c r="EA199" s="541" t="e">
        <f>IF(#REF!=0,"","+")</f>
        <v>#REF!</v>
      </c>
      <c r="EB199" s="541" t="e">
        <f>IF(#REF!=0,"","+")</f>
        <v>#REF!</v>
      </c>
      <c r="EC199" s="89"/>
      <c r="ED199" s="89"/>
      <c r="FH199" s="89"/>
      <c r="FI199" s="89"/>
      <c r="FJ199" s="306"/>
      <c r="FK199" s="306"/>
      <c r="FL199" s="300"/>
      <c r="FM199" s="300"/>
      <c r="FN199" s="300"/>
      <c r="FO199" s="300"/>
      <c r="FP199" s="300"/>
      <c r="FQ199" s="108"/>
      <c r="FR199" s="108"/>
      <c r="FS199" s="108"/>
      <c r="FT199" s="108"/>
      <c r="FU199" s="108"/>
      <c r="FV199" s="108"/>
      <c r="FW199" s="108"/>
      <c r="FX199" s="301"/>
      <c r="FY199" s="259"/>
      <c r="FZ199" s="259"/>
      <c r="GA199" s="259"/>
      <c r="GB199" s="259"/>
      <c r="GC199" s="377"/>
      <c r="GD199" s="377"/>
      <c r="GE199" s="377"/>
      <c r="GF199" s="377"/>
      <c r="GG199" s="377"/>
      <c r="GH199" s="377"/>
      <c r="GI199" s="377"/>
      <c r="GJ199" s="377"/>
      <c r="GK199" s="377"/>
      <c r="GL199" s="377"/>
      <c r="GM199" s="377"/>
      <c r="GN199" s="377"/>
      <c r="GO199" s="307"/>
      <c r="GP199" s="307"/>
      <c r="GQ199" s="307"/>
      <c r="GR199" s="307"/>
      <c r="GS199" s="307"/>
      <c r="GT199" s="307"/>
      <c r="GU199" s="307"/>
      <c r="GV199" s="307"/>
    </row>
    <row r="200" spans="1:235" ht="16.5" customHeight="1">
      <c r="A200" s="60"/>
      <c r="B200" s="69"/>
      <c r="C200" s="69"/>
      <c r="D200" s="268"/>
      <c r="E200" s="268"/>
      <c r="F200" s="268"/>
      <c r="G200" s="268"/>
      <c r="H200" s="268"/>
      <c r="I200" s="268"/>
      <c r="J200" s="268"/>
      <c r="K200" s="268"/>
      <c r="L200" s="268"/>
      <c r="M200" s="268"/>
      <c r="N200" s="268"/>
      <c r="O200" s="268"/>
      <c r="P200" s="268"/>
      <c r="Q200" s="268"/>
      <c r="R200" s="299"/>
      <c r="S200" s="299"/>
      <c r="T200" s="299"/>
      <c r="U200" s="299"/>
      <c r="V200" s="299"/>
      <c r="W200" s="299"/>
      <c r="X200" s="299"/>
      <c r="Y200" s="299"/>
      <c r="Z200" s="299"/>
      <c r="AA200" s="297"/>
      <c r="AB200" s="297"/>
      <c r="AC200" s="297"/>
      <c r="AD200" s="297"/>
      <c r="AE200" s="297"/>
      <c r="AF200" s="297"/>
      <c r="AG200" s="297"/>
      <c r="AH200" s="297"/>
      <c r="AI200" s="297"/>
      <c r="AJ200" s="297"/>
      <c r="AK200" s="297"/>
      <c r="AL200" s="297"/>
      <c r="AM200" s="297"/>
      <c r="AN200" s="297"/>
      <c r="AO200" s="297"/>
      <c r="AP200" s="297"/>
      <c r="AQ200" s="297"/>
      <c r="AR200" s="297"/>
      <c r="AS200" s="297"/>
      <c r="AT200" s="297"/>
      <c r="AU200" s="297"/>
      <c r="AV200" s="297"/>
      <c r="AW200" s="297"/>
      <c r="AX200" s="297"/>
      <c r="AY200" s="297"/>
      <c r="AZ200" s="297"/>
      <c r="BA200" s="297"/>
      <c r="BB200" s="297"/>
      <c r="BC200" s="297"/>
      <c r="BD200" s="297"/>
      <c r="BE200" s="297"/>
      <c r="BF200" s="297"/>
      <c r="BG200" s="299"/>
      <c r="BH200" s="299"/>
      <c r="BI200" s="299"/>
      <c r="BJ200" s="299"/>
      <c r="BK200" s="299"/>
      <c r="BL200" s="299"/>
      <c r="BM200" s="299"/>
      <c r="BN200" s="299"/>
      <c r="BO200" s="299"/>
      <c r="BP200" s="299"/>
      <c r="BQ200" s="299"/>
      <c r="BR200" s="299"/>
      <c r="BS200" s="299"/>
      <c r="BT200" s="299"/>
      <c r="BU200" s="299"/>
      <c r="BV200" s="299"/>
      <c r="BW200" s="299"/>
      <c r="BX200" s="299"/>
      <c r="BY200" s="299"/>
      <c r="BZ200" s="299"/>
      <c r="CA200" s="299"/>
      <c r="CB200" s="299"/>
      <c r="CC200" s="299"/>
      <c r="CD200" s="268"/>
      <c r="CE200" s="268"/>
      <c r="CF200" s="268"/>
      <c r="CG200" s="268"/>
      <c r="CH200" s="268"/>
      <c r="CI200" s="268"/>
      <c r="CJ200" s="268"/>
      <c r="CK200" s="268"/>
      <c r="CL200" s="268"/>
      <c r="CM200" s="268"/>
      <c r="CN200" s="268"/>
      <c r="CO200" s="268"/>
      <c r="CP200" s="268"/>
      <c r="CQ200" s="268"/>
      <c r="CR200" s="268"/>
      <c r="CS200" s="268"/>
      <c r="CT200" s="268"/>
      <c r="CU200" s="254"/>
      <c r="CV200" s="254"/>
      <c r="CW200" s="254"/>
      <c r="CX200" s="254"/>
      <c r="CY200" s="141"/>
      <c r="CZ200" s="141"/>
      <c r="DA200" s="141"/>
      <c r="DB200" s="302" t="str">
        <f ca="1">IF(FL1=0,"","de omzet bij de hoeveelheid waarbij maximale winst wordt gemaakt, is:")</f>
        <v/>
      </c>
      <c r="DC200" s="89"/>
      <c r="DD200" s="316" t="str">
        <f ca="1">IF(FL1=0,"","+")</f>
        <v/>
      </c>
      <c r="DE200" s="556"/>
      <c r="DF200" s="557"/>
      <c r="DG200" s="557"/>
      <c r="DH200" s="557"/>
      <c r="DI200" s="557"/>
      <c r="DJ200" s="557"/>
      <c r="DK200" s="557"/>
      <c r="DL200" s="557"/>
      <c r="DM200" s="557"/>
      <c r="DN200" s="557"/>
      <c r="DO200" s="557"/>
      <c r="DP200" s="557"/>
      <c r="DQ200" s="557"/>
      <c r="DR200" s="557"/>
      <c r="DS200" s="557"/>
      <c r="DT200" s="557"/>
      <c r="DU200" s="557"/>
      <c r="DV200" s="557"/>
      <c r="DW200" s="557"/>
      <c r="DX200" s="557"/>
      <c r="DY200" s="557"/>
      <c r="DZ200" s="557"/>
      <c r="EA200" s="557"/>
      <c r="EB200" s="316" t="str">
        <f ca="1">IF(FL1=0,"","+")</f>
        <v/>
      </c>
      <c r="EC200" s="304" t="s">
        <v>131</v>
      </c>
      <c r="ED200" s="141"/>
      <c r="EE200" s="319" t="str">
        <f ca="1">IF(OR(CO461="",TODAY()&gt;=Blad1!AY3),"",IF(FL1=0,"",IF(OR(DE204="",DE196="",DE200=""),"Deze moet je nog (af-) maken.",IF(FL204=1,"Goed!",IF(FO204+FO196+FO200=2,"Je hebt er één fout!","Je hebt er twee of meer fout!")))))</f>
        <v/>
      </c>
      <c r="EF200" s="315"/>
      <c r="EG200" s="315"/>
      <c r="EH200" s="315"/>
      <c r="EI200" s="315"/>
      <c r="EJ200" s="315"/>
      <c r="EK200" s="315"/>
      <c r="EL200" s="315"/>
      <c r="EM200" s="315"/>
      <c r="EN200" s="315"/>
      <c r="EO200" s="315"/>
      <c r="EP200" s="315"/>
      <c r="EQ200" s="315"/>
      <c r="ER200" s="315"/>
      <c r="ES200" s="315"/>
      <c r="ET200" s="315"/>
      <c r="EU200" s="315"/>
      <c r="EV200" s="315"/>
      <c r="EW200" s="315"/>
      <c r="EX200" s="315"/>
      <c r="EY200" s="315"/>
      <c r="EZ200" s="315"/>
      <c r="FA200" s="315"/>
      <c r="FB200" s="315"/>
      <c r="FC200" s="315"/>
      <c r="FD200" s="315"/>
      <c r="FE200" s="315"/>
      <c r="FF200" s="315"/>
      <c r="FG200" s="315"/>
      <c r="FH200" s="89"/>
      <c r="FI200" s="89"/>
      <c r="FJ200" s="306"/>
      <c r="FK200" s="306"/>
      <c r="FL200" s="300"/>
      <c r="FM200" s="300"/>
      <c r="FN200" s="300"/>
      <c r="FO200" s="96">
        <f ca="1">IF(programma!B1="X",1,IF(AND(FL1=1,DE200&gt;FP200-0.01,DE200&lt;FP200+0.01),1,0))</f>
        <v>0</v>
      </c>
      <c r="FP200" s="339">
        <f ca="1">IF(FK1=0,"",0.5*FV188*FP196^2+FZ188*FP196)</f>
        <v>1130595</v>
      </c>
      <c r="FQ200" s="300"/>
      <c r="FR200" s="108"/>
      <c r="FS200" s="108"/>
      <c r="FT200" s="108"/>
      <c r="FU200" s="108"/>
      <c r="FV200" s="108"/>
      <c r="FW200" s="108"/>
      <c r="FX200" s="301"/>
      <c r="FY200" s="259"/>
      <c r="FZ200" s="259"/>
      <c r="GA200" s="259"/>
      <c r="GB200" s="259"/>
      <c r="GC200" s="377"/>
      <c r="GD200" s="377"/>
      <c r="GE200" s="377"/>
      <c r="GF200" s="377"/>
      <c r="GG200" s="377"/>
      <c r="GH200" s="377"/>
      <c r="GI200" s="377"/>
      <c r="GJ200" s="377"/>
      <c r="GK200" s="377"/>
      <c r="GL200" s="377"/>
      <c r="GM200" s="377"/>
      <c r="GN200" s="377"/>
      <c r="GO200" s="307"/>
      <c r="GP200" s="307"/>
      <c r="GQ200" s="307"/>
      <c r="GR200" s="307"/>
      <c r="GS200" s="307"/>
      <c r="GT200" s="307"/>
      <c r="GU200" s="307"/>
      <c r="GV200" s="307"/>
    </row>
    <row r="201" spans="1:235" ht="3.6" customHeight="1">
      <c r="A201" s="60"/>
      <c r="B201" s="69"/>
      <c r="C201" s="69"/>
      <c r="D201" s="262"/>
      <c r="E201" s="262"/>
      <c r="F201" s="262"/>
      <c r="G201" s="262"/>
      <c r="H201" s="262"/>
      <c r="I201" s="262"/>
      <c r="J201" s="262"/>
      <c r="K201" s="262"/>
      <c r="L201" s="262"/>
      <c r="M201" s="262"/>
      <c r="N201" s="262"/>
      <c r="O201" s="262"/>
      <c r="P201" s="262"/>
      <c r="Q201" s="262"/>
      <c r="R201" s="308"/>
      <c r="S201" s="308"/>
      <c r="T201" s="308"/>
      <c r="U201" s="308"/>
      <c r="V201" s="308"/>
      <c r="W201" s="308"/>
      <c r="X201" s="299"/>
      <c r="Y201" s="299"/>
      <c r="Z201" s="299"/>
      <c r="AA201" s="297"/>
      <c r="AB201" s="297"/>
      <c r="AC201" s="297"/>
      <c r="AD201" s="297"/>
      <c r="AE201" s="297"/>
      <c r="AF201" s="297"/>
      <c r="AG201" s="297"/>
      <c r="AH201" s="297"/>
      <c r="AI201" s="297"/>
      <c r="AJ201" s="297"/>
      <c r="AK201" s="297"/>
      <c r="AL201" s="297"/>
      <c r="AM201" s="297"/>
      <c r="AN201" s="297"/>
      <c r="AO201" s="297"/>
      <c r="AP201" s="297"/>
      <c r="AQ201" s="297"/>
      <c r="AR201" s="297"/>
      <c r="AS201" s="297"/>
      <c r="AT201" s="297"/>
      <c r="AU201" s="297"/>
      <c r="AV201" s="297"/>
      <c r="AW201" s="297"/>
      <c r="AX201" s="297"/>
      <c r="AY201" s="297"/>
      <c r="AZ201" s="297"/>
      <c r="BA201" s="297"/>
      <c r="BB201" s="297"/>
      <c r="BC201" s="297"/>
      <c r="BD201" s="297"/>
      <c r="BE201" s="297"/>
      <c r="BF201" s="297"/>
      <c r="BG201" s="299"/>
      <c r="BH201" s="299"/>
      <c r="BI201" s="299"/>
      <c r="BJ201" s="299"/>
      <c r="BK201" s="299"/>
      <c r="BL201" s="299"/>
      <c r="BM201" s="299"/>
      <c r="BN201" s="299"/>
      <c r="BO201" s="299"/>
      <c r="BP201" s="299"/>
      <c r="BQ201" s="299"/>
      <c r="BR201" s="299"/>
      <c r="BS201" s="299"/>
      <c r="BT201" s="299"/>
      <c r="BU201" s="299"/>
      <c r="BV201" s="299"/>
      <c r="BW201" s="299"/>
      <c r="BX201" s="299"/>
      <c r="BY201" s="299"/>
      <c r="BZ201" s="299"/>
      <c r="CA201" s="299"/>
      <c r="CB201" s="299"/>
      <c r="CC201" s="299"/>
      <c r="CD201" s="268"/>
      <c r="CE201" s="268"/>
      <c r="CF201" s="268"/>
      <c r="CG201" s="268"/>
      <c r="CH201" s="268"/>
      <c r="CI201" s="268"/>
      <c r="CJ201" s="268"/>
      <c r="CK201" s="268"/>
      <c r="CL201" s="268"/>
      <c r="CM201" s="268"/>
      <c r="CN201" s="268"/>
      <c r="CO201" s="268"/>
      <c r="CP201" s="268"/>
      <c r="CQ201" s="268"/>
      <c r="CR201" s="268"/>
      <c r="CS201" s="268"/>
      <c r="CT201" s="268"/>
      <c r="CU201" s="254"/>
      <c r="CV201" s="254"/>
      <c r="CW201" s="254"/>
      <c r="CX201" s="254"/>
      <c r="CY201" s="141"/>
      <c r="CZ201" s="141"/>
      <c r="DA201" s="141"/>
      <c r="DB201" s="89"/>
      <c r="DC201" s="89"/>
      <c r="DD201" s="553" t="str">
        <f ca="1">IF(FL1=0,"","+")</f>
        <v/>
      </c>
      <c r="DE201" s="541" t="e">
        <f>IF(#REF!=0,"","+")</f>
        <v>#REF!</v>
      </c>
      <c r="DF201" s="541" t="e">
        <f>IF(#REF!=0,"","+")</f>
        <v>#REF!</v>
      </c>
      <c r="DG201" s="541" t="e">
        <f>IF(#REF!=0,"","+")</f>
        <v>#REF!</v>
      </c>
      <c r="DH201" s="541" t="e">
        <f>IF(#REF!=0,"","+")</f>
        <v>#REF!</v>
      </c>
      <c r="DI201" s="541"/>
      <c r="DJ201" s="541"/>
      <c r="DK201" s="541"/>
      <c r="DL201" s="541" t="e">
        <f>IF(#REF!=0,"","+")</f>
        <v>#REF!</v>
      </c>
      <c r="DM201" s="541" t="e">
        <f>IF(#REF!=0,"","+")</f>
        <v>#REF!</v>
      </c>
      <c r="DN201" s="541" t="e">
        <f>IF(#REF!=0,"","+")</f>
        <v>#REF!</v>
      </c>
      <c r="DO201" s="541" t="e">
        <f>IF(#REF!=0,"","+")</f>
        <v>#REF!</v>
      </c>
      <c r="DP201" s="541" t="e">
        <f>IF(#REF!=0,"","+")</f>
        <v>#REF!</v>
      </c>
      <c r="DQ201" s="541" t="e">
        <f>IF(#REF!=0,"","+")</f>
        <v>#REF!</v>
      </c>
      <c r="DR201" s="541"/>
      <c r="DS201" s="541"/>
      <c r="DT201" s="541"/>
      <c r="DU201" s="541"/>
      <c r="DV201" s="541"/>
      <c r="DW201" s="541"/>
      <c r="DX201" s="541" t="e">
        <f>IF(#REF!=0,"","+")</f>
        <v>#REF!</v>
      </c>
      <c r="DY201" s="541" t="e">
        <f>IF(#REF!=0,"","+")</f>
        <v>#REF!</v>
      </c>
      <c r="DZ201" s="541" t="e">
        <f>IF(#REF!=0,"","+")</f>
        <v>#REF!</v>
      </c>
      <c r="EA201" s="541" t="e">
        <f>IF(#REF!=0,"","+")</f>
        <v>#REF!</v>
      </c>
      <c r="EB201" s="541" t="e">
        <f>IF(#REF!=0,"","+")</f>
        <v>#REF!</v>
      </c>
      <c r="EC201" s="89"/>
      <c r="ED201" s="89"/>
      <c r="EE201" s="315"/>
      <c r="EF201" s="315"/>
      <c r="EG201" s="315"/>
      <c r="EH201" s="315"/>
      <c r="EI201" s="315"/>
      <c r="EJ201" s="315"/>
      <c r="EK201" s="315"/>
      <c r="EL201" s="315"/>
      <c r="EM201" s="315"/>
      <c r="EN201" s="315"/>
      <c r="EO201" s="315"/>
      <c r="EP201" s="315"/>
      <c r="EQ201" s="315"/>
      <c r="ER201" s="315"/>
      <c r="ES201" s="315"/>
      <c r="ET201" s="315"/>
      <c r="EU201" s="315"/>
      <c r="EV201" s="315"/>
      <c r="EW201" s="315"/>
      <c r="EX201" s="315"/>
      <c r="EY201" s="315"/>
      <c r="EZ201" s="315"/>
      <c r="FA201" s="315"/>
      <c r="FB201" s="315"/>
      <c r="FC201" s="315"/>
      <c r="FD201" s="315"/>
      <c r="FE201" s="315"/>
      <c r="FF201" s="315"/>
      <c r="FG201" s="315"/>
      <c r="FH201" s="89"/>
      <c r="FI201" s="89"/>
      <c r="FJ201" s="306"/>
      <c r="FK201" s="306"/>
      <c r="FL201" s="96"/>
      <c r="FM201" s="300"/>
      <c r="FN201" s="300"/>
      <c r="FO201" s="96"/>
      <c r="FP201" s="108"/>
      <c r="FQ201" s="108"/>
      <c r="FR201" s="108"/>
      <c r="FS201" s="108"/>
      <c r="FT201" s="108"/>
      <c r="FU201" s="108"/>
      <c r="FV201" s="108"/>
      <c r="FW201" s="108"/>
      <c r="FX201" s="301"/>
      <c r="FY201" s="259"/>
      <c r="FZ201" s="259"/>
      <c r="GA201" s="259"/>
      <c r="GB201" s="259"/>
      <c r="GC201" s="377"/>
      <c r="GD201" s="377"/>
      <c r="GE201" s="377"/>
      <c r="GF201" s="377"/>
      <c r="GG201" s="377"/>
      <c r="GH201" s="377"/>
      <c r="GI201" s="377"/>
      <c r="GJ201" s="377"/>
      <c r="GK201" s="377"/>
      <c r="GL201" s="377"/>
      <c r="GM201" s="377"/>
      <c r="GN201" s="377"/>
      <c r="GO201" s="307"/>
      <c r="GP201" s="307"/>
      <c r="GQ201" s="307"/>
      <c r="GR201" s="307"/>
      <c r="GS201" s="307"/>
      <c r="GT201" s="307"/>
      <c r="GU201" s="307"/>
      <c r="GV201" s="307"/>
    </row>
    <row r="202" spans="1:235" ht="9" customHeight="1">
      <c r="A202" s="60"/>
      <c r="B202" s="69"/>
      <c r="C202" s="69"/>
      <c r="D202" s="308"/>
      <c r="E202" s="308"/>
      <c r="F202" s="308"/>
      <c r="G202" s="308"/>
      <c r="H202" s="308"/>
      <c r="I202" s="308"/>
      <c r="J202" s="308"/>
      <c r="K202" s="308"/>
      <c r="L202" s="308"/>
      <c r="M202" s="308"/>
      <c r="N202" s="308"/>
      <c r="O202" s="308"/>
      <c r="P202" s="308"/>
      <c r="Q202" s="308"/>
      <c r="R202" s="308"/>
      <c r="S202" s="308"/>
      <c r="T202" s="308"/>
      <c r="U202" s="308"/>
      <c r="V202" s="308"/>
      <c r="W202" s="308"/>
      <c r="X202" s="89"/>
      <c r="Y202" s="89"/>
      <c r="Z202" s="89"/>
      <c r="AA202" s="89"/>
      <c r="AB202" s="89"/>
      <c r="AC202" s="89"/>
      <c r="AD202" s="89"/>
      <c r="AE202" s="89"/>
      <c r="AF202" s="89"/>
      <c r="AG202" s="89"/>
      <c r="AH202" s="89"/>
      <c r="AI202" s="89"/>
      <c r="AJ202" s="89"/>
      <c r="AK202" s="89"/>
      <c r="AL202" s="89"/>
      <c r="AM202" s="89"/>
      <c r="AN202" s="89"/>
      <c r="AO202" s="89"/>
      <c r="AP202" s="89"/>
      <c r="AQ202" s="89"/>
      <c r="AR202" s="89"/>
      <c r="AS202" s="89"/>
      <c r="AT202" s="89"/>
      <c r="AU202" s="89"/>
      <c r="AV202" s="89"/>
      <c r="AW202" s="89"/>
      <c r="AX202" s="89"/>
      <c r="AY202" s="89"/>
      <c r="AZ202" s="89"/>
      <c r="BA202" s="89"/>
      <c r="BB202" s="89"/>
      <c r="BC202" s="89"/>
      <c r="BD202" s="89"/>
      <c r="BE202" s="89"/>
      <c r="BF202" s="89"/>
      <c r="BG202" s="89"/>
      <c r="BH202" s="89"/>
      <c r="BI202" s="89"/>
      <c r="BJ202" s="89"/>
      <c r="BK202" s="89"/>
      <c r="BL202" s="89"/>
      <c r="BM202" s="89"/>
      <c r="BN202" s="89"/>
      <c r="BO202" s="89"/>
      <c r="BP202" s="89"/>
      <c r="BQ202" s="89"/>
      <c r="BR202" s="89"/>
      <c r="BS202" s="89"/>
      <c r="BT202" s="89"/>
      <c r="BU202" s="89"/>
      <c r="BV202" s="89"/>
      <c r="BW202" s="89"/>
      <c r="BX202" s="89"/>
      <c r="BY202" s="89"/>
      <c r="BZ202" s="89"/>
      <c r="CA202" s="89"/>
      <c r="CB202" s="89"/>
      <c r="CC202" s="89"/>
      <c r="CD202" s="89"/>
      <c r="CE202" s="89"/>
      <c r="CF202" s="89"/>
      <c r="CG202" s="89"/>
      <c r="CH202" s="89"/>
      <c r="CI202" s="89"/>
      <c r="CJ202" s="89"/>
      <c r="CK202" s="89"/>
      <c r="CL202" s="89"/>
      <c r="CM202" s="89"/>
      <c r="CN202" s="89"/>
      <c r="CO202" s="89"/>
      <c r="CP202" s="89"/>
      <c r="CQ202" s="89"/>
      <c r="CR202" s="89"/>
      <c r="CS202" s="89"/>
      <c r="CT202" s="89"/>
      <c r="CU202" s="89"/>
      <c r="CV202" s="89"/>
      <c r="CW202" s="89"/>
      <c r="CX202" s="89"/>
      <c r="CY202" s="89"/>
      <c r="CZ202" s="89"/>
      <c r="DA202" s="89"/>
      <c r="DB202" s="89"/>
      <c r="DC202" s="89"/>
      <c r="DD202" s="89"/>
      <c r="DE202" s="89"/>
      <c r="DF202" s="89"/>
      <c r="DG202" s="89"/>
      <c r="DH202" s="89"/>
      <c r="DI202" s="89"/>
      <c r="DJ202" s="89"/>
      <c r="DK202" s="89"/>
      <c r="DL202" s="89"/>
      <c r="DM202" s="89"/>
      <c r="DN202" s="89"/>
      <c r="DO202" s="89"/>
      <c r="DP202" s="89"/>
      <c r="DQ202" s="89"/>
      <c r="DR202" s="89"/>
      <c r="DS202" s="89"/>
      <c r="DT202" s="89"/>
      <c r="DU202" s="89"/>
      <c r="DV202" s="89"/>
      <c r="DW202" s="89"/>
      <c r="DX202" s="89"/>
      <c r="DY202" s="89"/>
      <c r="DZ202" s="89"/>
      <c r="EA202" s="89"/>
      <c r="EB202" s="89"/>
      <c r="EC202" s="89"/>
      <c r="ED202" s="89"/>
      <c r="EE202" s="315"/>
      <c r="EF202" s="315"/>
      <c r="EG202" s="315"/>
      <c r="EH202" s="315"/>
      <c r="EI202" s="315"/>
      <c r="EJ202" s="315"/>
      <c r="EK202" s="315"/>
      <c r="EL202" s="315"/>
      <c r="EM202" s="315"/>
      <c r="EN202" s="315"/>
      <c r="EO202" s="315"/>
      <c r="EP202" s="315"/>
      <c r="EQ202" s="315"/>
      <c r="ER202" s="315"/>
      <c r="ES202" s="315"/>
      <c r="ET202" s="315"/>
      <c r="EU202" s="315"/>
      <c r="EV202" s="315"/>
      <c r="EW202" s="315"/>
      <c r="EX202" s="315"/>
      <c r="EY202" s="315"/>
      <c r="EZ202" s="315"/>
      <c r="FA202" s="315"/>
      <c r="FB202" s="315"/>
      <c r="FC202" s="315"/>
      <c r="FD202" s="315"/>
      <c r="FE202" s="315"/>
      <c r="FF202" s="315"/>
      <c r="FG202" s="315"/>
      <c r="FH202" s="89"/>
      <c r="FI202" s="89"/>
      <c r="FJ202" s="306"/>
      <c r="FK202" s="306"/>
      <c r="FL202" s="300"/>
      <c r="FM202" s="300"/>
      <c r="FN202" s="300"/>
      <c r="FO202" s="300"/>
      <c r="FP202" s="300"/>
      <c r="FQ202" s="108"/>
      <c r="FR202" s="108"/>
      <c r="FS202" s="108"/>
      <c r="FT202" s="108"/>
      <c r="FU202" s="108"/>
      <c r="FV202" s="108"/>
      <c r="FW202" s="108"/>
      <c r="FX202" s="301"/>
      <c r="FY202" s="259"/>
      <c r="FZ202" s="259"/>
      <c r="GA202" s="259"/>
      <c r="GB202" s="259"/>
      <c r="GC202" s="377"/>
      <c r="GD202" s="377"/>
      <c r="GE202" s="377"/>
      <c r="GF202" s="377"/>
      <c r="GG202" s="377"/>
      <c r="GH202" s="377"/>
      <c r="GI202" s="377"/>
      <c r="GJ202" s="377"/>
      <c r="GK202" s="377"/>
      <c r="GL202" s="377"/>
      <c r="GM202" s="377"/>
      <c r="GN202" s="377"/>
      <c r="GO202" s="307"/>
      <c r="GP202" s="307"/>
      <c r="GQ202" s="307"/>
      <c r="GR202" s="307"/>
      <c r="GS202" s="307"/>
      <c r="GT202" s="307"/>
      <c r="GU202" s="307"/>
      <c r="GV202" s="307"/>
    </row>
    <row r="203" spans="1:235" ht="3.6" customHeight="1">
      <c r="A203" s="60"/>
      <c r="B203" s="69"/>
      <c r="C203" s="69"/>
      <c r="D203" s="308"/>
      <c r="E203" s="308"/>
      <c r="F203" s="308"/>
      <c r="G203" s="308"/>
      <c r="H203" s="308"/>
      <c r="I203" s="308"/>
      <c r="J203" s="308"/>
      <c r="K203" s="308"/>
      <c r="L203" s="308"/>
      <c r="M203" s="308"/>
      <c r="N203" s="308"/>
      <c r="O203" s="308"/>
      <c r="P203" s="308"/>
      <c r="Q203" s="308"/>
      <c r="R203" s="308"/>
      <c r="S203" s="308"/>
      <c r="T203" s="308"/>
      <c r="U203" s="308"/>
      <c r="V203" s="308"/>
      <c r="W203" s="308"/>
      <c r="X203" s="299"/>
      <c r="Y203" s="299"/>
      <c r="Z203" s="299"/>
      <c r="AA203" s="297"/>
      <c r="AB203" s="297"/>
      <c r="AC203" s="297"/>
      <c r="AD203" s="297"/>
      <c r="AE203" s="297"/>
      <c r="AF203" s="297"/>
      <c r="AG203" s="297"/>
      <c r="AH203" s="297"/>
      <c r="AI203" s="297"/>
      <c r="AJ203" s="297"/>
      <c r="AK203" s="297"/>
      <c r="AL203" s="297"/>
      <c r="AM203" s="297"/>
      <c r="AN203" s="297"/>
      <c r="AO203" s="297"/>
      <c r="AP203" s="297"/>
      <c r="AQ203" s="297"/>
      <c r="AR203" s="297"/>
      <c r="AS203" s="297"/>
      <c r="AT203" s="297"/>
      <c r="AU203" s="297"/>
      <c r="AV203" s="297"/>
      <c r="AW203" s="297"/>
      <c r="AX203" s="297"/>
      <c r="AY203" s="297"/>
      <c r="AZ203" s="297"/>
      <c r="BA203" s="297"/>
      <c r="BB203" s="297"/>
      <c r="BC203" s="297"/>
      <c r="BD203" s="297"/>
      <c r="BE203" s="297"/>
      <c r="BF203" s="297"/>
      <c r="BG203" s="299"/>
      <c r="BH203" s="299"/>
      <c r="BI203" s="299"/>
      <c r="BJ203" s="299"/>
      <c r="BK203" s="299"/>
      <c r="BL203" s="299"/>
      <c r="BM203" s="299"/>
      <c r="BN203" s="299"/>
      <c r="BO203" s="299"/>
      <c r="BP203" s="299"/>
      <c r="BQ203" s="299"/>
      <c r="BR203" s="299"/>
      <c r="BS203" s="299"/>
      <c r="BT203" s="299"/>
      <c r="BU203" s="299"/>
      <c r="BV203" s="299"/>
      <c r="BW203" s="299"/>
      <c r="BX203" s="299"/>
      <c r="BY203" s="299"/>
      <c r="BZ203" s="299"/>
      <c r="CA203" s="299"/>
      <c r="CB203" s="299"/>
      <c r="CC203" s="299"/>
      <c r="CD203" s="268"/>
      <c r="CE203" s="268"/>
      <c r="CF203" s="268"/>
      <c r="CG203" s="268"/>
      <c r="CH203" s="268"/>
      <c r="CI203" s="268"/>
      <c r="CJ203" s="268"/>
      <c r="CK203" s="268"/>
      <c r="CL203" s="268"/>
      <c r="CM203" s="268"/>
      <c r="CN203" s="268"/>
      <c r="CO203" s="268"/>
      <c r="CP203" s="268"/>
      <c r="CQ203" s="268"/>
      <c r="CR203" s="268"/>
      <c r="CS203" s="268"/>
      <c r="CT203" s="268"/>
      <c r="CU203" s="299"/>
      <c r="CV203" s="299"/>
      <c r="CW203" s="299"/>
      <c r="CX203" s="299"/>
      <c r="CY203" s="141"/>
      <c r="CZ203" s="141"/>
      <c r="DA203" s="141"/>
      <c r="DB203" s="89"/>
      <c r="DC203" s="89"/>
      <c r="DD203" s="553" t="str">
        <f ca="1">IF(FL1=0,"","+")</f>
        <v/>
      </c>
      <c r="DE203" s="541" t="e">
        <f>IF(#REF!=0,"","+")</f>
        <v>#REF!</v>
      </c>
      <c r="DF203" s="541" t="e">
        <f>IF(#REF!=0,"","+")</f>
        <v>#REF!</v>
      </c>
      <c r="DG203" s="541" t="e">
        <f>IF(#REF!=0,"","+")</f>
        <v>#REF!</v>
      </c>
      <c r="DH203" s="541" t="e">
        <f>IF(#REF!=0,"","+")</f>
        <v>#REF!</v>
      </c>
      <c r="DI203" s="541"/>
      <c r="DJ203" s="541"/>
      <c r="DK203" s="541"/>
      <c r="DL203" s="541" t="e">
        <f>IF(#REF!=0,"","+")</f>
        <v>#REF!</v>
      </c>
      <c r="DM203" s="541" t="e">
        <f>IF(#REF!=0,"","+")</f>
        <v>#REF!</v>
      </c>
      <c r="DN203" s="541" t="e">
        <f>IF(#REF!=0,"","+")</f>
        <v>#REF!</v>
      </c>
      <c r="DO203" s="541" t="e">
        <f>IF(#REF!=0,"","+")</f>
        <v>#REF!</v>
      </c>
      <c r="DP203" s="541" t="e">
        <f>IF(#REF!=0,"","+")</f>
        <v>#REF!</v>
      </c>
      <c r="DQ203" s="541" t="e">
        <f>IF(#REF!=0,"","+")</f>
        <v>#REF!</v>
      </c>
      <c r="DR203" s="541"/>
      <c r="DS203" s="541"/>
      <c r="DT203" s="541"/>
      <c r="DU203" s="541"/>
      <c r="DV203" s="541"/>
      <c r="DW203" s="541"/>
      <c r="DX203" s="541" t="e">
        <f>IF(#REF!=0,"","+")</f>
        <v>#REF!</v>
      </c>
      <c r="DY203" s="541" t="e">
        <f>IF(#REF!=0,"","+")</f>
        <v>#REF!</v>
      </c>
      <c r="DZ203" s="541" t="e">
        <f>IF(#REF!=0,"","+")</f>
        <v>#REF!</v>
      </c>
      <c r="EA203" s="541" t="e">
        <f>IF(#REF!=0,"","+")</f>
        <v>#REF!</v>
      </c>
      <c r="EB203" s="541" t="e">
        <f>IF(#REF!=0,"","+")</f>
        <v>#REF!</v>
      </c>
      <c r="EC203" s="89"/>
      <c r="ED203" s="89"/>
      <c r="EE203" s="268"/>
      <c r="EF203" s="141"/>
      <c r="EG203" s="141"/>
      <c r="EH203" s="141"/>
      <c r="EI203" s="141"/>
      <c r="EJ203" s="141"/>
      <c r="EK203" s="141"/>
      <c r="EL203" s="141"/>
      <c r="EM203" s="141"/>
      <c r="EN203" s="141"/>
      <c r="EO203" s="141"/>
      <c r="EP203" s="141"/>
      <c r="EQ203" s="141"/>
      <c r="ER203" s="141"/>
      <c r="ES203" s="141"/>
      <c r="ET203" s="141"/>
      <c r="EU203" s="141"/>
      <c r="EV203" s="141"/>
      <c r="EW203" s="141"/>
      <c r="EX203" s="141"/>
      <c r="EY203" s="141"/>
      <c r="EZ203" s="141"/>
      <c r="FA203" s="141"/>
      <c r="FB203" s="141"/>
      <c r="FC203" s="141"/>
      <c r="FD203" s="141"/>
      <c r="FE203" s="141"/>
      <c r="FF203" s="141"/>
      <c r="FG203" s="141"/>
      <c r="FH203" s="89"/>
      <c r="FI203" s="89"/>
      <c r="FJ203" s="306"/>
      <c r="FK203" s="306"/>
      <c r="FL203" s="300"/>
      <c r="FM203" s="300"/>
      <c r="FN203" s="300"/>
      <c r="FO203" s="300"/>
      <c r="FP203" s="300"/>
      <c r="FQ203" s="108"/>
      <c r="FR203" s="108"/>
      <c r="FS203" s="108"/>
      <c r="FT203" s="108"/>
      <c r="FU203" s="108"/>
      <c r="FV203" s="108"/>
      <c r="FW203" s="108"/>
      <c r="FX203" s="301"/>
      <c r="FY203" s="259"/>
      <c r="FZ203" s="259"/>
      <c r="GA203" s="259"/>
      <c r="GB203" s="259"/>
      <c r="GC203" s="377"/>
      <c r="GD203" s="377"/>
      <c r="GE203" s="377"/>
      <c r="GF203" s="377"/>
      <c r="GG203" s="377"/>
      <c r="GH203" s="377"/>
      <c r="GI203" s="377"/>
      <c r="GJ203" s="377"/>
      <c r="GK203" s="377"/>
      <c r="GL203" s="377"/>
      <c r="GM203" s="377"/>
      <c r="GN203" s="377"/>
      <c r="GO203" s="307"/>
      <c r="GP203" s="307"/>
      <c r="GQ203" s="307"/>
      <c r="GR203" s="307"/>
      <c r="GS203" s="307"/>
      <c r="GT203" s="307"/>
      <c r="GU203" s="307"/>
      <c r="GV203" s="307"/>
    </row>
    <row r="204" spans="1:235" ht="16.5" customHeight="1">
      <c r="A204" s="60"/>
      <c r="B204" s="69"/>
      <c r="C204" s="69"/>
      <c r="D204" s="268"/>
      <c r="E204" s="268"/>
      <c r="F204" s="268"/>
      <c r="G204" s="268"/>
      <c r="H204" s="268"/>
      <c r="I204" s="268"/>
      <c r="J204" s="268"/>
      <c r="K204" s="268"/>
      <c r="L204" s="268"/>
      <c r="M204" s="268"/>
      <c r="N204" s="268"/>
      <c r="O204" s="268"/>
      <c r="P204" s="268"/>
      <c r="Q204" s="268"/>
      <c r="R204" s="299"/>
      <c r="S204" s="299"/>
      <c r="T204" s="299"/>
      <c r="U204" s="299"/>
      <c r="V204" s="299"/>
      <c r="W204" s="299"/>
      <c r="X204" s="299"/>
      <c r="Y204" s="299"/>
      <c r="Z204" s="299"/>
      <c r="AA204" s="297"/>
      <c r="AB204" s="297"/>
      <c r="AC204" s="297"/>
      <c r="AD204" s="297"/>
      <c r="AE204" s="297"/>
      <c r="AF204" s="297"/>
      <c r="AG204" s="297"/>
      <c r="AH204" s="297"/>
      <c r="AI204" s="297"/>
      <c r="AJ204" s="297"/>
      <c r="AK204" s="297"/>
      <c r="AL204" s="297"/>
      <c r="AM204" s="297"/>
      <c r="AN204" s="297"/>
      <c r="AO204" s="297"/>
      <c r="AP204" s="297"/>
      <c r="AQ204" s="297"/>
      <c r="AR204" s="297"/>
      <c r="AS204" s="297"/>
      <c r="AT204" s="297"/>
      <c r="AU204" s="297"/>
      <c r="AV204" s="297"/>
      <c r="AW204" s="297"/>
      <c r="AX204" s="297"/>
      <c r="AY204" s="297"/>
      <c r="AZ204" s="297"/>
      <c r="BA204" s="297"/>
      <c r="BB204" s="297"/>
      <c r="BC204" s="297"/>
      <c r="BD204" s="297"/>
      <c r="BE204" s="297"/>
      <c r="BF204" s="297"/>
      <c r="BG204" s="299"/>
      <c r="BH204" s="299"/>
      <c r="BI204" s="299"/>
      <c r="BJ204" s="299"/>
      <c r="BK204" s="299"/>
      <c r="BL204" s="299"/>
      <c r="BM204" s="299"/>
      <c r="BN204" s="299"/>
      <c r="BO204" s="299"/>
      <c r="BP204" s="299"/>
      <c r="BQ204" s="299"/>
      <c r="BR204" s="299"/>
      <c r="BS204" s="299"/>
      <c r="BT204" s="299"/>
      <c r="BU204" s="299"/>
      <c r="BV204" s="299"/>
      <c r="BW204" s="299"/>
      <c r="BX204" s="299"/>
      <c r="BY204" s="299"/>
      <c r="BZ204" s="299"/>
      <c r="CA204" s="299"/>
      <c r="CB204" s="299"/>
      <c r="CC204" s="299"/>
      <c r="CD204" s="268"/>
      <c r="CE204" s="268"/>
      <c r="CF204" s="268"/>
      <c r="CG204" s="268"/>
      <c r="CH204" s="268"/>
      <c r="CI204" s="268"/>
      <c r="CJ204" s="268"/>
      <c r="CK204" s="268"/>
      <c r="CL204" s="268"/>
      <c r="CM204" s="268"/>
      <c r="CN204" s="268"/>
      <c r="CO204" s="268"/>
      <c r="CP204" s="268"/>
      <c r="CQ204" s="268"/>
      <c r="CR204" s="268"/>
      <c r="CS204" s="268"/>
      <c r="CT204" s="268"/>
      <c r="CU204" s="299"/>
      <c r="CV204" s="299"/>
      <c r="CW204" s="299"/>
      <c r="CX204" s="299"/>
      <c r="CY204" s="141"/>
      <c r="CZ204" s="141"/>
      <c r="DA204" s="141"/>
      <c r="DB204" s="302" t="str">
        <f ca="1">IF(FL1=0,"","de maximale winst is:")</f>
        <v/>
      </c>
      <c r="DC204" s="89"/>
      <c r="DD204" s="316" t="str">
        <f ca="1">IF(FL1=0,"","+")</f>
        <v/>
      </c>
      <c r="DE204" s="556"/>
      <c r="DF204" s="557"/>
      <c r="DG204" s="557"/>
      <c r="DH204" s="557"/>
      <c r="DI204" s="557"/>
      <c r="DJ204" s="557"/>
      <c r="DK204" s="557"/>
      <c r="DL204" s="557"/>
      <c r="DM204" s="557"/>
      <c r="DN204" s="557"/>
      <c r="DO204" s="557"/>
      <c r="DP204" s="557"/>
      <c r="DQ204" s="557"/>
      <c r="DR204" s="557"/>
      <c r="DS204" s="557"/>
      <c r="DT204" s="557"/>
      <c r="DU204" s="557"/>
      <c r="DV204" s="557"/>
      <c r="DW204" s="557"/>
      <c r="DX204" s="557"/>
      <c r="DY204" s="557"/>
      <c r="DZ204" s="557"/>
      <c r="EA204" s="557"/>
      <c r="EB204" s="316" t="str">
        <f ca="1">IF(FL1=0,"","+")</f>
        <v/>
      </c>
      <c r="EC204" s="304" t="s">
        <v>131</v>
      </c>
      <c r="ED204" s="141"/>
      <c r="EE204" s="298"/>
      <c r="EF204" s="299"/>
      <c r="EG204" s="89"/>
      <c r="EH204" s="89"/>
      <c r="EI204" s="89"/>
      <c r="EJ204" s="89"/>
      <c r="EK204" s="89"/>
      <c r="EL204" s="89"/>
      <c r="EM204" s="89"/>
      <c r="EN204" s="89"/>
      <c r="EO204" s="89"/>
      <c r="EP204" s="89"/>
      <c r="EQ204" s="89"/>
      <c r="ER204" s="89"/>
      <c r="ES204" s="89"/>
      <c r="ET204" s="89"/>
      <c r="EU204" s="89"/>
      <c r="EV204" s="89"/>
      <c r="EW204" s="89"/>
      <c r="EX204" s="89"/>
      <c r="EY204" s="89"/>
      <c r="EZ204" s="89"/>
      <c r="FA204" s="89"/>
      <c r="FB204" s="89"/>
      <c r="FC204" s="89"/>
      <c r="FD204" s="89"/>
      <c r="FE204" s="89"/>
      <c r="FF204" s="89"/>
      <c r="FG204" s="89"/>
      <c r="FH204" s="89"/>
      <c r="FI204" s="89"/>
      <c r="FJ204" s="96">
        <f ca="1">IF(FO204+FO196+FO200=3,1,IF(FO204+FO196+FO200=2,1/2,0))</f>
        <v>0</v>
      </c>
      <c r="FK204" s="306"/>
      <c r="FL204" s="96">
        <f ca="1">IF(programma!B1="X",1,IF(FL1=0,0,IF(FO204+FO196+FO200=3,1,0)))</f>
        <v>0</v>
      </c>
      <c r="FM204" s="300"/>
      <c r="FN204" s="300"/>
      <c r="FO204" s="96">
        <f ca="1">IF(programma!B1="X",1,IF(AND(FL1=1,DE204&gt;FP204-0.01,DE204&lt;FP204+0.01),1,0))</f>
        <v>0</v>
      </c>
      <c r="FP204" s="339">
        <f ca="1">IF(FK1=0,"",FP200-(FR188*FP196+FS188))</f>
        <v>346845</v>
      </c>
      <c r="FQ204" s="300"/>
      <c r="FR204" s="108"/>
      <c r="FS204" s="108"/>
      <c r="FT204" s="108"/>
      <c r="FU204" s="108"/>
      <c r="FV204" s="108"/>
      <c r="FW204" s="108"/>
      <c r="FX204" s="301"/>
      <c r="FY204" s="259"/>
      <c r="FZ204" s="259"/>
      <c r="GA204" s="259"/>
      <c r="GB204" s="259"/>
      <c r="GC204" s="377"/>
      <c r="GD204" s="377"/>
      <c r="GE204" s="377"/>
      <c r="GF204" s="377"/>
      <c r="GG204" s="377"/>
      <c r="GH204" s="377"/>
      <c r="GI204" s="377"/>
      <c r="GJ204" s="377"/>
      <c r="GK204" s="377"/>
      <c r="GL204" s="377"/>
      <c r="GM204" s="377"/>
      <c r="GN204" s="377"/>
      <c r="GO204" s="307"/>
      <c r="GP204" s="307"/>
      <c r="GQ204" s="307"/>
      <c r="GR204" s="307"/>
      <c r="GS204" s="307"/>
      <c r="GT204" s="307"/>
      <c r="GU204" s="307"/>
      <c r="GV204" s="307"/>
    </row>
    <row r="205" spans="1:235" ht="3.6" customHeight="1">
      <c r="A205" s="60"/>
      <c r="B205" s="69"/>
      <c r="C205" s="69"/>
      <c r="D205" s="308"/>
      <c r="E205" s="308"/>
      <c r="F205" s="308"/>
      <c r="G205" s="308"/>
      <c r="H205" s="308"/>
      <c r="I205" s="308"/>
      <c r="J205" s="308"/>
      <c r="K205" s="308"/>
      <c r="L205" s="308"/>
      <c r="M205" s="308"/>
      <c r="N205" s="308"/>
      <c r="O205" s="308"/>
      <c r="P205" s="308"/>
      <c r="Q205" s="308"/>
      <c r="R205" s="308"/>
      <c r="S205" s="308"/>
      <c r="T205" s="308"/>
      <c r="U205" s="308"/>
      <c r="V205" s="308"/>
      <c r="W205" s="308"/>
      <c r="X205" s="299"/>
      <c r="Y205" s="299"/>
      <c r="Z205" s="299"/>
      <c r="AA205" s="297"/>
      <c r="AB205" s="297"/>
      <c r="AC205" s="297"/>
      <c r="AD205" s="297"/>
      <c r="AE205" s="297"/>
      <c r="AF205" s="297"/>
      <c r="AG205" s="297"/>
      <c r="AH205" s="297"/>
      <c r="AI205" s="297"/>
      <c r="AJ205" s="297"/>
      <c r="AK205" s="297"/>
      <c r="AL205" s="297"/>
      <c r="AM205" s="297"/>
      <c r="AN205" s="297"/>
      <c r="AO205" s="297"/>
      <c r="AP205" s="297"/>
      <c r="AQ205" s="297"/>
      <c r="AR205" s="297"/>
      <c r="AS205" s="297"/>
      <c r="AT205" s="297"/>
      <c r="AU205" s="297"/>
      <c r="AV205" s="297"/>
      <c r="AW205" s="297"/>
      <c r="AX205" s="297"/>
      <c r="AY205" s="297"/>
      <c r="AZ205" s="297"/>
      <c r="BA205" s="297"/>
      <c r="BB205" s="297"/>
      <c r="BC205" s="297"/>
      <c r="BD205" s="297"/>
      <c r="BE205" s="297"/>
      <c r="BF205" s="297"/>
      <c r="BG205" s="299"/>
      <c r="BH205" s="299"/>
      <c r="BI205" s="299"/>
      <c r="BJ205" s="299"/>
      <c r="BK205" s="299"/>
      <c r="BL205" s="299"/>
      <c r="BM205" s="299"/>
      <c r="BN205" s="299"/>
      <c r="BO205" s="299"/>
      <c r="BP205" s="299"/>
      <c r="BQ205" s="299"/>
      <c r="BR205" s="299"/>
      <c r="BS205" s="299"/>
      <c r="BT205" s="299"/>
      <c r="BU205" s="299"/>
      <c r="BV205" s="299"/>
      <c r="BW205" s="299"/>
      <c r="BX205" s="299"/>
      <c r="BY205" s="299"/>
      <c r="BZ205" s="299"/>
      <c r="CA205" s="299"/>
      <c r="CB205" s="299"/>
      <c r="CC205" s="299"/>
      <c r="CD205" s="268"/>
      <c r="CE205" s="268"/>
      <c r="CF205" s="268"/>
      <c r="CG205" s="268"/>
      <c r="CH205" s="268"/>
      <c r="CI205" s="268"/>
      <c r="CJ205" s="268"/>
      <c r="CK205" s="268"/>
      <c r="CL205" s="268"/>
      <c r="CM205" s="268"/>
      <c r="CN205" s="268"/>
      <c r="CO205" s="268"/>
      <c r="CP205" s="268"/>
      <c r="CQ205" s="268"/>
      <c r="CR205" s="268"/>
      <c r="CS205" s="268"/>
      <c r="CT205" s="268"/>
      <c r="CU205" s="299"/>
      <c r="CV205" s="299"/>
      <c r="CW205" s="299"/>
      <c r="CX205" s="299"/>
      <c r="CY205" s="141"/>
      <c r="CZ205" s="141"/>
      <c r="DA205" s="141"/>
      <c r="DB205" s="89"/>
      <c r="DC205" s="89"/>
      <c r="DD205" s="553" t="str">
        <f ca="1">IF(FL1=0,"","+")</f>
        <v/>
      </c>
      <c r="DE205" s="541" t="e">
        <f>IF(#REF!=0,"","+")</f>
        <v>#REF!</v>
      </c>
      <c r="DF205" s="541" t="e">
        <f>IF(#REF!=0,"","+")</f>
        <v>#REF!</v>
      </c>
      <c r="DG205" s="541" t="e">
        <f>IF(#REF!=0,"","+")</f>
        <v>#REF!</v>
      </c>
      <c r="DH205" s="541" t="e">
        <f>IF(#REF!=0,"","+")</f>
        <v>#REF!</v>
      </c>
      <c r="DI205" s="541"/>
      <c r="DJ205" s="541"/>
      <c r="DK205" s="541"/>
      <c r="DL205" s="541" t="e">
        <f>IF(#REF!=0,"","+")</f>
        <v>#REF!</v>
      </c>
      <c r="DM205" s="541" t="e">
        <f>IF(#REF!=0,"","+")</f>
        <v>#REF!</v>
      </c>
      <c r="DN205" s="541" t="e">
        <f>IF(#REF!=0,"","+")</f>
        <v>#REF!</v>
      </c>
      <c r="DO205" s="541" t="e">
        <f>IF(#REF!=0,"","+")</f>
        <v>#REF!</v>
      </c>
      <c r="DP205" s="541" t="e">
        <f>IF(#REF!=0,"","+")</f>
        <v>#REF!</v>
      </c>
      <c r="DQ205" s="541" t="e">
        <f>IF(#REF!=0,"","+")</f>
        <v>#REF!</v>
      </c>
      <c r="DR205" s="541"/>
      <c r="DS205" s="541"/>
      <c r="DT205" s="541"/>
      <c r="DU205" s="541"/>
      <c r="DV205" s="541"/>
      <c r="DW205" s="541"/>
      <c r="DX205" s="541" t="e">
        <f>IF(#REF!=0,"","+")</f>
        <v>#REF!</v>
      </c>
      <c r="DY205" s="541" t="e">
        <f>IF(#REF!=0,"","+")</f>
        <v>#REF!</v>
      </c>
      <c r="DZ205" s="541" t="e">
        <f>IF(#REF!=0,"","+")</f>
        <v>#REF!</v>
      </c>
      <c r="EA205" s="541" t="e">
        <f>IF(#REF!=0,"","+")</f>
        <v>#REF!</v>
      </c>
      <c r="EB205" s="541" t="e">
        <f>IF(#REF!=0,"","+")</f>
        <v>#REF!</v>
      </c>
      <c r="EC205" s="89"/>
      <c r="ED205" s="89"/>
      <c r="EE205" s="89"/>
      <c r="EF205" s="89"/>
      <c r="EG205" s="89"/>
      <c r="EH205" s="89"/>
      <c r="EI205" s="89"/>
      <c r="EJ205" s="89"/>
      <c r="EK205" s="89"/>
      <c r="EL205" s="89"/>
      <c r="EM205" s="89"/>
      <c r="EN205" s="89"/>
      <c r="EO205" s="89"/>
      <c r="EP205" s="89"/>
      <c r="EQ205" s="89"/>
      <c r="ER205" s="89"/>
      <c r="ES205" s="89"/>
      <c r="ET205" s="89"/>
      <c r="EU205" s="89"/>
      <c r="EV205" s="89"/>
      <c r="EW205" s="89"/>
      <c r="EX205" s="89"/>
      <c r="EY205" s="89"/>
      <c r="EZ205" s="89"/>
      <c r="FA205" s="89"/>
      <c r="FB205" s="89"/>
      <c r="FC205" s="89"/>
      <c r="FD205" s="89"/>
      <c r="FE205" s="89"/>
      <c r="FF205" s="89"/>
      <c r="FG205" s="89"/>
      <c r="FH205" s="89"/>
      <c r="FI205" s="89"/>
      <c r="FJ205" s="306"/>
      <c r="FK205" s="306"/>
      <c r="FL205" s="96"/>
      <c r="FM205" s="96"/>
      <c r="FN205" s="96"/>
      <c r="FO205" s="96"/>
      <c r="FP205" s="108"/>
      <c r="FQ205" s="108"/>
      <c r="FR205" s="108"/>
      <c r="FS205" s="108"/>
      <c r="FT205" s="108"/>
      <c r="FU205" s="108"/>
      <c r="FV205" s="108"/>
      <c r="FW205" s="108"/>
      <c r="FX205" s="301"/>
      <c r="FY205" s="259"/>
      <c r="FZ205" s="259"/>
      <c r="GA205" s="259"/>
      <c r="GB205" s="259"/>
      <c r="GC205" s="377"/>
      <c r="GD205" s="377"/>
      <c r="GE205" s="377"/>
      <c r="GF205" s="377"/>
      <c r="GG205" s="377"/>
      <c r="GH205" s="377"/>
      <c r="GI205" s="377"/>
      <c r="GJ205" s="377"/>
      <c r="GK205" s="377"/>
      <c r="GL205" s="377"/>
      <c r="GM205" s="377"/>
      <c r="GN205" s="377"/>
      <c r="GO205" s="307"/>
      <c r="GP205" s="307"/>
      <c r="GQ205" s="307"/>
      <c r="GR205" s="307"/>
      <c r="GS205" s="307"/>
      <c r="GT205" s="307"/>
      <c r="GU205" s="307"/>
      <c r="GV205" s="307"/>
    </row>
    <row r="206" spans="1:235" s="268" customFormat="1" ht="16.95" customHeight="1">
      <c r="A206" s="60"/>
      <c r="B206" s="69"/>
      <c r="C206" s="69"/>
      <c r="D206" s="308"/>
      <c r="E206" s="141"/>
      <c r="F206" s="141"/>
      <c r="G206" s="141"/>
      <c r="H206" s="141"/>
      <c r="I206" s="141"/>
      <c r="J206" s="141"/>
      <c r="K206" s="141"/>
      <c r="L206" s="141"/>
      <c r="M206" s="141"/>
      <c r="N206" s="141"/>
      <c r="O206" s="141"/>
      <c r="P206" s="141"/>
      <c r="Q206" s="141"/>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308"/>
      <c r="BD206" s="308"/>
      <c r="BE206" s="308"/>
      <c r="BF206" s="308"/>
      <c r="BG206" s="308"/>
      <c r="BH206" s="308"/>
      <c r="BI206" s="308"/>
      <c r="BJ206" s="308"/>
      <c r="BK206" s="308"/>
      <c r="BL206" s="308"/>
      <c r="BM206" s="308"/>
      <c r="BN206" s="308"/>
      <c r="BO206" s="308"/>
      <c r="BP206" s="308"/>
      <c r="BQ206" s="308"/>
      <c r="BR206" s="308"/>
      <c r="BS206" s="308"/>
      <c r="BT206" s="308"/>
      <c r="BU206" s="308"/>
      <c r="BV206" s="299"/>
      <c r="BW206" s="299"/>
      <c r="BX206" s="299"/>
      <c r="BY206" s="299"/>
      <c r="BZ206" s="299"/>
      <c r="CA206" s="299"/>
      <c r="CB206" s="299"/>
      <c r="CC206" s="299"/>
      <c r="CD206" s="141"/>
      <c r="CE206" s="141"/>
      <c r="CF206" s="141"/>
      <c r="CG206" s="141"/>
      <c r="CH206" s="141"/>
      <c r="CI206" s="141"/>
      <c r="CJ206" s="141"/>
      <c r="CK206" s="141"/>
      <c r="CL206" s="141"/>
      <c r="CM206" s="141"/>
      <c r="CN206" s="141"/>
      <c r="CO206" s="141"/>
      <c r="CP206" s="141"/>
      <c r="CQ206" s="141"/>
      <c r="CR206" s="141"/>
      <c r="CS206" s="141"/>
      <c r="CT206" s="141"/>
      <c r="CU206" s="141"/>
      <c r="CV206" s="141"/>
      <c r="CW206" s="141"/>
      <c r="CX206" s="141"/>
      <c r="CY206" s="141"/>
      <c r="CZ206" s="141"/>
      <c r="DA206" s="141"/>
      <c r="DB206" s="141"/>
      <c r="DC206" s="141"/>
      <c r="DD206" s="141"/>
      <c r="DE206" s="141"/>
      <c r="DF206" s="141"/>
      <c r="DG206" s="141"/>
      <c r="DH206" s="141"/>
      <c r="DI206" s="141"/>
      <c r="DJ206" s="141"/>
      <c r="DK206" s="141"/>
      <c r="DL206" s="141"/>
      <c r="DM206" s="141"/>
      <c r="DN206" s="141"/>
      <c r="DO206" s="141"/>
      <c r="DP206" s="141"/>
      <c r="DQ206" s="141"/>
      <c r="DR206" s="141"/>
      <c r="DS206" s="141"/>
      <c r="DT206" s="141"/>
      <c r="DU206" s="141"/>
      <c r="DV206" s="141"/>
      <c r="DW206" s="141"/>
      <c r="DX206" s="141"/>
      <c r="DY206" s="141"/>
      <c r="DZ206" s="141"/>
      <c r="EA206" s="141"/>
      <c r="EB206" s="141"/>
      <c r="EC206" s="141"/>
      <c r="ED206" s="141"/>
      <c r="EE206" s="141"/>
      <c r="EF206" s="141"/>
      <c r="EG206" s="141"/>
      <c r="EH206" s="141"/>
      <c r="EI206" s="141"/>
      <c r="EJ206" s="141"/>
      <c r="EK206" s="141"/>
      <c r="EL206" s="141"/>
      <c r="EM206" s="141"/>
      <c r="EN206" s="141"/>
      <c r="EO206" s="141"/>
      <c r="EP206" s="141"/>
      <c r="EQ206" s="141"/>
      <c r="ER206" s="141"/>
      <c r="ES206" s="141"/>
      <c r="ET206" s="141"/>
      <c r="EU206" s="141"/>
      <c r="EV206" s="141"/>
      <c r="EW206" s="141"/>
      <c r="EX206" s="141"/>
      <c r="EY206" s="141"/>
      <c r="EZ206" s="141"/>
      <c r="FA206" s="141"/>
      <c r="FB206" s="141"/>
      <c r="FC206" s="141"/>
      <c r="FD206" s="141"/>
      <c r="FE206" s="141"/>
      <c r="FF206" s="141"/>
      <c r="FG206" s="141"/>
      <c r="FH206" s="141"/>
      <c r="FI206" s="141"/>
      <c r="FJ206" s="96"/>
      <c r="FK206" s="96"/>
      <c r="FL206" s="96"/>
      <c r="FM206" s="86"/>
      <c r="FN206" s="86"/>
      <c r="FO206" s="86"/>
      <c r="FP206" s="86"/>
      <c r="FQ206" s="86"/>
      <c r="FR206" s="86"/>
      <c r="FS206" s="86"/>
      <c r="FT206" s="86"/>
      <c r="FU206" s="86"/>
      <c r="FV206" s="86"/>
      <c r="FW206" s="86"/>
      <c r="FX206" s="86"/>
      <c r="FY206" s="259"/>
      <c r="FZ206" s="259"/>
      <c r="GA206" s="259"/>
      <c r="GB206" s="259"/>
      <c r="GC206" s="377"/>
      <c r="GD206" s="377"/>
      <c r="GE206" s="377"/>
      <c r="GF206" s="377"/>
      <c r="GG206" s="377"/>
      <c r="GH206" s="377"/>
      <c r="GI206" s="377"/>
      <c r="GJ206" s="377"/>
      <c r="GK206" s="377"/>
      <c r="GL206" s="377"/>
      <c r="GM206" s="377"/>
      <c r="GN206" s="377"/>
      <c r="GO206" s="86"/>
      <c r="GP206" s="377"/>
      <c r="GQ206" s="377"/>
      <c r="GR206" s="377"/>
      <c r="GS206" s="377"/>
      <c r="GT206" s="377"/>
      <c r="GU206" s="377"/>
      <c r="GV206" s="377"/>
      <c r="GW206" s="66"/>
      <c r="GX206" s="66"/>
      <c r="GY206" s="66"/>
      <c r="GZ206" s="66"/>
      <c r="HA206" s="66"/>
      <c r="HB206" s="66"/>
      <c r="HC206" s="66"/>
      <c r="HD206" s="66"/>
      <c r="HE206" s="66"/>
      <c r="HF206" s="66"/>
      <c r="HG206" s="66"/>
      <c r="HH206" s="66"/>
      <c r="HI206" s="66"/>
      <c r="HJ206" s="66"/>
      <c r="HK206" s="66"/>
      <c r="HL206" s="66"/>
      <c r="HM206" s="66"/>
      <c r="HN206" s="66"/>
      <c r="HO206" s="66"/>
      <c r="HP206" s="66"/>
      <c r="HQ206" s="66"/>
      <c r="HR206" s="66"/>
      <c r="HS206" s="66"/>
      <c r="HT206" s="66"/>
      <c r="HU206" s="66"/>
      <c r="HV206" s="66"/>
      <c r="HW206" s="66"/>
      <c r="HX206" s="66"/>
      <c r="HY206" s="66"/>
      <c r="HZ206" s="66"/>
      <c r="IA206" s="66"/>
    </row>
    <row r="207" spans="1:235" ht="16.95" customHeight="1">
      <c r="A207" s="60"/>
      <c r="B207" s="272" t="str">
        <f ca="1">IF(FL1=0,"",12)</f>
        <v/>
      </c>
      <c r="C207" s="273"/>
      <c r="D207" s="393" t="str">
        <f ca="1">IF(FL1=0,"","Ga weer uit van de functies TK = "&amp;FR188&amp;"q + "&amp;FS188&amp;" en TO = "&amp;FV188/2&amp;"q² + "&amp;FZ188&amp;"q. Bij")</f>
        <v/>
      </c>
      <c r="E207" s="274"/>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75"/>
      <c r="AE207" s="275"/>
      <c r="AF207" s="275"/>
      <c r="AG207" s="275"/>
      <c r="AH207" s="275"/>
      <c r="AI207" s="275"/>
      <c r="AJ207" s="275"/>
      <c r="AK207" s="275"/>
      <c r="AL207" s="275"/>
      <c r="AM207" s="275"/>
      <c r="AN207" s="275"/>
      <c r="AO207" s="275"/>
      <c r="AP207" s="275"/>
      <c r="AQ207" s="275"/>
      <c r="AR207" s="275"/>
      <c r="AS207" s="275"/>
      <c r="AT207" s="275"/>
      <c r="AU207" s="275"/>
      <c r="AV207" s="275"/>
      <c r="AW207" s="275"/>
      <c r="AX207" s="275"/>
      <c r="AY207" s="275"/>
      <c r="AZ207" s="275"/>
      <c r="BA207" s="275"/>
      <c r="BB207" s="275"/>
      <c r="BC207" s="275"/>
      <c r="BD207" s="275"/>
      <c r="BE207" s="275"/>
      <c r="BF207" s="275"/>
      <c r="BG207" s="275"/>
      <c r="BH207" s="275"/>
      <c r="BI207" s="275"/>
      <c r="BJ207" s="275"/>
      <c r="BK207" s="275"/>
      <c r="BL207" s="275"/>
      <c r="BM207" s="275"/>
      <c r="BN207" s="275"/>
      <c r="BO207" s="276"/>
      <c r="BP207" s="276"/>
      <c r="BQ207" s="276"/>
      <c r="BR207" s="276"/>
      <c r="BS207" s="276"/>
      <c r="BT207" s="276"/>
      <c r="BU207" s="276"/>
      <c r="BV207" s="276"/>
      <c r="BW207" s="276"/>
      <c r="BX207" s="276"/>
      <c r="BY207" s="276"/>
      <c r="BZ207" s="276"/>
      <c r="CA207" s="276"/>
      <c r="CB207" s="276"/>
      <c r="CC207" s="276"/>
      <c r="CD207" s="276"/>
      <c r="CE207" s="276"/>
      <c r="CF207" s="276"/>
      <c r="CG207" s="276"/>
      <c r="CH207" s="275"/>
      <c r="CI207" s="275"/>
      <c r="CJ207" s="275"/>
      <c r="CK207" s="275"/>
      <c r="CL207" s="265"/>
      <c r="CM207" s="265"/>
      <c r="CN207" s="265"/>
      <c r="CO207" s="265"/>
      <c r="CP207" s="265"/>
      <c r="CQ207" s="265"/>
      <c r="CR207" s="265"/>
      <c r="CS207" s="265"/>
      <c r="CT207" s="265"/>
      <c r="CU207" s="265"/>
      <c r="CV207" s="265"/>
      <c r="CW207" s="265"/>
      <c r="CX207" s="265"/>
      <c r="CY207" s="265"/>
      <c r="CZ207" s="265"/>
      <c r="DA207" s="265"/>
      <c r="DB207" s="265"/>
      <c r="DC207" s="265"/>
      <c r="DD207" s="265"/>
      <c r="DE207" s="265"/>
      <c r="DF207" s="265"/>
      <c r="DG207" s="265"/>
      <c r="DH207" s="265"/>
      <c r="DI207" s="265"/>
      <c r="DJ207" s="265"/>
      <c r="DK207" s="265"/>
      <c r="DL207" s="268"/>
      <c r="DM207" s="268"/>
      <c r="DN207" s="268"/>
      <c r="DO207" s="268"/>
      <c r="DP207" s="268"/>
      <c r="DQ207" s="268"/>
      <c r="DR207" s="268"/>
      <c r="DS207" s="268"/>
      <c r="DT207" s="268"/>
      <c r="DU207" s="268"/>
      <c r="DV207" s="268"/>
      <c r="DW207" s="268"/>
      <c r="DX207" s="268"/>
      <c r="DY207" s="268"/>
      <c r="DZ207" s="268"/>
      <c r="EA207" s="268"/>
      <c r="EB207" s="268"/>
      <c r="EC207" s="265"/>
      <c r="ED207" s="265"/>
      <c r="EE207" s="265"/>
      <c r="EF207" s="265"/>
      <c r="EG207" s="265"/>
      <c r="EH207" s="265"/>
      <c r="EI207" s="265"/>
      <c r="EJ207" s="265"/>
      <c r="EK207" s="265"/>
      <c r="EL207" s="265"/>
      <c r="EM207" s="265"/>
      <c r="EN207" s="265"/>
      <c r="EO207" s="265"/>
      <c r="EP207" s="265"/>
      <c r="EQ207" s="265"/>
      <c r="ER207" s="265"/>
      <c r="ES207" s="265"/>
      <c r="ET207" s="265"/>
      <c r="EU207" s="265"/>
      <c r="EV207" s="265"/>
      <c r="EW207" s="265"/>
      <c r="EX207" s="265"/>
      <c r="EY207" s="265"/>
      <c r="EZ207" s="265"/>
      <c r="FA207" s="265"/>
      <c r="FB207" s="265"/>
      <c r="FC207" s="265"/>
      <c r="FD207" s="265"/>
      <c r="FE207" s="265"/>
      <c r="FF207" s="265"/>
      <c r="FG207" s="265"/>
      <c r="FH207" s="141"/>
      <c r="FI207" s="141"/>
      <c r="FJ207" s="257"/>
      <c r="FK207" s="257"/>
      <c r="FL207" s="257"/>
      <c r="FM207" s="258"/>
      <c r="FN207" s="258"/>
      <c r="FO207" s="258"/>
      <c r="FP207" s="258"/>
      <c r="FQ207" s="258"/>
      <c r="FR207" s="396"/>
      <c r="FS207" s="396"/>
      <c r="FT207" s="396"/>
      <c r="FU207" s="396"/>
      <c r="FV207" s="396"/>
      <c r="FW207" s="396"/>
      <c r="FX207" s="396"/>
      <c r="FY207" s="259"/>
      <c r="FZ207" s="259"/>
      <c r="GA207" s="259"/>
      <c r="GB207" s="259"/>
      <c r="GC207" s="377"/>
      <c r="GD207" s="377"/>
      <c r="GE207" s="377"/>
      <c r="GF207" s="377"/>
      <c r="GG207" s="377"/>
      <c r="GH207" s="377"/>
      <c r="GI207" s="377"/>
      <c r="GJ207" s="377"/>
      <c r="GK207" s="377"/>
      <c r="GL207" s="377"/>
      <c r="GM207" s="377"/>
      <c r="GN207" s="377"/>
      <c r="GO207" s="259"/>
      <c r="GP207" s="259"/>
      <c r="GQ207" s="259"/>
      <c r="GR207" s="259"/>
      <c r="GS207" s="259"/>
      <c r="GT207" s="259"/>
      <c r="GU207" s="259"/>
      <c r="GV207" s="259"/>
    </row>
    <row r="208" spans="1:235" ht="16.95" customHeight="1">
      <c r="A208" s="60"/>
      <c r="B208" s="69"/>
      <c r="C208" s="69"/>
      <c r="D208" s="393" t="str">
        <f ca="1">IF(FL1=0,"","welke hoeveelheid wordt maximale omzet gemaakt, hoeveel is deze maximale")</f>
        <v/>
      </c>
      <c r="E208" s="393"/>
      <c r="F208" s="89"/>
      <c r="G208" s="89"/>
      <c r="H208" s="89"/>
      <c r="I208" s="89"/>
      <c r="J208" s="89"/>
      <c r="K208" s="89"/>
      <c r="L208" s="89"/>
      <c r="M208" s="89"/>
      <c r="N208" s="89"/>
      <c r="O208" s="89"/>
      <c r="P208" s="89"/>
      <c r="Q208" s="89"/>
      <c r="R208" s="89"/>
      <c r="S208" s="89"/>
      <c r="T208" s="89"/>
      <c r="U208" s="89"/>
      <c r="V208" s="89"/>
      <c r="W208" s="89"/>
      <c r="X208" s="89"/>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89"/>
      <c r="BE208" s="89"/>
      <c r="BF208" s="89"/>
      <c r="BG208" s="89"/>
      <c r="BH208" s="89"/>
      <c r="BI208" s="89"/>
      <c r="BJ208" s="89"/>
      <c r="BK208" s="89"/>
      <c r="BL208" s="89"/>
      <c r="BM208" s="89"/>
      <c r="BN208" s="89"/>
      <c r="BO208" s="89"/>
      <c r="BP208" s="89"/>
      <c r="BQ208" s="89"/>
      <c r="BR208" s="89"/>
      <c r="BS208" s="89"/>
      <c r="BT208" s="89"/>
      <c r="BU208" s="89"/>
      <c r="BV208" s="89"/>
      <c r="BW208" s="89"/>
      <c r="BX208" s="89"/>
      <c r="BY208" s="89"/>
      <c r="BZ208" s="89"/>
      <c r="CA208" s="89"/>
      <c r="CB208" s="89"/>
      <c r="CC208" s="89"/>
      <c r="CD208" s="89"/>
      <c r="CE208" s="89"/>
      <c r="CF208" s="89"/>
      <c r="CG208" s="89"/>
      <c r="CH208" s="89"/>
      <c r="CI208" s="89"/>
      <c r="CJ208" s="89"/>
      <c r="CK208" s="89"/>
      <c r="CL208" s="89"/>
      <c r="CM208" s="89"/>
      <c r="CN208" s="89"/>
      <c r="CO208" s="89"/>
      <c r="CP208" s="89"/>
      <c r="CQ208" s="89"/>
      <c r="CR208" s="89"/>
      <c r="CS208" s="89"/>
      <c r="CT208" s="89"/>
      <c r="CU208" s="89"/>
      <c r="CV208" s="89"/>
      <c r="CW208" s="89"/>
      <c r="CX208" s="89"/>
      <c r="CY208" s="89"/>
      <c r="CZ208" s="89"/>
      <c r="DA208" s="89"/>
      <c r="DB208" s="89"/>
      <c r="DC208" s="89"/>
      <c r="DD208" s="89"/>
      <c r="DE208" s="89"/>
      <c r="DF208" s="89"/>
      <c r="DG208" s="89"/>
      <c r="DH208" s="89"/>
      <c r="DI208" s="89"/>
      <c r="DJ208" s="89"/>
      <c r="DK208" s="89"/>
      <c r="DL208" s="89"/>
      <c r="DM208" s="89"/>
      <c r="DN208" s="89"/>
      <c r="DO208" s="89"/>
      <c r="DP208" s="89"/>
      <c r="DQ208" s="89"/>
      <c r="DR208" s="89"/>
      <c r="DS208" s="89"/>
      <c r="DT208" s="89"/>
      <c r="DU208" s="89"/>
      <c r="DV208" s="89"/>
      <c r="DW208" s="89"/>
      <c r="DX208" s="89"/>
      <c r="DY208" s="89"/>
      <c r="DZ208" s="89"/>
      <c r="EA208" s="89"/>
      <c r="EB208" s="89"/>
      <c r="EC208" s="89"/>
      <c r="ED208" s="89"/>
      <c r="EE208" s="89"/>
      <c r="EF208" s="89"/>
      <c r="EG208" s="89"/>
      <c r="EH208" s="89"/>
      <c r="EI208" s="89"/>
      <c r="EJ208" s="89"/>
      <c r="EK208" s="89"/>
      <c r="EL208" s="89"/>
      <c r="EM208" s="89"/>
      <c r="EN208" s="89"/>
      <c r="EO208" s="89"/>
      <c r="EP208" s="89"/>
      <c r="EQ208" s="89"/>
      <c r="ER208" s="89"/>
      <c r="ES208" s="89"/>
      <c r="ET208" s="89"/>
      <c r="EU208" s="89"/>
      <c r="EV208" s="89"/>
      <c r="EW208" s="268"/>
      <c r="EX208" s="268"/>
      <c r="EY208" s="268"/>
      <c r="EZ208" s="268"/>
      <c r="FA208" s="268"/>
      <c r="FB208" s="268"/>
      <c r="FC208" s="268"/>
      <c r="FD208" s="268"/>
      <c r="FE208" s="268"/>
      <c r="FF208" s="268"/>
      <c r="FG208" s="268"/>
      <c r="FH208" s="268"/>
      <c r="FI208" s="268"/>
      <c r="FJ208" s="96"/>
      <c r="FK208" s="96"/>
      <c r="FL208" s="96"/>
      <c r="FM208" s="377"/>
      <c r="FN208" s="377"/>
      <c r="FO208" s="377"/>
      <c r="FP208" s="377"/>
      <c r="FQ208" s="377"/>
      <c r="FR208" s="377"/>
      <c r="FS208" s="377"/>
      <c r="FT208" s="377"/>
      <c r="FU208" s="377"/>
      <c r="FV208" s="377"/>
      <c r="FW208" s="377"/>
      <c r="FX208" s="377"/>
      <c r="FY208" s="259"/>
      <c r="FZ208" s="259"/>
      <c r="GA208" s="259"/>
      <c r="GB208" s="259"/>
      <c r="GC208" s="377"/>
      <c r="GD208" s="377"/>
      <c r="GE208" s="377"/>
      <c r="GF208" s="377"/>
      <c r="GG208" s="377"/>
      <c r="GH208" s="377"/>
      <c r="GI208" s="377"/>
      <c r="GJ208" s="377"/>
      <c r="GK208" s="377"/>
      <c r="GL208" s="377"/>
      <c r="GM208" s="377"/>
      <c r="GN208" s="377"/>
      <c r="GO208" s="377"/>
      <c r="GP208" s="377"/>
      <c r="GQ208" s="377"/>
      <c r="GR208" s="377"/>
      <c r="GS208" s="377"/>
      <c r="GT208" s="377"/>
      <c r="GU208" s="377"/>
      <c r="GV208" s="377"/>
    </row>
    <row r="209" spans="1:235" ht="16.95" customHeight="1">
      <c r="A209" s="60"/>
      <c r="B209" s="69"/>
      <c r="C209" s="69"/>
      <c r="D209" s="393" t="str">
        <f ca="1">IF(FL1=0,"","omzet en hoeveel is de totale winst bij de maximale omzet? Rond de hoeveelheid")</f>
        <v/>
      </c>
      <c r="E209" s="393"/>
      <c r="F209" s="89"/>
      <c r="G209" s="89"/>
      <c r="H209" s="89"/>
      <c r="I209" s="89"/>
      <c r="J209" s="89"/>
      <c r="K209" s="89"/>
      <c r="L209" s="89"/>
      <c r="M209" s="89"/>
      <c r="N209" s="89"/>
      <c r="O209" s="89"/>
      <c r="P209" s="89"/>
      <c r="Q209" s="89"/>
      <c r="R209" s="89"/>
      <c r="S209" s="89"/>
      <c r="T209" s="89"/>
      <c r="U209" s="89"/>
      <c r="V209" s="89"/>
      <c r="W209" s="89"/>
      <c r="X209" s="89"/>
      <c r="Y209" s="141"/>
      <c r="Z209" s="141"/>
      <c r="AA209" s="141"/>
      <c r="AB209" s="141"/>
      <c r="AC209" s="141"/>
      <c r="AD209" s="141"/>
      <c r="AE209" s="141"/>
      <c r="AF209" s="141"/>
      <c r="AG209" s="141"/>
      <c r="AH209" s="141"/>
      <c r="AI209" s="141"/>
      <c r="AJ209" s="141"/>
      <c r="AK209" s="141"/>
      <c r="AL209" s="141"/>
      <c r="AM209" s="141"/>
      <c r="AN209" s="141"/>
      <c r="AO209" s="141"/>
      <c r="AP209" s="141"/>
      <c r="AQ209" s="141"/>
      <c r="AR209" s="141"/>
      <c r="AS209" s="141"/>
      <c r="AT209" s="141"/>
      <c r="AU209" s="141"/>
      <c r="AV209" s="141"/>
      <c r="AW209" s="141"/>
      <c r="AX209" s="141"/>
      <c r="AY209" s="141"/>
      <c r="AZ209" s="141"/>
      <c r="BA209" s="141"/>
      <c r="BB209" s="141"/>
      <c r="BC209" s="141"/>
      <c r="BD209" s="89"/>
      <c r="BE209" s="89"/>
      <c r="BF209" s="89"/>
      <c r="BG209" s="89"/>
      <c r="BH209" s="89"/>
      <c r="BI209" s="89"/>
      <c r="BJ209" s="89"/>
      <c r="BK209" s="89"/>
      <c r="BL209" s="89"/>
      <c r="BM209" s="89"/>
      <c r="BN209" s="89"/>
      <c r="BO209" s="89"/>
      <c r="BP209" s="89"/>
      <c r="BQ209" s="89"/>
      <c r="BR209" s="89"/>
      <c r="BS209" s="89"/>
      <c r="BT209" s="89"/>
      <c r="BU209" s="89"/>
      <c r="BV209" s="89"/>
      <c r="BW209" s="89"/>
      <c r="BX209" s="89"/>
      <c r="BY209" s="89"/>
      <c r="BZ209" s="89"/>
      <c r="CA209" s="89"/>
      <c r="CB209" s="89"/>
      <c r="CC209" s="89"/>
      <c r="CD209" s="89"/>
      <c r="CE209" s="89"/>
      <c r="CF209" s="89"/>
      <c r="CG209" s="89"/>
      <c r="CH209" s="89"/>
      <c r="CI209" s="89"/>
      <c r="CJ209" s="89"/>
      <c r="CK209" s="89"/>
      <c r="CL209" s="89"/>
      <c r="CM209" s="89"/>
      <c r="CN209" s="89"/>
      <c r="CO209" s="89"/>
      <c r="CP209" s="89"/>
      <c r="CQ209" s="89"/>
      <c r="CR209" s="89"/>
      <c r="CS209" s="89"/>
      <c r="CT209" s="89"/>
      <c r="CU209" s="89"/>
      <c r="CV209" s="89"/>
      <c r="CW209" s="89"/>
      <c r="CX209" s="89"/>
      <c r="CY209" s="89"/>
      <c r="CZ209" s="89"/>
      <c r="DA209" s="89"/>
      <c r="DB209" s="89"/>
      <c r="DC209" s="89"/>
      <c r="DD209" s="89"/>
      <c r="DE209" s="89"/>
      <c r="DF209" s="89"/>
      <c r="DG209" s="89"/>
      <c r="DH209" s="89"/>
      <c r="DI209" s="89"/>
      <c r="DJ209" s="89"/>
      <c r="DK209" s="89"/>
      <c r="DL209" s="89"/>
      <c r="DM209" s="89"/>
      <c r="DN209" s="89"/>
      <c r="DO209" s="89"/>
      <c r="DP209" s="89"/>
      <c r="DQ209" s="89"/>
      <c r="DR209" s="89"/>
      <c r="DS209" s="89"/>
      <c r="DT209" s="89"/>
      <c r="DU209" s="89"/>
      <c r="DV209" s="89"/>
      <c r="DW209" s="89"/>
      <c r="DX209" s="89"/>
      <c r="DY209" s="89"/>
      <c r="DZ209" s="89"/>
      <c r="EA209" s="89"/>
      <c r="EB209" s="89"/>
      <c r="EC209" s="89"/>
      <c r="ED209" s="89"/>
      <c r="EE209" s="89"/>
      <c r="EF209" s="89"/>
      <c r="EG209" s="89"/>
      <c r="EH209" s="89"/>
      <c r="EI209" s="89"/>
      <c r="EJ209" s="89"/>
      <c r="EK209" s="89"/>
      <c r="EL209" s="89"/>
      <c r="EM209" s="89"/>
      <c r="EN209" s="89"/>
      <c r="EO209" s="89"/>
      <c r="EP209" s="89"/>
      <c r="EQ209" s="89"/>
      <c r="ER209" s="89"/>
      <c r="ES209" s="89"/>
      <c r="ET209" s="89"/>
      <c r="EU209" s="89"/>
      <c r="EV209" s="89"/>
      <c r="EW209" s="268"/>
      <c r="EX209" s="268"/>
      <c r="EY209" s="268"/>
      <c r="EZ209" s="268"/>
      <c r="FA209" s="268"/>
      <c r="FB209" s="268"/>
      <c r="FC209" s="268"/>
      <c r="FD209" s="268"/>
      <c r="FE209" s="268"/>
      <c r="FF209" s="268"/>
      <c r="FG209" s="268"/>
      <c r="FH209" s="268"/>
      <c r="FI209" s="268"/>
      <c r="FJ209" s="96"/>
      <c r="FK209" s="96"/>
      <c r="FL209" s="96"/>
      <c r="FM209" s="377"/>
      <c r="FN209" s="377"/>
      <c r="FO209" s="377"/>
      <c r="FP209" s="377"/>
      <c r="FQ209" s="377"/>
      <c r="FR209" s="377"/>
      <c r="FS209" s="377"/>
      <c r="FT209" s="377"/>
      <c r="FU209" s="377"/>
      <c r="FV209" s="377"/>
      <c r="FW209" s="377"/>
      <c r="FX209" s="377"/>
      <c r="FY209" s="259"/>
      <c r="FZ209" s="259"/>
      <c r="GA209" s="259"/>
      <c r="GB209" s="259"/>
      <c r="GC209" s="377"/>
      <c r="GD209" s="377"/>
      <c r="GE209" s="377"/>
      <c r="GF209" s="377"/>
      <c r="GG209" s="377"/>
      <c r="GH209" s="377"/>
      <c r="GI209" s="377"/>
      <c r="GJ209" s="377"/>
      <c r="GK209" s="377"/>
      <c r="GL209" s="377"/>
      <c r="GM209" s="377"/>
      <c r="GN209" s="377"/>
      <c r="GO209" s="377"/>
      <c r="GP209" s="377"/>
      <c r="GQ209" s="377"/>
      <c r="GR209" s="377"/>
      <c r="GS209" s="377"/>
      <c r="GT209" s="377"/>
      <c r="GU209" s="377"/>
      <c r="GV209" s="377"/>
    </row>
    <row r="210" spans="1:235" ht="16.95" customHeight="1">
      <c r="A210" s="60"/>
      <c r="B210" s="69"/>
      <c r="C210" s="69"/>
      <c r="D210" s="393" t="str">
        <f ca="1">IF(FL1=0,"","af op hele stuks en de omzet en winst op hele eurocenten.")</f>
        <v/>
      </c>
      <c r="E210" s="393"/>
      <c r="F210" s="89"/>
      <c r="G210" s="89"/>
      <c r="H210" s="89"/>
      <c r="I210" s="89"/>
      <c r="J210" s="89"/>
      <c r="K210" s="89"/>
      <c r="L210" s="89"/>
      <c r="M210" s="89"/>
      <c r="N210" s="89"/>
      <c r="O210" s="89"/>
      <c r="P210" s="89"/>
      <c r="Q210" s="89"/>
      <c r="R210" s="89"/>
      <c r="S210" s="89"/>
      <c r="T210" s="89"/>
      <c r="U210" s="89"/>
      <c r="V210" s="89"/>
      <c r="W210" s="89"/>
      <c r="X210" s="89"/>
      <c r="Y210" s="141"/>
      <c r="Z210" s="141"/>
      <c r="AA210" s="141"/>
      <c r="AB210" s="141"/>
      <c r="AC210" s="141"/>
      <c r="AD210" s="141"/>
      <c r="AE210" s="141"/>
      <c r="AF210" s="141"/>
      <c r="AG210" s="141"/>
      <c r="AH210" s="141"/>
      <c r="AI210" s="141"/>
      <c r="AJ210" s="141"/>
      <c r="AK210" s="141"/>
      <c r="AL210" s="141"/>
      <c r="AM210" s="141"/>
      <c r="AN210" s="141"/>
      <c r="AO210" s="141"/>
      <c r="AP210" s="141"/>
      <c r="AQ210" s="141"/>
      <c r="AR210" s="141"/>
      <c r="AS210" s="141"/>
      <c r="AT210" s="141"/>
      <c r="AU210" s="141"/>
      <c r="AV210" s="141"/>
      <c r="AW210" s="141"/>
      <c r="AX210" s="141"/>
      <c r="AY210" s="141"/>
      <c r="AZ210" s="141"/>
      <c r="BA210" s="141"/>
      <c r="BB210" s="141"/>
      <c r="BC210" s="141"/>
      <c r="BD210" s="89"/>
      <c r="BE210" s="89"/>
      <c r="BF210" s="89"/>
      <c r="BG210" s="89"/>
      <c r="BH210" s="89"/>
      <c r="BI210" s="89"/>
      <c r="BJ210" s="89"/>
      <c r="BK210" s="89"/>
      <c r="BL210" s="89"/>
      <c r="BM210" s="89"/>
      <c r="BN210" s="89"/>
      <c r="BO210" s="89"/>
      <c r="BP210" s="89"/>
      <c r="BQ210" s="89"/>
      <c r="BR210" s="89"/>
      <c r="BS210" s="89"/>
      <c r="BT210" s="89"/>
      <c r="BU210" s="89"/>
      <c r="BV210" s="89"/>
      <c r="BW210" s="89"/>
      <c r="BX210" s="89"/>
      <c r="BY210" s="89"/>
      <c r="BZ210" s="89"/>
      <c r="CA210" s="89"/>
      <c r="CB210" s="89"/>
      <c r="CC210" s="89"/>
      <c r="CD210" s="89"/>
      <c r="CE210" s="89"/>
      <c r="CF210" s="89"/>
      <c r="CG210" s="89"/>
      <c r="CH210" s="89"/>
      <c r="CI210" s="89"/>
      <c r="CJ210" s="89"/>
      <c r="CK210" s="89"/>
      <c r="CL210" s="89"/>
      <c r="CM210" s="89"/>
      <c r="CN210" s="89"/>
      <c r="CO210" s="89"/>
      <c r="CP210" s="89"/>
      <c r="CQ210" s="89"/>
      <c r="CR210" s="89"/>
      <c r="CS210" s="89"/>
      <c r="CT210" s="89"/>
      <c r="CU210" s="89"/>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89"/>
      <c r="EM210" s="89"/>
      <c r="EN210" s="89"/>
      <c r="EO210" s="89"/>
      <c r="EP210" s="89"/>
      <c r="EQ210" s="89"/>
      <c r="ER210" s="89"/>
      <c r="ES210" s="89"/>
      <c r="ET210" s="89"/>
      <c r="EU210" s="89"/>
      <c r="EV210" s="89"/>
      <c r="EW210" s="268"/>
      <c r="EX210" s="268"/>
      <c r="EY210" s="268"/>
      <c r="EZ210" s="268"/>
      <c r="FA210" s="268"/>
      <c r="FB210" s="268"/>
      <c r="FC210" s="268"/>
      <c r="FD210" s="268"/>
      <c r="FE210" s="268"/>
      <c r="FF210" s="268"/>
      <c r="FG210" s="268"/>
      <c r="FH210" s="268"/>
      <c r="FI210" s="268"/>
      <c r="FJ210" s="96"/>
      <c r="FK210" s="96"/>
      <c r="FL210" s="96"/>
      <c r="FM210" s="377"/>
      <c r="FN210" s="377"/>
      <c r="FO210" s="377"/>
      <c r="FP210" s="377"/>
      <c r="FQ210" s="377"/>
      <c r="FR210" s="377"/>
      <c r="FS210" s="377"/>
      <c r="FT210" s="377"/>
      <c r="FU210" s="377"/>
      <c r="FV210" s="377"/>
      <c r="FW210" s="377"/>
      <c r="FX210" s="377"/>
      <c r="FY210" s="259"/>
      <c r="FZ210" s="259"/>
      <c r="GA210" s="259"/>
      <c r="GB210" s="259"/>
      <c r="GC210" s="377"/>
      <c r="GD210" s="377"/>
      <c r="GE210" s="377"/>
      <c r="GF210" s="377"/>
      <c r="GG210" s="377"/>
      <c r="GH210" s="377"/>
      <c r="GI210" s="377"/>
      <c r="GJ210" s="377"/>
      <c r="GK210" s="377"/>
      <c r="GL210" s="377"/>
      <c r="GM210" s="377"/>
      <c r="GN210" s="377"/>
      <c r="GO210" s="377"/>
      <c r="GP210" s="377"/>
      <c r="GQ210" s="377"/>
      <c r="GR210" s="377"/>
      <c r="GS210" s="377"/>
      <c r="GT210" s="377"/>
      <c r="GU210" s="377"/>
      <c r="GV210" s="377"/>
    </row>
    <row r="211" spans="1:235" ht="16.95" customHeight="1">
      <c r="A211" s="60"/>
      <c r="B211" s="69"/>
      <c r="C211" s="69"/>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c r="AG211" s="393"/>
      <c r="AH211" s="393"/>
      <c r="AI211" s="89"/>
      <c r="AJ211" s="393"/>
      <c r="AK211" s="393"/>
      <c r="AL211" s="393"/>
      <c r="AM211" s="393"/>
      <c r="AN211" s="393"/>
      <c r="AO211" s="393"/>
      <c r="AP211" s="393"/>
      <c r="AQ211" s="393"/>
      <c r="AR211" s="393"/>
      <c r="AS211" s="393"/>
      <c r="AT211" s="393"/>
      <c r="AU211" s="393"/>
      <c r="AV211" s="393"/>
      <c r="AW211" s="393"/>
      <c r="AX211" s="393"/>
      <c r="AY211" s="393"/>
      <c r="AZ211" s="393"/>
      <c r="BA211" s="393"/>
      <c r="BB211" s="393"/>
      <c r="BC211" s="89"/>
      <c r="BD211" s="89"/>
      <c r="BE211" s="89"/>
      <c r="BF211" s="89"/>
      <c r="BG211" s="89"/>
      <c r="BH211" s="89"/>
      <c r="BI211" s="89"/>
      <c r="BJ211" s="89"/>
      <c r="BK211" s="89"/>
      <c r="BL211" s="89"/>
      <c r="BM211" s="89"/>
      <c r="BN211" s="89"/>
      <c r="BO211" s="89"/>
      <c r="BP211" s="89"/>
      <c r="BQ211" s="89"/>
      <c r="BR211" s="89"/>
      <c r="BS211" s="89"/>
      <c r="BT211" s="89"/>
      <c r="BU211" s="89"/>
      <c r="BV211" s="89"/>
      <c r="BW211" s="89"/>
      <c r="BX211" s="89"/>
      <c r="BY211" s="89"/>
      <c r="BZ211" s="89"/>
      <c r="CA211" s="89"/>
      <c r="CB211" s="89"/>
      <c r="CC211" s="89"/>
      <c r="CD211" s="89"/>
      <c r="CE211" s="89"/>
      <c r="CF211" s="89"/>
      <c r="CG211" s="89"/>
      <c r="CH211" s="89"/>
      <c r="CI211" s="89"/>
      <c r="CJ211" s="89"/>
      <c r="CK211" s="89"/>
      <c r="CL211" s="89"/>
      <c r="CM211" s="89"/>
      <c r="CN211" s="89"/>
      <c r="CO211" s="89"/>
      <c r="CP211" s="89"/>
      <c r="CQ211" s="89"/>
      <c r="CR211" s="89"/>
      <c r="CS211" s="89"/>
      <c r="CT211" s="89"/>
      <c r="CU211" s="89"/>
      <c r="CV211" s="89"/>
      <c r="CW211" s="89"/>
      <c r="CX211" s="89"/>
      <c r="EC211" s="89"/>
      <c r="ED211" s="89"/>
      <c r="EE211" s="89"/>
      <c r="EF211" s="89"/>
      <c r="EG211" s="89"/>
      <c r="EH211" s="89"/>
      <c r="EI211" s="89"/>
      <c r="EJ211" s="89"/>
      <c r="EK211" s="89"/>
      <c r="EL211" s="89"/>
      <c r="EM211" s="89"/>
      <c r="EN211" s="89"/>
      <c r="EO211" s="89"/>
      <c r="EP211" s="89"/>
      <c r="EQ211" s="89"/>
      <c r="ER211" s="89"/>
      <c r="ES211" s="89"/>
      <c r="ET211" s="89"/>
      <c r="EU211" s="89"/>
      <c r="EV211" s="89"/>
      <c r="EW211" s="89"/>
      <c r="EX211" s="89"/>
      <c r="EY211" s="89"/>
      <c r="EZ211" s="89"/>
      <c r="FA211" s="89"/>
      <c r="FB211" s="89"/>
      <c r="FC211" s="89"/>
      <c r="FD211" s="89"/>
      <c r="FE211" s="89"/>
      <c r="FF211" s="89"/>
      <c r="FG211" s="89"/>
      <c r="FH211" s="89"/>
      <c r="FI211" s="89"/>
      <c r="FJ211" s="306"/>
      <c r="FK211" s="306"/>
      <c r="FL211" s="300"/>
      <c r="FM211" s="300"/>
      <c r="FN211" s="108"/>
      <c r="FO211" s="108"/>
      <c r="FP211" s="108"/>
      <c r="FQ211" s="108"/>
      <c r="FR211" s="108"/>
      <c r="FS211" s="108"/>
      <c r="FT211" s="108"/>
      <c r="FU211" s="108"/>
      <c r="FV211" s="108"/>
      <c r="FW211" s="108"/>
      <c r="FX211" s="301"/>
      <c r="FY211" s="259"/>
      <c r="FZ211" s="259"/>
      <c r="GA211" s="259"/>
      <c r="GB211" s="259"/>
      <c r="GC211" s="377"/>
      <c r="GD211" s="377"/>
      <c r="GE211" s="377"/>
      <c r="GF211" s="377"/>
      <c r="GG211" s="377"/>
      <c r="GH211" s="377"/>
      <c r="GI211" s="377"/>
      <c r="GJ211" s="377"/>
      <c r="GK211" s="377"/>
      <c r="GL211" s="377"/>
      <c r="GM211" s="377"/>
      <c r="GN211" s="377"/>
      <c r="GO211" s="307"/>
      <c r="GP211" s="307"/>
      <c r="GQ211" s="307"/>
      <c r="GR211" s="307"/>
      <c r="GS211" s="307"/>
      <c r="GT211" s="307"/>
      <c r="GU211" s="307"/>
      <c r="GV211" s="307"/>
    </row>
    <row r="212" spans="1:235" ht="3.6" customHeight="1">
      <c r="A212" s="60"/>
      <c r="B212" s="69"/>
      <c r="C212" s="69"/>
      <c r="D212" s="393"/>
      <c r="E212" s="393"/>
      <c r="F212" s="393"/>
      <c r="G212" s="393"/>
      <c r="H212" s="393"/>
      <c r="I212" s="393"/>
      <c r="J212" s="393"/>
      <c r="K212" s="393"/>
      <c r="L212" s="393"/>
      <c r="M212" s="393"/>
      <c r="N212" s="393"/>
      <c r="O212" s="393"/>
      <c r="P212" s="393"/>
      <c r="Q212" s="393"/>
      <c r="R212" s="393"/>
      <c r="S212" s="393"/>
      <c r="T212" s="393"/>
      <c r="U212" s="393"/>
      <c r="V212" s="393"/>
      <c r="W212" s="393"/>
      <c r="X212" s="394"/>
      <c r="Y212" s="394"/>
      <c r="Z212" s="394"/>
      <c r="AA212" s="394"/>
      <c r="AB212" s="394"/>
      <c r="AC212" s="394"/>
      <c r="AD212" s="394"/>
      <c r="AE212" s="394"/>
      <c r="AF212" s="89"/>
      <c r="AG212" s="89"/>
      <c r="AH212" s="393"/>
      <c r="AI212" s="394"/>
      <c r="AJ212" s="394"/>
      <c r="AK212" s="394"/>
      <c r="AL212" s="394"/>
      <c r="AM212" s="394"/>
      <c r="AN212" s="394"/>
      <c r="AO212" s="394"/>
      <c r="AP212" s="394"/>
      <c r="AQ212" s="394"/>
      <c r="AR212" s="394"/>
      <c r="AS212" s="394"/>
      <c r="AT212" s="394"/>
      <c r="AU212" s="394"/>
      <c r="AV212" s="394"/>
      <c r="AW212" s="394"/>
      <c r="AX212" s="394"/>
      <c r="AY212" s="394"/>
      <c r="AZ212" s="394"/>
      <c r="BA212" s="394"/>
      <c r="BB212" s="394"/>
      <c r="BC212" s="394"/>
      <c r="BD212" s="89"/>
      <c r="BE212" s="394"/>
      <c r="BF212" s="394"/>
      <c r="BG212" s="394"/>
      <c r="BH212" s="394"/>
      <c r="BI212" s="394"/>
      <c r="BJ212" s="394"/>
      <c r="BK212" s="394"/>
      <c r="BL212" s="394"/>
      <c r="BM212" s="394"/>
      <c r="BN212" s="394"/>
      <c r="BO212" s="394"/>
      <c r="BP212" s="394"/>
      <c r="BQ212" s="394"/>
      <c r="BR212" s="394"/>
      <c r="BS212" s="394"/>
      <c r="BT212" s="394"/>
      <c r="BU212" s="394"/>
      <c r="BV212" s="394"/>
      <c r="BW212" s="394"/>
      <c r="BX212" s="394"/>
      <c r="BY212" s="394"/>
      <c r="BZ212" s="394"/>
      <c r="CA212" s="394"/>
      <c r="CB212" s="394"/>
      <c r="CC212" s="394"/>
      <c r="CD212" s="268"/>
      <c r="CE212" s="268"/>
      <c r="CF212" s="268"/>
      <c r="CG212" s="268"/>
      <c r="CH212" s="268"/>
      <c r="CI212" s="268"/>
      <c r="CJ212" s="268"/>
      <c r="CK212" s="268"/>
      <c r="CL212" s="268"/>
      <c r="CM212" s="268"/>
      <c r="CN212" s="268"/>
      <c r="CO212" s="268"/>
      <c r="CP212" s="268"/>
      <c r="CQ212" s="268"/>
      <c r="CR212" s="268"/>
      <c r="CS212" s="268"/>
      <c r="CT212" s="268"/>
      <c r="CU212" s="394"/>
      <c r="CV212" s="394"/>
      <c r="CW212" s="394"/>
      <c r="CX212" s="394"/>
      <c r="CY212" s="141"/>
      <c r="CZ212" s="141"/>
      <c r="DA212" s="141"/>
      <c r="DB212" s="89"/>
      <c r="DC212" s="89"/>
      <c r="DD212" s="553" t="str">
        <f ca="1">IF(FL1=0,"","+")</f>
        <v/>
      </c>
      <c r="DE212" s="541" t="e">
        <f>IF(#REF!=0,"","+")</f>
        <v>#REF!</v>
      </c>
      <c r="DF212" s="541" t="e">
        <f>IF(#REF!=0,"","+")</f>
        <v>#REF!</v>
      </c>
      <c r="DG212" s="541" t="e">
        <f>IF(#REF!=0,"","+")</f>
        <v>#REF!</v>
      </c>
      <c r="DH212" s="541" t="e">
        <f>IF(#REF!=0,"","+")</f>
        <v>#REF!</v>
      </c>
      <c r="DI212" s="541"/>
      <c r="DJ212" s="541"/>
      <c r="DK212" s="541"/>
      <c r="DL212" s="541" t="e">
        <f>IF(#REF!=0,"","+")</f>
        <v>#REF!</v>
      </c>
      <c r="DM212" s="541" t="e">
        <f>IF(#REF!=0,"","+")</f>
        <v>#REF!</v>
      </c>
      <c r="DN212" s="541" t="e">
        <f>IF(#REF!=0,"","+")</f>
        <v>#REF!</v>
      </c>
      <c r="DO212" s="541" t="e">
        <f>IF(#REF!=0,"","+")</f>
        <v>#REF!</v>
      </c>
      <c r="DP212" s="541" t="e">
        <f>IF(#REF!=0,"","+")</f>
        <v>#REF!</v>
      </c>
      <c r="DQ212" s="541" t="e">
        <f>IF(#REF!=0,"","+")</f>
        <v>#REF!</v>
      </c>
      <c r="DR212" s="541"/>
      <c r="DS212" s="541"/>
      <c r="DT212" s="541"/>
      <c r="DU212" s="541"/>
      <c r="DV212" s="541"/>
      <c r="DW212" s="541"/>
      <c r="DX212" s="541" t="e">
        <f>IF(#REF!=0,"","+")</f>
        <v>#REF!</v>
      </c>
      <c r="DY212" s="541" t="e">
        <f>IF(#REF!=0,"","+")</f>
        <v>#REF!</v>
      </c>
      <c r="DZ212" s="541" t="e">
        <f>IF(#REF!=0,"","+")</f>
        <v>#REF!</v>
      </c>
      <c r="EA212" s="541" t="e">
        <f>IF(#REF!=0,"","+")</f>
        <v>#REF!</v>
      </c>
      <c r="EB212" s="541" t="e">
        <f>IF(#REF!=0,"","+")</f>
        <v>#REF!</v>
      </c>
      <c r="EC212" s="89"/>
      <c r="ED212" s="89"/>
      <c r="FH212" s="89"/>
      <c r="FI212" s="89"/>
      <c r="FJ212" s="306"/>
      <c r="FK212" s="306"/>
      <c r="FL212" s="300"/>
      <c r="FM212" s="300"/>
      <c r="FN212" s="108"/>
      <c r="FO212" s="108"/>
      <c r="FP212" s="108"/>
      <c r="FQ212" s="108"/>
      <c r="FR212" s="108"/>
      <c r="FS212" s="108"/>
      <c r="FT212" s="108"/>
      <c r="FU212" s="108"/>
      <c r="FV212" s="108"/>
      <c r="FW212" s="108"/>
      <c r="FX212" s="301"/>
      <c r="FY212" s="259"/>
      <c r="FZ212" s="259"/>
      <c r="GA212" s="259"/>
      <c r="GB212" s="259"/>
      <c r="GC212" s="377"/>
      <c r="GD212" s="377"/>
      <c r="GE212" s="377"/>
      <c r="GF212" s="377"/>
      <c r="GG212" s="377"/>
      <c r="GH212" s="377"/>
      <c r="GI212" s="377"/>
      <c r="GJ212" s="377"/>
      <c r="GK212" s="377"/>
      <c r="GL212" s="377"/>
      <c r="GM212" s="377"/>
      <c r="GN212" s="377"/>
      <c r="GO212" s="307"/>
      <c r="GP212" s="307"/>
      <c r="GQ212" s="307"/>
      <c r="GR212" s="307"/>
      <c r="GS212" s="307"/>
      <c r="GT212" s="307"/>
      <c r="GU212" s="307"/>
      <c r="GV212" s="307"/>
    </row>
    <row r="213" spans="1:235" ht="16.5" customHeight="1">
      <c r="A213" s="60"/>
      <c r="B213" s="69"/>
      <c r="C213" s="69"/>
      <c r="D213" s="268"/>
      <c r="E213" s="268"/>
      <c r="F213" s="268"/>
      <c r="G213" s="268"/>
      <c r="H213" s="268"/>
      <c r="I213" s="268"/>
      <c r="J213" s="268"/>
      <c r="K213" s="268"/>
      <c r="L213" s="268"/>
      <c r="M213" s="268"/>
      <c r="N213" s="268"/>
      <c r="O213" s="268"/>
      <c r="P213" s="268"/>
      <c r="Q213" s="268"/>
      <c r="R213" s="394"/>
      <c r="S213" s="394"/>
      <c r="T213" s="394"/>
      <c r="U213" s="394"/>
      <c r="V213" s="394"/>
      <c r="W213" s="394"/>
      <c r="X213" s="394"/>
      <c r="Y213" s="394"/>
      <c r="Z213" s="394"/>
      <c r="AA213" s="394"/>
      <c r="AB213" s="394"/>
      <c r="AC213" s="394"/>
      <c r="AD213" s="394"/>
      <c r="AE213" s="394"/>
      <c r="AF213" s="302"/>
      <c r="AG213" s="89"/>
      <c r="AH213" s="393"/>
      <c r="AI213" s="325"/>
      <c r="AJ213" s="326"/>
      <c r="AK213" s="326"/>
      <c r="AL213" s="326"/>
      <c r="AM213" s="326"/>
      <c r="AN213" s="326"/>
      <c r="AO213" s="326"/>
      <c r="AP213" s="326"/>
      <c r="AQ213" s="326"/>
      <c r="AR213" s="326"/>
      <c r="AS213" s="326"/>
      <c r="AT213" s="326"/>
      <c r="AU213" s="326"/>
      <c r="AV213" s="326"/>
      <c r="AW213" s="326"/>
      <c r="AX213" s="326"/>
      <c r="AY213" s="326"/>
      <c r="AZ213" s="326"/>
      <c r="BA213" s="326"/>
      <c r="BB213" s="326"/>
      <c r="BC213" s="393"/>
      <c r="BD213" s="304"/>
      <c r="BE213" s="394"/>
      <c r="BF213" s="394"/>
      <c r="BG213" s="394"/>
      <c r="BH213" s="394"/>
      <c r="BI213" s="394"/>
      <c r="BJ213" s="394"/>
      <c r="BK213" s="394"/>
      <c r="BL213" s="394"/>
      <c r="BM213" s="394"/>
      <c r="BN213" s="394"/>
      <c r="BO213" s="394"/>
      <c r="BP213" s="394"/>
      <c r="BQ213" s="394"/>
      <c r="BR213" s="394"/>
      <c r="BS213" s="394"/>
      <c r="BT213" s="394"/>
      <c r="BU213" s="394"/>
      <c r="BV213" s="394"/>
      <c r="BW213" s="394"/>
      <c r="BX213" s="394"/>
      <c r="BY213" s="394"/>
      <c r="BZ213" s="394"/>
      <c r="CA213" s="394"/>
      <c r="CB213" s="394"/>
      <c r="CC213" s="394"/>
      <c r="CD213" s="268"/>
      <c r="CE213" s="268"/>
      <c r="CF213" s="268"/>
      <c r="CG213" s="268"/>
      <c r="CH213" s="268"/>
      <c r="CI213" s="268"/>
      <c r="CJ213" s="268"/>
      <c r="CK213" s="268"/>
      <c r="CL213" s="268"/>
      <c r="CM213" s="268"/>
      <c r="CN213" s="268"/>
      <c r="CO213" s="268"/>
      <c r="CP213" s="268"/>
      <c r="CQ213" s="268"/>
      <c r="CR213" s="268"/>
      <c r="CS213" s="268"/>
      <c r="CT213" s="268"/>
      <c r="CU213" s="394"/>
      <c r="CV213" s="394"/>
      <c r="CW213" s="394"/>
      <c r="CX213" s="394"/>
      <c r="CY213" s="141"/>
      <c r="CZ213" s="141"/>
      <c r="DA213" s="141"/>
      <c r="DB213" s="302" t="str">
        <f ca="1">IF(FL1=0,"","de hoeveelheid waarbij de omzet maximale is, is:")</f>
        <v/>
      </c>
      <c r="DC213" s="89"/>
      <c r="DD213" s="393" t="str">
        <f ca="1">IF(FL1=0,"","+")</f>
        <v/>
      </c>
      <c r="DE213" s="559"/>
      <c r="DF213" s="560"/>
      <c r="DG213" s="560"/>
      <c r="DH213" s="560"/>
      <c r="DI213" s="560"/>
      <c r="DJ213" s="560"/>
      <c r="DK213" s="560"/>
      <c r="DL213" s="560"/>
      <c r="DM213" s="560"/>
      <c r="DN213" s="560"/>
      <c r="DO213" s="560"/>
      <c r="DP213" s="560"/>
      <c r="DQ213" s="560"/>
      <c r="DR213" s="560"/>
      <c r="DS213" s="560"/>
      <c r="DT213" s="560"/>
      <c r="DU213" s="560"/>
      <c r="DV213" s="560"/>
      <c r="DW213" s="560"/>
      <c r="DX213" s="560"/>
      <c r="DY213" s="560"/>
      <c r="DZ213" s="560"/>
      <c r="EA213" s="560"/>
      <c r="EB213" s="393" t="str">
        <f ca="1">IF(FL1=0,"","+")</f>
        <v/>
      </c>
      <c r="EC213" s="304" t="s">
        <v>131</v>
      </c>
      <c r="ED213" s="141"/>
      <c r="EE213" s="298"/>
      <c r="EF213" s="394"/>
      <c r="EG213" s="89"/>
      <c r="EH213" s="89"/>
      <c r="EI213" s="89"/>
      <c r="EJ213" s="89"/>
      <c r="EK213" s="89"/>
      <c r="EL213" s="89"/>
      <c r="EM213" s="89"/>
      <c r="EN213" s="89"/>
      <c r="EO213" s="89"/>
      <c r="EP213" s="89"/>
      <c r="EQ213" s="89"/>
      <c r="ER213" s="89"/>
      <c r="ES213" s="89"/>
      <c r="ET213" s="89"/>
      <c r="EU213" s="89"/>
      <c r="EV213" s="89"/>
      <c r="EW213" s="89"/>
      <c r="EX213" s="89"/>
      <c r="EY213" s="89"/>
      <c r="EZ213" s="89"/>
      <c r="FA213" s="89"/>
      <c r="FB213" s="89"/>
      <c r="FC213" s="89"/>
      <c r="FD213" s="89"/>
      <c r="FE213" s="89"/>
      <c r="FF213" s="89"/>
      <c r="FG213" s="89"/>
      <c r="FH213" s="89"/>
      <c r="FI213" s="89"/>
      <c r="FJ213" s="306"/>
      <c r="FK213" s="306"/>
      <c r="FL213" s="300"/>
      <c r="FM213" s="300"/>
      <c r="FN213" s="300"/>
      <c r="FO213" s="300">
        <f ca="1">IF(programma!B1="X",1,IF(AND(FL1=1,DE213&gt;FP213-0.01,DE213&lt;FP213+0.01),1,0))</f>
        <v>0</v>
      </c>
      <c r="FP213" s="339">
        <f ca="1">IF(FK1=0,"",-ROUND(FZ188/FV188,0))</f>
        <v>610</v>
      </c>
      <c r="FQ213" s="300"/>
      <c r="FR213" s="108"/>
      <c r="FS213" s="108"/>
      <c r="FT213" s="108"/>
      <c r="FU213" s="108"/>
      <c r="FV213" s="108"/>
      <c r="FW213" s="108"/>
      <c r="FX213" s="301"/>
      <c r="FY213" s="259"/>
      <c r="FZ213" s="259"/>
      <c r="GA213" s="259"/>
      <c r="GB213" s="259"/>
      <c r="GC213" s="377"/>
      <c r="GD213" s="377"/>
      <c r="GE213" s="377"/>
      <c r="GF213" s="377"/>
      <c r="GG213" s="377"/>
      <c r="GH213" s="377"/>
      <c r="GI213" s="377"/>
      <c r="GJ213" s="377"/>
      <c r="GK213" s="377"/>
      <c r="GL213" s="377"/>
      <c r="GM213" s="377"/>
      <c r="GN213" s="377"/>
      <c r="GO213" s="307"/>
      <c r="GP213" s="307"/>
      <c r="GQ213" s="307"/>
      <c r="GR213" s="307"/>
      <c r="GS213" s="307"/>
      <c r="GT213" s="307"/>
      <c r="GU213" s="307"/>
      <c r="GV213" s="307"/>
    </row>
    <row r="214" spans="1:235" ht="3.6" customHeight="1">
      <c r="A214" s="60"/>
      <c r="B214" s="69"/>
      <c r="C214" s="69"/>
      <c r="D214" s="393"/>
      <c r="E214" s="393"/>
      <c r="F214" s="393"/>
      <c r="G214" s="393"/>
      <c r="H214" s="393"/>
      <c r="I214" s="393"/>
      <c r="J214" s="393"/>
      <c r="K214" s="393"/>
      <c r="L214" s="393"/>
      <c r="M214" s="393"/>
      <c r="N214" s="393"/>
      <c r="O214" s="393"/>
      <c r="P214" s="393"/>
      <c r="Q214" s="393"/>
      <c r="R214" s="393"/>
      <c r="S214" s="393"/>
      <c r="T214" s="393"/>
      <c r="U214" s="393"/>
      <c r="V214" s="393"/>
      <c r="W214" s="393"/>
      <c r="X214" s="394"/>
      <c r="Y214" s="394"/>
      <c r="Z214" s="394"/>
      <c r="AA214" s="394"/>
      <c r="AB214" s="394"/>
      <c r="AC214" s="394"/>
      <c r="AD214" s="394"/>
      <c r="AE214" s="394"/>
      <c r="AF214" s="89"/>
      <c r="AG214" s="89"/>
      <c r="AH214" s="393"/>
      <c r="AI214" s="394"/>
      <c r="AJ214" s="394"/>
      <c r="AK214" s="394"/>
      <c r="AL214" s="394"/>
      <c r="AM214" s="394"/>
      <c r="AN214" s="394"/>
      <c r="AO214" s="394"/>
      <c r="AP214" s="394"/>
      <c r="AQ214" s="394"/>
      <c r="AR214" s="394"/>
      <c r="AS214" s="394"/>
      <c r="AT214" s="394"/>
      <c r="AU214" s="394"/>
      <c r="AV214" s="394"/>
      <c r="AW214" s="394"/>
      <c r="AX214" s="394"/>
      <c r="AY214" s="394"/>
      <c r="AZ214" s="394"/>
      <c r="BA214" s="394"/>
      <c r="BB214" s="394"/>
      <c r="BC214" s="394"/>
      <c r="BD214" s="89"/>
      <c r="BE214" s="394"/>
      <c r="BF214" s="394"/>
      <c r="BG214" s="394"/>
      <c r="BH214" s="394"/>
      <c r="BI214" s="394"/>
      <c r="BJ214" s="394"/>
      <c r="BK214" s="394"/>
      <c r="BL214" s="394"/>
      <c r="BM214" s="394"/>
      <c r="BN214" s="394"/>
      <c r="BO214" s="394"/>
      <c r="BP214" s="394"/>
      <c r="BQ214" s="394"/>
      <c r="BR214" s="394"/>
      <c r="BS214" s="394"/>
      <c r="BT214" s="394"/>
      <c r="BU214" s="394"/>
      <c r="BV214" s="394"/>
      <c r="BW214" s="394"/>
      <c r="BX214" s="394"/>
      <c r="BY214" s="394"/>
      <c r="BZ214" s="394"/>
      <c r="CA214" s="394"/>
      <c r="CB214" s="394"/>
      <c r="CC214" s="394"/>
      <c r="CD214" s="268"/>
      <c r="CE214" s="268"/>
      <c r="CF214" s="268"/>
      <c r="CG214" s="268"/>
      <c r="CH214" s="268"/>
      <c r="CI214" s="268"/>
      <c r="CJ214" s="268"/>
      <c r="CK214" s="268"/>
      <c r="CL214" s="268"/>
      <c r="CM214" s="268"/>
      <c r="CN214" s="268"/>
      <c r="CO214" s="268"/>
      <c r="CP214" s="268"/>
      <c r="CQ214" s="268"/>
      <c r="CR214" s="268"/>
      <c r="CS214" s="268"/>
      <c r="CT214" s="268"/>
      <c r="CU214" s="394"/>
      <c r="CV214" s="394"/>
      <c r="CW214" s="394"/>
      <c r="CX214" s="394"/>
      <c r="CY214" s="141"/>
      <c r="CZ214" s="141"/>
      <c r="DA214" s="141"/>
      <c r="DB214" s="89"/>
      <c r="DC214" s="89"/>
      <c r="DD214" s="553" t="str">
        <f ca="1">IF(FL1=0,"","+")</f>
        <v/>
      </c>
      <c r="DE214" s="541" t="e">
        <f>IF(#REF!=0,"","+")</f>
        <v>#REF!</v>
      </c>
      <c r="DF214" s="541" t="e">
        <f>IF(#REF!=0,"","+")</f>
        <v>#REF!</v>
      </c>
      <c r="DG214" s="541" t="e">
        <f>IF(#REF!=0,"","+")</f>
        <v>#REF!</v>
      </c>
      <c r="DH214" s="541" t="e">
        <f>IF(#REF!=0,"","+")</f>
        <v>#REF!</v>
      </c>
      <c r="DI214" s="541"/>
      <c r="DJ214" s="541"/>
      <c r="DK214" s="541"/>
      <c r="DL214" s="541" t="e">
        <f>IF(#REF!=0,"","+")</f>
        <v>#REF!</v>
      </c>
      <c r="DM214" s="541" t="e">
        <f>IF(#REF!=0,"","+")</f>
        <v>#REF!</v>
      </c>
      <c r="DN214" s="541" t="e">
        <f>IF(#REF!=0,"","+")</f>
        <v>#REF!</v>
      </c>
      <c r="DO214" s="541" t="e">
        <f>IF(#REF!=0,"","+")</f>
        <v>#REF!</v>
      </c>
      <c r="DP214" s="541" t="e">
        <f>IF(#REF!=0,"","+")</f>
        <v>#REF!</v>
      </c>
      <c r="DQ214" s="541" t="e">
        <f>IF(#REF!=0,"","+")</f>
        <v>#REF!</v>
      </c>
      <c r="DR214" s="541"/>
      <c r="DS214" s="541"/>
      <c r="DT214" s="541"/>
      <c r="DU214" s="541"/>
      <c r="DV214" s="541"/>
      <c r="DW214" s="541"/>
      <c r="DX214" s="541" t="e">
        <f>IF(#REF!=0,"","+")</f>
        <v>#REF!</v>
      </c>
      <c r="DY214" s="541" t="e">
        <f>IF(#REF!=0,"","+")</f>
        <v>#REF!</v>
      </c>
      <c r="DZ214" s="541" t="e">
        <f>IF(#REF!=0,"","+")</f>
        <v>#REF!</v>
      </c>
      <c r="EA214" s="541" t="e">
        <f>IF(#REF!=0,"","+")</f>
        <v>#REF!</v>
      </c>
      <c r="EB214" s="541" t="e">
        <f>IF(#REF!=0,"","+")</f>
        <v>#REF!</v>
      </c>
      <c r="EC214" s="89"/>
      <c r="ED214" s="89"/>
      <c r="FH214" s="89"/>
      <c r="FI214" s="89"/>
      <c r="FJ214" s="306"/>
      <c r="FK214" s="306"/>
      <c r="FL214" s="300"/>
      <c r="FM214" s="300"/>
      <c r="FN214" s="300"/>
      <c r="FO214" s="300"/>
      <c r="FP214" s="300"/>
      <c r="FQ214" s="108"/>
      <c r="FR214" s="108"/>
      <c r="FS214" s="108"/>
      <c r="FT214" s="108"/>
      <c r="FU214" s="108"/>
      <c r="FV214" s="108"/>
      <c r="FW214" s="108"/>
      <c r="FX214" s="301"/>
      <c r="FY214" s="259"/>
      <c r="FZ214" s="259"/>
      <c r="GA214" s="259"/>
      <c r="GB214" s="259"/>
      <c r="GC214" s="377"/>
      <c r="GD214" s="377"/>
      <c r="GE214" s="377"/>
      <c r="GF214" s="377"/>
      <c r="GG214" s="377"/>
      <c r="GH214" s="377"/>
      <c r="GI214" s="377"/>
      <c r="GJ214" s="377"/>
      <c r="GK214" s="377"/>
      <c r="GL214" s="377"/>
      <c r="GM214" s="377"/>
      <c r="GN214" s="377"/>
      <c r="GO214" s="307"/>
      <c r="GP214" s="307"/>
      <c r="GQ214" s="307"/>
      <c r="GR214" s="307"/>
      <c r="GS214" s="307"/>
      <c r="GT214" s="307"/>
      <c r="GU214" s="307"/>
      <c r="GV214" s="307"/>
    </row>
    <row r="215" spans="1:235" ht="9" customHeight="1">
      <c r="A215" s="60"/>
      <c r="B215" s="69"/>
      <c r="C215" s="69"/>
      <c r="D215" s="393"/>
      <c r="E215" s="393"/>
      <c r="F215" s="393"/>
      <c r="G215" s="393"/>
      <c r="H215" s="393"/>
      <c r="I215" s="393"/>
      <c r="J215" s="393"/>
      <c r="K215" s="393"/>
      <c r="L215" s="393"/>
      <c r="M215" s="393"/>
      <c r="N215" s="393"/>
      <c r="O215" s="393"/>
      <c r="P215" s="393"/>
      <c r="Q215" s="393"/>
      <c r="R215" s="393"/>
      <c r="S215" s="393"/>
      <c r="T215" s="393"/>
      <c r="U215" s="393"/>
      <c r="V215" s="393"/>
      <c r="W215" s="393"/>
      <c r="X215" s="89"/>
      <c r="Y215" s="89"/>
      <c r="Z215" s="89"/>
      <c r="AA215" s="89"/>
      <c r="AB215" s="89"/>
      <c r="AC215" s="89"/>
      <c r="AD215" s="89"/>
      <c r="AE215" s="89"/>
      <c r="AF215" s="89"/>
      <c r="AG215" s="89"/>
      <c r="AH215" s="89"/>
      <c r="AI215" s="89"/>
      <c r="AJ215" s="89"/>
      <c r="AK215" s="89"/>
      <c r="AL215" s="89"/>
      <c r="AM215" s="89"/>
      <c r="AN215" s="89"/>
      <c r="AO215" s="89"/>
      <c r="AP215" s="89"/>
      <c r="AQ215" s="89"/>
      <c r="AR215" s="89"/>
      <c r="AS215" s="89"/>
      <c r="AT215" s="89"/>
      <c r="AU215" s="89"/>
      <c r="AV215" s="89"/>
      <c r="AW215" s="89"/>
      <c r="AX215" s="89"/>
      <c r="AY215" s="89"/>
      <c r="AZ215" s="89"/>
      <c r="BA215" s="89"/>
      <c r="BB215" s="89"/>
      <c r="BC215" s="89"/>
      <c r="BD215" s="89"/>
      <c r="BE215" s="89"/>
      <c r="BF215" s="89"/>
      <c r="BG215" s="89"/>
      <c r="BH215" s="89"/>
      <c r="BI215" s="89"/>
      <c r="BJ215" s="89"/>
      <c r="BK215" s="89"/>
      <c r="BL215" s="89"/>
      <c r="BM215" s="89"/>
      <c r="BN215" s="89"/>
      <c r="BO215" s="89"/>
      <c r="BP215" s="89"/>
      <c r="BQ215" s="89"/>
      <c r="BR215" s="89"/>
      <c r="BS215" s="89"/>
      <c r="BT215" s="89"/>
      <c r="BU215" s="89"/>
      <c r="BV215" s="89"/>
      <c r="BW215" s="89"/>
      <c r="BX215" s="89"/>
      <c r="BY215" s="89"/>
      <c r="BZ215" s="89"/>
      <c r="CA215" s="89"/>
      <c r="CB215" s="89"/>
      <c r="CC215" s="89"/>
      <c r="CD215" s="89"/>
      <c r="CE215" s="89"/>
      <c r="CF215" s="89"/>
      <c r="CG215" s="89"/>
      <c r="CH215" s="89"/>
      <c r="CI215" s="89"/>
      <c r="CJ215" s="89"/>
      <c r="CK215" s="89"/>
      <c r="CL215" s="89"/>
      <c r="CM215" s="89"/>
      <c r="CN215" s="89"/>
      <c r="CO215" s="89"/>
      <c r="CP215" s="89"/>
      <c r="CQ215" s="89"/>
      <c r="CR215" s="89"/>
      <c r="CS215" s="89"/>
      <c r="CT215" s="89"/>
      <c r="CU215" s="89"/>
      <c r="CV215" s="89"/>
      <c r="CW215" s="89"/>
      <c r="CX215" s="89"/>
      <c r="CY215" s="89"/>
      <c r="CZ215" s="89"/>
      <c r="DA215" s="89"/>
      <c r="DB215" s="89"/>
      <c r="DC215" s="89"/>
      <c r="DD215" s="89"/>
      <c r="DE215" s="89"/>
      <c r="DF215" s="89"/>
      <c r="DG215" s="89"/>
      <c r="DH215" s="89"/>
      <c r="DI215" s="89"/>
      <c r="DJ215" s="89"/>
      <c r="DK215" s="89"/>
      <c r="DL215" s="89"/>
      <c r="DM215" s="89"/>
      <c r="DN215" s="89"/>
      <c r="DO215" s="89"/>
      <c r="DP215" s="89"/>
      <c r="DQ215" s="89"/>
      <c r="DR215" s="89"/>
      <c r="DS215" s="89"/>
      <c r="DT215" s="89"/>
      <c r="DU215" s="89"/>
      <c r="DV215" s="89"/>
      <c r="DW215" s="89"/>
      <c r="DX215" s="89"/>
      <c r="DY215" s="89"/>
      <c r="DZ215" s="89"/>
      <c r="EA215" s="89"/>
      <c r="EB215" s="89"/>
      <c r="EC215" s="89"/>
      <c r="ED215" s="89"/>
      <c r="FH215" s="89"/>
      <c r="FI215" s="89"/>
      <c r="FJ215" s="306"/>
      <c r="FK215" s="306"/>
      <c r="FL215" s="300"/>
      <c r="FM215" s="300"/>
      <c r="FN215" s="300"/>
      <c r="FO215" s="300"/>
      <c r="FP215" s="300"/>
      <c r="FQ215" s="108"/>
      <c r="FR215" s="108"/>
      <c r="FS215" s="108"/>
      <c r="FT215" s="108"/>
      <c r="FU215" s="108"/>
      <c r="FV215" s="108"/>
      <c r="FW215" s="108"/>
      <c r="FX215" s="301"/>
      <c r="FY215" s="259"/>
      <c r="FZ215" s="259"/>
      <c r="GA215" s="259"/>
      <c r="GB215" s="259"/>
      <c r="GC215" s="377"/>
      <c r="GD215" s="377"/>
      <c r="GE215" s="377"/>
      <c r="GF215" s="377"/>
      <c r="GG215" s="377"/>
      <c r="GH215" s="377"/>
      <c r="GI215" s="377"/>
      <c r="GJ215" s="377"/>
      <c r="GK215" s="377"/>
      <c r="GL215" s="377"/>
      <c r="GM215" s="377"/>
      <c r="GN215" s="377"/>
      <c r="GO215" s="307"/>
      <c r="GP215" s="307"/>
      <c r="GQ215" s="307"/>
      <c r="GR215" s="307"/>
      <c r="GS215" s="307"/>
      <c r="GT215" s="307"/>
      <c r="GU215" s="307"/>
      <c r="GV215" s="307"/>
    </row>
    <row r="216" spans="1:235" ht="3.6" customHeight="1">
      <c r="A216" s="60"/>
      <c r="B216" s="69"/>
      <c r="C216" s="69"/>
      <c r="D216" s="393"/>
      <c r="E216" s="393"/>
      <c r="F216" s="393"/>
      <c r="G216" s="393"/>
      <c r="H216" s="393"/>
      <c r="I216" s="393"/>
      <c r="J216" s="393"/>
      <c r="K216" s="393"/>
      <c r="L216" s="393"/>
      <c r="M216" s="393"/>
      <c r="N216" s="393"/>
      <c r="O216" s="393"/>
      <c r="P216" s="393"/>
      <c r="Q216" s="393"/>
      <c r="R216" s="393"/>
      <c r="S216" s="393"/>
      <c r="T216" s="393"/>
      <c r="U216" s="393"/>
      <c r="V216" s="393"/>
      <c r="W216" s="393"/>
      <c r="X216" s="394"/>
      <c r="Y216" s="394"/>
      <c r="Z216" s="394"/>
      <c r="AA216" s="297"/>
      <c r="AB216" s="297"/>
      <c r="AC216" s="297"/>
      <c r="AD216" s="297"/>
      <c r="AE216" s="297"/>
      <c r="AF216" s="297"/>
      <c r="AG216" s="297"/>
      <c r="AH216" s="297"/>
      <c r="AI216" s="297"/>
      <c r="AJ216" s="297"/>
      <c r="AK216" s="297"/>
      <c r="AL216" s="297"/>
      <c r="AM216" s="297"/>
      <c r="AN216" s="297"/>
      <c r="AO216" s="297"/>
      <c r="AP216" s="297"/>
      <c r="AQ216" s="297"/>
      <c r="AR216" s="297"/>
      <c r="AS216" s="297"/>
      <c r="AT216" s="297"/>
      <c r="AU216" s="297"/>
      <c r="AV216" s="297"/>
      <c r="AW216" s="297"/>
      <c r="AX216" s="297"/>
      <c r="AY216" s="297"/>
      <c r="AZ216" s="297"/>
      <c r="BA216" s="297"/>
      <c r="BB216" s="297"/>
      <c r="BC216" s="297"/>
      <c r="BD216" s="297"/>
      <c r="BE216" s="297"/>
      <c r="BF216" s="297"/>
      <c r="BG216" s="394"/>
      <c r="BH216" s="394"/>
      <c r="BI216" s="394"/>
      <c r="BJ216" s="394"/>
      <c r="BK216" s="394"/>
      <c r="BL216" s="394"/>
      <c r="BM216" s="394"/>
      <c r="BN216" s="394"/>
      <c r="BO216" s="394"/>
      <c r="BP216" s="394"/>
      <c r="BQ216" s="394"/>
      <c r="BR216" s="394"/>
      <c r="BS216" s="394"/>
      <c r="BT216" s="394"/>
      <c r="BU216" s="394"/>
      <c r="BV216" s="394"/>
      <c r="BW216" s="394"/>
      <c r="BX216" s="394"/>
      <c r="BY216" s="394"/>
      <c r="BZ216" s="394"/>
      <c r="CA216" s="394"/>
      <c r="CB216" s="394"/>
      <c r="CC216" s="394"/>
      <c r="CD216" s="268"/>
      <c r="CE216" s="268"/>
      <c r="CF216" s="268"/>
      <c r="CG216" s="268"/>
      <c r="CH216" s="268"/>
      <c r="CI216" s="268"/>
      <c r="CJ216" s="268"/>
      <c r="CK216" s="268"/>
      <c r="CL216" s="268"/>
      <c r="CM216" s="268"/>
      <c r="CN216" s="268"/>
      <c r="CO216" s="268"/>
      <c r="CP216" s="268"/>
      <c r="CQ216" s="268"/>
      <c r="CR216" s="268"/>
      <c r="CS216" s="268"/>
      <c r="CT216" s="268"/>
      <c r="CU216" s="394"/>
      <c r="CV216" s="394"/>
      <c r="CW216" s="394"/>
      <c r="CX216" s="394"/>
      <c r="CY216" s="141"/>
      <c r="CZ216" s="141"/>
      <c r="DA216" s="141"/>
      <c r="DB216" s="89"/>
      <c r="DC216" s="89"/>
      <c r="DD216" s="553" t="str">
        <f ca="1">IF(FL1=0,"","+")</f>
        <v/>
      </c>
      <c r="DE216" s="541" t="e">
        <f>IF(#REF!=0,"","+")</f>
        <v>#REF!</v>
      </c>
      <c r="DF216" s="541" t="e">
        <f>IF(#REF!=0,"","+")</f>
        <v>#REF!</v>
      </c>
      <c r="DG216" s="541" t="e">
        <f>IF(#REF!=0,"","+")</f>
        <v>#REF!</v>
      </c>
      <c r="DH216" s="541" t="e">
        <f>IF(#REF!=0,"","+")</f>
        <v>#REF!</v>
      </c>
      <c r="DI216" s="541"/>
      <c r="DJ216" s="541"/>
      <c r="DK216" s="541"/>
      <c r="DL216" s="541" t="e">
        <f>IF(#REF!=0,"","+")</f>
        <v>#REF!</v>
      </c>
      <c r="DM216" s="541" t="e">
        <f>IF(#REF!=0,"","+")</f>
        <v>#REF!</v>
      </c>
      <c r="DN216" s="541" t="e">
        <f>IF(#REF!=0,"","+")</f>
        <v>#REF!</v>
      </c>
      <c r="DO216" s="541" t="e">
        <f>IF(#REF!=0,"","+")</f>
        <v>#REF!</v>
      </c>
      <c r="DP216" s="541" t="e">
        <f>IF(#REF!=0,"","+")</f>
        <v>#REF!</v>
      </c>
      <c r="DQ216" s="541" t="e">
        <f>IF(#REF!=0,"","+")</f>
        <v>#REF!</v>
      </c>
      <c r="DR216" s="541"/>
      <c r="DS216" s="541"/>
      <c r="DT216" s="541"/>
      <c r="DU216" s="541"/>
      <c r="DV216" s="541"/>
      <c r="DW216" s="541"/>
      <c r="DX216" s="541" t="e">
        <f>IF(#REF!=0,"","+")</f>
        <v>#REF!</v>
      </c>
      <c r="DY216" s="541" t="e">
        <f>IF(#REF!=0,"","+")</f>
        <v>#REF!</v>
      </c>
      <c r="DZ216" s="541" t="e">
        <f>IF(#REF!=0,"","+")</f>
        <v>#REF!</v>
      </c>
      <c r="EA216" s="541" t="e">
        <f>IF(#REF!=0,"","+")</f>
        <v>#REF!</v>
      </c>
      <c r="EB216" s="541" t="e">
        <f>IF(#REF!=0,"","+")</f>
        <v>#REF!</v>
      </c>
      <c r="EC216" s="89"/>
      <c r="ED216" s="89"/>
      <c r="FH216" s="89"/>
      <c r="FI216" s="89"/>
      <c r="FJ216" s="306"/>
      <c r="FK216" s="306"/>
      <c r="FL216" s="300"/>
      <c r="FM216" s="300"/>
      <c r="FN216" s="300"/>
      <c r="FO216" s="300"/>
      <c r="FP216" s="300"/>
      <c r="FQ216" s="108"/>
      <c r="FR216" s="108"/>
      <c r="FS216" s="108"/>
      <c r="FT216" s="108"/>
      <c r="FU216" s="108"/>
      <c r="FV216" s="108"/>
      <c r="FW216" s="108"/>
      <c r="FX216" s="301"/>
      <c r="FY216" s="259"/>
      <c r="FZ216" s="259"/>
      <c r="GA216" s="259"/>
      <c r="GB216" s="259"/>
      <c r="GC216" s="377"/>
      <c r="GD216" s="377"/>
      <c r="GE216" s="377"/>
      <c r="GF216" s="377"/>
      <c r="GG216" s="377"/>
      <c r="GH216" s="377"/>
      <c r="GI216" s="377"/>
      <c r="GJ216" s="377"/>
      <c r="GK216" s="377"/>
      <c r="GL216" s="377"/>
      <c r="GM216" s="377"/>
      <c r="GN216" s="377"/>
      <c r="GO216" s="307"/>
      <c r="GP216" s="307"/>
      <c r="GQ216" s="307"/>
      <c r="GR216" s="307"/>
      <c r="GS216" s="307"/>
      <c r="GT216" s="307"/>
      <c r="GU216" s="307"/>
      <c r="GV216" s="307"/>
    </row>
    <row r="217" spans="1:235" ht="16.5" customHeight="1">
      <c r="A217" s="60"/>
      <c r="B217" s="69"/>
      <c r="C217" s="69"/>
      <c r="D217" s="268"/>
      <c r="E217" s="268"/>
      <c r="F217" s="268"/>
      <c r="G217" s="268"/>
      <c r="H217" s="268"/>
      <c r="I217" s="268"/>
      <c r="J217" s="268"/>
      <c r="K217" s="268"/>
      <c r="L217" s="268"/>
      <c r="M217" s="268"/>
      <c r="N217" s="268"/>
      <c r="O217" s="268"/>
      <c r="P217" s="268"/>
      <c r="Q217" s="268"/>
      <c r="R217" s="394"/>
      <c r="S217" s="394"/>
      <c r="T217" s="394"/>
      <c r="U217" s="394"/>
      <c r="V217" s="394"/>
      <c r="W217" s="394"/>
      <c r="X217" s="394"/>
      <c r="Y217" s="394"/>
      <c r="Z217" s="394"/>
      <c r="AA217" s="297"/>
      <c r="AB217" s="297"/>
      <c r="AC217" s="297"/>
      <c r="AD217" s="297"/>
      <c r="AE217" s="297"/>
      <c r="AF217" s="297"/>
      <c r="AG217" s="297"/>
      <c r="AH217" s="297"/>
      <c r="AI217" s="297"/>
      <c r="AJ217" s="297"/>
      <c r="AK217" s="297"/>
      <c r="AL217" s="297"/>
      <c r="AM217" s="297"/>
      <c r="AN217" s="297"/>
      <c r="AO217" s="297"/>
      <c r="AP217" s="297"/>
      <c r="AQ217" s="297"/>
      <c r="AR217" s="297"/>
      <c r="AS217" s="297"/>
      <c r="AT217" s="297"/>
      <c r="AU217" s="297"/>
      <c r="AV217" s="297"/>
      <c r="AW217" s="297"/>
      <c r="AX217" s="297"/>
      <c r="AY217" s="297"/>
      <c r="AZ217" s="297"/>
      <c r="BA217" s="297"/>
      <c r="BB217" s="297"/>
      <c r="BC217" s="297"/>
      <c r="BD217" s="297"/>
      <c r="BE217" s="297"/>
      <c r="BF217" s="297"/>
      <c r="BG217" s="394"/>
      <c r="BH217" s="394"/>
      <c r="BI217" s="394"/>
      <c r="BJ217" s="394"/>
      <c r="BK217" s="394"/>
      <c r="BL217" s="394"/>
      <c r="BM217" s="394"/>
      <c r="BN217" s="394"/>
      <c r="BO217" s="394"/>
      <c r="BP217" s="394"/>
      <c r="BQ217" s="394"/>
      <c r="BR217" s="394"/>
      <c r="BS217" s="394"/>
      <c r="BT217" s="394"/>
      <c r="BU217" s="394"/>
      <c r="BV217" s="394"/>
      <c r="BW217" s="394"/>
      <c r="BX217" s="394"/>
      <c r="BY217" s="394"/>
      <c r="BZ217" s="394"/>
      <c r="CA217" s="394"/>
      <c r="CB217" s="394"/>
      <c r="CC217" s="394"/>
      <c r="CD217" s="268"/>
      <c r="CE217" s="268"/>
      <c r="CF217" s="268"/>
      <c r="CG217" s="268"/>
      <c r="CH217" s="268"/>
      <c r="CI217" s="268"/>
      <c r="CJ217" s="268"/>
      <c r="CK217" s="268"/>
      <c r="CL217" s="268"/>
      <c r="CM217" s="268"/>
      <c r="CN217" s="268"/>
      <c r="CO217" s="268"/>
      <c r="CP217" s="268"/>
      <c r="CQ217" s="268"/>
      <c r="CR217" s="268"/>
      <c r="CS217" s="268"/>
      <c r="CT217" s="268"/>
      <c r="CU217" s="394"/>
      <c r="CV217" s="394"/>
      <c r="CW217" s="394"/>
      <c r="CX217" s="394"/>
      <c r="CY217" s="141"/>
      <c r="CZ217" s="141"/>
      <c r="DA217" s="141"/>
      <c r="DB217" s="302" t="str">
        <f ca="1">IF(FL1=0,"","de maximale omzet is:")</f>
        <v/>
      </c>
      <c r="DC217" s="89"/>
      <c r="DD217" s="393" t="str">
        <f ca="1">IF(FL1=0,"","+")</f>
        <v/>
      </c>
      <c r="DE217" s="556"/>
      <c r="DF217" s="557"/>
      <c r="DG217" s="557"/>
      <c r="DH217" s="557"/>
      <c r="DI217" s="557"/>
      <c r="DJ217" s="557"/>
      <c r="DK217" s="557"/>
      <c r="DL217" s="557"/>
      <c r="DM217" s="557"/>
      <c r="DN217" s="557"/>
      <c r="DO217" s="557"/>
      <c r="DP217" s="557"/>
      <c r="DQ217" s="557"/>
      <c r="DR217" s="557"/>
      <c r="DS217" s="557"/>
      <c r="DT217" s="557"/>
      <c r="DU217" s="557"/>
      <c r="DV217" s="557"/>
      <c r="DW217" s="557"/>
      <c r="DX217" s="557"/>
      <c r="DY217" s="557"/>
      <c r="DZ217" s="557"/>
      <c r="EA217" s="557"/>
      <c r="EB217" s="393" t="str">
        <f ca="1">IF(FL1=0,"","+")</f>
        <v/>
      </c>
      <c r="EC217" s="304" t="s">
        <v>131</v>
      </c>
      <c r="ED217" s="141"/>
      <c r="EE217" s="392" t="str">
        <f ca="1">IF(OR(CO461="",TODAY()&gt;=Blad1!AY3),"",IF(FL1=0,"",IF(OR(DE221="",DE213="",DE217=""),"Deze moet je nog (af-) maken.",IF(FL221=1,"Goed!",IF(FO221+FO213+FO217=2,"Je hebt er één fout!","Je hebt er twee of meer fout!")))))</f>
        <v/>
      </c>
      <c r="EF217" s="395"/>
      <c r="EG217" s="395"/>
      <c r="EH217" s="395"/>
      <c r="EI217" s="395"/>
      <c r="EJ217" s="395"/>
      <c r="EK217" s="395"/>
      <c r="EL217" s="395"/>
      <c r="EM217" s="395"/>
      <c r="EN217" s="395"/>
      <c r="EO217" s="395"/>
      <c r="EP217" s="395"/>
      <c r="EQ217" s="395"/>
      <c r="ER217" s="395"/>
      <c r="ES217" s="395"/>
      <c r="ET217" s="395"/>
      <c r="EU217" s="395"/>
      <c r="EV217" s="395"/>
      <c r="EW217" s="395"/>
      <c r="EX217" s="395"/>
      <c r="EY217" s="395"/>
      <c r="EZ217" s="395"/>
      <c r="FA217" s="395"/>
      <c r="FB217" s="395"/>
      <c r="FC217" s="395"/>
      <c r="FD217" s="395"/>
      <c r="FE217" s="395"/>
      <c r="FF217" s="395"/>
      <c r="FG217" s="395"/>
      <c r="FH217" s="89"/>
      <c r="FI217" s="89"/>
      <c r="FJ217" s="306"/>
      <c r="FK217" s="306"/>
      <c r="FL217" s="300"/>
      <c r="FM217" s="300"/>
      <c r="FN217" s="300"/>
      <c r="FO217" s="96">
        <f ca="1">IF(programma!B1="X",1,IF(AND(FL1=1,DE217&gt;FP217-0.01,DE217&lt;FP217+0.01),1,0))</f>
        <v>0</v>
      </c>
      <c r="FP217" s="339">
        <f ca="1">IF(FK1=0,"",0.5*FV188*FP213^2+FZ188*FP213)</f>
        <v>1135515</v>
      </c>
      <c r="FQ217" s="300"/>
      <c r="FR217" s="108"/>
      <c r="FS217" s="108"/>
      <c r="FT217" s="108"/>
      <c r="FU217" s="108"/>
      <c r="FV217" s="108"/>
      <c r="FW217" s="108"/>
      <c r="FX217" s="301"/>
      <c r="FY217" s="259"/>
      <c r="FZ217" s="259"/>
      <c r="GA217" s="259"/>
      <c r="GB217" s="259"/>
      <c r="GC217" s="377"/>
      <c r="GD217" s="377"/>
      <c r="GE217" s="377"/>
      <c r="GF217" s="377"/>
      <c r="GG217" s="377"/>
      <c r="GH217" s="377"/>
      <c r="GI217" s="377"/>
      <c r="GJ217" s="377"/>
      <c r="GK217" s="377"/>
      <c r="GL217" s="377"/>
      <c r="GM217" s="377"/>
      <c r="GN217" s="377"/>
      <c r="GO217" s="307"/>
      <c r="GP217" s="307"/>
      <c r="GQ217" s="307"/>
      <c r="GR217" s="307"/>
      <c r="GS217" s="307"/>
      <c r="GT217" s="307"/>
      <c r="GU217" s="307"/>
      <c r="GV217" s="307"/>
    </row>
    <row r="218" spans="1:235" ht="3.6" customHeight="1">
      <c r="A218" s="60"/>
      <c r="B218" s="69"/>
      <c r="C218" s="69"/>
      <c r="D218" s="393"/>
      <c r="E218" s="393"/>
      <c r="F218" s="393"/>
      <c r="G218" s="393"/>
      <c r="H218" s="393"/>
      <c r="I218" s="393"/>
      <c r="J218" s="393"/>
      <c r="K218" s="393"/>
      <c r="L218" s="393"/>
      <c r="M218" s="393"/>
      <c r="N218" s="393"/>
      <c r="O218" s="393"/>
      <c r="P218" s="393"/>
      <c r="Q218" s="393"/>
      <c r="R218" s="393"/>
      <c r="S218" s="393"/>
      <c r="T218" s="393"/>
      <c r="U218" s="393"/>
      <c r="V218" s="393"/>
      <c r="W218" s="393"/>
      <c r="X218" s="394"/>
      <c r="Y218" s="394"/>
      <c r="Z218" s="394"/>
      <c r="AA218" s="297"/>
      <c r="AB218" s="297"/>
      <c r="AC218" s="297"/>
      <c r="AD218" s="297"/>
      <c r="AE218" s="297"/>
      <c r="AF218" s="297"/>
      <c r="AG218" s="297"/>
      <c r="AH218" s="297"/>
      <c r="AI218" s="297"/>
      <c r="AJ218" s="297"/>
      <c r="AK218" s="297"/>
      <c r="AL218" s="297"/>
      <c r="AM218" s="297"/>
      <c r="AN218" s="297"/>
      <c r="AO218" s="297"/>
      <c r="AP218" s="297"/>
      <c r="AQ218" s="297"/>
      <c r="AR218" s="297"/>
      <c r="AS218" s="297"/>
      <c r="AT218" s="297"/>
      <c r="AU218" s="297"/>
      <c r="AV218" s="297"/>
      <c r="AW218" s="297"/>
      <c r="AX218" s="297"/>
      <c r="AY218" s="297"/>
      <c r="AZ218" s="297"/>
      <c r="BA218" s="297"/>
      <c r="BB218" s="297"/>
      <c r="BC218" s="297"/>
      <c r="BD218" s="297"/>
      <c r="BE218" s="297"/>
      <c r="BF218" s="297"/>
      <c r="BG218" s="394"/>
      <c r="BH218" s="394"/>
      <c r="BI218" s="394"/>
      <c r="BJ218" s="394"/>
      <c r="BK218" s="394"/>
      <c r="BL218" s="394"/>
      <c r="BM218" s="394"/>
      <c r="BN218" s="394"/>
      <c r="BO218" s="394"/>
      <c r="BP218" s="394"/>
      <c r="BQ218" s="394"/>
      <c r="BR218" s="394"/>
      <c r="BS218" s="394"/>
      <c r="BT218" s="394"/>
      <c r="BU218" s="394"/>
      <c r="BV218" s="394"/>
      <c r="BW218" s="394"/>
      <c r="BX218" s="394"/>
      <c r="BY218" s="394"/>
      <c r="BZ218" s="394"/>
      <c r="CA218" s="394"/>
      <c r="CB218" s="394"/>
      <c r="CC218" s="394"/>
      <c r="CD218" s="268"/>
      <c r="CE218" s="268"/>
      <c r="CF218" s="268"/>
      <c r="CG218" s="268"/>
      <c r="CH218" s="268"/>
      <c r="CI218" s="268"/>
      <c r="CJ218" s="268"/>
      <c r="CK218" s="268"/>
      <c r="CL218" s="268"/>
      <c r="CM218" s="268"/>
      <c r="CN218" s="268"/>
      <c r="CO218" s="268"/>
      <c r="CP218" s="268"/>
      <c r="CQ218" s="268"/>
      <c r="CR218" s="268"/>
      <c r="CS218" s="268"/>
      <c r="CT218" s="268"/>
      <c r="CU218" s="394"/>
      <c r="CV218" s="394"/>
      <c r="CW218" s="394"/>
      <c r="CX218" s="394"/>
      <c r="CY218" s="141"/>
      <c r="CZ218" s="141"/>
      <c r="DA218" s="141"/>
      <c r="DB218" s="89"/>
      <c r="DC218" s="89"/>
      <c r="DD218" s="553" t="str">
        <f ca="1">IF(FL1=0,"","+")</f>
        <v/>
      </c>
      <c r="DE218" s="541" t="e">
        <f>IF(#REF!=0,"","+")</f>
        <v>#REF!</v>
      </c>
      <c r="DF218" s="541" t="e">
        <f>IF(#REF!=0,"","+")</f>
        <v>#REF!</v>
      </c>
      <c r="DG218" s="541" t="e">
        <f>IF(#REF!=0,"","+")</f>
        <v>#REF!</v>
      </c>
      <c r="DH218" s="541" t="e">
        <f>IF(#REF!=0,"","+")</f>
        <v>#REF!</v>
      </c>
      <c r="DI218" s="541"/>
      <c r="DJ218" s="541"/>
      <c r="DK218" s="541"/>
      <c r="DL218" s="541" t="e">
        <f>IF(#REF!=0,"","+")</f>
        <v>#REF!</v>
      </c>
      <c r="DM218" s="541" t="e">
        <f>IF(#REF!=0,"","+")</f>
        <v>#REF!</v>
      </c>
      <c r="DN218" s="541" t="e">
        <f>IF(#REF!=0,"","+")</f>
        <v>#REF!</v>
      </c>
      <c r="DO218" s="541" t="e">
        <f>IF(#REF!=0,"","+")</f>
        <v>#REF!</v>
      </c>
      <c r="DP218" s="541" t="e">
        <f>IF(#REF!=0,"","+")</f>
        <v>#REF!</v>
      </c>
      <c r="DQ218" s="541" t="e">
        <f>IF(#REF!=0,"","+")</f>
        <v>#REF!</v>
      </c>
      <c r="DR218" s="541"/>
      <c r="DS218" s="541"/>
      <c r="DT218" s="541"/>
      <c r="DU218" s="541"/>
      <c r="DV218" s="541"/>
      <c r="DW218" s="541"/>
      <c r="DX218" s="541" t="e">
        <f>IF(#REF!=0,"","+")</f>
        <v>#REF!</v>
      </c>
      <c r="DY218" s="541" t="e">
        <f>IF(#REF!=0,"","+")</f>
        <v>#REF!</v>
      </c>
      <c r="DZ218" s="541" t="e">
        <f>IF(#REF!=0,"","+")</f>
        <v>#REF!</v>
      </c>
      <c r="EA218" s="541" t="e">
        <f>IF(#REF!=0,"","+")</f>
        <v>#REF!</v>
      </c>
      <c r="EB218" s="541" t="e">
        <f>IF(#REF!=0,"","+")</f>
        <v>#REF!</v>
      </c>
      <c r="EC218" s="89"/>
      <c r="ED218" s="89"/>
      <c r="EE218" s="395"/>
      <c r="EF218" s="395"/>
      <c r="EG218" s="395"/>
      <c r="EH218" s="395"/>
      <c r="EI218" s="395"/>
      <c r="EJ218" s="395"/>
      <c r="EK218" s="395"/>
      <c r="EL218" s="395"/>
      <c r="EM218" s="395"/>
      <c r="EN218" s="395"/>
      <c r="EO218" s="395"/>
      <c r="EP218" s="395"/>
      <c r="EQ218" s="395"/>
      <c r="ER218" s="395"/>
      <c r="ES218" s="395"/>
      <c r="ET218" s="395"/>
      <c r="EU218" s="395"/>
      <c r="EV218" s="395"/>
      <c r="EW218" s="395"/>
      <c r="EX218" s="395"/>
      <c r="EY218" s="395"/>
      <c r="EZ218" s="395"/>
      <c r="FA218" s="395"/>
      <c r="FB218" s="395"/>
      <c r="FC218" s="395"/>
      <c r="FD218" s="395"/>
      <c r="FE218" s="395"/>
      <c r="FF218" s="395"/>
      <c r="FG218" s="395"/>
      <c r="FH218" s="89"/>
      <c r="FI218" s="89"/>
      <c r="FJ218" s="306"/>
      <c r="FK218" s="306"/>
      <c r="FL218" s="96"/>
      <c r="FM218" s="300"/>
      <c r="FN218" s="300"/>
      <c r="FO218" s="96"/>
      <c r="FP218" s="108"/>
      <c r="FQ218" s="108"/>
      <c r="FR218" s="108"/>
      <c r="FS218" s="108"/>
      <c r="FT218" s="108"/>
      <c r="FU218" s="108"/>
      <c r="FV218" s="108"/>
      <c r="FW218" s="108"/>
      <c r="FX218" s="301"/>
      <c r="FY218" s="259"/>
      <c r="FZ218" s="259"/>
      <c r="GA218" s="259"/>
      <c r="GB218" s="259"/>
      <c r="GC218" s="377"/>
      <c r="GD218" s="377"/>
      <c r="GE218" s="377"/>
      <c r="GF218" s="377"/>
      <c r="GG218" s="377"/>
      <c r="GH218" s="377"/>
      <c r="GI218" s="377"/>
      <c r="GJ218" s="377"/>
      <c r="GK218" s="377"/>
      <c r="GL218" s="377"/>
      <c r="GM218" s="377"/>
      <c r="GN218" s="377"/>
      <c r="GO218" s="307"/>
      <c r="GP218" s="307"/>
      <c r="GQ218" s="307"/>
      <c r="GR218" s="307"/>
      <c r="GS218" s="307"/>
      <c r="GT218" s="307"/>
      <c r="GU218" s="307"/>
      <c r="GV218" s="307"/>
    </row>
    <row r="219" spans="1:235" ht="9" customHeight="1">
      <c r="A219" s="60"/>
      <c r="B219" s="69"/>
      <c r="C219" s="69"/>
      <c r="D219" s="393"/>
      <c r="E219" s="393"/>
      <c r="F219" s="393"/>
      <c r="G219" s="393"/>
      <c r="H219" s="393"/>
      <c r="I219" s="393"/>
      <c r="J219" s="393"/>
      <c r="K219" s="393"/>
      <c r="L219" s="393"/>
      <c r="M219" s="393"/>
      <c r="N219" s="393"/>
      <c r="O219" s="393"/>
      <c r="P219" s="393"/>
      <c r="Q219" s="393"/>
      <c r="R219" s="393"/>
      <c r="S219" s="393"/>
      <c r="T219" s="393"/>
      <c r="U219" s="393"/>
      <c r="V219" s="393"/>
      <c r="W219" s="393"/>
      <c r="X219" s="89"/>
      <c r="Y219" s="89"/>
      <c r="Z219" s="89"/>
      <c r="AA219" s="89"/>
      <c r="AB219" s="89"/>
      <c r="AC219" s="89"/>
      <c r="AD219" s="89"/>
      <c r="AE219" s="89"/>
      <c r="AF219" s="89"/>
      <c r="AG219" s="89"/>
      <c r="AH219" s="89"/>
      <c r="AI219" s="89"/>
      <c r="AJ219" s="89"/>
      <c r="AK219" s="89"/>
      <c r="AL219" s="89"/>
      <c r="AM219" s="89"/>
      <c r="AN219" s="89"/>
      <c r="AO219" s="89"/>
      <c r="AP219" s="89"/>
      <c r="AQ219" s="89"/>
      <c r="AR219" s="89"/>
      <c r="AS219" s="89"/>
      <c r="AT219" s="89"/>
      <c r="AU219" s="89"/>
      <c r="AV219" s="89"/>
      <c r="AW219" s="89"/>
      <c r="AX219" s="89"/>
      <c r="AY219" s="89"/>
      <c r="AZ219" s="89"/>
      <c r="BA219" s="89"/>
      <c r="BB219" s="89"/>
      <c r="BC219" s="89"/>
      <c r="BD219" s="89"/>
      <c r="BE219" s="89"/>
      <c r="BF219" s="89"/>
      <c r="BG219" s="89"/>
      <c r="BH219" s="89"/>
      <c r="BI219" s="89"/>
      <c r="BJ219" s="89"/>
      <c r="BK219" s="89"/>
      <c r="BL219" s="89"/>
      <c r="BM219" s="89"/>
      <c r="BN219" s="89"/>
      <c r="BO219" s="89"/>
      <c r="BP219" s="89"/>
      <c r="BQ219" s="89"/>
      <c r="BR219" s="89"/>
      <c r="BS219" s="89"/>
      <c r="BT219" s="89"/>
      <c r="BU219" s="89"/>
      <c r="BV219" s="89"/>
      <c r="BW219" s="89"/>
      <c r="BX219" s="89"/>
      <c r="BY219" s="89"/>
      <c r="BZ219" s="89"/>
      <c r="CA219" s="89"/>
      <c r="CB219" s="89"/>
      <c r="CC219" s="89"/>
      <c r="CD219" s="89"/>
      <c r="CE219" s="89"/>
      <c r="CF219" s="89"/>
      <c r="CG219" s="89"/>
      <c r="CH219" s="89"/>
      <c r="CI219" s="89"/>
      <c r="CJ219" s="89"/>
      <c r="CK219" s="89"/>
      <c r="CL219" s="89"/>
      <c r="CM219" s="89"/>
      <c r="CN219" s="89"/>
      <c r="CO219" s="89"/>
      <c r="CP219" s="89"/>
      <c r="CQ219" s="89"/>
      <c r="CR219" s="89"/>
      <c r="CS219" s="89"/>
      <c r="CT219" s="89"/>
      <c r="CU219" s="89"/>
      <c r="CV219" s="89"/>
      <c r="CW219" s="89"/>
      <c r="CX219" s="89"/>
      <c r="CY219" s="89"/>
      <c r="CZ219" s="89"/>
      <c r="DA219" s="89"/>
      <c r="DB219" s="89"/>
      <c r="DC219" s="89"/>
      <c r="DD219" s="89"/>
      <c r="DE219" s="89"/>
      <c r="DF219" s="89"/>
      <c r="DG219" s="89"/>
      <c r="DH219" s="89"/>
      <c r="DI219" s="89"/>
      <c r="DJ219" s="89"/>
      <c r="DK219" s="89"/>
      <c r="DL219" s="89"/>
      <c r="DM219" s="89"/>
      <c r="DN219" s="89"/>
      <c r="DO219" s="89"/>
      <c r="DP219" s="89"/>
      <c r="DQ219" s="89"/>
      <c r="DR219" s="89"/>
      <c r="DS219" s="89"/>
      <c r="DT219" s="89"/>
      <c r="DU219" s="89"/>
      <c r="DV219" s="89"/>
      <c r="DW219" s="89"/>
      <c r="DX219" s="89"/>
      <c r="DY219" s="89"/>
      <c r="DZ219" s="89"/>
      <c r="EA219" s="89"/>
      <c r="EB219" s="89"/>
      <c r="EC219" s="89"/>
      <c r="ED219" s="89"/>
      <c r="EE219" s="395"/>
      <c r="EF219" s="395"/>
      <c r="EG219" s="395"/>
      <c r="EH219" s="395"/>
      <c r="EI219" s="395"/>
      <c r="EJ219" s="395"/>
      <c r="EK219" s="395"/>
      <c r="EL219" s="395"/>
      <c r="EM219" s="395"/>
      <c r="EN219" s="395"/>
      <c r="EO219" s="395"/>
      <c r="EP219" s="395"/>
      <c r="EQ219" s="395"/>
      <c r="ER219" s="395"/>
      <c r="ES219" s="395"/>
      <c r="ET219" s="395"/>
      <c r="EU219" s="395"/>
      <c r="EV219" s="395"/>
      <c r="EW219" s="395"/>
      <c r="EX219" s="395"/>
      <c r="EY219" s="395"/>
      <c r="EZ219" s="395"/>
      <c r="FA219" s="395"/>
      <c r="FB219" s="395"/>
      <c r="FC219" s="395"/>
      <c r="FD219" s="395"/>
      <c r="FE219" s="395"/>
      <c r="FF219" s="395"/>
      <c r="FG219" s="395"/>
      <c r="FH219" s="89"/>
      <c r="FI219" s="89"/>
      <c r="FJ219" s="306"/>
      <c r="FK219" s="306"/>
      <c r="FL219" s="300"/>
      <c r="FM219" s="300"/>
      <c r="FN219" s="300"/>
      <c r="FO219" s="300"/>
      <c r="FP219" s="300"/>
      <c r="FQ219" s="108"/>
      <c r="FR219" s="108"/>
      <c r="FS219" s="108"/>
      <c r="FT219" s="108"/>
      <c r="FU219" s="108"/>
      <c r="FV219" s="108"/>
      <c r="FW219" s="108"/>
      <c r="FX219" s="301"/>
      <c r="FY219" s="259"/>
      <c r="FZ219" s="259"/>
      <c r="GA219" s="259"/>
      <c r="GB219" s="259"/>
      <c r="GC219" s="377"/>
      <c r="GD219" s="377"/>
      <c r="GE219" s="377"/>
      <c r="GF219" s="377"/>
      <c r="GG219" s="377"/>
      <c r="GH219" s="377"/>
      <c r="GI219" s="377"/>
      <c r="GJ219" s="377"/>
      <c r="GK219" s="377"/>
      <c r="GL219" s="377"/>
      <c r="GM219" s="377"/>
      <c r="GN219" s="377"/>
      <c r="GO219" s="307"/>
      <c r="GP219" s="307"/>
      <c r="GQ219" s="307"/>
      <c r="GR219" s="307"/>
      <c r="GS219" s="307"/>
      <c r="GT219" s="307"/>
      <c r="GU219" s="307"/>
      <c r="GV219" s="307"/>
    </row>
    <row r="220" spans="1:235" ht="3.6" customHeight="1">
      <c r="A220" s="60"/>
      <c r="B220" s="69"/>
      <c r="C220" s="69"/>
      <c r="D220" s="393"/>
      <c r="E220" s="393"/>
      <c r="F220" s="393"/>
      <c r="G220" s="393"/>
      <c r="H220" s="393"/>
      <c r="I220" s="393"/>
      <c r="J220" s="393"/>
      <c r="K220" s="393"/>
      <c r="L220" s="393"/>
      <c r="M220" s="393"/>
      <c r="N220" s="393"/>
      <c r="O220" s="393"/>
      <c r="P220" s="393"/>
      <c r="Q220" s="393"/>
      <c r="R220" s="393"/>
      <c r="S220" s="393"/>
      <c r="T220" s="393"/>
      <c r="U220" s="393"/>
      <c r="V220" s="393"/>
      <c r="W220" s="393"/>
      <c r="X220" s="394"/>
      <c r="Y220" s="394"/>
      <c r="Z220" s="394"/>
      <c r="AA220" s="297"/>
      <c r="AB220" s="297"/>
      <c r="AC220" s="297"/>
      <c r="AD220" s="297"/>
      <c r="AE220" s="297"/>
      <c r="AF220" s="297"/>
      <c r="AG220" s="297"/>
      <c r="AH220" s="297"/>
      <c r="AI220" s="297"/>
      <c r="AJ220" s="297"/>
      <c r="AK220" s="297"/>
      <c r="AL220" s="297"/>
      <c r="AM220" s="297"/>
      <c r="AN220" s="297"/>
      <c r="AO220" s="297"/>
      <c r="AP220" s="297"/>
      <c r="AQ220" s="297"/>
      <c r="AR220" s="297"/>
      <c r="AS220" s="297"/>
      <c r="AT220" s="297"/>
      <c r="AU220" s="297"/>
      <c r="AV220" s="297"/>
      <c r="AW220" s="297"/>
      <c r="AX220" s="297"/>
      <c r="AY220" s="297"/>
      <c r="AZ220" s="297"/>
      <c r="BA220" s="297"/>
      <c r="BB220" s="297"/>
      <c r="BC220" s="297"/>
      <c r="BD220" s="297"/>
      <c r="BE220" s="297"/>
      <c r="BF220" s="297"/>
      <c r="BG220" s="394"/>
      <c r="BH220" s="394"/>
      <c r="BI220" s="394"/>
      <c r="BJ220" s="394"/>
      <c r="BK220" s="394"/>
      <c r="BL220" s="394"/>
      <c r="BM220" s="394"/>
      <c r="BN220" s="394"/>
      <c r="BO220" s="394"/>
      <c r="BP220" s="394"/>
      <c r="BQ220" s="394"/>
      <c r="BR220" s="394"/>
      <c r="BS220" s="394"/>
      <c r="BT220" s="394"/>
      <c r="BU220" s="394"/>
      <c r="BV220" s="394"/>
      <c r="BW220" s="394"/>
      <c r="BX220" s="394"/>
      <c r="BY220" s="394"/>
      <c r="BZ220" s="394"/>
      <c r="CA220" s="394"/>
      <c r="CB220" s="394"/>
      <c r="CC220" s="394"/>
      <c r="CD220" s="268"/>
      <c r="CE220" s="268"/>
      <c r="CF220" s="268"/>
      <c r="CG220" s="268"/>
      <c r="CH220" s="268"/>
      <c r="CI220" s="268"/>
      <c r="CJ220" s="268"/>
      <c r="CK220" s="268"/>
      <c r="CL220" s="268"/>
      <c r="CM220" s="268"/>
      <c r="CN220" s="268"/>
      <c r="CO220" s="268"/>
      <c r="CP220" s="268"/>
      <c r="CQ220" s="268"/>
      <c r="CR220" s="268"/>
      <c r="CS220" s="268"/>
      <c r="CT220" s="268"/>
      <c r="CU220" s="394"/>
      <c r="CV220" s="394"/>
      <c r="CW220" s="394"/>
      <c r="CX220" s="394"/>
      <c r="CY220" s="141"/>
      <c r="CZ220" s="141"/>
      <c r="DA220" s="141"/>
      <c r="DB220" s="89"/>
      <c r="DC220" s="89"/>
      <c r="DD220" s="553" t="str">
        <f ca="1">IF(FL1=0,"","+")</f>
        <v/>
      </c>
      <c r="DE220" s="541" t="e">
        <f>IF(#REF!=0,"","+")</f>
        <v>#REF!</v>
      </c>
      <c r="DF220" s="541" t="e">
        <f>IF(#REF!=0,"","+")</f>
        <v>#REF!</v>
      </c>
      <c r="DG220" s="541" t="e">
        <f>IF(#REF!=0,"","+")</f>
        <v>#REF!</v>
      </c>
      <c r="DH220" s="541" t="e">
        <f>IF(#REF!=0,"","+")</f>
        <v>#REF!</v>
      </c>
      <c r="DI220" s="541"/>
      <c r="DJ220" s="541"/>
      <c r="DK220" s="541"/>
      <c r="DL220" s="541" t="e">
        <f>IF(#REF!=0,"","+")</f>
        <v>#REF!</v>
      </c>
      <c r="DM220" s="541" t="e">
        <f>IF(#REF!=0,"","+")</f>
        <v>#REF!</v>
      </c>
      <c r="DN220" s="541" t="e">
        <f>IF(#REF!=0,"","+")</f>
        <v>#REF!</v>
      </c>
      <c r="DO220" s="541" t="e">
        <f>IF(#REF!=0,"","+")</f>
        <v>#REF!</v>
      </c>
      <c r="DP220" s="541" t="e">
        <f>IF(#REF!=0,"","+")</f>
        <v>#REF!</v>
      </c>
      <c r="DQ220" s="541" t="e">
        <f>IF(#REF!=0,"","+")</f>
        <v>#REF!</v>
      </c>
      <c r="DR220" s="541"/>
      <c r="DS220" s="541"/>
      <c r="DT220" s="541"/>
      <c r="DU220" s="541"/>
      <c r="DV220" s="541"/>
      <c r="DW220" s="541"/>
      <c r="DX220" s="541" t="e">
        <f>IF(#REF!=0,"","+")</f>
        <v>#REF!</v>
      </c>
      <c r="DY220" s="541" t="e">
        <f>IF(#REF!=0,"","+")</f>
        <v>#REF!</v>
      </c>
      <c r="DZ220" s="541" t="e">
        <f>IF(#REF!=0,"","+")</f>
        <v>#REF!</v>
      </c>
      <c r="EA220" s="541" t="e">
        <f>IF(#REF!=0,"","+")</f>
        <v>#REF!</v>
      </c>
      <c r="EB220" s="541" t="e">
        <f>IF(#REF!=0,"","+")</f>
        <v>#REF!</v>
      </c>
      <c r="EC220" s="89"/>
      <c r="ED220" s="89"/>
      <c r="EE220" s="268"/>
      <c r="EF220" s="141"/>
      <c r="EG220" s="141"/>
      <c r="EH220" s="141"/>
      <c r="EI220" s="141"/>
      <c r="EJ220" s="141"/>
      <c r="EK220" s="141"/>
      <c r="EL220" s="141"/>
      <c r="EM220" s="141"/>
      <c r="EN220" s="141"/>
      <c r="EO220" s="141"/>
      <c r="EP220" s="141"/>
      <c r="EQ220" s="141"/>
      <c r="ER220" s="141"/>
      <c r="ES220" s="141"/>
      <c r="ET220" s="141"/>
      <c r="EU220" s="141"/>
      <c r="EV220" s="141"/>
      <c r="EW220" s="141"/>
      <c r="EX220" s="141"/>
      <c r="EY220" s="141"/>
      <c r="EZ220" s="141"/>
      <c r="FA220" s="141"/>
      <c r="FB220" s="141"/>
      <c r="FC220" s="141"/>
      <c r="FD220" s="141"/>
      <c r="FE220" s="141"/>
      <c r="FF220" s="141"/>
      <c r="FG220" s="141"/>
      <c r="FH220" s="89"/>
      <c r="FI220" s="89"/>
      <c r="FJ220" s="306"/>
      <c r="FK220" s="306"/>
      <c r="FL220" s="300"/>
      <c r="FM220" s="300"/>
      <c r="FN220" s="300"/>
      <c r="FO220" s="300"/>
      <c r="FP220" s="300"/>
      <c r="FQ220" s="108"/>
      <c r="FR220" s="108"/>
      <c r="FS220" s="108"/>
      <c r="FT220" s="108"/>
      <c r="FU220" s="108"/>
      <c r="FV220" s="108"/>
      <c r="FW220" s="108"/>
      <c r="FX220" s="301"/>
      <c r="FY220" s="259"/>
      <c r="FZ220" s="259"/>
      <c r="GA220" s="259"/>
      <c r="GB220" s="259"/>
      <c r="GC220" s="377"/>
      <c r="GD220" s="377"/>
      <c r="GE220" s="377"/>
      <c r="GF220" s="377"/>
      <c r="GG220" s="377"/>
      <c r="GH220" s="377"/>
      <c r="GI220" s="377"/>
      <c r="GJ220" s="377"/>
      <c r="GK220" s="377"/>
      <c r="GL220" s="377"/>
      <c r="GM220" s="377"/>
      <c r="GN220" s="377"/>
      <c r="GO220" s="307"/>
      <c r="GP220" s="307"/>
      <c r="GQ220" s="307"/>
      <c r="GR220" s="307"/>
      <c r="GS220" s="307"/>
      <c r="GT220" s="307"/>
      <c r="GU220" s="307"/>
      <c r="GV220" s="307"/>
    </row>
    <row r="221" spans="1:235" ht="16.5" customHeight="1">
      <c r="A221" s="60"/>
      <c r="B221" s="69"/>
      <c r="C221" s="69"/>
      <c r="D221" s="268"/>
      <c r="E221" s="268"/>
      <c r="F221" s="268"/>
      <c r="G221" s="268"/>
      <c r="H221" s="268"/>
      <c r="I221" s="268"/>
      <c r="J221" s="268"/>
      <c r="K221" s="268"/>
      <c r="L221" s="268"/>
      <c r="M221" s="268"/>
      <c r="N221" s="268"/>
      <c r="O221" s="268"/>
      <c r="P221" s="268"/>
      <c r="Q221" s="268"/>
      <c r="R221" s="394"/>
      <c r="S221" s="394"/>
      <c r="T221" s="394"/>
      <c r="U221" s="394"/>
      <c r="V221" s="394"/>
      <c r="W221" s="394"/>
      <c r="X221" s="394"/>
      <c r="Y221" s="394"/>
      <c r="Z221" s="394"/>
      <c r="AA221" s="297"/>
      <c r="AB221" s="297"/>
      <c r="AC221" s="297"/>
      <c r="AD221" s="297"/>
      <c r="AE221" s="297"/>
      <c r="AF221" s="297"/>
      <c r="AG221" s="297"/>
      <c r="AH221" s="297"/>
      <c r="AI221" s="297"/>
      <c r="AJ221" s="297"/>
      <c r="AK221" s="297"/>
      <c r="AL221" s="297"/>
      <c r="AM221" s="297"/>
      <c r="AN221" s="297"/>
      <c r="AO221" s="297"/>
      <c r="AP221" s="297"/>
      <c r="AQ221" s="297"/>
      <c r="AR221" s="297"/>
      <c r="AS221" s="297"/>
      <c r="AT221" s="297"/>
      <c r="AU221" s="297"/>
      <c r="AV221" s="297"/>
      <c r="AW221" s="297"/>
      <c r="AX221" s="297"/>
      <c r="AY221" s="297"/>
      <c r="AZ221" s="297"/>
      <c r="BA221" s="297"/>
      <c r="BB221" s="297"/>
      <c r="BC221" s="297"/>
      <c r="BD221" s="297"/>
      <c r="BE221" s="297"/>
      <c r="BF221" s="297"/>
      <c r="BG221" s="394"/>
      <c r="BH221" s="394"/>
      <c r="BI221" s="394"/>
      <c r="BJ221" s="394"/>
      <c r="BK221" s="394"/>
      <c r="BL221" s="394"/>
      <c r="BM221" s="394"/>
      <c r="BN221" s="394"/>
      <c r="BO221" s="394"/>
      <c r="BP221" s="394"/>
      <c r="BQ221" s="394"/>
      <c r="BR221" s="394"/>
      <c r="BS221" s="394"/>
      <c r="BT221" s="394"/>
      <c r="BU221" s="394"/>
      <c r="BV221" s="394"/>
      <c r="BW221" s="394"/>
      <c r="BX221" s="394"/>
      <c r="BY221" s="394"/>
      <c r="BZ221" s="394"/>
      <c r="CA221" s="394"/>
      <c r="CB221" s="394"/>
      <c r="CC221" s="394"/>
      <c r="CD221" s="268"/>
      <c r="CE221" s="268"/>
      <c r="CF221" s="268"/>
      <c r="CG221" s="268"/>
      <c r="CH221" s="268"/>
      <c r="CI221" s="268"/>
      <c r="CJ221" s="268"/>
      <c r="CK221" s="268"/>
      <c r="CL221" s="268"/>
      <c r="CM221" s="268"/>
      <c r="CN221" s="268"/>
      <c r="CO221" s="268"/>
      <c r="CP221" s="268"/>
      <c r="CQ221" s="268"/>
      <c r="CR221" s="268"/>
      <c r="CS221" s="268"/>
      <c r="CT221" s="268"/>
      <c r="CU221" s="394"/>
      <c r="CV221" s="394"/>
      <c r="CW221" s="394"/>
      <c r="CX221" s="394"/>
      <c r="CY221" s="141"/>
      <c r="CZ221" s="141"/>
      <c r="DA221" s="141"/>
      <c r="DB221" s="302" t="str">
        <f ca="1">IF(FL1=0,"","de totale winst bij de maximale omzet is:")</f>
        <v/>
      </c>
      <c r="DC221" s="89"/>
      <c r="DD221" s="393" t="str">
        <f ca="1">IF(FL1=0,"","+")</f>
        <v/>
      </c>
      <c r="DE221" s="556"/>
      <c r="DF221" s="557"/>
      <c r="DG221" s="557"/>
      <c r="DH221" s="557"/>
      <c r="DI221" s="557"/>
      <c r="DJ221" s="557"/>
      <c r="DK221" s="557"/>
      <c r="DL221" s="557"/>
      <c r="DM221" s="557"/>
      <c r="DN221" s="557"/>
      <c r="DO221" s="557"/>
      <c r="DP221" s="557"/>
      <c r="DQ221" s="557"/>
      <c r="DR221" s="557"/>
      <c r="DS221" s="557"/>
      <c r="DT221" s="557"/>
      <c r="DU221" s="557"/>
      <c r="DV221" s="557"/>
      <c r="DW221" s="557"/>
      <c r="DX221" s="557"/>
      <c r="DY221" s="557"/>
      <c r="DZ221" s="557"/>
      <c r="EA221" s="557"/>
      <c r="EB221" s="393" t="str">
        <f ca="1">IF(FL1=0,"","+")</f>
        <v/>
      </c>
      <c r="EC221" s="304" t="s">
        <v>131</v>
      </c>
      <c r="ED221" s="141"/>
      <c r="EE221" s="298"/>
      <c r="EF221" s="394"/>
      <c r="EG221" s="89"/>
      <c r="EH221" s="89"/>
      <c r="EI221" s="89"/>
      <c r="EJ221" s="89"/>
      <c r="EK221" s="89"/>
      <c r="EL221" s="89"/>
      <c r="EM221" s="89"/>
      <c r="EN221" s="89"/>
      <c r="EO221" s="89"/>
      <c r="EP221" s="89"/>
      <c r="EQ221" s="89"/>
      <c r="ER221" s="89"/>
      <c r="ES221" s="89"/>
      <c r="ET221" s="89"/>
      <c r="EU221" s="89"/>
      <c r="EV221" s="89"/>
      <c r="EW221" s="89"/>
      <c r="EX221" s="89"/>
      <c r="EY221" s="89"/>
      <c r="EZ221" s="89"/>
      <c r="FA221" s="89"/>
      <c r="FB221" s="89"/>
      <c r="FC221" s="89"/>
      <c r="FD221" s="89"/>
      <c r="FE221" s="89"/>
      <c r="FF221" s="89"/>
      <c r="FG221" s="89"/>
      <c r="FH221" s="89"/>
      <c r="FI221" s="89"/>
      <c r="FJ221" s="96">
        <f ca="1">IF(FO221+FO213+FO217=3,1,IF(FO221+FO213+FO217=2,1/2,0))</f>
        <v>0</v>
      </c>
      <c r="FK221" s="306"/>
      <c r="FL221" s="96">
        <f ca="1">IF(programma!B1="X",1,IF(FL1=0,0,IF(FO221+FO213+FO217=3,1,0)))</f>
        <v>0</v>
      </c>
      <c r="FM221" s="300"/>
      <c r="FN221" s="300"/>
      <c r="FO221" s="96">
        <f ca="1">IF(programma!B1="X",1,IF(AND(FL1=1,DE221&gt;FP221-0.01,DE221&lt;FP221+0.01),1,0))</f>
        <v>0</v>
      </c>
      <c r="FP221" s="339">
        <f ca="1">IF(FK1=0,"",FP217-(FR188*FP213+FS188))</f>
        <v>341965</v>
      </c>
      <c r="FQ221" s="300"/>
      <c r="FR221" s="108"/>
      <c r="FS221" s="108"/>
      <c r="FT221" s="108"/>
      <c r="FU221" s="108"/>
      <c r="FV221" s="108"/>
      <c r="FW221" s="108"/>
      <c r="FX221" s="301"/>
      <c r="FY221" s="259"/>
      <c r="FZ221" s="259"/>
      <c r="GA221" s="259"/>
      <c r="GB221" s="259"/>
      <c r="GC221" s="377"/>
      <c r="GD221" s="377"/>
      <c r="GE221" s="377"/>
      <c r="GF221" s="377"/>
      <c r="GG221" s="377"/>
      <c r="GH221" s="377"/>
      <c r="GI221" s="377"/>
      <c r="GJ221" s="377"/>
      <c r="GK221" s="377"/>
      <c r="GL221" s="377"/>
      <c r="GM221" s="377"/>
      <c r="GN221" s="377"/>
      <c r="GO221" s="307"/>
      <c r="GP221" s="307"/>
      <c r="GQ221" s="307"/>
      <c r="GR221" s="307"/>
      <c r="GS221" s="307"/>
      <c r="GT221" s="307"/>
      <c r="GU221" s="307"/>
      <c r="GV221" s="307"/>
    </row>
    <row r="222" spans="1:235" ht="3.6" customHeight="1">
      <c r="A222" s="60"/>
      <c r="B222" s="69"/>
      <c r="C222" s="69"/>
      <c r="D222" s="393"/>
      <c r="E222" s="393"/>
      <c r="F222" s="393"/>
      <c r="G222" s="393"/>
      <c r="H222" s="393"/>
      <c r="I222" s="393"/>
      <c r="J222" s="393"/>
      <c r="K222" s="393"/>
      <c r="L222" s="393"/>
      <c r="M222" s="393"/>
      <c r="N222" s="393"/>
      <c r="O222" s="393"/>
      <c r="P222" s="393"/>
      <c r="Q222" s="393"/>
      <c r="R222" s="393"/>
      <c r="S222" s="393"/>
      <c r="T222" s="393"/>
      <c r="U222" s="393"/>
      <c r="V222" s="393"/>
      <c r="W222" s="393"/>
      <c r="X222" s="394"/>
      <c r="Y222" s="394"/>
      <c r="Z222" s="394"/>
      <c r="AA222" s="297"/>
      <c r="AB222" s="297"/>
      <c r="AC222" s="297"/>
      <c r="AD222" s="297"/>
      <c r="AE222" s="297"/>
      <c r="AF222" s="297"/>
      <c r="AG222" s="297"/>
      <c r="AH222" s="297"/>
      <c r="AI222" s="297"/>
      <c r="AJ222" s="297"/>
      <c r="AK222" s="297"/>
      <c r="AL222" s="297"/>
      <c r="AM222" s="297"/>
      <c r="AN222" s="297"/>
      <c r="AO222" s="297"/>
      <c r="AP222" s="297"/>
      <c r="AQ222" s="297"/>
      <c r="AR222" s="297"/>
      <c r="AS222" s="297"/>
      <c r="AT222" s="297"/>
      <c r="AU222" s="297"/>
      <c r="AV222" s="297"/>
      <c r="AW222" s="297"/>
      <c r="AX222" s="297"/>
      <c r="AY222" s="297"/>
      <c r="AZ222" s="297"/>
      <c r="BA222" s="297"/>
      <c r="BB222" s="297"/>
      <c r="BC222" s="297"/>
      <c r="BD222" s="297"/>
      <c r="BE222" s="297"/>
      <c r="BF222" s="297"/>
      <c r="BG222" s="394"/>
      <c r="BH222" s="394"/>
      <c r="BI222" s="394"/>
      <c r="BJ222" s="394"/>
      <c r="BK222" s="394"/>
      <c r="BL222" s="394"/>
      <c r="BM222" s="394"/>
      <c r="BN222" s="394"/>
      <c r="BO222" s="394"/>
      <c r="BP222" s="394"/>
      <c r="BQ222" s="394"/>
      <c r="BR222" s="394"/>
      <c r="BS222" s="394"/>
      <c r="BT222" s="394"/>
      <c r="BU222" s="394"/>
      <c r="BV222" s="394"/>
      <c r="BW222" s="394"/>
      <c r="BX222" s="394"/>
      <c r="BY222" s="394"/>
      <c r="BZ222" s="394"/>
      <c r="CA222" s="394"/>
      <c r="CB222" s="394"/>
      <c r="CC222" s="394"/>
      <c r="CD222" s="268"/>
      <c r="CE222" s="268"/>
      <c r="CF222" s="268"/>
      <c r="CG222" s="268"/>
      <c r="CH222" s="268"/>
      <c r="CI222" s="268"/>
      <c r="CJ222" s="268"/>
      <c r="CK222" s="268"/>
      <c r="CL222" s="268"/>
      <c r="CM222" s="268"/>
      <c r="CN222" s="268"/>
      <c r="CO222" s="268"/>
      <c r="CP222" s="268"/>
      <c r="CQ222" s="268"/>
      <c r="CR222" s="268"/>
      <c r="CS222" s="268"/>
      <c r="CT222" s="268"/>
      <c r="CU222" s="394"/>
      <c r="CV222" s="394"/>
      <c r="CW222" s="394"/>
      <c r="CX222" s="394"/>
      <c r="CY222" s="141"/>
      <c r="CZ222" s="141"/>
      <c r="DA222" s="141"/>
      <c r="DB222" s="89"/>
      <c r="DC222" s="89"/>
      <c r="DD222" s="553" t="str">
        <f ca="1">IF(FL1=0,"","+")</f>
        <v/>
      </c>
      <c r="DE222" s="541" t="e">
        <f>IF(#REF!=0,"","+")</f>
        <v>#REF!</v>
      </c>
      <c r="DF222" s="541" t="e">
        <f>IF(#REF!=0,"","+")</f>
        <v>#REF!</v>
      </c>
      <c r="DG222" s="541" t="e">
        <f>IF(#REF!=0,"","+")</f>
        <v>#REF!</v>
      </c>
      <c r="DH222" s="541" t="e">
        <f>IF(#REF!=0,"","+")</f>
        <v>#REF!</v>
      </c>
      <c r="DI222" s="541"/>
      <c r="DJ222" s="541"/>
      <c r="DK222" s="541"/>
      <c r="DL222" s="541" t="e">
        <f>IF(#REF!=0,"","+")</f>
        <v>#REF!</v>
      </c>
      <c r="DM222" s="541" t="e">
        <f>IF(#REF!=0,"","+")</f>
        <v>#REF!</v>
      </c>
      <c r="DN222" s="541" t="e">
        <f>IF(#REF!=0,"","+")</f>
        <v>#REF!</v>
      </c>
      <c r="DO222" s="541" t="e">
        <f>IF(#REF!=0,"","+")</f>
        <v>#REF!</v>
      </c>
      <c r="DP222" s="541" t="e">
        <f>IF(#REF!=0,"","+")</f>
        <v>#REF!</v>
      </c>
      <c r="DQ222" s="541" t="e">
        <f>IF(#REF!=0,"","+")</f>
        <v>#REF!</v>
      </c>
      <c r="DR222" s="541"/>
      <c r="DS222" s="541"/>
      <c r="DT222" s="541"/>
      <c r="DU222" s="541"/>
      <c r="DV222" s="541"/>
      <c r="DW222" s="541"/>
      <c r="DX222" s="541" t="e">
        <f>IF(#REF!=0,"","+")</f>
        <v>#REF!</v>
      </c>
      <c r="DY222" s="541" t="e">
        <f>IF(#REF!=0,"","+")</f>
        <v>#REF!</v>
      </c>
      <c r="DZ222" s="541" t="e">
        <f>IF(#REF!=0,"","+")</f>
        <v>#REF!</v>
      </c>
      <c r="EA222" s="541" t="e">
        <f>IF(#REF!=0,"","+")</f>
        <v>#REF!</v>
      </c>
      <c r="EB222" s="541" t="e">
        <f>IF(#REF!=0,"","+")</f>
        <v>#REF!</v>
      </c>
      <c r="EC222" s="89"/>
      <c r="ED222" s="89"/>
      <c r="EE222" s="89"/>
      <c r="EF222" s="89"/>
      <c r="EG222" s="89"/>
      <c r="EH222" s="89"/>
      <c r="EI222" s="89"/>
      <c r="EJ222" s="89"/>
      <c r="EK222" s="89"/>
      <c r="EL222" s="89"/>
      <c r="EM222" s="89"/>
      <c r="EN222" s="89"/>
      <c r="EO222" s="89"/>
      <c r="EP222" s="89"/>
      <c r="EQ222" s="89"/>
      <c r="ER222" s="89"/>
      <c r="ES222" s="89"/>
      <c r="ET222" s="89"/>
      <c r="EU222" s="89"/>
      <c r="EV222" s="89"/>
      <c r="EW222" s="89"/>
      <c r="EX222" s="89"/>
      <c r="EY222" s="89"/>
      <c r="EZ222" s="89"/>
      <c r="FA222" s="89"/>
      <c r="FB222" s="89"/>
      <c r="FC222" s="89"/>
      <c r="FD222" s="89"/>
      <c r="FE222" s="89"/>
      <c r="FF222" s="89"/>
      <c r="FG222" s="89"/>
      <c r="FH222" s="89"/>
      <c r="FI222" s="89"/>
      <c r="FJ222" s="306"/>
      <c r="FK222" s="306"/>
      <c r="FL222" s="96"/>
      <c r="FM222" s="96"/>
      <c r="FN222" s="96"/>
      <c r="FO222" s="96"/>
      <c r="FP222" s="108"/>
      <c r="FQ222" s="108"/>
      <c r="FR222" s="108"/>
      <c r="FS222" s="108"/>
      <c r="FT222" s="108"/>
      <c r="FU222" s="108"/>
      <c r="FV222" s="108"/>
      <c r="FW222" s="108"/>
      <c r="FX222" s="301"/>
      <c r="FY222" s="259"/>
      <c r="FZ222" s="259"/>
      <c r="GA222" s="259"/>
      <c r="GB222" s="259"/>
      <c r="GC222" s="377"/>
      <c r="GD222" s="377"/>
      <c r="GE222" s="377"/>
      <c r="GF222" s="377"/>
      <c r="GG222" s="377"/>
      <c r="GH222" s="377"/>
      <c r="GI222" s="377"/>
      <c r="GJ222" s="377"/>
      <c r="GK222" s="377"/>
      <c r="GL222" s="377"/>
      <c r="GM222" s="377"/>
      <c r="GN222" s="377"/>
      <c r="GO222" s="307"/>
      <c r="GP222" s="307"/>
      <c r="GQ222" s="307"/>
      <c r="GR222" s="307"/>
      <c r="GS222" s="307"/>
      <c r="GT222" s="307"/>
      <c r="GU222" s="307"/>
      <c r="GV222" s="307"/>
    </row>
    <row r="223" spans="1:235" s="268" customFormat="1" ht="16.95" customHeight="1">
      <c r="A223" s="60"/>
      <c r="B223" s="69"/>
      <c r="C223" s="69"/>
      <c r="D223" s="393"/>
      <c r="E223" s="141"/>
      <c r="F223" s="141"/>
      <c r="G223" s="141"/>
      <c r="H223" s="141"/>
      <c r="I223" s="141"/>
      <c r="J223" s="141"/>
      <c r="K223" s="141"/>
      <c r="L223" s="141"/>
      <c r="M223" s="141"/>
      <c r="N223" s="141"/>
      <c r="O223" s="141"/>
      <c r="P223" s="141"/>
      <c r="Q223" s="141"/>
      <c r="R223" s="394"/>
      <c r="S223" s="394"/>
      <c r="T223" s="394"/>
      <c r="U223" s="394"/>
      <c r="V223" s="394"/>
      <c r="W223" s="394"/>
      <c r="X223" s="394"/>
      <c r="Y223" s="394"/>
      <c r="Z223" s="394"/>
      <c r="AA223" s="394"/>
      <c r="AB223" s="394"/>
      <c r="AC223" s="394"/>
      <c r="AD223" s="394"/>
      <c r="AE223" s="394"/>
      <c r="AF223" s="394"/>
      <c r="AG223" s="394"/>
      <c r="AH223" s="394"/>
      <c r="AI223" s="394"/>
      <c r="AJ223" s="394"/>
      <c r="AK223" s="394"/>
      <c r="AL223" s="394"/>
      <c r="AM223" s="394"/>
      <c r="AN223" s="394"/>
      <c r="AO223" s="394"/>
      <c r="AP223" s="394"/>
      <c r="AQ223" s="394"/>
      <c r="AR223" s="394"/>
      <c r="AS223" s="394"/>
      <c r="AT223" s="394"/>
      <c r="AU223" s="394"/>
      <c r="AV223" s="394"/>
      <c r="AW223" s="394"/>
      <c r="AX223" s="394"/>
      <c r="AY223" s="394"/>
      <c r="AZ223" s="394"/>
      <c r="BA223" s="394"/>
      <c r="BB223" s="394"/>
      <c r="BC223" s="393"/>
      <c r="BD223" s="393"/>
      <c r="BE223" s="393"/>
      <c r="BF223" s="393"/>
      <c r="BG223" s="393"/>
      <c r="BH223" s="393"/>
      <c r="BI223" s="393"/>
      <c r="BJ223" s="393"/>
      <c r="BK223" s="393"/>
      <c r="BL223" s="393"/>
      <c r="BM223" s="393"/>
      <c r="BN223" s="393"/>
      <c r="BO223" s="393"/>
      <c r="BP223" s="393"/>
      <c r="BQ223" s="393"/>
      <c r="BR223" s="393"/>
      <c r="BS223" s="393"/>
      <c r="BT223" s="393"/>
      <c r="BU223" s="393"/>
      <c r="BV223" s="394"/>
      <c r="BW223" s="394"/>
      <c r="BX223" s="394"/>
      <c r="BY223" s="394"/>
      <c r="BZ223" s="394"/>
      <c r="CA223" s="394"/>
      <c r="CB223" s="394"/>
      <c r="CC223" s="394"/>
      <c r="CD223" s="141"/>
      <c r="CE223" s="141"/>
      <c r="CF223" s="141"/>
      <c r="CG223" s="141"/>
      <c r="CH223" s="141"/>
      <c r="CI223" s="141"/>
      <c r="CJ223" s="141"/>
      <c r="CK223" s="141"/>
      <c r="CL223" s="141"/>
      <c r="CM223" s="141"/>
      <c r="CN223" s="141"/>
      <c r="CO223" s="141"/>
      <c r="CP223" s="141"/>
      <c r="CQ223" s="141"/>
      <c r="CR223" s="141"/>
      <c r="CS223" s="141"/>
      <c r="CT223" s="141"/>
      <c r="CU223" s="141"/>
      <c r="CV223" s="141"/>
      <c r="CW223" s="141"/>
      <c r="CX223" s="141"/>
      <c r="CY223" s="141"/>
      <c r="CZ223" s="141"/>
      <c r="DA223" s="141"/>
      <c r="DB223" s="141"/>
      <c r="DC223" s="141"/>
      <c r="DD223" s="141"/>
      <c r="DE223" s="141"/>
      <c r="DF223" s="141"/>
      <c r="DG223" s="141"/>
      <c r="DH223" s="141"/>
      <c r="DI223" s="141"/>
      <c r="DJ223" s="141"/>
      <c r="DK223" s="141"/>
      <c r="DL223" s="141"/>
      <c r="DM223" s="141"/>
      <c r="DN223" s="141"/>
      <c r="DO223" s="141"/>
      <c r="DP223" s="141"/>
      <c r="DQ223" s="141"/>
      <c r="DR223" s="141"/>
      <c r="DS223" s="141"/>
      <c r="DT223" s="141"/>
      <c r="DU223" s="141"/>
      <c r="DV223" s="141"/>
      <c r="DW223" s="141"/>
      <c r="DX223" s="141"/>
      <c r="DY223" s="141"/>
      <c r="DZ223" s="141"/>
      <c r="EA223" s="141"/>
      <c r="EB223" s="141"/>
      <c r="EC223" s="141"/>
      <c r="ED223" s="141"/>
      <c r="EE223" s="141"/>
      <c r="EF223" s="141"/>
      <c r="EG223" s="141"/>
      <c r="EH223" s="141"/>
      <c r="EI223" s="141"/>
      <c r="EJ223" s="141"/>
      <c r="EK223" s="141"/>
      <c r="EL223" s="141"/>
      <c r="EM223" s="141"/>
      <c r="EN223" s="141"/>
      <c r="EO223" s="141"/>
      <c r="EP223" s="141"/>
      <c r="EQ223" s="141"/>
      <c r="ER223" s="141"/>
      <c r="ES223" s="141"/>
      <c r="ET223" s="141"/>
      <c r="EU223" s="141"/>
      <c r="EV223" s="141"/>
      <c r="EW223" s="141"/>
      <c r="EX223" s="141"/>
      <c r="EY223" s="141"/>
      <c r="EZ223" s="141"/>
      <c r="FA223" s="141"/>
      <c r="FB223" s="141"/>
      <c r="FC223" s="141"/>
      <c r="FD223" s="141"/>
      <c r="FE223" s="141"/>
      <c r="FF223" s="141"/>
      <c r="FG223" s="141"/>
      <c r="FH223" s="141"/>
      <c r="FI223" s="141"/>
      <c r="FJ223" s="96"/>
      <c r="FK223" s="96"/>
      <c r="FL223" s="96"/>
      <c r="FM223" s="377"/>
      <c r="FN223" s="377"/>
      <c r="FO223" s="377"/>
      <c r="FP223" s="377"/>
      <c r="FQ223" s="377"/>
      <c r="FR223" s="377"/>
      <c r="FS223" s="377"/>
      <c r="FT223" s="377"/>
      <c r="FU223" s="377"/>
      <c r="FV223" s="377"/>
      <c r="FW223" s="377"/>
      <c r="FX223" s="377"/>
      <c r="FY223" s="259"/>
      <c r="FZ223" s="259"/>
      <c r="GA223" s="259"/>
      <c r="GB223" s="259"/>
      <c r="GC223" s="377"/>
      <c r="GD223" s="377"/>
      <c r="GE223" s="377"/>
      <c r="GF223" s="377"/>
      <c r="GG223" s="377"/>
      <c r="GH223" s="377"/>
      <c r="GI223" s="377"/>
      <c r="GJ223" s="377"/>
      <c r="GK223" s="377"/>
      <c r="GL223" s="377"/>
      <c r="GM223" s="377"/>
      <c r="GN223" s="377"/>
      <c r="GO223" s="377"/>
      <c r="GP223" s="377"/>
      <c r="GQ223" s="377"/>
      <c r="GR223" s="377"/>
      <c r="GS223" s="377"/>
      <c r="GT223" s="377"/>
      <c r="GU223" s="377"/>
      <c r="GV223" s="377"/>
      <c r="GW223" s="66"/>
      <c r="GX223" s="66"/>
      <c r="GY223" s="66"/>
      <c r="GZ223" s="66"/>
      <c r="HA223" s="66"/>
      <c r="HB223" s="66"/>
      <c r="HC223" s="66"/>
      <c r="HD223" s="66"/>
      <c r="HE223" s="66"/>
      <c r="HF223" s="66"/>
      <c r="HG223" s="66"/>
      <c r="HH223" s="66"/>
      <c r="HI223" s="66"/>
      <c r="HJ223" s="66"/>
      <c r="HK223" s="66"/>
      <c r="HL223" s="66"/>
      <c r="HM223" s="66"/>
      <c r="HN223" s="66"/>
      <c r="HO223" s="66"/>
      <c r="HP223" s="66"/>
      <c r="HQ223" s="66"/>
      <c r="HR223" s="66"/>
      <c r="HS223" s="66"/>
      <c r="HT223" s="66"/>
      <c r="HU223" s="66"/>
      <c r="HV223" s="66"/>
      <c r="HW223" s="66"/>
      <c r="HX223" s="66"/>
      <c r="HY223" s="66"/>
      <c r="HZ223" s="66"/>
      <c r="IA223" s="66"/>
    </row>
    <row r="224" spans="1:235" s="268" customFormat="1" ht="16.95" customHeight="1">
      <c r="A224" s="60"/>
      <c r="B224" s="272" t="str">
        <f ca="1">IF(FL1=0,"",13)</f>
        <v/>
      </c>
      <c r="C224" s="69"/>
      <c r="D224" s="320" t="str">
        <f ca="1">IF(FL1=0,"","In de volgende grafiek zijn met rode stippellijnen allerlei snijpunten aangegeven. De")</f>
        <v/>
      </c>
      <c r="E224" s="141"/>
      <c r="F224" s="141"/>
      <c r="G224" s="141"/>
      <c r="H224" s="141"/>
      <c r="I224" s="141"/>
      <c r="J224" s="141"/>
      <c r="K224" s="141"/>
      <c r="L224" s="141"/>
      <c r="M224" s="141"/>
      <c r="N224" s="141"/>
      <c r="O224" s="141"/>
      <c r="P224" s="141"/>
      <c r="Q224" s="141"/>
      <c r="R224" s="317"/>
      <c r="S224" s="317"/>
      <c r="T224" s="317"/>
      <c r="U224" s="317"/>
      <c r="V224" s="317"/>
      <c r="W224" s="317"/>
      <c r="X224" s="317"/>
      <c r="Y224" s="317"/>
      <c r="Z224" s="317"/>
      <c r="AA224" s="317"/>
      <c r="AB224" s="317"/>
      <c r="AC224" s="317"/>
      <c r="AD224" s="317"/>
      <c r="AE224" s="317"/>
      <c r="AF224" s="317"/>
      <c r="AG224" s="317"/>
      <c r="AH224" s="317"/>
      <c r="AI224" s="317"/>
      <c r="AJ224" s="317"/>
      <c r="AK224" s="317"/>
      <c r="AL224" s="317"/>
      <c r="AM224" s="317"/>
      <c r="AN224" s="317"/>
      <c r="AO224" s="317"/>
      <c r="AP224" s="317"/>
      <c r="AQ224" s="317"/>
      <c r="AR224" s="317"/>
      <c r="AS224" s="317"/>
      <c r="AT224" s="317"/>
      <c r="AU224" s="317"/>
      <c r="AV224" s="317"/>
      <c r="AW224" s="317"/>
      <c r="AX224" s="317"/>
      <c r="AY224" s="317"/>
      <c r="AZ224" s="317"/>
      <c r="BA224" s="317"/>
      <c r="BB224" s="317"/>
      <c r="BC224" s="316"/>
      <c r="BD224" s="316"/>
      <c r="BE224" s="316"/>
      <c r="BF224" s="316"/>
      <c r="BG224" s="316"/>
      <c r="BH224" s="316"/>
      <c r="BI224" s="316"/>
      <c r="BJ224" s="316"/>
      <c r="BK224" s="316"/>
      <c r="BL224" s="316"/>
      <c r="BM224" s="316"/>
      <c r="BN224" s="316"/>
      <c r="BO224" s="316"/>
      <c r="BP224" s="316"/>
      <c r="BQ224" s="316"/>
      <c r="BR224" s="316"/>
      <c r="BS224" s="316"/>
      <c r="BT224" s="316"/>
      <c r="BU224" s="316"/>
      <c r="BV224" s="317"/>
      <c r="BW224" s="317"/>
      <c r="BX224" s="317"/>
      <c r="BY224" s="317"/>
      <c r="BZ224" s="317"/>
      <c r="CA224" s="317"/>
      <c r="CB224" s="317"/>
      <c r="CC224" s="317"/>
      <c r="CD224" s="141"/>
      <c r="CE224" s="141"/>
      <c r="CF224" s="141"/>
      <c r="CG224" s="141"/>
      <c r="CH224" s="141"/>
      <c r="CI224" s="141"/>
      <c r="CJ224" s="141"/>
      <c r="CK224" s="141"/>
      <c r="CL224" s="141"/>
      <c r="CM224" s="141"/>
      <c r="CN224" s="141"/>
      <c r="CO224" s="141"/>
      <c r="CP224" s="141"/>
      <c r="CQ224" s="141"/>
      <c r="CR224" s="141"/>
      <c r="CS224" s="141"/>
      <c r="CT224" s="141"/>
      <c r="CU224" s="141"/>
      <c r="CV224" s="141"/>
      <c r="CW224" s="141"/>
      <c r="CX224" s="141"/>
      <c r="CY224" s="141"/>
      <c r="CZ224" s="141"/>
      <c r="DA224" s="141"/>
      <c r="DB224" s="141"/>
      <c r="DC224" s="141"/>
      <c r="DD224" s="141"/>
      <c r="DE224" s="141"/>
      <c r="DF224" s="141"/>
      <c r="DG224" s="141"/>
      <c r="DH224" s="141"/>
      <c r="DI224" s="141"/>
      <c r="DJ224" s="141"/>
      <c r="DK224" s="141"/>
      <c r="DL224" s="141"/>
      <c r="DM224" s="141"/>
      <c r="DN224" s="141"/>
      <c r="DO224" s="141"/>
      <c r="DP224" s="141"/>
      <c r="DQ224" s="141"/>
      <c r="DR224" s="141"/>
      <c r="DS224" s="141"/>
      <c r="DT224" s="141"/>
      <c r="DU224" s="141"/>
      <c r="DV224" s="141"/>
      <c r="DW224" s="141"/>
      <c r="DX224" s="141"/>
      <c r="DY224" s="141"/>
      <c r="DZ224" s="141"/>
      <c r="EA224" s="141"/>
      <c r="EB224" s="141"/>
      <c r="EC224" s="141"/>
      <c r="ED224" s="141"/>
      <c r="EE224" s="141"/>
      <c r="EF224" s="141"/>
      <c r="EG224" s="141"/>
      <c r="EH224" s="141"/>
      <c r="EI224" s="141"/>
      <c r="EJ224" s="141"/>
      <c r="EK224" s="141"/>
      <c r="EL224" s="141"/>
      <c r="EM224" s="141"/>
      <c r="EN224" s="141"/>
      <c r="EO224" s="141"/>
      <c r="EP224" s="141"/>
      <c r="EQ224" s="141"/>
      <c r="ER224" s="141"/>
      <c r="ES224" s="141"/>
      <c r="ET224" s="141"/>
      <c r="EU224" s="141"/>
      <c r="EV224" s="141"/>
      <c r="EW224" s="141"/>
      <c r="EX224" s="141"/>
      <c r="EY224" s="141"/>
      <c r="EZ224" s="141"/>
      <c r="FA224" s="141"/>
      <c r="FB224" s="141"/>
      <c r="FC224" s="141"/>
      <c r="FD224" s="141"/>
      <c r="FE224" s="141"/>
      <c r="FF224" s="141"/>
      <c r="FG224" s="141"/>
      <c r="FH224" s="141"/>
      <c r="FI224" s="141"/>
      <c r="FJ224" s="96"/>
      <c r="FK224" s="96"/>
      <c r="FL224" s="96"/>
      <c r="FM224" s="86"/>
      <c r="FN224" s="86"/>
      <c r="FO224" s="86"/>
      <c r="FP224" s="86"/>
      <c r="FQ224" s="86"/>
      <c r="FR224" s="86"/>
      <c r="FS224" s="86"/>
      <c r="FT224" s="86"/>
      <c r="FU224" s="86"/>
      <c r="FV224" s="86"/>
      <c r="FW224" s="86"/>
      <c r="FX224" s="86"/>
      <c r="FY224" s="259"/>
      <c r="FZ224" s="259"/>
      <c r="GA224" s="259"/>
      <c r="GB224" s="259"/>
      <c r="GC224" s="377"/>
      <c r="GD224" s="377"/>
      <c r="GE224" s="377"/>
      <c r="GF224" s="377"/>
      <c r="GG224" s="377"/>
      <c r="GH224" s="377"/>
      <c r="GI224" s="377"/>
      <c r="GJ224" s="377"/>
      <c r="GK224" s="377"/>
      <c r="GL224" s="377"/>
      <c r="GM224" s="377"/>
      <c r="GN224" s="377"/>
      <c r="GO224" s="86"/>
      <c r="GP224" s="377"/>
      <c r="GQ224" s="377"/>
      <c r="GR224" s="377"/>
      <c r="GS224" s="377"/>
      <c r="GT224" s="377"/>
      <c r="GU224" s="377"/>
      <c r="GV224" s="377"/>
      <c r="GW224" s="66"/>
      <c r="GX224" s="66"/>
      <c r="GY224" s="66"/>
      <c r="GZ224" s="66"/>
      <c r="HA224" s="66"/>
      <c r="HB224" s="66"/>
      <c r="HC224" s="66"/>
      <c r="HD224" s="66"/>
      <c r="HE224" s="66"/>
      <c r="HF224" s="66"/>
      <c r="HG224" s="66"/>
      <c r="HH224" s="66"/>
      <c r="HI224" s="66"/>
      <c r="HJ224" s="66"/>
      <c r="HK224" s="66"/>
      <c r="HL224" s="66"/>
      <c r="HM224" s="66"/>
      <c r="HN224" s="66"/>
      <c r="HO224" s="66"/>
      <c r="HP224" s="66"/>
      <c r="HQ224" s="66"/>
      <c r="HR224" s="66"/>
      <c r="HS224" s="66"/>
      <c r="HT224" s="66"/>
      <c r="HU224" s="66"/>
      <c r="HV224" s="66"/>
      <c r="HW224" s="66"/>
      <c r="HX224" s="66"/>
      <c r="HY224" s="66"/>
      <c r="HZ224" s="66"/>
      <c r="IA224" s="66"/>
    </row>
    <row r="225" spans="1:235" s="268" customFormat="1" ht="16.95" customHeight="1">
      <c r="A225" s="60"/>
      <c r="B225" s="272"/>
      <c r="C225" s="69"/>
      <c r="D225" s="320" t="str">
        <f ca="1">IF(FL1=0,"","rechtse stippellijn (I) geeft aan bij welke hoeveelheid de maximale productie ligt. Geef")</f>
        <v/>
      </c>
      <c r="E225" s="141"/>
      <c r="F225" s="141"/>
      <c r="G225" s="141"/>
      <c r="H225" s="141"/>
      <c r="I225" s="141"/>
      <c r="J225" s="141"/>
      <c r="K225" s="141"/>
      <c r="L225" s="141"/>
      <c r="M225" s="141"/>
      <c r="N225" s="141"/>
      <c r="O225" s="141"/>
      <c r="P225" s="141"/>
      <c r="Q225" s="141"/>
      <c r="R225" s="317"/>
      <c r="S225" s="317"/>
      <c r="T225" s="317"/>
      <c r="U225" s="317"/>
      <c r="V225" s="317"/>
      <c r="W225" s="317"/>
      <c r="X225" s="317"/>
      <c r="Y225" s="317"/>
      <c r="Z225" s="317"/>
      <c r="AA225" s="317"/>
      <c r="AB225" s="317"/>
      <c r="AC225" s="317"/>
      <c r="AD225" s="317"/>
      <c r="AE225" s="317"/>
      <c r="AF225" s="317"/>
      <c r="AG225" s="317"/>
      <c r="AH225" s="317"/>
      <c r="AI225" s="317"/>
      <c r="AJ225" s="317"/>
      <c r="AK225" s="317"/>
      <c r="AL225" s="317"/>
      <c r="AM225" s="317"/>
      <c r="AN225" s="317"/>
      <c r="AO225" s="317"/>
      <c r="AP225" s="317"/>
      <c r="AQ225" s="317"/>
      <c r="AR225" s="317"/>
      <c r="AS225" s="317"/>
      <c r="AT225" s="317"/>
      <c r="AU225" s="317"/>
      <c r="AV225" s="317"/>
      <c r="AW225" s="317"/>
      <c r="AX225" s="317"/>
      <c r="AY225" s="317"/>
      <c r="AZ225" s="317"/>
      <c r="BA225" s="317"/>
      <c r="BB225" s="317"/>
      <c r="BC225" s="316"/>
      <c r="BD225" s="316"/>
      <c r="BE225" s="316"/>
      <c r="BF225" s="316"/>
      <c r="BG225" s="316"/>
      <c r="BH225" s="316"/>
      <c r="BI225" s="316"/>
      <c r="BJ225" s="316"/>
      <c r="BK225" s="316"/>
      <c r="BL225" s="316"/>
      <c r="BM225" s="316"/>
      <c r="BN225" s="316"/>
      <c r="BO225" s="316"/>
      <c r="BP225" s="316"/>
      <c r="BQ225" s="316"/>
      <c r="BR225" s="316"/>
      <c r="BS225" s="316"/>
      <c r="BT225" s="316"/>
      <c r="BU225" s="316"/>
      <c r="BV225" s="317"/>
      <c r="BW225" s="317"/>
      <c r="BX225" s="317"/>
      <c r="BY225" s="317"/>
      <c r="BZ225" s="317"/>
      <c r="CA225" s="317"/>
      <c r="CB225" s="317"/>
      <c r="CC225" s="317"/>
      <c r="CD225" s="141"/>
      <c r="CE225" s="141"/>
      <c r="CF225" s="141"/>
      <c r="CG225" s="141"/>
      <c r="CH225" s="141"/>
      <c r="CI225" s="141"/>
      <c r="CJ225" s="141"/>
      <c r="CK225" s="141"/>
      <c r="CL225" s="141"/>
      <c r="CM225" s="141"/>
      <c r="CN225" s="141"/>
      <c r="CO225" s="141"/>
      <c r="CP225" s="141"/>
      <c r="CQ225" s="141"/>
      <c r="CR225" s="141"/>
      <c r="CS225" s="141"/>
      <c r="CT225" s="141"/>
      <c r="CU225" s="141"/>
      <c r="CV225" s="141"/>
      <c r="CW225" s="141"/>
      <c r="CX225" s="141"/>
      <c r="CY225" s="141"/>
      <c r="CZ225" s="141"/>
      <c r="DA225" s="141"/>
      <c r="DB225" s="141"/>
      <c r="DC225" s="141"/>
      <c r="DD225" s="141"/>
      <c r="DE225" s="141"/>
      <c r="DF225" s="141"/>
      <c r="DG225" s="141"/>
      <c r="DH225" s="141"/>
      <c r="DI225" s="141"/>
      <c r="DJ225" s="141"/>
      <c r="DK225" s="141"/>
      <c r="DL225" s="141"/>
      <c r="DM225" s="141"/>
      <c r="DN225" s="141"/>
      <c r="DO225" s="141"/>
      <c r="DP225" s="141"/>
      <c r="DQ225" s="141"/>
      <c r="DR225" s="141"/>
      <c r="DS225" s="141"/>
      <c r="DT225" s="141"/>
      <c r="DU225" s="141"/>
      <c r="DV225" s="141"/>
      <c r="DW225" s="141"/>
      <c r="DX225" s="141"/>
      <c r="DY225" s="141"/>
      <c r="DZ225" s="141"/>
      <c r="EA225" s="141"/>
      <c r="EB225" s="141"/>
      <c r="EC225" s="141"/>
      <c r="ED225" s="141"/>
      <c r="EE225" s="141"/>
      <c r="EF225" s="141"/>
      <c r="EG225" s="141"/>
      <c r="EH225" s="141"/>
      <c r="EI225" s="141"/>
      <c r="EJ225" s="141"/>
      <c r="EK225" s="141"/>
      <c r="EL225" s="141"/>
      <c r="EM225" s="141"/>
      <c r="EN225" s="141"/>
      <c r="EO225" s="141"/>
      <c r="EP225" s="141"/>
      <c r="EQ225" s="141"/>
      <c r="ER225" s="141"/>
      <c r="ES225" s="141"/>
      <c r="ET225" s="141"/>
      <c r="EU225" s="141"/>
      <c r="EV225" s="141"/>
      <c r="EW225" s="141"/>
      <c r="EX225" s="141"/>
      <c r="EY225" s="141"/>
      <c r="EZ225" s="141"/>
      <c r="FA225" s="141"/>
      <c r="FB225" s="141"/>
      <c r="FC225" s="141"/>
      <c r="FD225" s="141"/>
      <c r="FE225" s="141"/>
      <c r="FF225" s="141"/>
      <c r="FG225" s="141"/>
      <c r="FH225" s="141"/>
      <c r="FI225" s="141"/>
      <c r="FJ225" s="96"/>
      <c r="FK225" s="96"/>
      <c r="FL225" s="96"/>
      <c r="FM225" s="86"/>
      <c r="FN225" s="86"/>
      <c r="FO225" s="86"/>
      <c r="FP225" s="86"/>
      <c r="FQ225" s="86"/>
      <c r="FR225" s="86"/>
      <c r="FS225" s="86"/>
      <c r="FT225" s="86"/>
      <c r="FU225" s="86"/>
      <c r="FV225" s="86"/>
      <c r="FW225" s="86"/>
      <c r="FX225" s="86"/>
      <c r="FY225" s="259"/>
      <c r="FZ225" s="259"/>
      <c r="GA225" s="259"/>
      <c r="GB225" s="259"/>
      <c r="GC225" s="377"/>
      <c r="GD225" s="377"/>
      <c r="GE225" s="377"/>
      <c r="GF225" s="377"/>
      <c r="GG225" s="377"/>
      <c r="GH225" s="377"/>
      <c r="GI225" s="377"/>
      <c r="GJ225" s="377"/>
      <c r="GK225" s="377"/>
      <c r="GL225" s="377"/>
      <c r="GM225" s="377"/>
      <c r="GN225" s="377"/>
      <c r="GO225" s="86"/>
      <c r="GP225" s="377"/>
      <c r="GQ225" s="377"/>
      <c r="GR225" s="377"/>
      <c r="GS225" s="377"/>
      <c r="GT225" s="377"/>
      <c r="GU225" s="377"/>
      <c r="GV225" s="377"/>
      <c r="GW225" s="66"/>
      <c r="GX225" s="66"/>
      <c r="GY225" s="66"/>
      <c r="GZ225" s="66"/>
      <c r="HA225" s="66"/>
      <c r="HB225" s="66"/>
      <c r="HC225" s="66"/>
      <c r="HD225" s="66"/>
      <c r="HE225" s="66"/>
      <c r="HF225" s="66"/>
      <c r="HG225" s="66"/>
      <c r="HH225" s="66"/>
      <c r="HI225" s="66"/>
      <c r="HJ225" s="66"/>
      <c r="HK225" s="66"/>
      <c r="HL225" s="66"/>
      <c r="HM225" s="66"/>
      <c r="HN225" s="66"/>
      <c r="HO225" s="66"/>
      <c r="HP225" s="66"/>
      <c r="HQ225" s="66"/>
      <c r="HR225" s="66"/>
      <c r="HS225" s="66"/>
      <c r="HT225" s="66"/>
      <c r="HU225" s="66"/>
      <c r="HV225" s="66"/>
      <c r="HW225" s="66"/>
      <c r="HX225" s="66"/>
      <c r="HY225" s="66"/>
      <c r="HZ225" s="66"/>
      <c r="IA225" s="66"/>
    </row>
    <row r="226" spans="1:235" s="268" customFormat="1" ht="16.95" customHeight="1">
      <c r="A226" s="60"/>
      <c r="B226" s="69"/>
      <c r="C226" s="69"/>
      <c r="D226" s="320" t="str">
        <f ca="1">IF(FL1=0,"","met behulp van de letters bij de stippellijnen aan om welke afzet het gaat.")</f>
        <v/>
      </c>
      <c r="E226" s="141"/>
      <c r="F226" s="141"/>
      <c r="G226" s="141"/>
      <c r="H226" s="141"/>
      <c r="I226" s="141"/>
      <c r="J226" s="141"/>
      <c r="K226" s="141"/>
      <c r="L226" s="141"/>
      <c r="M226" s="141"/>
      <c r="N226" s="141"/>
      <c r="O226" s="141"/>
      <c r="P226" s="141"/>
      <c r="Q226" s="141"/>
      <c r="R226" s="317"/>
      <c r="S226" s="317"/>
      <c r="T226" s="317"/>
      <c r="U226" s="317"/>
      <c r="V226" s="317"/>
      <c r="W226" s="317"/>
      <c r="X226" s="317"/>
      <c r="Y226" s="317"/>
      <c r="Z226" s="317"/>
      <c r="AA226" s="317"/>
      <c r="AB226" s="317"/>
      <c r="AC226" s="317"/>
      <c r="AD226" s="317"/>
      <c r="AE226" s="317"/>
      <c r="AF226" s="317"/>
      <c r="AG226" s="317"/>
      <c r="AH226" s="317"/>
      <c r="AI226" s="317"/>
      <c r="AJ226" s="317"/>
      <c r="AK226" s="317"/>
      <c r="AL226" s="317"/>
      <c r="AM226" s="317"/>
      <c r="AN226" s="317"/>
      <c r="AO226" s="317"/>
      <c r="AP226" s="317"/>
      <c r="AQ226" s="317"/>
      <c r="AR226" s="317"/>
      <c r="AS226" s="317"/>
      <c r="AT226" s="317"/>
      <c r="AU226" s="317"/>
      <c r="AV226" s="317"/>
      <c r="AW226" s="317"/>
      <c r="AX226" s="317"/>
      <c r="AY226" s="317"/>
      <c r="AZ226" s="317"/>
      <c r="BA226" s="317"/>
      <c r="BB226" s="317"/>
      <c r="BC226" s="316"/>
      <c r="BD226" s="316"/>
      <c r="BE226" s="316"/>
      <c r="BF226" s="316"/>
      <c r="BG226" s="316"/>
      <c r="BH226" s="316"/>
      <c r="BI226" s="316"/>
      <c r="BJ226" s="316"/>
      <c r="BK226" s="316"/>
      <c r="BL226" s="316"/>
      <c r="BM226" s="316"/>
      <c r="BN226" s="316"/>
      <c r="BO226" s="316"/>
      <c r="BP226" s="316"/>
      <c r="BQ226" s="316"/>
      <c r="BR226" s="316"/>
      <c r="BS226" s="316"/>
      <c r="BT226" s="316"/>
      <c r="BU226" s="316"/>
      <c r="BV226" s="317"/>
      <c r="BW226" s="317"/>
      <c r="BX226" s="317"/>
      <c r="BY226" s="317"/>
      <c r="BZ226" s="317"/>
      <c r="CA226" s="317"/>
      <c r="CB226" s="317"/>
      <c r="CC226" s="317"/>
      <c r="CD226" s="141"/>
      <c r="CE226" s="141"/>
      <c r="CF226" s="141"/>
      <c r="CG226" s="141"/>
      <c r="CH226" s="141"/>
      <c r="CI226" s="141"/>
      <c r="CJ226" s="141"/>
      <c r="CK226" s="141"/>
      <c r="CL226" s="141"/>
      <c r="CM226" s="141"/>
      <c r="CN226" s="141"/>
      <c r="CO226" s="141"/>
      <c r="CP226" s="141"/>
      <c r="CQ226" s="141"/>
      <c r="CR226" s="141"/>
      <c r="CS226" s="141"/>
      <c r="CT226" s="141"/>
      <c r="CU226" s="141"/>
      <c r="CV226" s="141"/>
      <c r="CW226" s="141"/>
      <c r="CX226" s="141"/>
      <c r="CY226" s="141"/>
      <c r="CZ226" s="141"/>
      <c r="DA226" s="141"/>
      <c r="DB226" s="141"/>
      <c r="DC226" s="141"/>
      <c r="DD226" s="141"/>
      <c r="DE226" s="141"/>
      <c r="DF226" s="141"/>
      <c r="DG226" s="141"/>
      <c r="DH226" s="141"/>
      <c r="DI226" s="141"/>
      <c r="DJ226" s="141"/>
      <c r="DK226" s="141"/>
      <c r="DL226" s="141"/>
      <c r="DM226" s="141"/>
      <c r="DN226" s="141"/>
      <c r="DO226" s="141"/>
      <c r="DP226" s="141"/>
      <c r="DQ226" s="141"/>
      <c r="DR226" s="141"/>
      <c r="DS226" s="141"/>
      <c r="DT226" s="141"/>
      <c r="DU226" s="141"/>
      <c r="DV226" s="141"/>
      <c r="DW226" s="141"/>
      <c r="DX226" s="141"/>
      <c r="DY226" s="141"/>
      <c r="DZ226" s="141"/>
      <c r="EA226" s="141"/>
      <c r="EB226" s="141"/>
      <c r="EC226" s="141"/>
      <c r="ED226" s="141"/>
      <c r="EE226" s="141"/>
      <c r="EF226" s="141"/>
      <c r="EG226" s="141"/>
      <c r="EH226" s="141"/>
      <c r="EI226" s="141"/>
      <c r="EJ226" s="141"/>
      <c r="EK226" s="141"/>
      <c r="EL226" s="141"/>
      <c r="EM226" s="141"/>
      <c r="EN226" s="141"/>
      <c r="EO226" s="141"/>
      <c r="EP226" s="141"/>
      <c r="EQ226" s="141"/>
      <c r="ER226" s="141"/>
      <c r="ES226" s="141"/>
      <c r="ET226" s="141"/>
      <c r="EU226" s="141"/>
      <c r="EV226" s="141"/>
      <c r="EW226" s="141"/>
      <c r="EX226" s="141"/>
      <c r="EY226" s="141"/>
      <c r="EZ226" s="141"/>
      <c r="FA226" s="141"/>
      <c r="FB226" s="141"/>
      <c r="FC226" s="141"/>
      <c r="FD226" s="141"/>
      <c r="FE226" s="141"/>
      <c r="FF226" s="141"/>
      <c r="FG226" s="141"/>
      <c r="FH226" s="141"/>
      <c r="FI226" s="141"/>
      <c r="FJ226" s="96"/>
      <c r="FK226" s="96"/>
      <c r="FL226" s="96"/>
      <c r="FM226" s="86"/>
      <c r="FN226" s="86"/>
      <c r="FO226" s="86"/>
      <c r="FP226" s="86"/>
      <c r="FQ226" s="86"/>
      <c r="FR226" s="86"/>
      <c r="FS226" s="86"/>
      <c r="FT226" s="86"/>
      <c r="FU226" s="86"/>
      <c r="FV226" s="86"/>
      <c r="FW226" s="86"/>
      <c r="FX226" s="86"/>
      <c r="FY226" s="259"/>
      <c r="FZ226" s="259"/>
      <c r="GA226" s="259"/>
      <c r="GB226" s="259"/>
      <c r="GC226" s="377"/>
      <c r="GD226" s="377"/>
      <c r="GE226" s="377"/>
      <c r="GF226" s="377"/>
      <c r="GG226" s="377"/>
      <c r="GH226" s="377"/>
      <c r="GI226" s="377"/>
      <c r="GJ226" s="377"/>
      <c r="GK226" s="377"/>
      <c r="GL226" s="377"/>
      <c r="GM226" s="377"/>
      <c r="GN226" s="377"/>
      <c r="GO226" s="86"/>
      <c r="GP226" s="377"/>
      <c r="GQ226" s="377"/>
      <c r="GR226" s="377"/>
      <c r="GS226" s="377"/>
      <c r="GT226" s="377"/>
      <c r="GU226" s="377"/>
      <c r="GV226" s="377"/>
      <c r="GW226" s="66"/>
      <c r="GX226" s="66"/>
      <c r="GY226" s="66"/>
      <c r="GZ226" s="66"/>
      <c r="HA226" s="66"/>
      <c r="HB226" s="66"/>
      <c r="HC226" s="66"/>
      <c r="HD226" s="66"/>
      <c r="HE226" s="66"/>
      <c r="HF226" s="66"/>
      <c r="HG226" s="66"/>
      <c r="HH226" s="66"/>
      <c r="HI226" s="66"/>
      <c r="HJ226" s="66"/>
      <c r="HK226" s="66"/>
      <c r="HL226" s="66"/>
      <c r="HM226" s="66"/>
      <c r="HN226" s="66"/>
      <c r="HO226" s="66"/>
      <c r="HP226" s="66"/>
      <c r="HQ226" s="66"/>
      <c r="HR226" s="66"/>
      <c r="HS226" s="66"/>
      <c r="HT226" s="66"/>
      <c r="HU226" s="66"/>
      <c r="HV226" s="66"/>
      <c r="HW226" s="66"/>
      <c r="HX226" s="66"/>
      <c r="HY226" s="66"/>
      <c r="HZ226" s="66"/>
      <c r="IA226" s="66"/>
    </row>
    <row r="227" spans="1:235" customFormat="1" ht="16.5" customHeight="1">
      <c r="A227" s="1"/>
      <c r="B227" s="3"/>
      <c r="C227" s="3"/>
      <c r="D227" s="124"/>
      <c r="E227" s="320"/>
      <c r="F227" s="320"/>
      <c r="G227" s="320"/>
      <c r="H227" s="320"/>
      <c r="I227" s="320"/>
      <c r="J227" s="278"/>
      <c r="K227" s="278"/>
      <c r="L227" s="278"/>
      <c r="M227" s="278"/>
      <c r="N227" s="278"/>
      <c r="O227" s="278"/>
      <c r="P227" s="278"/>
      <c r="Q227" s="278"/>
      <c r="R227" s="278"/>
      <c r="S227" s="278"/>
      <c r="T227" s="278"/>
      <c r="U227" s="278"/>
      <c r="V227" s="79"/>
      <c r="W227" s="79"/>
      <c r="X227" s="79"/>
      <c r="Y227" s="79"/>
      <c r="Z227" s="79"/>
      <c r="AA227" s="79"/>
      <c r="AB227" s="79"/>
      <c r="AC227" s="79"/>
      <c r="AD227" s="79"/>
      <c r="AE227" s="79"/>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c r="BM227" s="323"/>
      <c r="BN227" s="323"/>
      <c r="BO227" s="323"/>
      <c r="BP227" s="323"/>
      <c r="BQ227" s="323"/>
      <c r="BR227" s="323"/>
      <c r="BS227" s="323"/>
      <c r="BT227" s="323"/>
      <c r="BU227" s="323"/>
      <c r="BV227" s="323"/>
      <c r="BW227" s="323"/>
      <c r="BX227" s="323"/>
      <c r="BY227" s="323"/>
      <c r="BZ227" s="323"/>
      <c r="CA227" s="323"/>
      <c r="CB227" s="323"/>
      <c r="CC227" s="323"/>
      <c r="CD227" s="323"/>
      <c r="CE227" s="323"/>
      <c r="CF227" s="323"/>
      <c r="CG227" s="323"/>
      <c r="CH227" s="323"/>
      <c r="CI227" s="323"/>
      <c r="CJ227" s="323"/>
      <c r="CK227" s="323"/>
      <c r="CL227" s="323"/>
      <c r="CM227" s="323"/>
      <c r="CN227" s="323"/>
      <c r="CO227" s="323"/>
      <c r="CP227" s="323"/>
      <c r="CQ227" s="278"/>
      <c r="CR227" s="278"/>
      <c r="CS227" s="278"/>
      <c r="CT227" s="278"/>
      <c r="CU227" s="278"/>
      <c r="CV227" s="278"/>
      <c r="CW227" s="278"/>
      <c r="CX227" s="278"/>
      <c r="CY227" s="278"/>
      <c r="CZ227" s="278"/>
      <c r="DA227" s="278"/>
      <c r="DB227" s="278"/>
      <c r="DC227" s="278"/>
      <c r="DD227" s="278"/>
      <c r="DE227" s="278"/>
      <c r="DF227" s="278"/>
      <c r="DG227" s="278"/>
      <c r="DH227" s="278"/>
      <c r="DI227" s="278"/>
      <c r="DJ227" s="278"/>
      <c r="DK227" s="278"/>
      <c r="DL227" s="278"/>
      <c r="DM227" s="278"/>
      <c r="DN227" s="278"/>
      <c r="DO227" s="278"/>
      <c r="DP227" s="278"/>
      <c r="DQ227" s="278"/>
      <c r="DR227" s="278"/>
      <c r="DS227" s="278"/>
      <c r="DT227" s="278"/>
      <c r="DU227" s="278"/>
      <c r="DV227" s="278"/>
      <c r="DW227" s="278"/>
      <c r="DX227" s="278"/>
      <c r="DY227" s="278"/>
      <c r="DZ227" s="278"/>
      <c r="EA227" s="278"/>
      <c r="EB227" s="278"/>
      <c r="EC227" s="278"/>
      <c r="ED227" s="278"/>
      <c r="EE227" s="278"/>
      <c r="EF227" s="278"/>
      <c r="EG227" s="278"/>
      <c r="EH227" s="278"/>
      <c r="EI227" s="278"/>
      <c r="EJ227" s="278"/>
      <c r="EK227" s="278"/>
      <c r="EL227" s="278"/>
      <c r="EM227" s="278"/>
      <c r="EN227" s="278"/>
      <c r="EO227" s="278"/>
      <c r="EP227" s="278"/>
      <c r="EQ227" s="278"/>
      <c r="ER227" s="278"/>
      <c r="ES227" s="278"/>
      <c r="ET227" s="278"/>
      <c r="EU227" s="278"/>
      <c r="EV227" s="278"/>
      <c r="EW227" s="278"/>
      <c r="EX227" s="278"/>
      <c r="EY227" s="278"/>
      <c r="EZ227" s="278"/>
      <c r="FA227" s="43"/>
      <c r="FB227" s="43"/>
      <c r="FC227" s="43"/>
      <c r="FD227" s="43"/>
      <c r="FE227" s="43"/>
      <c r="FF227" s="43"/>
      <c r="FG227" s="43"/>
      <c r="FH227" s="43"/>
      <c r="FI227" s="79"/>
      <c r="FJ227" s="96"/>
      <c r="FK227" s="96"/>
      <c r="FL227" s="96"/>
      <c r="FM227" s="324"/>
      <c r="FN227" s="324"/>
      <c r="FO227" s="324"/>
      <c r="FP227" s="324"/>
      <c r="FQ227" s="324"/>
      <c r="FR227" s="47"/>
      <c r="FS227" s="47"/>
      <c r="FT227" s="47"/>
      <c r="FU227" s="47"/>
      <c r="FV227" s="47"/>
      <c r="FW227" s="47"/>
      <c r="FX227" s="47"/>
      <c r="FY227" s="259"/>
      <c r="FZ227" s="259"/>
      <c r="GA227" s="259"/>
      <c r="GB227" s="259"/>
      <c r="GC227" s="377"/>
      <c r="GD227" s="377"/>
      <c r="GE227" s="377"/>
      <c r="GF227" s="377"/>
      <c r="GG227" s="377"/>
      <c r="GH227" s="377"/>
      <c r="GI227" s="377"/>
      <c r="GJ227" s="377"/>
      <c r="GK227" s="377"/>
      <c r="GL227" s="377"/>
      <c r="GM227" s="377"/>
      <c r="GN227" s="377"/>
      <c r="GO227" s="49"/>
      <c r="GP227" s="49"/>
      <c r="GQ227" s="49"/>
      <c r="GR227" s="49"/>
      <c r="GS227" s="49"/>
      <c r="GT227" s="49"/>
      <c r="GU227" s="49"/>
      <c r="GV227" s="49"/>
      <c r="GW227" s="66"/>
      <c r="GX227" s="66"/>
      <c r="GY227" s="66"/>
      <c r="GZ227" s="66"/>
      <c r="HA227" s="66"/>
      <c r="HB227" s="66"/>
      <c r="HC227" s="66"/>
      <c r="HD227" s="66"/>
      <c r="HE227" s="66"/>
      <c r="HF227" s="66"/>
      <c r="HG227" s="66"/>
      <c r="HH227" s="66"/>
      <c r="HI227" s="66"/>
      <c r="HJ227" s="66"/>
      <c r="HK227" s="66"/>
      <c r="HL227" s="66"/>
      <c r="HM227" s="66"/>
      <c r="HN227" s="66"/>
      <c r="HO227" s="66"/>
      <c r="HP227" s="66"/>
      <c r="HQ227" s="66"/>
      <c r="HR227" s="66"/>
      <c r="HS227" s="66"/>
      <c r="HT227" s="66"/>
      <c r="HU227" s="66"/>
      <c r="HV227" s="66"/>
      <c r="HW227" s="66"/>
      <c r="HX227" s="66"/>
      <c r="HY227" s="66"/>
      <c r="HZ227" s="66"/>
      <c r="IA227" s="66"/>
    </row>
    <row r="228" spans="1:235" customFormat="1" ht="16.5" customHeight="1">
      <c r="A228" s="1"/>
      <c r="B228" s="3"/>
      <c r="C228" s="3"/>
      <c r="D228" s="124"/>
      <c r="E228" s="320"/>
      <c r="F228" s="320"/>
      <c r="G228" s="320"/>
      <c r="H228" s="320"/>
      <c r="I228" s="320"/>
      <c r="J228" s="278"/>
      <c r="K228" s="278"/>
      <c r="L228" s="278"/>
      <c r="M228" s="278"/>
      <c r="N228" s="278"/>
      <c r="O228" s="278"/>
      <c r="P228" s="278"/>
      <c r="Q228" s="278"/>
      <c r="R228" s="278"/>
      <c r="S228" s="278"/>
      <c r="T228" s="278"/>
      <c r="U228" s="278"/>
      <c r="V228" s="79"/>
      <c r="W228" s="79"/>
      <c r="X228" s="79"/>
      <c r="Y228" s="79"/>
      <c r="Z228" s="79"/>
      <c r="AA228" s="79"/>
      <c r="AB228" s="79"/>
      <c r="AC228" s="79"/>
      <c r="AD228" s="79"/>
      <c r="AE228" s="79"/>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c r="BM228" s="323"/>
      <c r="BN228" s="323"/>
      <c r="BO228" s="323"/>
      <c r="BP228" s="323"/>
      <c r="BQ228" s="323"/>
      <c r="BR228" s="323"/>
      <c r="BS228" s="323"/>
      <c r="BT228" s="323"/>
      <c r="BU228" s="323"/>
      <c r="BV228" s="323"/>
      <c r="BW228" s="323"/>
      <c r="BX228" s="323"/>
      <c r="BY228" s="323"/>
      <c r="BZ228" s="323"/>
      <c r="CA228" s="323"/>
      <c r="CB228" s="323"/>
      <c r="CC228" s="323"/>
      <c r="CD228" s="323"/>
      <c r="CE228" s="323"/>
      <c r="CF228" s="323"/>
      <c r="CG228" s="323"/>
      <c r="CH228" s="323"/>
      <c r="CI228" s="323"/>
      <c r="CJ228" s="323"/>
      <c r="CK228" s="323"/>
      <c r="CL228" s="323"/>
      <c r="CM228" s="323"/>
      <c r="CN228" s="323"/>
      <c r="CO228" s="323"/>
      <c r="CP228" s="323"/>
      <c r="CQ228" s="278"/>
      <c r="CR228" s="278"/>
      <c r="CS228" s="278"/>
      <c r="CT228" s="278"/>
      <c r="CU228" s="278"/>
      <c r="CV228" s="278"/>
      <c r="CW228" s="278"/>
      <c r="CX228" s="278"/>
      <c r="CY228" s="278"/>
      <c r="CZ228" s="278"/>
      <c r="DA228" s="278"/>
      <c r="DB228" s="278"/>
      <c r="DC228" s="278"/>
      <c r="DD228" s="278"/>
      <c r="DE228" s="278"/>
      <c r="DF228" s="278"/>
      <c r="DG228" s="278"/>
      <c r="DH228" s="278"/>
      <c r="DI228" s="278"/>
      <c r="DJ228" s="278"/>
      <c r="DK228" s="278"/>
      <c r="DL228" s="278"/>
      <c r="DM228" s="278"/>
      <c r="DN228" s="278"/>
      <c r="DO228" s="278"/>
      <c r="DP228" s="278"/>
      <c r="DQ228" s="278"/>
      <c r="DR228" s="278"/>
      <c r="DS228" s="278"/>
      <c r="DT228" s="278"/>
      <c r="DU228" s="278"/>
      <c r="DV228" s="278"/>
      <c r="DW228" s="278"/>
      <c r="DX228" s="278"/>
      <c r="DY228" s="278"/>
      <c r="DZ228" s="278"/>
      <c r="EA228" s="278"/>
      <c r="EB228" s="278"/>
      <c r="EC228" s="278"/>
      <c r="ED228" s="278"/>
      <c r="EE228" s="278"/>
      <c r="EF228" s="278"/>
      <c r="EG228" s="278"/>
      <c r="EH228" s="278"/>
      <c r="EI228" s="278"/>
      <c r="EJ228" s="278"/>
      <c r="EK228" s="278"/>
      <c r="EL228" s="278"/>
      <c r="EM228" s="278"/>
      <c r="EN228" s="278"/>
      <c r="EO228" s="278"/>
      <c r="EP228" s="278"/>
      <c r="EQ228" s="278"/>
      <c r="ER228" s="278"/>
      <c r="ES228" s="278"/>
      <c r="ET228" s="278"/>
      <c r="EU228" s="278"/>
      <c r="EV228" s="278"/>
      <c r="EW228" s="278"/>
      <c r="EX228" s="278"/>
      <c r="EY228" s="278"/>
      <c r="EZ228" s="278"/>
      <c r="FA228" s="43"/>
      <c r="FB228" s="43"/>
      <c r="FC228" s="43"/>
      <c r="FD228" s="43"/>
      <c r="FE228" s="43"/>
      <c r="FF228" s="43"/>
      <c r="FG228" s="43"/>
      <c r="FH228" s="43"/>
      <c r="FI228" s="79"/>
      <c r="FJ228" s="96"/>
      <c r="FK228" s="96"/>
      <c r="FL228" s="96"/>
      <c r="FM228" s="324"/>
      <c r="FN228" s="324"/>
      <c r="FO228" s="324"/>
      <c r="FP228" s="324"/>
      <c r="FQ228" s="324"/>
      <c r="FR228" s="47"/>
      <c r="FS228" s="47"/>
      <c r="FT228" s="47"/>
      <c r="FU228" s="47"/>
      <c r="FV228" s="47"/>
      <c r="FW228" s="47"/>
      <c r="FX228" s="47"/>
      <c r="FY228" s="259"/>
      <c r="FZ228" s="259"/>
      <c r="GA228" s="259"/>
      <c r="GB228" s="259"/>
      <c r="GC228" s="377"/>
      <c r="GD228" s="377"/>
      <c r="GE228" s="377"/>
      <c r="GF228" s="377"/>
      <c r="GG228" s="377"/>
      <c r="GH228" s="377"/>
      <c r="GI228" s="377"/>
      <c r="GJ228" s="377"/>
      <c r="GK228" s="377"/>
      <c r="GL228" s="377"/>
      <c r="GM228" s="377"/>
      <c r="GN228" s="377"/>
      <c r="GO228" s="49"/>
      <c r="GP228" s="49"/>
      <c r="GQ228" s="49"/>
      <c r="GR228" s="49"/>
      <c r="GS228" s="49"/>
      <c r="GT228" s="49"/>
      <c r="GU228" s="49"/>
      <c r="GV228" s="49"/>
      <c r="GW228" s="66"/>
      <c r="GX228" s="66"/>
      <c r="GY228" s="66"/>
      <c r="GZ228" s="66"/>
      <c r="HA228" s="66"/>
      <c r="HB228" s="66"/>
      <c r="HC228" s="66"/>
      <c r="HD228" s="66"/>
      <c r="HE228" s="66"/>
      <c r="HF228" s="66"/>
      <c r="HG228" s="66"/>
      <c r="HH228" s="66"/>
      <c r="HI228" s="66"/>
      <c r="HJ228" s="66"/>
      <c r="HK228" s="66"/>
      <c r="HL228" s="66"/>
      <c r="HM228" s="66"/>
      <c r="HN228" s="66"/>
      <c r="HO228" s="66"/>
      <c r="HP228" s="66"/>
      <c r="HQ228" s="66"/>
      <c r="HR228" s="66"/>
      <c r="HS228" s="66"/>
      <c r="HT228" s="66"/>
      <c r="HU228" s="66"/>
      <c r="HV228" s="66"/>
      <c r="HW228" s="66"/>
      <c r="HX228" s="66"/>
      <c r="HY228" s="66"/>
      <c r="HZ228" s="66"/>
      <c r="IA228" s="66"/>
    </row>
    <row r="229" spans="1:235" customFormat="1" ht="16.5" customHeight="1">
      <c r="A229" s="1"/>
      <c r="B229" s="3"/>
      <c r="C229" s="3"/>
      <c r="D229" s="124"/>
      <c r="E229" s="320"/>
      <c r="F229" s="320"/>
      <c r="G229" s="320"/>
      <c r="H229" s="320"/>
      <c r="I229" s="320"/>
      <c r="J229" s="278"/>
      <c r="K229" s="278"/>
      <c r="L229" s="278"/>
      <c r="M229" s="278"/>
      <c r="N229" s="278"/>
      <c r="O229" s="278"/>
      <c r="P229" s="278"/>
      <c r="Q229" s="278"/>
      <c r="R229" s="278"/>
      <c r="S229" s="278"/>
      <c r="T229" s="278"/>
      <c r="U229" s="278"/>
      <c r="V229" s="79"/>
      <c r="W229" s="79"/>
      <c r="X229" s="79"/>
      <c r="Y229" s="79"/>
      <c r="Z229" s="79"/>
      <c r="AA229" s="79"/>
      <c r="AB229" s="79"/>
      <c r="AC229" s="79"/>
      <c r="AD229" s="79"/>
      <c r="AE229" s="79"/>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c r="BM229" s="323"/>
      <c r="BN229" s="323"/>
      <c r="BO229" s="323"/>
      <c r="BP229" s="323"/>
      <c r="BQ229" s="323"/>
      <c r="BR229" s="323"/>
      <c r="BS229" s="323"/>
      <c r="BT229" s="323"/>
      <c r="BU229" s="323"/>
      <c r="BV229" s="323"/>
      <c r="BW229" s="323"/>
      <c r="BX229" s="323"/>
      <c r="BY229" s="323"/>
      <c r="BZ229" s="323"/>
      <c r="CA229" s="323"/>
      <c r="CB229" s="323"/>
      <c r="CC229" s="323"/>
      <c r="CD229" s="323"/>
      <c r="CE229" s="323"/>
      <c r="CF229" s="323"/>
      <c r="CG229" s="323"/>
      <c r="CH229" s="323"/>
      <c r="CI229" s="323"/>
      <c r="CJ229" s="323"/>
      <c r="CK229" s="323"/>
      <c r="CL229" s="323"/>
      <c r="CM229" s="323"/>
      <c r="CN229" s="323"/>
      <c r="CO229" s="323"/>
      <c r="CP229" s="323"/>
      <c r="CQ229" s="278"/>
      <c r="CR229" s="278"/>
      <c r="CS229" s="278"/>
      <c r="CT229" s="278"/>
      <c r="CU229" s="278"/>
      <c r="CV229" s="278"/>
      <c r="CW229" s="278"/>
      <c r="CX229" s="278"/>
      <c r="CY229" s="278"/>
      <c r="CZ229" s="278"/>
      <c r="DA229" s="278"/>
      <c r="DB229" s="278"/>
      <c r="DC229" s="278"/>
      <c r="DD229" s="278"/>
      <c r="DE229" s="278"/>
      <c r="DF229" s="278"/>
      <c r="DG229" s="278"/>
      <c r="DH229" s="278"/>
      <c r="DI229" s="278"/>
      <c r="DJ229" s="278"/>
      <c r="DK229" s="278"/>
      <c r="DL229" s="278"/>
      <c r="DM229" s="278"/>
      <c r="DN229" s="278"/>
      <c r="DO229" s="278"/>
      <c r="DP229" s="278"/>
      <c r="DQ229" s="278"/>
      <c r="DR229" s="278"/>
      <c r="DS229" s="278"/>
      <c r="DT229" s="278"/>
      <c r="DU229" s="278"/>
      <c r="DV229" s="278"/>
      <c r="DW229" s="278"/>
      <c r="DX229" s="278"/>
      <c r="DY229" s="278"/>
      <c r="DZ229" s="278"/>
      <c r="EA229" s="278"/>
      <c r="EB229" s="278"/>
      <c r="EC229" s="278"/>
      <c r="ED229" s="278"/>
      <c r="EE229" s="278"/>
      <c r="EF229" s="278"/>
      <c r="EG229" s="278"/>
      <c r="EH229" s="278"/>
      <c r="EI229" s="278"/>
      <c r="EJ229" s="278"/>
      <c r="EK229" s="278"/>
      <c r="EL229" s="278"/>
      <c r="EM229" s="278"/>
      <c r="EN229" s="278"/>
      <c r="EO229" s="278"/>
      <c r="EP229" s="278"/>
      <c r="EQ229" s="278"/>
      <c r="ER229" s="278"/>
      <c r="ES229" s="278"/>
      <c r="ET229" s="278"/>
      <c r="EU229" s="278"/>
      <c r="EV229" s="278"/>
      <c r="EW229" s="278"/>
      <c r="EX229" s="278"/>
      <c r="EY229" s="278"/>
      <c r="EZ229" s="278"/>
      <c r="FA229" s="43"/>
      <c r="FB229" s="43"/>
      <c r="FC229" s="43"/>
      <c r="FD229" s="43"/>
      <c r="FE229" s="43"/>
      <c r="FF229" s="43"/>
      <c r="FG229" s="43"/>
      <c r="FH229" s="43"/>
      <c r="FI229" s="79"/>
      <c r="FJ229" s="96"/>
      <c r="FK229" s="96"/>
      <c r="FL229" s="96"/>
      <c r="FM229" s="324"/>
      <c r="FN229" s="324"/>
      <c r="FO229" s="324"/>
      <c r="FP229" s="324"/>
      <c r="FQ229" s="324"/>
      <c r="FR229" s="47"/>
      <c r="FS229" s="47"/>
      <c r="FT229" s="47"/>
      <c r="FU229" s="47"/>
      <c r="FV229" s="47"/>
      <c r="FW229" s="47"/>
      <c r="FX229" s="47"/>
      <c r="FY229" s="259"/>
      <c r="FZ229" s="259"/>
      <c r="GA229" s="259"/>
      <c r="GB229" s="259"/>
      <c r="GC229" s="377"/>
      <c r="GD229" s="377"/>
      <c r="GE229" s="377"/>
      <c r="GF229" s="377"/>
      <c r="GG229" s="377"/>
      <c r="GH229" s="377"/>
      <c r="GI229" s="377"/>
      <c r="GJ229" s="377"/>
      <c r="GK229" s="377"/>
      <c r="GL229" s="377"/>
      <c r="GM229" s="377"/>
      <c r="GN229" s="377"/>
      <c r="GO229" s="49"/>
      <c r="GP229" s="49"/>
      <c r="GQ229" s="49"/>
      <c r="GR229" s="49"/>
      <c r="GS229" s="49"/>
      <c r="GT229" s="49"/>
      <c r="GU229" s="49"/>
      <c r="GV229" s="49"/>
      <c r="GW229" s="66"/>
      <c r="GX229" s="66"/>
      <c r="GY229" s="66"/>
      <c r="GZ229" s="66"/>
      <c r="HA229" s="66"/>
      <c r="HB229" s="66"/>
      <c r="HC229" s="66"/>
      <c r="HD229" s="66"/>
      <c r="HE229" s="66"/>
      <c r="HF229" s="66"/>
      <c r="HG229" s="66"/>
      <c r="HH229" s="66"/>
      <c r="HI229" s="66"/>
      <c r="HJ229" s="66"/>
      <c r="HK229" s="66"/>
      <c r="HL229" s="66"/>
      <c r="HM229" s="66"/>
      <c r="HN229" s="66"/>
      <c r="HO229" s="66"/>
      <c r="HP229" s="66"/>
      <c r="HQ229" s="66"/>
      <c r="HR229" s="66"/>
      <c r="HS229" s="66"/>
      <c r="HT229" s="66"/>
      <c r="HU229" s="66"/>
      <c r="HV229" s="66"/>
      <c r="HW229" s="66"/>
      <c r="HX229" s="66"/>
      <c r="HY229" s="66"/>
      <c r="HZ229" s="66"/>
      <c r="IA229" s="66"/>
    </row>
    <row r="230" spans="1:235" customFormat="1" ht="16.5" customHeight="1">
      <c r="A230" s="1"/>
      <c r="B230" s="3"/>
      <c r="C230" s="3"/>
      <c r="D230" s="124"/>
      <c r="E230" s="320"/>
      <c r="F230" s="320"/>
      <c r="G230" s="320"/>
      <c r="H230" s="320"/>
      <c r="I230" s="320"/>
      <c r="J230" s="278"/>
      <c r="K230" s="278"/>
      <c r="L230" s="278"/>
      <c r="M230" s="278"/>
      <c r="N230" s="278"/>
      <c r="O230" s="278"/>
      <c r="P230" s="278"/>
      <c r="Q230" s="278"/>
      <c r="R230" s="278"/>
      <c r="S230" s="278"/>
      <c r="T230" s="278"/>
      <c r="U230" s="278"/>
      <c r="V230" s="79"/>
      <c r="W230" s="79"/>
      <c r="X230" s="79"/>
      <c r="Y230" s="79"/>
      <c r="Z230" s="79"/>
      <c r="AA230" s="79"/>
      <c r="AB230" s="79"/>
      <c r="AC230" s="79"/>
      <c r="AD230" s="79"/>
      <c r="AE230" s="79"/>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c r="BN230" s="323"/>
      <c r="BO230" s="323"/>
      <c r="BP230" s="323"/>
      <c r="BQ230" s="323"/>
      <c r="BR230" s="323"/>
      <c r="BS230" s="323"/>
      <c r="BT230" s="323"/>
      <c r="BU230" s="323"/>
      <c r="BV230" s="323"/>
      <c r="BW230" s="323"/>
      <c r="BX230" s="323"/>
      <c r="BY230" s="323"/>
      <c r="BZ230" s="323"/>
      <c r="CA230" s="323"/>
      <c r="CB230" s="323"/>
      <c r="CC230" s="323"/>
      <c r="CD230" s="323"/>
      <c r="CE230" s="323"/>
      <c r="CF230" s="323"/>
      <c r="CG230" s="323"/>
      <c r="CH230" s="323"/>
      <c r="CI230" s="323"/>
      <c r="CJ230" s="323"/>
      <c r="CK230" s="323"/>
      <c r="CL230" s="323"/>
      <c r="CM230" s="323"/>
      <c r="CN230" s="323"/>
      <c r="CO230" s="323"/>
      <c r="CP230" s="323"/>
      <c r="CQ230" s="278"/>
      <c r="CR230" s="278"/>
      <c r="CS230" s="278"/>
      <c r="CT230" s="278"/>
      <c r="CU230" s="278"/>
      <c r="CV230" s="278"/>
      <c r="CW230" s="278"/>
      <c r="CX230" s="278"/>
      <c r="CY230" s="278"/>
      <c r="CZ230" s="278"/>
      <c r="DA230" s="278"/>
      <c r="DB230" s="278"/>
      <c r="DC230" s="278"/>
      <c r="DD230" s="278"/>
      <c r="DE230" s="278"/>
      <c r="DF230" s="278"/>
      <c r="DG230" s="278"/>
      <c r="DH230" s="278"/>
      <c r="DI230" s="278"/>
      <c r="DJ230" s="278"/>
      <c r="DK230" s="278"/>
      <c r="DL230" s="278"/>
      <c r="DM230" s="278"/>
      <c r="DN230" s="278"/>
      <c r="DO230" s="278"/>
      <c r="DP230" s="278"/>
      <c r="DQ230" s="278"/>
      <c r="DR230" s="278"/>
      <c r="DS230" s="278"/>
      <c r="DT230" s="278"/>
      <c r="DU230" s="278"/>
      <c r="DV230" s="278"/>
      <c r="DW230" s="278"/>
      <c r="DX230" s="278"/>
      <c r="DY230" s="278"/>
      <c r="DZ230" s="278"/>
      <c r="EA230" s="278"/>
      <c r="EB230" s="278"/>
      <c r="EC230" s="278"/>
      <c r="ED230" s="278"/>
      <c r="EE230" s="278"/>
      <c r="EF230" s="278"/>
      <c r="EG230" s="278"/>
      <c r="EH230" s="278"/>
      <c r="EI230" s="278"/>
      <c r="EJ230" s="278"/>
      <c r="EK230" s="278"/>
      <c r="EL230" s="278"/>
      <c r="EM230" s="278"/>
      <c r="EN230" s="278"/>
      <c r="EO230" s="278"/>
      <c r="EP230" s="278"/>
      <c r="EQ230" s="278"/>
      <c r="ER230" s="278"/>
      <c r="ES230" s="278"/>
      <c r="ET230" s="278"/>
      <c r="EU230" s="278"/>
      <c r="EV230" s="278"/>
      <c r="EW230" s="278"/>
      <c r="EX230" s="278"/>
      <c r="EY230" s="278"/>
      <c r="EZ230" s="278"/>
      <c r="FA230" s="43"/>
      <c r="FB230" s="43"/>
      <c r="FC230" s="43"/>
      <c r="FD230" s="43"/>
      <c r="FE230" s="43"/>
      <c r="FF230" s="43"/>
      <c r="FG230" s="43"/>
      <c r="FH230" s="43"/>
      <c r="FI230" s="79"/>
      <c r="FJ230" s="96"/>
      <c r="FK230" s="96"/>
      <c r="FL230" s="96"/>
      <c r="FM230" s="324"/>
      <c r="FN230" s="324"/>
      <c r="FO230" s="324"/>
      <c r="FP230" s="324"/>
      <c r="FQ230" s="324"/>
      <c r="FR230" s="47"/>
      <c r="FS230" s="47"/>
      <c r="FT230" s="47"/>
      <c r="FU230" s="47"/>
      <c r="FV230" s="47"/>
      <c r="FW230" s="47"/>
      <c r="FX230" s="47"/>
      <c r="FY230" s="259"/>
      <c r="FZ230" s="259"/>
      <c r="GA230" s="259"/>
      <c r="GB230" s="259"/>
      <c r="GC230" s="377"/>
      <c r="GD230" s="377"/>
      <c r="GE230" s="377"/>
      <c r="GF230" s="377"/>
      <c r="GG230" s="377"/>
      <c r="GH230" s="377"/>
      <c r="GI230" s="377"/>
      <c r="GJ230" s="377"/>
      <c r="GK230" s="377"/>
      <c r="GL230" s="377"/>
      <c r="GM230" s="377"/>
      <c r="GN230" s="377"/>
      <c r="GO230" s="49"/>
      <c r="GP230" s="49"/>
      <c r="GQ230" s="49"/>
      <c r="GR230" s="49"/>
      <c r="GS230" s="49"/>
      <c r="GT230" s="49"/>
      <c r="GU230" s="49"/>
      <c r="GV230" s="49"/>
      <c r="GW230" s="66"/>
      <c r="GX230" s="66"/>
      <c r="GY230" s="66"/>
      <c r="GZ230" s="66"/>
      <c r="HA230" s="66"/>
      <c r="HB230" s="66"/>
      <c r="HC230" s="66"/>
      <c r="HD230" s="66"/>
      <c r="HE230" s="66"/>
      <c r="HF230" s="66"/>
      <c r="HG230" s="66"/>
      <c r="HH230" s="66"/>
      <c r="HI230" s="66"/>
      <c r="HJ230" s="66"/>
      <c r="HK230" s="66"/>
      <c r="HL230" s="66"/>
      <c r="HM230" s="66"/>
      <c r="HN230" s="66"/>
      <c r="HO230" s="66"/>
      <c r="HP230" s="66"/>
      <c r="HQ230" s="66"/>
      <c r="HR230" s="66"/>
      <c r="HS230" s="66"/>
      <c r="HT230" s="66"/>
      <c r="HU230" s="66"/>
      <c r="HV230" s="66"/>
      <c r="HW230" s="66"/>
      <c r="HX230" s="66"/>
      <c r="HY230" s="66"/>
      <c r="HZ230" s="66"/>
      <c r="IA230" s="66"/>
    </row>
    <row r="231" spans="1:235" customFormat="1" ht="16.5" customHeight="1">
      <c r="A231" s="1"/>
      <c r="B231" s="3"/>
      <c r="C231" s="3"/>
      <c r="D231" s="124"/>
      <c r="E231" s="320"/>
      <c r="F231" s="320"/>
      <c r="G231" s="320"/>
      <c r="H231" s="320"/>
      <c r="I231" s="320"/>
      <c r="J231" s="278"/>
      <c r="K231" s="278"/>
      <c r="L231" s="278"/>
      <c r="M231" s="278"/>
      <c r="N231" s="278"/>
      <c r="O231" s="278"/>
      <c r="P231" s="278"/>
      <c r="Q231" s="278"/>
      <c r="R231" s="278"/>
      <c r="S231" s="278"/>
      <c r="T231" s="278"/>
      <c r="U231" s="278"/>
      <c r="V231" s="79"/>
      <c r="W231" s="79"/>
      <c r="X231" s="79"/>
      <c r="Y231" s="79"/>
      <c r="Z231" s="79"/>
      <c r="AA231" s="79"/>
      <c r="AB231" s="79"/>
      <c r="AC231" s="79"/>
      <c r="AD231" s="79"/>
      <c r="AE231" s="79"/>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c r="BN231" s="323"/>
      <c r="BO231" s="323"/>
      <c r="BP231" s="323"/>
      <c r="BQ231" s="323"/>
      <c r="BR231" s="323"/>
      <c r="BS231" s="323"/>
      <c r="BT231" s="323"/>
      <c r="BU231" s="323"/>
      <c r="BV231" s="323"/>
      <c r="BW231" s="323"/>
      <c r="BX231" s="323"/>
      <c r="BY231" s="323"/>
      <c r="BZ231" s="323"/>
      <c r="CA231" s="323"/>
      <c r="CB231" s="323"/>
      <c r="CC231" s="323"/>
      <c r="CD231" s="323"/>
      <c r="CE231" s="323"/>
      <c r="CF231" s="323"/>
      <c r="CG231" s="323"/>
      <c r="CH231" s="323"/>
      <c r="CI231" s="323"/>
      <c r="CJ231" s="323"/>
      <c r="CK231" s="323"/>
      <c r="CL231" s="323"/>
      <c r="CM231" s="323"/>
      <c r="CN231" s="323"/>
      <c r="CO231" s="323"/>
      <c r="CP231" s="323"/>
      <c r="CQ231" s="278"/>
      <c r="CR231" s="278"/>
      <c r="CS231" s="278"/>
      <c r="CT231" s="278"/>
      <c r="CU231" s="278"/>
      <c r="CV231" s="278"/>
      <c r="CW231" s="278"/>
      <c r="CX231" s="278"/>
      <c r="CY231" s="278"/>
      <c r="CZ231" s="278"/>
      <c r="DA231" s="278"/>
      <c r="DB231" s="278"/>
      <c r="DC231" s="278"/>
      <c r="DD231" s="278"/>
      <c r="DE231" s="278"/>
      <c r="DF231" s="278"/>
      <c r="DG231" s="278"/>
      <c r="DH231" s="278"/>
      <c r="DI231" s="278"/>
      <c r="DJ231" s="278"/>
      <c r="DK231" s="278"/>
      <c r="DL231" s="278"/>
      <c r="DM231" s="278"/>
      <c r="DN231" s="278"/>
      <c r="DO231" s="278"/>
      <c r="DP231" s="278"/>
      <c r="DQ231" s="278"/>
      <c r="DR231" s="278"/>
      <c r="DS231" s="278"/>
      <c r="DT231" s="278"/>
      <c r="DU231" s="278"/>
      <c r="DV231" s="278"/>
      <c r="DW231" s="278"/>
      <c r="DX231" s="278"/>
      <c r="DY231" s="278"/>
      <c r="DZ231" s="278"/>
      <c r="EA231" s="278"/>
      <c r="EB231" s="278"/>
      <c r="EC231" s="278"/>
      <c r="ED231" s="278"/>
      <c r="EE231" s="278"/>
      <c r="EF231" s="278"/>
      <c r="EG231" s="278"/>
      <c r="EH231" s="278"/>
      <c r="EI231" s="278"/>
      <c r="EJ231" s="278"/>
      <c r="EK231" s="278"/>
      <c r="EL231" s="278"/>
      <c r="EM231" s="278"/>
      <c r="EN231" s="278"/>
      <c r="EO231" s="278"/>
      <c r="EP231" s="278"/>
      <c r="EQ231" s="278"/>
      <c r="ER231" s="278"/>
      <c r="ES231" s="278"/>
      <c r="ET231" s="278"/>
      <c r="EU231" s="278"/>
      <c r="EV231" s="278"/>
      <c r="EW231" s="278"/>
      <c r="EX231" s="278"/>
      <c r="EY231" s="278"/>
      <c r="EZ231" s="278"/>
      <c r="FA231" s="43"/>
      <c r="FB231" s="43"/>
      <c r="FC231" s="43"/>
      <c r="FD231" s="43"/>
      <c r="FE231" s="43"/>
      <c r="FF231" s="43"/>
      <c r="FG231" s="43"/>
      <c r="FH231" s="43"/>
      <c r="FI231" s="79"/>
      <c r="FJ231" s="96"/>
      <c r="FK231" s="96"/>
      <c r="FL231" s="96"/>
      <c r="FM231" s="324"/>
      <c r="FN231" s="324"/>
      <c r="FO231" s="324"/>
      <c r="FP231" s="324"/>
      <c r="FQ231" s="324"/>
      <c r="FR231" s="47"/>
      <c r="FS231" s="47"/>
      <c r="FT231" s="47"/>
      <c r="FU231" s="47"/>
      <c r="FV231" s="47"/>
      <c r="FW231" s="47"/>
      <c r="FX231" s="47"/>
      <c r="FY231" s="259"/>
      <c r="FZ231" s="259"/>
      <c r="GA231" s="259"/>
      <c r="GB231" s="259"/>
      <c r="GC231" s="377"/>
      <c r="GD231" s="377"/>
      <c r="GE231" s="377"/>
      <c r="GF231" s="377"/>
      <c r="GG231" s="377"/>
      <c r="GH231" s="377"/>
      <c r="GI231" s="377"/>
      <c r="GJ231" s="377"/>
      <c r="GK231" s="377"/>
      <c r="GL231" s="377"/>
      <c r="GM231" s="377"/>
      <c r="GN231" s="377"/>
      <c r="GO231" s="49"/>
      <c r="GP231" s="49"/>
      <c r="GQ231" s="49"/>
      <c r="GR231" s="49"/>
      <c r="GS231" s="49"/>
      <c r="GT231" s="49"/>
      <c r="GU231" s="49"/>
      <c r="GV231" s="49"/>
      <c r="GW231" s="66"/>
      <c r="GX231" s="66"/>
      <c r="GY231" s="66"/>
      <c r="GZ231" s="66"/>
      <c r="HA231" s="66"/>
      <c r="HB231" s="66"/>
      <c r="HC231" s="66"/>
      <c r="HD231" s="66"/>
      <c r="HE231" s="66"/>
      <c r="HF231" s="66"/>
      <c r="HG231" s="66"/>
      <c r="HH231" s="66"/>
      <c r="HI231" s="66"/>
      <c r="HJ231" s="66"/>
      <c r="HK231" s="66"/>
      <c r="HL231" s="66"/>
      <c r="HM231" s="66"/>
      <c r="HN231" s="66"/>
      <c r="HO231" s="66"/>
      <c r="HP231" s="66"/>
      <c r="HQ231" s="66"/>
      <c r="HR231" s="66"/>
      <c r="HS231" s="66"/>
      <c r="HT231" s="66"/>
      <c r="HU231" s="66"/>
      <c r="HV231" s="66"/>
      <c r="HW231" s="66"/>
      <c r="HX231" s="66"/>
      <c r="HY231" s="66"/>
      <c r="HZ231" s="66"/>
      <c r="IA231" s="66"/>
    </row>
    <row r="232" spans="1:235" customFormat="1" ht="16.5" customHeight="1">
      <c r="A232" s="1"/>
      <c r="B232" s="3"/>
      <c r="C232" s="3"/>
      <c r="D232" s="124"/>
      <c r="E232" s="320"/>
      <c r="F232" s="320"/>
      <c r="G232" s="320"/>
      <c r="H232" s="320"/>
      <c r="I232" s="320"/>
      <c r="J232" s="278"/>
      <c r="K232" s="278"/>
      <c r="L232" s="278"/>
      <c r="M232" s="278"/>
      <c r="N232" s="278"/>
      <c r="O232" s="278"/>
      <c r="P232" s="278"/>
      <c r="Q232" s="278"/>
      <c r="R232" s="278"/>
      <c r="S232" s="278"/>
      <c r="T232" s="278"/>
      <c r="U232" s="278"/>
      <c r="V232" s="79"/>
      <c r="W232" s="79"/>
      <c r="X232" s="79"/>
      <c r="Y232" s="79"/>
      <c r="Z232" s="79"/>
      <c r="AA232" s="79"/>
      <c r="AB232" s="79"/>
      <c r="AC232" s="79"/>
      <c r="AD232" s="79"/>
      <c r="AE232" s="79"/>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323"/>
      <c r="CQ232" s="278"/>
      <c r="CR232" s="278"/>
      <c r="CS232" s="278"/>
      <c r="CT232" s="278"/>
      <c r="CU232" s="278"/>
      <c r="CV232" s="278"/>
      <c r="CW232" s="278"/>
      <c r="CX232" s="278"/>
      <c r="CY232" s="278"/>
      <c r="CZ232" s="278"/>
      <c r="DA232" s="278"/>
      <c r="DB232" s="278"/>
      <c r="DC232" s="278"/>
      <c r="DD232" s="278"/>
      <c r="DE232" s="278"/>
      <c r="DF232" s="278"/>
      <c r="DG232" s="278"/>
      <c r="DH232" s="278"/>
      <c r="DI232" s="278"/>
      <c r="DJ232" s="278"/>
      <c r="DK232" s="278"/>
      <c r="DL232" s="278"/>
      <c r="DM232" s="278"/>
      <c r="DN232" s="278"/>
      <c r="DO232" s="278"/>
      <c r="DP232" s="278"/>
      <c r="DQ232" s="278"/>
      <c r="DR232" s="278"/>
      <c r="DS232" s="278"/>
      <c r="DT232" s="278"/>
      <c r="DU232" s="278"/>
      <c r="DV232" s="278"/>
      <c r="DW232" s="278"/>
      <c r="DX232" s="278"/>
      <c r="DY232" s="278"/>
      <c r="DZ232" s="278"/>
      <c r="EA232" s="278"/>
      <c r="EB232" s="278"/>
      <c r="EC232" s="278"/>
      <c r="ED232" s="278"/>
      <c r="EE232" s="278"/>
      <c r="EF232" s="278"/>
      <c r="EG232" s="278"/>
      <c r="EH232" s="278"/>
      <c r="EI232" s="278"/>
      <c r="EJ232" s="278"/>
      <c r="EK232" s="278"/>
      <c r="EL232" s="278"/>
      <c r="EM232" s="278"/>
      <c r="EN232" s="278"/>
      <c r="EO232" s="278"/>
      <c r="EP232" s="278"/>
      <c r="EQ232" s="278"/>
      <c r="ER232" s="278"/>
      <c r="ES232" s="278"/>
      <c r="ET232" s="278"/>
      <c r="EU232" s="278"/>
      <c r="EV232" s="278"/>
      <c r="EW232" s="278"/>
      <c r="EX232" s="278"/>
      <c r="EY232" s="278"/>
      <c r="EZ232" s="278"/>
      <c r="FA232" s="43"/>
      <c r="FB232" s="43"/>
      <c r="FC232" s="43"/>
      <c r="FD232" s="43"/>
      <c r="FE232" s="43"/>
      <c r="FF232" s="43"/>
      <c r="FG232" s="43"/>
      <c r="FH232" s="43"/>
      <c r="FI232" s="79"/>
      <c r="FJ232" s="96"/>
      <c r="FK232" s="96"/>
      <c r="FL232" s="96"/>
      <c r="FM232" s="324"/>
      <c r="FN232" s="324"/>
      <c r="FO232" s="324"/>
      <c r="FP232" s="324"/>
      <c r="FQ232" s="324"/>
      <c r="FR232" s="47"/>
      <c r="FS232" s="47"/>
      <c r="FT232" s="47"/>
      <c r="FU232" s="47"/>
      <c r="FV232" s="47"/>
      <c r="FW232" s="47"/>
      <c r="FX232" s="47"/>
      <c r="FY232" s="259"/>
      <c r="FZ232" s="259"/>
      <c r="GA232" s="259"/>
      <c r="GB232" s="259"/>
      <c r="GC232" s="377"/>
      <c r="GD232" s="377"/>
      <c r="GE232" s="377"/>
      <c r="GF232" s="377"/>
      <c r="GG232" s="377"/>
      <c r="GH232" s="377"/>
      <c r="GI232" s="377"/>
      <c r="GJ232" s="377"/>
      <c r="GK232" s="377"/>
      <c r="GL232" s="377"/>
      <c r="GM232" s="377"/>
      <c r="GN232" s="377"/>
      <c r="GO232" s="49"/>
      <c r="GP232" s="49"/>
      <c r="GQ232" s="49"/>
      <c r="GR232" s="49"/>
      <c r="GS232" s="49"/>
      <c r="GT232" s="49"/>
      <c r="GU232" s="49"/>
      <c r="GV232" s="49"/>
      <c r="GW232" s="66"/>
      <c r="GX232" s="66"/>
      <c r="GY232" s="66"/>
      <c r="GZ232" s="66"/>
      <c r="HA232" s="66"/>
      <c r="HB232" s="66"/>
      <c r="HC232" s="66"/>
      <c r="HD232" s="66"/>
      <c r="HE232" s="66"/>
      <c r="HF232" s="66"/>
      <c r="HG232" s="66"/>
      <c r="HH232" s="66"/>
      <c r="HI232" s="66"/>
      <c r="HJ232" s="66"/>
      <c r="HK232" s="66"/>
      <c r="HL232" s="66"/>
      <c r="HM232" s="66"/>
      <c r="HN232" s="66"/>
      <c r="HO232" s="66"/>
      <c r="HP232" s="66"/>
      <c r="HQ232" s="66"/>
      <c r="HR232" s="66"/>
      <c r="HS232" s="66"/>
      <c r="HT232" s="66"/>
      <c r="HU232" s="66"/>
      <c r="HV232" s="66"/>
      <c r="HW232" s="66"/>
      <c r="HX232" s="66"/>
      <c r="HY232" s="66"/>
      <c r="HZ232" s="66"/>
      <c r="IA232" s="66"/>
    </row>
    <row r="233" spans="1:235" customFormat="1" ht="16.5" customHeight="1">
      <c r="A233" s="1"/>
      <c r="B233" s="3"/>
      <c r="C233" s="3"/>
      <c r="D233" s="124"/>
      <c r="E233" s="320"/>
      <c r="F233" s="320"/>
      <c r="G233" s="320"/>
      <c r="H233" s="320"/>
      <c r="I233" s="320"/>
      <c r="J233" s="278"/>
      <c r="K233" s="278"/>
      <c r="L233" s="278"/>
      <c r="M233" s="278"/>
      <c r="N233" s="278"/>
      <c r="O233" s="278"/>
      <c r="P233" s="278"/>
      <c r="Q233" s="278"/>
      <c r="R233" s="278"/>
      <c r="S233" s="278"/>
      <c r="T233" s="278"/>
      <c r="U233" s="278"/>
      <c r="V233" s="79"/>
      <c r="W233" s="79"/>
      <c r="X233" s="79"/>
      <c r="Y233" s="79"/>
      <c r="Z233" s="79"/>
      <c r="AA233" s="79"/>
      <c r="AB233" s="79"/>
      <c r="AC233" s="79"/>
      <c r="AD233" s="79"/>
      <c r="AE233" s="79"/>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c r="BN233" s="323"/>
      <c r="BO233" s="323"/>
      <c r="BP233" s="323"/>
      <c r="BQ233" s="323"/>
      <c r="BR233" s="323"/>
      <c r="BS233" s="323"/>
      <c r="BT233" s="323"/>
      <c r="BU233" s="323"/>
      <c r="BV233" s="323"/>
      <c r="BW233" s="323"/>
      <c r="BX233" s="323"/>
      <c r="BY233" s="323"/>
      <c r="BZ233" s="323"/>
      <c r="CA233" s="323"/>
      <c r="CB233" s="323"/>
      <c r="CC233" s="323"/>
      <c r="CD233" s="323"/>
      <c r="CE233" s="323"/>
      <c r="CF233" s="323"/>
      <c r="CG233" s="323"/>
      <c r="CH233" s="323"/>
      <c r="CI233" s="323"/>
      <c r="CJ233" s="323"/>
      <c r="CK233" s="323"/>
      <c r="CL233" s="323"/>
      <c r="CM233" s="323"/>
      <c r="CN233" s="323"/>
      <c r="CO233" s="323"/>
      <c r="CP233" s="323"/>
      <c r="CQ233" s="278"/>
      <c r="CR233" s="278"/>
      <c r="CS233" s="278"/>
      <c r="CT233" s="278"/>
      <c r="CU233" s="278"/>
      <c r="CV233" s="278"/>
      <c r="CW233" s="278"/>
      <c r="CX233" s="278"/>
      <c r="CY233" s="278"/>
      <c r="CZ233" s="278"/>
      <c r="DA233" s="278"/>
      <c r="DB233" s="278"/>
      <c r="DC233" s="278"/>
      <c r="DD233" s="278"/>
      <c r="DE233" s="278"/>
      <c r="DF233" s="278"/>
      <c r="DG233" s="278"/>
      <c r="DH233" s="278"/>
      <c r="DI233" s="278"/>
      <c r="DJ233" s="278"/>
      <c r="DK233" s="278"/>
      <c r="DL233" s="278"/>
      <c r="DM233" s="278"/>
      <c r="DN233" s="278"/>
      <c r="DO233" s="278"/>
      <c r="DP233" s="278"/>
      <c r="DQ233" s="278"/>
      <c r="DR233" s="278"/>
      <c r="DS233" s="278"/>
      <c r="DT233" s="278"/>
      <c r="DU233" s="278"/>
      <c r="DV233" s="278"/>
      <c r="DW233" s="278"/>
      <c r="DX233" s="278"/>
      <c r="DY233" s="278"/>
      <c r="DZ233" s="278"/>
      <c r="EA233" s="278"/>
      <c r="EB233" s="278"/>
      <c r="EC233" s="278"/>
      <c r="ED233" s="278"/>
      <c r="EE233" s="278"/>
      <c r="EF233" s="278"/>
      <c r="EG233" s="278"/>
      <c r="EH233" s="278"/>
      <c r="EI233" s="278"/>
      <c r="EJ233" s="278"/>
      <c r="EK233" s="278"/>
      <c r="EL233" s="278"/>
      <c r="EM233" s="278"/>
      <c r="EN233" s="278"/>
      <c r="EO233" s="278"/>
      <c r="EP233" s="278"/>
      <c r="EQ233" s="278"/>
      <c r="ER233" s="278"/>
      <c r="ES233" s="278"/>
      <c r="ET233" s="278"/>
      <c r="EU233" s="278"/>
      <c r="EV233" s="278"/>
      <c r="EW233" s="278"/>
      <c r="EX233" s="278"/>
      <c r="EY233" s="278"/>
      <c r="EZ233" s="278"/>
      <c r="FA233" s="43"/>
      <c r="FB233" s="43"/>
      <c r="FC233" s="43"/>
      <c r="FD233" s="43"/>
      <c r="FE233" s="43"/>
      <c r="FF233" s="43"/>
      <c r="FG233" s="43"/>
      <c r="FH233" s="43"/>
      <c r="FI233" s="79"/>
      <c r="FJ233" s="96"/>
      <c r="FK233" s="96"/>
      <c r="FL233" s="96"/>
      <c r="FM233" s="324"/>
      <c r="FN233" s="324"/>
      <c r="FO233" s="324"/>
      <c r="FP233" s="324"/>
      <c r="FQ233" s="324"/>
      <c r="FR233" s="47"/>
      <c r="FS233" s="47"/>
      <c r="FT233" s="47"/>
      <c r="FU233" s="47"/>
      <c r="FV233" s="47"/>
      <c r="FW233" s="47"/>
      <c r="FX233" s="47"/>
      <c r="FY233" s="259"/>
      <c r="FZ233" s="259"/>
      <c r="GA233" s="259"/>
      <c r="GB233" s="259"/>
      <c r="GC233" s="377"/>
      <c r="GD233" s="377"/>
      <c r="GE233" s="377"/>
      <c r="GF233" s="377"/>
      <c r="GG233" s="377"/>
      <c r="GH233" s="377"/>
      <c r="GI233" s="377"/>
      <c r="GJ233" s="377"/>
      <c r="GK233" s="377"/>
      <c r="GL233" s="377"/>
      <c r="GM233" s="377"/>
      <c r="GN233" s="377"/>
      <c r="GO233" s="49"/>
      <c r="GP233" s="49"/>
      <c r="GQ233" s="49"/>
      <c r="GR233" s="49"/>
      <c r="GS233" s="49"/>
      <c r="GT233" s="49"/>
      <c r="GU233" s="49"/>
      <c r="GV233" s="49"/>
      <c r="GW233" s="66"/>
      <c r="GX233" s="66"/>
      <c r="GY233" s="66"/>
      <c r="GZ233" s="66"/>
      <c r="HA233" s="66"/>
      <c r="HB233" s="66"/>
      <c r="HC233" s="66"/>
      <c r="HD233" s="66"/>
      <c r="HE233" s="66"/>
      <c r="HF233" s="66"/>
      <c r="HG233" s="66"/>
      <c r="HH233" s="66"/>
      <c r="HI233" s="66"/>
      <c r="HJ233" s="66"/>
      <c r="HK233" s="66"/>
      <c r="HL233" s="66"/>
      <c r="HM233" s="66"/>
      <c r="HN233" s="66"/>
      <c r="HO233" s="66"/>
      <c r="HP233" s="66"/>
      <c r="HQ233" s="66"/>
      <c r="HR233" s="66"/>
      <c r="HS233" s="66"/>
      <c r="HT233" s="66"/>
      <c r="HU233" s="66"/>
      <c r="HV233" s="66"/>
      <c r="HW233" s="66"/>
      <c r="HX233" s="66"/>
      <c r="HY233" s="66"/>
      <c r="HZ233" s="66"/>
      <c r="IA233" s="66"/>
    </row>
    <row r="234" spans="1:235" customFormat="1" ht="16.5" customHeight="1">
      <c r="A234" s="1"/>
      <c r="B234" s="3"/>
      <c r="C234" s="3"/>
      <c r="D234" s="124"/>
      <c r="E234" s="320"/>
      <c r="F234" s="320"/>
      <c r="G234" s="320"/>
      <c r="H234" s="320"/>
      <c r="I234" s="320"/>
      <c r="J234" s="278"/>
      <c r="K234" s="278"/>
      <c r="L234" s="278"/>
      <c r="M234" s="278"/>
      <c r="N234" s="278"/>
      <c r="O234" s="278"/>
      <c r="P234" s="278"/>
      <c r="Q234" s="278"/>
      <c r="R234" s="278"/>
      <c r="S234" s="278"/>
      <c r="T234" s="278"/>
      <c r="U234" s="278"/>
      <c r="V234" s="79"/>
      <c r="W234" s="79"/>
      <c r="X234" s="79"/>
      <c r="Y234" s="79"/>
      <c r="Z234" s="79"/>
      <c r="AA234" s="79"/>
      <c r="AB234" s="79"/>
      <c r="AC234" s="79"/>
      <c r="AD234" s="79"/>
      <c r="AE234" s="79"/>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c r="BN234" s="323"/>
      <c r="BO234" s="323"/>
      <c r="BP234" s="323"/>
      <c r="BQ234" s="323"/>
      <c r="BR234" s="323"/>
      <c r="BS234" s="323"/>
      <c r="BT234" s="323"/>
      <c r="BU234" s="323"/>
      <c r="BV234" s="323"/>
      <c r="BW234" s="323"/>
      <c r="BX234" s="323"/>
      <c r="BY234" s="323"/>
      <c r="BZ234" s="323"/>
      <c r="CA234" s="323"/>
      <c r="CB234" s="323"/>
      <c r="CC234" s="323"/>
      <c r="CD234" s="323"/>
      <c r="CE234" s="323"/>
      <c r="CF234" s="323"/>
      <c r="CG234" s="323"/>
      <c r="CH234" s="323"/>
      <c r="CI234" s="323"/>
      <c r="CJ234" s="323"/>
      <c r="CK234" s="323"/>
      <c r="CL234" s="323"/>
      <c r="CM234" s="323"/>
      <c r="CN234" s="323"/>
      <c r="CO234" s="323"/>
      <c r="CP234" s="323"/>
      <c r="CQ234" s="278"/>
      <c r="CR234" s="278"/>
      <c r="CS234" s="278"/>
      <c r="CT234" s="278"/>
      <c r="CU234" s="278"/>
      <c r="CV234" s="278"/>
      <c r="CW234" s="278"/>
      <c r="CX234" s="278"/>
      <c r="CY234" s="278"/>
      <c r="CZ234" s="278"/>
      <c r="DA234" s="278"/>
      <c r="DB234" s="278"/>
      <c r="DC234" s="278"/>
      <c r="DD234" s="278"/>
      <c r="DE234" s="278"/>
      <c r="DF234" s="278"/>
      <c r="DG234" s="278"/>
      <c r="DH234" s="278"/>
      <c r="DI234" s="278"/>
      <c r="DJ234" s="278"/>
      <c r="DK234" s="278"/>
      <c r="DL234" s="278"/>
      <c r="DM234" s="278"/>
      <c r="DN234" s="278"/>
      <c r="DO234" s="278"/>
      <c r="DP234" s="278"/>
      <c r="DQ234" s="278"/>
      <c r="DR234" s="278"/>
      <c r="DS234" s="278"/>
      <c r="DT234" s="278"/>
      <c r="DU234" s="278"/>
      <c r="DV234" s="278"/>
      <c r="DW234" s="278"/>
      <c r="DX234" s="278"/>
      <c r="DY234" s="278"/>
      <c r="DZ234" s="278"/>
      <c r="EA234" s="278"/>
      <c r="EB234" s="278"/>
      <c r="EC234" s="278"/>
      <c r="ED234" s="278"/>
      <c r="EE234" s="278"/>
      <c r="EF234" s="278"/>
      <c r="EG234" s="278"/>
      <c r="EH234" s="278"/>
      <c r="EI234" s="278"/>
      <c r="EJ234" s="278"/>
      <c r="EK234" s="278"/>
      <c r="EL234" s="278"/>
      <c r="EM234" s="278"/>
      <c r="EN234" s="278"/>
      <c r="EO234" s="278"/>
      <c r="EP234" s="278"/>
      <c r="EQ234" s="278"/>
      <c r="ER234" s="278"/>
      <c r="ES234" s="278"/>
      <c r="ET234" s="278"/>
      <c r="EU234" s="278"/>
      <c r="EV234" s="278"/>
      <c r="EW234" s="278"/>
      <c r="EX234" s="278"/>
      <c r="EY234" s="278"/>
      <c r="EZ234" s="278"/>
      <c r="FA234" s="43"/>
      <c r="FB234" s="43"/>
      <c r="FC234" s="43"/>
      <c r="FD234" s="43"/>
      <c r="FE234" s="43"/>
      <c r="FF234" s="43"/>
      <c r="FG234" s="43"/>
      <c r="FH234" s="43"/>
      <c r="FI234" s="79"/>
      <c r="FJ234" s="96"/>
      <c r="FK234" s="96"/>
      <c r="FL234" s="96"/>
      <c r="FM234" s="324"/>
      <c r="FN234" s="324"/>
      <c r="FO234" s="324"/>
      <c r="FP234" s="324"/>
      <c r="FQ234" s="324"/>
      <c r="FR234" s="47"/>
      <c r="FS234" s="47"/>
      <c r="FT234" s="47"/>
      <c r="FU234" s="47"/>
      <c r="FV234" s="47"/>
      <c r="FW234" s="47"/>
      <c r="FX234" s="47"/>
      <c r="FY234" s="259"/>
      <c r="FZ234" s="259"/>
      <c r="GA234" s="259"/>
      <c r="GB234" s="259"/>
      <c r="GC234" s="377"/>
      <c r="GD234" s="377"/>
      <c r="GE234" s="377"/>
      <c r="GF234" s="377"/>
      <c r="GG234" s="377"/>
      <c r="GH234" s="377"/>
      <c r="GI234" s="377"/>
      <c r="GJ234" s="377"/>
      <c r="GK234" s="377"/>
      <c r="GL234" s="377"/>
      <c r="GM234" s="377"/>
      <c r="GN234" s="377"/>
      <c r="GO234" s="49"/>
      <c r="GP234" s="49"/>
      <c r="GQ234" s="49"/>
      <c r="GR234" s="49"/>
      <c r="GS234" s="49"/>
      <c r="GT234" s="49"/>
      <c r="GU234" s="49"/>
      <c r="GV234" s="49"/>
      <c r="GW234" s="66"/>
      <c r="GX234" s="66"/>
      <c r="GY234" s="66"/>
      <c r="GZ234" s="66"/>
      <c r="HA234" s="66"/>
      <c r="HB234" s="66"/>
      <c r="HC234" s="66"/>
      <c r="HD234" s="66"/>
      <c r="HE234" s="66"/>
      <c r="HF234" s="66"/>
      <c r="HG234" s="66"/>
      <c r="HH234" s="66"/>
      <c r="HI234" s="66"/>
      <c r="HJ234" s="66"/>
      <c r="HK234" s="66"/>
      <c r="HL234" s="66"/>
      <c r="HM234" s="66"/>
      <c r="HN234" s="66"/>
      <c r="HO234" s="66"/>
      <c r="HP234" s="66"/>
      <c r="HQ234" s="66"/>
      <c r="HR234" s="66"/>
      <c r="HS234" s="66"/>
      <c r="HT234" s="66"/>
      <c r="HU234" s="66"/>
      <c r="HV234" s="66"/>
      <c r="HW234" s="66"/>
      <c r="HX234" s="66"/>
      <c r="HY234" s="66"/>
      <c r="HZ234" s="66"/>
      <c r="IA234" s="66"/>
    </row>
    <row r="235" spans="1:235" customFormat="1" ht="16.5" customHeight="1">
      <c r="A235" s="1"/>
      <c r="B235" s="3"/>
      <c r="C235" s="3"/>
      <c r="D235" s="124"/>
      <c r="E235" s="320"/>
      <c r="F235" s="320"/>
      <c r="G235" s="320"/>
      <c r="H235" s="320"/>
      <c r="I235" s="320"/>
      <c r="J235" s="278"/>
      <c r="K235" s="278"/>
      <c r="L235" s="278"/>
      <c r="M235" s="278"/>
      <c r="N235" s="278"/>
      <c r="O235" s="278"/>
      <c r="P235" s="278"/>
      <c r="Q235" s="278"/>
      <c r="R235" s="278"/>
      <c r="S235" s="278"/>
      <c r="T235" s="278"/>
      <c r="U235" s="278"/>
      <c r="V235" s="79"/>
      <c r="W235" s="79"/>
      <c r="X235" s="79"/>
      <c r="Y235" s="79"/>
      <c r="Z235" s="79"/>
      <c r="AA235" s="79"/>
      <c r="AB235" s="79"/>
      <c r="AC235" s="79"/>
      <c r="AD235" s="79"/>
      <c r="AE235" s="79"/>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323"/>
      <c r="CE235" s="323"/>
      <c r="CF235" s="323"/>
      <c r="CG235" s="323"/>
      <c r="CH235" s="323"/>
      <c r="CI235" s="323"/>
      <c r="CJ235" s="323"/>
      <c r="CK235" s="323"/>
      <c r="CL235" s="323"/>
      <c r="CM235" s="323"/>
      <c r="CN235" s="323"/>
      <c r="CO235" s="323"/>
      <c r="CP235" s="323"/>
      <c r="CQ235" s="278"/>
      <c r="CR235" s="278"/>
      <c r="CS235" s="278"/>
      <c r="CT235" s="278"/>
      <c r="CU235" s="278"/>
      <c r="CV235" s="278"/>
      <c r="CW235" s="278"/>
      <c r="CX235" s="278"/>
      <c r="CY235" s="278"/>
      <c r="CZ235" s="278"/>
      <c r="DA235" s="278"/>
      <c r="DB235" s="278"/>
      <c r="DC235" s="278"/>
      <c r="DD235" s="278"/>
      <c r="DE235" s="278"/>
      <c r="DF235" s="278"/>
      <c r="DG235" s="278"/>
      <c r="DH235" s="278"/>
      <c r="DI235" s="278"/>
      <c r="DJ235" s="278"/>
      <c r="DK235" s="278"/>
      <c r="DL235" s="278"/>
      <c r="DM235" s="278"/>
      <c r="DN235" s="278"/>
      <c r="DO235" s="278"/>
      <c r="DP235" s="278"/>
      <c r="DQ235" s="278"/>
      <c r="DR235" s="278"/>
      <c r="DS235" s="278"/>
      <c r="DT235" s="278"/>
      <c r="DU235" s="278"/>
      <c r="DV235" s="278"/>
      <c r="DW235" s="278"/>
      <c r="DX235" s="278"/>
      <c r="DY235" s="278"/>
      <c r="DZ235" s="278"/>
      <c r="EA235" s="278"/>
      <c r="EB235" s="278"/>
      <c r="EC235" s="278"/>
      <c r="ED235" s="278"/>
      <c r="EE235" s="278"/>
      <c r="EF235" s="278"/>
      <c r="EG235" s="278"/>
      <c r="EH235" s="278"/>
      <c r="EI235" s="278"/>
      <c r="EJ235" s="278"/>
      <c r="EK235" s="278"/>
      <c r="EL235" s="278"/>
      <c r="EM235" s="278"/>
      <c r="EN235" s="278"/>
      <c r="EO235" s="278"/>
      <c r="EP235" s="278"/>
      <c r="EQ235" s="278"/>
      <c r="ER235" s="278"/>
      <c r="ES235" s="278"/>
      <c r="ET235" s="278"/>
      <c r="EU235" s="278"/>
      <c r="EV235" s="278"/>
      <c r="EW235" s="278"/>
      <c r="EX235" s="278"/>
      <c r="EY235" s="278"/>
      <c r="EZ235" s="278"/>
      <c r="FA235" s="43"/>
      <c r="FB235" s="43"/>
      <c r="FC235" s="43"/>
      <c r="FD235" s="43"/>
      <c r="FE235" s="43"/>
      <c r="FF235" s="43"/>
      <c r="FG235" s="43"/>
      <c r="FH235" s="43"/>
      <c r="FI235" s="79"/>
      <c r="FJ235" s="96"/>
      <c r="FK235" s="96"/>
      <c r="FL235" s="96"/>
      <c r="FM235" s="324"/>
      <c r="FN235" s="324"/>
      <c r="FO235" s="324"/>
      <c r="FP235" s="324"/>
      <c r="FQ235" s="324"/>
      <c r="FR235" s="47"/>
      <c r="FS235" s="47"/>
      <c r="FT235" s="47"/>
      <c r="FU235" s="47"/>
      <c r="FV235" s="47"/>
      <c r="FW235" s="47"/>
      <c r="FX235" s="47"/>
      <c r="FY235" s="259"/>
      <c r="FZ235" s="259"/>
      <c r="GA235" s="259"/>
      <c r="GB235" s="259"/>
      <c r="GC235" s="377"/>
      <c r="GD235" s="377"/>
      <c r="GE235" s="377"/>
      <c r="GF235" s="377"/>
      <c r="GG235" s="377"/>
      <c r="GH235" s="377"/>
      <c r="GI235" s="377"/>
      <c r="GJ235" s="377"/>
      <c r="GK235" s="377"/>
      <c r="GL235" s="377"/>
      <c r="GM235" s="377"/>
      <c r="GN235" s="377"/>
      <c r="GO235" s="49"/>
      <c r="GP235" s="49"/>
      <c r="GQ235" s="49"/>
      <c r="GR235" s="49"/>
      <c r="GS235" s="49"/>
      <c r="GT235" s="49"/>
      <c r="GU235" s="49"/>
      <c r="GV235" s="49"/>
      <c r="GW235" s="66"/>
      <c r="GX235" s="66"/>
      <c r="GY235" s="66"/>
      <c r="GZ235" s="66"/>
      <c r="HA235" s="66"/>
      <c r="HB235" s="66"/>
      <c r="HC235" s="66"/>
      <c r="HD235" s="66"/>
      <c r="HE235" s="66"/>
      <c r="HF235" s="66"/>
      <c r="HG235" s="66"/>
      <c r="HH235" s="66"/>
      <c r="HI235" s="66"/>
      <c r="HJ235" s="66"/>
      <c r="HK235" s="66"/>
      <c r="HL235" s="66"/>
      <c r="HM235" s="66"/>
      <c r="HN235" s="66"/>
      <c r="HO235" s="66"/>
      <c r="HP235" s="66"/>
      <c r="HQ235" s="66"/>
      <c r="HR235" s="66"/>
      <c r="HS235" s="66"/>
      <c r="HT235" s="66"/>
      <c r="HU235" s="66"/>
      <c r="HV235" s="66"/>
      <c r="HW235" s="66"/>
      <c r="HX235" s="66"/>
      <c r="HY235" s="66"/>
      <c r="HZ235" s="66"/>
      <c r="IA235" s="66"/>
    </row>
    <row r="236" spans="1:235" customFormat="1" ht="16.5" customHeight="1">
      <c r="A236" s="1"/>
      <c r="B236" s="3"/>
      <c r="C236" s="3"/>
      <c r="D236" s="124"/>
      <c r="E236" s="320"/>
      <c r="F236" s="320"/>
      <c r="G236" s="320"/>
      <c r="H236" s="320"/>
      <c r="I236" s="320"/>
      <c r="J236" s="278"/>
      <c r="K236" s="278"/>
      <c r="L236" s="278"/>
      <c r="M236" s="278"/>
      <c r="N236" s="278"/>
      <c r="O236" s="278"/>
      <c r="P236" s="278"/>
      <c r="Q236" s="278"/>
      <c r="R236" s="278"/>
      <c r="S236" s="278"/>
      <c r="T236" s="278"/>
      <c r="U236" s="278"/>
      <c r="V236" s="79"/>
      <c r="W236" s="79"/>
      <c r="X236" s="79"/>
      <c r="Y236" s="79"/>
      <c r="Z236" s="79"/>
      <c r="AA236" s="79"/>
      <c r="AB236" s="79"/>
      <c r="AC236" s="79"/>
      <c r="AD236" s="79"/>
      <c r="AE236" s="79"/>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c r="BN236" s="323"/>
      <c r="BO236" s="323"/>
      <c r="BP236" s="323"/>
      <c r="BQ236" s="323"/>
      <c r="BR236" s="323"/>
      <c r="BS236" s="323"/>
      <c r="BT236" s="323"/>
      <c r="BU236" s="323"/>
      <c r="BV236" s="323"/>
      <c r="BW236" s="323"/>
      <c r="BX236" s="323"/>
      <c r="BY236" s="323"/>
      <c r="BZ236" s="323"/>
      <c r="CA236" s="323"/>
      <c r="CB236" s="323"/>
      <c r="CC236" s="323"/>
      <c r="CD236" s="323"/>
      <c r="CE236" s="323"/>
      <c r="CF236" s="323"/>
      <c r="CG236" s="323"/>
      <c r="CH236" s="323"/>
      <c r="CI236" s="323"/>
      <c r="CJ236" s="323"/>
      <c r="CK236" s="323"/>
      <c r="CL236" s="323"/>
      <c r="CM236" s="323"/>
      <c r="CN236" s="323"/>
      <c r="CO236" s="323"/>
      <c r="CP236" s="323"/>
      <c r="CQ236" s="278"/>
      <c r="CR236" s="278"/>
      <c r="CS236" s="278"/>
      <c r="CT236" s="278"/>
      <c r="CU236" s="278"/>
      <c r="CV236" s="278"/>
      <c r="CW236" s="278"/>
      <c r="CX236" s="278"/>
      <c r="CY236" s="278"/>
      <c r="CZ236" s="278"/>
      <c r="DA236" s="278"/>
      <c r="DB236" s="278"/>
      <c r="DC236" s="278"/>
      <c r="DD236" s="278"/>
      <c r="DE236" s="278"/>
      <c r="DF236" s="278"/>
      <c r="DG236" s="278"/>
      <c r="DH236" s="278"/>
      <c r="DI236" s="278"/>
      <c r="DJ236" s="278"/>
      <c r="DK236" s="278"/>
      <c r="DL236" s="278"/>
      <c r="DM236" s="278"/>
      <c r="DN236" s="278"/>
      <c r="DO236" s="278"/>
      <c r="DP236" s="278"/>
      <c r="DQ236" s="278"/>
      <c r="DR236" s="278"/>
      <c r="DS236" s="278"/>
      <c r="DT236" s="278"/>
      <c r="DU236" s="278"/>
      <c r="DV236" s="278"/>
      <c r="DW236" s="278"/>
      <c r="DX236" s="278"/>
      <c r="DY236" s="278"/>
      <c r="DZ236" s="278"/>
      <c r="EA236" s="278"/>
      <c r="EB236" s="278"/>
      <c r="EC236" s="278"/>
      <c r="ED236" s="278"/>
      <c r="EE236" s="278"/>
      <c r="EF236" s="278"/>
      <c r="EG236" s="278"/>
      <c r="EH236" s="278"/>
      <c r="EI236" s="278"/>
      <c r="EJ236" s="278"/>
      <c r="EK236" s="278"/>
      <c r="EL236" s="278"/>
      <c r="EM236" s="278"/>
      <c r="EN236" s="278"/>
      <c r="EO236" s="278"/>
      <c r="EP236" s="278"/>
      <c r="EQ236" s="278"/>
      <c r="ER236" s="278"/>
      <c r="ES236" s="278"/>
      <c r="ET236" s="278"/>
      <c r="EU236" s="278"/>
      <c r="EV236" s="278"/>
      <c r="EW236" s="278"/>
      <c r="EX236" s="278"/>
      <c r="EY236" s="278"/>
      <c r="EZ236" s="278"/>
      <c r="FA236" s="43"/>
      <c r="FB236" s="43"/>
      <c r="FC236" s="43"/>
      <c r="FD236" s="43"/>
      <c r="FE236" s="43"/>
      <c r="FF236" s="43"/>
      <c r="FG236" s="43"/>
      <c r="FH236" s="43"/>
      <c r="FI236" s="79"/>
      <c r="FJ236" s="96"/>
      <c r="FK236" s="96"/>
      <c r="FL236" s="96"/>
      <c r="FM236" s="324"/>
      <c r="FN236" s="324"/>
      <c r="FO236" s="324"/>
      <c r="FP236" s="324"/>
      <c r="FQ236" s="324"/>
      <c r="FR236" s="47"/>
      <c r="FS236" s="47"/>
      <c r="FT236" s="47"/>
      <c r="FU236" s="47"/>
      <c r="FV236" s="47"/>
      <c r="FW236" s="47"/>
      <c r="FX236" s="47"/>
      <c r="FY236" s="259"/>
      <c r="FZ236" s="259"/>
      <c r="GA236" s="259"/>
      <c r="GB236" s="259"/>
      <c r="GC236" s="49"/>
      <c r="GD236" s="49"/>
      <c r="GE236" s="49"/>
      <c r="GF236" s="49"/>
      <c r="GG236" s="49"/>
      <c r="GH236" s="49"/>
      <c r="GI236" s="49"/>
      <c r="GJ236" s="49"/>
      <c r="GK236" s="49"/>
      <c r="GL236" s="49"/>
      <c r="GM236" s="49"/>
      <c r="GN236" s="49"/>
      <c r="GO236" s="49"/>
      <c r="GP236" s="49"/>
      <c r="GQ236" s="49"/>
      <c r="GR236" s="49"/>
      <c r="GS236" s="49"/>
      <c r="GT236" s="49"/>
      <c r="GU236" s="49"/>
      <c r="GV236" s="49"/>
      <c r="GW236" s="66"/>
      <c r="GX236" s="66"/>
      <c r="GY236" s="66"/>
      <c r="GZ236" s="66"/>
      <c r="HA236" s="66"/>
      <c r="HB236" s="66"/>
      <c r="HC236" s="66"/>
      <c r="HD236" s="66"/>
      <c r="HE236" s="66"/>
      <c r="HF236" s="66"/>
      <c r="HG236" s="66"/>
      <c r="HH236" s="66"/>
      <c r="HI236" s="66"/>
      <c r="HJ236" s="66"/>
      <c r="HK236" s="66"/>
      <c r="HL236" s="66"/>
      <c r="HM236" s="66"/>
      <c r="HN236" s="66"/>
      <c r="HO236" s="66"/>
      <c r="HP236" s="66"/>
      <c r="HQ236" s="66"/>
      <c r="HR236" s="66"/>
      <c r="HS236" s="66"/>
      <c r="HT236" s="66"/>
      <c r="HU236" s="66"/>
      <c r="HV236" s="66"/>
      <c r="HW236" s="66"/>
      <c r="HX236" s="66"/>
      <c r="HY236" s="66"/>
      <c r="HZ236" s="66"/>
      <c r="IA236" s="66"/>
    </row>
    <row r="237" spans="1:235" customFormat="1" ht="16.5" customHeight="1">
      <c r="A237" s="1"/>
      <c r="B237" s="3"/>
      <c r="C237" s="3"/>
      <c r="D237" s="124"/>
      <c r="E237" s="320"/>
      <c r="F237" s="320"/>
      <c r="G237" s="320"/>
      <c r="H237" s="320"/>
      <c r="I237" s="320"/>
      <c r="J237" s="278"/>
      <c r="K237" s="278"/>
      <c r="L237" s="278"/>
      <c r="M237" s="278"/>
      <c r="N237" s="278"/>
      <c r="O237" s="278"/>
      <c r="P237" s="278"/>
      <c r="Q237" s="278"/>
      <c r="R237" s="278"/>
      <c r="S237" s="278"/>
      <c r="T237" s="278"/>
      <c r="U237" s="278"/>
      <c r="V237" s="79"/>
      <c r="W237" s="79"/>
      <c r="X237" s="79"/>
      <c r="Y237" s="79"/>
      <c r="Z237" s="79"/>
      <c r="AA237" s="79"/>
      <c r="AB237" s="79"/>
      <c r="AC237" s="79"/>
      <c r="AD237" s="79"/>
      <c r="AE237" s="79"/>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c r="BN237" s="323"/>
      <c r="BO237" s="323"/>
      <c r="BP237" s="323"/>
      <c r="BQ237" s="323"/>
      <c r="BR237" s="323"/>
      <c r="BS237" s="323"/>
      <c r="BT237" s="323"/>
      <c r="BU237" s="323"/>
      <c r="BV237" s="323"/>
      <c r="BW237" s="323"/>
      <c r="BX237" s="323"/>
      <c r="BY237" s="323"/>
      <c r="BZ237" s="323"/>
      <c r="CA237" s="323"/>
      <c r="CB237" s="323"/>
      <c r="CC237" s="323"/>
      <c r="CD237" s="323"/>
      <c r="CE237" s="323"/>
      <c r="CF237" s="323"/>
      <c r="CG237" s="323"/>
      <c r="CH237" s="323"/>
      <c r="CI237" s="323"/>
      <c r="CJ237" s="323"/>
      <c r="CK237" s="323"/>
      <c r="CL237" s="323"/>
      <c r="CM237" s="323"/>
      <c r="CN237" s="323"/>
      <c r="CO237" s="323"/>
      <c r="CP237" s="323"/>
      <c r="CQ237" s="278"/>
      <c r="CR237" s="278"/>
      <c r="CS237" s="278"/>
      <c r="CT237" s="278"/>
      <c r="CU237" s="278"/>
      <c r="CV237" s="278"/>
      <c r="CW237" s="278"/>
      <c r="CX237" s="278"/>
      <c r="CY237" s="278"/>
      <c r="CZ237" s="278"/>
      <c r="DA237" s="278"/>
      <c r="DB237" s="278"/>
      <c r="DC237" s="278"/>
      <c r="DD237" s="278"/>
      <c r="DE237" s="278"/>
      <c r="DF237" s="278"/>
      <c r="DG237" s="278"/>
      <c r="DH237" s="278"/>
      <c r="DI237" s="278"/>
      <c r="DJ237" s="278"/>
      <c r="DK237" s="278"/>
      <c r="DL237" s="278"/>
      <c r="DM237" s="278"/>
      <c r="DN237" s="278"/>
      <c r="DO237" s="278"/>
      <c r="DP237" s="278"/>
      <c r="DQ237" s="278"/>
      <c r="DR237" s="278"/>
      <c r="DS237" s="278"/>
      <c r="DT237" s="278"/>
      <c r="DU237" s="278"/>
      <c r="DV237" s="278"/>
      <c r="DW237" s="278"/>
      <c r="DX237" s="278"/>
      <c r="DY237" s="278"/>
      <c r="DZ237" s="278"/>
      <c r="EA237" s="278"/>
      <c r="EB237" s="278"/>
      <c r="EC237" s="278"/>
      <c r="ED237" s="278"/>
      <c r="EE237" s="278"/>
      <c r="EF237" s="278"/>
      <c r="EG237" s="278"/>
      <c r="EH237" s="278"/>
      <c r="EI237" s="278"/>
      <c r="EJ237" s="278"/>
      <c r="EK237" s="278"/>
      <c r="EL237" s="278"/>
      <c r="EM237" s="278"/>
      <c r="EN237" s="278"/>
      <c r="EO237" s="278"/>
      <c r="EP237" s="278"/>
      <c r="EQ237" s="278"/>
      <c r="ER237" s="278"/>
      <c r="ES237" s="278"/>
      <c r="ET237" s="278"/>
      <c r="EU237" s="278"/>
      <c r="EV237" s="278"/>
      <c r="EW237" s="278"/>
      <c r="EX237" s="278"/>
      <c r="EY237" s="278"/>
      <c r="EZ237" s="278"/>
      <c r="FA237" s="43"/>
      <c r="FB237" s="43"/>
      <c r="FC237" s="43"/>
      <c r="FD237" s="43"/>
      <c r="FE237" s="43"/>
      <c r="FF237" s="43"/>
      <c r="FG237" s="43"/>
      <c r="FH237" s="43"/>
      <c r="FI237" s="79"/>
      <c r="FJ237" s="96"/>
      <c r="FK237" s="96"/>
      <c r="FL237" s="96"/>
      <c r="FM237" s="324"/>
      <c r="FN237" s="324"/>
      <c r="FO237" s="324"/>
      <c r="FP237" s="324"/>
      <c r="FQ237" s="324"/>
      <c r="FR237" s="47"/>
      <c r="FS237" s="47"/>
      <c r="FT237" s="47"/>
      <c r="FU237" s="47"/>
      <c r="FV237" s="47"/>
      <c r="FW237" s="47"/>
      <c r="FX237" s="47"/>
      <c r="FY237" s="259"/>
      <c r="FZ237" s="259"/>
      <c r="GA237" s="259"/>
      <c r="GB237" s="259"/>
      <c r="GC237" s="49"/>
      <c r="GD237" s="49"/>
      <c r="GE237" s="49"/>
      <c r="GF237" s="49"/>
      <c r="GG237" s="49"/>
      <c r="GH237" s="49"/>
      <c r="GI237" s="49"/>
      <c r="GJ237" s="49"/>
      <c r="GK237" s="49"/>
      <c r="GL237" s="49"/>
      <c r="GM237" s="49"/>
      <c r="GN237" s="49"/>
      <c r="GO237" s="49"/>
      <c r="GP237" s="49"/>
      <c r="GQ237" s="49"/>
      <c r="GR237" s="49"/>
      <c r="GS237" s="49"/>
      <c r="GT237" s="49"/>
      <c r="GU237" s="49"/>
      <c r="GV237" s="49"/>
      <c r="GW237" s="66"/>
      <c r="GX237" s="66"/>
      <c r="GY237" s="66"/>
      <c r="GZ237" s="66"/>
      <c r="HA237" s="66"/>
      <c r="HB237" s="66"/>
      <c r="HC237" s="66"/>
      <c r="HD237" s="66"/>
      <c r="HE237" s="66"/>
      <c r="HF237" s="66"/>
      <c r="HG237" s="66"/>
      <c r="HH237" s="66"/>
      <c r="HI237" s="66"/>
      <c r="HJ237" s="66"/>
      <c r="HK237" s="66"/>
      <c r="HL237" s="66"/>
      <c r="HM237" s="66"/>
      <c r="HN237" s="66"/>
      <c r="HO237" s="66"/>
      <c r="HP237" s="66"/>
      <c r="HQ237" s="66"/>
      <c r="HR237" s="66"/>
      <c r="HS237" s="66"/>
      <c r="HT237" s="66"/>
      <c r="HU237" s="66"/>
      <c r="HV237" s="66"/>
      <c r="HW237" s="66"/>
      <c r="HX237" s="66"/>
      <c r="HY237" s="66"/>
      <c r="HZ237" s="66"/>
      <c r="IA237" s="66"/>
    </row>
    <row r="238" spans="1:235" customFormat="1" ht="16.5" customHeight="1">
      <c r="A238" s="1"/>
      <c r="B238" s="3"/>
      <c r="C238" s="3"/>
      <c r="D238" s="124"/>
      <c r="E238" s="320"/>
      <c r="F238" s="320"/>
      <c r="G238" s="320"/>
      <c r="H238" s="320"/>
      <c r="I238" s="320"/>
      <c r="J238" s="278"/>
      <c r="K238" s="278"/>
      <c r="L238" s="278"/>
      <c r="M238" s="278"/>
      <c r="N238" s="278"/>
      <c r="O238" s="278"/>
      <c r="P238" s="278"/>
      <c r="Q238" s="278"/>
      <c r="R238" s="278"/>
      <c r="S238" s="278"/>
      <c r="T238" s="278"/>
      <c r="U238" s="278"/>
      <c r="V238" s="79"/>
      <c r="W238" s="79"/>
      <c r="X238" s="79"/>
      <c r="Y238" s="79"/>
      <c r="Z238" s="79"/>
      <c r="AA238" s="79"/>
      <c r="AB238" s="79"/>
      <c r="AC238" s="79"/>
      <c r="AD238" s="79"/>
      <c r="AE238" s="79"/>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c r="BO238" s="323"/>
      <c r="BP238" s="323"/>
      <c r="BQ238" s="323"/>
      <c r="BR238" s="323"/>
      <c r="BS238" s="323"/>
      <c r="BT238" s="323"/>
      <c r="BU238" s="323"/>
      <c r="BV238" s="323"/>
      <c r="BW238" s="323"/>
      <c r="BX238" s="323"/>
      <c r="BY238" s="323"/>
      <c r="BZ238" s="323"/>
      <c r="CA238" s="323"/>
      <c r="CB238" s="323"/>
      <c r="CC238" s="323"/>
      <c r="CD238" s="323"/>
      <c r="CE238" s="323"/>
      <c r="CF238" s="323"/>
      <c r="CG238" s="323"/>
      <c r="CH238" s="323"/>
      <c r="CI238" s="323"/>
      <c r="CJ238" s="323"/>
      <c r="CK238" s="323"/>
      <c r="CL238" s="323"/>
      <c r="CM238" s="323"/>
      <c r="CN238" s="323"/>
      <c r="CO238" s="323"/>
      <c r="CP238" s="323"/>
      <c r="CQ238" s="278"/>
      <c r="CR238" s="278"/>
      <c r="CS238" s="278"/>
      <c r="CT238" s="278"/>
      <c r="CU238" s="278"/>
      <c r="CV238" s="278"/>
      <c r="CW238" s="278"/>
      <c r="CX238" s="278"/>
      <c r="CY238" s="278"/>
      <c r="CZ238" s="278"/>
      <c r="DA238" s="278"/>
      <c r="DB238" s="278"/>
      <c r="DC238" s="278"/>
      <c r="DD238" s="278"/>
      <c r="DE238" s="278"/>
      <c r="DF238" s="278"/>
      <c r="DG238" s="278"/>
      <c r="DH238" s="278"/>
      <c r="DI238" s="278"/>
      <c r="DJ238" s="278"/>
      <c r="DK238" s="278"/>
      <c r="DL238" s="278"/>
      <c r="DM238" s="278"/>
      <c r="DN238" s="278"/>
      <c r="DO238" s="278"/>
      <c r="DP238" s="278"/>
      <c r="DQ238" s="278"/>
      <c r="DR238" s="278"/>
      <c r="DS238" s="278"/>
      <c r="DT238" s="278"/>
      <c r="DU238" s="278"/>
      <c r="DV238" s="278"/>
      <c r="DW238" s="278"/>
      <c r="DX238" s="278"/>
      <c r="DY238" s="278"/>
      <c r="DZ238" s="278"/>
      <c r="EA238" s="278"/>
      <c r="EB238" s="278"/>
      <c r="EC238" s="278"/>
      <c r="ED238" s="278"/>
      <c r="EE238" s="278"/>
      <c r="EF238" s="278"/>
      <c r="EG238" s="278"/>
      <c r="EH238" s="278"/>
      <c r="EI238" s="278"/>
      <c r="EJ238" s="278"/>
      <c r="EK238" s="278"/>
      <c r="EL238" s="278"/>
      <c r="EM238" s="278"/>
      <c r="EN238" s="278"/>
      <c r="EO238" s="278"/>
      <c r="EP238" s="278"/>
      <c r="EQ238" s="278"/>
      <c r="ER238" s="278"/>
      <c r="ES238" s="278"/>
      <c r="ET238" s="278"/>
      <c r="EU238" s="278"/>
      <c r="EV238" s="278"/>
      <c r="EW238" s="278"/>
      <c r="EX238" s="278"/>
      <c r="EY238" s="278"/>
      <c r="EZ238" s="278"/>
      <c r="FA238" s="43"/>
      <c r="FB238" s="43"/>
      <c r="FC238" s="43"/>
      <c r="FD238" s="43"/>
      <c r="FE238" s="43"/>
      <c r="FF238" s="43"/>
      <c r="FG238" s="43"/>
      <c r="FH238" s="43"/>
      <c r="FI238" s="79"/>
      <c r="FJ238" s="96"/>
      <c r="FK238" s="96"/>
      <c r="FL238" s="96"/>
      <c r="FM238" s="324"/>
      <c r="FN238" s="324"/>
      <c r="FO238" s="324"/>
      <c r="FP238" s="324"/>
      <c r="FQ238" s="324"/>
      <c r="FR238" s="47"/>
      <c r="FS238" s="47"/>
      <c r="FT238" s="47"/>
      <c r="FU238" s="47"/>
      <c r="FV238" s="47"/>
      <c r="FW238" s="47"/>
      <c r="FX238" s="47"/>
      <c r="FY238" s="259"/>
      <c r="FZ238" s="259"/>
      <c r="GA238" s="259"/>
      <c r="GB238" s="259"/>
      <c r="GC238" s="49"/>
      <c r="GD238" s="49"/>
      <c r="GE238" s="49"/>
      <c r="GF238" s="49"/>
      <c r="GG238" s="49"/>
      <c r="GH238" s="49"/>
      <c r="GI238" s="49"/>
      <c r="GJ238" s="49"/>
      <c r="GK238" s="49"/>
      <c r="GL238" s="49"/>
      <c r="GM238" s="49"/>
      <c r="GN238" s="49"/>
      <c r="GO238" s="49"/>
      <c r="GP238" s="49"/>
      <c r="GQ238" s="49"/>
      <c r="GR238" s="49"/>
      <c r="GS238" s="49"/>
      <c r="GT238" s="49"/>
      <c r="GU238" s="49"/>
      <c r="GV238" s="49"/>
      <c r="GW238" s="66"/>
      <c r="GX238" s="66"/>
      <c r="GY238" s="66"/>
      <c r="GZ238" s="66"/>
      <c r="HA238" s="66"/>
      <c r="HB238" s="66"/>
      <c r="HC238" s="66"/>
      <c r="HD238" s="66"/>
      <c r="HE238" s="66"/>
      <c r="HF238" s="66"/>
      <c r="HG238" s="66"/>
      <c r="HH238" s="66"/>
      <c r="HI238" s="66"/>
      <c r="HJ238" s="66"/>
      <c r="HK238" s="66"/>
      <c r="HL238" s="66"/>
      <c r="HM238" s="66"/>
      <c r="HN238" s="66"/>
      <c r="HO238" s="66"/>
      <c r="HP238" s="66"/>
      <c r="HQ238" s="66"/>
      <c r="HR238" s="66"/>
      <c r="HS238" s="66"/>
      <c r="HT238" s="66"/>
      <c r="HU238" s="66"/>
      <c r="HV238" s="66"/>
      <c r="HW238" s="66"/>
      <c r="HX238" s="66"/>
      <c r="HY238" s="66"/>
      <c r="HZ238" s="66"/>
      <c r="IA238" s="66"/>
    </row>
    <row r="239" spans="1:235" customFormat="1" ht="16.5" customHeight="1">
      <c r="A239" s="1"/>
      <c r="B239" s="3"/>
      <c r="C239" s="3"/>
      <c r="D239" s="124"/>
      <c r="E239" s="320"/>
      <c r="F239" s="320"/>
      <c r="G239" s="320"/>
      <c r="H239" s="320"/>
      <c r="I239" s="320"/>
      <c r="J239" s="278"/>
      <c r="K239" s="278"/>
      <c r="L239" s="278"/>
      <c r="M239" s="278"/>
      <c r="N239" s="278"/>
      <c r="O239" s="278"/>
      <c r="P239" s="278"/>
      <c r="Q239" s="278"/>
      <c r="R239" s="278"/>
      <c r="S239" s="278"/>
      <c r="T239" s="278"/>
      <c r="U239" s="278"/>
      <c r="V239" s="79"/>
      <c r="W239" s="79"/>
      <c r="X239" s="79"/>
      <c r="Y239" s="79"/>
      <c r="Z239" s="79"/>
      <c r="AA239" s="79"/>
      <c r="AB239" s="79"/>
      <c r="AC239" s="79"/>
      <c r="AD239" s="79"/>
      <c r="AE239" s="79"/>
      <c r="AF239" s="323"/>
      <c r="AG239" s="323"/>
      <c r="AH239" s="323"/>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c r="BO239" s="323"/>
      <c r="BP239" s="323"/>
      <c r="BQ239" s="323"/>
      <c r="BR239" s="323"/>
      <c r="BS239" s="323"/>
      <c r="BT239" s="323"/>
      <c r="BU239" s="323"/>
      <c r="BV239" s="323"/>
      <c r="BW239" s="323"/>
      <c r="BX239" s="323"/>
      <c r="BY239" s="323"/>
      <c r="BZ239" s="323"/>
      <c r="CA239" s="323"/>
      <c r="CB239" s="323"/>
      <c r="CC239" s="323"/>
      <c r="CD239" s="323"/>
      <c r="CE239" s="323"/>
      <c r="CF239" s="323"/>
      <c r="CG239" s="323"/>
      <c r="CH239" s="323"/>
      <c r="CI239" s="323"/>
      <c r="CJ239" s="323"/>
      <c r="CK239" s="323"/>
      <c r="CL239" s="323"/>
      <c r="CM239" s="323"/>
      <c r="CN239" s="323"/>
      <c r="CO239" s="323"/>
      <c r="CP239" s="323"/>
      <c r="CQ239" s="278"/>
      <c r="CR239" s="278"/>
      <c r="CS239" s="278"/>
      <c r="CT239" s="278"/>
      <c r="CU239" s="278"/>
      <c r="CV239" s="278"/>
      <c r="CW239" s="278"/>
      <c r="CX239" s="278"/>
      <c r="CY239" s="278"/>
      <c r="CZ239" s="278"/>
      <c r="DA239" s="278"/>
      <c r="DB239" s="278"/>
      <c r="DC239" s="278"/>
      <c r="DD239" s="278"/>
      <c r="DE239" s="278"/>
      <c r="DF239" s="278"/>
      <c r="DG239" s="278"/>
      <c r="DH239" s="278"/>
      <c r="DI239" s="278"/>
      <c r="DJ239" s="278"/>
      <c r="DK239" s="278"/>
      <c r="DL239" s="278"/>
      <c r="DM239" s="278"/>
      <c r="DN239" s="278"/>
      <c r="DO239" s="278"/>
      <c r="DP239" s="278"/>
      <c r="DQ239" s="278"/>
      <c r="DR239" s="278"/>
      <c r="DS239" s="278"/>
      <c r="DT239" s="278"/>
      <c r="DU239" s="278"/>
      <c r="DV239" s="278"/>
      <c r="DW239" s="278"/>
      <c r="DX239" s="278"/>
      <c r="DY239" s="278"/>
      <c r="DZ239" s="278"/>
      <c r="EA239" s="278"/>
      <c r="EB239" s="278"/>
      <c r="EC239" s="278"/>
      <c r="ED239" s="278"/>
      <c r="EE239" s="278"/>
      <c r="EF239" s="278"/>
      <c r="EG239" s="278"/>
      <c r="EH239" s="278"/>
      <c r="EI239" s="278"/>
      <c r="EJ239" s="278"/>
      <c r="EK239" s="278"/>
      <c r="EL239" s="278"/>
      <c r="EM239" s="278"/>
      <c r="EN239" s="278"/>
      <c r="EO239" s="278"/>
      <c r="EP239" s="278"/>
      <c r="EQ239" s="278"/>
      <c r="ER239" s="278"/>
      <c r="ES239" s="278"/>
      <c r="ET239" s="278"/>
      <c r="EU239" s="278"/>
      <c r="EV239" s="278"/>
      <c r="EW239" s="278"/>
      <c r="EX239" s="278"/>
      <c r="EY239" s="278"/>
      <c r="EZ239" s="278"/>
      <c r="FA239" s="43"/>
      <c r="FB239" s="43"/>
      <c r="FC239" s="43"/>
      <c r="FD239" s="43"/>
      <c r="FE239" s="43"/>
      <c r="FF239" s="43"/>
      <c r="FG239" s="43"/>
      <c r="FH239" s="43"/>
      <c r="FI239" s="79"/>
      <c r="FJ239" s="96"/>
      <c r="FK239" s="96"/>
      <c r="FL239" s="96"/>
      <c r="FM239" s="324"/>
      <c r="FN239" s="324"/>
      <c r="FO239" s="324"/>
      <c r="FP239" s="324"/>
      <c r="FQ239" s="324"/>
      <c r="FR239" s="47"/>
      <c r="FS239" s="47"/>
      <c r="FT239" s="47"/>
      <c r="FU239" s="47"/>
      <c r="FV239" s="47"/>
      <c r="FW239" s="47"/>
      <c r="FX239" s="47"/>
      <c r="FY239" s="259"/>
      <c r="FZ239" s="259"/>
      <c r="GA239" s="259"/>
      <c r="GB239" s="259"/>
      <c r="GC239" s="49"/>
      <c r="GD239" s="49"/>
      <c r="GE239" s="49"/>
      <c r="GF239" s="49"/>
      <c r="GG239" s="49"/>
      <c r="GH239" s="49"/>
      <c r="GI239" s="49"/>
      <c r="GJ239" s="49"/>
      <c r="GK239" s="49"/>
      <c r="GL239" s="49"/>
      <c r="GM239" s="49"/>
      <c r="GN239" s="49"/>
      <c r="GO239" s="49"/>
      <c r="GP239" s="49"/>
      <c r="GQ239" s="49"/>
      <c r="GR239" s="49"/>
      <c r="GS239" s="49"/>
      <c r="GT239" s="49"/>
      <c r="GU239" s="49"/>
      <c r="GV239" s="49"/>
      <c r="GW239" s="66"/>
      <c r="GX239" s="66"/>
      <c r="GY239" s="66"/>
      <c r="GZ239" s="66"/>
      <c r="HA239" s="66"/>
      <c r="HB239" s="66"/>
      <c r="HC239" s="66"/>
      <c r="HD239" s="66"/>
      <c r="HE239" s="66"/>
      <c r="HF239" s="66"/>
      <c r="HG239" s="66"/>
      <c r="HH239" s="66"/>
      <c r="HI239" s="66"/>
      <c r="HJ239" s="66"/>
      <c r="HK239" s="66"/>
      <c r="HL239" s="66"/>
      <c r="HM239" s="66"/>
      <c r="HN239" s="66"/>
      <c r="HO239" s="66"/>
      <c r="HP239" s="66"/>
      <c r="HQ239" s="66"/>
      <c r="HR239" s="66"/>
      <c r="HS239" s="66"/>
      <c r="HT239" s="66"/>
      <c r="HU239" s="66"/>
      <c r="HV239" s="66"/>
      <c r="HW239" s="66"/>
      <c r="HX239" s="66"/>
      <c r="HY239" s="66"/>
      <c r="HZ239" s="66"/>
      <c r="IA239" s="66"/>
    </row>
    <row r="240" spans="1:235" customFormat="1" ht="16.5" customHeight="1">
      <c r="A240" s="1"/>
      <c r="B240" s="3"/>
      <c r="C240" s="3"/>
      <c r="D240" s="124"/>
      <c r="E240" s="320"/>
      <c r="F240" s="320"/>
      <c r="G240" s="320"/>
      <c r="H240" s="320"/>
      <c r="I240" s="320"/>
      <c r="J240" s="278"/>
      <c r="K240" s="278"/>
      <c r="L240" s="278"/>
      <c r="M240" s="278"/>
      <c r="N240" s="278"/>
      <c r="O240" s="278"/>
      <c r="P240" s="278"/>
      <c r="Q240" s="278"/>
      <c r="R240" s="278"/>
      <c r="S240" s="278"/>
      <c r="T240" s="278"/>
      <c r="U240" s="278"/>
      <c r="V240" s="79"/>
      <c r="W240" s="79"/>
      <c r="X240" s="79"/>
      <c r="Y240" s="79"/>
      <c r="Z240" s="79"/>
      <c r="AA240" s="79"/>
      <c r="AB240" s="79"/>
      <c r="AC240" s="79"/>
      <c r="AD240" s="79"/>
      <c r="AE240" s="79"/>
      <c r="AF240" s="323"/>
      <c r="AG240" s="323"/>
      <c r="AH240" s="323"/>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c r="BO240" s="323"/>
      <c r="BP240" s="323"/>
      <c r="BQ240" s="323"/>
      <c r="BR240" s="323"/>
      <c r="BS240" s="323"/>
      <c r="BT240" s="323"/>
      <c r="BU240" s="323"/>
      <c r="BV240" s="323"/>
      <c r="BW240" s="323"/>
      <c r="BX240" s="323"/>
      <c r="BY240" s="323"/>
      <c r="BZ240" s="323"/>
      <c r="CA240" s="323"/>
      <c r="CB240" s="323"/>
      <c r="CC240" s="323"/>
      <c r="CD240" s="323"/>
      <c r="CE240" s="323"/>
      <c r="CF240" s="323"/>
      <c r="CG240" s="323"/>
      <c r="CH240" s="323"/>
      <c r="CI240" s="323"/>
      <c r="CJ240" s="323"/>
      <c r="CK240" s="323"/>
      <c r="CL240" s="323"/>
      <c r="CM240" s="323"/>
      <c r="CN240" s="323"/>
      <c r="CO240" s="323"/>
      <c r="CP240" s="323"/>
      <c r="CQ240" s="278"/>
      <c r="CR240" s="278"/>
      <c r="CS240" s="278"/>
      <c r="CT240" s="278"/>
      <c r="CU240" s="278"/>
      <c r="CV240" s="278"/>
      <c r="CW240" s="278"/>
      <c r="CX240" s="278"/>
      <c r="CY240" s="278"/>
      <c r="CZ240" s="278"/>
      <c r="DA240" s="278"/>
      <c r="DB240" s="278"/>
      <c r="DC240" s="278"/>
      <c r="DD240" s="278"/>
      <c r="DE240" s="278"/>
      <c r="DF240" s="278"/>
      <c r="DG240" s="278"/>
      <c r="DH240" s="278"/>
      <c r="DI240" s="278"/>
      <c r="DJ240" s="278"/>
      <c r="DK240" s="278"/>
      <c r="DL240" s="278"/>
      <c r="DM240" s="278"/>
      <c r="DN240" s="278"/>
      <c r="DO240" s="278"/>
      <c r="DP240" s="278"/>
      <c r="DQ240" s="278"/>
      <c r="DR240" s="278"/>
      <c r="DS240" s="278"/>
      <c r="DT240" s="278"/>
      <c r="DU240" s="278"/>
      <c r="DV240" s="278"/>
      <c r="DW240" s="278"/>
      <c r="DX240" s="278"/>
      <c r="DY240" s="278"/>
      <c r="DZ240" s="278"/>
      <c r="EA240" s="278"/>
      <c r="EB240" s="278"/>
      <c r="EC240" s="278"/>
      <c r="ED240" s="278"/>
      <c r="EE240" s="278"/>
      <c r="EF240" s="278"/>
      <c r="EG240" s="278"/>
      <c r="EH240" s="278"/>
      <c r="EI240" s="278"/>
      <c r="EJ240" s="278"/>
      <c r="EK240" s="278"/>
      <c r="EL240" s="278"/>
      <c r="EM240" s="278"/>
      <c r="EN240" s="278"/>
      <c r="EO240" s="278"/>
      <c r="EP240" s="278"/>
      <c r="EQ240" s="278"/>
      <c r="ER240" s="278"/>
      <c r="ES240" s="278"/>
      <c r="ET240" s="278"/>
      <c r="EU240" s="278"/>
      <c r="EV240" s="278"/>
      <c r="EW240" s="278"/>
      <c r="EX240" s="278"/>
      <c r="EY240" s="278"/>
      <c r="EZ240" s="278"/>
      <c r="FA240" s="43"/>
      <c r="FB240" s="43"/>
      <c r="FC240" s="43"/>
      <c r="FD240" s="43"/>
      <c r="FE240" s="43"/>
      <c r="FF240" s="43"/>
      <c r="FG240" s="43"/>
      <c r="FH240" s="43"/>
      <c r="FI240" s="43"/>
      <c r="FJ240" s="96"/>
      <c r="FK240" s="96"/>
      <c r="FL240" s="96"/>
      <c r="FM240" s="324"/>
      <c r="FN240" s="324"/>
      <c r="FO240" s="324"/>
      <c r="FP240" s="93"/>
      <c r="FQ240" s="93" t="s">
        <v>12</v>
      </c>
      <c r="FR240" s="93" t="s">
        <v>13</v>
      </c>
      <c r="FS240" s="93" t="s">
        <v>14</v>
      </c>
      <c r="FT240" s="93" t="s">
        <v>138</v>
      </c>
      <c r="FU240" s="93" t="s">
        <v>139</v>
      </c>
      <c r="FV240" s="93" t="s">
        <v>141</v>
      </c>
      <c r="FW240" s="93" t="s">
        <v>140</v>
      </c>
      <c r="FX240" s="93" t="s">
        <v>142</v>
      </c>
      <c r="FY240" s="259" t="s">
        <v>143</v>
      </c>
      <c r="FZ240" s="259"/>
      <c r="GA240" s="259"/>
      <c r="GB240" s="259"/>
      <c r="GC240" s="49"/>
      <c r="GD240" s="49"/>
      <c r="GE240" s="49"/>
      <c r="GF240" s="49"/>
      <c r="GG240" s="49"/>
      <c r="GH240" s="49"/>
      <c r="GI240" s="49"/>
      <c r="GJ240" s="49"/>
      <c r="GK240" s="49"/>
      <c r="GL240" s="49"/>
      <c r="GM240" s="49"/>
      <c r="GN240" s="49"/>
      <c r="GO240" s="49"/>
      <c r="GP240" s="49"/>
      <c r="GQ240" s="49"/>
      <c r="GR240" s="49"/>
      <c r="GS240" s="49"/>
      <c r="GT240" s="49"/>
      <c r="GU240" s="49"/>
      <c r="GV240" s="49"/>
      <c r="GW240" s="66"/>
      <c r="GX240" s="66"/>
      <c r="GY240" s="66"/>
      <c r="GZ240" s="66"/>
      <c r="HA240" s="66"/>
      <c r="HB240" s="66"/>
      <c r="HC240" s="66"/>
      <c r="HD240" s="66"/>
      <c r="HE240" s="66"/>
      <c r="HF240" s="66"/>
      <c r="HG240" s="66"/>
      <c r="HH240" s="66"/>
      <c r="HI240" s="66"/>
      <c r="HJ240" s="66"/>
      <c r="HK240" s="66"/>
      <c r="HL240" s="66"/>
      <c r="HM240" s="66"/>
      <c r="HN240" s="66"/>
      <c r="HO240" s="66"/>
      <c r="HP240" s="66"/>
      <c r="HQ240" s="66"/>
      <c r="HR240" s="66"/>
      <c r="HS240" s="66"/>
      <c r="HT240" s="66"/>
      <c r="HU240" s="66"/>
      <c r="HV240" s="66"/>
      <c r="HW240" s="66"/>
      <c r="HX240" s="66"/>
      <c r="HY240" s="66"/>
      <c r="HZ240" s="66"/>
      <c r="IA240" s="66"/>
    </row>
    <row r="241" spans="1:235" customFormat="1" ht="6.75" customHeight="1">
      <c r="A241" s="1"/>
      <c r="B241" s="3"/>
      <c r="C241" s="3"/>
      <c r="D241" s="124"/>
      <c r="E241" s="320"/>
      <c r="F241" s="320"/>
      <c r="G241" s="320"/>
      <c r="H241" s="320"/>
      <c r="I241" s="320"/>
      <c r="J241" s="79"/>
      <c r="K241" s="79"/>
      <c r="L241" s="79"/>
      <c r="M241" s="79"/>
      <c r="N241" s="79"/>
      <c r="O241" s="79"/>
      <c r="P241" s="79"/>
      <c r="Q241" s="79"/>
      <c r="R241" s="79"/>
      <c r="S241" s="79"/>
      <c r="T241" s="318"/>
      <c r="U241" s="318"/>
      <c r="V241" s="318"/>
      <c r="W241" s="318"/>
      <c r="X241" s="318"/>
      <c r="Y241" s="318"/>
      <c r="Z241" s="318"/>
      <c r="AA241" s="318"/>
      <c r="AB241" s="318"/>
      <c r="AC241" s="318"/>
      <c r="AD241" s="318"/>
      <c r="AE241" s="318"/>
      <c r="AF241" s="318"/>
      <c r="AG241" s="318"/>
      <c r="AH241" s="318"/>
      <c r="AI241" s="318"/>
      <c r="AJ241" s="318"/>
      <c r="AK241" s="318"/>
      <c r="AL241" s="318"/>
      <c r="AM241" s="318"/>
      <c r="AN241" s="318"/>
      <c r="AO241" s="318"/>
      <c r="AP241" s="318"/>
      <c r="AQ241" s="318"/>
      <c r="AR241" s="318"/>
      <c r="AS241" s="318"/>
      <c r="AT241" s="318"/>
      <c r="AU241" s="318"/>
      <c r="AV241" s="318"/>
      <c r="AW241" s="318"/>
      <c r="AX241" s="318"/>
      <c r="AY241" s="318"/>
      <c r="AZ241" s="318"/>
      <c r="BA241" s="318"/>
      <c r="BB241" s="318"/>
      <c r="BC241" s="318"/>
      <c r="BD241" s="318"/>
      <c r="BE241" s="318"/>
      <c r="BF241" s="318"/>
      <c r="BG241" s="318"/>
      <c r="BH241" s="318"/>
      <c r="BI241" s="318"/>
      <c r="BJ241" s="318"/>
      <c r="BK241" s="318"/>
      <c r="BL241" s="318"/>
      <c r="BM241" s="318"/>
      <c r="BN241" s="318"/>
      <c r="BO241" s="318"/>
      <c r="BP241" s="318"/>
      <c r="BQ241" s="318"/>
      <c r="BR241" s="318"/>
      <c r="BS241" s="318"/>
      <c r="BT241" s="318"/>
      <c r="BU241" s="318"/>
      <c r="BV241" s="318"/>
      <c r="BW241" s="318"/>
      <c r="BX241" s="318"/>
      <c r="BY241" s="318"/>
      <c r="BZ241" s="318"/>
      <c r="CA241" s="318"/>
      <c r="CB241" s="318"/>
      <c r="CC241" s="318"/>
      <c r="CD241" s="278"/>
      <c r="CE241" s="278"/>
      <c r="CF241" s="278"/>
      <c r="CG241" s="278"/>
      <c r="CH241" s="278"/>
      <c r="CI241" s="278"/>
      <c r="CJ241" s="278"/>
      <c r="CK241" s="278"/>
      <c r="CL241" s="278"/>
      <c r="CM241" s="278"/>
      <c r="CN241" s="278"/>
      <c r="CO241" s="278"/>
      <c r="CP241" s="278"/>
      <c r="CQ241" s="278"/>
      <c r="CR241" s="278"/>
      <c r="CS241" s="278"/>
      <c r="CT241" s="278"/>
      <c r="CU241" s="278"/>
      <c r="CV241" s="278"/>
      <c r="CW241" s="278"/>
      <c r="CX241" s="278"/>
      <c r="CY241" s="278"/>
      <c r="CZ241" s="278"/>
      <c r="DA241" s="278"/>
      <c r="DB241" s="43"/>
      <c r="DC241" s="278"/>
      <c r="DD241" s="278"/>
      <c r="DE241" s="318"/>
      <c r="DF241" s="278"/>
      <c r="DG241" s="278"/>
      <c r="DH241" s="278"/>
      <c r="DI241" s="278"/>
      <c r="DJ241" s="278"/>
      <c r="DK241" s="278"/>
      <c r="DL241" s="43"/>
      <c r="DM241" s="43"/>
      <c r="DN241" s="43"/>
      <c r="DO241" s="340"/>
      <c r="DP241" s="340"/>
      <c r="DQ241" s="340"/>
      <c r="DR241" s="340"/>
      <c r="DS241" s="340"/>
      <c r="DT241" s="340"/>
      <c r="DU241" s="340"/>
      <c r="DV241" s="340"/>
      <c r="DW241" s="340"/>
      <c r="DX241" s="340"/>
      <c r="DY241" s="340"/>
      <c r="DZ241" s="340"/>
      <c r="EA241" s="340"/>
      <c r="EB241" s="340"/>
      <c r="EC241" s="340"/>
      <c r="ED241" s="340"/>
      <c r="EE241" s="340"/>
      <c r="EF241" s="340"/>
      <c r="EG241" s="340"/>
      <c r="EH241" s="340"/>
      <c r="EI241" s="340"/>
      <c r="EJ241" s="340"/>
      <c r="EK241" s="340"/>
      <c r="EL241" s="340"/>
      <c r="EM241" s="340"/>
      <c r="EN241" s="340"/>
      <c r="EO241" s="340"/>
      <c r="EP241" s="340"/>
      <c r="EQ241" s="340"/>
      <c r="ER241" s="340"/>
      <c r="ES241" s="340"/>
      <c r="ET241" s="340"/>
      <c r="EU241" s="340"/>
      <c r="EV241" s="340"/>
      <c r="EW241" s="340"/>
      <c r="EX241" s="340"/>
      <c r="EY241" s="340"/>
      <c r="EZ241" s="340"/>
      <c r="FA241" s="340"/>
      <c r="FB241" s="340"/>
      <c r="FC241" s="340"/>
      <c r="FD241" s="340"/>
      <c r="FE241" s="340"/>
      <c r="FF241" s="340"/>
      <c r="FG241" s="340"/>
      <c r="FH241" s="340"/>
      <c r="FI241" s="340"/>
      <c r="FJ241" s="96"/>
      <c r="FK241" s="96"/>
      <c r="FL241" s="96"/>
      <c r="FM241" s="324"/>
      <c r="FN241" s="93"/>
      <c r="FO241" s="93"/>
      <c r="FP241" s="93"/>
      <c r="FQ241" s="93"/>
      <c r="FR241" s="93"/>
      <c r="FS241" s="93"/>
      <c r="FT241" s="93"/>
      <c r="FU241" s="93"/>
      <c r="FV241" s="93"/>
      <c r="FW241" s="93"/>
      <c r="FX241" s="93"/>
      <c r="FY241" s="259"/>
      <c r="FZ241" s="259"/>
      <c r="GA241" s="259"/>
      <c r="GB241" s="259"/>
      <c r="GC241" s="49"/>
      <c r="GD241" s="49"/>
      <c r="GE241" s="49"/>
      <c r="GF241" s="49"/>
      <c r="GG241" s="49"/>
      <c r="GH241" s="49"/>
      <c r="GI241" s="49"/>
      <c r="GJ241" s="49"/>
      <c r="GK241" s="49"/>
      <c r="GL241" s="49"/>
      <c r="GM241" s="49"/>
      <c r="GN241" s="49"/>
      <c r="GO241" s="49"/>
      <c r="GP241" s="49"/>
      <c r="GQ241" s="49"/>
      <c r="GR241" s="49"/>
      <c r="GS241" s="49"/>
      <c r="GT241" s="49"/>
      <c r="GU241" s="49"/>
      <c r="GV241" s="49"/>
      <c r="GW241" s="66"/>
      <c r="GX241" s="66"/>
      <c r="GY241" s="66"/>
      <c r="GZ241" s="66"/>
      <c r="HA241" s="66"/>
      <c r="HB241" s="66"/>
      <c r="HC241" s="66"/>
      <c r="HD241" s="66"/>
      <c r="HE241" s="66"/>
      <c r="HF241" s="66"/>
      <c r="HG241" s="66"/>
      <c r="HH241" s="66"/>
      <c r="HI241" s="66"/>
      <c r="HJ241" s="66"/>
      <c r="HK241" s="66"/>
      <c r="HL241" s="66"/>
      <c r="HM241" s="66"/>
      <c r="HN241" s="66"/>
      <c r="HO241" s="66"/>
      <c r="HP241" s="66"/>
      <c r="HQ241" s="66"/>
      <c r="HR241" s="66"/>
      <c r="HS241" s="66"/>
      <c r="HT241" s="66"/>
      <c r="HU241" s="66"/>
      <c r="HV241" s="66"/>
      <c r="HW241" s="66"/>
      <c r="HX241" s="66"/>
      <c r="HY241" s="66"/>
      <c r="HZ241" s="66"/>
      <c r="IA241" s="66"/>
    </row>
    <row r="242" spans="1:235" customFormat="1" ht="3.75" customHeight="1">
      <c r="A242" s="1"/>
      <c r="B242" s="3"/>
      <c r="C242" s="3"/>
      <c r="D242" s="124"/>
      <c r="E242" s="320"/>
      <c r="F242" s="320"/>
      <c r="G242" s="320"/>
      <c r="H242" s="320"/>
      <c r="I242" s="320"/>
      <c r="J242" s="79"/>
      <c r="K242" s="79"/>
      <c r="L242" s="41"/>
      <c r="M242" s="42"/>
      <c r="N242" s="41"/>
      <c r="O242" s="41"/>
      <c r="P242" s="41"/>
      <c r="Q242" s="79"/>
      <c r="R242" s="41"/>
      <c r="S242" s="79"/>
      <c r="T242" s="318"/>
      <c r="U242" s="318"/>
      <c r="V242" s="318"/>
      <c r="W242" s="318"/>
      <c r="X242" s="318"/>
      <c r="Y242" s="318"/>
      <c r="Z242" s="318"/>
      <c r="AA242" s="318"/>
      <c r="AB242" s="318"/>
      <c r="AC242" s="318"/>
      <c r="AD242" s="318"/>
      <c r="AE242" s="318"/>
      <c r="AF242" s="318"/>
      <c r="AG242" s="318"/>
      <c r="AH242" s="318"/>
      <c r="AI242" s="318"/>
      <c r="AJ242" s="318"/>
      <c r="AK242" s="318"/>
      <c r="AL242" s="318"/>
      <c r="AM242" s="318"/>
      <c r="AN242" s="318"/>
      <c r="AO242" s="318"/>
      <c r="AP242" s="318"/>
      <c r="AQ242" s="318"/>
      <c r="AR242" s="318"/>
      <c r="AS242" s="318"/>
      <c r="AT242" s="318"/>
      <c r="AU242" s="318"/>
      <c r="AV242" s="318"/>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18"/>
      <c r="CZ242" s="318"/>
      <c r="DA242" s="318"/>
      <c r="DB242" s="41"/>
      <c r="DC242" s="318"/>
      <c r="DD242" s="318"/>
      <c r="DE242" s="536" t="str">
        <f ca="1">IF(FL1=0,"","+")</f>
        <v/>
      </c>
      <c r="DF242" s="536"/>
      <c r="DG242" s="536"/>
      <c r="DH242" s="536"/>
      <c r="DI242" s="536"/>
      <c r="DJ242" s="536"/>
      <c r="DK242" s="536"/>
      <c r="DL242" s="43"/>
      <c r="DM242" s="43"/>
      <c r="DN242" s="43"/>
      <c r="DO242" s="340"/>
      <c r="DP242" s="340"/>
      <c r="DQ242" s="340"/>
      <c r="DR242" s="340"/>
      <c r="DS242" s="340"/>
      <c r="DT242" s="340"/>
      <c r="DU242" s="340"/>
      <c r="DV242" s="340"/>
      <c r="DW242" s="340"/>
      <c r="DX242" s="340"/>
      <c r="DY242" s="340"/>
      <c r="DZ242" s="340"/>
      <c r="EA242" s="340"/>
      <c r="EB242" s="340"/>
      <c r="EC242" s="340"/>
      <c r="ED242" s="340"/>
      <c r="EE242" s="340"/>
      <c r="EF242" s="340"/>
      <c r="EG242" s="340"/>
      <c r="EH242" s="340"/>
      <c r="EI242" s="340"/>
      <c r="EJ242" s="340"/>
      <c r="EK242" s="340"/>
      <c r="EL242" s="340"/>
      <c r="EM242" s="340"/>
      <c r="EN242" s="340"/>
      <c r="EO242" s="340"/>
      <c r="EP242" s="340"/>
      <c r="EQ242" s="340"/>
      <c r="ER242" s="340"/>
      <c r="ES242" s="340"/>
      <c r="ET242" s="340"/>
      <c r="EU242" s="340"/>
      <c r="EV242" s="340"/>
      <c r="EW242" s="340"/>
      <c r="EX242" s="340"/>
      <c r="EY242" s="340"/>
      <c r="EZ242" s="340"/>
      <c r="FA242" s="340"/>
      <c r="FB242" s="340"/>
      <c r="FC242" s="340"/>
      <c r="FD242" s="340"/>
      <c r="FE242" s="340"/>
      <c r="FF242" s="340"/>
      <c r="FG242" s="340"/>
      <c r="FH242" s="340"/>
      <c r="FI242" s="340"/>
      <c r="FJ242" s="96"/>
      <c r="FK242" s="96"/>
      <c r="FL242" s="96"/>
      <c r="FM242" s="324"/>
      <c r="FN242" s="93"/>
      <c r="FO242" s="93"/>
      <c r="FP242" s="93"/>
      <c r="FQ242" s="93"/>
      <c r="FR242" s="93"/>
      <c r="FS242" s="93"/>
      <c r="FT242" s="93"/>
      <c r="FU242" s="93"/>
      <c r="FV242" s="93"/>
      <c r="FW242" s="93"/>
      <c r="FX242" s="93"/>
      <c r="FY242" s="259"/>
      <c r="FZ242" s="259"/>
      <c r="GA242" s="259"/>
      <c r="GB242" s="259"/>
      <c r="GC242" s="49"/>
      <c r="GD242" s="49"/>
      <c r="GE242" s="49"/>
      <c r="GF242" s="49"/>
      <c r="GG242" s="49"/>
      <c r="GH242" s="49"/>
      <c r="GI242" s="49"/>
      <c r="GJ242" s="49"/>
      <c r="GK242" s="49"/>
      <c r="GL242" s="49"/>
      <c r="GM242" s="49"/>
      <c r="GN242" s="49"/>
      <c r="GO242" s="49"/>
      <c r="GP242" s="49"/>
      <c r="GQ242" s="49"/>
      <c r="GR242" s="49"/>
      <c r="GS242" s="49"/>
      <c r="GT242" s="49"/>
      <c r="GU242" s="49"/>
      <c r="GV242" s="49"/>
      <c r="GW242" s="66"/>
      <c r="GX242" s="66"/>
      <c r="GY242" s="66"/>
      <c r="GZ242" s="66"/>
      <c r="HA242" s="66"/>
      <c r="HB242" s="66"/>
      <c r="HC242" s="66"/>
      <c r="HD242" s="66"/>
      <c r="HE242" s="66"/>
      <c r="HF242" s="66"/>
      <c r="HG242" s="66"/>
      <c r="HH242" s="66"/>
      <c r="HI242" s="66"/>
      <c r="HJ242" s="66"/>
      <c r="HK242" s="66"/>
      <c r="HL242" s="66"/>
      <c r="HM242" s="66"/>
      <c r="HN242" s="66"/>
      <c r="HO242" s="66"/>
      <c r="HP242" s="66"/>
      <c r="HQ242" s="66"/>
      <c r="HR242" s="66"/>
      <c r="HS242" s="66"/>
      <c r="HT242" s="66"/>
      <c r="HU242" s="66"/>
      <c r="HV242" s="66"/>
      <c r="HW242" s="66"/>
      <c r="HX242" s="66"/>
      <c r="HY242" s="66"/>
      <c r="HZ242" s="66"/>
      <c r="IA242" s="66"/>
    </row>
    <row r="243" spans="1:235" customFormat="1" ht="16.5" customHeight="1">
      <c r="A243" s="1"/>
      <c r="B243" s="3"/>
      <c r="C243" s="3"/>
      <c r="D243" s="124"/>
      <c r="E243" s="320"/>
      <c r="F243" s="320"/>
      <c r="G243" s="320"/>
      <c r="H243" s="320"/>
      <c r="I243" s="320"/>
      <c r="J243" s="79"/>
      <c r="K243" s="79"/>
      <c r="L243" s="41"/>
      <c r="M243" s="42"/>
      <c r="N243" s="41"/>
      <c r="O243" s="41"/>
      <c r="P243" s="41"/>
      <c r="Q243" s="79"/>
      <c r="R243" s="41"/>
      <c r="S243" s="79"/>
      <c r="T243" s="180"/>
      <c r="U243" s="321"/>
      <c r="V243" s="321"/>
      <c r="W243" s="321"/>
      <c r="X243" s="321"/>
      <c r="Y243" s="321"/>
      <c r="Z243" s="321"/>
      <c r="AA243" s="321"/>
      <c r="AB243" s="321"/>
      <c r="AC243" s="321"/>
      <c r="AD243" s="321"/>
      <c r="AE243" s="321"/>
      <c r="AF243" s="321"/>
      <c r="AG243" s="321"/>
      <c r="AH243" s="321"/>
      <c r="AI243" s="321"/>
      <c r="AJ243" s="321"/>
      <c r="AK243" s="321"/>
      <c r="AL243" s="321"/>
      <c r="AM243" s="321"/>
      <c r="AN243" s="321"/>
      <c r="AO243" s="321"/>
      <c r="AP243" s="181"/>
      <c r="AQ243" s="181"/>
      <c r="AR243" s="181"/>
      <c r="AS243" s="181"/>
      <c r="AT243" s="181"/>
      <c r="AU243" s="181"/>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18"/>
      <c r="CZ243" s="318"/>
      <c r="DA243" s="318"/>
      <c r="DB243" s="153" t="str">
        <f ca="1">IF(FL1=0,"","Kleinste hoeveelheid waarbij sprake is van Break-even-afzet:")</f>
        <v/>
      </c>
      <c r="DC243" s="318"/>
      <c r="DD243" s="318"/>
      <c r="DE243" s="314" t="str">
        <f ca="1">IF(FL1=0,"","+")</f>
        <v/>
      </c>
      <c r="DF243" s="537"/>
      <c r="DG243" s="537"/>
      <c r="DH243" s="537"/>
      <c r="DI243" s="537"/>
      <c r="DJ243" s="537"/>
      <c r="DK243" s="314" t="str">
        <f ca="1">IF(FL1=0,"","+")</f>
        <v/>
      </c>
      <c r="DL243" s="165" t="s">
        <v>131</v>
      </c>
      <c r="DM243" s="43"/>
      <c r="DN243" s="43"/>
      <c r="DO243" s="340"/>
      <c r="DP243" s="340"/>
      <c r="DQ243" s="340"/>
      <c r="DR243" s="340"/>
      <c r="DS243" s="340"/>
      <c r="DT243" s="340"/>
      <c r="DU243" s="340"/>
      <c r="DV243" s="340"/>
      <c r="DW243" s="340"/>
      <c r="DX243" s="340"/>
      <c r="DY243" s="340"/>
      <c r="DZ243" s="340"/>
      <c r="EA243" s="340"/>
      <c r="EB243" s="340"/>
      <c r="EC243" s="340"/>
      <c r="ED243" s="340"/>
      <c r="EE243" s="340"/>
      <c r="EF243" s="340"/>
      <c r="EG243" s="340"/>
      <c r="EH243" s="340"/>
      <c r="EI243" s="340"/>
      <c r="EJ243" s="340"/>
      <c r="EK243" s="340"/>
      <c r="EL243" s="340"/>
      <c r="EM243" s="340"/>
      <c r="EN243" s="340"/>
      <c r="EO243" s="340"/>
      <c r="EP243" s="340"/>
      <c r="EQ243" s="340"/>
      <c r="ER243" s="340"/>
      <c r="ES243" s="340"/>
      <c r="ET243" s="340"/>
      <c r="EU243" s="340"/>
      <c r="EV243" s="340"/>
      <c r="EW243" s="340"/>
      <c r="EX243" s="340"/>
      <c r="EY243" s="340"/>
      <c r="EZ243" s="340"/>
      <c r="FA243" s="340"/>
      <c r="FB243" s="340"/>
      <c r="FC243" s="340"/>
      <c r="FD243" s="340"/>
      <c r="FE243" s="340"/>
      <c r="FF243" s="340"/>
      <c r="FG243" s="340"/>
      <c r="FH243" s="340"/>
      <c r="FI243" s="340"/>
      <c r="FJ243" s="96"/>
      <c r="FK243" s="96"/>
      <c r="FL243" s="96"/>
      <c r="FM243" s="324"/>
      <c r="FN243" s="93">
        <f ca="1">IF(programma!B1="X",1,IF(FL1=0,0,IF(DF243=FQ240,1,0)))</f>
        <v>0</v>
      </c>
      <c r="FO243" s="93"/>
      <c r="FP243" s="93"/>
      <c r="FQ243" s="93"/>
      <c r="FR243" s="93"/>
      <c r="FS243" s="93"/>
      <c r="FT243" s="93"/>
      <c r="FU243" s="93"/>
      <c r="FV243" s="93"/>
      <c r="FW243" s="93"/>
      <c r="FX243" s="93"/>
      <c r="FY243" s="259"/>
      <c r="FZ243" s="259"/>
      <c r="GA243" s="259"/>
      <c r="GB243" s="259"/>
      <c r="GC243" s="49"/>
      <c r="GD243" s="49"/>
      <c r="GE243" s="49"/>
      <c r="GF243" s="49"/>
      <c r="GG243" s="49"/>
      <c r="GH243" s="49"/>
      <c r="GI243" s="49"/>
      <c r="GJ243" s="49"/>
      <c r="GK243" s="49"/>
      <c r="GL243" s="49"/>
      <c r="GM243" s="49"/>
      <c r="GN243" s="49"/>
      <c r="GO243" s="49"/>
      <c r="GP243" s="49"/>
      <c r="GQ243" s="49"/>
      <c r="GR243" s="49"/>
      <c r="GS243" s="49"/>
      <c r="GT243" s="49"/>
      <c r="GU243" s="49"/>
      <c r="GV243" s="49"/>
      <c r="GW243" s="66"/>
      <c r="GX243" s="66"/>
      <c r="GY243" s="66"/>
      <c r="GZ243" s="66"/>
      <c r="HA243" s="66"/>
      <c r="HB243" s="66"/>
      <c r="HC243" s="66"/>
      <c r="HD243" s="66"/>
      <c r="HE243" s="66"/>
      <c r="HF243" s="66"/>
      <c r="HG243" s="66"/>
      <c r="HH243" s="66"/>
      <c r="HI243" s="66"/>
      <c r="HJ243" s="66"/>
      <c r="HK243" s="66"/>
      <c r="HL243" s="66"/>
      <c r="HM243" s="66"/>
      <c r="HN243" s="66"/>
      <c r="HO243" s="66"/>
      <c r="HP243" s="66"/>
      <c r="HQ243" s="66"/>
      <c r="HR243" s="66"/>
      <c r="HS243" s="66"/>
      <c r="HT243" s="66"/>
      <c r="HU243" s="66"/>
      <c r="HV243" s="66"/>
      <c r="HW243" s="66"/>
      <c r="HX243" s="66"/>
      <c r="HY243" s="66"/>
      <c r="HZ243" s="66"/>
      <c r="IA243" s="66"/>
    </row>
    <row r="244" spans="1:235" customFormat="1" ht="3.75" customHeight="1">
      <c r="A244" s="1"/>
      <c r="B244" s="3"/>
      <c r="C244" s="3"/>
      <c r="D244" s="124"/>
      <c r="E244" s="320"/>
      <c r="F244" s="320"/>
      <c r="G244" s="320"/>
      <c r="H244" s="320"/>
      <c r="I244" s="320"/>
      <c r="J244" s="79"/>
      <c r="K244" s="79"/>
      <c r="L244" s="41"/>
      <c r="M244" s="42"/>
      <c r="N244" s="41"/>
      <c r="O244" s="41"/>
      <c r="P244" s="41"/>
      <c r="Q244" s="79"/>
      <c r="R244" s="41"/>
      <c r="S244" s="79"/>
      <c r="T244" s="318"/>
      <c r="U244" s="318"/>
      <c r="V244" s="318"/>
      <c r="W244" s="318"/>
      <c r="X244" s="318"/>
      <c r="Y244" s="318"/>
      <c r="Z244" s="318"/>
      <c r="AA244" s="318"/>
      <c r="AB244" s="318"/>
      <c r="AC244" s="318"/>
      <c r="AD244" s="318"/>
      <c r="AE244" s="318"/>
      <c r="AF244" s="318"/>
      <c r="AG244" s="318"/>
      <c r="AH244" s="318"/>
      <c r="AI244" s="318"/>
      <c r="AJ244" s="318"/>
      <c r="AK244" s="318"/>
      <c r="AL244" s="318"/>
      <c r="AM244" s="318"/>
      <c r="AN244" s="318"/>
      <c r="AO244" s="318"/>
      <c r="AP244" s="318"/>
      <c r="AQ244" s="318"/>
      <c r="AR244" s="318"/>
      <c r="AS244" s="318"/>
      <c r="AT244" s="318"/>
      <c r="AU244" s="318"/>
      <c r="AV244" s="318"/>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18"/>
      <c r="CZ244" s="318"/>
      <c r="DA244" s="318"/>
      <c r="DB244" s="41"/>
      <c r="DC244" s="318"/>
      <c r="DD244" s="318"/>
      <c r="DE244" s="536" t="str">
        <f ca="1">IF(FL1=0,"","+")</f>
        <v/>
      </c>
      <c r="DF244" s="536"/>
      <c r="DG244" s="536"/>
      <c r="DH244" s="536"/>
      <c r="DI244" s="536"/>
      <c r="DJ244" s="536"/>
      <c r="DK244" s="536"/>
      <c r="DL244" s="165"/>
      <c r="DM244" s="43"/>
      <c r="DN244" s="43"/>
      <c r="DO244" s="322"/>
      <c r="DP244" s="322"/>
      <c r="DQ244" s="322"/>
      <c r="DR244" s="322"/>
      <c r="DS244" s="322"/>
      <c r="DT244" s="322"/>
      <c r="DU244" s="322"/>
      <c r="DV244" s="322"/>
      <c r="DW244" s="322"/>
      <c r="DX244" s="322"/>
      <c r="DY244" s="322"/>
      <c r="DZ244" s="322"/>
      <c r="EA244" s="322"/>
      <c r="EB244" s="322"/>
      <c r="EC244" s="322"/>
      <c r="ED244" s="322"/>
      <c r="EE244" s="322"/>
      <c r="EF244" s="322"/>
      <c r="EG244" s="322"/>
      <c r="EH244" s="322"/>
      <c r="EI244" s="322"/>
      <c r="EJ244" s="322"/>
      <c r="EK244" s="322"/>
      <c r="EL244" s="322"/>
      <c r="EM244" s="322"/>
      <c r="EN244" s="322"/>
      <c r="EO244" s="322"/>
      <c r="EP244" s="322"/>
      <c r="EQ244" s="322"/>
      <c r="ER244" s="322"/>
      <c r="ES244" s="322"/>
      <c r="ET244" s="322"/>
      <c r="EU244" s="322"/>
      <c r="EV244" s="322"/>
      <c r="EW244" s="322"/>
      <c r="EX244" s="322"/>
      <c r="EY244" s="322"/>
      <c r="EZ244" s="322"/>
      <c r="FA244" s="322"/>
      <c r="FB244" s="322"/>
      <c r="FC244" s="322"/>
      <c r="FD244" s="322"/>
      <c r="FE244" s="322"/>
      <c r="FF244" s="322"/>
      <c r="FG244" s="322"/>
      <c r="FH244" s="322"/>
      <c r="FI244" s="322"/>
      <c r="FJ244" s="96"/>
      <c r="FK244" s="96"/>
      <c r="FL244" s="96"/>
      <c r="FM244" s="324"/>
      <c r="FN244" s="93"/>
      <c r="FO244" s="93"/>
      <c r="FP244" s="93"/>
      <c r="FQ244" s="93"/>
      <c r="FR244" s="93"/>
      <c r="FS244" s="93"/>
      <c r="FT244" s="93"/>
      <c r="FU244" s="93"/>
      <c r="FV244" s="93"/>
      <c r="FW244" s="93"/>
      <c r="FX244" s="93"/>
      <c r="FY244" s="259"/>
      <c r="FZ244" s="259"/>
      <c r="GA244" s="259"/>
      <c r="GB244" s="259"/>
      <c r="GC244" s="49"/>
      <c r="GD244" s="49"/>
      <c r="GE244" s="49"/>
      <c r="GF244" s="49"/>
      <c r="GG244" s="49"/>
      <c r="GH244" s="49"/>
      <c r="GI244" s="49"/>
      <c r="GJ244" s="49"/>
      <c r="GK244" s="49"/>
      <c r="GL244" s="49"/>
      <c r="GM244" s="49"/>
      <c r="GN244" s="49"/>
      <c r="GO244" s="49"/>
      <c r="GP244" s="49"/>
      <c r="GQ244" s="49"/>
      <c r="GR244" s="49"/>
      <c r="GS244" s="49"/>
      <c r="GT244" s="49"/>
      <c r="GU244" s="49"/>
      <c r="GV244" s="49"/>
      <c r="GW244" s="66"/>
      <c r="GX244" s="66"/>
      <c r="GY244" s="66"/>
      <c r="GZ244" s="66"/>
      <c r="HA244" s="66"/>
      <c r="HB244" s="66"/>
      <c r="HC244" s="66"/>
      <c r="HD244" s="66"/>
      <c r="HE244" s="66"/>
      <c r="HF244" s="66"/>
      <c r="HG244" s="66"/>
      <c r="HH244" s="66"/>
      <c r="HI244" s="66"/>
      <c r="HJ244" s="66"/>
      <c r="HK244" s="66"/>
      <c r="HL244" s="66"/>
      <c r="HM244" s="66"/>
      <c r="HN244" s="66"/>
      <c r="HO244" s="66"/>
      <c r="HP244" s="66"/>
      <c r="HQ244" s="66"/>
      <c r="HR244" s="66"/>
      <c r="HS244" s="66"/>
      <c r="HT244" s="66"/>
      <c r="HU244" s="66"/>
      <c r="HV244" s="66"/>
      <c r="HW244" s="66"/>
      <c r="HX244" s="66"/>
      <c r="HY244" s="66"/>
      <c r="HZ244" s="66"/>
      <c r="IA244" s="66"/>
    </row>
    <row r="245" spans="1:235" customFormat="1" ht="6.75" customHeight="1">
      <c r="A245" s="1"/>
      <c r="B245" s="3"/>
      <c r="C245" s="3"/>
      <c r="D245" s="124"/>
      <c r="E245" s="320"/>
      <c r="F245" s="320"/>
      <c r="G245" s="320"/>
      <c r="H245" s="320"/>
      <c r="I245" s="320"/>
      <c r="J245" s="79"/>
      <c r="K245" s="79"/>
      <c r="L245" s="79"/>
      <c r="M245" s="79"/>
      <c r="N245" s="79"/>
      <c r="O245" s="79"/>
      <c r="P245" s="79"/>
      <c r="Q245" s="79"/>
      <c r="R245" s="79"/>
      <c r="S245" s="79"/>
      <c r="T245" s="318"/>
      <c r="U245" s="318"/>
      <c r="V245" s="318"/>
      <c r="W245" s="318"/>
      <c r="X245" s="318"/>
      <c r="Y245" s="318"/>
      <c r="Z245" s="318"/>
      <c r="AA245" s="318"/>
      <c r="AB245" s="318"/>
      <c r="AC245" s="318"/>
      <c r="AD245" s="318"/>
      <c r="AE245" s="318"/>
      <c r="AF245" s="318"/>
      <c r="AG245" s="318"/>
      <c r="AH245" s="318"/>
      <c r="AI245" s="318"/>
      <c r="AJ245" s="318"/>
      <c r="AK245" s="318"/>
      <c r="AL245" s="318"/>
      <c r="AM245" s="318"/>
      <c r="AN245" s="318"/>
      <c r="AO245" s="318"/>
      <c r="AP245" s="318"/>
      <c r="AQ245" s="318"/>
      <c r="AR245" s="318"/>
      <c r="AS245" s="318"/>
      <c r="AT245" s="318"/>
      <c r="AU245" s="318"/>
      <c r="AV245" s="318"/>
      <c r="AW245" s="318"/>
      <c r="AX245" s="318"/>
      <c r="AY245" s="318"/>
      <c r="AZ245" s="318"/>
      <c r="BA245" s="318"/>
      <c r="BB245" s="318"/>
      <c r="BC245" s="318"/>
      <c r="BD245" s="318"/>
      <c r="BE245" s="318"/>
      <c r="BF245" s="318"/>
      <c r="BG245" s="318"/>
      <c r="BH245" s="318"/>
      <c r="BI245" s="318"/>
      <c r="BJ245" s="318"/>
      <c r="BK245" s="318"/>
      <c r="BL245" s="318"/>
      <c r="BM245" s="318"/>
      <c r="BN245" s="318"/>
      <c r="BO245" s="318"/>
      <c r="BP245" s="318"/>
      <c r="BQ245" s="318"/>
      <c r="BR245" s="318"/>
      <c r="BS245" s="318"/>
      <c r="BT245" s="318"/>
      <c r="BU245" s="318"/>
      <c r="BV245" s="318"/>
      <c r="BW245" s="318"/>
      <c r="BX245" s="318"/>
      <c r="BY245" s="318"/>
      <c r="BZ245" s="318"/>
      <c r="CA245" s="318"/>
      <c r="CB245" s="318"/>
      <c r="CC245" s="318"/>
      <c r="CD245" s="278"/>
      <c r="CE245" s="278"/>
      <c r="CF245" s="278"/>
      <c r="CG245" s="278"/>
      <c r="CH245" s="278"/>
      <c r="CI245" s="278"/>
      <c r="CJ245" s="278"/>
      <c r="CK245" s="278"/>
      <c r="CL245" s="278"/>
      <c r="CM245" s="278"/>
      <c r="CN245" s="278"/>
      <c r="CO245" s="278"/>
      <c r="CP245" s="278"/>
      <c r="CQ245" s="278"/>
      <c r="CR245" s="278"/>
      <c r="CS245" s="278"/>
      <c r="CT245" s="278"/>
      <c r="CU245" s="278"/>
      <c r="CV245" s="278"/>
      <c r="CW245" s="278"/>
      <c r="CX245" s="278"/>
      <c r="CY245" s="278"/>
      <c r="CZ245" s="278"/>
      <c r="DA245" s="278"/>
      <c r="DB245" s="43"/>
      <c r="DC245" s="278"/>
      <c r="DD245" s="278"/>
      <c r="DE245" s="318"/>
      <c r="DF245" s="278"/>
      <c r="DG245" s="278"/>
      <c r="DH245" s="278"/>
      <c r="DI245" s="278"/>
      <c r="DJ245" s="278"/>
      <c r="DK245" s="278"/>
      <c r="DL245" s="165"/>
      <c r="DM245" s="43"/>
      <c r="DN245" s="43"/>
      <c r="DO245" s="322"/>
      <c r="DP245" s="322"/>
      <c r="DQ245" s="322"/>
      <c r="DR245" s="322"/>
      <c r="DS245" s="322"/>
      <c r="DT245" s="322"/>
      <c r="DU245" s="322"/>
      <c r="DV245" s="322"/>
      <c r="DW245" s="322"/>
      <c r="DX245" s="322"/>
      <c r="DY245" s="322"/>
      <c r="DZ245" s="322"/>
      <c r="EA245" s="322"/>
      <c r="EB245" s="322"/>
      <c r="EC245" s="322"/>
      <c r="ED245" s="322"/>
      <c r="EE245" s="322"/>
      <c r="EF245" s="322"/>
      <c r="EG245" s="322"/>
      <c r="EH245" s="322"/>
      <c r="EI245" s="322"/>
      <c r="EJ245" s="322"/>
      <c r="EK245" s="322"/>
      <c r="EL245" s="322"/>
      <c r="EM245" s="322"/>
      <c r="EN245" s="322"/>
      <c r="EO245" s="322"/>
      <c r="EP245" s="322"/>
      <c r="EQ245" s="322"/>
      <c r="ER245" s="322"/>
      <c r="ES245" s="322"/>
      <c r="ET245" s="322"/>
      <c r="EU245" s="322"/>
      <c r="EV245" s="322"/>
      <c r="EW245" s="322"/>
      <c r="EX245" s="322"/>
      <c r="EY245" s="322"/>
      <c r="EZ245" s="322"/>
      <c r="FA245" s="322"/>
      <c r="FB245" s="322"/>
      <c r="FC245" s="322"/>
      <c r="FD245" s="322"/>
      <c r="FE245" s="322"/>
      <c r="FF245" s="322"/>
      <c r="FG245" s="322"/>
      <c r="FH245" s="322"/>
      <c r="FI245" s="322"/>
      <c r="FJ245" s="96"/>
      <c r="FK245" s="96"/>
      <c r="FL245" s="96"/>
      <c r="FM245" s="324"/>
      <c r="FN245" s="93"/>
      <c r="FO245" s="93"/>
      <c r="FP245" s="93"/>
      <c r="FQ245" s="93"/>
      <c r="FR245" s="93"/>
      <c r="FS245" s="93"/>
      <c r="FT245" s="93"/>
      <c r="FU245" s="93"/>
      <c r="FV245" s="93"/>
      <c r="FW245" s="93"/>
      <c r="FX245" s="93"/>
      <c r="FY245" s="259"/>
      <c r="FZ245" s="259"/>
      <c r="GA245" s="259"/>
      <c r="GB245" s="259"/>
      <c r="GC245" s="49"/>
      <c r="GD245" s="49"/>
      <c r="GE245" s="49"/>
      <c r="GF245" s="49"/>
      <c r="GG245" s="49"/>
      <c r="GH245" s="49"/>
      <c r="GI245" s="49"/>
      <c r="GJ245" s="49"/>
      <c r="GK245" s="49"/>
      <c r="GL245" s="49"/>
      <c r="GM245" s="49"/>
      <c r="GN245" s="49"/>
      <c r="GO245" s="49"/>
      <c r="GP245" s="49"/>
      <c r="GQ245" s="49"/>
      <c r="GR245" s="49"/>
      <c r="GS245" s="49"/>
      <c r="GT245" s="49"/>
      <c r="GU245" s="49"/>
      <c r="GV245" s="49"/>
      <c r="GW245" s="66"/>
      <c r="GX245" s="66"/>
      <c r="GY245" s="66"/>
      <c r="GZ245" s="66"/>
      <c r="HA245" s="66"/>
      <c r="HB245" s="66"/>
      <c r="HC245" s="66"/>
      <c r="HD245" s="66"/>
      <c r="HE245" s="66"/>
      <c r="HF245" s="66"/>
      <c r="HG245" s="66"/>
      <c r="HH245" s="66"/>
      <c r="HI245" s="66"/>
      <c r="HJ245" s="66"/>
      <c r="HK245" s="66"/>
      <c r="HL245" s="66"/>
      <c r="HM245" s="66"/>
      <c r="HN245" s="66"/>
      <c r="HO245" s="66"/>
      <c r="HP245" s="66"/>
      <c r="HQ245" s="66"/>
      <c r="HR245" s="66"/>
      <c r="HS245" s="66"/>
      <c r="HT245" s="66"/>
      <c r="HU245" s="66"/>
      <c r="HV245" s="66"/>
      <c r="HW245" s="66"/>
      <c r="HX245" s="66"/>
      <c r="HY245" s="66"/>
      <c r="HZ245" s="66"/>
      <c r="IA245" s="66"/>
    </row>
    <row r="246" spans="1:235" customFormat="1" ht="3.75" customHeight="1">
      <c r="A246" s="1"/>
      <c r="B246" s="3"/>
      <c r="C246" s="3"/>
      <c r="D246" s="124"/>
      <c r="E246" s="320"/>
      <c r="F246" s="320"/>
      <c r="G246" s="320"/>
      <c r="H246" s="320"/>
      <c r="I246" s="320"/>
      <c r="J246" s="79"/>
      <c r="K246" s="79"/>
      <c r="L246" s="41"/>
      <c r="M246" s="42"/>
      <c r="N246" s="41"/>
      <c r="O246" s="41"/>
      <c r="P246" s="41"/>
      <c r="Q246" s="79"/>
      <c r="R246" s="41"/>
      <c r="S246" s="79"/>
      <c r="T246" s="318"/>
      <c r="U246" s="318"/>
      <c r="V246" s="318"/>
      <c r="W246" s="318"/>
      <c r="X246" s="318"/>
      <c r="Y246" s="318"/>
      <c r="Z246" s="318"/>
      <c r="AA246" s="318"/>
      <c r="AB246" s="318"/>
      <c r="AC246" s="318"/>
      <c r="AD246" s="318"/>
      <c r="AE246" s="318"/>
      <c r="AF246" s="318"/>
      <c r="AG246" s="318"/>
      <c r="AH246" s="318"/>
      <c r="AI246" s="318"/>
      <c r="AJ246" s="318"/>
      <c r="AK246" s="318"/>
      <c r="AL246" s="318"/>
      <c r="AM246" s="318"/>
      <c r="AN246" s="318"/>
      <c r="AO246" s="318"/>
      <c r="AP246" s="318"/>
      <c r="AQ246" s="318"/>
      <c r="AR246" s="318"/>
      <c r="AS246" s="318"/>
      <c r="AT246" s="318"/>
      <c r="AU246" s="318"/>
      <c r="AV246" s="318"/>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18"/>
      <c r="CZ246" s="318"/>
      <c r="DA246" s="318"/>
      <c r="DB246" s="41"/>
      <c r="DC246" s="318"/>
      <c r="DD246" s="318"/>
      <c r="DE246" s="536" t="str">
        <f ca="1">IF(FL1=0,"","+")</f>
        <v/>
      </c>
      <c r="DF246" s="536"/>
      <c r="DG246" s="536"/>
      <c r="DH246" s="536"/>
      <c r="DI246" s="536"/>
      <c r="DJ246" s="536"/>
      <c r="DK246" s="536"/>
      <c r="DL246" s="165"/>
      <c r="DM246" s="43"/>
      <c r="DN246" s="43"/>
      <c r="DO246" s="322"/>
      <c r="DP246" s="322"/>
      <c r="DQ246" s="322"/>
      <c r="DR246" s="322"/>
      <c r="DS246" s="322"/>
      <c r="DT246" s="322"/>
      <c r="DU246" s="322"/>
      <c r="DV246" s="322"/>
      <c r="DW246" s="322"/>
      <c r="DX246" s="322"/>
      <c r="DY246" s="322"/>
      <c r="DZ246" s="322"/>
      <c r="EA246" s="322"/>
      <c r="EB246" s="322"/>
      <c r="EC246" s="322"/>
      <c r="ED246" s="322"/>
      <c r="EE246" s="322"/>
      <c r="EF246" s="322"/>
      <c r="EG246" s="322"/>
      <c r="EH246" s="322"/>
      <c r="EI246" s="322"/>
      <c r="EJ246" s="322"/>
      <c r="EK246" s="322"/>
      <c r="EL246" s="322"/>
      <c r="EM246" s="322"/>
      <c r="EN246" s="322"/>
      <c r="EO246" s="322"/>
      <c r="EP246" s="322"/>
      <c r="EQ246" s="322"/>
      <c r="ER246" s="322"/>
      <c r="ES246" s="322"/>
      <c r="ET246" s="322"/>
      <c r="EU246" s="322"/>
      <c r="EV246" s="322"/>
      <c r="EW246" s="322"/>
      <c r="EX246" s="322"/>
      <c r="EY246" s="322"/>
      <c r="EZ246" s="322"/>
      <c r="FA246" s="322"/>
      <c r="FB246" s="322"/>
      <c r="FC246" s="322"/>
      <c r="FD246" s="322"/>
      <c r="FE246" s="322"/>
      <c r="FF246" s="322"/>
      <c r="FG246" s="322"/>
      <c r="FH246" s="322"/>
      <c r="FI246" s="322"/>
      <c r="FJ246" s="96"/>
      <c r="FK246" s="96"/>
      <c r="FL246" s="96"/>
      <c r="FM246" s="324"/>
      <c r="FN246" s="93"/>
      <c r="FO246" s="93"/>
      <c r="FP246" s="93"/>
      <c r="FQ246" s="93"/>
      <c r="FR246" s="93"/>
      <c r="FS246" s="93"/>
      <c r="FT246" s="93"/>
      <c r="FU246" s="93"/>
      <c r="FV246" s="93"/>
      <c r="FW246" s="93"/>
      <c r="FX246" s="93"/>
      <c r="FY246" s="259"/>
      <c r="FZ246" s="259"/>
      <c r="GA246" s="259"/>
      <c r="GB246" s="259"/>
      <c r="GC246" s="49"/>
      <c r="GD246" s="49"/>
      <c r="GE246" s="49"/>
      <c r="GF246" s="49"/>
      <c r="GG246" s="49"/>
      <c r="GH246" s="49"/>
      <c r="GI246" s="49"/>
      <c r="GJ246" s="49"/>
      <c r="GK246" s="49"/>
      <c r="GL246" s="49"/>
      <c r="GM246" s="49"/>
      <c r="GN246" s="49"/>
      <c r="GO246" s="49"/>
      <c r="GP246" s="49"/>
      <c r="GQ246" s="49"/>
      <c r="GR246" s="49"/>
      <c r="GS246" s="49"/>
      <c r="GT246" s="49"/>
      <c r="GU246" s="49"/>
      <c r="GV246" s="49"/>
      <c r="GW246" s="66"/>
      <c r="GX246" s="66"/>
      <c r="GY246" s="66"/>
      <c r="GZ246" s="66"/>
      <c r="HA246" s="66"/>
      <c r="HB246" s="66"/>
      <c r="HC246" s="66"/>
      <c r="HD246" s="66"/>
      <c r="HE246" s="66"/>
      <c r="HF246" s="66"/>
      <c r="HG246" s="66"/>
      <c r="HH246" s="66"/>
      <c r="HI246" s="66"/>
      <c r="HJ246" s="66"/>
      <c r="HK246" s="66"/>
      <c r="HL246" s="66"/>
      <c r="HM246" s="66"/>
      <c r="HN246" s="66"/>
      <c r="HO246" s="66"/>
      <c r="HP246" s="66"/>
      <c r="HQ246" s="66"/>
      <c r="HR246" s="66"/>
      <c r="HS246" s="66"/>
      <c r="HT246" s="66"/>
      <c r="HU246" s="66"/>
      <c r="HV246" s="66"/>
      <c r="HW246" s="66"/>
      <c r="HX246" s="66"/>
      <c r="HY246" s="66"/>
      <c r="HZ246" s="66"/>
      <c r="IA246" s="66"/>
    </row>
    <row r="247" spans="1:235" customFormat="1" ht="16.5" customHeight="1">
      <c r="A247" s="1"/>
      <c r="B247" s="3"/>
      <c r="C247" s="3"/>
      <c r="D247" s="124"/>
      <c r="E247" s="320"/>
      <c r="F247" s="320"/>
      <c r="G247" s="320"/>
      <c r="H247" s="320"/>
      <c r="I247" s="320"/>
      <c r="J247" s="79"/>
      <c r="K247" s="79"/>
      <c r="L247" s="41"/>
      <c r="M247" s="42"/>
      <c r="N247" s="41"/>
      <c r="O247" s="41"/>
      <c r="P247" s="41"/>
      <c r="Q247" s="79"/>
      <c r="R247" s="41"/>
      <c r="S247" s="79"/>
      <c r="T247" s="180"/>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181"/>
      <c r="AQ247" s="181"/>
      <c r="AR247" s="181"/>
      <c r="AS247" s="181"/>
      <c r="AT247" s="181"/>
      <c r="AU247" s="181"/>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18"/>
      <c r="CZ247" s="318"/>
      <c r="DA247" s="318"/>
      <c r="DB247" s="153" t="str">
        <f ca="1">IF(FL1=0,"","Grootste hoeveelheid waarbij sprake is van Break-even-afzet:")</f>
        <v/>
      </c>
      <c r="DC247" s="318"/>
      <c r="DD247" s="318"/>
      <c r="DE247" s="314" t="str">
        <f ca="1">IF(FL1=0,"","+")</f>
        <v/>
      </c>
      <c r="DF247" s="537"/>
      <c r="DG247" s="537"/>
      <c r="DH247" s="537"/>
      <c r="DI247" s="537"/>
      <c r="DJ247" s="537"/>
      <c r="DK247" s="314" t="str">
        <f ca="1">IF(FL1=0,"","+")</f>
        <v/>
      </c>
      <c r="DL247" s="165" t="s">
        <v>131</v>
      </c>
      <c r="DM247" s="43"/>
      <c r="DN247" s="43"/>
      <c r="DO247" s="322"/>
      <c r="DP247" s="322"/>
      <c r="DQ247" s="322"/>
      <c r="DR247" s="322"/>
      <c r="DS247" s="322"/>
      <c r="DT247" s="322"/>
      <c r="DU247" s="322"/>
      <c r="DV247" s="322"/>
      <c r="DW247" s="322"/>
      <c r="DX247" s="322"/>
      <c r="DY247" s="322"/>
      <c r="DZ247" s="322"/>
      <c r="EA247" s="322"/>
      <c r="EB247" s="322"/>
      <c r="EC247" s="322"/>
      <c r="ED247" s="322"/>
      <c r="EE247" s="546" t="str">
        <f ca="1">IF(OR(CO461="",TODAY()&gt;=Blad1!AY3),"",IF(FL1=0,"",IF(OR(DF243="",DF247="",DF251="",DF255=""),"Deze moet je nog (af-) maken.",IF(FL255=1,"Goed!",IF(FN243+FN247+FN251+FN255=3,"Je hebt er één fout!","Je hebt er twee of meer fout!")))))</f>
        <v/>
      </c>
      <c r="EF247" s="547"/>
      <c r="EG247" s="547"/>
      <c r="EH247" s="547"/>
      <c r="EI247" s="547"/>
      <c r="EJ247" s="547"/>
      <c r="EK247" s="547"/>
      <c r="EL247" s="547"/>
      <c r="EM247" s="547"/>
      <c r="EN247" s="547"/>
      <c r="EO247" s="547"/>
      <c r="EP247" s="547"/>
      <c r="EQ247" s="547"/>
      <c r="ER247" s="547"/>
      <c r="ES247" s="547"/>
      <c r="ET247" s="547"/>
      <c r="EU247" s="547"/>
      <c r="EV247" s="547"/>
      <c r="EW247" s="547"/>
      <c r="EX247" s="547"/>
      <c r="EY247" s="547"/>
      <c r="EZ247" s="547"/>
      <c r="FA247" s="547"/>
      <c r="FB247" s="547"/>
      <c r="FC247" s="547"/>
      <c r="FD247" s="547"/>
      <c r="FE247" s="547"/>
      <c r="FF247" s="547"/>
      <c r="FG247" s="547"/>
      <c r="FH247" s="322"/>
      <c r="FI247" s="322"/>
      <c r="FJ247" s="96"/>
      <c r="FK247" s="96"/>
      <c r="FL247" s="96"/>
      <c r="FM247" s="324"/>
      <c r="FN247" s="93">
        <f ca="1">IF(programma!B1="X",1,IF(FL1=0,0,IF(DF247=FV240,1,0)))</f>
        <v>0</v>
      </c>
      <c r="FO247" s="93"/>
      <c r="FP247" s="96" t="str">
        <f ca="1">IF(FK1=0,"",FQ240)</f>
        <v>A</v>
      </c>
      <c r="FQ247" s="96" t="str">
        <f ca="1">IF(FK1=0,"",FV240)</f>
        <v>F</v>
      </c>
      <c r="FR247" s="96" t="str">
        <f ca="1">IF(FK1=0,"",FU240)</f>
        <v>E</v>
      </c>
      <c r="FS247" s="96" t="str">
        <f ca="1">IF(FK1=0,"",FT240)</f>
        <v>D</v>
      </c>
      <c r="FT247" s="93"/>
      <c r="FU247" s="93"/>
      <c r="FV247" s="93"/>
      <c r="FW247" s="93"/>
      <c r="FX247" s="93"/>
      <c r="FY247" s="259"/>
      <c r="FZ247" s="259"/>
      <c r="GA247" s="259"/>
      <c r="GB247" s="259"/>
      <c r="GC247" s="49"/>
      <c r="GD247" s="49"/>
      <c r="GE247" s="49"/>
      <c r="GF247" s="49"/>
      <c r="GG247" s="49"/>
      <c r="GH247" s="49"/>
      <c r="GI247" s="49"/>
      <c r="GJ247" s="49"/>
      <c r="GK247" s="49"/>
      <c r="GL247" s="49"/>
      <c r="GM247" s="49"/>
      <c r="GN247" s="49"/>
      <c r="GO247" s="49"/>
      <c r="GP247" s="49"/>
      <c r="GQ247" s="49"/>
      <c r="GR247" s="49"/>
      <c r="GS247" s="49"/>
      <c r="GT247" s="49"/>
      <c r="GU247" s="49"/>
      <c r="GV247" s="49"/>
      <c r="GW247" s="66"/>
      <c r="GX247" s="66"/>
      <c r="GY247" s="66"/>
      <c r="GZ247" s="66"/>
      <c r="HA247" s="66"/>
      <c r="HB247" s="66"/>
      <c r="HC247" s="66"/>
      <c r="HD247" s="66"/>
      <c r="HE247" s="66"/>
      <c r="HF247" s="66"/>
      <c r="HG247" s="66"/>
      <c r="HH247" s="66"/>
      <c r="HI247" s="66"/>
      <c r="HJ247" s="66"/>
      <c r="HK247" s="66"/>
      <c r="HL247" s="66"/>
      <c r="HM247" s="66"/>
      <c r="HN247" s="66"/>
      <c r="HO247" s="66"/>
      <c r="HP247" s="66"/>
      <c r="HQ247" s="66"/>
      <c r="HR247" s="66"/>
      <c r="HS247" s="66"/>
      <c r="HT247" s="66"/>
      <c r="HU247" s="66"/>
      <c r="HV247" s="66"/>
      <c r="HW247" s="66"/>
      <c r="HX247" s="66"/>
      <c r="HY247" s="66"/>
      <c r="HZ247" s="66"/>
      <c r="IA247" s="66"/>
    </row>
    <row r="248" spans="1:235" customFormat="1" ht="3.75" customHeight="1">
      <c r="A248" s="1"/>
      <c r="B248" s="3"/>
      <c r="C248" s="3"/>
      <c r="D248" s="124"/>
      <c r="E248" s="320"/>
      <c r="F248" s="320"/>
      <c r="G248" s="320"/>
      <c r="H248" s="320"/>
      <c r="I248" s="320"/>
      <c r="J248" s="79"/>
      <c r="K248" s="79"/>
      <c r="L248" s="41"/>
      <c r="M248" s="42"/>
      <c r="N248" s="41"/>
      <c r="O248" s="41"/>
      <c r="P248" s="41"/>
      <c r="Q248" s="79"/>
      <c r="R248" s="41"/>
      <c r="S248" s="79"/>
      <c r="T248" s="318"/>
      <c r="U248" s="318"/>
      <c r="V248" s="318"/>
      <c r="W248" s="318"/>
      <c r="X248" s="318"/>
      <c r="Y248" s="318"/>
      <c r="Z248" s="318"/>
      <c r="AA248" s="318"/>
      <c r="AB248" s="318"/>
      <c r="AC248" s="318"/>
      <c r="AD248" s="318"/>
      <c r="AE248" s="318"/>
      <c r="AF248" s="318"/>
      <c r="AG248" s="318"/>
      <c r="AH248" s="318"/>
      <c r="AI248" s="318"/>
      <c r="AJ248" s="318"/>
      <c r="AK248" s="318"/>
      <c r="AL248" s="318"/>
      <c r="AM248" s="318"/>
      <c r="AN248" s="318"/>
      <c r="AO248" s="318"/>
      <c r="AP248" s="318"/>
      <c r="AQ248" s="318"/>
      <c r="AR248" s="318"/>
      <c r="AS248" s="318"/>
      <c r="AT248" s="318"/>
      <c r="AU248" s="318"/>
      <c r="AV248" s="318"/>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18"/>
      <c r="CZ248" s="318"/>
      <c r="DA248" s="318"/>
      <c r="DB248" s="41"/>
      <c r="DC248" s="318"/>
      <c r="DD248" s="318"/>
      <c r="DE248" s="536" t="str">
        <f ca="1">IF(FL1=0,"","+")</f>
        <v/>
      </c>
      <c r="DF248" s="536"/>
      <c r="DG248" s="536"/>
      <c r="DH248" s="536"/>
      <c r="DI248" s="536"/>
      <c r="DJ248" s="536"/>
      <c r="DK248" s="536"/>
      <c r="DL248" s="385"/>
      <c r="DM248" s="43"/>
      <c r="DN248" s="43"/>
      <c r="DO248" s="43"/>
      <c r="DP248" s="43"/>
      <c r="DQ248" s="43"/>
      <c r="DR248" s="43"/>
      <c r="DS248" s="43"/>
      <c r="DT248" s="43"/>
      <c r="DU248" s="43"/>
      <c r="DV248" s="43"/>
      <c r="DW248" s="43"/>
      <c r="DX248" s="43"/>
      <c r="DY248" s="278"/>
      <c r="DZ248" s="278"/>
      <c r="EA248" s="278"/>
      <c r="EB248" s="278"/>
      <c r="EC248" s="278"/>
      <c r="ED248" s="278"/>
      <c r="EE248" s="547"/>
      <c r="EF248" s="547"/>
      <c r="EG248" s="547"/>
      <c r="EH248" s="547"/>
      <c r="EI248" s="547"/>
      <c r="EJ248" s="547"/>
      <c r="EK248" s="547"/>
      <c r="EL248" s="547"/>
      <c r="EM248" s="547"/>
      <c r="EN248" s="547"/>
      <c r="EO248" s="547"/>
      <c r="EP248" s="547"/>
      <c r="EQ248" s="547"/>
      <c r="ER248" s="547"/>
      <c r="ES248" s="547"/>
      <c r="ET248" s="547"/>
      <c r="EU248" s="547"/>
      <c r="EV248" s="547"/>
      <c r="EW248" s="547"/>
      <c r="EX248" s="547"/>
      <c r="EY248" s="547"/>
      <c r="EZ248" s="547"/>
      <c r="FA248" s="547"/>
      <c r="FB248" s="547"/>
      <c r="FC248" s="547"/>
      <c r="FD248" s="547"/>
      <c r="FE248" s="547"/>
      <c r="FF248" s="547"/>
      <c r="FG248" s="547"/>
      <c r="FH248" s="43"/>
      <c r="FI248" s="43"/>
      <c r="FJ248" s="96"/>
      <c r="FK248" s="96"/>
      <c r="FL248" s="96"/>
      <c r="FM248" s="324"/>
      <c r="FN248" s="93"/>
      <c r="FO248" s="93"/>
      <c r="FP248" s="93"/>
      <c r="FQ248" s="93"/>
      <c r="FR248" s="93"/>
      <c r="FS248" s="93"/>
      <c r="FT248" s="93"/>
      <c r="FU248" s="93"/>
      <c r="FV248" s="93"/>
      <c r="FW248" s="93"/>
      <c r="FX248" s="93"/>
      <c r="FY248" s="259"/>
      <c r="FZ248" s="259"/>
      <c r="GA248" s="259"/>
      <c r="GB248" s="259"/>
      <c r="GC248" s="49"/>
      <c r="GD248" s="49"/>
      <c r="GE248" s="49"/>
      <c r="GF248" s="49"/>
      <c r="GG248" s="49"/>
      <c r="GH248" s="49"/>
      <c r="GI248" s="49"/>
      <c r="GJ248" s="49"/>
      <c r="GK248" s="49"/>
      <c r="GL248" s="49"/>
      <c r="GM248" s="49"/>
      <c r="GN248" s="49"/>
      <c r="GO248" s="49"/>
      <c r="GP248" s="49"/>
      <c r="GQ248" s="49"/>
      <c r="GR248" s="49"/>
      <c r="GS248" s="49"/>
      <c r="GT248" s="49"/>
      <c r="GU248" s="49"/>
      <c r="GV248" s="49"/>
      <c r="GW248" s="66"/>
      <c r="GX248" s="66"/>
      <c r="GY248" s="66"/>
      <c r="GZ248" s="66"/>
      <c r="HA248" s="66"/>
      <c r="HB248" s="66"/>
      <c r="HC248" s="66"/>
      <c r="HD248" s="66"/>
      <c r="HE248" s="66"/>
      <c r="HF248" s="66"/>
      <c r="HG248" s="66"/>
      <c r="HH248" s="66"/>
      <c r="HI248" s="66"/>
      <c r="HJ248" s="66"/>
      <c r="HK248" s="66"/>
      <c r="HL248" s="66"/>
      <c r="HM248" s="66"/>
      <c r="HN248" s="66"/>
      <c r="HO248" s="66"/>
      <c r="HP248" s="66"/>
      <c r="HQ248" s="66"/>
      <c r="HR248" s="66"/>
      <c r="HS248" s="66"/>
      <c r="HT248" s="66"/>
      <c r="HU248" s="66"/>
      <c r="HV248" s="66"/>
      <c r="HW248" s="66"/>
      <c r="HX248" s="66"/>
      <c r="HY248" s="66"/>
      <c r="HZ248" s="66"/>
      <c r="IA248" s="66"/>
    </row>
    <row r="249" spans="1:235" customFormat="1" ht="6.75" customHeight="1">
      <c r="A249" s="1"/>
      <c r="B249" s="3"/>
      <c r="C249" s="3"/>
      <c r="D249" s="124"/>
      <c r="E249" s="320"/>
      <c r="F249" s="320"/>
      <c r="G249" s="320"/>
      <c r="H249" s="320"/>
      <c r="I249" s="320"/>
      <c r="J249" s="79"/>
      <c r="K249" s="79"/>
      <c r="L249" s="79"/>
      <c r="M249" s="79"/>
      <c r="N249" s="79"/>
      <c r="O249" s="79"/>
      <c r="P249" s="79"/>
      <c r="Q249" s="79"/>
      <c r="R249" s="79"/>
      <c r="S249" s="79"/>
      <c r="T249" s="318"/>
      <c r="U249" s="318"/>
      <c r="V249" s="318"/>
      <c r="W249" s="318"/>
      <c r="X249" s="318"/>
      <c r="Y249" s="318"/>
      <c r="Z249" s="318"/>
      <c r="AA249" s="318"/>
      <c r="AB249" s="318"/>
      <c r="AC249" s="318"/>
      <c r="AD249" s="318"/>
      <c r="AE249" s="318"/>
      <c r="AF249" s="318"/>
      <c r="AG249" s="318"/>
      <c r="AH249" s="318"/>
      <c r="AI249" s="318"/>
      <c r="AJ249" s="318"/>
      <c r="AK249" s="318"/>
      <c r="AL249" s="318"/>
      <c r="AM249" s="318"/>
      <c r="AN249" s="318"/>
      <c r="AO249" s="318"/>
      <c r="AP249" s="318"/>
      <c r="AQ249" s="318"/>
      <c r="AR249" s="318"/>
      <c r="AS249" s="318"/>
      <c r="AT249" s="318"/>
      <c r="AU249" s="318"/>
      <c r="AV249" s="318"/>
      <c r="AW249" s="318"/>
      <c r="AX249" s="318"/>
      <c r="AY249" s="318"/>
      <c r="AZ249" s="318"/>
      <c r="BA249" s="318"/>
      <c r="BB249" s="318"/>
      <c r="BC249" s="318"/>
      <c r="BD249" s="318"/>
      <c r="BE249" s="318"/>
      <c r="BF249" s="318"/>
      <c r="BG249" s="318"/>
      <c r="BH249" s="318"/>
      <c r="BI249" s="318"/>
      <c r="BJ249" s="318"/>
      <c r="BK249" s="318"/>
      <c r="BL249" s="318"/>
      <c r="BM249" s="318"/>
      <c r="BN249" s="318"/>
      <c r="BO249" s="318"/>
      <c r="BP249" s="318"/>
      <c r="BQ249" s="318"/>
      <c r="BR249" s="318"/>
      <c r="BS249" s="318"/>
      <c r="BT249" s="318"/>
      <c r="BU249" s="318"/>
      <c r="BV249" s="318"/>
      <c r="BW249" s="318"/>
      <c r="BX249" s="318"/>
      <c r="BY249" s="318"/>
      <c r="BZ249" s="318"/>
      <c r="CA249" s="318"/>
      <c r="CB249" s="318"/>
      <c r="CC249" s="318"/>
      <c r="CD249" s="278"/>
      <c r="CE249" s="278"/>
      <c r="CF249" s="278"/>
      <c r="CG249" s="278"/>
      <c r="CH249" s="278"/>
      <c r="CI249" s="278"/>
      <c r="CJ249" s="278"/>
      <c r="CK249" s="278"/>
      <c r="CL249" s="278"/>
      <c r="CM249" s="278"/>
      <c r="CN249" s="278"/>
      <c r="CO249" s="278"/>
      <c r="CP249" s="278"/>
      <c r="CQ249" s="278"/>
      <c r="CR249" s="278"/>
      <c r="CS249" s="278"/>
      <c r="CT249" s="278"/>
      <c r="CU249" s="278"/>
      <c r="CV249" s="278"/>
      <c r="CW249" s="278"/>
      <c r="CX249" s="278"/>
      <c r="CY249" s="278"/>
      <c r="CZ249" s="278"/>
      <c r="DA249" s="278"/>
      <c r="DB249" s="278"/>
      <c r="DC249" s="278"/>
      <c r="DD249" s="278"/>
      <c r="DE249" s="318"/>
      <c r="DF249" s="278"/>
      <c r="DG249" s="278"/>
      <c r="DH249" s="278"/>
      <c r="DI249" s="278"/>
      <c r="DJ249" s="278"/>
      <c r="DK249" s="278"/>
      <c r="DL249" s="165"/>
      <c r="DM249" s="43"/>
      <c r="DN249" s="43"/>
      <c r="DO249" s="43"/>
      <c r="DP249" s="43"/>
      <c r="DQ249" s="43"/>
      <c r="DR249" s="43"/>
      <c r="DS249" s="43"/>
      <c r="DT249" s="43"/>
      <c r="DU249" s="43"/>
      <c r="DV249" s="43"/>
      <c r="DW249" s="43"/>
      <c r="DX249" s="43"/>
      <c r="DY249" s="278"/>
      <c r="DZ249" s="278"/>
      <c r="EA249" s="278"/>
      <c r="EB249" s="278"/>
      <c r="EC249" s="278"/>
      <c r="ED249" s="278"/>
      <c r="EE249" s="547"/>
      <c r="EF249" s="547"/>
      <c r="EG249" s="547"/>
      <c r="EH249" s="547"/>
      <c r="EI249" s="547"/>
      <c r="EJ249" s="547"/>
      <c r="EK249" s="547"/>
      <c r="EL249" s="547"/>
      <c r="EM249" s="547"/>
      <c r="EN249" s="547"/>
      <c r="EO249" s="547"/>
      <c r="EP249" s="547"/>
      <c r="EQ249" s="547"/>
      <c r="ER249" s="547"/>
      <c r="ES249" s="547"/>
      <c r="ET249" s="547"/>
      <c r="EU249" s="547"/>
      <c r="EV249" s="547"/>
      <c r="EW249" s="547"/>
      <c r="EX249" s="547"/>
      <c r="EY249" s="547"/>
      <c r="EZ249" s="547"/>
      <c r="FA249" s="547"/>
      <c r="FB249" s="547"/>
      <c r="FC249" s="547"/>
      <c r="FD249" s="547"/>
      <c r="FE249" s="547"/>
      <c r="FF249" s="547"/>
      <c r="FG249" s="547"/>
      <c r="FH249" s="43"/>
      <c r="FI249" s="43"/>
      <c r="FJ249" s="96"/>
      <c r="FK249" s="96"/>
      <c r="FL249" s="96"/>
      <c r="FM249" s="324"/>
      <c r="FN249" s="93"/>
      <c r="FO249" s="93"/>
      <c r="FP249" s="93"/>
      <c r="FQ249" s="93"/>
      <c r="FR249" s="93"/>
      <c r="FS249" s="93"/>
      <c r="FT249" s="93"/>
      <c r="FU249" s="93"/>
      <c r="FV249" s="93"/>
      <c r="FW249" s="93"/>
      <c r="FX249" s="93"/>
      <c r="FY249" s="259"/>
      <c r="FZ249" s="259"/>
      <c r="GA249" s="259"/>
      <c r="GB249" s="259"/>
      <c r="GC249" s="49"/>
      <c r="GD249" s="49"/>
      <c r="GE249" s="49"/>
      <c r="GF249" s="49"/>
      <c r="GG249" s="49"/>
      <c r="GH249" s="49"/>
      <c r="GI249" s="49"/>
      <c r="GJ249" s="49"/>
      <c r="GK249" s="49"/>
      <c r="GL249" s="49"/>
      <c r="GM249" s="49"/>
      <c r="GN249" s="49"/>
      <c r="GO249" s="49"/>
      <c r="GP249" s="49"/>
      <c r="GQ249" s="49"/>
      <c r="GR249" s="49"/>
      <c r="GS249" s="49"/>
      <c r="GT249" s="49"/>
      <c r="GU249" s="49"/>
      <c r="GV249" s="49"/>
      <c r="GW249" s="66"/>
      <c r="GX249" s="66"/>
      <c r="GY249" s="66"/>
      <c r="GZ249" s="66"/>
      <c r="HA249" s="66"/>
      <c r="HB249" s="66"/>
      <c r="HC249" s="66"/>
      <c r="HD249" s="66"/>
      <c r="HE249" s="66"/>
      <c r="HF249" s="66"/>
      <c r="HG249" s="66"/>
      <c r="HH249" s="66"/>
      <c r="HI249" s="66"/>
      <c r="HJ249" s="66"/>
      <c r="HK249" s="66"/>
      <c r="HL249" s="66"/>
      <c r="HM249" s="66"/>
      <c r="HN249" s="66"/>
      <c r="HO249" s="66"/>
      <c r="HP249" s="66"/>
      <c r="HQ249" s="66"/>
      <c r="HR249" s="66"/>
      <c r="HS249" s="66"/>
      <c r="HT249" s="66"/>
      <c r="HU249" s="66"/>
      <c r="HV249" s="66"/>
      <c r="HW249" s="66"/>
      <c r="HX249" s="66"/>
      <c r="HY249" s="66"/>
      <c r="HZ249" s="66"/>
      <c r="IA249" s="66"/>
    </row>
    <row r="250" spans="1:235" customFormat="1" ht="3.75" customHeight="1">
      <c r="A250" s="1"/>
      <c r="B250" s="3"/>
      <c r="C250" s="3"/>
      <c r="D250" s="124"/>
      <c r="E250" s="320"/>
      <c r="F250" s="320"/>
      <c r="G250" s="320"/>
      <c r="H250" s="320"/>
      <c r="I250" s="320"/>
      <c r="J250" s="79"/>
      <c r="K250" s="79"/>
      <c r="L250" s="41"/>
      <c r="M250" s="42"/>
      <c r="N250" s="41"/>
      <c r="O250" s="41"/>
      <c r="P250" s="41"/>
      <c r="Q250" s="41"/>
      <c r="R250" s="41"/>
      <c r="S250" s="79"/>
      <c r="T250" s="318"/>
      <c r="U250" s="318"/>
      <c r="V250" s="318"/>
      <c r="W250" s="318"/>
      <c r="X250" s="318"/>
      <c r="Y250" s="318"/>
      <c r="Z250" s="318"/>
      <c r="AA250" s="318"/>
      <c r="AB250" s="318"/>
      <c r="AC250" s="318"/>
      <c r="AD250" s="318"/>
      <c r="AE250" s="318"/>
      <c r="AF250" s="318"/>
      <c r="AG250" s="318"/>
      <c r="AH250" s="318"/>
      <c r="AI250" s="318"/>
      <c r="AJ250" s="318"/>
      <c r="AK250" s="318"/>
      <c r="AL250" s="318"/>
      <c r="AM250" s="318"/>
      <c r="AN250" s="318"/>
      <c r="AO250" s="318"/>
      <c r="AP250" s="318"/>
      <c r="AQ250" s="318"/>
      <c r="AR250" s="318"/>
      <c r="AS250" s="318"/>
      <c r="AT250" s="318"/>
      <c r="AU250" s="318"/>
      <c r="AV250" s="318"/>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18"/>
      <c r="CZ250" s="318"/>
      <c r="DA250" s="318"/>
      <c r="DB250" s="318"/>
      <c r="DC250" s="318"/>
      <c r="DD250" s="318"/>
      <c r="DE250" s="536" t="str">
        <f ca="1">IF(FL1=0,"","+")</f>
        <v/>
      </c>
      <c r="DF250" s="536"/>
      <c r="DG250" s="536"/>
      <c r="DH250" s="536"/>
      <c r="DI250" s="536"/>
      <c r="DJ250" s="536"/>
      <c r="DK250" s="536"/>
      <c r="DL250" s="165"/>
      <c r="DM250" s="43"/>
      <c r="DN250" s="43"/>
      <c r="DO250" s="43"/>
      <c r="DP250" s="43"/>
      <c r="DQ250" s="43"/>
      <c r="DR250" s="43"/>
      <c r="DS250" s="43"/>
      <c r="DT250" s="43"/>
      <c r="DU250" s="43"/>
      <c r="DV250" s="43"/>
      <c r="DW250" s="43"/>
      <c r="DX250" s="43"/>
      <c r="DY250" s="278"/>
      <c r="DZ250" s="278"/>
      <c r="EA250" s="278"/>
      <c r="EB250" s="278"/>
      <c r="EC250" s="278"/>
      <c r="ED250" s="278"/>
      <c r="EE250" s="547"/>
      <c r="EF250" s="547"/>
      <c r="EG250" s="547"/>
      <c r="EH250" s="547"/>
      <c r="EI250" s="547"/>
      <c r="EJ250" s="547"/>
      <c r="EK250" s="547"/>
      <c r="EL250" s="547"/>
      <c r="EM250" s="547"/>
      <c r="EN250" s="547"/>
      <c r="EO250" s="547"/>
      <c r="EP250" s="547"/>
      <c r="EQ250" s="547"/>
      <c r="ER250" s="547"/>
      <c r="ES250" s="547"/>
      <c r="ET250" s="547"/>
      <c r="EU250" s="547"/>
      <c r="EV250" s="547"/>
      <c r="EW250" s="547"/>
      <c r="EX250" s="547"/>
      <c r="EY250" s="547"/>
      <c r="EZ250" s="547"/>
      <c r="FA250" s="547"/>
      <c r="FB250" s="547"/>
      <c r="FC250" s="547"/>
      <c r="FD250" s="547"/>
      <c r="FE250" s="547"/>
      <c r="FF250" s="547"/>
      <c r="FG250" s="547"/>
      <c r="FH250" s="43"/>
      <c r="FI250" s="43"/>
      <c r="FJ250" s="96"/>
      <c r="FK250" s="96"/>
      <c r="FL250" s="96"/>
      <c r="FM250" s="324"/>
      <c r="FN250" s="93"/>
      <c r="FO250" s="93"/>
      <c r="FP250" s="93"/>
      <c r="FQ250" s="93"/>
      <c r="FR250" s="93"/>
      <c r="FS250" s="93"/>
      <c r="FT250" s="93"/>
      <c r="FU250" s="93"/>
      <c r="FV250" s="93"/>
      <c r="FW250" s="93"/>
      <c r="FX250" s="93"/>
      <c r="FY250" s="259"/>
      <c r="FZ250" s="259"/>
      <c r="GA250" s="259"/>
      <c r="GB250" s="259"/>
      <c r="GC250" s="49"/>
      <c r="GD250" s="49"/>
      <c r="GE250" s="49"/>
      <c r="GF250" s="49"/>
      <c r="GG250" s="49"/>
      <c r="GH250" s="49"/>
      <c r="GI250" s="49"/>
      <c r="GJ250" s="49"/>
      <c r="GK250" s="49"/>
      <c r="GL250" s="49"/>
      <c r="GM250" s="49"/>
      <c r="GN250" s="49"/>
      <c r="GO250" s="49"/>
      <c r="GP250" s="49"/>
      <c r="GQ250" s="49"/>
      <c r="GR250" s="49"/>
      <c r="GS250" s="49"/>
      <c r="GT250" s="49"/>
      <c r="GU250" s="49"/>
      <c r="GV250" s="49"/>
      <c r="GW250" s="66"/>
      <c r="GX250" s="66"/>
      <c r="GY250" s="66"/>
      <c r="GZ250" s="66"/>
      <c r="HA250" s="66"/>
      <c r="HB250" s="66"/>
      <c r="HC250" s="66"/>
      <c r="HD250" s="66"/>
      <c r="HE250" s="66"/>
      <c r="HF250" s="66"/>
      <c r="HG250" s="66"/>
      <c r="HH250" s="66"/>
      <c r="HI250" s="66"/>
      <c r="HJ250" s="66"/>
      <c r="HK250" s="66"/>
      <c r="HL250" s="66"/>
      <c r="HM250" s="66"/>
      <c r="HN250" s="66"/>
      <c r="HO250" s="66"/>
      <c r="HP250" s="66"/>
      <c r="HQ250" s="66"/>
      <c r="HR250" s="66"/>
      <c r="HS250" s="66"/>
      <c r="HT250" s="66"/>
      <c r="HU250" s="66"/>
      <c r="HV250" s="66"/>
      <c r="HW250" s="66"/>
      <c r="HX250" s="66"/>
      <c r="HY250" s="66"/>
      <c r="HZ250" s="66"/>
      <c r="IA250" s="66"/>
    </row>
    <row r="251" spans="1:235" customFormat="1" ht="16.5" customHeight="1">
      <c r="A251" s="1"/>
      <c r="B251" s="3"/>
      <c r="C251" s="3"/>
      <c r="D251" s="124"/>
      <c r="E251" s="320"/>
      <c r="F251" s="320"/>
      <c r="G251" s="320"/>
      <c r="H251" s="320"/>
      <c r="I251" s="320"/>
      <c r="J251" s="79"/>
      <c r="K251" s="79"/>
      <c r="L251" s="41"/>
      <c r="M251" s="42"/>
      <c r="N251" s="41"/>
      <c r="O251" s="41"/>
      <c r="P251" s="41"/>
      <c r="Q251" s="79"/>
      <c r="R251" s="41"/>
      <c r="S251" s="79"/>
      <c r="T251" s="180"/>
      <c r="U251" s="321"/>
      <c r="V251" s="321"/>
      <c r="W251" s="321"/>
      <c r="X251" s="321"/>
      <c r="Y251" s="321"/>
      <c r="Z251" s="321"/>
      <c r="AA251" s="321"/>
      <c r="AB251" s="321"/>
      <c r="AC251" s="321"/>
      <c r="AD251" s="321"/>
      <c r="AE251" s="321"/>
      <c r="AF251" s="321"/>
      <c r="AG251" s="321"/>
      <c r="AH251" s="321"/>
      <c r="AI251" s="321"/>
      <c r="AJ251" s="321"/>
      <c r="AK251" s="321"/>
      <c r="AL251" s="321"/>
      <c r="AM251" s="321"/>
      <c r="AN251" s="321"/>
      <c r="AO251" s="321"/>
      <c r="AP251" s="181"/>
      <c r="AQ251" s="181"/>
      <c r="AR251" s="181"/>
      <c r="AS251" s="181"/>
      <c r="AT251" s="181"/>
      <c r="AU251" s="181"/>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18"/>
      <c r="CZ251" s="318"/>
      <c r="DA251" s="318"/>
      <c r="DB251" s="153" t="str">
        <f ca="1">IF(FL1=0,"","Hoeveelheid waarbij maximale omzet wordt gemaakt:")</f>
        <v/>
      </c>
      <c r="DC251" s="318"/>
      <c r="DD251" s="318"/>
      <c r="DE251" s="314" t="str">
        <f ca="1">IF(FL1=0,"","+")</f>
        <v/>
      </c>
      <c r="DF251" s="537"/>
      <c r="DG251" s="537"/>
      <c r="DH251" s="537"/>
      <c r="DI251" s="537"/>
      <c r="DJ251" s="537"/>
      <c r="DK251" s="314" t="str">
        <f ca="1">IF(FL1=0,"","+")</f>
        <v/>
      </c>
      <c r="DL251" s="165" t="s">
        <v>131</v>
      </c>
      <c r="DM251" s="43"/>
      <c r="DN251" s="43"/>
      <c r="DO251" s="340"/>
      <c r="DP251" s="340"/>
      <c r="DQ251" s="340"/>
      <c r="DR251" s="340"/>
      <c r="DS251" s="340"/>
      <c r="DT251" s="340"/>
      <c r="DU251" s="340"/>
      <c r="DV251" s="340"/>
      <c r="DW251" s="340"/>
      <c r="DX251" s="340"/>
      <c r="DY251" s="340"/>
      <c r="DZ251" s="340"/>
      <c r="EA251" s="340"/>
      <c r="EB251" s="340"/>
      <c r="EC251" s="340"/>
      <c r="ED251" s="340"/>
      <c r="EE251" s="547"/>
      <c r="EF251" s="547"/>
      <c r="EG251" s="547"/>
      <c r="EH251" s="547"/>
      <c r="EI251" s="547"/>
      <c r="EJ251" s="547"/>
      <c r="EK251" s="547"/>
      <c r="EL251" s="547"/>
      <c r="EM251" s="547"/>
      <c r="EN251" s="547"/>
      <c r="EO251" s="547"/>
      <c r="EP251" s="547"/>
      <c r="EQ251" s="547"/>
      <c r="ER251" s="547"/>
      <c r="ES251" s="547"/>
      <c r="ET251" s="547"/>
      <c r="EU251" s="547"/>
      <c r="EV251" s="547"/>
      <c r="EW251" s="547"/>
      <c r="EX251" s="547"/>
      <c r="EY251" s="547"/>
      <c r="EZ251" s="547"/>
      <c r="FA251" s="547"/>
      <c r="FB251" s="547"/>
      <c r="FC251" s="547"/>
      <c r="FD251" s="547"/>
      <c r="FE251" s="547"/>
      <c r="FF251" s="547"/>
      <c r="FG251" s="547"/>
      <c r="FH251" s="340"/>
      <c r="FI251" s="340"/>
      <c r="FJ251" s="96"/>
      <c r="FK251" s="96"/>
      <c r="FL251" s="96"/>
      <c r="FM251" s="324"/>
      <c r="FN251" s="93">
        <f ca="1">IF(programma!B1="X",1,IF(FL1=0,0,IF(DF251=FU240,1,0)))</f>
        <v>0</v>
      </c>
      <c r="FO251" s="93"/>
      <c r="FP251" s="93"/>
      <c r="FQ251" s="93"/>
      <c r="FR251" s="93"/>
      <c r="FS251" s="93"/>
      <c r="FT251" s="93"/>
      <c r="FU251" s="93"/>
      <c r="FV251" s="93"/>
      <c r="FW251" s="93"/>
      <c r="FX251" s="93"/>
      <c r="FY251" s="259"/>
      <c r="FZ251" s="259"/>
      <c r="GA251" s="259"/>
      <c r="GB251" s="259"/>
      <c r="GC251" s="49"/>
      <c r="GD251" s="49"/>
      <c r="GE251" s="49"/>
      <c r="GF251" s="49"/>
      <c r="GG251" s="49"/>
      <c r="GH251" s="49"/>
      <c r="GI251" s="49"/>
      <c r="GJ251" s="49"/>
      <c r="GK251" s="49"/>
      <c r="GL251" s="49"/>
      <c r="GM251" s="49"/>
      <c r="GN251" s="49"/>
      <c r="GO251" s="49"/>
      <c r="GP251" s="49"/>
      <c r="GQ251" s="49"/>
      <c r="GR251" s="49"/>
      <c r="GS251" s="49"/>
      <c r="GT251" s="49"/>
      <c r="GU251" s="49"/>
      <c r="GV251" s="49"/>
      <c r="GW251" s="66"/>
      <c r="GX251" s="66"/>
      <c r="GY251" s="66"/>
      <c r="GZ251" s="66"/>
      <c r="HA251" s="66"/>
      <c r="HB251" s="66"/>
      <c r="HC251" s="66"/>
      <c r="HD251" s="66"/>
      <c r="HE251" s="66"/>
      <c r="HF251" s="66"/>
      <c r="HG251" s="66"/>
      <c r="HH251" s="66"/>
      <c r="HI251" s="66"/>
      <c r="HJ251" s="66"/>
      <c r="HK251" s="66"/>
      <c r="HL251" s="66"/>
      <c r="HM251" s="66"/>
      <c r="HN251" s="66"/>
      <c r="HO251" s="66"/>
      <c r="HP251" s="66"/>
      <c r="HQ251" s="66"/>
      <c r="HR251" s="66"/>
      <c r="HS251" s="66"/>
      <c r="HT251" s="66"/>
      <c r="HU251" s="66"/>
      <c r="HV251" s="66"/>
      <c r="HW251" s="66"/>
      <c r="HX251" s="66"/>
      <c r="HY251" s="66"/>
      <c r="HZ251" s="66"/>
      <c r="IA251" s="66"/>
    </row>
    <row r="252" spans="1:235" customFormat="1" ht="3.75" customHeight="1">
      <c r="A252" s="1"/>
      <c r="B252" s="3"/>
      <c r="C252" s="3"/>
      <c r="D252" s="124"/>
      <c r="E252" s="320"/>
      <c r="F252" s="320"/>
      <c r="G252" s="320"/>
      <c r="H252" s="320"/>
      <c r="I252" s="320"/>
      <c r="J252" s="79"/>
      <c r="K252" s="79"/>
      <c r="L252" s="41"/>
      <c r="M252" s="42"/>
      <c r="N252" s="41"/>
      <c r="O252" s="41"/>
      <c r="P252" s="41"/>
      <c r="Q252" s="79"/>
      <c r="R252" s="41"/>
      <c r="S252" s="79"/>
      <c r="T252" s="318"/>
      <c r="U252" s="318"/>
      <c r="V252" s="318"/>
      <c r="W252" s="318"/>
      <c r="X252" s="318"/>
      <c r="Y252" s="318"/>
      <c r="Z252" s="318"/>
      <c r="AA252" s="318"/>
      <c r="AB252" s="318"/>
      <c r="AC252" s="318"/>
      <c r="AD252" s="318"/>
      <c r="AE252" s="318"/>
      <c r="AF252" s="318"/>
      <c r="AG252" s="318"/>
      <c r="AH252" s="318"/>
      <c r="AI252" s="318"/>
      <c r="AJ252" s="318"/>
      <c r="AK252" s="318"/>
      <c r="AL252" s="318"/>
      <c r="AM252" s="318"/>
      <c r="AN252" s="318"/>
      <c r="AO252" s="318"/>
      <c r="AP252" s="318"/>
      <c r="AQ252" s="318"/>
      <c r="AR252" s="318"/>
      <c r="AS252" s="318"/>
      <c r="AT252" s="318"/>
      <c r="AU252" s="318"/>
      <c r="AV252" s="318"/>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18"/>
      <c r="CZ252" s="318"/>
      <c r="DA252" s="318"/>
      <c r="DB252" s="41"/>
      <c r="DC252" s="318"/>
      <c r="DD252" s="318"/>
      <c r="DE252" s="536" t="str">
        <f ca="1">IF(FL1=0,"","+")</f>
        <v/>
      </c>
      <c r="DF252" s="536"/>
      <c r="DG252" s="536"/>
      <c r="DH252" s="536"/>
      <c r="DI252" s="536"/>
      <c r="DJ252" s="536"/>
      <c r="DK252" s="536"/>
      <c r="DL252" s="165"/>
      <c r="DM252" s="43"/>
      <c r="DN252" s="43"/>
      <c r="DO252" s="340"/>
      <c r="DP252" s="340"/>
      <c r="DQ252" s="340"/>
      <c r="DR252" s="340"/>
      <c r="DS252" s="340"/>
      <c r="DT252" s="340"/>
      <c r="DU252" s="340"/>
      <c r="DV252" s="340"/>
      <c r="DW252" s="340"/>
      <c r="DX252" s="340"/>
      <c r="DY252" s="340"/>
      <c r="DZ252" s="340"/>
      <c r="EA252" s="340"/>
      <c r="EB252" s="340"/>
      <c r="EC252" s="340"/>
      <c r="ED252" s="340"/>
      <c r="EE252" s="340"/>
      <c r="EF252" s="340"/>
      <c r="EG252" s="340"/>
      <c r="EH252" s="340"/>
      <c r="EI252" s="340"/>
      <c r="EJ252" s="340"/>
      <c r="EK252" s="340"/>
      <c r="EL252" s="340"/>
      <c r="EM252" s="340"/>
      <c r="EN252" s="340"/>
      <c r="EO252" s="340"/>
      <c r="EP252" s="340"/>
      <c r="EQ252" s="340"/>
      <c r="ER252" s="340"/>
      <c r="ES252" s="340"/>
      <c r="ET252" s="340"/>
      <c r="EU252" s="340"/>
      <c r="EV252" s="340"/>
      <c r="EW252" s="340"/>
      <c r="EX252" s="340"/>
      <c r="EY252" s="340"/>
      <c r="EZ252" s="340"/>
      <c r="FA252" s="340"/>
      <c r="FB252" s="340"/>
      <c r="FC252" s="340"/>
      <c r="FD252" s="340"/>
      <c r="FE252" s="340"/>
      <c r="FF252" s="340"/>
      <c r="FG252" s="340"/>
      <c r="FH252" s="340"/>
      <c r="FI252" s="340"/>
      <c r="FJ252" s="96"/>
      <c r="FK252" s="96"/>
      <c r="FL252" s="96"/>
      <c r="FM252" s="324"/>
      <c r="FN252" s="93"/>
      <c r="FO252" s="93"/>
      <c r="FP252" s="93"/>
      <c r="FQ252" s="93"/>
      <c r="FR252" s="93"/>
      <c r="FS252" s="93"/>
      <c r="FT252" s="93"/>
      <c r="FU252" s="93"/>
      <c r="FV252" s="93"/>
      <c r="FW252" s="93"/>
      <c r="FX252" s="93"/>
      <c r="FY252" s="259"/>
      <c r="FZ252" s="259"/>
      <c r="GA252" s="259"/>
      <c r="GB252" s="259"/>
      <c r="GC252" s="49"/>
      <c r="GD252" s="49"/>
      <c r="GE252" s="49"/>
      <c r="GF252" s="49"/>
      <c r="GG252" s="49"/>
      <c r="GH252" s="49"/>
      <c r="GI252" s="49"/>
      <c r="GJ252" s="49"/>
      <c r="GK252" s="49"/>
      <c r="GL252" s="49"/>
      <c r="GM252" s="49"/>
      <c r="GN252" s="49"/>
      <c r="GO252" s="49"/>
      <c r="GP252" s="49"/>
      <c r="GQ252" s="49"/>
      <c r="GR252" s="49"/>
      <c r="GS252" s="49"/>
      <c r="GT252" s="49"/>
      <c r="GU252" s="49"/>
      <c r="GV252" s="49"/>
      <c r="GW252" s="66"/>
      <c r="GX252" s="66"/>
      <c r="GY252" s="66"/>
      <c r="GZ252" s="66"/>
      <c r="HA252" s="66"/>
      <c r="HB252" s="66"/>
      <c r="HC252" s="66"/>
      <c r="HD252" s="66"/>
      <c r="HE252" s="66"/>
      <c r="HF252" s="66"/>
      <c r="HG252" s="66"/>
      <c r="HH252" s="66"/>
      <c r="HI252" s="66"/>
      <c r="HJ252" s="66"/>
      <c r="HK252" s="66"/>
      <c r="HL252" s="66"/>
      <c r="HM252" s="66"/>
      <c r="HN252" s="66"/>
      <c r="HO252" s="66"/>
      <c r="HP252" s="66"/>
      <c r="HQ252" s="66"/>
      <c r="HR252" s="66"/>
      <c r="HS252" s="66"/>
      <c r="HT252" s="66"/>
      <c r="HU252" s="66"/>
      <c r="HV252" s="66"/>
      <c r="HW252" s="66"/>
      <c r="HX252" s="66"/>
      <c r="HY252" s="66"/>
      <c r="HZ252" s="66"/>
      <c r="IA252" s="66"/>
    </row>
    <row r="253" spans="1:235" customFormat="1" ht="6.75" customHeight="1">
      <c r="A253" s="1"/>
      <c r="B253" s="3"/>
      <c r="C253" s="3"/>
      <c r="D253" s="124"/>
      <c r="E253" s="320"/>
      <c r="F253" s="320"/>
      <c r="G253" s="320"/>
      <c r="H253" s="320"/>
      <c r="I253" s="320"/>
      <c r="J253" s="79"/>
      <c r="K253" s="79"/>
      <c r="L253" s="79"/>
      <c r="M253" s="79"/>
      <c r="N253" s="79"/>
      <c r="O253" s="79"/>
      <c r="P253" s="79"/>
      <c r="Q253" s="79"/>
      <c r="R253" s="79"/>
      <c r="S253" s="79"/>
      <c r="T253" s="318"/>
      <c r="U253" s="318"/>
      <c r="V253" s="318"/>
      <c r="W253" s="318"/>
      <c r="X253" s="318"/>
      <c r="Y253" s="318"/>
      <c r="Z253" s="318"/>
      <c r="AA253" s="318"/>
      <c r="AB253" s="318"/>
      <c r="AC253" s="318"/>
      <c r="AD253" s="318"/>
      <c r="AE253" s="318"/>
      <c r="AF253" s="318"/>
      <c r="AG253" s="318"/>
      <c r="AH253" s="318"/>
      <c r="AI253" s="318"/>
      <c r="AJ253" s="318"/>
      <c r="AK253" s="318"/>
      <c r="AL253" s="318"/>
      <c r="AM253" s="318"/>
      <c r="AN253" s="318"/>
      <c r="AO253" s="318"/>
      <c r="AP253" s="318"/>
      <c r="AQ253" s="318"/>
      <c r="AR253" s="318"/>
      <c r="AS253" s="318"/>
      <c r="AT253" s="318"/>
      <c r="AU253" s="318"/>
      <c r="AV253" s="318"/>
      <c r="AW253" s="318"/>
      <c r="AX253" s="318"/>
      <c r="AY253" s="318"/>
      <c r="AZ253" s="318"/>
      <c r="BA253" s="318"/>
      <c r="BB253" s="318"/>
      <c r="BC253" s="318"/>
      <c r="BD253" s="318"/>
      <c r="BE253" s="318"/>
      <c r="BF253" s="318"/>
      <c r="BG253" s="318"/>
      <c r="BH253" s="318"/>
      <c r="BI253" s="318"/>
      <c r="BJ253" s="318"/>
      <c r="BK253" s="318"/>
      <c r="BL253" s="318"/>
      <c r="BM253" s="318"/>
      <c r="BN253" s="318"/>
      <c r="BO253" s="318"/>
      <c r="BP253" s="318"/>
      <c r="BQ253" s="318"/>
      <c r="BR253" s="318"/>
      <c r="BS253" s="318"/>
      <c r="BT253" s="318"/>
      <c r="BU253" s="318"/>
      <c r="BV253" s="318"/>
      <c r="BW253" s="318"/>
      <c r="BX253" s="318"/>
      <c r="BY253" s="318"/>
      <c r="BZ253" s="318"/>
      <c r="CA253" s="318"/>
      <c r="CB253" s="318"/>
      <c r="CC253" s="318"/>
      <c r="CD253" s="278"/>
      <c r="CE253" s="278"/>
      <c r="CF253" s="278"/>
      <c r="CG253" s="278"/>
      <c r="CH253" s="278"/>
      <c r="CI253" s="278"/>
      <c r="CJ253" s="278"/>
      <c r="CK253" s="278"/>
      <c r="CL253" s="278"/>
      <c r="CM253" s="278"/>
      <c r="CN253" s="278"/>
      <c r="CO253" s="278"/>
      <c r="CP253" s="278"/>
      <c r="CQ253" s="278"/>
      <c r="CR253" s="278"/>
      <c r="CS253" s="278"/>
      <c r="CT253" s="278"/>
      <c r="CU253" s="278"/>
      <c r="CV253" s="278"/>
      <c r="CW253" s="278"/>
      <c r="CX253" s="278"/>
      <c r="CY253" s="278"/>
      <c r="CZ253" s="278"/>
      <c r="DA253" s="278"/>
      <c r="DB253" s="43"/>
      <c r="DC253" s="278"/>
      <c r="DD253" s="278"/>
      <c r="DE253" s="318"/>
      <c r="DF253" s="278"/>
      <c r="DG253" s="278"/>
      <c r="DH253" s="278"/>
      <c r="DI253" s="278"/>
      <c r="DJ253" s="278"/>
      <c r="DK253" s="278"/>
      <c r="DL253" s="165"/>
      <c r="DM253" s="43"/>
      <c r="DN253" s="43"/>
      <c r="DO253" s="322"/>
      <c r="DP253" s="322"/>
      <c r="DQ253" s="322"/>
      <c r="DR253" s="322"/>
      <c r="DS253" s="322"/>
      <c r="DT253" s="322"/>
      <c r="DU253" s="322"/>
      <c r="DV253" s="322"/>
      <c r="DW253" s="322"/>
      <c r="DX253" s="322"/>
      <c r="DY253" s="322"/>
      <c r="DZ253" s="322"/>
      <c r="EA253" s="322"/>
      <c r="EB253" s="322"/>
      <c r="EC253" s="322"/>
      <c r="ED253" s="322"/>
      <c r="EE253" s="322"/>
      <c r="EF253" s="322"/>
      <c r="EG253" s="322"/>
      <c r="EH253" s="322"/>
      <c r="EI253" s="322"/>
      <c r="EJ253" s="322"/>
      <c r="EK253" s="322"/>
      <c r="EL253" s="322"/>
      <c r="EM253" s="322"/>
      <c r="EN253" s="322"/>
      <c r="EO253" s="322"/>
      <c r="EP253" s="322"/>
      <c r="EQ253" s="322"/>
      <c r="ER253" s="322"/>
      <c r="ES253" s="322"/>
      <c r="ET253" s="322"/>
      <c r="EU253" s="322"/>
      <c r="EV253" s="322"/>
      <c r="EW253" s="322"/>
      <c r="EX253" s="322"/>
      <c r="EY253" s="322"/>
      <c r="EZ253" s="322"/>
      <c r="FA253" s="322"/>
      <c r="FB253" s="322"/>
      <c r="FC253" s="322"/>
      <c r="FD253" s="322"/>
      <c r="FE253" s="322"/>
      <c r="FF253" s="322"/>
      <c r="FG253" s="322"/>
      <c r="FH253" s="322"/>
      <c r="FI253" s="322"/>
      <c r="FJ253" s="96"/>
      <c r="FK253" s="96"/>
      <c r="FL253" s="96"/>
      <c r="FM253" s="324"/>
      <c r="FN253" s="93"/>
      <c r="FO253" s="93"/>
      <c r="FP253" s="93"/>
      <c r="FQ253" s="93"/>
      <c r="FR253" s="93"/>
      <c r="FS253" s="93"/>
      <c r="FT253" s="93"/>
      <c r="FU253" s="93"/>
      <c r="FV253" s="93"/>
      <c r="FW253" s="93"/>
      <c r="FX253" s="93"/>
      <c r="FY253" s="259"/>
      <c r="FZ253" s="259"/>
      <c r="GA253" s="259"/>
      <c r="GB253" s="259"/>
      <c r="GC253" s="49"/>
      <c r="GD253" s="49"/>
      <c r="GE253" s="49"/>
      <c r="GF253" s="49"/>
      <c r="GG253" s="49"/>
      <c r="GH253" s="49"/>
      <c r="GI253" s="49"/>
      <c r="GJ253" s="49"/>
      <c r="GK253" s="49"/>
      <c r="GL253" s="49"/>
      <c r="GM253" s="49"/>
      <c r="GN253" s="49"/>
      <c r="GO253" s="49"/>
      <c r="GP253" s="49"/>
      <c r="GQ253" s="49"/>
      <c r="GR253" s="49"/>
      <c r="GS253" s="49"/>
      <c r="GT253" s="49"/>
      <c r="GU253" s="49"/>
      <c r="GV253" s="49"/>
      <c r="GW253" s="66"/>
      <c r="GX253" s="66"/>
      <c r="GY253" s="66"/>
      <c r="GZ253" s="66"/>
      <c r="HA253" s="66"/>
      <c r="HB253" s="66"/>
      <c r="HC253" s="66"/>
      <c r="HD253" s="66"/>
      <c r="HE253" s="66"/>
      <c r="HF253" s="66"/>
      <c r="HG253" s="66"/>
      <c r="HH253" s="66"/>
      <c r="HI253" s="66"/>
      <c r="HJ253" s="66"/>
      <c r="HK253" s="66"/>
      <c r="HL253" s="66"/>
      <c r="HM253" s="66"/>
      <c r="HN253" s="66"/>
      <c r="HO253" s="66"/>
      <c r="HP253" s="66"/>
      <c r="HQ253" s="66"/>
      <c r="HR253" s="66"/>
      <c r="HS253" s="66"/>
      <c r="HT253" s="66"/>
      <c r="HU253" s="66"/>
      <c r="HV253" s="66"/>
      <c r="HW253" s="66"/>
      <c r="HX253" s="66"/>
      <c r="HY253" s="66"/>
      <c r="HZ253" s="66"/>
      <c r="IA253" s="66"/>
    </row>
    <row r="254" spans="1:235" customFormat="1" ht="3.75" customHeight="1">
      <c r="A254" s="1"/>
      <c r="B254" s="3"/>
      <c r="C254" s="3"/>
      <c r="D254" s="124"/>
      <c r="E254" s="320"/>
      <c r="F254" s="320"/>
      <c r="G254" s="320"/>
      <c r="H254" s="320"/>
      <c r="I254" s="320"/>
      <c r="J254" s="79"/>
      <c r="K254" s="79"/>
      <c r="L254" s="41"/>
      <c r="M254" s="42"/>
      <c r="N254" s="41"/>
      <c r="O254" s="41"/>
      <c r="P254" s="41"/>
      <c r="Q254" s="41"/>
      <c r="R254" s="41"/>
      <c r="S254" s="79"/>
      <c r="T254" s="318"/>
      <c r="U254" s="318"/>
      <c r="V254" s="318"/>
      <c r="W254" s="318"/>
      <c r="X254" s="318"/>
      <c r="Y254" s="318"/>
      <c r="Z254" s="318"/>
      <c r="AA254" s="318"/>
      <c r="AB254" s="318"/>
      <c r="AC254" s="318"/>
      <c r="AD254" s="318"/>
      <c r="AE254" s="318"/>
      <c r="AF254" s="318"/>
      <c r="AG254" s="318"/>
      <c r="AH254" s="318"/>
      <c r="AI254" s="318"/>
      <c r="AJ254" s="318"/>
      <c r="AK254" s="318"/>
      <c r="AL254" s="318"/>
      <c r="AM254" s="318"/>
      <c r="AN254" s="318"/>
      <c r="AO254" s="318"/>
      <c r="AP254" s="318"/>
      <c r="AQ254" s="318"/>
      <c r="AR254" s="318"/>
      <c r="AS254" s="318"/>
      <c r="AT254" s="318"/>
      <c r="AU254" s="318"/>
      <c r="AV254" s="318"/>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18"/>
      <c r="CZ254" s="318"/>
      <c r="DA254" s="318"/>
      <c r="DB254" s="318"/>
      <c r="DC254" s="318"/>
      <c r="DD254" s="318"/>
      <c r="DE254" s="536" t="str">
        <f ca="1">IF(FL1=0,"","+")</f>
        <v/>
      </c>
      <c r="DF254" s="536"/>
      <c r="DG254" s="536"/>
      <c r="DH254" s="536"/>
      <c r="DI254" s="536"/>
      <c r="DJ254" s="536"/>
      <c r="DK254" s="536"/>
      <c r="DL254" s="165"/>
      <c r="DM254" s="43"/>
      <c r="DN254" s="43"/>
      <c r="DO254" s="43"/>
      <c r="DP254" s="43"/>
      <c r="DQ254" s="43"/>
      <c r="DR254" s="43"/>
      <c r="DS254" s="43"/>
      <c r="DT254" s="43"/>
      <c r="DU254" s="43"/>
      <c r="DV254" s="43"/>
      <c r="DW254" s="43"/>
      <c r="DX254" s="43"/>
      <c r="DY254" s="278"/>
      <c r="DZ254" s="278"/>
      <c r="EA254" s="278"/>
      <c r="EB254" s="278"/>
      <c r="EC254" s="278"/>
      <c r="ED254" s="278"/>
      <c r="EE254" s="278"/>
      <c r="EF254" s="278"/>
      <c r="EG254" s="278"/>
      <c r="EH254" s="278"/>
      <c r="EI254" s="278"/>
      <c r="EJ254" s="278"/>
      <c r="EK254" s="278"/>
      <c r="EL254" s="278"/>
      <c r="EM254" s="278"/>
      <c r="EN254" s="278"/>
      <c r="EO254" s="278"/>
      <c r="EP254" s="278"/>
      <c r="EQ254" s="278"/>
      <c r="ER254" s="278"/>
      <c r="ES254" s="278"/>
      <c r="ET254" s="278"/>
      <c r="EU254" s="278"/>
      <c r="EV254" s="278"/>
      <c r="EW254" s="278"/>
      <c r="EX254" s="278"/>
      <c r="EY254" s="278"/>
      <c r="EZ254" s="278"/>
      <c r="FA254" s="43"/>
      <c r="FB254" s="43"/>
      <c r="FC254" s="43"/>
      <c r="FD254" s="43"/>
      <c r="FE254" s="43"/>
      <c r="FF254" s="43"/>
      <c r="FG254" s="43"/>
      <c r="FH254" s="43"/>
      <c r="FI254" s="43"/>
      <c r="FJ254" s="96"/>
      <c r="FK254" s="96"/>
      <c r="FL254" s="96"/>
      <c r="FM254" s="324"/>
      <c r="FN254" s="324"/>
      <c r="FO254" s="324"/>
      <c r="FP254" s="93"/>
      <c r="FQ254" s="93"/>
      <c r="FR254" s="93"/>
      <c r="FS254" s="93"/>
      <c r="FT254" s="93"/>
      <c r="FU254" s="93"/>
      <c r="FV254" s="93"/>
      <c r="FW254" s="93"/>
      <c r="FX254" s="93"/>
      <c r="FY254" s="259"/>
      <c r="FZ254" s="259"/>
      <c r="GA254" s="259"/>
      <c r="GB254" s="259"/>
      <c r="GC254" s="49"/>
      <c r="GD254" s="49"/>
      <c r="GE254" s="49"/>
      <c r="GF254" s="49"/>
      <c r="GG254" s="49"/>
      <c r="GH254" s="49"/>
      <c r="GI254" s="49"/>
      <c r="GJ254" s="49"/>
      <c r="GK254" s="49"/>
      <c r="GL254" s="49"/>
      <c r="GM254" s="49"/>
      <c r="GN254" s="49"/>
      <c r="GO254" s="49"/>
      <c r="GP254" s="49"/>
      <c r="GQ254" s="49"/>
      <c r="GR254" s="49"/>
      <c r="GS254" s="49"/>
      <c r="GT254" s="49"/>
      <c r="GU254" s="49"/>
      <c r="GV254" s="49"/>
      <c r="GW254" s="66"/>
      <c r="GX254" s="66"/>
      <c r="GY254" s="66"/>
      <c r="GZ254" s="66"/>
      <c r="HA254" s="66"/>
      <c r="HB254" s="66"/>
      <c r="HC254" s="66"/>
      <c r="HD254" s="66"/>
      <c r="HE254" s="66"/>
      <c r="HF254" s="66"/>
      <c r="HG254" s="66"/>
      <c r="HH254" s="66"/>
      <c r="HI254" s="66"/>
      <c r="HJ254" s="66"/>
      <c r="HK254" s="66"/>
      <c r="HL254" s="66"/>
      <c r="HM254" s="66"/>
      <c r="HN254" s="66"/>
      <c r="HO254" s="66"/>
      <c r="HP254" s="66"/>
      <c r="HQ254" s="66"/>
      <c r="HR254" s="66"/>
      <c r="HS254" s="66"/>
      <c r="HT254" s="66"/>
      <c r="HU254" s="66"/>
      <c r="HV254" s="66"/>
      <c r="HW254" s="66"/>
      <c r="HX254" s="66"/>
      <c r="HY254" s="66"/>
      <c r="HZ254" s="66"/>
      <c r="IA254" s="66"/>
    </row>
    <row r="255" spans="1:235" customFormat="1" ht="16.5" customHeight="1">
      <c r="A255" s="1"/>
      <c r="B255" s="3"/>
      <c r="C255" s="3"/>
      <c r="D255" s="124"/>
      <c r="E255" s="320"/>
      <c r="F255" s="320"/>
      <c r="G255" s="320"/>
      <c r="H255" s="320"/>
      <c r="I255" s="320"/>
      <c r="J255" s="79"/>
      <c r="K255" s="79"/>
      <c r="L255" s="41"/>
      <c r="M255" s="42"/>
      <c r="N255" s="41"/>
      <c r="O255" s="41"/>
      <c r="P255" s="41"/>
      <c r="Q255" s="79"/>
      <c r="R255" s="41"/>
      <c r="S255" s="79"/>
      <c r="T255" s="180"/>
      <c r="U255" s="321"/>
      <c r="V255" s="321"/>
      <c r="W255" s="321"/>
      <c r="X255" s="321"/>
      <c r="Y255" s="321"/>
      <c r="Z255" s="321"/>
      <c r="AA255" s="321"/>
      <c r="AB255" s="321"/>
      <c r="AC255" s="321"/>
      <c r="AD255" s="321"/>
      <c r="AE255" s="321"/>
      <c r="AF255" s="321"/>
      <c r="AG255" s="321"/>
      <c r="AH255" s="321"/>
      <c r="AI255" s="321"/>
      <c r="AJ255" s="321"/>
      <c r="AK255" s="321"/>
      <c r="AL255" s="321"/>
      <c r="AM255" s="321"/>
      <c r="AN255" s="321"/>
      <c r="AO255" s="321"/>
      <c r="AP255" s="181"/>
      <c r="AQ255" s="181"/>
      <c r="AR255" s="181"/>
      <c r="AS255" s="181"/>
      <c r="AT255" s="181"/>
      <c r="AU255" s="181"/>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18"/>
      <c r="CZ255" s="318"/>
      <c r="DA255" s="318"/>
      <c r="DB255" s="153" t="str">
        <f ca="1">IF(FL1=0,"","Hoeveelheid waarbij maximale winst wordt gemaakt:")</f>
        <v/>
      </c>
      <c r="DC255" s="318"/>
      <c r="DD255" s="318"/>
      <c r="DE255" s="314" t="str">
        <f ca="1">IF(FL1=0,"","+")</f>
        <v/>
      </c>
      <c r="DF255" s="537"/>
      <c r="DG255" s="537"/>
      <c r="DH255" s="537"/>
      <c r="DI255" s="537"/>
      <c r="DJ255" s="537"/>
      <c r="DK255" s="314" t="str">
        <f ca="1">IF(FL1=0,"","+")</f>
        <v/>
      </c>
      <c r="DL255" s="165" t="s">
        <v>131</v>
      </c>
      <c r="DM255" s="43"/>
      <c r="DN255" s="43"/>
      <c r="DO255" s="43"/>
      <c r="DP255" s="43"/>
      <c r="DQ255" s="43"/>
      <c r="DR255" s="43"/>
      <c r="DS255" s="43"/>
      <c r="DT255" s="43"/>
      <c r="DU255" s="43"/>
      <c r="DV255" s="43"/>
      <c r="DW255" s="43"/>
      <c r="DX255" s="43"/>
      <c r="DY255" s="278"/>
      <c r="DZ255" s="278"/>
      <c r="EA255" s="278"/>
      <c r="EB255" s="278"/>
      <c r="EC255" s="278"/>
      <c r="ED255" s="278"/>
      <c r="EE255" s="278"/>
      <c r="EF255" s="278"/>
      <c r="EG255" s="278"/>
      <c r="EH255" s="278"/>
      <c r="EI255" s="278"/>
      <c r="EJ255" s="278"/>
      <c r="EK255" s="278"/>
      <c r="EL255" s="278"/>
      <c r="EM255" s="278"/>
      <c r="EN255" s="278"/>
      <c r="EO255" s="278"/>
      <c r="EP255" s="278"/>
      <c r="EQ255" s="278"/>
      <c r="ER255" s="278"/>
      <c r="ES255" s="278"/>
      <c r="ET255" s="278"/>
      <c r="EU255" s="278"/>
      <c r="EV255" s="278"/>
      <c r="EW255" s="278"/>
      <c r="EX255" s="278"/>
      <c r="EY255" s="278"/>
      <c r="EZ255" s="278"/>
      <c r="FA255" s="43"/>
      <c r="FB255" s="43"/>
      <c r="FC255" s="43"/>
      <c r="FD255" s="43"/>
      <c r="FE255" s="43"/>
      <c r="FF255" s="43"/>
      <c r="FG255" s="43"/>
      <c r="FH255" s="43"/>
      <c r="FI255" s="43"/>
      <c r="FJ255" s="96">
        <f ca="1">IF(FN243+FN247+FN251+FN255=4,1,IF(FN243+FN247+FN251+FN255=3,1/2,0))</f>
        <v>0</v>
      </c>
      <c r="FK255" s="96"/>
      <c r="FL255" s="96">
        <f ca="1">IF(programma!B1="X",1,IF(FL1=0,0,IF(FN243+FN247+FN251+FN255=4,1,0)))</f>
        <v>0</v>
      </c>
      <c r="FM255" s="324"/>
      <c r="FN255" s="93">
        <f ca="1">IF(programma!B1="X",1,IF(FL1=0,0,IF(DF255=FT240,1,0)))</f>
        <v>0</v>
      </c>
      <c r="FO255" s="93"/>
      <c r="FP255" s="93"/>
      <c r="FQ255" s="93"/>
      <c r="FR255" s="93"/>
      <c r="FS255" s="93"/>
      <c r="FT255" s="93"/>
      <c r="FU255" s="93"/>
      <c r="FV255" s="93"/>
      <c r="FW255" s="93"/>
      <c r="FX255" s="93"/>
      <c r="FY255" s="259"/>
      <c r="FZ255" s="259"/>
      <c r="GA255" s="259"/>
      <c r="GB255" s="259"/>
      <c r="GC255" s="49"/>
      <c r="GD255" s="49"/>
      <c r="GE255" s="49"/>
      <c r="GF255" s="49"/>
      <c r="GG255" s="49"/>
      <c r="GH255" s="49"/>
      <c r="GI255" s="49"/>
      <c r="GJ255" s="49"/>
      <c r="GK255" s="49"/>
      <c r="GL255" s="49"/>
      <c r="GM255" s="49"/>
      <c r="GN255" s="49"/>
      <c r="GO255" s="49"/>
      <c r="GP255" s="49"/>
      <c r="GQ255" s="49"/>
      <c r="GR255" s="49"/>
      <c r="GS255" s="49"/>
      <c r="GT255" s="49"/>
      <c r="GU255" s="49"/>
      <c r="GV255" s="49"/>
      <c r="GW255" s="66"/>
      <c r="GX255" s="66"/>
      <c r="GY255" s="66"/>
      <c r="GZ255" s="66"/>
      <c r="HA255" s="66"/>
      <c r="HB255" s="66"/>
      <c r="HC255" s="66"/>
      <c r="HD255" s="66"/>
      <c r="HE255" s="66"/>
      <c r="HF255" s="66"/>
      <c r="HG255" s="66"/>
      <c r="HH255" s="66"/>
      <c r="HI255" s="66"/>
      <c r="HJ255" s="66"/>
      <c r="HK255" s="66"/>
      <c r="HL255" s="66"/>
      <c r="HM255" s="66"/>
      <c r="HN255" s="66"/>
      <c r="HO255" s="66"/>
      <c r="HP255" s="66"/>
      <c r="HQ255" s="66"/>
      <c r="HR255" s="66"/>
      <c r="HS255" s="66"/>
      <c r="HT255" s="66"/>
      <c r="HU255" s="66"/>
      <c r="HV255" s="66"/>
      <c r="HW255" s="66"/>
      <c r="HX255" s="66"/>
      <c r="HY255" s="66"/>
      <c r="HZ255" s="66"/>
      <c r="IA255" s="66"/>
    </row>
    <row r="256" spans="1:235" customFormat="1" ht="3.75" customHeight="1">
      <c r="A256" s="1"/>
      <c r="B256" s="3"/>
      <c r="C256" s="3"/>
      <c r="D256" s="124"/>
      <c r="E256" s="320"/>
      <c r="F256" s="320"/>
      <c r="G256" s="320"/>
      <c r="H256" s="320"/>
      <c r="I256" s="320"/>
      <c r="J256" s="79"/>
      <c r="K256" s="79"/>
      <c r="L256" s="41"/>
      <c r="M256" s="42"/>
      <c r="N256" s="41"/>
      <c r="O256" s="41"/>
      <c r="P256" s="41"/>
      <c r="Q256" s="41"/>
      <c r="R256" s="41"/>
      <c r="S256" s="79"/>
      <c r="T256" s="318"/>
      <c r="U256" s="318"/>
      <c r="V256" s="318"/>
      <c r="W256" s="318"/>
      <c r="X256" s="318"/>
      <c r="Y256" s="318"/>
      <c r="Z256" s="318"/>
      <c r="AA256" s="318"/>
      <c r="AB256" s="318"/>
      <c r="AC256" s="318"/>
      <c r="AD256" s="318"/>
      <c r="AE256" s="318"/>
      <c r="AF256" s="318"/>
      <c r="AG256" s="318"/>
      <c r="AH256" s="318"/>
      <c r="AI256" s="318"/>
      <c r="AJ256" s="318"/>
      <c r="AK256" s="318"/>
      <c r="AL256" s="318"/>
      <c r="AM256" s="318"/>
      <c r="AN256" s="318"/>
      <c r="AO256" s="318"/>
      <c r="AP256" s="318"/>
      <c r="AQ256" s="318"/>
      <c r="AR256" s="318"/>
      <c r="AS256" s="318"/>
      <c r="AT256" s="318"/>
      <c r="AU256" s="318"/>
      <c r="AV256" s="318"/>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18"/>
      <c r="CZ256" s="318"/>
      <c r="DA256" s="318"/>
      <c r="DB256" s="318"/>
      <c r="DC256" s="318"/>
      <c r="DD256" s="318"/>
      <c r="DE256" s="536" t="str">
        <f ca="1">IF(FL1=0,"","+")</f>
        <v/>
      </c>
      <c r="DF256" s="536"/>
      <c r="DG256" s="536"/>
      <c r="DH256" s="536"/>
      <c r="DI256" s="536"/>
      <c r="DJ256" s="536"/>
      <c r="DK256" s="536"/>
      <c r="DL256" s="43"/>
      <c r="DM256" s="43"/>
      <c r="DN256" s="43"/>
      <c r="DO256" s="43"/>
      <c r="DP256" s="43"/>
      <c r="DQ256" s="43"/>
      <c r="DR256" s="43"/>
      <c r="DS256" s="43"/>
      <c r="DT256" s="43"/>
      <c r="DU256" s="43"/>
      <c r="DV256" s="43"/>
      <c r="DW256" s="43"/>
      <c r="DX256" s="43"/>
      <c r="DY256" s="278"/>
      <c r="DZ256" s="278"/>
      <c r="EA256" s="278"/>
      <c r="EB256" s="278"/>
      <c r="EC256" s="278"/>
      <c r="ED256" s="278"/>
      <c r="EE256" s="278"/>
      <c r="EF256" s="278"/>
      <c r="EG256" s="278"/>
      <c r="EH256" s="278"/>
      <c r="EI256" s="278"/>
      <c r="EJ256" s="278"/>
      <c r="EK256" s="278"/>
      <c r="EL256" s="278"/>
      <c r="EM256" s="278"/>
      <c r="EN256" s="278"/>
      <c r="EO256" s="278"/>
      <c r="EP256" s="278"/>
      <c r="EQ256" s="278"/>
      <c r="ER256" s="278"/>
      <c r="ES256" s="278"/>
      <c r="ET256" s="278"/>
      <c r="EU256" s="278"/>
      <c r="EV256" s="278"/>
      <c r="EW256" s="278"/>
      <c r="EX256" s="278"/>
      <c r="EY256" s="278"/>
      <c r="EZ256" s="278"/>
      <c r="FA256" s="43"/>
      <c r="FB256" s="43"/>
      <c r="FC256" s="43"/>
      <c r="FD256" s="43"/>
      <c r="FE256" s="43"/>
      <c r="FF256" s="43"/>
      <c r="FG256" s="43"/>
      <c r="FH256" s="43"/>
      <c r="FI256" s="43"/>
      <c r="FJ256" s="96"/>
      <c r="FK256" s="96"/>
      <c r="FL256" s="96"/>
      <c r="FM256" s="324"/>
      <c r="FN256" s="93"/>
      <c r="FO256" s="93"/>
      <c r="FP256" s="93"/>
      <c r="FQ256" s="93"/>
      <c r="FR256" s="93"/>
      <c r="FS256" s="93"/>
      <c r="FT256" s="93"/>
      <c r="FU256" s="93"/>
      <c r="FV256" s="93"/>
      <c r="FW256" s="93"/>
      <c r="FX256" s="93"/>
      <c r="FY256" s="259"/>
      <c r="FZ256" s="259"/>
      <c r="GA256" s="259"/>
      <c r="GB256" s="259"/>
      <c r="GC256" s="49"/>
      <c r="GD256" s="49"/>
      <c r="GE256" s="49"/>
      <c r="GF256" s="49"/>
      <c r="GG256" s="49"/>
      <c r="GH256" s="49"/>
      <c r="GI256" s="49"/>
      <c r="GJ256" s="49"/>
      <c r="GK256" s="49"/>
      <c r="GL256" s="49"/>
      <c r="GM256" s="49"/>
      <c r="GN256" s="49"/>
      <c r="GO256" s="49"/>
      <c r="GP256" s="49"/>
      <c r="GQ256" s="49"/>
      <c r="GR256" s="49"/>
      <c r="GS256" s="49"/>
      <c r="GT256" s="49"/>
      <c r="GU256" s="49"/>
      <c r="GV256" s="49"/>
      <c r="GW256" s="66"/>
      <c r="GX256" s="66"/>
      <c r="GY256" s="66"/>
      <c r="GZ256" s="66"/>
      <c r="HA256" s="66"/>
      <c r="HB256" s="66"/>
      <c r="HC256" s="66"/>
      <c r="HD256" s="66"/>
      <c r="HE256" s="66"/>
      <c r="HF256" s="66"/>
      <c r="HG256" s="66"/>
      <c r="HH256" s="66"/>
      <c r="HI256" s="66"/>
      <c r="HJ256" s="66"/>
      <c r="HK256" s="66"/>
      <c r="HL256" s="66"/>
      <c r="HM256" s="66"/>
      <c r="HN256" s="66"/>
      <c r="HO256" s="66"/>
      <c r="HP256" s="66"/>
      <c r="HQ256" s="66"/>
      <c r="HR256" s="66"/>
      <c r="HS256" s="66"/>
      <c r="HT256" s="66"/>
      <c r="HU256" s="66"/>
      <c r="HV256" s="66"/>
      <c r="HW256" s="66"/>
      <c r="HX256" s="66"/>
      <c r="HY256" s="66"/>
      <c r="HZ256" s="66"/>
      <c r="IA256" s="66"/>
    </row>
    <row r="257" spans="1:236" s="268" customFormat="1" ht="16.95" customHeight="1">
      <c r="A257" s="60"/>
      <c r="B257" s="69"/>
      <c r="C257" s="69"/>
      <c r="D257" s="316"/>
      <c r="E257" s="141"/>
      <c r="F257" s="141"/>
      <c r="G257" s="141"/>
      <c r="H257" s="141"/>
      <c r="I257" s="141"/>
      <c r="J257" s="141"/>
      <c r="K257" s="141"/>
      <c r="L257" s="141"/>
      <c r="M257" s="141"/>
      <c r="N257" s="141"/>
      <c r="O257" s="141"/>
      <c r="P257" s="141"/>
      <c r="Q257" s="141"/>
      <c r="R257" s="317"/>
      <c r="S257" s="317"/>
      <c r="T257" s="317"/>
      <c r="U257" s="317"/>
      <c r="V257" s="317"/>
      <c r="W257" s="317"/>
      <c r="X257" s="317"/>
      <c r="Y257" s="317"/>
      <c r="Z257" s="317"/>
      <c r="AA257" s="317"/>
      <c r="AB257" s="317"/>
      <c r="AC257" s="317"/>
      <c r="AD257" s="317"/>
      <c r="AE257" s="317"/>
      <c r="AF257" s="317"/>
      <c r="AG257" s="317"/>
      <c r="AH257" s="317"/>
      <c r="AI257" s="317"/>
      <c r="AJ257" s="317"/>
      <c r="AK257" s="317"/>
      <c r="AL257" s="317"/>
      <c r="AM257" s="317"/>
      <c r="AN257" s="317"/>
      <c r="AO257" s="317"/>
      <c r="AP257" s="317"/>
      <c r="AQ257" s="317"/>
      <c r="AR257" s="317"/>
      <c r="AS257" s="317"/>
      <c r="AT257" s="317"/>
      <c r="AU257" s="317"/>
      <c r="AV257" s="317"/>
      <c r="AW257" s="317"/>
      <c r="AX257" s="317"/>
      <c r="AY257" s="317"/>
      <c r="AZ257" s="317"/>
      <c r="BA257" s="317"/>
      <c r="BB257" s="317"/>
      <c r="BC257" s="316"/>
      <c r="BD257" s="316"/>
      <c r="BE257" s="316"/>
      <c r="BF257" s="316"/>
      <c r="BG257" s="316"/>
      <c r="BH257" s="316"/>
      <c r="BI257" s="316"/>
      <c r="BJ257" s="316"/>
      <c r="BK257" s="316"/>
      <c r="BL257" s="316"/>
      <c r="BM257" s="316"/>
      <c r="BN257" s="316"/>
      <c r="BO257" s="316"/>
      <c r="BP257" s="316"/>
      <c r="BQ257" s="316"/>
      <c r="BR257" s="316"/>
      <c r="BS257" s="316"/>
      <c r="BT257" s="316"/>
      <c r="BU257" s="316"/>
      <c r="BV257" s="317"/>
      <c r="BW257" s="317"/>
      <c r="BX257" s="317"/>
      <c r="BY257" s="317"/>
      <c r="BZ257" s="317"/>
      <c r="CA257" s="317"/>
      <c r="CB257" s="317"/>
      <c r="CC257" s="317"/>
      <c r="CD257" s="141"/>
      <c r="CE257" s="141"/>
      <c r="CF257" s="141"/>
      <c r="CG257" s="141"/>
      <c r="CH257" s="141"/>
      <c r="CI257" s="141"/>
      <c r="CJ257" s="141"/>
      <c r="CK257" s="141"/>
      <c r="CL257" s="141"/>
      <c r="CM257" s="141"/>
      <c r="CN257" s="141"/>
      <c r="CO257" s="141"/>
      <c r="CP257" s="141"/>
      <c r="CQ257" s="141"/>
      <c r="CR257" s="141"/>
      <c r="CS257" s="141"/>
      <c r="CT257" s="141"/>
      <c r="CU257" s="141"/>
      <c r="CV257" s="141"/>
      <c r="CW257" s="141"/>
      <c r="CX257" s="141"/>
      <c r="CY257" s="141"/>
      <c r="CZ257" s="141"/>
      <c r="DA257" s="141"/>
      <c r="DB257" s="141"/>
      <c r="DC257" s="141"/>
      <c r="DD257" s="141"/>
      <c r="DE257" s="141"/>
      <c r="DF257" s="141"/>
      <c r="DG257" s="141"/>
      <c r="DH257" s="141"/>
      <c r="DI257" s="141"/>
      <c r="DJ257" s="141"/>
      <c r="DK257" s="141"/>
      <c r="DL257" s="141"/>
      <c r="DM257" s="141"/>
      <c r="DN257" s="141"/>
      <c r="DO257" s="141"/>
      <c r="DP257" s="141"/>
      <c r="DQ257" s="141"/>
      <c r="DR257" s="141"/>
      <c r="DS257" s="141"/>
      <c r="DT257" s="141"/>
      <c r="DU257" s="141"/>
      <c r="DV257" s="141"/>
      <c r="DW257" s="141"/>
      <c r="DX257" s="141"/>
      <c r="DY257" s="141"/>
      <c r="DZ257" s="141"/>
      <c r="EA257" s="141"/>
      <c r="EB257" s="141"/>
      <c r="EC257" s="141"/>
      <c r="ED257" s="141"/>
      <c r="EE257" s="141"/>
      <c r="EF257" s="141"/>
      <c r="EG257" s="141"/>
      <c r="EH257" s="141"/>
      <c r="EI257" s="141"/>
      <c r="EJ257" s="141"/>
      <c r="EK257" s="141"/>
      <c r="EL257" s="141"/>
      <c r="EM257" s="141"/>
      <c r="EN257" s="141"/>
      <c r="EO257" s="141"/>
      <c r="EP257" s="141"/>
      <c r="EQ257" s="141"/>
      <c r="ER257" s="141"/>
      <c r="ES257" s="141"/>
      <c r="ET257" s="141"/>
      <c r="EU257" s="141"/>
      <c r="EV257" s="141"/>
      <c r="EW257" s="141"/>
      <c r="EX257" s="141"/>
      <c r="EY257" s="141"/>
      <c r="EZ257" s="141"/>
      <c r="FA257" s="141"/>
      <c r="FB257" s="141"/>
      <c r="FC257" s="141"/>
      <c r="FD257" s="141"/>
      <c r="FE257" s="141"/>
      <c r="FF257" s="141"/>
      <c r="FG257" s="141"/>
      <c r="FH257" s="141"/>
      <c r="FI257" s="141"/>
      <c r="FJ257" s="96"/>
      <c r="FK257" s="96"/>
      <c r="FL257" s="86"/>
      <c r="FM257" s="86"/>
      <c r="FN257" s="86"/>
      <c r="FO257" s="86"/>
      <c r="FP257" s="86"/>
      <c r="FQ257" s="86"/>
      <c r="FR257" s="86"/>
      <c r="FS257" s="86"/>
      <c r="FT257" s="86"/>
      <c r="FU257" s="86"/>
      <c r="FV257" s="86"/>
      <c r="FW257" s="86"/>
      <c r="FX257" s="86"/>
      <c r="FY257" s="259"/>
      <c r="FZ257" s="259"/>
      <c r="GA257" s="259"/>
      <c r="GB257" s="259"/>
      <c r="GC257" s="259"/>
      <c r="GD257" s="259"/>
      <c r="GE257" s="259"/>
      <c r="GF257" s="259"/>
      <c r="GG257" s="259"/>
      <c r="GH257" s="259"/>
      <c r="GI257" s="259"/>
      <c r="GJ257" s="259"/>
      <c r="GK257" s="86"/>
      <c r="GL257" s="86"/>
      <c r="GM257" s="86"/>
      <c r="GN257" s="86"/>
      <c r="GO257" s="86"/>
      <c r="GP257" s="377"/>
      <c r="GQ257" s="377"/>
      <c r="GR257" s="377"/>
      <c r="GS257" s="377"/>
      <c r="GT257" s="377"/>
      <c r="GU257" s="377"/>
      <c r="GV257" s="377"/>
      <c r="GW257" s="66"/>
      <c r="GX257" s="66"/>
      <c r="GY257" s="66"/>
      <c r="GZ257" s="66"/>
      <c r="HA257" s="66"/>
      <c r="HB257" s="66"/>
      <c r="HC257" s="66"/>
      <c r="HD257" s="66"/>
      <c r="HE257" s="66"/>
      <c r="HF257" s="66"/>
      <c r="HG257" s="66"/>
      <c r="HH257" s="66"/>
      <c r="HI257" s="66"/>
      <c r="HJ257" s="66"/>
      <c r="HK257" s="66"/>
      <c r="HL257" s="66"/>
      <c r="HM257" s="66"/>
      <c r="HN257" s="66"/>
      <c r="HO257" s="66"/>
      <c r="HP257" s="66"/>
      <c r="HQ257" s="66"/>
      <c r="HR257" s="66"/>
      <c r="HS257" s="66"/>
      <c r="HT257" s="66"/>
      <c r="HU257" s="66"/>
      <c r="HV257" s="66"/>
      <c r="HW257" s="66"/>
      <c r="HX257" s="66"/>
      <c r="HY257" s="66"/>
      <c r="HZ257" s="66"/>
      <c r="IA257" s="66"/>
    </row>
    <row r="258" spans="1:236" ht="16.95" customHeight="1">
      <c r="A258" s="69"/>
      <c r="B258" s="69"/>
      <c r="C258" s="69"/>
      <c r="D258" s="268"/>
      <c r="E258" s="331"/>
      <c r="F258" s="331"/>
      <c r="G258" s="331"/>
      <c r="H258" s="331"/>
      <c r="I258" s="331"/>
      <c r="J258" s="331"/>
      <c r="K258" s="89"/>
      <c r="L258" s="89"/>
      <c r="M258" s="89"/>
      <c r="N258" s="89"/>
      <c r="O258" s="89"/>
      <c r="P258" s="89"/>
      <c r="Q258" s="89"/>
      <c r="R258" s="89"/>
      <c r="S258" s="89"/>
      <c r="T258" s="89"/>
      <c r="U258" s="89"/>
      <c r="V258" s="89"/>
      <c r="W258" s="89"/>
      <c r="X258" s="89"/>
      <c r="Y258" s="89"/>
      <c r="Z258" s="89"/>
      <c r="AA258" s="89"/>
      <c r="AB258" s="89"/>
      <c r="AC258" s="89"/>
      <c r="AD258" s="89"/>
      <c r="AE258" s="89"/>
      <c r="AF258" s="89"/>
      <c r="AG258" s="89"/>
      <c r="AH258" s="89"/>
      <c r="AI258" s="89"/>
      <c r="AJ258" s="89"/>
      <c r="AK258" s="89"/>
      <c r="AL258" s="89"/>
      <c r="AM258" s="89"/>
      <c r="AN258" s="89"/>
      <c r="AO258" s="89"/>
      <c r="AP258" s="89"/>
      <c r="AQ258" s="89"/>
      <c r="AR258" s="89"/>
      <c r="AS258" s="89"/>
      <c r="AT258" s="89"/>
      <c r="AU258" s="89"/>
      <c r="AV258" s="89"/>
      <c r="AW258" s="89"/>
      <c r="AX258" s="89"/>
      <c r="AY258" s="89"/>
      <c r="AZ258" s="89"/>
      <c r="BA258" s="89"/>
      <c r="BB258" s="89"/>
      <c r="BC258" s="89"/>
      <c r="BD258" s="89"/>
      <c r="BE258" s="89"/>
      <c r="BF258" s="89"/>
      <c r="BG258" s="89"/>
      <c r="BH258" s="89"/>
      <c r="BI258" s="89"/>
      <c r="BJ258" s="89"/>
      <c r="BK258" s="89"/>
      <c r="BL258" s="89"/>
      <c r="BM258" s="89"/>
      <c r="BN258" s="89"/>
      <c r="BP258" s="89"/>
      <c r="BR258" s="89"/>
      <c r="BS258" s="89"/>
      <c r="BT258" s="89"/>
      <c r="BU258" s="89"/>
      <c r="BV258" s="89"/>
      <c r="BW258" s="89"/>
      <c r="BX258" s="89"/>
      <c r="BY258" s="89"/>
      <c r="BZ258" s="89"/>
      <c r="CA258" s="89"/>
      <c r="CB258" s="89"/>
      <c r="CC258" s="89"/>
      <c r="CD258" s="89"/>
      <c r="CE258" s="89"/>
      <c r="CF258" s="89"/>
      <c r="CG258" s="89"/>
      <c r="CH258" s="89"/>
      <c r="CI258" s="89"/>
      <c r="CJ258" s="89"/>
      <c r="CK258" s="89"/>
      <c r="CL258" s="89"/>
      <c r="CM258" s="268"/>
      <c r="CN258" s="268"/>
      <c r="CO258" s="268"/>
      <c r="CP258" s="268"/>
      <c r="CQ258" s="89"/>
      <c r="CR258" s="89"/>
      <c r="CS258" s="89"/>
      <c r="CT258" s="89"/>
      <c r="CU258" s="89"/>
      <c r="CV258" s="89"/>
      <c r="CW258" s="89"/>
      <c r="CX258" s="89"/>
      <c r="CY258" s="89"/>
      <c r="CZ258" s="89"/>
      <c r="DA258" s="89"/>
      <c r="DB258" s="89"/>
      <c r="DC258" s="89"/>
      <c r="DD258" s="89"/>
      <c r="DE258" s="89"/>
      <c r="DF258" s="89"/>
      <c r="DG258" s="89"/>
      <c r="DH258" s="89"/>
      <c r="DI258" s="89"/>
      <c r="DJ258" s="89"/>
      <c r="DK258" s="89"/>
      <c r="DL258" s="89"/>
      <c r="DM258" s="89"/>
      <c r="DN258" s="89"/>
      <c r="DO258" s="89"/>
      <c r="DP258" s="89"/>
      <c r="DQ258" s="89"/>
      <c r="DR258" s="89"/>
      <c r="DS258" s="89"/>
      <c r="DT258" s="89"/>
      <c r="DU258" s="89"/>
      <c r="DV258" s="89"/>
      <c r="DW258" s="89"/>
      <c r="DX258" s="89"/>
      <c r="DY258" s="141"/>
      <c r="DZ258" s="141"/>
      <c r="EA258" s="141"/>
      <c r="EB258" s="141"/>
      <c r="EC258" s="141"/>
      <c r="ED258" s="141"/>
      <c r="EE258" s="141"/>
      <c r="EF258" s="89"/>
      <c r="EG258" s="89"/>
      <c r="EH258" s="89"/>
      <c r="EI258" s="89"/>
      <c r="EJ258" s="89"/>
      <c r="EK258" s="89"/>
      <c r="EL258" s="89"/>
      <c r="EM258" s="89"/>
      <c r="EN258" s="89"/>
      <c r="EO258" s="89"/>
      <c r="EP258" s="89"/>
      <c r="EQ258" s="89"/>
      <c r="ER258" s="89"/>
      <c r="ES258" s="89"/>
      <c r="ET258" s="89"/>
      <c r="EU258" s="89"/>
      <c r="EV258" s="89"/>
      <c r="EW258" s="89"/>
      <c r="EX258" s="89"/>
      <c r="EY258" s="89"/>
      <c r="EZ258" s="89"/>
      <c r="FA258" s="89"/>
      <c r="FB258" s="89"/>
      <c r="FC258" s="89"/>
      <c r="FD258" s="89"/>
      <c r="FE258" s="89"/>
      <c r="FF258" s="89"/>
      <c r="FG258" s="89"/>
      <c r="FH258" s="89"/>
      <c r="FI258" s="89"/>
      <c r="FJ258" s="96"/>
      <c r="FK258" s="96"/>
      <c r="FL258" s="96"/>
      <c r="FM258" s="96"/>
      <c r="FN258" s="96"/>
      <c r="FO258" s="300"/>
      <c r="FP258" s="300"/>
      <c r="FQ258" s="300"/>
      <c r="FR258" s="300"/>
      <c r="FS258" s="300"/>
      <c r="FT258" s="300"/>
      <c r="FU258" s="300"/>
      <c r="FV258" s="108"/>
      <c r="FW258" s="108"/>
      <c r="FX258" s="301"/>
      <c r="FY258" s="259"/>
      <c r="FZ258" s="259"/>
      <c r="GA258" s="259"/>
      <c r="GB258" s="259"/>
      <c r="GC258" s="301"/>
      <c r="GD258" s="301"/>
      <c r="GE258" s="301"/>
      <c r="GF258" s="301"/>
      <c r="GG258" s="301"/>
      <c r="GH258" s="301"/>
      <c r="GI258" s="301"/>
      <c r="GJ258" s="301"/>
      <c r="GK258" s="301"/>
      <c r="GL258" s="301"/>
      <c r="GM258" s="301"/>
      <c r="GN258" s="301"/>
      <c r="GO258" s="301"/>
      <c r="GP258" s="301"/>
      <c r="GQ258" s="301"/>
      <c r="GR258" s="301"/>
      <c r="GS258" s="301"/>
      <c r="GT258" s="301"/>
      <c r="GU258" s="301"/>
      <c r="GV258" s="301"/>
      <c r="IB258" s="65"/>
    </row>
    <row r="259" spans="1:236" s="268" customFormat="1" ht="16.95" customHeight="1">
      <c r="A259" s="60"/>
      <c r="B259" s="272" t="str">
        <f ca="1">IF(FL1=0,"",14)</f>
        <v/>
      </c>
      <c r="C259" s="69"/>
      <c r="D259" s="341" t="str">
        <f ca="1">IF(FL1=0,"","In de grafiek hiernaast zijn de")</f>
        <v/>
      </c>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c r="AA259" s="141"/>
      <c r="AB259" s="141"/>
      <c r="AC259" s="141"/>
      <c r="AD259" s="141"/>
      <c r="AE259" s="141"/>
      <c r="AF259" s="141"/>
      <c r="AG259" s="141"/>
      <c r="AH259" s="141"/>
      <c r="AI259" s="141"/>
      <c r="AJ259" s="141"/>
      <c r="AK259" s="141"/>
      <c r="AL259" s="141"/>
      <c r="AM259" s="141"/>
      <c r="AN259" s="141"/>
      <c r="AO259" s="141"/>
      <c r="AP259" s="141"/>
      <c r="AQ259" s="141"/>
      <c r="AR259" s="141"/>
      <c r="AS259" s="141"/>
      <c r="AT259" s="141"/>
      <c r="AU259" s="141"/>
      <c r="AV259" s="141"/>
      <c r="AW259" s="141"/>
      <c r="AX259" s="141"/>
      <c r="AY259" s="141"/>
      <c r="AZ259" s="141"/>
      <c r="BA259" s="141"/>
      <c r="BB259" s="141"/>
      <c r="BC259" s="141"/>
      <c r="BD259" s="141"/>
      <c r="BE259" s="141"/>
      <c r="BF259" s="141"/>
      <c r="BG259" s="141"/>
      <c r="BH259" s="141"/>
      <c r="BI259" s="141"/>
      <c r="BJ259" s="141"/>
      <c r="BK259" s="141"/>
      <c r="BL259" s="141"/>
      <c r="BM259" s="141"/>
      <c r="BN259" s="141"/>
      <c r="BO259" s="141"/>
      <c r="BP259" s="141"/>
      <c r="BQ259" s="141"/>
      <c r="BR259" s="141"/>
      <c r="BS259" s="141"/>
      <c r="BT259" s="141"/>
      <c r="BU259" s="141"/>
      <c r="BV259" s="141"/>
      <c r="BW259" s="141"/>
      <c r="BX259" s="141"/>
      <c r="BY259" s="141"/>
      <c r="BZ259" s="141"/>
      <c r="CA259" s="141"/>
      <c r="CB259" s="141"/>
      <c r="CC259" s="141"/>
      <c r="CD259" s="141"/>
      <c r="CE259" s="141"/>
      <c r="CF259" s="141"/>
      <c r="CG259" s="141"/>
      <c r="CH259" s="141"/>
      <c r="CI259" s="141"/>
      <c r="CJ259" s="141"/>
      <c r="CK259" s="141"/>
      <c r="CL259" s="141"/>
      <c r="CM259" s="141"/>
      <c r="CN259" s="141"/>
      <c r="CO259" s="141"/>
      <c r="CP259" s="141"/>
      <c r="CQ259" s="141"/>
      <c r="CR259" s="141"/>
      <c r="CS259" s="141"/>
      <c r="CT259" s="141"/>
      <c r="CU259" s="141"/>
      <c r="CV259" s="141"/>
      <c r="CW259" s="141"/>
      <c r="CX259" s="141"/>
      <c r="CY259" s="141"/>
      <c r="CZ259" s="141"/>
      <c r="DA259" s="141"/>
      <c r="DB259" s="141"/>
      <c r="DC259" s="141"/>
      <c r="DD259" s="141"/>
      <c r="DE259" s="141"/>
      <c r="DF259" s="141"/>
      <c r="DG259" s="141"/>
      <c r="DH259" s="141"/>
      <c r="DI259" s="141"/>
      <c r="DJ259" s="141"/>
      <c r="DK259" s="141"/>
      <c r="DL259" s="141"/>
      <c r="DM259" s="141"/>
      <c r="DN259" s="141"/>
      <c r="DO259" s="141"/>
      <c r="DP259" s="141"/>
      <c r="DQ259" s="141"/>
      <c r="DR259" s="141"/>
      <c r="DS259" s="141"/>
      <c r="DT259" s="141"/>
      <c r="DU259" s="141"/>
      <c r="DV259" s="141"/>
      <c r="DW259" s="141"/>
      <c r="DX259" s="141"/>
      <c r="DY259" s="141"/>
      <c r="DZ259" s="141"/>
      <c r="EA259" s="141"/>
      <c r="EB259" s="141"/>
      <c r="EC259" s="141"/>
      <c r="ED259" s="141"/>
      <c r="EE259" s="141"/>
      <c r="EF259" s="141"/>
      <c r="EG259" s="141"/>
      <c r="EH259" s="141"/>
      <c r="EI259" s="141"/>
      <c r="EJ259" s="141"/>
      <c r="EK259" s="141"/>
      <c r="EL259" s="141"/>
      <c r="EM259" s="141"/>
      <c r="EN259" s="141"/>
      <c r="EO259" s="141"/>
      <c r="EP259" s="141"/>
      <c r="EQ259" s="141"/>
      <c r="ER259" s="141"/>
      <c r="ES259" s="141"/>
      <c r="ET259" s="141"/>
      <c r="EU259" s="141"/>
      <c r="EV259" s="141"/>
      <c r="EW259" s="141"/>
      <c r="EX259" s="141"/>
      <c r="EY259" s="141"/>
      <c r="EZ259" s="141"/>
      <c r="FA259" s="141"/>
      <c r="FB259" s="141"/>
      <c r="FC259" s="141"/>
      <c r="FD259" s="141"/>
      <c r="FE259" s="141"/>
      <c r="FF259" s="141"/>
      <c r="FG259" s="141"/>
      <c r="FH259" s="141"/>
      <c r="FI259" s="141"/>
      <c r="FJ259" s="96"/>
      <c r="FK259" s="96"/>
      <c r="FL259" s="96"/>
      <c r="FM259" s="86"/>
      <c r="FN259" s="96"/>
      <c r="FO259" s="96"/>
      <c r="FP259" s="96"/>
      <c r="FQ259" s="86"/>
      <c r="FR259" s="86"/>
      <c r="FS259" s="86"/>
      <c r="FT259" s="86"/>
      <c r="FU259" s="86"/>
      <c r="FV259" s="86"/>
      <c r="FW259" s="86"/>
      <c r="FX259" s="86"/>
      <c r="FY259" s="259"/>
      <c r="FZ259" s="259"/>
      <c r="GA259" s="259"/>
      <c r="GB259" s="259"/>
      <c r="GC259" s="86"/>
      <c r="GD259" s="86"/>
      <c r="GE259" s="86"/>
      <c r="GF259" s="86"/>
      <c r="GG259" s="86"/>
      <c r="GH259" s="86"/>
      <c r="GI259" s="86"/>
      <c r="GJ259" s="86"/>
      <c r="GK259" s="86"/>
      <c r="GL259" s="86"/>
      <c r="GM259" s="86"/>
      <c r="GN259" s="86"/>
      <c r="GO259" s="86"/>
      <c r="GP259" s="377"/>
      <c r="GQ259" s="377"/>
      <c r="GR259" s="377"/>
      <c r="GS259" s="377"/>
      <c r="GT259" s="377"/>
      <c r="GU259" s="377"/>
      <c r="GV259" s="377"/>
      <c r="GW259" s="66"/>
      <c r="GX259" s="66"/>
      <c r="GY259" s="66"/>
      <c r="GZ259" s="66"/>
      <c r="HA259" s="66"/>
      <c r="HB259" s="66"/>
      <c r="HC259" s="66"/>
      <c r="HD259" s="66"/>
      <c r="HE259" s="66"/>
      <c r="HF259" s="66"/>
      <c r="HG259" s="66"/>
      <c r="HH259" s="66"/>
      <c r="HI259" s="66"/>
      <c r="HJ259" s="66"/>
      <c r="HK259" s="66"/>
      <c r="HL259" s="66"/>
      <c r="HM259" s="66"/>
      <c r="HN259" s="66"/>
      <c r="HO259" s="66"/>
      <c r="HP259" s="66"/>
      <c r="HQ259" s="66"/>
      <c r="HR259" s="66"/>
      <c r="HS259" s="66"/>
      <c r="HT259" s="66"/>
      <c r="HU259" s="66"/>
      <c r="HV259" s="66"/>
      <c r="HW259" s="66"/>
      <c r="HX259" s="66"/>
      <c r="HY259" s="66"/>
      <c r="HZ259" s="66"/>
      <c r="IA259" s="66"/>
    </row>
    <row r="260" spans="1:236" s="268" customFormat="1" ht="16.95" customHeight="1">
      <c r="A260" s="60"/>
      <c r="B260" s="272"/>
      <c r="C260" s="69"/>
      <c r="D260" s="341" t="str">
        <f ca="1">IF(FL1=0,"","functies van de totale opbrengst")</f>
        <v/>
      </c>
      <c r="E260" s="331"/>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C260" s="89"/>
      <c r="AD260" s="89"/>
      <c r="AE260" s="141"/>
      <c r="AF260" s="141"/>
      <c r="AG260" s="141"/>
      <c r="AH260" s="141"/>
      <c r="AI260" s="141"/>
      <c r="AJ260" s="141"/>
      <c r="AK260" s="141"/>
      <c r="AL260" s="141"/>
      <c r="AM260" s="141"/>
      <c r="AN260" s="141"/>
      <c r="AO260" s="141"/>
      <c r="AP260" s="141"/>
      <c r="AQ260" s="141"/>
      <c r="AR260" s="141"/>
      <c r="AS260" s="141"/>
      <c r="AT260" s="141"/>
      <c r="AU260" s="141"/>
      <c r="AV260" s="141"/>
      <c r="AW260" s="141"/>
      <c r="AX260" s="141"/>
      <c r="AY260" s="141"/>
      <c r="AZ260" s="141"/>
      <c r="BA260" s="141"/>
      <c r="BB260" s="141"/>
      <c r="BC260" s="141"/>
      <c r="BD260" s="141"/>
      <c r="BE260" s="141"/>
      <c r="BF260" s="141"/>
      <c r="BG260" s="141"/>
      <c r="BH260" s="141"/>
      <c r="BI260" s="141"/>
      <c r="BJ260" s="141"/>
      <c r="BK260" s="141"/>
      <c r="BL260" s="141"/>
      <c r="BM260" s="141"/>
      <c r="BN260" s="141"/>
      <c r="BO260" s="141"/>
      <c r="BP260" s="141"/>
      <c r="BQ260" s="141"/>
      <c r="CV260" s="89"/>
      <c r="CW260" s="89"/>
      <c r="CX260" s="89"/>
      <c r="CY260" s="89"/>
      <c r="CZ260" s="89"/>
      <c r="DA260" s="89"/>
      <c r="DB260" s="89"/>
      <c r="DC260" s="89"/>
      <c r="DD260" s="89"/>
      <c r="DE260" s="89"/>
      <c r="DF260" s="89"/>
      <c r="DG260" s="89"/>
      <c r="DH260" s="89"/>
      <c r="DI260" s="89"/>
      <c r="DJ260" s="89"/>
      <c r="DK260" s="89"/>
      <c r="DL260" s="89"/>
      <c r="DM260" s="89"/>
      <c r="DN260" s="89"/>
      <c r="DO260" s="89"/>
      <c r="FA260" s="89"/>
      <c r="FB260" s="89"/>
      <c r="FC260" s="89"/>
      <c r="FD260" s="89"/>
      <c r="FE260" s="89"/>
      <c r="FF260" s="89"/>
      <c r="FG260" s="89"/>
      <c r="FH260" s="89"/>
      <c r="FI260" s="89"/>
      <c r="FJ260" s="96"/>
      <c r="FK260" s="257"/>
      <c r="FL260" s="257"/>
      <c r="FM260" s="96"/>
      <c r="FN260" s="96"/>
      <c r="FO260" s="96"/>
      <c r="FP260" s="96"/>
      <c r="FQ260" s="96"/>
      <c r="FR260" s="93"/>
      <c r="FS260" s="93"/>
      <c r="FT260" s="93"/>
      <c r="FU260" s="257"/>
      <c r="FV260" s="86"/>
      <c r="FW260" s="86"/>
      <c r="FX260" s="86"/>
      <c r="FY260" s="259"/>
      <c r="FZ260" s="259"/>
      <c r="GA260" s="259"/>
      <c r="GB260" s="259"/>
      <c r="GC260" s="259"/>
      <c r="GD260" s="259"/>
      <c r="GE260" s="259"/>
      <c r="GF260" s="259"/>
      <c r="GG260" s="259"/>
      <c r="GH260" s="259"/>
      <c r="GI260" s="259"/>
      <c r="GJ260" s="259"/>
      <c r="GK260" s="86"/>
      <c r="GL260" s="86"/>
      <c r="GM260" s="86"/>
      <c r="GN260" s="86"/>
      <c r="GO260" s="86"/>
      <c r="GP260" s="377"/>
      <c r="GQ260" s="377"/>
      <c r="GR260" s="377"/>
      <c r="GS260" s="377"/>
      <c r="GT260" s="377"/>
      <c r="GU260" s="377"/>
      <c r="GV260" s="377"/>
      <c r="GW260" s="66"/>
      <c r="GX260" s="66"/>
      <c r="GY260" s="66"/>
      <c r="GZ260" s="66"/>
      <c r="HA260" s="66"/>
      <c r="HB260" s="66"/>
      <c r="HC260" s="66"/>
      <c r="HD260" s="66"/>
      <c r="HE260" s="66"/>
      <c r="HF260" s="66"/>
      <c r="HG260" s="66"/>
      <c r="HH260" s="66"/>
      <c r="HI260" s="66"/>
      <c r="HJ260" s="66"/>
      <c r="HK260" s="66"/>
      <c r="HL260" s="66"/>
      <c r="HM260" s="66"/>
      <c r="HN260" s="66"/>
      <c r="HO260" s="66"/>
      <c r="HP260" s="66"/>
      <c r="HQ260" s="66"/>
      <c r="HR260" s="66"/>
      <c r="HS260" s="66"/>
      <c r="HT260" s="66"/>
      <c r="HU260" s="66"/>
      <c r="HV260" s="66"/>
      <c r="HW260" s="66"/>
      <c r="HX260" s="66"/>
      <c r="HY260" s="66"/>
      <c r="HZ260" s="66"/>
      <c r="IA260" s="66"/>
    </row>
    <row r="261" spans="1:236" ht="16.95" customHeight="1">
      <c r="A261" s="60"/>
      <c r="B261" s="69"/>
      <c r="C261" s="69"/>
      <c r="D261" s="341" t="str">
        <f ca="1">IF(FL1=0,"","en de totale kosten getekend")</f>
        <v/>
      </c>
      <c r="E261" s="331"/>
      <c r="F261" s="331"/>
      <c r="G261" s="331"/>
      <c r="H261" s="331"/>
      <c r="I261" s="331"/>
      <c r="J261" s="331"/>
      <c r="K261" s="89"/>
      <c r="L261" s="89"/>
      <c r="M261" s="89"/>
      <c r="N261" s="89"/>
      <c r="O261" s="89"/>
      <c r="P261" s="89"/>
      <c r="Q261" s="89"/>
      <c r="R261" s="89"/>
      <c r="S261" s="89"/>
      <c r="T261" s="89"/>
      <c r="U261" s="89"/>
      <c r="V261" s="89"/>
      <c r="W261" s="89"/>
      <c r="X261" s="89"/>
      <c r="Y261" s="89"/>
      <c r="Z261" s="89"/>
      <c r="AA261" s="89"/>
      <c r="AB261" s="89"/>
      <c r="AC261" s="89"/>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89"/>
      <c r="BB261" s="89"/>
      <c r="BC261" s="89"/>
      <c r="BD261" s="89"/>
      <c r="BE261" s="89"/>
      <c r="BF261" s="89"/>
      <c r="BG261" s="89"/>
      <c r="BH261" s="89"/>
      <c r="BI261" s="89"/>
      <c r="BJ261" s="89"/>
      <c r="BK261" s="89"/>
      <c r="BL261" s="89"/>
      <c r="BM261" s="89"/>
      <c r="BN261" s="89"/>
      <c r="BO261" s="89"/>
      <c r="BP261" s="89"/>
      <c r="BQ261" s="89"/>
      <c r="BR261" s="89"/>
      <c r="BS261" s="89"/>
      <c r="BT261" s="89"/>
      <c r="BU261" s="89"/>
      <c r="BV261" s="89"/>
      <c r="BW261" s="89"/>
      <c r="BX261" s="89"/>
      <c r="BY261" s="89"/>
      <c r="BZ261" s="89"/>
      <c r="CA261" s="89"/>
      <c r="CB261" s="89"/>
      <c r="CC261" s="89"/>
      <c r="CD261" s="89"/>
      <c r="CE261" s="89"/>
      <c r="CF261" s="89"/>
      <c r="CG261" s="89"/>
      <c r="CH261" s="89"/>
      <c r="CI261" s="89"/>
      <c r="CJ261" s="89"/>
      <c r="CK261" s="89"/>
      <c r="CL261" s="89"/>
      <c r="CM261" s="89"/>
      <c r="CN261" s="89"/>
      <c r="CO261" s="89"/>
      <c r="CP261" s="89"/>
      <c r="CQ261" s="89"/>
      <c r="CR261" s="89"/>
      <c r="CS261" s="89"/>
      <c r="CT261" s="89"/>
      <c r="CU261" s="89"/>
      <c r="CV261" s="89"/>
      <c r="CW261" s="89"/>
      <c r="CX261" s="89"/>
      <c r="CY261" s="89"/>
      <c r="CZ261" s="89"/>
      <c r="DA261" s="89"/>
      <c r="DB261" s="89"/>
      <c r="DC261" s="89"/>
      <c r="DD261" s="89"/>
      <c r="DE261" s="89"/>
      <c r="DF261" s="89"/>
      <c r="DG261" s="89"/>
      <c r="DH261" s="89"/>
      <c r="DI261" s="89"/>
      <c r="DJ261" s="89"/>
      <c r="DK261" s="89"/>
      <c r="DL261" s="89"/>
      <c r="DM261" s="89"/>
      <c r="DN261" s="89"/>
      <c r="DO261" s="89"/>
      <c r="DP261" s="89"/>
      <c r="DQ261" s="89"/>
      <c r="DR261" s="89"/>
      <c r="DS261" s="89"/>
      <c r="DT261" s="89"/>
      <c r="DU261" s="141"/>
      <c r="DV261" s="141"/>
      <c r="DW261" s="141"/>
      <c r="DX261" s="141"/>
      <c r="DY261" s="141"/>
      <c r="DZ261" s="141"/>
      <c r="EA261" s="141"/>
      <c r="EB261" s="89"/>
      <c r="EC261" s="89"/>
      <c r="ED261" s="89"/>
      <c r="EE261" s="89"/>
      <c r="EF261" s="89"/>
      <c r="EG261" s="89"/>
      <c r="EH261" s="89"/>
      <c r="EI261" s="89"/>
      <c r="EJ261" s="89"/>
      <c r="EK261" s="89"/>
      <c r="EL261" s="89"/>
      <c r="EM261" s="89"/>
      <c r="EN261" s="89"/>
      <c r="EO261" s="89"/>
      <c r="EP261" s="89"/>
      <c r="EQ261" s="89"/>
      <c r="ER261" s="89"/>
      <c r="ES261" s="89"/>
      <c r="ET261" s="89"/>
      <c r="EU261" s="89"/>
      <c r="EV261" s="89"/>
      <c r="EW261" s="89"/>
      <c r="EX261" s="89"/>
      <c r="EY261" s="89"/>
      <c r="EZ261" s="89"/>
      <c r="FA261" s="89"/>
      <c r="FB261" s="89"/>
      <c r="FC261" s="89"/>
      <c r="FD261" s="89"/>
      <c r="FE261" s="89"/>
      <c r="FF261" s="89"/>
      <c r="FG261" s="89"/>
      <c r="FH261" s="89"/>
      <c r="FI261" s="89"/>
      <c r="FJ261" s="96"/>
      <c r="FK261" s="96"/>
      <c r="FL261" s="96"/>
      <c r="FM261" s="96"/>
      <c r="FN261" s="96"/>
      <c r="FO261" s="300"/>
      <c r="FP261" s="300"/>
      <c r="FQ261" s="300"/>
      <c r="FR261" s="300"/>
      <c r="FS261" s="300"/>
      <c r="FT261" s="300"/>
      <c r="FU261" s="300"/>
      <c r="FV261" s="108"/>
      <c r="FW261" s="108"/>
      <c r="FX261" s="301"/>
      <c r="FY261" s="259"/>
      <c r="FZ261" s="259"/>
      <c r="GA261" s="259"/>
      <c r="GB261" s="259"/>
      <c r="GC261" s="301"/>
      <c r="GD261" s="301"/>
      <c r="GE261" s="301"/>
      <c r="GF261" s="301"/>
      <c r="GG261" s="301"/>
      <c r="GH261" s="301"/>
      <c r="GI261" s="301"/>
      <c r="GJ261" s="301"/>
      <c r="GK261" s="301"/>
      <c r="GL261" s="301"/>
      <c r="GM261" s="301"/>
      <c r="GN261" s="301"/>
      <c r="GO261" s="301"/>
      <c r="GP261" s="301"/>
      <c r="GQ261" s="301"/>
      <c r="GR261" s="301"/>
      <c r="GS261" s="301"/>
      <c r="GT261" s="301"/>
      <c r="GU261" s="301"/>
      <c r="GV261" s="301"/>
      <c r="IB261" s="65"/>
    </row>
    <row r="262" spans="1:236" ht="16.95" customHeight="1">
      <c r="A262" s="60"/>
      <c r="B262" s="69"/>
      <c r="C262" s="69"/>
      <c r="D262" s="341" t="str">
        <f ca="1">IF(FL1=0,"","bij prijszetting. Bij welke afzet")</f>
        <v/>
      </c>
      <c r="E262" s="331"/>
      <c r="F262" s="331"/>
      <c r="G262" s="331"/>
      <c r="H262" s="331"/>
      <c r="I262" s="331"/>
      <c r="J262" s="331"/>
      <c r="K262" s="89"/>
      <c r="L262" s="89"/>
      <c r="M262" s="89"/>
      <c r="N262" s="89"/>
      <c r="O262" s="89"/>
      <c r="P262" s="89"/>
      <c r="Q262" s="89"/>
      <c r="R262" s="89"/>
      <c r="S262" s="89"/>
      <c r="T262" s="89"/>
      <c r="U262" s="89"/>
      <c r="V262" s="89"/>
      <c r="W262" s="89"/>
      <c r="X262" s="89"/>
      <c r="Y262" s="89"/>
      <c r="Z262" s="89"/>
      <c r="AA262" s="89"/>
      <c r="AB262" s="89"/>
      <c r="AC262" s="89"/>
      <c r="AD262" s="89"/>
      <c r="AE262" s="89"/>
      <c r="AF262" s="89"/>
      <c r="AG262" s="89"/>
      <c r="AH262" s="89"/>
      <c r="AI262" s="89"/>
      <c r="AJ262" s="89"/>
      <c r="AK262" s="89"/>
      <c r="AL262" s="89"/>
      <c r="AM262" s="89"/>
      <c r="AN262" s="89"/>
      <c r="AO262" s="89"/>
      <c r="AP262" s="89"/>
      <c r="AQ262" s="89"/>
      <c r="AR262" s="89"/>
      <c r="AS262" s="89"/>
      <c r="AT262" s="89"/>
      <c r="AU262" s="89"/>
      <c r="AV262" s="89"/>
      <c r="AW262" s="89"/>
      <c r="AX262" s="89"/>
      <c r="AY262" s="89"/>
      <c r="AZ262" s="89"/>
      <c r="BA262" s="89"/>
      <c r="BB262" s="89"/>
      <c r="BC262" s="89"/>
      <c r="BD262" s="89"/>
      <c r="BE262" s="89"/>
      <c r="BF262" s="89"/>
      <c r="BG262" s="89"/>
      <c r="BH262" s="89"/>
      <c r="BI262" s="89"/>
      <c r="BJ262" s="89"/>
      <c r="BK262" s="89"/>
      <c r="BL262" s="89"/>
      <c r="BM262" s="89"/>
      <c r="BN262" s="89"/>
      <c r="BO262" s="89"/>
      <c r="BP262" s="89"/>
      <c r="BQ262" s="89"/>
      <c r="BR262" s="89"/>
      <c r="BS262" s="89"/>
      <c r="BT262" s="89"/>
      <c r="BU262" s="89"/>
      <c r="BV262" s="89"/>
      <c r="BW262" s="89"/>
      <c r="BX262" s="89"/>
      <c r="BY262" s="89"/>
      <c r="BZ262" s="89"/>
      <c r="CA262" s="89"/>
      <c r="CB262" s="89"/>
      <c r="CC262" s="89"/>
      <c r="CD262" s="89"/>
      <c r="CE262" s="89"/>
      <c r="CF262" s="89"/>
      <c r="CG262" s="89"/>
      <c r="CH262" s="89"/>
      <c r="CI262" s="89"/>
      <c r="CJ262" s="89"/>
      <c r="CK262" s="89"/>
      <c r="CL262" s="89"/>
      <c r="CM262" s="89"/>
      <c r="CN262" s="89"/>
      <c r="CO262" s="89"/>
      <c r="CP262" s="89"/>
      <c r="CQ262" s="89"/>
      <c r="CR262" s="89"/>
      <c r="CS262" s="89"/>
      <c r="CT262" s="89"/>
      <c r="CU262" s="89"/>
      <c r="CV262" s="89"/>
      <c r="CW262" s="89"/>
      <c r="CX262" s="89"/>
      <c r="CY262" s="89"/>
      <c r="CZ262" s="89"/>
      <c r="DA262" s="89"/>
      <c r="DB262" s="89"/>
      <c r="DC262" s="89"/>
      <c r="DD262" s="89"/>
      <c r="DE262" s="89"/>
      <c r="DF262" s="89"/>
      <c r="DG262" s="89"/>
      <c r="DH262" s="89"/>
      <c r="DI262" s="89"/>
      <c r="DJ262" s="89"/>
      <c r="DK262" s="89"/>
      <c r="DL262" s="89"/>
      <c r="DM262" s="89"/>
      <c r="DN262" s="89"/>
      <c r="DO262" s="89"/>
      <c r="DP262" s="89"/>
      <c r="DQ262" s="89"/>
      <c r="DR262" s="89"/>
      <c r="DS262" s="89"/>
      <c r="DT262" s="89"/>
      <c r="DU262" s="141"/>
      <c r="DV262" s="141"/>
      <c r="DW262" s="141"/>
      <c r="DX262" s="141"/>
      <c r="DY262" s="141"/>
      <c r="DZ262" s="141"/>
      <c r="EA262" s="141"/>
      <c r="EB262" s="89"/>
      <c r="EC262" s="89"/>
      <c r="ED262" s="89"/>
      <c r="EE262" s="89"/>
      <c r="EF262" s="89"/>
      <c r="EG262" s="89"/>
      <c r="EH262" s="89"/>
      <c r="EI262" s="89"/>
      <c r="EJ262" s="89"/>
      <c r="EK262" s="89"/>
      <c r="EL262" s="89"/>
      <c r="EM262" s="89"/>
      <c r="EN262" s="89"/>
      <c r="EO262" s="89"/>
      <c r="EP262" s="89"/>
      <c r="EQ262" s="89"/>
      <c r="ER262" s="89"/>
      <c r="ES262" s="89"/>
      <c r="ET262" s="89"/>
      <c r="EU262" s="89"/>
      <c r="EV262" s="89"/>
      <c r="EW262" s="89"/>
      <c r="EX262" s="89"/>
      <c r="EY262" s="89"/>
      <c r="EZ262" s="89"/>
      <c r="FA262" s="89"/>
      <c r="FB262" s="89"/>
      <c r="FC262" s="89"/>
      <c r="FD262" s="89"/>
      <c r="FE262" s="89"/>
      <c r="FF262" s="89"/>
      <c r="FG262" s="89"/>
      <c r="FH262" s="89"/>
      <c r="FI262" s="89"/>
      <c r="FJ262" s="96"/>
      <c r="FK262" s="96"/>
      <c r="FL262" s="96"/>
      <c r="FM262" s="96"/>
      <c r="FN262" s="96"/>
      <c r="FO262" s="108"/>
      <c r="FP262" s="108"/>
      <c r="FQ262" s="108"/>
      <c r="FR262" s="108"/>
      <c r="FS262" s="108"/>
      <c r="FT262" s="108"/>
      <c r="FU262" s="108"/>
      <c r="FV262" s="108"/>
      <c r="FW262" s="108"/>
      <c r="FX262" s="301"/>
      <c r="FY262" s="259"/>
      <c r="FZ262" s="259"/>
      <c r="GA262" s="259"/>
      <c r="GB262" s="259"/>
      <c r="GC262" s="301"/>
      <c r="GD262" s="301"/>
      <c r="GE262" s="301"/>
      <c r="GF262" s="301"/>
      <c r="GG262" s="301"/>
      <c r="GH262" s="301"/>
      <c r="GI262" s="301"/>
      <c r="GJ262" s="301"/>
      <c r="GK262" s="301"/>
      <c r="GL262" s="301"/>
      <c r="GM262" s="301"/>
      <c r="GN262" s="301"/>
      <c r="GO262" s="301"/>
      <c r="GP262" s="301"/>
      <c r="GQ262" s="301"/>
      <c r="GR262" s="301"/>
      <c r="GS262" s="301"/>
      <c r="GT262" s="301"/>
      <c r="GU262" s="301"/>
      <c r="GV262" s="301"/>
      <c r="IB262" s="65"/>
    </row>
    <row r="263" spans="1:236" ht="16.95" customHeight="1">
      <c r="A263" s="60"/>
      <c r="B263" s="69"/>
      <c r="C263" s="69"/>
      <c r="D263" s="341" t="str">
        <f ca="1">IF(FL1=0,"","wordt maximale winst gemaakt?")</f>
        <v/>
      </c>
      <c r="E263" s="331"/>
      <c r="F263" s="331"/>
      <c r="G263" s="331"/>
      <c r="H263" s="331"/>
      <c r="I263" s="331"/>
      <c r="J263" s="331"/>
      <c r="K263" s="89"/>
      <c r="L263" s="89"/>
      <c r="M263" s="89"/>
      <c r="N263" s="89"/>
      <c r="O263" s="89"/>
      <c r="P263" s="89"/>
      <c r="Q263" s="89"/>
      <c r="R263" s="89"/>
      <c r="S263" s="89"/>
      <c r="T263" s="89"/>
      <c r="U263" s="89"/>
      <c r="V263" s="89"/>
      <c r="W263" s="89"/>
      <c r="X263" s="89"/>
      <c r="Y263" s="89"/>
      <c r="Z263" s="89"/>
      <c r="AA263" s="89"/>
      <c r="AB263" s="89"/>
      <c r="AC263" s="89"/>
      <c r="AD263" s="89"/>
      <c r="AE263" s="89"/>
      <c r="AF263" s="89"/>
      <c r="AG263" s="89"/>
      <c r="AH263" s="89"/>
      <c r="AI263" s="89"/>
      <c r="AJ263" s="89"/>
      <c r="AK263" s="89"/>
      <c r="AL263" s="89"/>
      <c r="AM263" s="89"/>
      <c r="AN263" s="89"/>
      <c r="AO263" s="89"/>
      <c r="AP263" s="89"/>
      <c r="AQ263" s="89"/>
      <c r="AR263" s="89"/>
      <c r="AS263" s="89"/>
      <c r="AT263" s="89"/>
      <c r="AU263" s="89"/>
      <c r="AV263" s="89"/>
      <c r="AW263" s="89"/>
      <c r="AX263" s="89"/>
      <c r="AY263" s="89"/>
      <c r="AZ263" s="89"/>
      <c r="BA263" s="89"/>
      <c r="BB263" s="89"/>
      <c r="BC263" s="89"/>
      <c r="BD263" s="89"/>
      <c r="BE263" s="89"/>
      <c r="BF263" s="89"/>
      <c r="BG263" s="89"/>
      <c r="BH263" s="89"/>
      <c r="BI263" s="89"/>
      <c r="BJ263" s="89"/>
      <c r="BK263" s="89"/>
      <c r="BL263" s="89"/>
      <c r="BM263" s="89"/>
      <c r="BN263" s="89"/>
      <c r="BO263" s="89"/>
      <c r="BP263" s="89"/>
      <c r="BQ263" s="89"/>
      <c r="BR263" s="89"/>
      <c r="BS263" s="89"/>
      <c r="BT263" s="89"/>
      <c r="BU263" s="89"/>
      <c r="BV263" s="89"/>
      <c r="BW263" s="89"/>
      <c r="BX263" s="89"/>
      <c r="BY263" s="89"/>
      <c r="BZ263" s="89"/>
      <c r="CA263" s="89"/>
      <c r="CB263" s="89"/>
      <c r="CC263" s="89"/>
      <c r="CD263" s="89"/>
      <c r="CE263" s="89"/>
      <c r="CF263" s="89"/>
      <c r="CG263" s="89"/>
      <c r="CH263" s="89"/>
      <c r="CI263" s="89"/>
      <c r="CJ263" s="89"/>
      <c r="CK263" s="89"/>
      <c r="CL263" s="89"/>
      <c r="CM263" s="89"/>
      <c r="CN263" s="89"/>
      <c r="CO263" s="89"/>
      <c r="CP263" s="89"/>
      <c r="CQ263" s="89"/>
      <c r="CR263" s="89"/>
      <c r="CS263" s="89"/>
      <c r="CT263" s="89"/>
      <c r="CU263" s="89"/>
      <c r="CV263" s="89"/>
      <c r="CW263" s="89"/>
      <c r="CX263" s="89"/>
      <c r="CY263" s="89"/>
      <c r="CZ263" s="89"/>
      <c r="DA263" s="89"/>
      <c r="DB263" s="89"/>
      <c r="DC263" s="89"/>
      <c r="DD263" s="89"/>
      <c r="DE263" s="89"/>
      <c r="DF263" s="89"/>
      <c r="DG263" s="89"/>
      <c r="DH263" s="89"/>
      <c r="DI263" s="89"/>
      <c r="DJ263" s="89"/>
      <c r="DK263" s="89"/>
      <c r="DL263" s="89"/>
      <c r="DM263" s="89"/>
      <c r="DN263" s="89"/>
      <c r="DO263" s="89"/>
      <c r="DP263" s="89"/>
      <c r="DQ263" s="89"/>
      <c r="DR263" s="89"/>
      <c r="DS263" s="89"/>
      <c r="DT263" s="89"/>
      <c r="DU263" s="141"/>
      <c r="DV263" s="141"/>
      <c r="DW263" s="141"/>
      <c r="DX263" s="141"/>
      <c r="DY263" s="141"/>
      <c r="DZ263" s="141"/>
      <c r="EA263" s="141"/>
      <c r="EB263" s="89"/>
      <c r="EC263" s="89"/>
      <c r="ED263" s="89"/>
      <c r="EE263" s="89"/>
      <c r="EF263" s="89"/>
      <c r="EG263" s="89"/>
      <c r="EH263" s="89"/>
      <c r="EI263" s="89"/>
      <c r="EJ263" s="89"/>
      <c r="EK263" s="89"/>
      <c r="EL263" s="89"/>
      <c r="EM263" s="89"/>
      <c r="EN263" s="89"/>
      <c r="EO263" s="89"/>
      <c r="EP263" s="89"/>
      <c r="EQ263" s="89"/>
      <c r="ER263" s="89"/>
      <c r="ES263" s="89"/>
      <c r="ET263" s="89"/>
      <c r="EU263" s="89"/>
      <c r="EV263" s="89"/>
      <c r="EW263" s="89"/>
      <c r="EX263" s="89"/>
      <c r="EY263" s="89"/>
      <c r="EZ263" s="89"/>
      <c r="FA263" s="89"/>
      <c r="FB263" s="89"/>
      <c r="FC263" s="89"/>
      <c r="FD263" s="89"/>
      <c r="FE263" s="89"/>
      <c r="FF263" s="89"/>
      <c r="FG263" s="89"/>
      <c r="FH263" s="89"/>
      <c r="FI263" s="89"/>
      <c r="FJ263" s="300"/>
      <c r="FK263" s="300"/>
      <c r="FL263" s="300"/>
      <c r="FM263" s="300"/>
      <c r="FN263" s="300"/>
      <c r="FO263" s="108"/>
      <c r="FP263" s="108"/>
      <c r="FQ263" s="108"/>
      <c r="FR263" s="108"/>
      <c r="FS263" s="108"/>
      <c r="FT263" s="108"/>
      <c r="FU263" s="108"/>
      <c r="FV263" s="108"/>
      <c r="FW263" s="108"/>
      <c r="FX263" s="301"/>
      <c r="FY263" s="259"/>
      <c r="FZ263" s="259"/>
      <c r="GA263" s="259"/>
      <c r="GB263" s="259"/>
      <c r="GC263" s="301"/>
      <c r="GD263" s="301"/>
      <c r="GE263" s="301"/>
      <c r="GF263" s="301"/>
      <c r="GG263" s="301"/>
      <c r="GH263" s="301"/>
      <c r="GI263" s="301"/>
      <c r="GJ263" s="301"/>
      <c r="GK263" s="301"/>
      <c r="GL263" s="301"/>
      <c r="GM263" s="301"/>
      <c r="GN263" s="301"/>
      <c r="GO263" s="301"/>
      <c r="GP263" s="301"/>
      <c r="GQ263" s="301"/>
      <c r="GR263" s="301"/>
      <c r="GS263" s="301"/>
      <c r="GT263" s="301"/>
      <c r="GU263" s="301"/>
      <c r="GV263" s="301"/>
      <c r="IB263" s="65"/>
    </row>
    <row r="264" spans="1:236" ht="16.95" customHeight="1">
      <c r="A264" s="60"/>
      <c r="B264" s="69"/>
      <c r="C264" s="69"/>
      <c r="D264" s="268"/>
      <c r="E264" s="331"/>
      <c r="F264" s="331"/>
      <c r="G264" s="331"/>
      <c r="H264" s="331"/>
      <c r="I264" s="331"/>
      <c r="J264" s="331"/>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89"/>
      <c r="AL264" s="89"/>
      <c r="AM264" s="89"/>
      <c r="AN264" s="89"/>
      <c r="AO264" s="89"/>
      <c r="AP264" s="89"/>
      <c r="AQ264" s="89"/>
      <c r="AR264" s="89"/>
      <c r="AS264" s="89"/>
      <c r="AT264" s="89"/>
      <c r="AU264" s="89"/>
      <c r="AV264" s="89"/>
      <c r="AW264" s="89"/>
      <c r="AX264" s="89"/>
      <c r="AY264" s="89"/>
      <c r="AZ264" s="89"/>
      <c r="BA264" s="89"/>
      <c r="BB264" s="89"/>
      <c r="BC264" s="89"/>
      <c r="BD264" s="89"/>
      <c r="BE264" s="89"/>
      <c r="BF264" s="89"/>
      <c r="BG264" s="89"/>
      <c r="BH264" s="89"/>
      <c r="BI264" s="89"/>
      <c r="BJ264" s="89"/>
      <c r="BK264" s="89"/>
      <c r="BL264" s="89"/>
      <c r="BM264" s="89"/>
      <c r="BN264" s="89"/>
      <c r="BO264" s="89"/>
      <c r="BP264" s="89"/>
      <c r="BQ264" s="89"/>
      <c r="BR264" s="89"/>
      <c r="BS264" s="89"/>
      <c r="BT264" s="89"/>
      <c r="BU264" s="89"/>
      <c r="BV264" s="89"/>
      <c r="BW264" s="89"/>
      <c r="BX264" s="89"/>
      <c r="BY264" s="89"/>
      <c r="BZ264" s="89"/>
      <c r="CA264" s="89"/>
      <c r="CB264" s="89"/>
      <c r="CC264" s="89"/>
      <c r="CD264" s="89"/>
      <c r="CE264" s="89"/>
      <c r="CF264" s="89"/>
      <c r="CG264" s="89"/>
      <c r="CH264" s="89"/>
      <c r="CI264" s="89"/>
      <c r="CJ264" s="89"/>
      <c r="CK264" s="89"/>
      <c r="CL264" s="89"/>
      <c r="CM264" s="89"/>
      <c r="CN264" s="89"/>
      <c r="CO264" s="89"/>
      <c r="CP264" s="89"/>
      <c r="CQ264" s="89"/>
      <c r="CR264" s="89"/>
      <c r="CS264" s="89"/>
      <c r="CT264" s="89"/>
      <c r="CU264" s="89"/>
      <c r="CV264" s="89"/>
      <c r="CW264" s="89"/>
      <c r="CX264" s="89"/>
      <c r="CY264" s="89"/>
      <c r="CZ264" s="89"/>
      <c r="DA264" s="89"/>
      <c r="DB264" s="89"/>
      <c r="DC264" s="89"/>
      <c r="DD264" s="89"/>
      <c r="DE264" s="89"/>
      <c r="DF264" s="89"/>
      <c r="DG264" s="89"/>
      <c r="DH264" s="89"/>
      <c r="DI264" s="89"/>
      <c r="DJ264" s="89"/>
      <c r="DK264" s="89"/>
      <c r="DL264" s="89"/>
      <c r="DM264" s="89"/>
      <c r="DN264" s="89"/>
      <c r="DO264" s="89"/>
      <c r="DP264" s="89"/>
      <c r="DQ264" s="89"/>
      <c r="DR264" s="89"/>
      <c r="DS264" s="89"/>
      <c r="DT264" s="89"/>
      <c r="DU264" s="141"/>
      <c r="DV264" s="141"/>
      <c r="DW264" s="141"/>
      <c r="DX264" s="141"/>
      <c r="DY264" s="141"/>
      <c r="DZ264" s="141"/>
      <c r="EA264" s="141"/>
      <c r="EB264" s="89"/>
      <c r="EC264" s="89"/>
      <c r="ED264" s="89"/>
      <c r="EE264" s="89"/>
      <c r="EF264" s="89"/>
      <c r="EG264" s="89"/>
      <c r="EH264" s="89"/>
      <c r="EI264" s="89"/>
      <c r="EJ264" s="89"/>
      <c r="EK264" s="89"/>
      <c r="EL264" s="89"/>
      <c r="EM264" s="89"/>
      <c r="EN264" s="89"/>
      <c r="EO264" s="89"/>
      <c r="EP264" s="89"/>
      <c r="EQ264" s="89"/>
      <c r="ER264" s="89"/>
      <c r="ES264" s="89"/>
      <c r="ET264" s="89"/>
      <c r="EU264" s="89"/>
      <c r="EV264" s="89"/>
      <c r="EW264" s="89"/>
      <c r="EX264" s="89"/>
      <c r="EY264" s="89"/>
      <c r="EZ264" s="89"/>
      <c r="FA264" s="89"/>
      <c r="FB264" s="89"/>
      <c r="FC264" s="89"/>
      <c r="FD264" s="89"/>
      <c r="FE264" s="89"/>
      <c r="FF264" s="89"/>
      <c r="FG264" s="89"/>
      <c r="FH264" s="89"/>
      <c r="FI264" s="89"/>
      <c r="FJ264" s="300"/>
      <c r="FK264" s="300"/>
      <c r="FL264" s="300"/>
      <c r="FM264" s="300"/>
      <c r="FN264" s="300"/>
      <c r="FO264" s="108"/>
      <c r="FP264" s="108"/>
      <c r="FQ264" s="108"/>
      <c r="FR264" s="108"/>
      <c r="FS264" s="108"/>
      <c r="FT264" s="108"/>
      <c r="FU264" s="108"/>
      <c r="FV264" s="108"/>
      <c r="FW264" s="108"/>
      <c r="FX264" s="301"/>
      <c r="FY264" s="259"/>
      <c r="FZ264" s="259"/>
      <c r="GA264" s="259"/>
      <c r="GB264" s="259"/>
      <c r="GC264" s="301"/>
      <c r="GD264" s="301"/>
      <c r="GE264" s="301"/>
      <c r="GF264" s="301"/>
      <c r="GG264" s="301"/>
      <c r="GH264" s="301"/>
      <c r="GI264" s="301"/>
      <c r="GJ264" s="301"/>
      <c r="GK264" s="301"/>
      <c r="GL264" s="301"/>
      <c r="GM264" s="301"/>
      <c r="GN264" s="301"/>
      <c r="GO264" s="301"/>
      <c r="GP264" s="301"/>
      <c r="GQ264" s="301"/>
      <c r="GR264" s="301"/>
      <c r="GS264" s="301"/>
      <c r="GT264" s="301"/>
      <c r="GU264" s="301"/>
      <c r="GV264" s="301"/>
      <c r="IB264" s="65"/>
    </row>
    <row r="265" spans="1:236" ht="16.95" customHeight="1">
      <c r="A265" s="60"/>
      <c r="B265" s="69"/>
      <c r="C265" s="69"/>
      <c r="D265" s="268"/>
      <c r="E265" s="331"/>
      <c r="F265" s="331"/>
      <c r="G265" s="331"/>
      <c r="H265" s="331"/>
      <c r="I265" s="331"/>
      <c r="J265" s="331"/>
      <c r="K265" s="89"/>
      <c r="L265" s="89"/>
      <c r="M265" s="89"/>
      <c r="N265" s="89"/>
      <c r="O265" s="89"/>
      <c r="P265" s="89"/>
      <c r="Q265" s="89"/>
      <c r="R265" s="89"/>
      <c r="S265" s="89"/>
      <c r="T265" s="89"/>
      <c r="U265" s="89"/>
      <c r="V265" s="89"/>
      <c r="W265" s="89"/>
      <c r="X265" s="89"/>
      <c r="Y265" s="89"/>
      <c r="Z265" s="89"/>
      <c r="AA265" s="89"/>
      <c r="AB265" s="89"/>
      <c r="AC265" s="89"/>
      <c r="AD265" s="89"/>
      <c r="AE265" s="89"/>
      <c r="AF265" s="89"/>
      <c r="AG265" s="89"/>
      <c r="AH265" s="89"/>
      <c r="AI265" s="89"/>
      <c r="AJ265" s="89"/>
      <c r="AK265" s="89"/>
      <c r="AL265" s="89"/>
      <c r="AM265" s="89"/>
      <c r="AN265" s="89"/>
      <c r="AO265" s="89"/>
      <c r="AP265" s="89"/>
      <c r="AQ265" s="89"/>
      <c r="AR265" s="89"/>
      <c r="AS265" s="89"/>
      <c r="AT265" s="89"/>
      <c r="AU265" s="89"/>
      <c r="AV265" s="89"/>
      <c r="AW265" s="89"/>
      <c r="AX265" s="89"/>
      <c r="AY265" s="89"/>
      <c r="AZ265" s="89"/>
      <c r="BA265" s="89"/>
      <c r="BB265" s="89"/>
      <c r="BC265" s="89"/>
      <c r="BD265" s="89"/>
      <c r="BE265" s="89"/>
      <c r="BF265" s="89"/>
      <c r="BG265" s="89"/>
      <c r="BH265" s="89"/>
      <c r="BI265" s="89"/>
      <c r="BJ265" s="89"/>
      <c r="BK265" s="89"/>
      <c r="BL265" s="89"/>
      <c r="BM265" s="89"/>
      <c r="BN265" s="89"/>
      <c r="BO265" s="89"/>
      <c r="BP265" s="89"/>
      <c r="BQ265" s="89"/>
      <c r="BR265" s="89"/>
      <c r="BS265" s="89"/>
      <c r="BT265" s="89"/>
      <c r="BU265" s="89"/>
      <c r="BV265" s="89"/>
      <c r="BW265" s="89"/>
      <c r="BX265" s="89"/>
      <c r="BY265" s="89"/>
      <c r="BZ265" s="89"/>
      <c r="CA265" s="89"/>
      <c r="CB265" s="89"/>
      <c r="CC265" s="89"/>
      <c r="CD265" s="89"/>
      <c r="CE265" s="89"/>
      <c r="CF265" s="89"/>
      <c r="CG265" s="89"/>
      <c r="CH265" s="89"/>
      <c r="CI265" s="89"/>
      <c r="CJ265" s="89"/>
      <c r="CK265" s="89"/>
      <c r="CL265" s="89"/>
      <c r="CM265" s="89"/>
      <c r="CN265" s="89"/>
      <c r="CO265" s="89"/>
      <c r="CP265" s="89"/>
      <c r="CQ265" s="89"/>
      <c r="CR265" s="89"/>
      <c r="CS265" s="89"/>
      <c r="CT265" s="89"/>
      <c r="CU265" s="89"/>
      <c r="CV265" s="89"/>
      <c r="CW265" s="89"/>
      <c r="CX265" s="89"/>
      <c r="CY265" s="89"/>
      <c r="CZ265" s="89"/>
      <c r="DA265" s="89"/>
      <c r="DB265" s="89"/>
      <c r="DC265" s="89"/>
      <c r="DD265" s="89"/>
      <c r="DE265" s="89"/>
      <c r="DF265" s="89"/>
      <c r="DG265" s="89"/>
      <c r="DH265" s="89"/>
      <c r="DI265" s="89"/>
      <c r="DJ265" s="89"/>
      <c r="DK265" s="89"/>
      <c r="DL265" s="89"/>
      <c r="DM265" s="89"/>
      <c r="DN265" s="89"/>
      <c r="DO265" s="89"/>
      <c r="DP265" s="89"/>
      <c r="DQ265" s="89"/>
      <c r="DR265" s="89"/>
      <c r="DS265" s="89"/>
      <c r="DT265" s="89"/>
      <c r="DU265" s="141"/>
      <c r="DV265" s="141"/>
      <c r="DW265" s="141"/>
      <c r="DX265" s="141"/>
      <c r="DY265" s="141"/>
      <c r="DZ265" s="141"/>
      <c r="EA265" s="141"/>
      <c r="EB265" s="89"/>
      <c r="EC265" s="89"/>
      <c r="ED265" s="89"/>
      <c r="EE265" s="89"/>
      <c r="EF265" s="89"/>
      <c r="EG265" s="89"/>
      <c r="EH265" s="89"/>
      <c r="EI265" s="89"/>
      <c r="EJ265" s="89"/>
      <c r="EK265" s="89"/>
      <c r="EL265" s="89"/>
      <c r="EM265" s="89"/>
      <c r="EN265" s="89"/>
      <c r="EO265" s="89"/>
      <c r="EP265" s="89"/>
      <c r="EQ265" s="89"/>
      <c r="ER265" s="89"/>
      <c r="ES265" s="89"/>
      <c r="ET265" s="89"/>
      <c r="EU265" s="89"/>
      <c r="EV265" s="89"/>
      <c r="EW265" s="89"/>
      <c r="EX265" s="89"/>
      <c r="EY265" s="89"/>
      <c r="EZ265" s="89"/>
      <c r="FA265" s="89"/>
      <c r="FB265" s="89"/>
      <c r="FC265" s="89"/>
      <c r="FD265" s="89"/>
      <c r="FE265" s="89"/>
      <c r="FF265" s="89"/>
      <c r="FG265" s="89"/>
      <c r="FH265" s="89"/>
      <c r="FI265" s="89"/>
      <c r="FJ265" s="300"/>
      <c r="FK265" s="300"/>
      <c r="FL265" s="300"/>
      <c r="FM265" s="300"/>
      <c r="FN265" s="300"/>
      <c r="FO265" s="108"/>
      <c r="FP265" s="108"/>
      <c r="FQ265" s="108"/>
      <c r="FR265" s="108"/>
      <c r="FS265" s="108"/>
      <c r="FT265" s="108"/>
      <c r="FU265" s="108"/>
      <c r="FV265" s="108"/>
      <c r="FW265" s="108"/>
      <c r="FX265" s="301"/>
      <c r="FY265" s="259"/>
      <c r="FZ265" s="259"/>
      <c r="GA265" s="259"/>
      <c r="GB265" s="259"/>
      <c r="GC265" s="301"/>
      <c r="GD265" s="301"/>
      <c r="GE265" s="301"/>
      <c r="GF265" s="301"/>
      <c r="GG265" s="301"/>
      <c r="GH265" s="301"/>
      <c r="GI265" s="301"/>
      <c r="GJ265" s="301"/>
      <c r="GK265" s="301"/>
      <c r="GL265" s="301"/>
      <c r="GM265" s="301"/>
      <c r="GN265" s="301"/>
      <c r="GO265" s="301"/>
      <c r="GP265" s="301"/>
      <c r="GQ265" s="301"/>
      <c r="GR265" s="301"/>
      <c r="GS265" s="301"/>
      <c r="GT265" s="301"/>
      <c r="GU265" s="301"/>
      <c r="GV265" s="301"/>
      <c r="IB265" s="65"/>
    </row>
    <row r="266" spans="1:236" ht="16.95" customHeight="1">
      <c r="A266" s="60"/>
      <c r="B266" s="69"/>
      <c r="C266" s="69"/>
      <c r="D266" s="268"/>
      <c r="E266" s="331"/>
      <c r="F266" s="331"/>
      <c r="G266" s="331"/>
      <c r="H266" s="331"/>
      <c r="I266" s="331"/>
      <c r="J266" s="331"/>
      <c r="K266" s="89"/>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K266" s="89"/>
      <c r="AL266" s="89"/>
      <c r="AM266" s="89"/>
      <c r="AN266" s="89"/>
      <c r="AO266" s="89"/>
      <c r="AP266" s="89"/>
      <c r="AQ266" s="89"/>
      <c r="AR266" s="89"/>
      <c r="AS266" s="89"/>
      <c r="AT266" s="89"/>
      <c r="AU266" s="89"/>
      <c r="AV266" s="89"/>
      <c r="AW266" s="89"/>
      <c r="AX266" s="89"/>
      <c r="AY266" s="89"/>
      <c r="AZ266" s="89"/>
      <c r="BA266" s="89"/>
      <c r="BB266" s="89"/>
      <c r="BC266" s="89"/>
      <c r="BD266" s="89"/>
      <c r="BE266" s="89"/>
      <c r="BF266" s="89"/>
      <c r="BG266" s="89"/>
      <c r="BH266" s="89"/>
      <c r="BI266" s="89"/>
      <c r="BJ266" s="89"/>
      <c r="BK266" s="89"/>
      <c r="BL266" s="89"/>
      <c r="BM266" s="89"/>
      <c r="BN266" s="89"/>
      <c r="BO266" s="89"/>
      <c r="BP266" s="89"/>
      <c r="BQ266" s="89"/>
      <c r="BR266" s="89"/>
      <c r="BS266" s="89"/>
      <c r="BT266" s="89"/>
      <c r="BU266" s="89"/>
      <c r="BV266" s="89"/>
      <c r="BW266" s="89"/>
      <c r="BX266" s="89"/>
      <c r="BY266" s="89"/>
      <c r="BZ266" s="89"/>
      <c r="CA266" s="89"/>
      <c r="CB266" s="89"/>
      <c r="CC266" s="89"/>
      <c r="CD266" s="89"/>
      <c r="CE266" s="89"/>
      <c r="CF266" s="89"/>
      <c r="CG266" s="89"/>
      <c r="CH266" s="89"/>
      <c r="CI266" s="89"/>
      <c r="CJ266" s="89"/>
      <c r="CK266" s="89"/>
      <c r="CL266" s="89"/>
      <c r="CM266" s="89"/>
      <c r="CN266" s="89"/>
      <c r="CO266" s="89"/>
      <c r="CP266" s="89"/>
      <c r="CQ266" s="89"/>
      <c r="CR266" s="89"/>
      <c r="CS266" s="89"/>
      <c r="CT266" s="89"/>
      <c r="CU266" s="89"/>
      <c r="CV266" s="89"/>
      <c r="CW266" s="89"/>
      <c r="CX266" s="89"/>
      <c r="CY266" s="89"/>
      <c r="CZ266" s="89"/>
      <c r="DA266" s="89"/>
      <c r="DB266" s="89"/>
      <c r="DC266" s="89"/>
      <c r="DD266" s="89"/>
      <c r="DE266" s="89"/>
      <c r="DF266" s="89"/>
      <c r="DG266" s="89"/>
      <c r="DH266" s="89"/>
      <c r="DI266" s="89"/>
      <c r="DJ266" s="89"/>
      <c r="DK266" s="89"/>
      <c r="DL266" s="89"/>
      <c r="DM266" s="89"/>
      <c r="DN266" s="89"/>
      <c r="DO266" s="89"/>
      <c r="DP266" s="89"/>
      <c r="DQ266" s="89"/>
      <c r="DR266" s="89"/>
      <c r="DS266" s="89"/>
      <c r="DT266" s="89"/>
      <c r="DU266" s="141"/>
      <c r="DV266" s="141"/>
      <c r="DW266" s="141"/>
      <c r="DX266" s="141"/>
      <c r="DY266" s="141"/>
      <c r="DZ266" s="141"/>
      <c r="EA266" s="141"/>
      <c r="EB266" s="89"/>
      <c r="EC266" s="89"/>
      <c r="ED266" s="89"/>
      <c r="EE266" s="89"/>
      <c r="EF266" s="89"/>
      <c r="EG266" s="89"/>
      <c r="EH266" s="89"/>
      <c r="EI266" s="89"/>
      <c r="EJ266" s="89"/>
      <c r="EK266" s="89"/>
      <c r="EL266" s="89"/>
      <c r="EM266" s="89"/>
      <c r="EN266" s="89"/>
      <c r="EO266" s="89"/>
      <c r="EP266" s="89"/>
      <c r="EQ266" s="89"/>
      <c r="ER266" s="89"/>
      <c r="ES266" s="89"/>
      <c r="ET266" s="89"/>
      <c r="EU266" s="89"/>
      <c r="EV266" s="89"/>
      <c r="EW266" s="89"/>
      <c r="EX266" s="89"/>
      <c r="EY266" s="89"/>
      <c r="EZ266" s="89"/>
      <c r="FA266" s="89"/>
      <c r="FB266" s="89"/>
      <c r="FC266" s="89"/>
      <c r="FD266" s="89"/>
      <c r="FE266" s="89"/>
      <c r="FF266" s="89"/>
      <c r="FG266" s="89"/>
      <c r="FH266" s="89"/>
      <c r="FI266" s="89"/>
      <c r="FJ266" s="300"/>
      <c r="FK266" s="300"/>
      <c r="FL266" s="300"/>
      <c r="FM266" s="300"/>
      <c r="FN266" s="300"/>
      <c r="FO266" s="108"/>
      <c r="FP266" s="108"/>
      <c r="FQ266" s="108"/>
      <c r="FR266" s="108"/>
      <c r="FS266" s="108"/>
      <c r="FT266" s="108"/>
      <c r="FU266" s="108"/>
      <c r="FV266" s="108"/>
      <c r="FW266" s="108"/>
      <c r="FX266" s="301"/>
      <c r="FY266" s="259"/>
      <c r="FZ266" s="259"/>
      <c r="GA266" s="259"/>
      <c r="GB266" s="259"/>
      <c r="GC266" s="301"/>
      <c r="GD266" s="301"/>
      <c r="GE266" s="301"/>
      <c r="GF266" s="301"/>
      <c r="GG266" s="301"/>
      <c r="GH266" s="301"/>
      <c r="GI266" s="301"/>
      <c r="GJ266" s="301"/>
      <c r="GK266" s="301"/>
      <c r="GL266" s="301"/>
      <c r="GM266" s="301"/>
      <c r="GN266" s="301"/>
      <c r="GO266" s="301"/>
      <c r="GP266" s="301"/>
      <c r="GQ266" s="301"/>
      <c r="GR266" s="301"/>
      <c r="GS266" s="301"/>
      <c r="GT266" s="301"/>
      <c r="GU266" s="301"/>
      <c r="GV266" s="301"/>
      <c r="IB266" s="65"/>
    </row>
    <row r="267" spans="1:236" ht="16.95" customHeight="1">
      <c r="A267" s="60"/>
      <c r="B267" s="69"/>
      <c r="C267" s="69"/>
      <c r="D267" s="268"/>
      <c r="E267" s="331"/>
      <c r="F267" s="331"/>
      <c r="G267" s="331"/>
      <c r="H267" s="331"/>
      <c r="I267" s="331"/>
      <c r="J267" s="331"/>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c r="AZ267" s="89"/>
      <c r="BA267" s="89"/>
      <c r="BB267" s="89"/>
      <c r="BC267" s="89"/>
      <c r="BD267" s="89"/>
      <c r="BE267" s="89"/>
      <c r="BF267" s="89"/>
      <c r="BG267" s="89"/>
      <c r="BH267" s="89"/>
      <c r="BI267" s="89"/>
      <c r="BJ267" s="89"/>
      <c r="BK267" s="89"/>
      <c r="BL267" s="89"/>
      <c r="BM267" s="89"/>
      <c r="BN267" s="89"/>
      <c r="BO267" s="89"/>
      <c r="BP267" s="89"/>
      <c r="BQ267" s="89"/>
      <c r="BR267" s="89"/>
      <c r="BS267" s="89"/>
      <c r="BT267" s="89"/>
      <c r="BU267" s="89"/>
      <c r="BV267" s="89"/>
      <c r="BW267" s="89"/>
      <c r="BX267" s="89"/>
      <c r="BY267" s="89"/>
      <c r="BZ267" s="89"/>
      <c r="CA267" s="89"/>
      <c r="CB267" s="89"/>
      <c r="CC267" s="89"/>
      <c r="CD267" s="89"/>
      <c r="CE267" s="89"/>
      <c r="CF267" s="89"/>
      <c r="CG267" s="89"/>
      <c r="CH267" s="89"/>
      <c r="CI267" s="89"/>
      <c r="CJ267" s="89"/>
      <c r="CK267" s="89"/>
      <c r="CL267" s="89"/>
      <c r="CM267" s="89"/>
      <c r="CN267" s="89"/>
      <c r="CO267" s="89"/>
      <c r="CP267" s="89"/>
      <c r="CQ267" s="89"/>
      <c r="CR267" s="89"/>
      <c r="CS267" s="89"/>
      <c r="CT267" s="89"/>
      <c r="CU267" s="89"/>
      <c r="CV267" s="89"/>
      <c r="CW267" s="89"/>
      <c r="CX267" s="89"/>
      <c r="CY267" s="89"/>
      <c r="CZ267" s="89"/>
      <c r="DA267" s="89"/>
      <c r="DB267" s="89"/>
      <c r="DC267" s="89"/>
      <c r="DD267" s="89"/>
      <c r="DE267" s="89"/>
      <c r="DF267" s="89"/>
      <c r="DG267" s="89"/>
      <c r="DH267" s="89"/>
      <c r="DI267" s="89"/>
      <c r="DJ267" s="89"/>
      <c r="DK267" s="89"/>
      <c r="DL267" s="89"/>
      <c r="DM267" s="89"/>
      <c r="DN267" s="89"/>
      <c r="DO267" s="89"/>
      <c r="DP267" s="89"/>
      <c r="DQ267" s="89"/>
      <c r="DR267" s="89"/>
      <c r="DS267" s="89"/>
      <c r="DT267" s="89"/>
      <c r="DU267" s="141"/>
      <c r="DV267" s="141"/>
      <c r="DW267" s="141"/>
      <c r="DX267" s="141"/>
      <c r="DY267" s="141"/>
      <c r="DZ267" s="141"/>
      <c r="EA267" s="141"/>
      <c r="EB267" s="89"/>
      <c r="EC267" s="89"/>
      <c r="ED267" s="89"/>
      <c r="EE267" s="89"/>
      <c r="EF267" s="89"/>
      <c r="EG267" s="89"/>
      <c r="EH267" s="89"/>
      <c r="EI267" s="89"/>
      <c r="EJ267" s="89"/>
      <c r="EK267" s="89"/>
      <c r="EL267" s="89"/>
      <c r="EM267" s="89"/>
      <c r="EN267" s="89"/>
      <c r="EO267" s="89"/>
      <c r="EP267" s="89"/>
      <c r="EQ267" s="89"/>
      <c r="ER267" s="89"/>
      <c r="ES267" s="89"/>
      <c r="ET267" s="89"/>
      <c r="EU267" s="89"/>
      <c r="EV267" s="89"/>
      <c r="EW267" s="89"/>
      <c r="EX267" s="89"/>
      <c r="EY267" s="89"/>
      <c r="EZ267" s="89"/>
      <c r="FA267" s="89"/>
      <c r="FB267" s="89"/>
      <c r="FC267" s="89"/>
      <c r="FD267" s="89"/>
      <c r="FE267" s="89"/>
      <c r="FF267" s="89"/>
      <c r="FG267" s="89"/>
      <c r="FH267" s="89"/>
      <c r="FI267" s="89"/>
      <c r="FJ267" s="300"/>
      <c r="FK267" s="300"/>
      <c r="FL267" s="300"/>
      <c r="FM267" s="300"/>
      <c r="FN267" s="300"/>
      <c r="FO267" s="108"/>
      <c r="FP267" s="108"/>
      <c r="FQ267" s="108"/>
      <c r="FR267" s="108"/>
      <c r="FS267" s="108"/>
      <c r="FT267" s="108"/>
      <c r="FU267" s="108"/>
      <c r="FV267" s="108"/>
      <c r="FW267" s="108"/>
      <c r="FX267" s="301"/>
      <c r="FY267" s="259"/>
      <c r="FZ267" s="259"/>
      <c r="GA267" s="259"/>
      <c r="GB267" s="259"/>
      <c r="GC267" s="301"/>
      <c r="GD267" s="301"/>
      <c r="GE267" s="301"/>
      <c r="GF267" s="301"/>
      <c r="GG267" s="301"/>
      <c r="GH267" s="301"/>
      <c r="GI267" s="301"/>
      <c r="GJ267" s="301"/>
      <c r="GK267" s="301"/>
      <c r="GL267" s="301"/>
      <c r="GM267" s="301"/>
      <c r="GN267" s="301"/>
      <c r="GO267" s="301"/>
      <c r="GP267" s="301"/>
      <c r="GQ267" s="301"/>
      <c r="GR267" s="301"/>
      <c r="GS267" s="301"/>
      <c r="GT267" s="301"/>
      <c r="GU267" s="301"/>
      <c r="GV267" s="301"/>
      <c r="IB267" s="65"/>
    </row>
    <row r="268" spans="1:236" ht="16.95" customHeight="1">
      <c r="A268" s="60"/>
      <c r="B268" s="69"/>
      <c r="C268" s="69"/>
      <c r="D268" s="341"/>
      <c r="E268" s="331"/>
      <c r="F268" s="331"/>
      <c r="G268" s="331"/>
      <c r="H268" s="331"/>
      <c r="I268" s="331"/>
      <c r="J268" s="331"/>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c r="AZ268" s="89"/>
      <c r="BA268" s="89"/>
      <c r="BB268" s="89"/>
      <c r="BC268" s="89"/>
      <c r="BD268" s="89"/>
      <c r="BE268" s="89"/>
      <c r="BF268" s="89"/>
      <c r="BG268" s="89"/>
      <c r="BH268" s="89"/>
      <c r="BI268" s="89"/>
      <c r="BJ268" s="89"/>
      <c r="BK268" s="89"/>
      <c r="BL268" s="89"/>
      <c r="BM268" s="89"/>
      <c r="BN268" s="89"/>
      <c r="BO268" s="89"/>
      <c r="BP268" s="89"/>
      <c r="BQ268" s="89"/>
      <c r="BR268" s="89"/>
      <c r="BS268" s="89"/>
      <c r="BT268" s="89"/>
      <c r="BU268" s="89"/>
      <c r="BV268" s="89"/>
      <c r="BW268" s="89"/>
      <c r="BX268" s="89"/>
      <c r="BY268" s="89"/>
      <c r="BZ268" s="89"/>
      <c r="CA268" s="89"/>
      <c r="CB268" s="89"/>
      <c r="CC268" s="89"/>
      <c r="CD268" s="89"/>
      <c r="CE268" s="89"/>
      <c r="CF268" s="89"/>
      <c r="CG268" s="89"/>
      <c r="CH268" s="89"/>
      <c r="CI268" s="89"/>
      <c r="CJ268" s="89"/>
      <c r="CK268" s="89"/>
      <c r="CL268" s="89"/>
      <c r="CM268" s="89"/>
      <c r="CN268" s="89"/>
      <c r="CO268" s="89"/>
      <c r="CP268" s="89"/>
      <c r="CQ268" s="89"/>
      <c r="CR268" s="89"/>
      <c r="CS268" s="89"/>
      <c r="CT268" s="89"/>
      <c r="CU268" s="89"/>
      <c r="CV268" s="89"/>
      <c r="CW268" s="89"/>
      <c r="CX268" s="89"/>
      <c r="CY268" s="89"/>
      <c r="CZ268" s="89"/>
      <c r="DA268" s="89"/>
      <c r="DB268" s="89"/>
      <c r="DC268" s="89"/>
      <c r="DD268" s="89"/>
      <c r="DE268" s="89"/>
      <c r="DF268" s="89"/>
      <c r="DG268" s="89"/>
      <c r="DH268" s="89"/>
      <c r="DI268" s="89"/>
      <c r="DJ268" s="89"/>
      <c r="DK268" s="89"/>
      <c r="DL268" s="89"/>
      <c r="DM268" s="89"/>
      <c r="DN268" s="89"/>
      <c r="DO268" s="89"/>
      <c r="DP268" s="89"/>
      <c r="DQ268" s="89"/>
      <c r="DR268" s="89"/>
      <c r="DS268" s="89"/>
      <c r="DT268" s="89"/>
      <c r="DU268" s="141"/>
      <c r="DV268" s="141"/>
      <c r="DW268" s="141"/>
      <c r="DX268" s="141"/>
      <c r="DY268" s="141"/>
      <c r="DZ268" s="141"/>
      <c r="EA268" s="141"/>
      <c r="EB268" s="89"/>
      <c r="EC268" s="89"/>
      <c r="ED268" s="89"/>
      <c r="EE268" s="89"/>
      <c r="EF268" s="89"/>
      <c r="EG268" s="89"/>
      <c r="EH268" s="89"/>
      <c r="EI268" s="89"/>
      <c r="EJ268" s="89"/>
      <c r="EK268" s="89"/>
      <c r="EL268" s="89"/>
      <c r="EM268" s="89"/>
      <c r="EN268" s="89"/>
      <c r="EO268" s="89"/>
      <c r="EP268" s="89"/>
      <c r="EQ268" s="89"/>
      <c r="ER268" s="89"/>
      <c r="ES268" s="89"/>
      <c r="ET268" s="89"/>
      <c r="EU268" s="89"/>
      <c r="EV268" s="89"/>
      <c r="EW268" s="89"/>
      <c r="EX268" s="89"/>
      <c r="EY268" s="89"/>
      <c r="EZ268" s="89"/>
      <c r="FA268" s="89"/>
      <c r="FB268" s="89"/>
      <c r="FC268" s="89"/>
      <c r="FD268" s="89"/>
      <c r="FE268" s="89"/>
      <c r="FF268" s="89"/>
      <c r="FG268" s="89"/>
      <c r="FH268" s="89"/>
      <c r="FI268" s="89"/>
      <c r="FJ268" s="300"/>
      <c r="FK268" s="300"/>
      <c r="FL268" s="300"/>
      <c r="FM268" s="300"/>
      <c r="FN268" s="300"/>
      <c r="FO268" s="108"/>
      <c r="FP268" s="108"/>
      <c r="FQ268" s="108"/>
      <c r="FR268" s="108"/>
      <c r="FS268" s="108"/>
      <c r="FT268" s="108"/>
      <c r="FU268" s="108"/>
      <c r="FV268" s="108"/>
      <c r="FW268" s="108"/>
      <c r="FX268" s="301"/>
      <c r="FY268" s="259"/>
      <c r="FZ268" s="259"/>
      <c r="GA268" s="259"/>
      <c r="GB268" s="259"/>
      <c r="GC268" s="301"/>
      <c r="GD268" s="301"/>
      <c r="GE268" s="301"/>
      <c r="GF268" s="301"/>
      <c r="GG268" s="301"/>
      <c r="GH268" s="301"/>
      <c r="GI268" s="301"/>
      <c r="GJ268" s="301"/>
      <c r="GK268" s="301"/>
      <c r="GL268" s="301"/>
      <c r="GM268" s="301"/>
      <c r="GN268" s="301"/>
      <c r="GO268" s="301"/>
      <c r="GP268" s="301"/>
      <c r="GQ268" s="301"/>
      <c r="GR268" s="301"/>
      <c r="GS268" s="301"/>
      <c r="GT268" s="301"/>
      <c r="GU268" s="301"/>
      <c r="GV268" s="301"/>
      <c r="IB268" s="65"/>
    </row>
    <row r="269" spans="1:236" ht="16.95" customHeight="1">
      <c r="A269" s="60"/>
      <c r="B269" s="69"/>
      <c r="C269" s="69"/>
      <c r="D269" s="341"/>
      <c r="E269" s="331"/>
      <c r="F269" s="331"/>
      <c r="G269" s="331"/>
      <c r="H269" s="331"/>
      <c r="I269" s="331"/>
      <c r="J269" s="331"/>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c r="BT269" s="89"/>
      <c r="BU269" s="89"/>
      <c r="BV269" s="89"/>
      <c r="BW269" s="89"/>
      <c r="BX269" s="89"/>
      <c r="BY269" s="89"/>
      <c r="BZ269" s="89"/>
      <c r="CA269" s="89"/>
      <c r="CB269" s="89"/>
      <c r="CC269" s="89"/>
      <c r="CD269" s="89"/>
      <c r="CE269" s="89"/>
      <c r="CF269" s="89"/>
      <c r="CG269" s="89"/>
      <c r="CH269" s="89"/>
      <c r="CI269" s="89"/>
      <c r="CJ269" s="89"/>
      <c r="CK269" s="89"/>
      <c r="CL269" s="89"/>
      <c r="CM269" s="89"/>
      <c r="CN269" s="89"/>
      <c r="CO269" s="89"/>
      <c r="CP269" s="89"/>
      <c r="CQ269" s="89"/>
      <c r="CR269" s="89"/>
      <c r="CS269" s="89"/>
      <c r="CT269" s="89"/>
      <c r="CU269" s="89"/>
      <c r="CV269" s="89"/>
      <c r="CW269" s="89"/>
      <c r="CX269" s="89"/>
      <c r="CY269" s="89"/>
      <c r="CZ269" s="89"/>
      <c r="DA269" s="89"/>
      <c r="DB269" s="89"/>
      <c r="DC269" s="89"/>
      <c r="DD269" s="89"/>
      <c r="DE269" s="89"/>
      <c r="DF269" s="89"/>
      <c r="DG269" s="89"/>
      <c r="DH269" s="89"/>
      <c r="DI269" s="89"/>
      <c r="DJ269" s="89"/>
      <c r="DK269" s="89"/>
      <c r="DL269" s="89"/>
      <c r="DM269" s="89"/>
      <c r="DN269" s="89"/>
      <c r="DO269" s="89"/>
      <c r="DP269" s="89"/>
      <c r="DQ269" s="89"/>
      <c r="DR269" s="89"/>
      <c r="DS269" s="89"/>
      <c r="DT269" s="89"/>
      <c r="DU269" s="141"/>
      <c r="DV269" s="141"/>
      <c r="DW269" s="141"/>
      <c r="DX269" s="141"/>
      <c r="DY269" s="141"/>
      <c r="DZ269" s="141"/>
      <c r="EA269" s="141"/>
      <c r="EB269" s="89"/>
      <c r="EC269" s="89"/>
      <c r="ED269" s="89"/>
      <c r="EE269" s="89"/>
      <c r="EF269" s="89"/>
      <c r="EG269" s="89"/>
      <c r="EH269" s="89"/>
      <c r="EI269" s="89"/>
      <c r="EJ269" s="89"/>
      <c r="EK269" s="89"/>
      <c r="EL269" s="89"/>
      <c r="EM269" s="89"/>
      <c r="EN269" s="89"/>
      <c r="EO269" s="89"/>
      <c r="EP269" s="89"/>
      <c r="EQ269" s="89"/>
      <c r="ER269" s="89"/>
      <c r="ES269" s="89"/>
      <c r="ET269" s="89"/>
      <c r="EU269" s="89"/>
      <c r="EV269" s="89"/>
      <c r="EW269" s="89"/>
      <c r="EX269" s="89"/>
      <c r="EY269" s="89"/>
      <c r="EZ269" s="89"/>
      <c r="FA269" s="89"/>
      <c r="FB269" s="89"/>
      <c r="FC269" s="89"/>
      <c r="FD269" s="89"/>
      <c r="FE269" s="89"/>
      <c r="FF269" s="89"/>
      <c r="FG269" s="89"/>
      <c r="FH269" s="89"/>
      <c r="FI269" s="89"/>
      <c r="FJ269" s="300"/>
      <c r="FK269" s="300"/>
      <c r="FL269" s="300"/>
      <c r="FM269" s="300"/>
      <c r="FN269" s="300"/>
      <c r="FO269" s="108"/>
      <c r="FP269" s="108"/>
      <c r="FQ269" s="108"/>
      <c r="FR269" s="108"/>
      <c r="FS269" s="108"/>
      <c r="FT269" s="108"/>
      <c r="FU269" s="108"/>
      <c r="FV269" s="108"/>
      <c r="FW269" s="108"/>
      <c r="FX269" s="301"/>
      <c r="FY269" s="259"/>
      <c r="FZ269" s="259"/>
      <c r="GA269" s="259"/>
      <c r="GB269" s="259"/>
      <c r="GC269" s="301"/>
      <c r="GD269" s="301"/>
      <c r="GE269" s="301"/>
      <c r="GF269" s="301"/>
      <c r="GG269" s="301"/>
      <c r="GH269" s="301"/>
      <c r="GI269" s="301"/>
      <c r="GJ269" s="301"/>
      <c r="GK269" s="301"/>
      <c r="GL269" s="301"/>
      <c r="GM269" s="301"/>
      <c r="GN269" s="301"/>
      <c r="GO269" s="301"/>
      <c r="GP269" s="301"/>
      <c r="GQ269" s="301"/>
      <c r="GR269" s="301"/>
      <c r="GS269" s="301"/>
      <c r="GT269" s="301"/>
      <c r="GU269" s="301"/>
      <c r="GV269" s="301"/>
      <c r="IB269" s="65"/>
    </row>
    <row r="270" spans="1:236" ht="16.95" customHeight="1">
      <c r="A270" s="60"/>
      <c r="B270" s="69"/>
      <c r="C270" s="69"/>
      <c r="D270" s="341"/>
      <c r="E270" s="331"/>
      <c r="F270" s="331"/>
      <c r="G270" s="331"/>
      <c r="H270" s="331"/>
      <c r="I270" s="331"/>
      <c r="J270" s="331"/>
      <c r="K270" s="89"/>
      <c r="L270" s="89"/>
      <c r="M270" s="89"/>
      <c r="N270" s="89"/>
      <c r="O270" s="89"/>
      <c r="P270" s="89"/>
      <c r="Q270" s="89"/>
      <c r="R270" s="89"/>
      <c r="S270" s="89"/>
      <c r="T270" s="89"/>
      <c r="U270" s="89"/>
      <c r="V270" s="89"/>
      <c r="W270" s="89"/>
      <c r="X270" s="89"/>
      <c r="Y270" s="89"/>
      <c r="Z270" s="89"/>
      <c r="AA270" s="89"/>
      <c r="AB270" s="89"/>
      <c r="AC270" s="89"/>
      <c r="AD270" s="89"/>
      <c r="AE270" s="89"/>
      <c r="AF270" s="89"/>
      <c r="AG270" s="89"/>
      <c r="AH270" s="89"/>
      <c r="AI270" s="89"/>
      <c r="AJ270" s="89"/>
      <c r="AK270" s="89"/>
      <c r="AL270" s="89"/>
      <c r="AM270" s="89"/>
      <c r="AN270" s="89"/>
      <c r="AO270" s="89"/>
      <c r="AP270" s="89"/>
      <c r="AQ270" s="89"/>
      <c r="AR270" s="89"/>
      <c r="AS270" s="89"/>
      <c r="AT270" s="89"/>
      <c r="AU270" s="89"/>
      <c r="AV270" s="89"/>
      <c r="AW270" s="89"/>
      <c r="AX270" s="89"/>
      <c r="AY270" s="89"/>
      <c r="AZ270" s="89"/>
      <c r="BA270" s="89"/>
      <c r="BB270" s="89"/>
      <c r="BC270" s="89"/>
      <c r="BD270" s="89"/>
      <c r="BE270" s="89"/>
      <c r="BF270" s="89"/>
      <c r="BG270" s="89"/>
      <c r="BH270" s="89"/>
      <c r="BI270" s="89"/>
      <c r="BJ270" s="89"/>
      <c r="BK270" s="89"/>
      <c r="BL270" s="89"/>
      <c r="BM270" s="89"/>
      <c r="BN270" s="89"/>
      <c r="BO270" s="89"/>
      <c r="BP270" s="89"/>
      <c r="BQ270" s="89"/>
      <c r="BR270" s="89"/>
      <c r="BS270" s="89"/>
      <c r="BT270" s="89"/>
      <c r="BU270" s="89"/>
      <c r="BV270" s="89"/>
      <c r="BW270" s="89"/>
      <c r="BX270" s="89"/>
      <c r="BY270" s="89"/>
      <c r="BZ270" s="89"/>
      <c r="CA270" s="89"/>
      <c r="CB270" s="89"/>
      <c r="CC270" s="89"/>
      <c r="CD270" s="89"/>
      <c r="CE270" s="89"/>
      <c r="CF270" s="89"/>
      <c r="CG270" s="89"/>
      <c r="CH270" s="89"/>
      <c r="CI270" s="89"/>
      <c r="CJ270" s="89"/>
      <c r="CK270" s="89"/>
      <c r="CL270" s="89"/>
      <c r="CM270" s="89"/>
      <c r="CN270" s="89"/>
      <c r="CO270" s="89"/>
      <c r="CP270" s="89"/>
      <c r="CQ270" s="89"/>
      <c r="CR270" s="89"/>
      <c r="CS270" s="89"/>
      <c r="CT270" s="89"/>
      <c r="CU270" s="89"/>
      <c r="CV270" s="89"/>
      <c r="CW270" s="89"/>
      <c r="CX270" s="89"/>
      <c r="CY270" s="89"/>
      <c r="CZ270" s="89"/>
      <c r="DA270" s="89"/>
      <c r="DB270" s="89"/>
      <c r="DC270" s="89"/>
      <c r="DD270" s="89"/>
      <c r="DE270" s="89"/>
      <c r="DF270" s="89"/>
      <c r="DG270" s="89"/>
      <c r="DH270" s="89"/>
      <c r="DI270" s="89"/>
      <c r="DJ270" s="89"/>
      <c r="DK270" s="89"/>
      <c r="DL270" s="89"/>
      <c r="DM270" s="89"/>
      <c r="DN270" s="89"/>
      <c r="DO270" s="89"/>
      <c r="DP270" s="89"/>
      <c r="DQ270" s="89"/>
      <c r="DR270" s="89"/>
      <c r="DS270" s="89"/>
      <c r="DT270" s="89"/>
      <c r="DU270" s="141"/>
      <c r="DV270" s="141"/>
      <c r="DW270" s="141"/>
      <c r="DX270" s="141"/>
      <c r="DY270" s="141"/>
      <c r="DZ270" s="141"/>
      <c r="EA270" s="141"/>
      <c r="EB270" s="89"/>
      <c r="EC270" s="89"/>
      <c r="ED270" s="89"/>
      <c r="EE270" s="89"/>
      <c r="EF270" s="89"/>
      <c r="EG270" s="89"/>
      <c r="EH270" s="89"/>
      <c r="EI270" s="89"/>
      <c r="EJ270" s="89"/>
      <c r="EK270" s="89"/>
      <c r="EL270" s="89"/>
      <c r="EM270" s="89"/>
      <c r="EN270" s="89"/>
      <c r="EO270" s="89"/>
      <c r="EP270" s="89"/>
      <c r="EQ270" s="89"/>
      <c r="ER270" s="89"/>
      <c r="ES270" s="89"/>
      <c r="ET270" s="89"/>
      <c r="EU270" s="89"/>
      <c r="EV270" s="89"/>
      <c r="EW270" s="89"/>
      <c r="EX270" s="89"/>
      <c r="EY270" s="89"/>
      <c r="EZ270" s="89"/>
      <c r="FA270" s="89"/>
      <c r="FB270" s="89"/>
      <c r="FC270" s="89"/>
      <c r="FD270" s="89"/>
      <c r="FE270" s="89"/>
      <c r="FF270" s="89"/>
      <c r="FG270" s="89"/>
      <c r="FH270" s="89"/>
      <c r="FI270" s="89"/>
      <c r="FJ270" s="300"/>
      <c r="FK270" s="300"/>
      <c r="FL270" s="300"/>
      <c r="FM270" s="300"/>
      <c r="FN270" s="300"/>
      <c r="FO270" s="300"/>
      <c r="FP270" s="300"/>
      <c r="FQ270" s="108"/>
      <c r="FR270" s="108"/>
      <c r="FS270" s="108"/>
      <c r="FT270" s="108"/>
      <c r="FU270" s="108"/>
      <c r="FV270" s="108"/>
      <c r="FW270" s="108"/>
      <c r="FX270" s="301"/>
      <c r="FY270" s="259"/>
      <c r="FZ270" s="259"/>
      <c r="GA270" s="259"/>
      <c r="GB270" s="259"/>
      <c r="GC270" s="301"/>
      <c r="GD270" s="301"/>
      <c r="GE270" s="301"/>
      <c r="GF270" s="301"/>
      <c r="GG270" s="301"/>
      <c r="GH270" s="301"/>
      <c r="GI270" s="301"/>
      <c r="GJ270" s="301"/>
      <c r="GK270" s="301"/>
      <c r="GL270" s="301"/>
      <c r="GM270" s="301"/>
      <c r="GN270" s="301"/>
      <c r="GO270" s="301"/>
      <c r="GP270" s="301"/>
      <c r="GQ270" s="301"/>
      <c r="GR270" s="301"/>
      <c r="GS270" s="301"/>
      <c r="GT270" s="301"/>
      <c r="GU270" s="301"/>
      <c r="GV270" s="301"/>
      <c r="IB270" s="65"/>
    </row>
    <row r="271" spans="1:236" customFormat="1" ht="3.75" customHeight="1">
      <c r="A271" s="1"/>
      <c r="B271" s="3"/>
      <c r="C271" s="3"/>
      <c r="D271" s="124"/>
      <c r="E271" s="333"/>
      <c r="F271" s="333"/>
      <c r="G271" s="333"/>
      <c r="H271" s="333"/>
      <c r="I271" s="333"/>
      <c r="J271" s="79"/>
      <c r="K271" s="79"/>
      <c r="L271" s="41"/>
      <c r="M271" s="42"/>
      <c r="N271" s="41"/>
      <c r="O271" s="41"/>
      <c r="P271" s="41"/>
      <c r="Q271" s="41"/>
      <c r="R271" s="41"/>
      <c r="S271" s="79"/>
      <c r="T271" s="328"/>
      <c r="U271" s="328"/>
      <c r="V271" s="328"/>
      <c r="W271" s="328"/>
      <c r="X271" s="328"/>
      <c r="Y271" s="328"/>
      <c r="Z271" s="328"/>
      <c r="AA271" s="328"/>
      <c r="AB271" s="328"/>
      <c r="AC271" s="328"/>
      <c r="AD271" s="328"/>
      <c r="AE271" s="328"/>
      <c r="AF271" s="328"/>
      <c r="AG271" s="328"/>
      <c r="AH271" s="328"/>
      <c r="AI271" s="328"/>
      <c r="AJ271" s="328"/>
      <c r="AK271" s="328"/>
      <c r="AL271" s="328"/>
      <c r="AM271" s="328"/>
      <c r="AN271" s="328"/>
      <c r="AO271" s="328"/>
      <c r="AP271" s="328"/>
      <c r="AQ271" s="328"/>
      <c r="AR271" s="328"/>
      <c r="AS271" s="328"/>
      <c r="AT271" s="328"/>
      <c r="AU271" s="328"/>
      <c r="AV271" s="328"/>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28"/>
      <c r="CZ271" s="328"/>
      <c r="DA271" s="328"/>
      <c r="DB271" s="328"/>
      <c r="DC271" s="328"/>
      <c r="DD271" s="328"/>
      <c r="DE271" s="536" t="str">
        <f ca="1">IF(FL1=0,"","+")</f>
        <v/>
      </c>
      <c r="DF271" s="536"/>
      <c r="DG271" s="536"/>
      <c r="DH271" s="536"/>
      <c r="DI271" s="536"/>
      <c r="DJ271" s="536"/>
      <c r="DK271" s="536"/>
      <c r="DL271" s="43"/>
      <c r="DM271" s="43"/>
      <c r="DN271" s="43"/>
      <c r="DO271" s="43"/>
      <c r="DP271" s="43"/>
      <c r="DQ271" s="43"/>
      <c r="DR271" s="43"/>
      <c r="DS271" s="43"/>
      <c r="DT271" s="43"/>
      <c r="DU271" s="43"/>
      <c r="DV271" s="43"/>
      <c r="DW271" s="43"/>
      <c r="DX271" s="43"/>
      <c r="DY271" s="278"/>
      <c r="DZ271" s="278"/>
      <c r="EA271" s="278"/>
      <c r="EB271" s="278"/>
      <c r="EC271" s="278"/>
      <c r="ED271" s="278"/>
      <c r="EE271" s="278"/>
      <c r="EF271" s="278"/>
      <c r="EG271" s="278"/>
      <c r="EH271" s="278"/>
      <c r="EI271" s="278"/>
      <c r="EJ271" s="278"/>
      <c r="EK271" s="278"/>
      <c r="EL271" s="278"/>
      <c r="EM271" s="278"/>
      <c r="EN271" s="278"/>
      <c r="EO271" s="278"/>
      <c r="EP271" s="278"/>
      <c r="EQ271" s="278"/>
      <c r="ER271" s="278"/>
      <c r="ES271" s="278"/>
      <c r="ET271" s="278"/>
      <c r="EU271" s="278"/>
      <c r="EV271" s="278"/>
      <c r="EW271" s="278"/>
      <c r="EX271" s="278"/>
      <c r="EY271" s="278"/>
      <c r="EZ271" s="278"/>
      <c r="FA271" s="43"/>
      <c r="FB271" s="43"/>
      <c r="FC271" s="43"/>
      <c r="FD271" s="43"/>
      <c r="FE271" s="43"/>
      <c r="FF271" s="43"/>
      <c r="FG271" s="43"/>
      <c r="FH271" s="43"/>
      <c r="FI271" s="43"/>
      <c r="FJ271" s="96"/>
      <c r="FK271" s="96"/>
      <c r="FL271" s="96"/>
      <c r="FM271" s="338"/>
      <c r="FN271" s="338"/>
      <c r="FO271" s="338"/>
      <c r="FP271" s="93"/>
      <c r="FQ271" s="93"/>
      <c r="FR271" s="93"/>
      <c r="FS271" s="93"/>
      <c r="FT271" s="93"/>
      <c r="FU271" s="93"/>
      <c r="FV271" s="93"/>
      <c r="FW271" s="93"/>
      <c r="FX271" s="93"/>
      <c r="FY271" s="259"/>
      <c r="FZ271" s="259"/>
      <c r="GA271" s="259"/>
      <c r="GB271" s="259"/>
      <c r="GC271" s="49"/>
      <c r="GD271" s="49"/>
      <c r="GE271" s="49"/>
      <c r="GF271" s="49"/>
      <c r="GG271" s="49"/>
      <c r="GH271" s="49"/>
      <c r="GI271" s="49"/>
      <c r="GJ271" s="49"/>
      <c r="GK271" s="49"/>
      <c r="GL271" s="49"/>
      <c r="GM271" s="49"/>
      <c r="GN271" s="49"/>
      <c r="GO271" s="49"/>
      <c r="GP271" s="49"/>
      <c r="GQ271" s="49"/>
      <c r="GR271" s="49"/>
      <c r="GS271" s="49"/>
      <c r="GT271" s="49"/>
      <c r="GU271" s="49"/>
      <c r="GV271" s="49"/>
      <c r="GW271" s="66"/>
      <c r="GX271" s="66"/>
      <c r="GY271" s="66"/>
      <c r="GZ271" s="66"/>
      <c r="HA271" s="66"/>
      <c r="HB271" s="66"/>
      <c r="HC271" s="66"/>
      <c r="HD271" s="66"/>
      <c r="HE271" s="66"/>
      <c r="HF271" s="66"/>
      <c r="HG271" s="66"/>
      <c r="HH271" s="66"/>
      <c r="HI271" s="66"/>
      <c r="HJ271" s="66"/>
      <c r="HK271" s="66"/>
      <c r="HL271" s="66"/>
      <c r="HM271" s="66"/>
      <c r="HN271" s="66"/>
      <c r="HO271" s="66"/>
      <c r="HP271" s="66"/>
      <c r="HQ271" s="66"/>
      <c r="HR271" s="66"/>
      <c r="HS271" s="66"/>
      <c r="HT271" s="66"/>
      <c r="HU271" s="66"/>
      <c r="HV271" s="66"/>
      <c r="HW271" s="66"/>
      <c r="HX271" s="66"/>
      <c r="HY271" s="66"/>
      <c r="HZ271" s="66"/>
      <c r="IA271" s="66"/>
    </row>
    <row r="272" spans="1:236" customFormat="1" ht="16.5" customHeight="1">
      <c r="A272" s="1"/>
      <c r="B272" s="3"/>
      <c r="C272" s="3"/>
      <c r="D272" s="124"/>
      <c r="E272" s="333"/>
      <c r="F272" s="333"/>
      <c r="G272" s="333"/>
      <c r="H272" s="333"/>
      <c r="I272" s="333"/>
      <c r="J272" s="79"/>
      <c r="K272" s="79"/>
      <c r="L272" s="41"/>
      <c r="M272" s="42"/>
      <c r="N272" s="41"/>
      <c r="O272" s="41"/>
      <c r="P272" s="41"/>
      <c r="Q272" s="79"/>
      <c r="R272" s="41"/>
      <c r="S272" s="79"/>
      <c r="T272" s="180"/>
      <c r="U272" s="334"/>
      <c r="V272" s="334"/>
      <c r="W272" s="334"/>
      <c r="X272" s="334"/>
      <c r="Y272" s="334"/>
      <c r="Z272" s="334"/>
      <c r="AA272" s="334"/>
      <c r="AB272" s="334"/>
      <c r="AC272" s="334"/>
      <c r="AD272" s="334"/>
      <c r="AE272" s="334"/>
      <c r="AF272" s="334"/>
      <c r="AG272" s="334"/>
      <c r="AH272" s="334"/>
      <c r="AI272" s="334"/>
      <c r="AJ272" s="334"/>
      <c r="AK272" s="334"/>
      <c r="AL272" s="334"/>
      <c r="AM272" s="334"/>
      <c r="AN272" s="334"/>
      <c r="AO272" s="334"/>
      <c r="AP272" s="181"/>
      <c r="AQ272" s="181"/>
      <c r="AR272" s="181"/>
      <c r="AS272" s="181"/>
      <c r="AT272" s="181"/>
      <c r="AU272" s="181"/>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28"/>
      <c r="CZ272" s="328"/>
      <c r="DA272" s="328"/>
      <c r="DB272" s="153" t="str">
        <f ca="1">IF(FL1=0,"","Hoeveelheid waarbij maximale winst wordt gemaakt:")</f>
        <v/>
      </c>
      <c r="DC272" s="328"/>
      <c r="DD272" s="328"/>
      <c r="DE272" s="327" t="str">
        <f ca="1">IF(FL1=0,"","+")</f>
        <v/>
      </c>
      <c r="DF272" s="537"/>
      <c r="DG272" s="537"/>
      <c r="DH272" s="537"/>
      <c r="DI272" s="537"/>
      <c r="DJ272" s="537"/>
      <c r="DK272" s="327" t="str">
        <f ca="1">IF(FL1=0,"","+")</f>
        <v/>
      </c>
      <c r="DL272" s="165" t="s">
        <v>131</v>
      </c>
      <c r="DM272" s="43"/>
      <c r="DN272" s="43"/>
      <c r="DO272" s="43"/>
      <c r="DP272" s="43"/>
      <c r="DQ272" s="43"/>
      <c r="DR272" s="43"/>
      <c r="DS272" s="43"/>
      <c r="DT272" s="43"/>
      <c r="DU272" s="43"/>
      <c r="DV272" s="43"/>
      <c r="DW272" s="43"/>
      <c r="DX272" s="43"/>
      <c r="DY272" s="278"/>
      <c r="DZ272" s="278"/>
      <c r="EA272" s="278"/>
      <c r="EB272" s="278"/>
      <c r="EC272" s="278"/>
      <c r="ED272" s="278"/>
      <c r="EE272" s="329" t="str">
        <f ca="1">IF(OR(CO461="",TODAY()&gt;=Blad1!AY3),"",IF(FL1=0,"",IF(DF272="","Deze moet je nog (af-) maken.",IF(FL272=1,"Goed!","Fout!"))))</f>
        <v/>
      </c>
      <c r="EF272" s="278"/>
      <c r="EG272" s="278"/>
      <c r="EH272" s="278"/>
      <c r="EI272" s="278"/>
      <c r="EJ272" s="278"/>
      <c r="EK272" s="278"/>
      <c r="EL272" s="278"/>
      <c r="EM272" s="278"/>
      <c r="EN272" s="278"/>
      <c r="EO272" s="278"/>
      <c r="EP272" s="278"/>
      <c r="EQ272" s="278"/>
      <c r="ER272" s="278"/>
      <c r="ES272" s="278"/>
      <c r="ET272" s="278"/>
      <c r="EU272" s="278"/>
      <c r="EV272" s="278"/>
      <c r="EW272" s="278"/>
      <c r="EX272" s="278"/>
      <c r="EY272" s="278"/>
      <c r="EZ272" s="278"/>
      <c r="FA272" s="43"/>
      <c r="FB272" s="43"/>
      <c r="FC272" s="43"/>
      <c r="FD272" s="43"/>
      <c r="FE272" s="43"/>
      <c r="FF272" s="43"/>
      <c r="FG272" s="43"/>
      <c r="FH272" s="43"/>
      <c r="FI272" s="43"/>
      <c r="FJ272" s="96"/>
      <c r="FK272" s="96"/>
      <c r="FL272" s="93">
        <f ca="1">IF(programma!B1="X",1,IF(FL1=0,0,IF(DF272=FR240,1,0)))</f>
        <v>0</v>
      </c>
      <c r="FM272" s="93" t="str">
        <f ca="1">IF(FK1=0,"",FR240)</f>
        <v>B</v>
      </c>
      <c r="FN272" s="338"/>
      <c r="FO272" s="93"/>
      <c r="FP272" s="93"/>
      <c r="FQ272" s="93"/>
      <c r="FR272" s="93"/>
      <c r="FS272" s="93"/>
      <c r="FT272" s="93"/>
      <c r="FU272" s="93"/>
      <c r="FV272" s="93"/>
      <c r="FW272" s="93"/>
      <c r="FX272" s="93"/>
      <c r="FY272" s="259"/>
      <c r="FZ272" s="259"/>
      <c r="GA272" s="259"/>
      <c r="GB272" s="259"/>
      <c r="GC272" s="49"/>
      <c r="GD272" s="49"/>
      <c r="GE272" s="49"/>
      <c r="GF272" s="49"/>
      <c r="GG272" s="49"/>
      <c r="GH272" s="49"/>
      <c r="GI272" s="49"/>
      <c r="GJ272" s="49"/>
      <c r="GK272" s="49"/>
      <c r="GL272" s="49"/>
      <c r="GM272" s="49"/>
      <c r="GN272" s="49"/>
      <c r="GO272" s="49"/>
      <c r="GP272" s="49"/>
      <c r="GQ272" s="49"/>
      <c r="GR272" s="49"/>
      <c r="GS272" s="49"/>
      <c r="GT272" s="49"/>
      <c r="GU272" s="49"/>
      <c r="GV272" s="49"/>
      <c r="GW272" s="66"/>
      <c r="GX272" s="66"/>
      <c r="GY272" s="66"/>
      <c r="GZ272" s="66"/>
      <c r="HA272" s="66"/>
      <c r="HB272" s="66"/>
      <c r="HC272" s="66"/>
      <c r="HD272" s="66"/>
      <c r="HE272" s="66"/>
      <c r="HF272" s="66"/>
      <c r="HG272" s="66"/>
      <c r="HH272" s="66"/>
      <c r="HI272" s="66"/>
      <c r="HJ272" s="66"/>
      <c r="HK272" s="66"/>
      <c r="HL272" s="66"/>
      <c r="HM272" s="66"/>
      <c r="HN272" s="66"/>
      <c r="HO272" s="66"/>
      <c r="HP272" s="66"/>
      <c r="HQ272" s="66"/>
      <c r="HR272" s="66"/>
      <c r="HS272" s="66"/>
      <c r="HT272" s="66"/>
      <c r="HU272" s="66"/>
      <c r="HV272" s="66"/>
      <c r="HW272" s="66"/>
      <c r="HX272" s="66"/>
      <c r="HY272" s="66"/>
      <c r="HZ272" s="66"/>
      <c r="IA272" s="66"/>
    </row>
    <row r="273" spans="1:235" customFormat="1" ht="3.75" customHeight="1">
      <c r="A273" s="1"/>
      <c r="B273" s="3"/>
      <c r="C273" s="3"/>
      <c r="D273" s="124"/>
      <c r="E273" s="333"/>
      <c r="F273" s="333"/>
      <c r="G273" s="333"/>
      <c r="H273" s="333"/>
      <c r="I273" s="333"/>
      <c r="J273" s="79"/>
      <c r="K273" s="79"/>
      <c r="L273" s="41"/>
      <c r="M273" s="42"/>
      <c r="N273" s="41"/>
      <c r="O273" s="41"/>
      <c r="P273" s="41"/>
      <c r="Q273" s="41"/>
      <c r="R273" s="41"/>
      <c r="S273" s="79"/>
      <c r="T273" s="328"/>
      <c r="U273" s="328"/>
      <c r="V273" s="328"/>
      <c r="W273" s="328"/>
      <c r="X273" s="328"/>
      <c r="Y273" s="328"/>
      <c r="Z273" s="328"/>
      <c r="AA273" s="328"/>
      <c r="AB273" s="328"/>
      <c r="AC273" s="328"/>
      <c r="AD273" s="328"/>
      <c r="AE273" s="328"/>
      <c r="AF273" s="328"/>
      <c r="AG273" s="328"/>
      <c r="AH273" s="328"/>
      <c r="AI273" s="328"/>
      <c r="AJ273" s="328"/>
      <c r="AK273" s="328"/>
      <c r="AL273" s="328"/>
      <c r="AM273" s="328"/>
      <c r="AN273" s="328"/>
      <c r="AO273" s="328"/>
      <c r="AP273" s="328"/>
      <c r="AQ273" s="328"/>
      <c r="AR273" s="328"/>
      <c r="AS273" s="328"/>
      <c r="AT273" s="328"/>
      <c r="AU273" s="328"/>
      <c r="AV273" s="328"/>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28"/>
      <c r="CZ273" s="328"/>
      <c r="DA273" s="328"/>
      <c r="DB273" s="328"/>
      <c r="DC273" s="328"/>
      <c r="DD273" s="328"/>
      <c r="DE273" s="536" t="str">
        <f ca="1">IF(FL1=0,"","+")</f>
        <v/>
      </c>
      <c r="DF273" s="536"/>
      <c r="DG273" s="536"/>
      <c r="DH273" s="536"/>
      <c r="DI273" s="536"/>
      <c r="DJ273" s="536"/>
      <c r="DK273" s="536"/>
      <c r="DL273" s="43"/>
      <c r="DM273" s="43"/>
      <c r="DN273" s="43"/>
      <c r="DO273" s="43"/>
      <c r="DP273" s="43"/>
      <c r="DQ273" s="43"/>
      <c r="DR273" s="43"/>
      <c r="DS273" s="43"/>
      <c r="DT273" s="43"/>
      <c r="DU273" s="43"/>
      <c r="DV273" s="43"/>
      <c r="DW273" s="43"/>
      <c r="DX273" s="43"/>
      <c r="DY273" s="278"/>
      <c r="DZ273" s="278"/>
      <c r="EA273" s="278"/>
      <c r="EB273" s="278"/>
      <c r="EC273" s="278"/>
      <c r="ED273" s="278"/>
      <c r="EE273" s="278"/>
      <c r="EF273" s="278"/>
      <c r="EG273" s="278"/>
      <c r="EH273" s="278"/>
      <c r="EI273" s="278"/>
      <c r="EJ273" s="278"/>
      <c r="EK273" s="278"/>
      <c r="EL273" s="278"/>
      <c r="EM273" s="278"/>
      <c r="EN273" s="278"/>
      <c r="EO273" s="278"/>
      <c r="EP273" s="278"/>
      <c r="EQ273" s="278"/>
      <c r="ER273" s="278"/>
      <c r="ES273" s="278"/>
      <c r="ET273" s="278"/>
      <c r="EU273" s="278"/>
      <c r="EV273" s="278"/>
      <c r="EW273" s="278"/>
      <c r="EX273" s="278"/>
      <c r="EY273" s="278"/>
      <c r="EZ273" s="278"/>
      <c r="FA273" s="43"/>
      <c r="FB273" s="43"/>
      <c r="FC273" s="43"/>
      <c r="FD273" s="43"/>
      <c r="FE273" s="43"/>
      <c r="FF273" s="43"/>
      <c r="FG273" s="43"/>
      <c r="FH273" s="43"/>
      <c r="FI273" s="43"/>
      <c r="FJ273" s="96"/>
      <c r="FK273" s="96"/>
      <c r="FL273" s="96"/>
      <c r="FM273" s="338"/>
      <c r="FN273" s="93"/>
      <c r="FO273" s="93"/>
      <c r="FP273" s="93"/>
      <c r="FQ273" s="93"/>
      <c r="FR273" s="93"/>
      <c r="FS273" s="93"/>
      <c r="FT273" s="93"/>
      <c r="FU273" s="93"/>
      <c r="FV273" s="93"/>
      <c r="FW273" s="93"/>
      <c r="FX273" s="93"/>
      <c r="FY273" s="259"/>
      <c r="FZ273" s="259"/>
      <c r="GA273" s="259"/>
      <c r="GB273" s="259"/>
      <c r="GC273" s="49"/>
      <c r="GD273" s="49"/>
      <c r="GE273" s="49"/>
      <c r="GF273" s="49"/>
      <c r="GG273" s="49"/>
      <c r="GH273" s="49"/>
      <c r="GI273" s="49"/>
      <c r="GJ273" s="49"/>
      <c r="GK273" s="49"/>
      <c r="GL273" s="49"/>
      <c r="GM273" s="49"/>
      <c r="GN273" s="49"/>
      <c r="GO273" s="49"/>
      <c r="GP273" s="49"/>
      <c r="GQ273" s="49"/>
      <c r="GR273" s="49"/>
      <c r="GS273" s="49"/>
      <c r="GT273" s="49"/>
      <c r="GU273" s="49"/>
      <c r="GV273" s="49"/>
      <c r="GW273" s="66"/>
      <c r="GX273" s="66"/>
      <c r="GY273" s="66"/>
      <c r="GZ273" s="66"/>
      <c r="HA273" s="66"/>
      <c r="HB273" s="66"/>
      <c r="HC273" s="66"/>
      <c r="HD273" s="66"/>
      <c r="HE273" s="66"/>
      <c r="HF273" s="66"/>
      <c r="HG273" s="66"/>
      <c r="HH273" s="66"/>
      <c r="HI273" s="66"/>
      <c r="HJ273" s="66"/>
      <c r="HK273" s="66"/>
      <c r="HL273" s="66"/>
      <c r="HM273" s="66"/>
      <c r="HN273" s="66"/>
      <c r="HO273" s="66"/>
      <c r="HP273" s="66"/>
      <c r="HQ273" s="66"/>
      <c r="HR273" s="66"/>
      <c r="HS273" s="66"/>
      <c r="HT273" s="66"/>
      <c r="HU273" s="66"/>
      <c r="HV273" s="66"/>
      <c r="HW273" s="66"/>
      <c r="HX273" s="66"/>
      <c r="HY273" s="66"/>
      <c r="HZ273" s="66"/>
      <c r="IA273" s="66"/>
    </row>
    <row r="274" spans="1:235" s="268" customFormat="1" ht="20.399999999999999" customHeight="1">
      <c r="A274" s="60"/>
      <c r="B274" s="69"/>
      <c r="C274" s="69"/>
      <c r="D274" s="316"/>
      <c r="E274" s="141"/>
      <c r="F274" s="141"/>
      <c r="G274" s="141"/>
      <c r="H274" s="141"/>
      <c r="I274" s="141"/>
      <c r="J274" s="141"/>
      <c r="K274" s="141"/>
      <c r="L274" s="141"/>
      <c r="M274" s="141"/>
      <c r="N274" s="141"/>
      <c r="O274" s="141"/>
      <c r="P274" s="141"/>
      <c r="Q274" s="141"/>
      <c r="R274" s="317"/>
      <c r="S274" s="317"/>
      <c r="T274" s="317"/>
      <c r="U274" s="317"/>
      <c r="V274" s="317"/>
      <c r="W274" s="317"/>
      <c r="X274" s="317"/>
      <c r="Y274" s="317"/>
      <c r="Z274" s="317"/>
      <c r="AA274" s="317"/>
      <c r="AB274" s="317"/>
      <c r="AC274" s="317"/>
      <c r="AD274" s="317"/>
      <c r="AE274" s="317"/>
      <c r="AF274" s="317"/>
      <c r="AG274" s="317"/>
      <c r="AH274" s="317"/>
      <c r="AI274" s="317"/>
      <c r="AJ274" s="317"/>
      <c r="AK274" s="317"/>
      <c r="AL274" s="317"/>
      <c r="AM274" s="317"/>
      <c r="AN274" s="317"/>
      <c r="AO274" s="317"/>
      <c r="AP274" s="317"/>
      <c r="AQ274" s="317"/>
      <c r="AR274" s="317"/>
      <c r="AS274" s="317"/>
      <c r="AT274" s="317"/>
      <c r="AU274" s="317"/>
      <c r="AV274" s="317"/>
      <c r="AW274" s="317"/>
      <c r="AX274" s="317"/>
      <c r="AY274" s="317"/>
      <c r="AZ274" s="317"/>
      <c r="BA274" s="317"/>
      <c r="BB274" s="317"/>
      <c r="BC274" s="316"/>
      <c r="BD274" s="316"/>
      <c r="BE274" s="316"/>
      <c r="BF274" s="316"/>
      <c r="BG274" s="316"/>
      <c r="BH274" s="316"/>
      <c r="BI274" s="316"/>
      <c r="BJ274" s="316"/>
      <c r="BK274" s="316"/>
      <c r="BL274" s="316"/>
      <c r="BM274" s="316"/>
      <c r="BN274" s="316"/>
      <c r="BO274" s="316"/>
      <c r="BP274" s="316"/>
      <c r="BQ274" s="316"/>
      <c r="BR274" s="316"/>
      <c r="BS274" s="316"/>
      <c r="BT274" s="316"/>
      <c r="BU274" s="316"/>
      <c r="BV274" s="317"/>
      <c r="BW274" s="317"/>
      <c r="BX274" s="317"/>
      <c r="BY274" s="317"/>
      <c r="BZ274" s="317"/>
      <c r="CA274" s="317"/>
      <c r="CB274" s="317"/>
      <c r="CC274" s="317"/>
      <c r="CD274" s="141"/>
      <c r="CE274" s="141"/>
      <c r="CF274" s="141"/>
      <c r="CG274" s="141"/>
      <c r="CH274" s="141"/>
      <c r="CI274" s="141"/>
      <c r="CJ274" s="141"/>
      <c r="CK274" s="141"/>
      <c r="CL274" s="141"/>
      <c r="CM274" s="141"/>
      <c r="CN274" s="141"/>
      <c r="CO274" s="141"/>
      <c r="CP274" s="141"/>
      <c r="CQ274" s="141"/>
      <c r="CR274" s="141"/>
      <c r="CS274" s="141"/>
      <c r="CT274" s="141"/>
      <c r="CU274" s="141"/>
      <c r="CV274" s="141"/>
      <c r="CW274" s="141"/>
      <c r="CX274" s="141"/>
      <c r="CY274" s="141"/>
      <c r="CZ274" s="141"/>
      <c r="DA274" s="141"/>
      <c r="DB274" s="141"/>
      <c r="DC274" s="141"/>
      <c r="DD274" s="141"/>
      <c r="DE274" s="141"/>
      <c r="DF274" s="141"/>
      <c r="DG274" s="141"/>
      <c r="DH274" s="141"/>
      <c r="DI274" s="141"/>
      <c r="DJ274" s="141"/>
      <c r="DK274" s="141"/>
      <c r="DL274" s="141"/>
      <c r="DM274" s="141"/>
      <c r="DN274" s="141"/>
      <c r="DO274" s="141"/>
      <c r="DP274" s="141"/>
      <c r="DQ274" s="141"/>
      <c r="DR274" s="141"/>
      <c r="DS274" s="141"/>
      <c r="DT274" s="141"/>
      <c r="DU274" s="141"/>
      <c r="DV274" s="141"/>
      <c r="DW274" s="141"/>
      <c r="DX274" s="141"/>
      <c r="DY274" s="141"/>
      <c r="DZ274" s="141"/>
      <c r="EA274" s="141"/>
      <c r="EB274" s="141"/>
      <c r="EC274" s="141"/>
      <c r="ED274" s="141"/>
      <c r="EE274" s="141"/>
      <c r="EF274" s="141"/>
      <c r="EG274" s="141"/>
      <c r="EH274" s="141"/>
      <c r="EI274" s="141"/>
      <c r="EJ274" s="141"/>
      <c r="EK274" s="141"/>
      <c r="EL274" s="141"/>
      <c r="EM274" s="141"/>
      <c r="EN274" s="141"/>
      <c r="EO274" s="141"/>
      <c r="EP274" s="141"/>
      <c r="EQ274" s="141"/>
      <c r="ER274" s="141"/>
      <c r="ES274" s="141"/>
      <c r="ET274" s="141"/>
      <c r="EU274" s="141"/>
      <c r="EV274" s="141"/>
      <c r="EW274" s="141"/>
      <c r="EX274" s="141"/>
      <c r="EY274" s="141"/>
      <c r="EZ274" s="141"/>
      <c r="FA274" s="141"/>
      <c r="FB274" s="141"/>
      <c r="FC274" s="141"/>
      <c r="FD274" s="141"/>
      <c r="FE274" s="141"/>
      <c r="FF274" s="141"/>
      <c r="FG274" s="141"/>
      <c r="FH274" s="141"/>
      <c r="FI274" s="141"/>
      <c r="FJ274" s="96"/>
      <c r="FK274" s="96"/>
      <c r="FL274" s="86"/>
      <c r="FM274" s="86"/>
      <c r="FN274" s="86"/>
      <c r="FO274" s="86"/>
      <c r="FP274" s="86"/>
      <c r="FQ274" s="86"/>
      <c r="FR274" s="86"/>
      <c r="FS274" s="86"/>
      <c r="FT274" s="86"/>
      <c r="FU274" s="86"/>
      <c r="FV274" s="86"/>
      <c r="FW274" s="86"/>
      <c r="FX274" s="86"/>
      <c r="FY274" s="259"/>
      <c r="FZ274" s="259"/>
      <c r="GA274" s="259"/>
      <c r="GB274" s="259"/>
      <c r="GC274" s="259"/>
      <c r="GD274" s="259"/>
      <c r="GE274" s="259"/>
      <c r="GF274" s="259"/>
      <c r="GG274" s="259"/>
      <c r="GH274" s="259"/>
      <c r="GI274" s="259"/>
      <c r="GJ274" s="259"/>
      <c r="GK274" s="86"/>
      <c r="GL274" s="86"/>
      <c r="GM274" s="86"/>
      <c r="GN274" s="86"/>
      <c r="GO274" s="86"/>
      <c r="GP274" s="377"/>
      <c r="GQ274" s="377"/>
      <c r="GR274" s="377"/>
      <c r="GS274" s="377"/>
      <c r="GT274" s="377"/>
      <c r="GU274" s="377"/>
      <c r="GV274" s="377"/>
      <c r="GW274" s="66"/>
      <c r="GX274" s="66"/>
      <c r="GY274" s="66"/>
      <c r="GZ274" s="66"/>
      <c r="HA274" s="66"/>
      <c r="HB274" s="66"/>
      <c r="HC274" s="66"/>
      <c r="HD274" s="66"/>
      <c r="HE274" s="66"/>
      <c r="HF274" s="66"/>
      <c r="HG274" s="66"/>
      <c r="HH274" s="66"/>
      <c r="HI274" s="66"/>
      <c r="HJ274" s="66"/>
      <c r="HK274" s="66"/>
      <c r="HL274" s="66"/>
      <c r="HM274" s="66"/>
      <c r="HN274" s="66"/>
      <c r="HO274" s="66"/>
      <c r="HP274" s="66"/>
      <c r="HQ274" s="66"/>
      <c r="HR274" s="66"/>
      <c r="HS274" s="66"/>
      <c r="HT274" s="66"/>
      <c r="HU274" s="66"/>
      <c r="HV274" s="66"/>
      <c r="HW274" s="66"/>
      <c r="HX274" s="66"/>
      <c r="HY274" s="66"/>
      <c r="HZ274" s="66"/>
      <c r="IA274" s="66"/>
    </row>
    <row r="275" spans="1:235" ht="18.75" customHeight="1">
      <c r="A275" s="60"/>
      <c r="B275" s="69"/>
      <c r="C275" s="69"/>
      <c r="D275" s="270" t="str">
        <f ca="1">IF(FL1=0,"","Opgaven Welvaartseffect van prijszetting")</f>
        <v/>
      </c>
      <c r="E275" s="264"/>
      <c r="F275" s="264"/>
      <c r="G275" s="264"/>
      <c r="H275" s="264"/>
      <c r="I275" s="264"/>
      <c r="J275" s="265"/>
      <c r="K275" s="265"/>
      <c r="L275" s="265"/>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5"/>
      <c r="AI275" s="265"/>
      <c r="AJ275" s="265"/>
      <c r="AK275" s="265"/>
      <c r="AL275" s="265"/>
      <c r="AM275" s="265"/>
      <c r="AN275" s="265"/>
      <c r="AO275" s="265"/>
      <c r="AP275" s="265"/>
      <c r="AQ275" s="265"/>
      <c r="AR275" s="265"/>
      <c r="AS275" s="265"/>
      <c r="AT275" s="265"/>
      <c r="AU275" s="265"/>
      <c r="AV275" s="265"/>
      <c r="AW275" s="265"/>
      <c r="AX275" s="265"/>
      <c r="AY275" s="265"/>
      <c r="AZ275" s="265"/>
      <c r="BA275" s="265"/>
      <c r="BB275" s="265"/>
      <c r="BC275" s="265"/>
      <c r="BD275" s="265"/>
      <c r="BE275" s="265"/>
      <c r="BF275" s="265"/>
      <c r="BG275" s="265"/>
      <c r="BH275" s="265"/>
      <c r="BI275" s="265"/>
      <c r="BJ275" s="265"/>
      <c r="BK275" s="265"/>
      <c r="BL275" s="265"/>
      <c r="BM275" s="265"/>
      <c r="BN275" s="265"/>
      <c r="BO275" s="265"/>
      <c r="BP275" s="265"/>
      <c r="BQ275" s="265"/>
      <c r="BR275" s="265"/>
      <c r="BS275" s="265"/>
      <c r="BT275" s="265"/>
      <c r="BU275" s="265"/>
      <c r="BV275" s="265"/>
      <c r="BW275" s="265"/>
      <c r="BX275" s="265"/>
      <c r="BY275" s="265"/>
      <c r="BZ275" s="265"/>
      <c r="CA275" s="265"/>
      <c r="CB275" s="265"/>
      <c r="CC275" s="265"/>
      <c r="CD275" s="265"/>
      <c r="CE275" s="265"/>
      <c r="CF275" s="265"/>
      <c r="CG275" s="265"/>
      <c r="CH275" s="265"/>
      <c r="CI275" s="265"/>
      <c r="CJ275" s="265"/>
      <c r="CK275" s="265"/>
      <c r="CL275" s="265"/>
      <c r="CM275" s="265"/>
      <c r="CN275" s="265"/>
      <c r="CO275" s="265"/>
      <c r="CP275" s="265"/>
      <c r="CQ275" s="265"/>
      <c r="CR275" s="265"/>
      <c r="CS275" s="265"/>
      <c r="CT275" s="265"/>
      <c r="CU275" s="265"/>
      <c r="CV275" s="265"/>
      <c r="CW275" s="265"/>
      <c r="CX275" s="265"/>
      <c r="CY275" s="265"/>
      <c r="CZ275" s="265"/>
      <c r="DA275" s="265"/>
      <c r="DB275" s="265"/>
      <c r="DC275" s="265"/>
      <c r="DD275" s="265"/>
      <c r="DE275" s="265"/>
      <c r="DF275" s="265"/>
      <c r="DG275" s="265"/>
      <c r="DH275" s="265"/>
      <c r="DI275" s="265"/>
      <c r="DJ275" s="265"/>
      <c r="DK275" s="265"/>
      <c r="DL275" s="268"/>
      <c r="DM275" s="268"/>
      <c r="DN275" s="268"/>
      <c r="DO275" s="268"/>
      <c r="DP275" s="268"/>
      <c r="DQ275" s="268"/>
      <c r="DR275" s="268"/>
      <c r="DS275" s="268"/>
      <c r="DT275" s="268"/>
      <c r="DU275" s="268"/>
      <c r="DV275" s="268"/>
      <c r="DW275" s="268"/>
      <c r="DX275" s="268"/>
      <c r="DY275" s="268"/>
      <c r="DZ275" s="268"/>
      <c r="EA275" s="268"/>
      <c r="EB275" s="268"/>
      <c r="EC275" s="265"/>
      <c r="ED275" s="265"/>
      <c r="EE275" s="265"/>
      <c r="EF275" s="265"/>
      <c r="EG275" s="265"/>
      <c r="EH275" s="265"/>
      <c r="EI275" s="265"/>
      <c r="EJ275" s="265"/>
      <c r="EK275" s="265"/>
      <c r="EL275" s="265"/>
      <c r="EM275" s="265"/>
      <c r="EN275" s="265"/>
      <c r="EO275" s="265"/>
      <c r="EP275" s="265"/>
      <c r="EQ275" s="265"/>
      <c r="ER275" s="265"/>
      <c r="ES275" s="265"/>
      <c r="ET275" s="265"/>
      <c r="EU275" s="265"/>
      <c r="EV275" s="265"/>
      <c r="EW275" s="265"/>
      <c r="EX275" s="265"/>
      <c r="EY275" s="265"/>
      <c r="EZ275" s="265"/>
      <c r="FA275" s="265"/>
      <c r="FB275" s="265"/>
      <c r="FC275" s="265"/>
      <c r="FD275" s="265"/>
      <c r="FE275" s="265"/>
      <c r="FF275" s="265"/>
      <c r="FG275" s="268"/>
      <c r="FH275" s="271"/>
      <c r="FI275" s="141"/>
      <c r="FJ275" s="257"/>
      <c r="FK275" s="257"/>
      <c r="FL275" s="257"/>
      <c r="FM275" s="257"/>
      <c r="FN275" s="258"/>
      <c r="FO275" s="257"/>
      <c r="FP275" s="257"/>
      <c r="FQ275" s="257"/>
      <c r="FR275" s="257"/>
      <c r="FS275" s="257"/>
      <c r="FT275" s="257"/>
      <c r="FU275" s="257"/>
      <c r="FV275" s="269"/>
      <c r="FW275" s="269"/>
      <c r="FX275" s="259"/>
      <c r="FY275" s="259"/>
      <c r="FZ275" s="259"/>
      <c r="GA275" s="259"/>
      <c r="GB275" s="259"/>
      <c r="GC275" s="259"/>
      <c r="GD275" s="259"/>
      <c r="GE275" s="259"/>
      <c r="GF275" s="259"/>
      <c r="GG275" s="259"/>
      <c r="GH275" s="259"/>
      <c r="GI275" s="259"/>
      <c r="GJ275" s="259"/>
      <c r="GK275" s="259"/>
      <c r="GL275" s="259"/>
      <c r="GM275" s="259"/>
      <c r="GN275" s="259"/>
      <c r="GO275" s="259"/>
      <c r="GP275" s="259"/>
      <c r="GQ275" s="259"/>
      <c r="GR275" s="259"/>
      <c r="GS275" s="259"/>
      <c r="GT275" s="259"/>
      <c r="GU275" s="259"/>
      <c r="GV275" s="259"/>
    </row>
    <row r="276" spans="1:235" s="268" customFormat="1" ht="20.399999999999999" customHeight="1">
      <c r="A276" s="60"/>
      <c r="B276" s="69"/>
      <c r="C276" s="69"/>
      <c r="D276" s="331"/>
      <c r="E276" s="141"/>
      <c r="F276" s="141"/>
      <c r="G276" s="141"/>
      <c r="H276" s="141"/>
      <c r="I276" s="141"/>
      <c r="J276" s="141"/>
      <c r="K276" s="141"/>
      <c r="L276" s="141"/>
      <c r="M276" s="141"/>
      <c r="N276" s="141"/>
      <c r="O276" s="141"/>
      <c r="P276" s="141"/>
      <c r="Q276" s="141"/>
      <c r="R276" s="332"/>
      <c r="S276" s="332"/>
      <c r="T276" s="332"/>
      <c r="U276" s="332"/>
      <c r="V276" s="332"/>
      <c r="W276" s="332"/>
      <c r="X276" s="332"/>
      <c r="Y276" s="332"/>
      <c r="Z276" s="332"/>
      <c r="AA276" s="332"/>
      <c r="AB276" s="332"/>
      <c r="AC276" s="332"/>
      <c r="AD276" s="332"/>
      <c r="AE276" s="332"/>
      <c r="AF276" s="332"/>
      <c r="AG276" s="332"/>
      <c r="AH276" s="332"/>
      <c r="AI276" s="332"/>
      <c r="AJ276" s="332"/>
      <c r="AK276" s="332"/>
      <c r="AL276" s="332"/>
      <c r="AM276" s="332"/>
      <c r="AN276" s="332"/>
      <c r="AO276" s="332"/>
      <c r="AP276" s="332"/>
      <c r="AQ276" s="332"/>
      <c r="AR276" s="332"/>
      <c r="AS276" s="332"/>
      <c r="AT276" s="332"/>
      <c r="AU276" s="332"/>
      <c r="AV276" s="332"/>
      <c r="AW276" s="332"/>
      <c r="AX276" s="332"/>
      <c r="AY276" s="332"/>
      <c r="AZ276" s="332"/>
      <c r="BA276" s="332"/>
      <c r="BB276" s="332"/>
      <c r="BC276" s="331"/>
      <c r="BD276" s="331"/>
      <c r="BE276" s="331"/>
      <c r="BF276" s="331"/>
      <c r="BG276" s="331"/>
      <c r="BH276" s="331"/>
      <c r="BI276" s="331"/>
      <c r="BJ276" s="331"/>
      <c r="BK276" s="331"/>
      <c r="BL276" s="331"/>
      <c r="BM276" s="331"/>
      <c r="BN276" s="331"/>
      <c r="BO276" s="331"/>
      <c r="BP276" s="331"/>
      <c r="BQ276" s="331"/>
      <c r="BR276" s="331"/>
      <c r="BS276" s="331"/>
      <c r="BT276" s="331"/>
      <c r="BU276" s="331"/>
      <c r="BV276" s="332"/>
      <c r="BW276" s="332"/>
      <c r="BX276" s="332"/>
      <c r="BY276" s="332"/>
      <c r="BZ276" s="332"/>
      <c r="CA276" s="332"/>
      <c r="CB276" s="332"/>
      <c r="CC276" s="332"/>
      <c r="CD276" s="141"/>
      <c r="CE276" s="141"/>
      <c r="CF276" s="141"/>
      <c r="CG276" s="141"/>
      <c r="CH276" s="141"/>
      <c r="CI276" s="141"/>
      <c r="CJ276" s="141"/>
      <c r="CK276" s="141"/>
      <c r="CL276" s="141"/>
      <c r="CM276" s="141"/>
      <c r="CN276" s="141"/>
      <c r="CO276" s="141"/>
      <c r="CP276" s="141"/>
      <c r="CQ276" s="141"/>
      <c r="CR276" s="141"/>
      <c r="CS276" s="141"/>
      <c r="CT276" s="141"/>
      <c r="CU276" s="141"/>
      <c r="CV276" s="141"/>
      <c r="CW276" s="141"/>
      <c r="CX276" s="141"/>
      <c r="CY276" s="141"/>
      <c r="CZ276" s="141"/>
      <c r="DA276" s="141"/>
      <c r="DB276" s="141"/>
      <c r="DC276" s="141"/>
      <c r="DD276" s="141"/>
      <c r="DE276" s="141"/>
      <c r="DF276" s="141"/>
      <c r="DG276" s="141"/>
      <c r="DH276" s="141"/>
      <c r="DI276" s="141"/>
      <c r="DJ276" s="141"/>
      <c r="DK276" s="141"/>
      <c r="DL276" s="141"/>
      <c r="DM276" s="141"/>
      <c r="DN276" s="141"/>
      <c r="DO276" s="141"/>
      <c r="DP276" s="141"/>
      <c r="DQ276" s="141"/>
      <c r="DR276" s="141"/>
      <c r="DS276" s="141"/>
      <c r="DT276" s="141"/>
      <c r="DU276" s="141"/>
      <c r="DV276" s="141"/>
      <c r="DW276" s="141"/>
      <c r="DX276" s="141"/>
      <c r="DY276" s="141"/>
      <c r="DZ276" s="141"/>
      <c r="EA276" s="141"/>
      <c r="EB276" s="141"/>
      <c r="EC276" s="141"/>
      <c r="ED276" s="141"/>
      <c r="EE276" s="141"/>
      <c r="EF276" s="141"/>
      <c r="EG276" s="141"/>
      <c r="EH276" s="141"/>
      <c r="EI276" s="141"/>
      <c r="EJ276" s="141"/>
      <c r="EK276" s="141"/>
      <c r="EL276" s="141"/>
      <c r="EM276" s="141"/>
      <c r="EN276" s="141"/>
      <c r="EO276" s="141"/>
      <c r="EP276" s="141"/>
      <c r="EQ276" s="141"/>
      <c r="ER276" s="141"/>
      <c r="ES276" s="141"/>
      <c r="ET276" s="141"/>
      <c r="EU276" s="141"/>
      <c r="EV276" s="141"/>
      <c r="EW276" s="141"/>
      <c r="EX276" s="141"/>
      <c r="EY276" s="141"/>
      <c r="EZ276" s="141"/>
      <c r="FA276" s="141"/>
      <c r="FB276" s="141"/>
      <c r="FC276" s="141"/>
      <c r="FD276" s="141"/>
      <c r="FE276" s="141"/>
      <c r="FF276" s="141"/>
      <c r="FG276" s="141"/>
      <c r="FH276" s="141"/>
      <c r="FI276" s="141"/>
      <c r="FJ276" s="96"/>
      <c r="FK276" s="96"/>
      <c r="FL276" s="86"/>
      <c r="FM276" s="86"/>
      <c r="FN276" s="86"/>
      <c r="FO276" s="86"/>
      <c r="FP276" s="86"/>
      <c r="FQ276" s="86"/>
      <c r="FR276" s="86"/>
      <c r="FS276" s="86"/>
      <c r="FT276" s="86"/>
      <c r="FU276" s="86"/>
      <c r="FV276" s="86"/>
      <c r="FW276" s="86"/>
      <c r="FX276" s="86"/>
      <c r="FY276" s="259"/>
      <c r="FZ276" s="259"/>
      <c r="GA276" s="259"/>
      <c r="GB276" s="259"/>
      <c r="GC276" s="259"/>
      <c r="GD276" s="259"/>
      <c r="GE276" s="259"/>
      <c r="GF276" s="259"/>
      <c r="GG276" s="259"/>
      <c r="GH276" s="259"/>
      <c r="GI276" s="259"/>
      <c r="GJ276" s="259"/>
      <c r="GK276" s="86"/>
      <c r="GL276" s="86"/>
      <c r="GM276" s="86"/>
      <c r="GN276" s="86"/>
      <c r="GO276" s="86"/>
      <c r="GP276" s="377"/>
      <c r="GQ276" s="377"/>
      <c r="GR276" s="377"/>
      <c r="GS276" s="377"/>
      <c r="GT276" s="377"/>
      <c r="GU276" s="377"/>
      <c r="GV276" s="377"/>
      <c r="GW276" s="66"/>
      <c r="GX276" s="66"/>
      <c r="GY276" s="66"/>
      <c r="GZ276" s="66"/>
      <c r="HA276" s="66"/>
      <c r="HB276" s="66"/>
      <c r="HC276" s="66"/>
      <c r="HD276" s="66"/>
      <c r="HE276" s="66"/>
      <c r="HF276" s="66"/>
      <c r="HG276" s="66"/>
      <c r="HH276" s="66"/>
      <c r="HI276" s="66"/>
      <c r="HJ276" s="66"/>
      <c r="HK276" s="66"/>
      <c r="HL276" s="66"/>
      <c r="HM276" s="66"/>
      <c r="HN276" s="66"/>
      <c r="HO276" s="66"/>
      <c r="HP276" s="66"/>
      <c r="HQ276" s="66"/>
      <c r="HR276" s="66"/>
      <c r="HS276" s="66"/>
      <c r="HT276" s="66"/>
      <c r="HU276" s="66"/>
      <c r="HV276" s="66"/>
      <c r="HW276" s="66"/>
      <c r="HX276" s="66"/>
      <c r="HY276" s="66"/>
      <c r="HZ276" s="66"/>
      <c r="IA276" s="66"/>
    </row>
    <row r="277" spans="1:235" s="268" customFormat="1" ht="16.95" customHeight="1">
      <c r="A277" s="60"/>
      <c r="B277" s="272" t="str">
        <f ca="1">IF(FL1=0,"",15)</f>
        <v/>
      </c>
      <c r="C277" s="69"/>
      <c r="D277" s="124" t="str">
        <f ca="1">IF(FL1=0,"","Geef met behulp van de letters (a t/m i) aan wat er met het surplus en dus de")</f>
        <v/>
      </c>
      <c r="E277" s="141"/>
      <c r="F277" s="141"/>
      <c r="G277" s="141"/>
      <c r="H277" s="141"/>
      <c r="I277" s="141"/>
      <c r="J277" s="141"/>
      <c r="K277" s="141"/>
      <c r="L277" s="141"/>
      <c r="M277" s="141"/>
      <c r="N277" s="141"/>
      <c r="O277" s="141"/>
      <c r="P277" s="141"/>
      <c r="Q277" s="141"/>
      <c r="R277" s="332"/>
      <c r="S277" s="332"/>
      <c r="T277" s="332"/>
      <c r="U277" s="332"/>
      <c r="V277" s="332"/>
      <c r="W277" s="332"/>
      <c r="X277" s="332"/>
      <c r="Y277" s="332"/>
      <c r="Z277" s="332"/>
      <c r="AA277" s="332"/>
      <c r="AB277" s="332"/>
      <c r="AC277" s="332"/>
      <c r="AD277" s="332"/>
      <c r="AE277" s="332"/>
      <c r="AF277" s="332"/>
      <c r="AG277" s="332"/>
      <c r="AH277" s="332"/>
      <c r="AI277" s="332"/>
      <c r="AJ277" s="332"/>
      <c r="AK277" s="332"/>
      <c r="AL277" s="332"/>
      <c r="AM277" s="332"/>
      <c r="AN277" s="332"/>
      <c r="AO277" s="332"/>
      <c r="AP277" s="332"/>
      <c r="AQ277" s="332"/>
      <c r="AR277" s="332"/>
      <c r="AS277" s="332"/>
      <c r="AT277" s="332"/>
      <c r="AU277" s="332"/>
      <c r="AV277" s="332"/>
      <c r="AW277" s="332"/>
      <c r="AX277" s="332"/>
      <c r="AY277" s="332"/>
      <c r="AZ277" s="332"/>
      <c r="BA277" s="332"/>
      <c r="BB277" s="332"/>
      <c r="BC277" s="331"/>
      <c r="BD277" s="331"/>
      <c r="BE277" s="331"/>
      <c r="BF277" s="331"/>
      <c r="BG277" s="331"/>
      <c r="BH277" s="331"/>
      <c r="BI277" s="331"/>
      <c r="BJ277" s="331"/>
      <c r="BK277" s="331"/>
      <c r="BL277" s="331"/>
      <c r="BM277" s="331"/>
      <c r="BN277" s="331"/>
      <c r="BO277" s="331"/>
      <c r="BP277" s="331"/>
      <c r="BQ277" s="331"/>
      <c r="BR277" s="331"/>
      <c r="BS277" s="331"/>
      <c r="BT277" s="331"/>
      <c r="BU277" s="331"/>
      <c r="BV277" s="332"/>
      <c r="BW277" s="332"/>
      <c r="BX277" s="332"/>
      <c r="BY277" s="332"/>
      <c r="BZ277" s="332"/>
      <c r="CA277" s="332"/>
      <c r="CB277" s="332"/>
      <c r="CC277" s="332"/>
      <c r="CD277" s="141"/>
      <c r="CE277" s="141"/>
      <c r="CF277" s="141"/>
      <c r="CG277" s="141"/>
      <c r="CH277" s="141"/>
      <c r="CI277" s="141"/>
      <c r="CJ277" s="141"/>
      <c r="CK277" s="141"/>
      <c r="CL277" s="141"/>
      <c r="CM277" s="141"/>
      <c r="CN277" s="141"/>
      <c r="CO277" s="141"/>
      <c r="CP277" s="141"/>
      <c r="CQ277" s="141"/>
      <c r="CR277" s="141"/>
      <c r="CS277" s="141"/>
      <c r="CT277" s="141"/>
      <c r="CU277" s="141"/>
      <c r="CV277" s="141"/>
      <c r="CW277" s="141"/>
      <c r="CX277" s="141"/>
      <c r="CY277" s="141"/>
      <c r="CZ277" s="141"/>
      <c r="DA277" s="141"/>
      <c r="DB277" s="141"/>
      <c r="DC277" s="141"/>
      <c r="DD277" s="141"/>
      <c r="DE277" s="141"/>
      <c r="DF277" s="141"/>
      <c r="DG277" s="141"/>
      <c r="DH277" s="141"/>
      <c r="DI277" s="141"/>
      <c r="DJ277" s="141"/>
      <c r="DK277" s="141"/>
      <c r="DL277" s="141"/>
      <c r="DM277" s="141"/>
      <c r="DN277" s="141"/>
      <c r="DO277" s="141"/>
      <c r="DP277" s="141"/>
      <c r="DQ277" s="141"/>
      <c r="DR277" s="141"/>
      <c r="DS277" s="141"/>
      <c r="DT277" s="141"/>
      <c r="DU277" s="141"/>
      <c r="DV277" s="141"/>
      <c r="DW277" s="141"/>
      <c r="DX277" s="141"/>
      <c r="DY277" s="141"/>
      <c r="DZ277" s="141"/>
      <c r="EA277" s="141"/>
      <c r="EB277" s="141"/>
      <c r="EC277" s="141"/>
      <c r="ED277" s="141"/>
      <c r="EE277" s="141"/>
      <c r="EF277" s="141"/>
      <c r="EG277" s="141"/>
      <c r="EH277" s="141"/>
      <c r="EI277" s="141"/>
      <c r="EJ277" s="141"/>
      <c r="EK277" s="141"/>
      <c r="EL277" s="141"/>
      <c r="EM277" s="141"/>
      <c r="EN277" s="141"/>
      <c r="EO277" s="141"/>
      <c r="EP277" s="141"/>
      <c r="EQ277" s="141"/>
      <c r="ER277" s="141"/>
      <c r="ES277" s="141"/>
      <c r="ET277" s="141"/>
      <c r="EU277" s="141"/>
      <c r="EV277" s="141"/>
      <c r="EW277" s="141"/>
      <c r="EX277" s="141"/>
      <c r="EY277" s="141"/>
      <c r="EZ277" s="141"/>
      <c r="FA277" s="141"/>
      <c r="FB277" s="141"/>
      <c r="FC277" s="141"/>
      <c r="FD277" s="141"/>
      <c r="FE277" s="141"/>
      <c r="FF277" s="141"/>
      <c r="FG277" s="141"/>
      <c r="FH277" s="141"/>
      <c r="FI277" s="141"/>
      <c r="FJ277" s="96"/>
      <c r="FK277" s="96"/>
      <c r="FL277" s="86"/>
      <c r="FM277" s="86"/>
      <c r="FN277" s="86"/>
      <c r="FO277" s="86"/>
      <c r="FP277" s="86"/>
      <c r="FQ277" s="86"/>
      <c r="FR277" s="86"/>
      <c r="FS277" s="86"/>
      <c r="FT277" s="86"/>
      <c r="FU277" s="86"/>
      <c r="FV277" s="86"/>
      <c r="FW277" s="86"/>
      <c r="FX277" s="86"/>
      <c r="FY277" s="259"/>
      <c r="FZ277" s="259"/>
      <c r="GA277" s="259"/>
      <c r="GB277" s="259"/>
      <c r="GC277" s="259"/>
      <c r="GD277" s="259"/>
      <c r="GE277" s="259"/>
      <c r="GF277" s="259"/>
      <c r="GG277" s="259"/>
      <c r="GH277" s="259"/>
      <c r="GI277" s="259"/>
      <c r="GJ277" s="259"/>
      <c r="GK277" s="86"/>
      <c r="GL277" s="86"/>
      <c r="GM277" s="86"/>
      <c r="GN277" s="86"/>
      <c r="GO277" s="86"/>
      <c r="GP277" s="377"/>
      <c r="GQ277" s="377"/>
      <c r="GR277" s="377"/>
      <c r="GS277" s="377"/>
      <c r="GT277" s="377"/>
      <c r="GU277" s="377"/>
      <c r="GV277" s="377"/>
      <c r="GW277" s="66"/>
      <c r="GX277" s="66"/>
      <c r="GY277" s="66"/>
      <c r="GZ277" s="66"/>
      <c r="HA277" s="66"/>
      <c r="HB277" s="66"/>
      <c r="HC277" s="66"/>
      <c r="HD277" s="66"/>
      <c r="HE277" s="66"/>
      <c r="HF277" s="66"/>
      <c r="HG277" s="66"/>
      <c r="HH277" s="66"/>
      <c r="HI277" s="66"/>
      <c r="HJ277" s="66"/>
      <c r="HK277" s="66"/>
      <c r="HL277" s="66"/>
      <c r="HM277" s="66"/>
      <c r="HN277" s="66"/>
      <c r="HO277" s="66"/>
      <c r="HP277" s="66"/>
      <c r="HQ277" s="66"/>
      <c r="HR277" s="66"/>
      <c r="HS277" s="66"/>
      <c r="HT277" s="66"/>
      <c r="HU277" s="66"/>
      <c r="HV277" s="66"/>
      <c r="HW277" s="66"/>
      <c r="HX277" s="66"/>
      <c r="HY277" s="66"/>
      <c r="HZ277" s="66"/>
      <c r="IA277" s="66"/>
    </row>
    <row r="278" spans="1:235" s="268" customFormat="1" ht="16.95" customHeight="1">
      <c r="A278" s="60"/>
      <c r="B278" s="69"/>
      <c r="C278" s="69"/>
      <c r="D278" s="124" t="str">
        <f ca="1">IF(FL1=0,"","welvaart gebeurt als een monopolie verandert in een situatie van volkomen")</f>
        <v/>
      </c>
      <c r="E278" s="141"/>
      <c r="F278" s="141"/>
      <c r="G278" s="141"/>
      <c r="H278" s="141"/>
      <c r="I278" s="141"/>
      <c r="J278" s="141"/>
      <c r="K278" s="141"/>
      <c r="L278" s="141"/>
      <c r="M278" s="141"/>
      <c r="N278" s="141"/>
      <c r="O278" s="141"/>
      <c r="P278" s="141"/>
      <c r="Q278" s="141"/>
      <c r="R278" s="332"/>
      <c r="S278" s="332"/>
      <c r="T278" s="332"/>
      <c r="U278" s="332"/>
      <c r="V278" s="332"/>
      <c r="W278" s="332"/>
      <c r="X278" s="332"/>
      <c r="Y278" s="332"/>
      <c r="Z278" s="332"/>
      <c r="AA278" s="332"/>
      <c r="AB278" s="332"/>
      <c r="AC278" s="332"/>
      <c r="AD278" s="332"/>
      <c r="AE278" s="332"/>
      <c r="AF278" s="332"/>
      <c r="AG278" s="332"/>
      <c r="AH278" s="332"/>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1"/>
      <c r="BD278" s="331"/>
      <c r="BE278" s="331"/>
      <c r="BF278" s="331"/>
      <c r="BG278" s="331"/>
      <c r="BH278" s="331"/>
      <c r="BI278" s="331"/>
      <c r="BJ278" s="331"/>
      <c r="BK278" s="331"/>
      <c r="BL278" s="331"/>
      <c r="BM278" s="331"/>
      <c r="BN278" s="331"/>
      <c r="BO278" s="331"/>
      <c r="BP278" s="331"/>
      <c r="BQ278" s="331"/>
      <c r="BR278" s="331"/>
      <c r="BS278" s="331"/>
      <c r="BT278" s="331"/>
      <c r="BU278" s="331"/>
      <c r="BV278" s="332"/>
      <c r="BW278" s="332"/>
      <c r="BX278" s="332"/>
      <c r="BY278" s="332"/>
      <c r="BZ278" s="332"/>
      <c r="CA278" s="332"/>
      <c r="CB278" s="332"/>
      <c r="CC278" s="332"/>
      <c r="CD278" s="141"/>
      <c r="CE278" s="141"/>
      <c r="CF278" s="141"/>
      <c r="CG278" s="141"/>
      <c r="CH278" s="141"/>
      <c r="CI278" s="141"/>
      <c r="CJ278" s="141"/>
      <c r="CK278" s="141"/>
      <c r="CL278" s="141"/>
      <c r="CM278" s="141"/>
      <c r="CN278" s="141"/>
      <c r="CO278" s="141"/>
      <c r="CP278" s="141"/>
      <c r="CQ278" s="141"/>
      <c r="CR278" s="141"/>
      <c r="CS278" s="141"/>
      <c r="CT278" s="141"/>
      <c r="CU278" s="141"/>
      <c r="CV278" s="141"/>
      <c r="CW278" s="141"/>
      <c r="CX278" s="141"/>
      <c r="CY278" s="141"/>
      <c r="CZ278" s="141"/>
      <c r="DA278" s="141"/>
      <c r="DB278" s="141"/>
      <c r="DC278" s="141"/>
      <c r="DD278" s="141"/>
      <c r="DE278" s="141"/>
      <c r="DF278" s="141"/>
      <c r="DG278" s="141"/>
      <c r="DH278" s="141"/>
      <c r="DI278" s="141"/>
      <c r="DJ278" s="141"/>
      <c r="DK278" s="141"/>
      <c r="DL278" s="141"/>
      <c r="DM278" s="141"/>
      <c r="DN278" s="141"/>
      <c r="DO278" s="141"/>
      <c r="DP278" s="141"/>
      <c r="DQ278" s="141"/>
      <c r="DR278" s="141"/>
      <c r="DS278" s="141"/>
      <c r="DT278" s="141"/>
      <c r="DU278" s="141"/>
      <c r="DV278" s="141"/>
      <c r="DW278" s="141"/>
      <c r="DX278" s="141"/>
      <c r="DY278" s="141"/>
      <c r="DZ278" s="141"/>
      <c r="EA278" s="141"/>
      <c r="EB278" s="141"/>
      <c r="EC278" s="141"/>
      <c r="ED278" s="141"/>
      <c r="EE278" s="141"/>
      <c r="EF278" s="141"/>
      <c r="EG278" s="141"/>
      <c r="EH278" s="141"/>
      <c r="EI278" s="141"/>
      <c r="EJ278" s="141"/>
      <c r="EK278" s="141"/>
      <c r="EL278" s="141"/>
      <c r="EM278" s="141"/>
      <c r="EN278" s="141"/>
      <c r="EO278" s="141"/>
      <c r="EP278" s="141"/>
      <c r="EQ278" s="141"/>
      <c r="ER278" s="141"/>
      <c r="ES278" s="141"/>
      <c r="ET278" s="141"/>
      <c r="EU278" s="141"/>
      <c r="EV278" s="141"/>
      <c r="EW278" s="141"/>
      <c r="EX278" s="141"/>
      <c r="EY278" s="141"/>
      <c r="EZ278" s="141"/>
      <c r="FA278" s="141"/>
      <c r="FB278" s="141"/>
      <c r="FC278" s="141"/>
      <c r="FD278" s="141"/>
      <c r="FE278" s="141"/>
      <c r="FF278" s="141"/>
      <c r="FG278" s="141"/>
      <c r="FH278" s="141"/>
      <c r="FI278" s="141"/>
      <c r="FJ278" s="96"/>
      <c r="FK278" s="96"/>
      <c r="FL278" s="86"/>
      <c r="FM278" s="86"/>
      <c r="FN278" s="86"/>
      <c r="FO278" s="86"/>
      <c r="FP278" s="86"/>
      <c r="FQ278" s="86"/>
      <c r="FR278" s="86"/>
      <c r="FS278" s="86"/>
      <c r="FT278" s="86"/>
      <c r="FU278" s="86"/>
      <c r="FV278" s="86"/>
      <c r="FW278" s="86"/>
      <c r="FX278" s="86"/>
      <c r="FY278" s="259"/>
      <c r="FZ278" s="259"/>
      <c r="GA278" s="259"/>
      <c r="GB278" s="259"/>
      <c r="GC278" s="259"/>
      <c r="GD278" s="259"/>
      <c r="GE278" s="259"/>
      <c r="GF278" s="259"/>
      <c r="GG278" s="259"/>
      <c r="GH278" s="259"/>
      <c r="GI278" s="259"/>
      <c r="GJ278" s="259"/>
      <c r="GK278" s="86"/>
      <c r="GL278" s="86"/>
      <c r="GM278" s="86"/>
      <c r="GN278" s="86"/>
      <c r="GO278" s="86"/>
      <c r="GP278" s="377"/>
      <c r="GQ278" s="377"/>
      <c r="GR278" s="377"/>
      <c r="GS278" s="377"/>
      <c r="GT278" s="377"/>
      <c r="GU278" s="377"/>
      <c r="GV278" s="377"/>
      <c r="GW278" s="66"/>
      <c r="GX278" s="66"/>
      <c r="GY278" s="66"/>
      <c r="GZ278" s="66"/>
      <c r="HA278" s="66"/>
      <c r="HB278" s="66"/>
      <c r="HC278" s="66"/>
      <c r="HD278" s="66"/>
      <c r="HE278" s="66"/>
      <c r="HF278" s="66"/>
      <c r="HG278" s="66"/>
      <c r="HH278" s="66"/>
      <c r="HI278" s="66"/>
      <c r="HJ278" s="66"/>
      <c r="HK278" s="66"/>
      <c r="HL278" s="66"/>
      <c r="HM278" s="66"/>
      <c r="HN278" s="66"/>
      <c r="HO278" s="66"/>
      <c r="HP278" s="66"/>
      <c r="HQ278" s="66"/>
      <c r="HR278" s="66"/>
      <c r="HS278" s="66"/>
      <c r="HT278" s="66"/>
      <c r="HU278" s="66"/>
      <c r="HV278" s="66"/>
      <c r="HW278" s="66"/>
      <c r="HX278" s="66"/>
      <c r="HY278" s="66"/>
      <c r="HZ278" s="66"/>
      <c r="IA278" s="66"/>
    </row>
    <row r="279" spans="1:235" s="268" customFormat="1" ht="16.95" customHeight="1">
      <c r="A279" s="60"/>
      <c r="B279" s="69"/>
      <c r="C279" s="69"/>
      <c r="D279" s="124" t="str">
        <f ca="1">IF(FL1=0,"","concurrentie.")</f>
        <v/>
      </c>
      <c r="E279" s="141"/>
      <c r="F279" s="141"/>
      <c r="G279" s="141"/>
      <c r="H279" s="141"/>
      <c r="I279" s="141"/>
      <c r="J279" s="141"/>
      <c r="K279" s="141"/>
      <c r="L279" s="141"/>
      <c r="M279" s="141"/>
      <c r="N279" s="141"/>
      <c r="O279" s="141"/>
      <c r="P279" s="141"/>
      <c r="Q279" s="141"/>
      <c r="R279" s="332"/>
      <c r="S279" s="332"/>
      <c r="T279" s="332"/>
      <c r="U279" s="332"/>
      <c r="V279" s="332"/>
      <c r="W279" s="332"/>
      <c r="X279" s="332"/>
      <c r="Y279" s="332"/>
      <c r="Z279" s="332"/>
      <c r="AA279" s="332"/>
      <c r="AB279" s="332"/>
      <c r="AC279" s="332"/>
      <c r="AD279" s="332"/>
      <c r="AE279" s="332"/>
      <c r="AF279" s="332"/>
      <c r="AG279" s="332"/>
      <c r="AH279" s="332"/>
      <c r="AI279" s="332"/>
      <c r="AJ279" s="332"/>
      <c r="AK279" s="332"/>
      <c r="AL279" s="332"/>
      <c r="AM279" s="332"/>
      <c r="AN279" s="332"/>
      <c r="AO279" s="332"/>
      <c r="AP279" s="332"/>
      <c r="AQ279" s="332"/>
      <c r="AR279" s="332"/>
      <c r="AS279" s="332"/>
      <c r="AT279" s="332"/>
      <c r="AU279" s="332"/>
      <c r="AV279" s="332"/>
      <c r="AW279" s="332"/>
      <c r="AX279" s="332"/>
      <c r="AY279" s="332"/>
      <c r="AZ279" s="332"/>
      <c r="BA279" s="332"/>
      <c r="BB279" s="332"/>
      <c r="BC279" s="331"/>
      <c r="BD279" s="331"/>
      <c r="BE279" s="331"/>
      <c r="BF279" s="331"/>
      <c r="BG279" s="331"/>
      <c r="BH279" s="331"/>
      <c r="BI279" s="331"/>
      <c r="BJ279" s="331"/>
      <c r="BK279" s="331"/>
      <c r="BL279" s="331"/>
      <c r="BM279" s="331"/>
      <c r="BN279" s="331"/>
      <c r="BO279" s="331"/>
      <c r="BP279" s="331"/>
      <c r="BQ279" s="331"/>
      <c r="BR279" s="331"/>
      <c r="BS279" s="331"/>
      <c r="BT279" s="331"/>
      <c r="BU279" s="331"/>
      <c r="BV279" s="332"/>
      <c r="BW279" s="332"/>
      <c r="BX279" s="332"/>
      <c r="BY279" s="332"/>
      <c r="BZ279" s="332"/>
      <c r="CA279" s="332"/>
      <c r="CB279" s="332"/>
      <c r="CC279" s="332"/>
      <c r="CD279" s="141"/>
      <c r="CE279" s="141"/>
      <c r="CF279" s="141"/>
      <c r="CG279" s="141"/>
      <c r="CH279" s="141"/>
      <c r="CI279" s="141"/>
      <c r="CJ279" s="141"/>
      <c r="CK279" s="141"/>
      <c r="CL279" s="141"/>
      <c r="CM279" s="141"/>
      <c r="CN279" s="141"/>
      <c r="CO279" s="141"/>
      <c r="CP279" s="141"/>
      <c r="CQ279" s="141"/>
      <c r="CR279" s="141"/>
      <c r="CS279" s="141"/>
      <c r="CT279" s="141"/>
      <c r="CU279" s="141"/>
      <c r="CV279" s="141"/>
      <c r="CW279" s="141"/>
      <c r="CX279" s="141"/>
      <c r="CY279" s="141"/>
      <c r="CZ279" s="141"/>
      <c r="DA279" s="141"/>
      <c r="DB279" s="141"/>
      <c r="DC279" s="141"/>
      <c r="DD279" s="141"/>
      <c r="DE279" s="141"/>
      <c r="DF279" s="141"/>
      <c r="DG279" s="141"/>
      <c r="DH279" s="141"/>
      <c r="DI279" s="141"/>
      <c r="DJ279" s="141"/>
      <c r="DK279" s="141"/>
      <c r="DL279" s="141"/>
      <c r="DM279" s="141"/>
      <c r="DN279" s="141"/>
      <c r="DO279" s="141"/>
      <c r="DP279" s="141"/>
      <c r="DQ279" s="141"/>
      <c r="DR279" s="141"/>
      <c r="DS279" s="141"/>
      <c r="DT279" s="141"/>
      <c r="DU279" s="141"/>
      <c r="DV279" s="141"/>
      <c r="DW279" s="141"/>
      <c r="DX279" s="141"/>
      <c r="DY279" s="141"/>
      <c r="DZ279" s="141"/>
      <c r="EA279" s="141"/>
      <c r="EB279" s="141"/>
      <c r="EC279" s="141"/>
      <c r="ED279" s="141"/>
      <c r="EE279" s="141"/>
      <c r="EF279" s="141"/>
      <c r="EG279" s="141"/>
      <c r="EH279" s="141"/>
      <c r="EI279" s="141"/>
      <c r="EJ279" s="141"/>
      <c r="EK279" s="141"/>
      <c r="EL279" s="141"/>
      <c r="EM279" s="141"/>
      <c r="EN279" s="141"/>
      <c r="EO279" s="141"/>
      <c r="EP279" s="141"/>
      <c r="EQ279" s="141"/>
      <c r="ER279" s="141"/>
      <c r="ES279" s="141"/>
      <c r="ET279" s="141"/>
      <c r="EU279" s="141"/>
      <c r="EV279" s="141"/>
      <c r="EW279" s="141"/>
      <c r="EX279" s="141"/>
      <c r="EY279" s="141"/>
      <c r="EZ279" s="141"/>
      <c r="FA279" s="141"/>
      <c r="FB279" s="141"/>
      <c r="FC279" s="141"/>
      <c r="FD279" s="141"/>
      <c r="FE279" s="141"/>
      <c r="FF279" s="141"/>
      <c r="FG279" s="141"/>
      <c r="FH279" s="141"/>
      <c r="FI279" s="141"/>
      <c r="FJ279" s="96"/>
      <c r="FK279" s="96"/>
      <c r="FL279" s="86"/>
      <c r="FM279" s="86"/>
      <c r="FN279" s="86"/>
      <c r="FO279" s="86"/>
      <c r="FP279" s="86"/>
      <c r="FQ279" s="86"/>
      <c r="FR279" s="86"/>
      <c r="FS279" s="86"/>
      <c r="FT279" s="86"/>
      <c r="FU279" s="86"/>
      <c r="FV279" s="86"/>
      <c r="FW279" s="86"/>
      <c r="FX279" s="86"/>
      <c r="FY279" s="259"/>
      <c r="FZ279" s="259"/>
      <c r="GA279" s="259"/>
      <c r="GB279" s="259"/>
      <c r="GC279" s="259"/>
      <c r="GD279" s="259"/>
      <c r="GE279" s="259"/>
      <c r="GF279" s="259"/>
      <c r="GG279" s="259"/>
      <c r="GH279" s="259"/>
      <c r="GI279" s="259"/>
      <c r="GJ279" s="259"/>
      <c r="GK279" s="86"/>
      <c r="GL279" s="86"/>
      <c r="GM279" s="86"/>
      <c r="GN279" s="86"/>
      <c r="GO279" s="86"/>
      <c r="GP279" s="377"/>
      <c r="GQ279" s="377"/>
      <c r="GR279" s="377"/>
      <c r="GS279" s="377"/>
      <c r="GT279" s="377"/>
      <c r="GU279" s="377"/>
      <c r="GV279" s="377"/>
      <c r="GW279" s="66"/>
      <c r="GX279" s="66"/>
      <c r="GY279" s="66"/>
      <c r="GZ279" s="66"/>
      <c r="HA279" s="66"/>
      <c r="HB279" s="66"/>
      <c r="HC279" s="66"/>
      <c r="HD279" s="66"/>
      <c r="HE279" s="66"/>
      <c r="HF279" s="66"/>
      <c r="HG279" s="66"/>
      <c r="HH279" s="66"/>
      <c r="HI279" s="66"/>
      <c r="HJ279" s="66"/>
      <c r="HK279" s="66"/>
      <c r="HL279" s="66"/>
      <c r="HM279" s="66"/>
      <c r="HN279" s="66"/>
      <c r="HO279" s="66"/>
      <c r="HP279" s="66"/>
      <c r="HQ279" s="66"/>
      <c r="HR279" s="66"/>
      <c r="HS279" s="66"/>
      <c r="HT279" s="66"/>
      <c r="HU279" s="66"/>
      <c r="HV279" s="66"/>
      <c r="HW279" s="66"/>
      <c r="HX279" s="66"/>
      <c r="HY279" s="66"/>
      <c r="HZ279" s="66"/>
      <c r="IA279" s="66"/>
    </row>
    <row r="280" spans="1:235" customFormat="1" ht="11.25" customHeight="1">
      <c r="A280" s="1"/>
      <c r="B280" s="3"/>
      <c r="C280" s="3"/>
      <c r="D280" s="124"/>
      <c r="E280" s="333"/>
      <c r="F280" s="333"/>
      <c r="G280" s="333"/>
      <c r="H280" s="333"/>
      <c r="I280" s="333"/>
      <c r="J280" s="278"/>
      <c r="K280" s="278"/>
      <c r="L280" s="278"/>
      <c r="M280" s="278"/>
      <c r="N280" s="278"/>
      <c r="O280" s="278"/>
      <c r="P280" s="278"/>
      <c r="Q280" s="278"/>
      <c r="R280" s="278"/>
      <c r="S280" s="278"/>
      <c r="T280" s="278"/>
      <c r="U280" s="278"/>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278"/>
      <c r="CQ280" s="278"/>
      <c r="CR280" s="278"/>
      <c r="CS280" s="278"/>
      <c r="CT280" s="278"/>
      <c r="CU280" s="278"/>
      <c r="CV280" s="278"/>
      <c r="CW280" s="278"/>
      <c r="CX280" s="278"/>
      <c r="CY280" s="278"/>
      <c r="CZ280" s="278"/>
      <c r="DA280" s="278"/>
      <c r="DB280" s="278"/>
      <c r="DC280" s="278"/>
      <c r="DD280" s="278"/>
      <c r="DE280" s="278"/>
      <c r="DF280" s="278"/>
      <c r="DG280" s="278"/>
      <c r="DH280" s="278"/>
      <c r="DI280" s="278"/>
      <c r="DJ280" s="278"/>
      <c r="DK280" s="278"/>
      <c r="DL280" s="278"/>
      <c r="DM280" s="278"/>
      <c r="DN280" s="278"/>
      <c r="DO280" s="278"/>
      <c r="DP280" s="278"/>
      <c r="DQ280" s="278"/>
      <c r="DR280" s="278"/>
      <c r="DS280" s="278"/>
      <c r="DT280" s="278"/>
      <c r="DU280" s="278"/>
      <c r="DV280" s="278"/>
      <c r="DW280" s="278"/>
      <c r="DX280" s="278"/>
      <c r="DY280" s="278"/>
      <c r="DZ280" s="278"/>
      <c r="EA280" s="278"/>
      <c r="EB280" s="278"/>
      <c r="EC280" s="278"/>
      <c r="ED280" s="278"/>
      <c r="EE280" s="278"/>
      <c r="EF280" s="278"/>
      <c r="EG280" s="278"/>
      <c r="EH280" s="278"/>
      <c r="EI280" s="278"/>
      <c r="EJ280" s="278"/>
      <c r="EK280" s="278"/>
      <c r="EL280" s="278"/>
      <c r="EM280" s="278"/>
      <c r="EN280" s="278"/>
      <c r="EO280" s="278"/>
      <c r="EP280" s="278"/>
      <c r="EQ280" s="278"/>
      <c r="ER280" s="278"/>
      <c r="ES280" s="278"/>
      <c r="ET280" s="278"/>
      <c r="EU280" s="278"/>
      <c r="EV280" s="278"/>
      <c r="EW280" s="278"/>
      <c r="EX280" s="278"/>
      <c r="EY280" s="278"/>
      <c r="EZ280" s="278"/>
      <c r="FA280" s="43"/>
      <c r="FB280" s="43"/>
      <c r="FC280" s="43"/>
      <c r="FD280" s="43"/>
      <c r="FE280" s="43"/>
      <c r="FF280" s="43"/>
      <c r="FG280" s="43"/>
      <c r="FH280" s="43"/>
      <c r="FI280" s="43"/>
      <c r="FJ280" s="338"/>
      <c r="FK280" s="338"/>
      <c r="FL280" s="338"/>
      <c r="FM280" s="338"/>
      <c r="FN280" s="338"/>
      <c r="FO280" s="338"/>
      <c r="FP280" s="338"/>
      <c r="FQ280" s="338"/>
      <c r="FR280" s="338"/>
      <c r="FS280" s="338"/>
      <c r="FT280" s="338"/>
      <c r="FU280" s="338"/>
      <c r="FV280" s="338"/>
      <c r="FW280" s="49"/>
      <c r="FX280" s="49"/>
      <c r="FY280" s="259"/>
      <c r="FZ280" s="259"/>
      <c r="GA280" s="259"/>
      <c r="GB280" s="259"/>
      <c r="GC280" s="49"/>
      <c r="GD280" s="49"/>
      <c r="GE280" s="49"/>
      <c r="GF280" s="49"/>
      <c r="GG280" s="49"/>
      <c r="GH280" s="49"/>
      <c r="GI280" s="49"/>
      <c r="GJ280" s="49"/>
      <c r="GK280" s="49"/>
      <c r="GL280" s="49"/>
      <c r="GM280" s="49"/>
      <c r="GN280" s="49"/>
      <c r="GO280" s="49"/>
      <c r="GP280" s="49"/>
      <c r="GQ280" s="49"/>
      <c r="GR280" s="49"/>
      <c r="GS280" s="49"/>
      <c r="GT280" s="49"/>
      <c r="GU280" s="49"/>
      <c r="GV280" s="49"/>
      <c r="GW280" s="66"/>
      <c r="GX280" s="66"/>
      <c r="GY280" s="66"/>
      <c r="GZ280" s="66"/>
      <c r="HA280" s="66"/>
      <c r="HB280" s="66"/>
      <c r="HC280" s="66"/>
      <c r="HD280" s="66"/>
      <c r="HE280" s="66"/>
      <c r="HF280" s="66"/>
      <c r="HG280" s="66"/>
      <c r="HH280" s="66"/>
      <c r="HI280" s="66"/>
      <c r="HJ280" s="66"/>
      <c r="HK280" s="66"/>
      <c r="HL280" s="66"/>
      <c r="HM280" s="66"/>
      <c r="HN280" s="66"/>
      <c r="HO280" s="66"/>
      <c r="HP280" s="66"/>
      <c r="HQ280" s="66"/>
      <c r="HR280" s="66"/>
      <c r="HS280" s="66"/>
      <c r="HT280" s="66"/>
      <c r="HU280" s="66"/>
      <c r="HV280" s="66"/>
      <c r="HW280" s="66"/>
      <c r="HX280" s="66"/>
      <c r="HY280" s="66"/>
      <c r="HZ280" s="66"/>
      <c r="IA280" s="66"/>
    </row>
    <row r="281" spans="1:235" customFormat="1" ht="16.5" customHeight="1">
      <c r="A281" s="1"/>
      <c r="B281" s="3"/>
      <c r="C281" s="3"/>
      <c r="D281" s="558" t="str">
        <f ca="1">IF(FL1=1,"","`")</f>
        <v>`</v>
      </c>
      <c r="E281" s="532"/>
      <c r="F281" s="532"/>
      <c r="G281" s="532"/>
      <c r="H281" s="532"/>
      <c r="I281" s="532"/>
      <c r="J281" s="532"/>
      <c r="K281" s="532"/>
      <c r="L281" s="532"/>
      <c r="M281" s="532"/>
      <c r="N281" s="532"/>
      <c r="O281" s="532"/>
      <c r="P281" s="532"/>
      <c r="Q281" s="532"/>
      <c r="R281" s="532"/>
      <c r="S281" s="532"/>
      <c r="T281" s="532"/>
      <c r="U281" s="532"/>
      <c r="V281" s="532"/>
      <c r="W281" s="532"/>
      <c r="X281" s="532"/>
      <c r="Y281" s="532"/>
      <c r="Z281" s="532"/>
      <c r="AA281" s="532"/>
      <c r="AB281" s="532"/>
      <c r="AC281" s="532"/>
      <c r="AD281" s="532"/>
      <c r="AE281" s="532"/>
      <c r="AF281" s="532"/>
      <c r="AG281" s="532"/>
      <c r="AH281" s="532"/>
      <c r="AI281" s="532"/>
      <c r="AJ281" s="532"/>
      <c r="AK281" s="532"/>
      <c r="AL281" s="532"/>
      <c r="AM281" s="532"/>
      <c r="AN281" s="532"/>
      <c r="AO281" s="532"/>
      <c r="AP281" s="532"/>
      <c r="AQ281" s="532"/>
      <c r="AR281" s="532"/>
      <c r="AS281" s="532"/>
      <c r="AT281" s="532"/>
      <c r="AU281" s="532"/>
      <c r="AV281" s="532"/>
      <c r="AW281" s="532"/>
      <c r="AX281" s="532"/>
      <c r="AY281" s="532"/>
      <c r="AZ281" s="532"/>
      <c r="BA281" s="532"/>
      <c r="BB281" s="532"/>
      <c r="BC281" s="532"/>
      <c r="BD281" s="532"/>
      <c r="BE281" s="532"/>
      <c r="BF281" s="532"/>
      <c r="BG281" s="532"/>
      <c r="BH281" s="532"/>
      <c r="BI281" s="532"/>
      <c r="BJ281" s="532"/>
      <c r="BK281" s="532"/>
      <c r="BL281" s="532"/>
      <c r="BM281" s="532"/>
      <c r="BN281" s="532"/>
      <c r="BO281" s="532"/>
      <c r="BP281" s="532"/>
      <c r="BQ281" s="532"/>
      <c r="BR281" s="532"/>
      <c r="BS281" s="532"/>
      <c r="BT281" s="532"/>
      <c r="BU281" s="532"/>
      <c r="BV281" s="532"/>
      <c r="BW281" s="532"/>
      <c r="BX281" s="532"/>
      <c r="BY281" s="532"/>
      <c r="BZ281" s="532"/>
      <c r="CA281" s="532"/>
      <c r="CB281" s="532"/>
      <c r="CC281" s="532"/>
      <c r="CD281" s="532"/>
      <c r="CE281" s="532"/>
      <c r="CF281" s="532"/>
      <c r="CG281" s="532"/>
      <c r="CH281" s="532"/>
      <c r="CI281" s="532"/>
      <c r="CJ281" s="532"/>
      <c r="CK281" s="532"/>
      <c r="CL281" s="532"/>
      <c r="CM281" s="532"/>
      <c r="CN281" s="532"/>
      <c r="CO281" s="532"/>
      <c r="CP281" s="532"/>
      <c r="CQ281" s="532"/>
      <c r="CR281" s="532"/>
      <c r="CS281" s="532"/>
      <c r="CT281" s="532"/>
      <c r="CU281" s="532"/>
      <c r="CV281" s="532"/>
      <c r="CW281" s="532"/>
      <c r="CX281" s="532"/>
      <c r="CY281" s="532"/>
      <c r="CZ281" s="532"/>
      <c r="DA281" s="532"/>
      <c r="DB281" s="532"/>
      <c r="DC281" s="532"/>
      <c r="DD281" s="532"/>
      <c r="DE281" s="532"/>
      <c r="DF281" s="532"/>
      <c r="DG281" s="532"/>
      <c r="DH281" s="532"/>
      <c r="DI281" s="532"/>
      <c r="DJ281" s="532"/>
      <c r="DK281" s="532"/>
      <c r="DL281" s="532"/>
      <c r="DM281" s="532"/>
      <c r="DN281" s="532"/>
      <c r="DO281" s="532"/>
      <c r="DP281" s="532"/>
      <c r="DQ281" s="532"/>
      <c r="DR281" s="532"/>
      <c r="DS281" s="532"/>
      <c r="DT281" s="532"/>
      <c r="DU281" s="532"/>
      <c r="DV281" s="532"/>
      <c r="DW281" s="532"/>
      <c r="DX281" s="532"/>
      <c r="DY281" s="532"/>
      <c r="DZ281" s="532"/>
      <c r="EA281" s="532"/>
      <c r="EB281" s="532"/>
      <c r="EC281" s="532"/>
      <c r="ED281" s="532"/>
      <c r="EE281" s="532"/>
      <c r="EF281" s="532"/>
      <c r="EG281" s="532"/>
      <c r="EH281" s="532"/>
      <c r="EI281" s="532"/>
      <c r="EJ281" s="532"/>
      <c r="EK281" s="532"/>
      <c r="EL281" s="532"/>
      <c r="EM281" s="532"/>
      <c r="EN281" s="532"/>
      <c r="EO281" s="532"/>
      <c r="EP281" s="532"/>
      <c r="EQ281" s="532"/>
      <c r="ER281" s="532"/>
      <c r="ES281" s="532"/>
      <c r="ET281" s="532"/>
      <c r="EU281" s="532"/>
      <c r="EV281" s="532"/>
      <c r="EW281" s="532"/>
      <c r="EX281" s="532"/>
      <c r="EY281" s="532"/>
      <c r="EZ281" s="532"/>
      <c r="FA281" s="532"/>
      <c r="FB281" s="532"/>
      <c r="FC281" s="532"/>
      <c r="FD281" s="532"/>
      <c r="FE281" s="532"/>
      <c r="FF281" s="532"/>
      <c r="FG281" s="532"/>
      <c r="FH281" s="532"/>
      <c r="FI281" s="532"/>
      <c r="FJ281" s="338"/>
      <c r="FK281" s="338"/>
      <c r="FL281" s="338"/>
      <c r="FM281" s="338"/>
      <c r="FN281" s="338"/>
      <c r="FO281" s="338"/>
      <c r="FP281" s="338"/>
      <c r="FQ281" s="338"/>
      <c r="FR281" s="338"/>
      <c r="FS281" s="338"/>
      <c r="FT281" s="338"/>
      <c r="FU281" s="338"/>
      <c r="FV281" s="338"/>
      <c r="FW281" s="49"/>
      <c r="FX281" s="49"/>
      <c r="FY281" s="259"/>
      <c r="FZ281" s="259"/>
      <c r="GA281" s="259"/>
      <c r="GB281" s="259"/>
      <c r="GC281" s="49"/>
      <c r="GD281" s="49"/>
      <c r="GE281" s="49"/>
      <c r="GF281" s="49"/>
      <c r="GG281" s="49"/>
      <c r="GH281" s="49"/>
      <c r="GI281" s="49"/>
      <c r="GJ281" s="49"/>
      <c r="GK281" s="49"/>
      <c r="GL281" s="49"/>
      <c r="GM281" s="49"/>
      <c r="GN281" s="49"/>
      <c r="GO281" s="49"/>
      <c r="GP281" s="49"/>
      <c r="GQ281" s="49"/>
      <c r="GR281" s="49"/>
      <c r="GS281" s="49"/>
      <c r="GT281" s="49"/>
      <c r="GU281" s="49"/>
      <c r="GV281" s="49"/>
      <c r="GW281" s="66"/>
      <c r="GX281" s="66"/>
      <c r="GY281" s="66"/>
      <c r="GZ281" s="66"/>
      <c r="HA281" s="66"/>
      <c r="HB281" s="66"/>
      <c r="HC281" s="66"/>
      <c r="HD281" s="66"/>
      <c r="HE281" s="66"/>
      <c r="HF281" s="66"/>
      <c r="HG281" s="66"/>
      <c r="HH281" s="66"/>
      <c r="HI281" s="66"/>
      <c r="HJ281" s="66"/>
      <c r="HK281" s="66"/>
      <c r="HL281" s="66"/>
      <c r="HM281" s="66"/>
      <c r="HN281" s="66"/>
      <c r="HO281" s="66"/>
      <c r="HP281" s="66"/>
      <c r="HQ281" s="66"/>
      <c r="HR281" s="66"/>
      <c r="HS281" s="66"/>
      <c r="HT281" s="66"/>
      <c r="HU281" s="66"/>
      <c r="HV281" s="66"/>
      <c r="HW281" s="66"/>
      <c r="HX281" s="66"/>
      <c r="HY281" s="66"/>
      <c r="HZ281" s="66"/>
      <c r="IA281" s="66"/>
    </row>
    <row r="282" spans="1:235" customFormat="1" ht="16.5" customHeight="1">
      <c r="A282" s="1"/>
      <c r="B282" s="3"/>
      <c r="C282" s="3"/>
      <c r="D282" s="532"/>
      <c r="E282" s="532"/>
      <c r="F282" s="532"/>
      <c r="G282" s="532"/>
      <c r="H282" s="532"/>
      <c r="I282" s="532"/>
      <c r="J282" s="532"/>
      <c r="K282" s="532"/>
      <c r="L282" s="532"/>
      <c r="M282" s="532"/>
      <c r="N282" s="532"/>
      <c r="O282" s="532"/>
      <c r="P282" s="532"/>
      <c r="Q282" s="532"/>
      <c r="R282" s="532"/>
      <c r="S282" s="532"/>
      <c r="T282" s="532"/>
      <c r="U282" s="532"/>
      <c r="V282" s="532"/>
      <c r="W282" s="532"/>
      <c r="X282" s="532"/>
      <c r="Y282" s="532"/>
      <c r="Z282" s="532"/>
      <c r="AA282" s="532"/>
      <c r="AB282" s="532"/>
      <c r="AC282" s="532"/>
      <c r="AD282" s="532"/>
      <c r="AE282" s="532"/>
      <c r="AF282" s="532"/>
      <c r="AG282" s="532"/>
      <c r="AH282" s="532"/>
      <c r="AI282" s="532"/>
      <c r="AJ282" s="532"/>
      <c r="AK282" s="532"/>
      <c r="AL282" s="532"/>
      <c r="AM282" s="532"/>
      <c r="AN282" s="532"/>
      <c r="AO282" s="532"/>
      <c r="AP282" s="532"/>
      <c r="AQ282" s="532"/>
      <c r="AR282" s="532"/>
      <c r="AS282" s="532"/>
      <c r="AT282" s="532"/>
      <c r="AU282" s="532"/>
      <c r="AV282" s="532"/>
      <c r="AW282" s="532"/>
      <c r="AX282" s="532"/>
      <c r="AY282" s="532"/>
      <c r="AZ282" s="532"/>
      <c r="BA282" s="532"/>
      <c r="BB282" s="532"/>
      <c r="BC282" s="532"/>
      <c r="BD282" s="532"/>
      <c r="BE282" s="532"/>
      <c r="BF282" s="532"/>
      <c r="BG282" s="532"/>
      <c r="BH282" s="532"/>
      <c r="BI282" s="532"/>
      <c r="BJ282" s="532"/>
      <c r="BK282" s="532"/>
      <c r="BL282" s="532"/>
      <c r="BM282" s="532"/>
      <c r="BN282" s="532"/>
      <c r="BO282" s="532"/>
      <c r="BP282" s="532"/>
      <c r="BQ282" s="532"/>
      <c r="BR282" s="532"/>
      <c r="BS282" s="532"/>
      <c r="BT282" s="532"/>
      <c r="BU282" s="532"/>
      <c r="BV282" s="532"/>
      <c r="BW282" s="532"/>
      <c r="BX282" s="532"/>
      <c r="BY282" s="532"/>
      <c r="BZ282" s="532"/>
      <c r="CA282" s="532"/>
      <c r="CB282" s="532"/>
      <c r="CC282" s="532"/>
      <c r="CD282" s="532"/>
      <c r="CE282" s="532"/>
      <c r="CF282" s="532"/>
      <c r="CG282" s="532"/>
      <c r="CH282" s="532"/>
      <c r="CI282" s="532"/>
      <c r="CJ282" s="532"/>
      <c r="CK282" s="532"/>
      <c r="CL282" s="532"/>
      <c r="CM282" s="532"/>
      <c r="CN282" s="532"/>
      <c r="CO282" s="532"/>
      <c r="CP282" s="532"/>
      <c r="CQ282" s="532"/>
      <c r="CR282" s="532"/>
      <c r="CS282" s="532"/>
      <c r="CT282" s="532"/>
      <c r="CU282" s="532"/>
      <c r="CV282" s="532"/>
      <c r="CW282" s="532"/>
      <c r="CX282" s="532"/>
      <c r="CY282" s="532"/>
      <c r="CZ282" s="532"/>
      <c r="DA282" s="532"/>
      <c r="DB282" s="532"/>
      <c r="DC282" s="532"/>
      <c r="DD282" s="532"/>
      <c r="DE282" s="532"/>
      <c r="DF282" s="532"/>
      <c r="DG282" s="532"/>
      <c r="DH282" s="532"/>
      <c r="DI282" s="532"/>
      <c r="DJ282" s="532"/>
      <c r="DK282" s="532"/>
      <c r="DL282" s="532"/>
      <c r="DM282" s="532"/>
      <c r="DN282" s="532"/>
      <c r="DO282" s="532"/>
      <c r="DP282" s="532"/>
      <c r="DQ282" s="532"/>
      <c r="DR282" s="532"/>
      <c r="DS282" s="532"/>
      <c r="DT282" s="532"/>
      <c r="DU282" s="532"/>
      <c r="DV282" s="532"/>
      <c r="DW282" s="532"/>
      <c r="DX282" s="532"/>
      <c r="DY282" s="532"/>
      <c r="DZ282" s="532"/>
      <c r="EA282" s="532"/>
      <c r="EB282" s="532"/>
      <c r="EC282" s="532"/>
      <c r="ED282" s="532"/>
      <c r="EE282" s="532"/>
      <c r="EF282" s="532"/>
      <c r="EG282" s="532"/>
      <c r="EH282" s="532"/>
      <c r="EI282" s="532"/>
      <c r="EJ282" s="532"/>
      <c r="EK282" s="532"/>
      <c r="EL282" s="532"/>
      <c r="EM282" s="532"/>
      <c r="EN282" s="532"/>
      <c r="EO282" s="532"/>
      <c r="EP282" s="532"/>
      <c r="EQ282" s="532"/>
      <c r="ER282" s="532"/>
      <c r="ES282" s="532"/>
      <c r="ET282" s="532"/>
      <c r="EU282" s="532"/>
      <c r="EV282" s="532"/>
      <c r="EW282" s="532"/>
      <c r="EX282" s="532"/>
      <c r="EY282" s="532"/>
      <c r="EZ282" s="532"/>
      <c r="FA282" s="532"/>
      <c r="FB282" s="532"/>
      <c r="FC282" s="532"/>
      <c r="FD282" s="532"/>
      <c r="FE282" s="532"/>
      <c r="FF282" s="532"/>
      <c r="FG282" s="532"/>
      <c r="FH282" s="532"/>
      <c r="FI282" s="532"/>
      <c r="FJ282" s="338"/>
      <c r="FK282" s="338"/>
      <c r="FL282" s="338"/>
      <c r="FM282" s="338"/>
      <c r="FN282" s="338"/>
      <c r="FO282" s="338"/>
      <c r="FP282" s="338"/>
      <c r="FQ282" s="338"/>
      <c r="FR282" s="338"/>
      <c r="FS282" s="338"/>
      <c r="FT282" s="338"/>
      <c r="FU282" s="338"/>
      <c r="FV282" s="338"/>
      <c r="FW282" s="49"/>
      <c r="FX282" s="49"/>
      <c r="FY282" s="259"/>
      <c r="FZ282" s="259"/>
      <c r="GA282" s="259"/>
      <c r="GB282" s="259"/>
      <c r="GC282" s="49"/>
      <c r="GD282" s="49"/>
      <c r="GE282" s="49"/>
      <c r="GF282" s="49"/>
      <c r="GG282" s="49"/>
      <c r="GH282" s="49"/>
      <c r="GI282" s="49"/>
      <c r="GJ282" s="49"/>
      <c r="GK282" s="49"/>
      <c r="GL282" s="49"/>
      <c r="GM282" s="49"/>
      <c r="GN282" s="49"/>
      <c r="GO282" s="49"/>
      <c r="GP282" s="49"/>
      <c r="GQ282" s="49"/>
      <c r="GR282" s="49"/>
      <c r="GS282" s="49"/>
      <c r="GT282" s="49"/>
      <c r="GU282" s="49"/>
      <c r="GV282" s="49"/>
      <c r="GW282" s="66"/>
      <c r="GX282" s="66"/>
      <c r="GY282" s="66"/>
      <c r="GZ282" s="66"/>
      <c r="HA282" s="66"/>
      <c r="HB282" s="66"/>
      <c r="HC282" s="66"/>
      <c r="HD282" s="66"/>
      <c r="HE282" s="66"/>
      <c r="HF282" s="66"/>
      <c r="HG282" s="66"/>
      <c r="HH282" s="66"/>
      <c r="HI282" s="66"/>
      <c r="HJ282" s="66"/>
      <c r="HK282" s="66"/>
      <c r="HL282" s="66"/>
      <c r="HM282" s="66"/>
      <c r="HN282" s="66"/>
      <c r="HO282" s="66"/>
      <c r="HP282" s="66"/>
      <c r="HQ282" s="66"/>
      <c r="HR282" s="66"/>
      <c r="HS282" s="66"/>
      <c r="HT282" s="66"/>
      <c r="HU282" s="66"/>
      <c r="HV282" s="66"/>
      <c r="HW282" s="66"/>
      <c r="HX282" s="66"/>
      <c r="HY282" s="66"/>
      <c r="HZ282" s="66"/>
      <c r="IA282" s="66"/>
    </row>
    <row r="283" spans="1:235" customFormat="1" ht="16.5" customHeight="1">
      <c r="A283" s="1"/>
      <c r="B283" s="3"/>
      <c r="C283" s="3"/>
      <c r="D283" s="532"/>
      <c r="E283" s="532"/>
      <c r="F283" s="532"/>
      <c r="G283" s="532"/>
      <c r="H283" s="532"/>
      <c r="I283" s="532"/>
      <c r="J283" s="532"/>
      <c r="K283" s="532"/>
      <c r="L283" s="532"/>
      <c r="M283" s="532"/>
      <c r="N283" s="532"/>
      <c r="O283" s="532"/>
      <c r="P283" s="532"/>
      <c r="Q283" s="532"/>
      <c r="R283" s="532"/>
      <c r="S283" s="532"/>
      <c r="T283" s="532"/>
      <c r="U283" s="532"/>
      <c r="V283" s="532"/>
      <c r="W283" s="532"/>
      <c r="X283" s="532"/>
      <c r="Y283" s="532"/>
      <c r="Z283" s="532"/>
      <c r="AA283" s="532"/>
      <c r="AB283" s="532"/>
      <c r="AC283" s="532"/>
      <c r="AD283" s="532"/>
      <c r="AE283" s="532"/>
      <c r="AF283" s="532"/>
      <c r="AG283" s="532"/>
      <c r="AH283" s="532"/>
      <c r="AI283" s="532"/>
      <c r="AJ283" s="532"/>
      <c r="AK283" s="532"/>
      <c r="AL283" s="532"/>
      <c r="AM283" s="532"/>
      <c r="AN283" s="532"/>
      <c r="AO283" s="532"/>
      <c r="AP283" s="532"/>
      <c r="AQ283" s="532"/>
      <c r="AR283" s="532"/>
      <c r="AS283" s="532"/>
      <c r="AT283" s="532"/>
      <c r="AU283" s="532"/>
      <c r="AV283" s="532"/>
      <c r="AW283" s="532"/>
      <c r="AX283" s="532"/>
      <c r="AY283" s="532"/>
      <c r="AZ283" s="532"/>
      <c r="BA283" s="532"/>
      <c r="BB283" s="532"/>
      <c r="BC283" s="532"/>
      <c r="BD283" s="532"/>
      <c r="BE283" s="532"/>
      <c r="BF283" s="532"/>
      <c r="BG283" s="532"/>
      <c r="BH283" s="532"/>
      <c r="BI283" s="532"/>
      <c r="BJ283" s="532"/>
      <c r="BK283" s="532"/>
      <c r="BL283" s="532"/>
      <c r="BM283" s="532"/>
      <c r="BN283" s="532"/>
      <c r="BO283" s="532"/>
      <c r="BP283" s="532"/>
      <c r="BQ283" s="532"/>
      <c r="BR283" s="532"/>
      <c r="BS283" s="532"/>
      <c r="BT283" s="532"/>
      <c r="BU283" s="532"/>
      <c r="BV283" s="532"/>
      <c r="BW283" s="532"/>
      <c r="BX283" s="532"/>
      <c r="BY283" s="532"/>
      <c r="BZ283" s="532"/>
      <c r="CA283" s="532"/>
      <c r="CB283" s="532"/>
      <c r="CC283" s="532"/>
      <c r="CD283" s="532"/>
      <c r="CE283" s="532"/>
      <c r="CF283" s="532"/>
      <c r="CG283" s="532"/>
      <c r="CH283" s="532"/>
      <c r="CI283" s="532"/>
      <c r="CJ283" s="532"/>
      <c r="CK283" s="532"/>
      <c r="CL283" s="532"/>
      <c r="CM283" s="532"/>
      <c r="CN283" s="532"/>
      <c r="CO283" s="532"/>
      <c r="CP283" s="532"/>
      <c r="CQ283" s="532"/>
      <c r="CR283" s="532"/>
      <c r="CS283" s="532"/>
      <c r="CT283" s="532"/>
      <c r="CU283" s="532"/>
      <c r="CV283" s="532"/>
      <c r="CW283" s="532"/>
      <c r="CX283" s="532"/>
      <c r="CY283" s="532"/>
      <c r="CZ283" s="532"/>
      <c r="DA283" s="532"/>
      <c r="DB283" s="532"/>
      <c r="DC283" s="532"/>
      <c r="DD283" s="532"/>
      <c r="DE283" s="532"/>
      <c r="DF283" s="532"/>
      <c r="DG283" s="532"/>
      <c r="DH283" s="532"/>
      <c r="DI283" s="532"/>
      <c r="DJ283" s="532"/>
      <c r="DK283" s="532"/>
      <c r="DL283" s="532"/>
      <c r="DM283" s="532"/>
      <c r="DN283" s="532"/>
      <c r="DO283" s="532"/>
      <c r="DP283" s="532"/>
      <c r="DQ283" s="532"/>
      <c r="DR283" s="532"/>
      <c r="DS283" s="532"/>
      <c r="DT283" s="532"/>
      <c r="DU283" s="532"/>
      <c r="DV283" s="532"/>
      <c r="DW283" s="532"/>
      <c r="DX283" s="532"/>
      <c r="DY283" s="532"/>
      <c r="DZ283" s="532"/>
      <c r="EA283" s="532"/>
      <c r="EB283" s="532"/>
      <c r="EC283" s="532"/>
      <c r="ED283" s="532"/>
      <c r="EE283" s="532"/>
      <c r="EF283" s="532"/>
      <c r="EG283" s="532"/>
      <c r="EH283" s="532"/>
      <c r="EI283" s="532"/>
      <c r="EJ283" s="532"/>
      <c r="EK283" s="532"/>
      <c r="EL283" s="532"/>
      <c r="EM283" s="532"/>
      <c r="EN283" s="532"/>
      <c r="EO283" s="532"/>
      <c r="EP283" s="532"/>
      <c r="EQ283" s="532"/>
      <c r="ER283" s="532"/>
      <c r="ES283" s="532"/>
      <c r="ET283" s="532"/>
      <c r="EU283" s="532"/>
      <c r="EV283" s="532"/>
      <c r="EW283" s="532"/>
      <c r="EX283" s="532"/>
      <c r="EY283" s="532"/>
      <c r="EZ283" s="532"/>
      <c r="FA283" s="532"/>
      <c r="FB283" s="532"/>
      <c r="FC283" s="532"/>
      <c r="FD283" s="532"/>
      <c r="FE283" s="532"/>
      <c r="FF283" s="532"/>
      <c r="FG283" s="532"/>
      <c r="FH283" s="532"/>
      <c r="FI283" s="532"/>
      <c r="FJ283" s="338"/>
      <c r="FK283" s="338"/>
      <c r="FL283" s="338"/>
      <c r="FM283" s="338"/>
      <c r="FN283" s="338"/>
      <c r="FO283" s="338"/>
      <c r="FP283" s="338"/>
      <c r="FQ283" s="338"/>
      <c r="FR283" s="338"/>
      <c r="FS283" s="338"/>
      <c r="FT283" s="338"/>
      <c r="FU283" s="338"/>
      <c r="FV283" s="338"/>
      <c r="FW283" s="49"/>
      <c r="FX283" s="49"/>
      <c r="FY283" s="259"/>
      <c r="FZ283" s="259"/>
      <c r="GA283" s="259"/>
      <c r="GB283" s="259"/>
      <c r="GC283" s="49"/>
      <c r="GD283" s="49"/>
      <c r="GE283" s="49"/>
      <c r="GF283" s="49"/>
      <c r="GG283" s="49"/>
      <c r="GH283" s="49"/>
      <c r="GI283" s="49"/>
      <c r="GJ283" s="49"/>
      <c r="GK283" s="49"/>
      <c r="GL283" s="49"/>
      <c r="GM283" s="49"/>
      <c r="GN283" s="49"/>
      <c r="GO283" s="49"/>
      <c r="GP283" s="49"/>
      <c r="GQ283" s="49"/>
      <c r="GR283" s="49"/>
      <c r="GS283" s="49"/>
      <c r="GT283" s="49"/>
      <c r="GU283" s="49"/>
      <c r="GV283" s="49"/>
      <c r="GW283" s="66"/>
      <c r="GX283" s="66"/>
      <c r="GY283" s="66"/>
      <c r="GZ283" s="66"/>
      <c r="HA283" s="66"/>
      <c r="HB283" s="66"/>
      <c r="HC283" s="66"/>
      <c r="HD283" s="66"/>
      <c r="HE283" s="66"/>
      <c r="HF283" s="66"/>
      <c r="HG283" s="66"/>
      <c r="HH283" s="66"/>
      <c r="HI283" s="66"/>
      <c r="HJ283" s="66"/>
      <c r="HK283" s="66"/>
      <c r="HL283" s="66"/>
      <c r="HM283" s="66"/>
      <c r="HN283" s="66"/>
      <c r="HO283" s="66"/>
      <c r="HP283" s="66"/>
      <c r="HQ283" s="66"/>
      <c r="HR283" s="66"/>
      <c r="HS283" s="66"/>
      <c r="HT283" s="66"/>
      <c r="HU283" s="66"/>
      <c r="HV283" s="66"/>
      <c r="HW283" s="66"/>
      <c r="HX283" s="66"/>
      <c r="HY283" s="66"/>
      <c r="HZ283" s="66"/>
      <c r="IA283" s="66"/>
    </row>
    <row r="284" spans="1:235" customFormat="1" ht="16.5" customHeight="1">
      <c r="A284" s="1"/>
      <c r="B284" s="3"/>
      <c r="C284" s="3"/>
      <c r="D284" s="532"/>
      <c r="E284" s="532"/>
      <c r="F284" s="532"/>
      <c r="G284" s="532"/>
      <c r="H284" s="532"/>
      <c r="I284" s="532"/>
      <c r="J284" s="532"/>
      <c r="K284" s="532"/>
      <c r="L284" s="532"/>
      <c r="M284" s="532"/>
      <c r="N284" s="532"/>
      <c r="O284" s="532"/>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c r="AM284" s="532"/>
      <c r="AN284" s="532"/>
      <c r="AO284" s="532"/>
      <c r="AP284" s="532"/>
      <c r="AQ284" s="532"/>
      <c r="AR284" s="532"/>
      <c r="AS284" s="532"/>
      <c r="AT284" s="532"/>
      <c r="AU284" s="532"/>
      <c r="AV284" s="532"/>
      <c r="AW284" s="532"/>
      <c r="AX284" s="532"/>
      <c r="AY284" s="532"/>
      <c r="AZ284" s="532"/>
      <c r="BA284" s="532"/>
      <c r="BB284" s="532"/>
      <c r="BC284" s="532"/>
      <c r="BD284" s="532"/>
      <c r="BE284" s="532"/>
      <c r="BF284" s="532"/>
      <c r="BG284" s="532"/>
      <c r="BH284" s="532"/>
      <c r="BI284" s="532"/>
      <c r="BJ284" s="532"/>
      <c r="BK284" s="532"/>
      <c r="BL284" s="532"/>
      <c r="BM284" s="532"/>
      <c r="BN284" s="532"/>
      <c r="BO284" s="532"/>
      <c r="BP284" s="532"/>
      <c r="BQ284" s="532"/>
      <c r="BR284" s="532"/>
      <c r="BS284" s="532"/>
      <c r="BT284" s="532"/>
      <c r="BU284" s="532"/>
      <c r="BV284" s="532"/>
      <c r="BW284" s="532"/>
      <c r="BX284" s="532"/>
      <c r="BY284" s="532"/>
      <c r="BZ284" s="532"/>
      <c r="CA284" s="532"/>
      <c r="CB284" s="532"/>
      <c r="CC284" s="532"/>
      <c r="CD284" s="532"/>
      <c r="CE284" s="532"/>
      <c r="CF284" s="532"/>
      <c r="CG284" s="532"/>
      <c r="CH284" s="532"/>
      <c r="CI284" s="532"/>
      <c r="CJ284" s="532"/>
      <c r="CK284" s="532"/>
      <c r="CL284" s="532"/>
      <c r="CM284" s="532"/>
      <c r="CN284" s="532"/>
      <c r="CO284" s="532"/>
      <c r="CP284" s="532"/>
      <c r="CQ284" s="532"/>
      <c r="CR284" s="532"/>
      <c r="CS284" s="532"/>
      <c r="CT284" s="532"/>
      <c r="CU284" s="532"/>
      <c r="CV284" s="532"/>
      <c r="CW284" s="532"/>
      <c r="CX284" s="532"/>
      <c r="CY284" s="532"/>
      <c r="CZ284" s="532"/>
      <c r="DA284" s="532"/>
      <c r="DB284" s="532"/>
      <c r="DC284" s="532"/>
      <c r="DD284" s="532"/>
      <c r="DE284" s="532"/>
      <c r="DF284" s="532"/>
      <c r="DG284" s="532"/>
      <c r="DH284" s="532"/>
      <c r="DI284" s="532"/>
      <c r="DJ284" s="532"/>
      <c r="DK284" s="532"/>
      <c r="DL284" s="532"/>
      <c r="DM284" s="532"/>
      <c r="DN284" s="532"/>
      <c r="DO284" s="532"/>
      <c r="DP284" s="532"/>
      <c r="DQ284" s="532"/>
      <c r="DR284" s="532"/>
      <c r="DS284" s="532"/>
      <c r="DT284" s="532"/>
      <c r="DU284" s="532"/>
      <c r="DV284" s="532"/>
      <c r="DW284" s="532"/>
      <c r="DX284" s="532"/>
      <c r="DY284" s="532"/>
      <c r="DZ284" s="532"/>
      <c r="EA284" s="532"/>
      <c r="EB284" s="532"/>
      <c r="EC284" s="532"/>
      <c r="ED284" s="532"/>
      <c r="EE284" s="532"/>
      <c r="EF284" s="532"/>
      <c r="EG284" s="532"/>
      <c r="EH284" s="532"/>
      <c r="EI284" s="532"/>
      <c r="EJ284" s="532"/>
      <c r="EK284" s="532"/>
      <c r="EL284" s="532"/>
      <c r="EM284" s="532"/>
      <c r="EN284" s="532"/>
      <c r="EO284" s="532"/>
      <c r="EP284" s="532"/>
      <c r="EQ284" s="532"/>
      <c r="ER284" s="532"/>
      <c r="ES284" s="532"/>
      <c r="ET284" s="532"/>
      <c r="EU284" s="532"/>
      <c r="EV284" s="532"/>
      <c r="EW284" s="532"/>
      <c r="EX284" s="532"/>
      <c r="EY284" s="532"/>
      <c r="EZ284" s="532"/>
      <c r="FA284" s="532"/>
      <c r="FB284" s="532"/>
      <c r="FC284" s="532"/>
      <c r="FD284" s="532"/>
      <c r="FE284" s="532"/>
      <c r="FF284" s="532"/>
      <c r="FG284" s="532"/>
      <c r="FH284" s="532"/>
      <c r="FI284" s="532"/>
      <c r="FJ284" s="338"/>
      <c r="FK284" s="338"/>
      <c r="FL284" s="338"/>
      <c r="FM284" s="338"/>
      <c r="FN284" s="338"/>
      <c r="FO284" s="338"/>
      <c r="FP284" s="338"/>
      <c r="FQ284" s="338"/>
      <c r="FR284" s="338"/>
      <c r="FS284" s="338"/>
      <c r="FT284" s="338"/>
      <c r="FU284" s="338"/>
      <c r="FV284" s="338"/>
      <c r="FW284" s="49"/>
      <c r="FX284" s="49"/>
      <c r="FY284" s="259"/>
      <c r="FZ284" s="259"/>
      <c r="GA284" s="259"/>
      <c r="GB284" s="259"/>
      <c r="GC284" s="49"/>
      <c r="GD284" s="49"/>
      <c r="GE284" s="49"/>
      <c r="GF284" s="49"/>
      <c r="GG284" s="49"/>
      <c r="GH284" s="49"/>
      <c r="GI284" s="49"/>
      <c r="GJ284" s="49"/>
      <c r="GK284" s="49"/>
      <c r="GL284" s="49"/>
      <c r="GM284" s="49"/>
      <c r="GN284" s="49"/>
      <c r="GO284" s="49"/>
      <c r="GP284" s="49"/>
      <c r="GQ284" s="49"/>
      <c r="GR284" s="49"/>
      <c r="GS284" s="49"/>
      <c r="GT284" s="49"/>
      <c r="GU284" s="49"/>
      <c r="GV284" s="49"/>
      <c r="GW284" s="66"/>
      <c r="GX284" s="66"/>
      <c r="GY284" s="66"/>
      <c r="GZ284" s="66"/>
      <c r="HA284" s="66"/>
      <c r="HB284" s="66"/>
      <c r="HC284" s="66"/>
      <c r="HD284" s="66"/>
      <c r="HE284" s="66"/>
      <c r="HF284" s="66"/>
      <c r="HG284" s="66"/>
      <c r="HH284" s="66"/>
      <c r="HI284" s="66"/>
      <c r="HJ284" s="66"/>
      <c r="HK284" s="66"/>
      <c r="HL284" s="66"/>
      <c r="HM284" s="66"/>
      <c r="HN284" s="66"/>
      <c r="HO284" s="66"/>
      <c r="HP284" s="66"/>
      <c r="HQ284" s="66"/>
      <c r="HR284" s="66"/>
      <c r="HS284" s="66"/>
      <c r="HT284" s="66"/>
      <c r="HU284" s="66"/>
      <c r="HV284" s="66"/>
      <c r="HW284" s="66"/>
      <c r="HX284" s="66"/>
      <c r="HY284" s="66"/>
      <c r="HZ284" s="66"/>
      <c r="IA284" s="66"/>
    </row>
    <row r="285" spans="1:235" customFormat="1" ht="16.5" customHeight="1">
      <c r="A285" s="1"/>
      <c r="B285" s="3"/>
      <c r="C285" s="3"/>
      <c r="D285" s="532"/>
      <c r="E285" s="532"/>
      <c r="F285" s="532"/>
      <c r="G285" s="532"/>
      <c r="H285" s="532"/>
      <c r="I285" s="532"/>
      <c r="J285" s="532"/>
      <c r="K285" s="532"/>
      <c r="L285" s="532"/>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c r="AM285" s="532"/>
      <c r="AN285" s="532"/>
      <c r="AO285" s="532"/>
      <c r="AP285" s="532"/>
      <c r="AQ285" s="532"/>
      <c r="AR285" s="532"/>
      <c r="AS285" s="532"/>
      <c r="AT285" s="532"/>
      <c r="AU285" s="532"/>
      <c r="AV285" s="532"/>
      <c r="AW285" s="532"/>
      <c r="AX285" s="532"/>
      <c r="AY285" s="532"/>
      <c r="AZ285" s="532"/>
      <c r="BA285" s="532"/>
      <c r="BB285" s="532"/>
      <c r="BC285" s="532"/>
      <c r="BD285" s="532"/>
      <c r="BE285" s="532"/>
      <c r="BF285" s="532"/>
      <c r="BG285" s="532"/>
      <c r="BH285" s="532"/>
      <c r="BI285" s="532"/>
      <c r="BJ285" s="532"/>
      <c r="BK285" s="532"/>
      <c r="BL285" s="532"/>
      <c r="BM285" s="532"/>
      <c r="BN285" s="532"/>
      <c r="BO285" s="532"/>
      <c r="BP285" s="532"/>
      <c r="BQ285" s="532"/>
      <c r="BR285" s="532"/>
      <c r="BS285" s="532"/>
      <c r="BT285" s="532"/>
      <c r="BU285" s="532"/>
      <c r="BV285" s="532"/>
      <c r="BW285" s="532"/>
      <c r="BX285" s="532"/>
      <c r="BY285" s="532"/>
      <c r="BZ285" s="532"/>
      <c r="CA285" s="532"/>
      <c r="CB285" s="532"/>
      <c r="CC285" s="532"/>
      <c r="CD285" s="532"/>
      <c r="CE285" s="532"/>
      <c r="CF285" s="532"/>
      <c r="CG285" s="532"/>
      <c r="CH285" s="532"/>
      <c r="CI285" s="532"/>
      <c r="CJ285" s="532"/>
      <c r="CK285" s="532"/>
      <c r="CL285" s="532"/>
      <c r="CM285" s="532"/>
      <c r="CN285" s="532"/>
      <c r="CO285" s="532"/>
      <c r="CP285" s="532"/>
      <c r="CQ285" s="532"/>
      <c r="CR285" s="532"/>
      <c r="CS285" s="532"/>
      <c r="CT285" s="532"/>
      <c r="CU285" s="532"/>
      <c r="CV285" s="532"/>
      <c r="CW285" s="532"/>
      <c r="CX285" s="532"/>
      <c r="CY285" s="532"/>
      <c r="CZ285" s="532"/>
      <c r="DA285" s="532"/>
      <c r="DB285" s="532"/>
      <c r="DC285" s="532"/>
      <c r="DD285" s="532"/>
      <c r="DE285" s="532"/>
      <c r="DF285" s="532"/>
      <c r="DG285" s="532"/>
      <c r="DH285" s="532"/>
      <c r="DI285" s="532"/>
      <c r="DJ285" s="532"/>
      <c r="DK285" s="532"/>
      <c r="DL285" s="532"/>
      <c r="DM285" s="532"/>
      <c r="DN285" s="532"/>
      <c r="DO285" s="532"/>
      <c r="DP285" s="532"/>
      <c r="DQ285" s="532"/>
      <c r="DR285" s="532"/>
      <c r="DS285" s="532"/>
      <c r="DT285" s="532"/>
      <c r="DU285" s="532"/>
      <c r="DV285" s="532"/>
      <c r="DW285" s="532"/>
      <c r="DX285" s="532"/>
      <c r="DY285" s="532"/>
      <c r="DZ285" s="532"/>
      <c r="EA285" s="532"/>
      <c r="EB285" s="532"/>
      <c r="EC285" s="532"/>
      <c r="ED285" s="532"/>
      <c r="EE285" s="532"/>
      <c r="EF285" s="532"/>
      <c r="EG285" s="532"/>
      <c r="EH285" s="532"/>
      <c r="EI285" s="532"/>
      <c r="EJ285" s="532"/>
      <c r="EK285" s="532"/>
      <c r="EL285" s="532"/>
      <c r="EM285" s="532"/>
      <c r="EN285" s="532"/>
      <c r="EO285" s="532"/>
      <c r="EP285" s="532"/>
      <c r="EQ285" s="532"/>
      <c r="ER285" s="532"/>
      <c r="ES285" s="532"/>
      <c r="ET285" s="532"/>
      <c r="EU285" s="532"/>
      <c r="EV285" s="532"/>
      <c r="EW285" s="532"/>
      <c r="EX285" s="532"/>
      <c r="EY285" s="532"/>
      <c r="EZ285" s="532"/>
      <c r="FA285" s="532"/>
      <c r="FB285" s="532"/>
      <c r="FC285" s="532"/>
      <c r="FD285" s="532"/>
      <c r="FE285" s="532"/>
      <c r="FF285" s="532"/>
      <c r="FG285" s="532"/>
      <c r="FH285" s="532"/>
      <c r="FI285" s="532"/>
      <c r="FJ285" s="338"/>
      <c r="FK285" s="338"/>
      <c r="FL285" s="338"/>
      <c r="FM285" s="338"/>
      <c r="FN285" s="338"/>
      <c r="FO285" s="338"/>
      <c r="FP285" s="338"/>
      <c r="FQ285" s="338"/>
      <c r="FR285" s="338"/>
      <c r="FS285" s="338"/>
      <c r="FT285" s="338"/>
      <c r="FU285" s="338"/>
      <c r="FV285" s="338"/>
      <c r="FW285" s="49"/>
      <c r="FX285" s="49"/>
      <c r="FY285" s="259"/>
      <c r="FZ285" s="259"/>
      <c r="GA285" s="259"/>
      <c r="GB285" s="259"/>
      <c r="GC285" s="49"/>
      <c r="GD285" s="49"/>
      <c r="GE285" s="49"/>
      <c r="GF285" s="49"/>
      <c r="GG285" s="49"/>
      <c r="GH285" s="49"/>
      <c r="GI285" s="49"/>
      <c r="GJ285" s="49"/>
      <c r="GK285" s="49"/>
      <c r="GL285" s="49"/>
      <c r="GM285" s="49"/>
      <c r="GN285" s="49"/>
      <c r="GO285" s="49"/>
      <c r="GP285" s="49"/>
      <c r="GQ285" s="49"/>
      <c r="GR285" s="49"/>
      <c r="GS285" s="49"/>
      <c r="GT285" s="49"/>
      <c r="GU285" s="49"/>
      <c r="GV285" s="49"/>
      <c r="GW285" s="66"/>
      <c r="GX285" s="66"/>
      <c r="GY285" s="66"/>
      <c r="GZ285" s="66"/>
      <c r="HA285" s="66"/>
      <c r="HB285" s="66"/>
      <c r="HC285" s="66"/>
      <c r="HD285" s="66"/>
      <c r="HE285" s="66"/>
      <c r="HF285" s="66"/>
      <c r="HG285" s="66"/>
      <c r="HH285" s="66"/>
      <c r="HI285" s="66"/>
      <c r="HJ285" s="66"/>
      <c r="HK285" s="66"/>
      <c r="HL285" s="66"/>
      <c r="HM285" s="66"/>
      <c r="HN285" s="66"/>
      <c r="HO285" s="66"/>
      <c r="HP285" s="66"/>
      <c r="HQ285" s="66"/>
      <c r="HR285" s="66"/>
      <c r="HS285" s="66"/>
      <c r="HT285" s="66"/>
      <c r="HU285" s="66"/>
      <c r="HV285" s="66"/>
      <c r="HW285" s="66"/>
      <c r="HX285" s="66"/>
      <c r="HY285" s="66"/>
      <c r="HZ285" s="66"/>
      <c r="IA285" s="66"/>
    </row>
    <row r="286" spans="1:235" customFormat="1" ht="16.5" customHeight="1">
      <c r="A286" s="1"/>
      <c r="B286" s="3"/>
      <c r="C286" s="3"/>
      <c r="D286" s="532"/>
      <c r="E286" s="532"/>
      <c r="F286" s="532"/>
      <c r="G286" s="532"/>
      <c r="H286" s="532"/>
      <c r="I286" s="532"/>
      <c r="J286" s="532"/>
      <c r="K286" s="532"/>
      <c r="L286" s="532"/>
      <c r="M286" s="532"/>
      <c r="N286" s="532"/>
      <c r="O286" s="532"/>
      <c r="P286" s="532"/>
      <c r="Q286" s="532"/>
      <c r="R286" s="532"/>
      <c r="S286" s="532"/>
      <c r="T286" s="532"/>
      <c r="U286" s="532"/>
      <c r="V286" s="532"/>
      <c r="W286" s="532"/>
      <c r="X286" s="532"/>
      <c r="Y286" s="532"/>
      <c r="Z286" s="532"/>
      <c r="AA286" s="532"/>
      <c r="AB286" s="532"/>
      <c r="AC286" s="532"/>
      <c r="AD286" s="532"/>
      <c r="AE286" s="532"/>
      <c r="AF286" s="532"/>
      <c r="AG286" s="532"/>
      <c r="AH286" s="532"/>
      <c r="AI286" s="532"/>
      <c r="AJ286" s="532"/>
      <c r="AK286" s="532"/>
      <c r="AL286" s="532"/>
      <c r="AM286" s="532"/>
      <c r="AN286" s="532"/>
      <c r="AO286" s="532"/>
      <c r="AP286" s="532"/>
      <c r="AQ286" s="532"/>
      <c r="AR286" s="532"/>
      <c r="AS286" s="532"/>
      <c r="AT286" s="532"/>
      <c r="AU286" s="532"/>
      <c r="AV286" s="532"/>
      <c r="AW286" s="532"/>
      <c r="AX286" s="532"/>
      <c r="AY286" s="532"/>
      <c r="AZ286" s="532"/>
      <c r="BA286" s="532"/>
      <c r="BB286" s="532"/>
      <c r="BC286" s="532"/>
      <c r="BD286" s="532"/>
      <c r="BE286" s="532"/>
      <c r="BF286" s="532"/>
      <c r="BG286" s="532"/>
      <c r="BH286" s="532"/>
      <c r="BI286" s="532"/>
      <c r="BJ286" s="532"/>
      <c r="BK286" s="532"/>
      <c r="BL286" s="532"/>
      <c r="BM286" s="532"/>
      <c r="BN286" s="532"/>
      <c r="BO286" s="532"/>
      <c r="BP286" s="532"/>
      <c r="BQ286" s="532"/>
      <c r="BR286" s="532"/>
      <c r="BS286" s="532"/>
      <c r="BT286" s="532"/>
      <c r="BU286" s="532"/>
      <c r="BV286" s="532"/>
      <c r="BW286" s="532"/>
      <c r="BX286" s="532"/>
      <c r="BY286" s="532"/>
      <c r="BZ286" s="532"/>
      <c r="CA286" s="532"/>
      <c r="CB286" s="532"/>
      <c r="CC286" s="532"/>
      <c r="CD286" s="532"/>
      <c r="CE286" s="532"/>
      <c r="CF286" s="532"/>
      <c r="CG286" s="532"/>
      <c r="CH286" s="532"/>
      <c r="CI286" s="532"/>
      <c r="CJ286" s="532"/>
      <c r="CK286" s="532"/>
      <c r="CL286" s="532"/>
      <c r="CM286" s="532"/>
      <c r="CN286" s="532"/>
      <c r="CO286" s="532"/>
      <c r="CP286" s="532"/>
      <c r="CQ286" s="532"/>
      <c r="CR286" s="532"/>
      <c r="CS286" s="532"/>
      <c r="CT286" s="532"/>
      <c r="CU286" s="532"/>
      <c r="CV286" s="532"/>
      <c r="CW286" s="532"/>
      <c r="CX286" s="532"/>
      <c r="CY286" s="532"/>
      <c r="CZ286" s="532"/>
      <c r="DA286" s="532"/>
      <c r="DB286" s="532"/>
      <c r="DC286" s="532"/>
      <c r="DD286" s="532"/>
      <c r="DE286" s="532"/>
      <c r="DF286" s="532"/>
      <c r="DG286" s="532"/>
      <c r="DH286" s="532"/>
      <c r="DI286" s="532"/>
      <c r="DJ286" s="532"/>
      <c r="DK286" s="532"/>
      <c r="DL286" s="532"/>
      <c r="DM286" s="532"/>
      <c r="DN286" s="532"/>
      <c r="DO286" s="532"/>
      <c r="DP286" s="532"/>
      <c r="DQ286" s="532"/>
      <c r="DR286" s="532"/>
      <c r="DS286" s="532"/>
      <c r="DT286" s="532"/>
      <c r="DU286" s="532"/>
      <c r="DV286" s="532"/>
      <c r="DW286" s="532"/>
      <c r="DX286" s="532"/>
      <c r="DY286" s="532"/>
      <c r="DZ286" s="532"/>
      <c r="EA286" s="532"/>
      <c r="EB286" s="532"/>
      <c r="EC286" s="532"/>
      <c r="ED286" s="532"/>
      <c r="EE286" s="532"/>
      <c r="EF286" s="532"/>
      <c r="EG286" s="532"/>
      <c r="EH286" s="532"/>
      <c r="EI286" s="532"/>
      <c r="EJ286" s="532"/>
      <c r="EK286" s="532"/>
      <c r="EL286" s="532"/>
      <c r="EM286" s="532"/>
      <c r="EN286" s="532"/>
      <c r="EO286" s="532"/>
      <c r="EP286" s="532"/>
      <c r="EQ286" s="532"/>
      <c r="ER286" s="532"/>
      <c r="ES286" s="532"/>
      <c r="ET286" s="532"/>
      <c r="EU286" s="532"/>
      <c r="EV286" s="532"/>
      <c r="EW286" s="532"/>
      <c r="EX286" s="532"/>
      <c r="EY286" s="532"/>
      <c r="EZ286" s="532"/>
      <c r="FA286" s="532"/>
      <c r="FB286" s="532"/>
      <c r="FC286" s="532"/>
      <c r="FD286" s="532"/>
      <c r="FE286" s="532"/>
      <c r="FF286" s="532"/>
      <c r="FG286" s="532"/>
      <c r="FH286" s="532"/>
      <c r="FI286" s="532"/>
      <c r="FJ286" s="338"/>
      <c r="FK286" s="338"/>
      <c r="FL286" s="338"/>
      <c r="FM286" s="338"/>
      <c r="FN286" s="338"/>
      <c r="FO286" s="338"/>
      <c r="FP286" s="338"/>
      <c r="FQ286" s="338"/>
      <c r="FR286" s="338"/>
      <c r="FS286" s="338"/>
      <c r="FT286" s="338"/>
      <c r="FU286" s="338"/>
      <c r="FV286" s="338"/>
      <c r="FW286" s="49"/>
      <c r="FX286" s="49"/>
      <c r="FY286" s="259"/>
      <c r="FZ286" s="259"/>
      <c r="GA286" s="259"/>
      <c r="GB286" s="259"/>
      <c r="GC286" s="49"/>
      <c r="GD286" s="49"/>
      <c r="GE286" s="49"/>
      <c r="GF286" s="49"/>
      <c r="GG286" s="49"/>
      <c r="GH286" s="49"/>
      <c r="GI286" s="49"/>
      <c r="GJ286" s="49"/>
      <c r="GK286" s="49"/>
      <c r="GL286" s="49"/>
      <c r="GM286" s="49"/>
      <c r="GN286" s="49"/>
      <c r="GO286" s="49"/>
      <c r="GP286" s="49"/>
      <c r="GQ286" s="49"/>
      <c r="GR286" s="49"/>
      <c r="GS286" s="49"/>
      <c r="GT286" s="49"/>
      <c r="GU286" s="49"/>
      <c r="GV286" s="49"/>
      <c r="GW286" s="66"/>
      <c r="GX286" s="66"/>
      <c r="GY286" s="66"/>
      <c r="GZ286" s="66"/>
      <c r="HA286" s="66"/>
      <c r="HB286" s="66"/>
      <c r="HC286" s="66"/>
      <c r="HD286" s="66"/>
      <c r="HE286" s="66"/>
      <c r="HF286" s="66"/>
      <c r="HG286" s="66"/>
      <c r="HH286" s="66"/>
      <c r="HI286" s="66"/>
      <c r="HJ286" s="66"/>
      <c r="HK286" s="66"/>
      <c r="HL286" s="66"/>
      <c r="HM286" s="66"/>
      <c r="HN286" s="66"/>
      <c r="HO286" s="66"/>
      <c r="HP286" s="66"/>
      <c r="HQ286" s="66"/>
      <c r="HR286" s="66"/>
      <c r="HS286" s="66"/>
      <c r="HT286" s="66"/>
      <c r="HU286" s="66"/>
      <c r="HV286" s="66"/>
      <c r="HW286" s="66"/>
      <c r="HX286" s="66"/>
      <c r="HY286" s="66"/>
      <c r="HZ286" s="66"/>
      <c r="IA286" s="66"/>
    </row>
    <row r="287" spans="1:235" customFormat="1" ht="16.5" customHeight="1">
      <c r="A287" s="1"/>
      <c r="B287" s="3"/>
      <c r="C287" s="3"/>
      <c r="D287" s="532"/>
      <c r="E287" s="532"/>
      <c r="F287" s="532"/>
      <c r="G287" s="532"/>
      <c r="H287" s="532"/>
      <c r="I287" s="532"/>
      <c r="J287" s="532"/>
      <c r="K287" s="532"/>
      <c r="L287" s="532"/>
      <c r="M287" s="532"/>
      <c r="N287" s="532"/>
      <c r="O287" s="532"/>
      <c r="P287" s="532"/>
      <c r="Q287" s="532"/>
      <c r="R287" s="532"/>
      <c r="S287" s="532"/>
      <c r="T287" s="532"/>
      <c r="U287" s="532"/>
      <c r="V287" s="532"/>
      <c r="W287" s="532"/>
      <c r="X287" s="532"/>
      <c r="Y287" s="532"/>
      <c r="Z287" s="532"/>
      <c r="AA287" s="532"/>
      <c r="AB287" s="532"/>
      <c r="AC287" s="532"/>
      <c r="AD287" s="532"/>
      <c r="AE287" s="532"/>
      <c r="AF287" s="532"/>
      <c r="AG287" s="532"/>
      <c r="AH287" s="532"/>
      <c r="AI287" s="532"/>
      <c r="AJ287" s="532"/>
      <c r="AK287" s="532"/>
      <c r="AL287" s="532"/>
      <c r="AM287" s="532"/>
      <c r="AN287" s="532"/>
      <c r="AO287" s="532"/>
      <c r="AP287" s="532"/>
      <c r="AQ287" s="532"/>
      <c r="AR287" s="532"/>
      <c r="AS287" s="532"/>
      <c r="AT287" s="532"/>
      <c r="AU287" s="532"/>
      <c r="AV287" s="532"/>
      <c r="AW287" s="532"/>
      <c r="AX287" s="532"/>
      <c r="AY287" s="532"/>
      <c r="AZ287" s="532"/>
      <c r="BA287" s="532"/>
      <c r="BB287" s="532"/>
      <c r="BC287" s="532"/>
      <c r="BD287" s="532"/>
      <c r="BE287" s="532"/>
      <c r="BF287" s="532"/>
      <c r="BG287" s="532"/>
      <c r="BH287" s="532"/>
      <c r="BI287" s="532"/>
      <c r="BJ287" s="532"/>
      <c r="BK287" s="532"/>
      <c r="BL287" s="532"/>
      <c r="BM287" s="532"/>
      <c r="BN287" s="532"/>
      <c r="BO287" s="532"/>
      <c r="BP287" s="532"/>
      <c r="BQ287" s="532"/>
      <c r="BR287" s="532"/>
      <c r="BS287" s="532"/>
      <c r="BT287" s="532"/>
      <c r="BU287" s="532"/>
      <c r="BV287" s="532"/>
      <c r="BW287" s="532"/>
      <c r="BX287" s="532"/>
      <c r="BY287" s="532"/>
      <c r="BZ287" s="532"/>
      <c r="CA287" s="532"/>
      <c r="CB287" s="532"/>
      <c r="CC287" s="532"/>
      <c r="CD287" s="532"/>
      <c r="CE287" s="532"/>
      <c r="CF287" s="532"/>
      <c r="CG287" s="532"/>
      <c r="CH287" s="532"/>
      <c r="CI287" s="532"/>
      <c r="CJ287" s="532"/>
      <c r="CK287" s="532"/>
      <c r="CL287" s="532"/>
      <c r="CM287" s="532"/>
      <c r="CN287" s="532"/>
      <c r="CO287" s="532"/>
      <c r="CP287" s="532"/>
      <c r="CQ287" s="532"/>
      <c r="CR287" s="532"/>
      <c r="CS287" s="532"/>
      <c r="CT287" s="532"/>
      <c r="CU287" s="532"/>
      <c r="CV287" s="532"/>
      <c r="CW287" s="532"/>
      <c r="CX287" s="532"/>
      <c r="CY287" s="532"/>
      <c r="CZ287" s="532"/>
      <c r="DA287" s="532"/>
      <c r="DB287" s="532"/>
      <c r="DC287" s="532"/>
      <c r="DD287" s="532"/>
      <c r="DE287" s="532"/>
      <c r="DF287" s="532"/>
      <c r="DG287" s="532"/>
      <c r="DH287" s="532"/>
      <c r="DI287" s="532"/>
      <c r="DJ287" s="532"/>
      <c r="DK287" s="532"/>
      <c r="DL287" s="532"/>
      <c r="DM287" s="532"/>
      <c r="DN287" s="532"/>
      <c r="DO287" s="532"/>
      <c r="DP287" s="532"/>
      <c r="DQ287" s="532"/>
      <c r="DR287" s="532"/>
      <c r="DS287" s="532"/>
      <c r="DT287" s="532"/>
      <c r="DU287" s="532"/>
      <c r="DV287" s="532"/>
      <c r="DW287" s="532"/>
      <c r="DX287" s="532"/>
      <c r="DY287" s="532"/>
      <c r="DZ287" s="532"/>
      <c r="EA287" s="532"/>
      <c r="EB287" s="532"/>
      <c r="EC287" s="532"/>
      <c r="ED287" s="532"/>
      <c r="EE287" s="532"/>
      <c r="EF287" s="532"/>
      <c r="EG287" s="532"/>
      <c r="EH287" s="532"/>
      <c r="EI287" s="532"/>
      <c r="EJ287" s="532"/>
      <c r="EK287" s="532"/>
      <c r="EL287" s="532"/>
      <c r="EM287" s="532"/>
      <c r="EN287" s="532"/>
      <c r="EO287" s="532"/>
      <c r="EP287" s="532"/>
      <c r="EQ287" s="532"/>
      <c r="ER287" s="532"/>
      <c r="ES287" s="532"/>
      <c r="ET287" s="532"/>
      <c r="EU287" s="532"/>
      <c r="EV287" s="532"/>
      <c r="EW287" s="532"/>
      <c r="EX287" s="532"/>
      <c r="EY287" s="532"/>
      <c r="EZ287" s="532"/>
      <c r="FA287" s="532"/>
      <c r="FB287" s="532"/>
      <c r="FC287" s="532"/>
      <c r="FD287" s="532"/>
      <c r="FE287" s="532"/>
      <c r="FF287" s="532"/>
      <c r="FG287" s="532"/>
      <c r="FH287" s="532"/>
      <c r="FI287" s="532"/>
      <c r="FJ287" s="338"/>
      <c r="FK287" s="338"/>
      <c r="FL287" s="338"/>
      <c r="FM287" s="338"/>
      <c r="FN287" s="338"/>
      <c r="FO287" s="338"/>
      <c r="FP287" s="338"/>
      <c r="FQ287" s="338"/>
      <c r="FR287" s="338"/>
      <c r="FS287" s="338"/>
      <c r="FT287" s="338"/>
      <c r="FU287" s="338"/>
      <c r="FV287" s="338"/>
      <c r="FW287" s="49"/>
      <c r="FX287" s="49"/>
      <c r="FY287" s="259"/>
      <c r="FZ287" s="259"/>
      <c r="GA287" s="259"/>
      <c r="GB287" s="259"/>
      <c r="GC287" s="49"/>
      <c r="GD287" s="49"/>
      <c r="GE287" s="49"/>
      <c r="GF287" s="49"/>
      <c r="GG287" s="49"/>
      <c r="GH287" s="49"/>
      <c r="GI287" s="49"/>
      <c r="GJ287" s="49"/>
      <c r="GK287" s="49"/>
      <c r="GL287" s="49"/>
      <c r="GM287" s="49"/>
      <c r="GN287" s="49"/>
      <c r="GO287" s="49"/>
      <c r="GP287" s="49"/>
      <c r="GQ287" s="49"/>
      <c r="GR287" s="49"/>
      <c r="GS287" s="49"/>
      <c r="GT287" s="49"/>
      <c r="GU287" s="49"/>
      <c r="GV287" s="49"/>
      <c r="GW287" s="66"/>
      <c r="GX287" s="66"/>
      <c r="GY287" s="66"/>
      <c r="GZ287" s="66"/>
      <c r="HA287" s="66"/>
      <c r="HB287" s="66"/>
      <c r="HC287" s="66"/>
      <c r="HD287" s="66"/>
      <c r="HE287" s="66"/>
      <c r="HF287" s="66"/>
      <c r="HG287" s="66"/>
      <c r="HH287" s="66"/>
      <c r="HI287" s="66"/>
      <c r="HJ287" s="66"/>
      <c r="HK287" s="66"/>
      <c r="HL287" s="66"/>
      <c r="HM287" s="66"/>
      <c r="HN287" s="66"/>
      <c r="HO287" s="66"/>
      <c r="HP287" s="66"/>
      <c r="HQ287" s="66"/>
      <c r="HR287" s="66"/>
      <c r="HS287" s="66"/>
      <c r="HT287" s="66"/>
      <c r="HU287" s="66"/>
      <c r="HV287" s="66"/>
      <c r="HW287" s="66"/>
      <c r="HX287" s="66"/>
      <c r="HY287" s="66"/>
      <c r="HZ287" s="66"/>
      <c r="IA287" s="66"/>
    </row>
    <row r="288" spans="1:235" customFormat="1" ht="16.5" customHeight="1">
      <c r="A288" s="1"/>
      <c r="B288" s="3"/>
      <c r="C288" s="3"/>
      <c r="D288" s="532"/>
      <c r="E288" s="532"/>
      <c r="F288" s="532"/>
      <c r="G288" s="532"/>
      <c r="H288" s="532"/>
      <c r="I288" s="532"/>
      <c r="J288" s="532"/>
      <c r="K288" s="532"/>
      <c r="L288" s="532"/>
      <c r="M288" s="532"/>
      <c r="N288" s="532"/>
      <c r="O288" s="532"/>
      <c r="P288" s="532"/>
      <c r="Q288" s="532"/>
      <c r="R288" s="532"/>
      <c r="S288" s="532"/>
      <c r="T288" s="532"/>
      <c r="U288" s="532"/>
      <c r="V288" s="532"/>
      <c r="W288" s="532"/>
      <c r="X288" s="532"/>
      <c r="Y288" s="532"/>
      <c r="Z288" s="532"/>
      <c r="AA288" s="532"/>
      <c r="AB288" s="532"/>
      <c r="AC288" s="532"/>
      <c r="AD288" s="532"/>
      <c r="AE288" s="532"/>
      <c r="AF288" s="532"/>
      <c r="AG288" s="532"/>
      <c r="AH288" s="532"/>
      <c r="AI288" s="532"/>
      <c r="AJ288" s="532"/>
      <c r="AK288" s="532"/>
      <c r="AL288" s="532"/>
      <c r="AM288" s="532"/>
      <c r="AN288" s="532"/>
      <c r="AO288" s="532"/>
      <c r="AP288" s="532"/>
      <c r="AQ288" s="532"/>
      <c r="AR288" s="532"/>
      <c r="AS288" s="532"/>
      <c r="AT288" s="532"/>
      <c r="AU288" s="532"/>
      <c r="AV288" s="532"/>
      <c r="AW288" s="532"/>
      <c r="AX288" s="532"/>
      <c r="AY288" s="532"/>
      <c r="AZ288" s="532"/>
      <c r="BA288" s="532"/>
      <c r="BB288" s="532"/>
      <c r="BC288" s="532"/>
      <c r="BD288" s="532"/>
      <c r="BE288" s="532"/>
      <c r="BF288" s="532"/>
      <c r="BG288" s="532"/>
      <c r="BH288" s="532"/>
      <c r="BI288" s="532"/>
      <c r="BJ288" s="532"/>
      <c r="BK288" s="532"/>
      <c r="BL288" s="532"/>
      <c r="BM288" s="532"/>
      <c r="BN288" s="532"/>
      <c r="BO288" s="532"/>
      <c r="BP288" s="532"/>
      <c r="BQ288" s="532"/>
      <c r="BR288" s="532"/>
      <c r="BS288" s="532"/>
      <c r="BT288" s="532"/>
      <c r="BU288" s="532"/>
      <c r="BV288" s="532"/>
      <c r="BW288" s="532"/>
      <c r="BX288" s="532"/>
      <c r="BY288" s="532"/>
      <c r="BZ288" s="532"/>
      <c r="CA288" s="532"/>
      <c r="CB288" s="532"/>
      <c r="CC288" s="532"/>
      <c r="CD288" s="532"/>
      <c r="CE288" s="532"/>
      <c r="CF288" s="532"/>
      <c r="CG288" s="532"/>
      <c r="CH288" s="532"/>
      <c r="CI288" s="532"/>
      <c r="CJ288" s="532"/>
      <c r="CK288" s="532"/>
      <c r="CL288" s="532"/>
      <c r="CM288" s="532"/>
      <c r="CN288" s="532"/>
      <c r="CO288" s="532"/>
      <c r="CP288" s="532"/>
      <c r="CQ288" s="532"/>
      <c r="CR288" s="532"/>
      <c r="CS288" s="532"/>
      <c r="CT288" s="532"/>
      <c r="CU288" s="532"/>
      <c r="CV288" s="532"/>
      <c r="CW288" s="532"/>
      <c r="CX288" s="532"/>
      <c r="CY288" s="532"/>
      <c r="CZ288" s="532"/>
      <c r="DA288" s="532"/>
      <c r="DB288" s="532"/>
      <c r="DC288" s="532"/>
      <c r="DD288" s="532"/>
      <c r="DE288" s="532"/>
      <c r="DF288" s="532"/>
      <c r="DG288" s="532"/>
      <c r="DH288" s="532"/>
      <c r="DI288" s="532"/>
      <c r="DJ288" s="532"/>
      <c r="DK288" s="532"/>
      <c r="DL288" s="532"/>
      <c r="DM288" s="532"/>
      <c r="DN288" s="532"/>
      <c r="DO288" s="532"/>
      <c r="DP288" s="532"/>
      <c r="DQ288" s="532"/>
      <c r="DR288" s="532"/>
      <c r="DS288" s="532"/>
      <c r="DT288" s="532"/>
      <c r="DU288" s="532"/>
      <c r="DV288" s="532"/>
      <c r="DW288" s="532"/>
      <c r="DX288" s="532"/>
      <c r="DY288" s="532"/>
      <c r="DZ288" s="532"/>
      <c r="EA288" s="532"/>
      <c r="EB288" s="532"/>
      <c r="EC288" s="532"/>
      <c r="ED288" s="532"/>
      <c r="EE288" s="532"/>
      <c r="EF288" s="532"/>
      <c r="EG288" s="532"/>
      <c r="EH288" s="532"/>
      <c r="EI288" s="532"/>
      <c r="EJ288" s="532"/>
      <c r="EK288" s="532"/>
      <c r="EL288" s="532"/>
      <c r="EM288" s="532"/>
      <c r="EN288" s="532"/>
      <c r="EO288" s="532"/>
      <c r="EP288" s="532"/>
      <c r="EQ288" s="532"/>
      <c r="ER288" s="532"/>
      <c r="ES288" s="532"/>
      <c r="ET288" s="532"/>
      <c r="EU288" s="532"/>
      <c r="EV288" s="532"/>
      <c r="EW288" s="532"/>
      <c r="EX288" s="532"/>
      <c r="EY288" s="532"/>
      <c r="EZ288" s="532"/>
      <c r="FA288" s="532"/>
      <c r="FB288" s="532"/>
      <c r="FC288" s="532"/>
      <c r="FD288" s="532"/>
      <c r="FE288" s="532"/>
      <c r="FF288" s="532"/>
      <c r="FG288" s="532"/>
      <c r="FH288" s="532"/>
      <c r="FI288" s="532"/>
      <c r="FJ288" s="338"/>
      <c r="FK288" s="338"/>
      <c r="FL288" s="338"/>
      <c r="FM288" s="338"/>
      <c r="FN288" s="338"/>
      <c r="FO288" s="338"/>
      <c r="FP288" s="338"/>
      <c r="FQ288" s="338"/>
      <c r="FR288" s="338"/>
      <c r="FS288" s="338"/>
      <c r="FT288" s="338"/>
      <c r="FU288" s="338"/>
      <c r="FV288" s="338"/>
      <c r="FW288" s="49"/>
      <c r="FX288" s="49"/>
      <c r="FY288" s="259"/>
      <c r="FZ288" s="259"/>
      <c r="GA288" s="259"/>
      <c r="GB288" s="259"/>
      <c r="GC288" s="49"/>
      <c r="GD288" s="49"/>
      <c r="GE288" s="49"/>
      <c r="GF288" s="49"/>
      <c r="GG288" s="49"/>
      <c r="GH288" s="49"/>
      <c r="GI288" s="49"/>
      <c r="GJ288" s="49"/>
      <c r="GK288" s="49"/>
      <c r="GL288" s="49"/>
      <c r="GM288" s="49"/>
      <c r="GN288" s="49"/>
      <c r="GO288" s="49"/>
      <c r="GP288" s="49"/>
      <c r="GQ288" s="49"/>
      <c r="GR288" s="49"/>
      <c r="GS288" s="49"/>
      <c r="GT288" s="49"/>
      <c r="GU288" s="49"/>
      <c r="GV288" s="49"/>
      <c r="GW288" s="66"/>
      <c r="GX288" s="66"/>
      <c r="GY288" s="66"/>
      <c r="GZ288" s="66"/>
      <c r="HA288" s="66"/>
      <c r="HB288" s="66"/>
      <c r="HC288" s="66"/>
      <c r="HD288" s="66"/>
      <c r="HE288" s="66"/>
      <c r="HF288" s="66"/>
      <c r="HG288" s="66"/>
      <c r="HH288" s="66"/>
      <c r="HI288" s="66"/>
      <c r="HJ288" s="66"/>
      <c r="HK288" s="66"/>
      <c r="HL288" s="66"/>
      <c r="HM288" s="66"/>
      <c r="HN288" s="66"/>
      <c r="HO288" s="66"/>
      <c r="HP288" s="66"/>
      <c r="HQ288" s="66"/>
      <c r="HR288" s="66"/>
      <c r="HS288" s="66"/>
      <c r="HT288" s="66"/>
      <c r="HU288" s="66"/>
      <c r="HV288" s="66"/>
      <c r="HW288" s="66"/>
      <c r="HX288" s="66"/>
      <c r="HY288" s="66"/>
      <c r="HZ288" s="66"/>
      <c r="IA288" s="66"/>
    </row>
    <row r="289" spans="1:235" customFormat="1" ht="16.5" customHeight="1">
      <c r="A289" s="1"/>
      <c r="B289" s="3"/>
      <c r="C289" s="3"/>
      <c r="D289" s="532"/>
      <c r="E289" s="532"/>
      <c r="F289" s="532"/>
      <c r="G289" s="532"/>
      <c r="H289" s="532"/>
      <c r="I289" s="532"/>
      <c r="J289" s="532"/>
      <c r="K289" s="532"/>
      <c r="L289" s="532"/>
      <c r="M289" s="532"/>
      <c r="N289" s="532"/>
      <c r="O289" s="532"/>
      <c r="P289" s="532"/>
      <c r="Q289" s="532"/>
      <c r="R289" s="532"/>
      <c r="S289" s="532"/>
      <c r="T289" s="532"/>
      <c r="U289" s="532"/>
      <c r="V289" s="532"/>
      <c r="W289" s="532"/>
      <c r="X289" s="532"/>
      <c r="Y289" s="532"/>
      <c r="Z289" s="532"/>
      <c r="AA289" s="532"/>
      <c r="AB289" s="532"/>
      <c r="AC289" s="532"/>
      <c r="AD289" s="532"/>
      <c r="AE289" s="532"/>
      <c r="AF289" s="532"/>
      <c r="AG289" s="532"/>
      <c r="AH289" s="532"/>
      <c r="AI289" s="532"/>
      <c r="AJ289" s="532"/>
      <c r="AK289" s="532"/>
      <c r="AL289" s="532"/>
      <c r="AM289" s="532"/>
      <c r="AN289" s="532"/>
      <c r="AO289" s="532"/>
      <c r="AP289" s="532"/>
      <c r="AQ289" s="532"/>
      <c r="AR289" s="532"/>
      <c r="AS289" s="532"/>
      <c r="AT289" s="532"/>
      <c r="AU289" s="532"/>
      <c r="AV289" s="532"/>
      <c r="AW289" s="532"/>
      <c r="AX289" s="532"/>
      <c r="AY289" s="532"/>
      <c r="AZ289" s="532"/>
      <c r="BA289" s="532"/>
      <c r="BB289" s="532"/>
      <c r="BC289" s="532"/>
      <c r="BD289" s="532"/>
      <c r="BE289" s="532"/>
      <c r="BF289" s="532"/>
      <c r="BG289" s="532"/>
      <c r="BH289" s="532"/>
      <c r="BI289" s="532"/>
      <c r="BJ289" s="532"/>
      <c r="BK289" s="532"/>
      <c r="BL289" s="532"/>
      <c r="BM289" s="532"/>
      <c r="BN289" s="532"/>
      <c r="BO289" s="532"/>
      <c r="BP289" s="532"/>
      <c r="BQ289" s="532"/>
      <c r="BR289" s="532"/>
      <c r="BS289" s="532"/>
      <c r="BT289" s="532"/>
      <c r="BU289" s="532"/>
      <c r="BV289" s="532"/>
      <c r="BW289" s="532"/>
      <c r="BX289" s="532"/>
      <c r="BY289" s="532"/>
      <c r="BZ289" s="532"/>
      <c r="CA289" s="532"/>
      <c r="CB289" s="532"/>
      <c r="CC289" s="532"/>
      <c r="CD289" s="532"/>
      <c r="CE289" s="532"/>
      <c r="CF289" s="532"/>
      <c r="CG289" s="532"/>
      <c r="CH289" s="532"/>
      <c r="CI289" s="532"/>
      <c r="CJ289" s="532"/>
      <c r="CK289" s="532"/>
      <c r="CL289" s="532"/>
      <c r="CM289" s="532"/>
      <c r="CN289" s="532"/>
      <c r="CO289" s="532"/>
      <c r="CP289" s="532"/>
      <c r="CQ289" s="532"/>
      <c r="CR289" s="532"/>
      <c r="CS289" s="532"/>
      <c r="CT289" s="532"/>
      <c r="CU289" s="532"/>
      <c r="CV289" s="532"/>
      <c r="CW289" s="532"/>
      <c r="CX289" s="532"/>
      <c r="CY289" s="532"/>
      <c r="CZ289" s="532"/>
      <c r="DA289" s="532"/>
      <c r="DB289" s="532"/>
      <c r="DC289" s="532"/>
      <c r="DD289" s="532"/>
      <c r="DE289" s="532"/>
      <c r="DF289" s="532"/>
      <c r="DG289" s="532"/>
      <c r="DH289" s="532"/>
      <c r="DI289" s="532"/>
      <c r="DJ289" s="532"/>
      <c r="DK289" s="532"/>
      <c r="DL289" s="532"/>
      <c r="DM289" s="532"/>
      <c r="DN289" s="532"/>
      <c r="DO289" s="532"/>
      <c r="DP289" s="532"/>
      <c r="DQ289" s="532"/>
      <c r="DR289" s="532"/>
      <c r="DS289" s="532"/>
      <c r="DT289" s="532"/>
      <c r="DU289" s="532"/>
      <c r="DV289" s="532"/>
      <c r="DW289" s="532"/>
      <c r="DX289" s="532"/>
      <c r="DY289" s="532"/>
      <c r="DZ289" s="532"/>
      <c r="EA289" s="532"/>
      <c r="EB289" s="532"/>
      <c r="EC289" s="532"/>
      <c r="ED289" s="532"/>
      <c r="EE289" s="532"/>
      <c r="EF289" s="532"/>
      <c r="EG289" s="532"/>
      <c r="EH289" s="532"/>
      <c r="EI289" s="532"/>
      <c r="EJ289" s="532"/>
      <c r="EK289" s="532"/>
      <c r="EL289" s="532"/>
      <c r="EM289" s="532"/>
      <c r="EN289" s="532"/>
      <c r="EO289" s="532"/>
      <c r="EP289" s="532"/>
      <c r="EQ289" s="532"/>
      <c r="ER289" s="532"/>
      <c r="ES289" s="532"/>
      <c r="ET289" s="532"/>
      <c r="EU289" s="532"/>
      <c r="EV289" s="532"/>
      <c r="EW289" s="532"/>
      <c r="EX289" s="532"/>
      <c r="EY289" s="532"/>
      <c r="EZ289" s="532"/>
      <c r="FA289" s="532"/>
      <c r="FB289" s="532"/>
      <c r="FC289" s="532"/>
      <c r="FD289" s="532"/>
      <c r="FE289" s="532"/>
      <c r="FF289" s="532"/>
      <c r="FG289" s="532"/>
      <c r="FH289" s="532"/>
      <c r="FI289" s="532"/>
      <c r="FJ289" s="338"/>
      <c r="FK289" s="338"/>
      <c r="FL289" s="338"/>
      <c r="FM289" s="338"/>
      <c r="FN289" s="338"/>
      <c r="FO289" s="338"/>
      <c r="FP289" s="338"/>
      <c r="FQ289" s="338"/>
      <c r="FR289" s="338"/>
      <c r="FS289" s="338"/>
      <c r="FT289" s="338"/>
      <c r="FU289" s="338"/>
      <c r="FV289" s="338"/>
      <c r="FW289" s="49"/>
      <c r="FX289" s="49"/>
      <c r="FY289" s="259"/>
      <c r="FZ289" s="259"/>
      <c r="GA289" s="259"/>
      <c r="GB289" s="259"/>
      <c r="GC289" s="49"/>
      <c r="GD289" s="49"/>
      <c r="GE289" s="49"/>
      <c r="GF289" s="49"/>
      <c r="GG289" s="49"/>
      <c r="GH289" s="49"/>
      <c r="GI289" s="49"/>
      <c r="GJ289" s="49"/>
      <c r="GK289" s="49"/>
      <c r="GL289" s="49"/>
      <c r="GM289" s="49"/>
      <c r="GN289" s="49"/>
      <c r="GO289" s="49"/>
      <c r="GP289" s="49"/>
      <c r="GQ289" s="49"/>
      <c r="GR289" s="49"/>
      <c r="GS289" s="49"/>
      <c r="GT289" s="49"/>
      <c r="GU289" s="49"/>
      <c r="GV289" s="49"/>
      <c r="GW289" s="66"/>
      <c r="GX289" s="66"/>
      <c r="GY289" s="66"/>
      <c r="GZ289" s="66"/>
      <c r="HA289" s="66"/>
      <c r="HB289" s="66"/>
      <c r="HC289" s="66"/>
      <c r="HD289" s="66"/>
      <c r="HE289" s="66"/>
      <c r="HF289" s="66"/>
      <c r="HG289" s="66"/>
      <c r="HH289" s="66"/>
      <c r="HI289" s="66"/>
      <c r="HJ289" s="66"/>
      <c r="HK289" s="66"/>
      <c r="HL289" s="66"/>
      <c r="HM289" s="66"/>
      <c r="HN289" s="66"/>
      <c r="HO289" s="66"/>
      <c r="HP289" s="66"/>
      <c r="HQ289" s="66"/>
      <c r="HR289" s="66"/>
      <c r="HS289" s="66"/>
      <c r="HT289" s="66"/>
      <c r="HU289" s="66"/>
      <c r="HV289" s="66"/>
      <c r="HW289" s="66"/>
      <c r="HX289" s="66"/>
      <c r="HY289" s="66"/>
      <c r="HZ289" s="66"/>
      <c r="IA289" s="66"/>
    </row>
    <row r="290" spans="1:235" customFormat="1" ht="16.5" customHeight="1">
      <c r="A290" s="1"/>
      <c r="B290" s="3"/>
      <c r="C290" s="3"/>
      <c r="D290" s="532"/>
      <c r="E290" s="532"/>
      <c r="F290" s="532"/>
      <c r="G290" s="532"/>
      <c r="H290" s="532"/>
      <c r="I290" s="532"/>
      <c r="J290" s="532"/>
      <c r="K290" s="532"/>
      <c r="L290" s="532"/>
      <c r="M290" s="532"/>
      <c r="N290" s="532"/>
      <c r="O290" s="532"/>
      <c r="P290" s="532"/>
      <c r="Q290" s="532"/>
      <c r="R290" s="532"/>
      <c r="S290" s="532"/>
      <c r="T290" s="532"/>
      <c r="U290" s="532"/>
      <c r="V290" s="532"/>
      <c r="W290" s="532"/>
      <c r="X290" s="532"/>
      <c r="Y290" s="532"/>
      <c r="Z290" s="532"/>
      <c r="AA290" s="532"/>
      <c r="AB290" s="532"/>
      <c r="AC290" s="532"/>
      <c r="AD290" s="532"/>
      <c r="AE290" s="532"/>
      <c r="AF290" s="532"/>
      <c r="AG290" s="532"/>
      <c r="AH290" s="532"/>
      <c r="AI290" s="532"/>
      <c r="AJ290" s="532"/>
      <c r="AK290" s="532"/>
      <c r="AL290" s="532"/>
      <c r="AM290" s="532"/>
      <c r="AN290" s="532"/>
      <c r="AO290" s="532"/>
      <c r="AP290" s="532"/>
      <c r="AQ290" s="532"/>
      <c r="AR290" s="532"/>
      <c r="AS290" s="532"/>
      <c r="AT290" s="532"/>
      <c r="AU290" s="532"/>
      <c r="AV290" s="532"/>
      <c r="AW290" s="532"/>
      <c r="AX290" s="532"/>
      <c r="AY290" s="532"/>
      <c r="AZ290" s="532"/>
      <c r="BA290" s="532"/>
      <c r="BB290" s="532"/>
      <c r="BC290" s="532"/>
      <c r="BD290" s="532"/>
      <c r="BE290" s="532"/>
      <c r="BF290" s="532"/>
      <c r="BG290" s="532"/>
      <c r="BH290" s="532"/>
      <c r="BI290" s="532"/>
      <c r="BJ290" s="532"/>
      <c r="BK290" s="532"/>
      <c r="BL290" s="532"/>
      <c r="BM290" s="532"/>
      <c r="BN290" s="532"/>
      <c r="BO290" s="532"/>
      <c r="BP290" s="532"/>
      <c r="BQ290" s="532"/>
      <c r="BR290" s="532"/>
      <c r="BS290" s="532"/>
      <c r="BT290" s="532"/>
      <c r="BU290" s="532"/>
      <c r="BV290" s="532"/>
      <c r="BW290" s="532"/>
      <c r="BX290" s="532"/>
      <c r="BY290" s="532"/>
      <c r="BZ290" s="532"/>
      <c r="CA290" s="532"/>
      <c r="CB290" s="532"/>
      <c r="CC290" s="532"/>
      <c r="CD290" s="532"/>
      <c r="CE290" s="532"/>
      <c r="CF290" s="532"/>
      <c r="CG290" s="532"/>
      <c r="CH290" s="532"/>
      <c r="CI290" s="532"/>
      <c r="CJ290" s="532"/>
      <c r="CK290" s="532"/>
      <c r="CL290" s="532"/>
      <c r="CM290" s="532"/>
      <c r="CN290" s="532"/>
      <c r="CO290" s="532"/>
      <c r="CP290" s="532"/>
      <c r="CQ290" s="532"/>
      <c r="CR290" s="532"/>
      <c r="CS290" s="532"/>
      <c r="CT290" s="532"/>
      <c r="CU290" s="532"/>
      <c r="CV290" s="532"/>
      <c r="CW290" s="532"/>
      <c r="CX290" s="532"/>
      <c r="CY290" s="532"/>
      <c r="CZ290" s="532"/>
      <c r="DA290" s="532"/>
      <c r="DB290" s="532"/>
      <c r="DC290" s="532"/>
      <c r="DD290" s="532"/>
      <c r="DE290" s="532"/>
      <c r="DF290" s="532"/>
      <c r="DG290" s="532"/>
      <c r="DH290" s="532"/>
      <c r="DI290" s="532"/>
      <c r="DJ290" s="532"/>
      <c r="DK290" s="532"/>
      <c r="DL290" s="532"/>
      <c r="DM290" s="532"/>
      <c r="DN290" s="532"/>
      <c r="DO290" s="532"/>
      <c r="DP290" s="532"/>
      <c r="DQ290" s="532"/>
      <c r="DR290" s="532"/>
      <c r="DS290" s="532"/>
      <c r="DT290" s="532"/>
      <c r="DU290" s="532"/>
      <c r="DV290" s="532"/>
      <c r="DW290" s="532"/>
      <c r="DX290" s="532"/>
      <c r="DY290" s="532"/>
      <c r="DZ290" s="532"/>
      <c r="EA290" s="532"/>
      <c r="EB290" s="532"/>
      <c r="EC290" s="532"/>
      <c r="ED290" s="532"/>
      <c r="EE290" s="532"/>
      <c r="EF290" s="532"/>
      <c r="EG290" s="532"/>
      <c r="EH290" s="532"/>
      <c r="EI290" s="532"/>
      <c r="EJ290" s="532"/>
      <c r="EK290" s="532"/>
      <c r="EL290" s="532"/>
      <c r="EM290" s="532"/>
      <c r="EN290" s="532"/>
      <c r="EO290" s="532"/>
      <c r="EP290" s="532"/>
      <c r="EQ290" s="532"/>
      <c r="ER290" s="532"/>
      <c r="ES290" s="532"/>
      <c r="ET290" s="532"/>
      <c r="EU290" s="532"/>
      <c r="EV290" s="532"/>
      <c r="EW290" s="532"/>
      <c r="EX290" s="532"/>
      <c r="EY290" s="532"/>
      <c r="EZ290" s="532"/>
      <c r="FA290" s="532"/>
      <c r="FB290" s="532"/>
      <c r="FC290" s="532"/>
      <c r="FD290" s="532"/>
      <c r="FE290" s="532"/>
      <c r="FF290" s="532"/>
      <c r="FG290" s="532"/>
      <c r="FH290" s="532"/>
      <c r="FI290" s="532"/>
      <c r="FJ290" s="338"/>
      <c r="FK290" s="338"/>
      <c r="FL290" s="338"/>
      <c r="FM290" s="338"/>
      <c r="FN290" s="338"/>
      <c r="FO290" s="338"/>
      <c r="FP290" s="338"/>
      <c r="FQ290" s="338"/>
      <c r="FR290" s="338"/>
      <c r="FS290" s="338"/>
      <c r="FT290" s="338"/>
      <c r="FU290" s="338"/>
      <c r="FV290" s="338"/>
      <c r="FW290" s="49"/>
      <c r="FX290" s="49"/>
      <c r="FY290" s="259"/>
      <c r="FZ290" s="259"/>
      <c r="GA290" s="259"/>
      <c r="GB290" s="259"/>
      <c r="GC290" s="49"/>
      <c r="GD290" s="49"/>
      <c r="GE290" s="49"/>
      <c r="GF290" s="49"/>
      <c r="GG290" s="49"/>
      <c r="GH290" s="49"/>
      <c r="GI290" s="49"/>
      <c r="GJ290" s="49"/>
      <c r="GK290" s="49"/>
      <c r="GL290" s="49"/>
      <c r="GM290" s="49"/>
      <c r="GN290" s="49"/>
      <c r="GO290" s="49"/>
      <c r="GP290" s="49"/>
      <c r="GQ290" s="49"/>
      <c r="GR290" s="49"/>
      <c r="GS290" s="49"/>
      <c r="GT290" s="49"/>
      <c r="GU290" s="49"/>
      <c r="GV290" s="49"/>
      <c r="GW290" s="66"/>
      <c r="GX290" s="66"/>
      <c r="GY290" s="66"/>
      <c r="GZ290" s="66"/>
      <c r="HA290" s="66"/>
      <c r="HB290" s="66"/>
      <c r="HC290" s="66"/>
      <c r="HD290" s="66"/>
      <c r="HE290" s="66"/>
      <c r="HF290" s="66"/>
      <c r="HG290" s="66"/>
      <c r="HH290" s="66"/>
      <c r="HI290" s="66"/>
      <c r="HJ290" s="66"/>
      <c r="HK290" s="66"/>
      <c r="HL290" s="66"/>
      <c r="HM290" s="66"/>
      <c r="HN290" s="66"/>
      <c r="HO290" s="66"/>
      <c r="HP290" s="66"/>
      <c r="HQ290" s="66"/>
      <c r="HR290" s="66"/>
      <c r="HS290" s="66"/>
      <c r="HT290" s="66"/>
      <c r="HU290" s="66"/>
      <c r="HV290" s="66"/>
      <c r="HW290" s="66"/>
      <c r="HX290" s="66"/>
      <c r="HY290" s="66"/>
      <c r="HZ290" s="66"/>
      <c r="IA290" s="66"/>
    </row>
    <row r="291" spans="1:235" customFormat="1" ht="16.5" customHeight="1">
      <c r="A291" s="1"/>
      <c r="B291" s="3"/>
      <c r="C291" s="3"/>
      <c r="D291" s="532"/>
      <c r="E291" s="532"/>
      <c r="F291" s="532"/>
      <c r="G291" s="532"/>
      <c r="H291" s="532"/>
      <c r="I291" s="532"/>
      <c r="J291" s="532"/>
      <c r="K291" s="532"/>
      <c r="L291" s="532"/>
      <c r="M291" s="532"/>
      <c r="N291" s="532"/>
      <c r="O291" s="532"/>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c r="AM291" s="532"/>
      <c r="AN291" s="532"/>
      <c r="AO291" s="532"/>
      <c r="AP291" s="532"/>
      <c r="AQ291" s="532"/>
      <c r="AR291" s="532"/>
      <c r="AS291" s="532"/>
      <c r="AT291" s="532"/>
      <c r="AU291" s="532"/>
      <c r="AV291" s="532"/>
      <c r="AW291" s="532"/>
      <c r="AX291" s="532"/>
      <c r="AY291" s="532"/>
      <c r="AZ291" s="532"/>
      <c r="BA291" s="532"/>
      <c r="BB291" s="532"/>
      <c r="BC291" s="532"/>
      <c r="BD291" s="532"/>
      <c r="BE291" s="532"/>
      <c r="BF291" s="532"/>
      <c r="BG291" s="532"/>
      <c r="BH291" s="532"/>
      <c r="BI291" s="532"/>
      <c r="BJ291" s="532"/>
      <c r="BK291" s="532"/>
      <c r="BL291" s="532"/>
      <c r="BM291" s="532"/>
      <c r="BN291" s="532"/>
      <c r="BO291" s="532"/>
      <c r="BP291" s="532"/>
      <c r="BQ291" s="532"/>
      <c r="BR291" s="532"/>
      <c r="BS291" s="532"/>
      <c r="BT291" s="532"/>
      <c r="BU291" s="532"/>
      <c r="BV291" s="532"/>
      <c r="BW291" s="532"/>
      <c r="BX291" s="532"/>
      <c r="BY291" s="532"/>
      <c r="BZ291" s="532"/>
      <c r="CA291" s="532"/>
      <c r="CB291" s="532"/>
      <c r="CC291" s="532"/>
      <c r="CD291" s="532"/>
      <c r="CE291" s="532"/>
      <c r="CF291" s="532"/>
      <c r="CG291" s="532"/>
      <c r="CH291" s="532"/>
      <c r="CI291" s="532"/>
      <c r="CJ291" s="532"/>
      <c r="CK291" s="532"/>
      <c r="CL291" s="532"/>
      <c r="CM291" s="532"/>
      <c r="CN291" s="532"/>
      <c r="CO291" s="532"/>
      <c r="CP291" s="532"/>
      <c r="CQ291" s="532"/>
      <c r="CR291" s="532"/>
      <c r="CS291" s="532"/>
      <c r="CT291" s="532"/>
      <c r="CU291" s="532"/>
      <c r="CV291" s="532"/>
      <c r="CW291" s="532"/>
      <c r="CX291" s="532"/>
      <c r="CY291" s="532"/>
      <c r="CZ291" s="532"/>
      <c r="DA291" s="532"/>
      <c r="DB291" s="532"/>
      <c r="DC291" s="532"/>
      <c r="DD291" s="532"/>
      <c r="DE291" s="532"/>
      <c r="DF291" s="532"/>
      <c r="DG291" s="532"/>
      <c r="DH291" s="532"/>
      <c r="DI291" s="532"/>
      <c r="DJ291" s="532"/>
      <c r="DK291" s="532"/>
      <c r="DL291" s="532"/>
      <c r="DM291" s="532"/>
      <c r="DN291" s="532"/>
      <c r="DO291" s="532"/>
      <c r="DP291" s="532"/>
      <c r="DQ291" s="532"/>
      <c r="DR291" s="532"/>
      <c r="DS291" s="532"/>
      <c r="DT291" s="532"/>
      <c r="DU291" s="532"/>
      <c r="DV291" s="532"/>
      <c r="DW291" s="532"/>
      <c r="DX291" s="532"/>
      <c r="DY291" s="532"/>
      <c r="DZ291" s="532"/>
      <c r="EA291" s="532"/>
      <c r="EB291" s="532"/>
      <c r="EC291" s="532"/>
      <c r="ED291" s="532"/>
      <c r="EE291" s="532"/>
      <c r="EF291" s="532"/>
      <c r="EG291" s="532"/>
      <c r="EH291" s="532"/>
      <c r="EI291" s="532"/>
      <c r="EJ291" s="532"/>
      <c r="EK291" s="532"/>
      <c r="EL291" s="532"/>
      <c r="EM291" s="532"/>
      <c r="EN291" s="532"/>
      <c r="EO291" s="532"/>
      <c r="EP291" s="532"/>
      <c r="EQ291" s="532"/>
      <c r="ER291" s="532"/>
      <c r="ES291" s="532"/>
      <c r="ET291" s="532"/>
      <c r="EU291" s="532"/>
      <c r="EV291" s="532"/>
      <c r="EW291" s="532"/>
      <c r="EX291" s="532"/>
      <c r="EY291" s="532"/>
      <c r="EZ291" s="532"/>
      <c r="FA291" s="532"/>
      <c r="FB291" s="532"/>
      <c r="FC291" s="532"/>
      <c r="FD291" s="532"/>
      <c r="FE291" s="532"/>
      <c r="FF291" s="532"/>
      <c r="FG291" s="532"/>
      <c r="FH291" s="532"/>
      <c r="FI291" s="532"/>
      <c r="FJ291" s="338"/>
      <c r="FK291" s="338"/>
      <c r="FL291" s="338"/>
      <c r="FM291" s="338"/>
      <c r="FN291" s="338"/>
      <c r="FO291" s="338"/>
      <c r="FP291" s="338"/>
      <c r="FQ291" s="338"/>
      <c r="FR291" s="338"/>
      <c r="FS291" s="338"/>
      <c r="FT291" s="338"/>
      <c r="FU291" s="338"/>
      <c r="FV291" s="338"/>
      <c r="FW291" s="49"/>
      <c r="FX291" s="49"/>
      <c r="FY291" s="259"/>
      <c r="FZ291" s="259"/>
      <c r="GA291" s="259"/>
      <c r="GB291" s="259"/>
      <c r="GC291" s="49"/>
      <c r="GD291" s="49"/>
      <c r="GE291" s="49"/>
      <c r="GF291" s="49"/>
      <c r="GG291" s="49"/>
      <c r="GH291" s="49"/>
      <c r="GI291" s="49"/>
      <c r="GJ291" s="49"/>
      <c r="GK291" s="49"/>
      <c r="GL291" s="49"/>
      <c r="GM291" s="49"/>
      <c r="GN291" s="49"/>
      <c r="GO291" s="49"/>
      <c r="GP291" s="49"/>
      <c r="GQ291" s="49"/>
      <c r="GR291" s="49"/>
      <c r="GS291" s="49"/>
      <c r="GT291" s="49"/>
      <c r="GU291" s="49"/>
      <c r="GV291" s="49"/>
      <c r="GW291" s="66"/>
      <c r="GX291" s="66"/>
      <c r="GY291" s="66"/>
      <c r="GZ291" s="66"/>
      <c r="HA291" s="66"/>
      <c r="HB291" s="66"/>
      <c r="HC291" s="66"/>
      <c r="HD291" s="66"/>
      <c r="HE291" s="66"/>
      <c r="HF291" s="66"/>
      <c r="HG291" s="66"/>
      <c r="HH291" s="66"/>
      <c r="HI291" s="66"/>
      <c r="HJ291" s="66"/>
      <c r="HK291" s="66"/>
      <c r="HL291" s="66"/>
      <c r="HM291" s="66"/>
      <c r="HN291" s="66"/>
      <c r="HO291" s="66"/>
      <c r="HP291" s="66"/>
      <c r="HQ291" s="66"/>
      <c r="HR291" s="66"/>
      <c r="HS291" s="66"/>
      <c r="HT291" s="66"/>
      <c r="HU291" s="66"/>
      <c r="HV291" s="66"/>
      <c r="HW291" s="66"/>
      <c r="HX291" s="66"/>
      <c r="HY291" s="66"/>
      <c r="HZ291" s="66"/>
      <c r="IA291" s="66"/>
    </row>
    <row r="292" spans="1:235" customFormat="1" ht="16.5" customHeight="1">
      <c r="A292" s="1"/>
      <c r="B292" s="3"/>
      <c r="C292" s="3"/>
      <c r="D292" s="532"/>
      <c r="E292" s="532"/>
      <c r="F292" s="532"/>
      <c r="G292" s="532"/>
      <c r="H292" s="532"/>
      <c r="I292" s="532"/>
      <c r="J292" s="532"/>
      <c r="K292" s="532"/>
      <c r="L292" s="532"/>
      <c r="M292" s="532"/>
      <c r="N292" s="532"/>
      <c r="O292" s="532"/>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c r="AM292" s="532"/>
      <c r="AN292" s="532"/>
      <c r="AO292" s="532"/>
      <c r="AP292" s="532"/>
      <c r="AQ292" s="532"/>
      <c r="AR292" s="532"/>
      <c r="AS292" s="532"/>
      <c r="AT292" s="532"/>
      <c r="AU292" s="532"/>
      <c r="AV292" s="532"/>
      <c r="AW292" s="532"/>
      <c r="AX292" s="532"/>
      <c r="AY292" s="532"/>
      <c r="AZ292" s="532"/>
      <c r="BA292" s="532"/>
      <c r="BB292" s="532"/>
      <c r="BC292" s="532"/>
      <c r="BD292" s="532"/>
      <c r="BE292" s="532"/>
      <c r="BF292" s="532"/>
      <c r="BG292" s="532"/>
      <c r="BH292" s="532"/>
      <c r="BI292" s="532"/>
      <c r="BJ292" s="532"/>
      <c r="BK292" s="532"/>
      <c r="BL292" s="532"/>
      <c r="BM292" s="532"/>
      <c r="BN292" s="532"/>
      <c r="BO292" s="532"/>
      <c r="BP292" s="532"/>
      <c r="BQ292" s="532"/>
      <c r="BR292" s="532"/>
      <c r="BS292" s="532"/>
      <c r="BT292" s="532"/>
      <c r="BU292" s="532"/>
      <c r="BV292" s="532"/>
      <c r="BW292" s="532"/>
      <c r="BX292" s="532"/>
      <c r="BY292" s="532"/>
      <c r="BZ292" s="532"/>
      <c r="CA292" s="532"/>
      <c r="CB292" s="532"/>
      <c r="CC292" s="532"/>
      <c r="CD292" s="532"/>
      <c r="CE292" s="532"/>
      <c r="CF292" s="532"/>
      <c r="CG292" s="532"/>
      <c r="CH292" s="532"/>
      <c r="CI292" s="532"/>
      <c r="CJ292" s="532"/>
      <c r="CK292" s="532"/>
      <c r="CL292" s="532"/>
      <c r="CM292" s="532"/>
      <c r="CN292" s="532"/>
      <c r="CO292" s="532"/>
      <c r="CP292" s="532"/>
      <c r="CQ292" s="532"/>
      <c r="CR292" s="532"/>
      <c r="CS292" s="532"/>
      <c r="CT292" s="532"/>
      <c r="CU292" s="532"/>
      <c r="CV292" s="532"/>
      <c r="CW292" s="532"/>
      <c r="CX292" s="532"/>
      <c r="CY292" s="532"/>
      <c r="CZ292" s="532"/>
      <c r="DA292" s="532"/>
      <c r="DB292" s="532"/>
      <c r="DC292" s="532"/>
      <c r="DD292" s="532"/>
      <c r="DE292" s="532"/>
      <c r="DF292" s="532"/>
      <c r="DG292" s="532"/>
      <c r="DH292" s="532"/>
      <c r="DI292" s="532"/>
      <c r="DJ292" s="532"/>
      <c r="DK292" s="532"/>
      <c r="DL292" s="532"/>
      <c r="DM292" s="532"/>
      <c r="DN292" s="532"/>
      <c r="DO292" s="532"/>
      <c r="DP292" s="532"/>
      <c r="DQ292" s="532"/>
      <c r="DR292" s="532"/>
      <c r="DS292" s="532"/>
      <c r="DT292" s="532"/>
      <c r="DU292" s="532"/>
      <c r="DV292" s="532"/>
      <c r="DW292" s="532"/>
      <c r="DX292" s="532"/>
      <c r="DY292" s="532"/>
      <c r="DZ292" s="532"/>
      <c r="EA292" s="532"/>
      <c r="EB292" s="532"/>
      <c r="EC292" s="532"/>
      <c r="ED292" s="532"/>
      <c r="EE292" s="532"/>
      <c r="EF292" s="532"/>
      <c r="EG292" s="532"/>
      <c r="EH292" s="532"/>
      <c r="EI292" s="532"/>
      <c r="EJ292" s="532"/>
      <c r="EK292" s="532"/>
      <c r="EL292" s="532"/>
      <c r="EM292" s="532"/>
      <c r="EN292" s="532"/>
      <c r="EO292" s="532"/>
      <c r="EP292" s="532"/>
      <c r="EQ292" s="532"/>
      <c r="ER292" s="532"/>
      <c r="ES292" s="532"/>
      <c r="ET292" s="532"/>
      <c r="EU292" s="532"/>
      <c r="EV292" s="532"/>
      <c r="EW292" s="532"/>
      <c r="EX292" s="532"/>
      <c r="EY292" s="532"/>
      <c r="EZ292" s="532"/>
      <c r="FA292" s="532"/>
      <c r="FB292" s="532"/>
      <c r="FC292" s="532"/>
      <c r="FD292" s="532"/>
      <c r="FE292" s="532"/>
      <c r="FF292" s="532"/>
      <c r="FG292" s="532"/>
      <c r="FH292" s="532"/>
      <c r="FI292" s="532"/>
      <c r="FJ292" s="338"/>
      <c r="FK292" s="338"/>
      <c r="FL292" s="338"/>
      <c r="FM292" s="338"/>
      <c r="FN292" s="338"/>
      <c r="FO292" s="338"/>
      <c r="FP292" s="338"/>
      <c r="FQ292" s="338"/>
      <c r="FR292" s="338"/>
      <c r="FS292" s="338"/>
      <c r="FT292" s="338"/>
      <c r="FU292" s="338"/>
      <c r="FV292" s="338"/>
      <c r="FW292" s="49"/>
      <c r="FX292" s="49"/>
      <c r="FY292" s="259"/>
      <c r="FZ292" s="259"/>
      <c r="GA292" s="259"/>
      <c r="GB292" s="259"/>
      <c r="GC292" s="49"/>
      <c r="GD292" s="49"/>
      <c r="GE292" s="49"/>
      <c r="GF292" s="49"/>
      <c r="GG292" s="49"/>
      <c r="GH292" s="49"/>
      <c r="GI292" s="49"/>
      <c r="GJ292" s="49"/>
      <c r="GK292" s="49"/>
      <c r="GL292" s="49"/>
      <c r="GM292" s="49"/>
      <c r="GN292" s="49"/>
      <c r="GO292" s="49"/>
      <c r="GP292" s="49"/>
      <c r="GQ292" s="49"/>
      <c r="GR292" s="49"/>
      <c r="GS292" s="49"/>
      <c r="GT292" s="49"/>
      <c r="GU292" s="49"/>
      <c r="GV292" s="49"/>
      <c r="GW292" s="66"/>
      <c r="GX292" s="66"/>
      <c r="GY292" s="66"/>
      <c r="GZ292" s="66"/>
      <c r="HA292" s="66"/>
      <c r="HB292" s="66"/>
      <c r="HC292" s="66"/>
      <c r="HD292" s="66"/>
      <c r="HE292" s="66"/>
      <c r="HF292" s="66"/>
      <c r="HG292" s="66"/>
      <c r="HH292" s="66"/>
      <c r="HI292" s="66"/>
      <c r="HJ292" s="66"/>
      <c r="HK292" s="66"/>
      <c r="HL292" s="66"/>
      <c r="HM292" s="66"/>
      <c r="HN292" s="66"/>
      <c r="HO292" s="66"/>
      <c r="HP292" s="66"/>
      <c r="HQ292" s="66"/>
      <c r="HR292" s="66"/>
      <c r="HS292" s="66"/>
      <c r="HT292" s="66"/>
      <c r="HU292" s="66"/>
      <c r="HV292" s="66"/>
      <c r="HW292" s="66"/>
      <c r="HX292" s="66"/>
      <c r="HY292" s="66"/>
      <c r="HZ292" s="66"/>
      <c r="IA292" s="66"/>
    </row>
    <row r="293" spans="1:235" customFormat="1" ht="16.5" customHeight="1">
      <c r="A293" s="1"/>
      <c r="B293" s="3"/>
      <c r="C293" s="3"/>
      <c r="D293" s="532"/>
      <c r="E293" s="532"/>
      <c r="F293" s="532"/>
      <c r="G293" s="532"/>
      <c r="H293" s="532"/>
      <c r="I293" s="532"/>
      <c r="J293" s="532"/>
      <c r="K293" s="532"/>
      <c r="L293" s="532"/>
      <c r="M293" s="532"/>
      <c r="N293" s="532"/>
      <c r="O293" s="532"/>
      <c r="P293" s="532"/>
      <c r="Q293" s="532"/>
      <c r="R293" s="532"/>
      <c r="S293" s="532"/>
      <c r="T293" s="532"/>
      <c r="U293" s="532"/>
      <c r="V293" s="532"/>
      <c r="W293" s="532"/>
      <c r="X293" s="532"/>
      <c r="Y293" s="532"/>
      <c r="Z293" s="532"/>
      <c r="AA293" s="532"/>
      <c r="AB293" s="532"/>
      <c r="AC293" s="532"/>
      <c r="AD293" s="532"/>
      <c r="AE293" s="532"/>
      <c r="AF293" s="532"/>
      <c r="AG293" s="532"/>
      <c r="AH293" s="532"/>
      <c r="AI293" s="532"/>
      <c r="AJ293" s="532"/>
      <c r="AK293" s="532"/>
      <c r="AL293" s="532"/>
      <c r="AM293" s="532"/>
      <c r="AN293" s="532"/>
      <c r="AO293" s="532"/>
      <c r="AP293" s="532"/>
      <c r="AQ293" s="532"/>
      <c r="AR293" s="532"/>
      <c r="AS293" s="532"/>
      <c r="AT293" s="532"/>
      <c r="AU293" s="532"/>
      <c r="AV293" s="532"/>
      <c r="AW293" s="532"/>
      <c r="AX293" s="532"/>
      <c r="AY293" s="532"/>
      <c r="AZ293" s="532"/>
      <c r="BA293" s="532"/>
      <c r="BB293" s="532"/>
      <c r="BC293" s="532"/>
      <c r="BD293" s="532"/>
      <c r="BE293" s="532"/>
      <c r="BF293" s="532"/>
      <c r="BG293" s="532"/>
      <c r="BH293" s="532"/>
      <c r="BI293" s="532"/>
      <c r="BJ293" s="532"/>
      <c r="BK293" s="532"/>
      <c r="BL293" s="532"/>
      <c r="BM293" s="532"/>
      <c r="BN293" s="532"/>
      <c r="BO293" s="532"/>
      <c r="BP293" s="532"/>
      <c r="BQ293" s="532"/>
      <c r="BR293" s="532"/>
      <c r="BS293" s="532"/>
      <c r="BT293" s="532"/>
      <c r="BU293" s="532"/>
      <c r="BV293" s="532"/>
      <c r="BW293" s="532"/>
      <c r="BX293" s="532"/>
      <c r="BY293" s="532"/>
      <c r="BZ293" s="532"/>
      <c r="CA293" s="532"/>
      <c r="CB293" s="532"/>
      <c r="CC293" s="532"/>
      <c r="CD293" s="532"/>
      <c r="CE293" s="532"/>
      <c r="CF293" s="532"/>
      <c r="CG293" s="532"/>
      <c r="CH293" s="532"/>
      <c r="CI293" s="532"/>
      <c r="CJ293" s="532"/>
      <c r="CK293" s="532"/>
      <c r="CL293" s="532"/>
      <c r="CM293" s="532"/>
      <c r="CN293" s="532"/>
      <c r="CO293" s="532"/>
      <c r="CP293" s="532"/>
      <c r="CQ293" s="532"/>
      <c r="CR293" s="532"/>
      <c r="CS293" s="532"/>
      <c r="CT293" s="532"/>
      <c r="CU293" s="532"/>
      <c r="CV293" s="532"/>
      <c r="CW293" s="532"/>
      <c r="CX293" s="532"/>
      <c r="CY293" s="532"/>
      <c r="CZ293" s="532"/>
      <c r="DA293" s="532"/>
      <c r="DB293" s="532"/>
      <c r="DC293" s="532"/>
      <c r="DD293" s="532"/>
      <c r="DE293" s="532"/>
      <c r="DF293" s="532"/>
      <c r="DG293" s="532"/>
      <c r="DH293" s="532"/>
      <c r="DI293" s="532"/>
      <c r="DJ293" s="532"/>
      <c r="DK293" s="532"/>
      <c r="DL293" s="532"/>
      <c r="DM293" s="532"/>
      <c r="DN293" s="532"/>
      <c r="DO293" s="532"/>
      <c r="DP293" s="532"/>
      <c r="DQ293" s="532"/>
      <c r="DR293" s="532"/>
      <c r="DS293" s="532"/>
      <c r="DT293" s="532"/>
      <c r="DU293" s="532"/>
      <c r="DV293" s="532"/>
      <c r="DW293" s="532"/>
      <c r="DX293" s="532"/>
      <c r="DY293" s="532"/>
      <c r="DZ293" s="532"/>
      <c r="EA293" s="532"/>
      <c r="EB293" s="532"/>
      <c r="EC293" s="532"/>
      <c r="ED293" s="532"/>
      <c r="EE293" s="532"/>
      <c r="EF293" s="532"/>
      <c r="EG293" s="532"/>
      <c r="EH293" s="532"/>
      <c r="EI293" s="532"/>
      <c r="EJ293" s="532"/>
      <c r="EK293" s="532"/>
      <c r="EL293" s="532"/>
      <c r="EM293" s="532"/>
      <c r="EN293" s="532"/>
      <c r="EO293" s="532"/>
      <c r="EP293" s="532"/>
      <c r="EQ293" s="532"/>
      <c r="ER293" s="532"/>
      <c r="ES293" s="532"/>
      <c r="ET293" s="532"/>
      <c r="EU293" s="532"/>
      <c r="EV293" s="532"/>
      <c r="EW293" s="532"/>
      <c r="EX293" s="532"/>
      <c r="EY293" s="532"/>
      <c r="EZ293" s="532"/>
      <c r="FA293" s="532"/>
      <c r="FB293" s="532"/>
      <c r="FC293" s="532"/>
      <c r="FD293" s="532"/>
      <c r="FE293" s="532"/>
      <c r="FF293" s="532"/>
      <c r="FG293" s="532"/>
      <c r="FH293" s="532"/>
      <c r="FI293" s="532"/>
      <c r="FJ293" s="338"/>
      <c r="FK293" s="338"/>
      <c r="FL293" s="338"/>
      <c r="FM293" s="338"/>
      <c r="FN293" s="338"/>
      <c r="FO293" s="338"/>
      <c r="FP293" s="338"/>
      <c r="FQ293" s="338"/>
      <c r="FR293" s="338"/>
      <c r="FS293" s="338"/>
      <c r="FT293" s="338"/>
      <c r="FU293" s="338"/>
      <c r="FV293" s="338"/>
      <c r="FW293" s="49"/>
      <c r="FX293" s="49"/>
      <c r="FY293" s="259"/>
      <c r="FZ293" s="259"/>
      <c r="GA293" s="259"/>
      <c r="GB293" s="259"/>
      <c r="GC293" s="49"/>
      <c r="GD293" s="49"/>
      <c r="GE293" s="49"/>
      <c r="GF293" s="49"/>
      <c r="GG293" s="49"/>
      <c r="GH293" s="49"/>
      <c r="GI293" s="49"/>
      <c r="GJ293" s="49"/>
      <c r="GK293" s="49"/>
      <c r="GL293" s="49"/>
      <c r="GM293" s="49"/>
      <c r="GN293" s="49"/>
      <c r="GO293" s="49"/>
      <c r="GP293" s="49"/>
      <c r="GQ293" s="49"/>
      <c r="GR293" s="49"/>
      <c r="GS293" s="49"/>
      <c r="GT293" s="49"/>
      <c r="GU293" s="49"/>
      <c r="GV293" s="49"/>
      <c r="GW293" s="66"/>
      <c r="GX293" s="66"/>
      <c r="GY293" s="66"/>
      <c r="GZ293" s="66"/>
      <c r="HA293" s="66"/>
      <c r="HB293" s="66"/>
      <c r="HC293" s="66"/>
      <c r="HD293" s="66"/>
      <c r="HE293" s="66"/>
      <c r="HF293" s="66"/>
      <c r="HG293" s="66"/>
      <c r="HH293" s="66"/>
      <c r="HI293" s="66"/>
      <c r="HJ293" s="66"/>
      <c r="HK293" s="66"/>
      <c r="HL293" s="66"/>
      <c r="HM293" s="66"/>
      <c r="HN293" s="66"/>
      <c r="HO293" s="66"/>
      <c r="HP293" s="66"/>
      <c r="HQ293" s="66"/>
      <c r="HR293" s="66"/>
      <c r="HS293" s="66"/>
      <c r="HT293" s="66"/>
      <c r="HU293" s="66"/>
      <c r="HV293" s="66"/>
      <c r="HW293" s="66"/>
      <c r="HX293" s="66"/>
      <c r="HY293" s="66"/>
      <c r="HZ293" s="66"/>
      <c r="IA293" s="66"/>
    </row>
    <row r="294" spans="1:235" customFormat="1" ht="9" customHeight="1">
      <c r="A294" s="1"/>
      <c r="B294" s="3"/>
      <c r="C294" s="3"/>
      <c r="D294" s="532"/>
      <c r="E294" s="532"/>
      <c r="F294" s="532"/>
      <c r="G294" s="532"/>
      <c r="H294" s="532"/>
      <c r="I294" s="532"/>
      <c r="J294" s="532"/>
      <c r="K294" s="532"/>
      <c r="L294" s="532"/>
      <c r="M294" s="532"/>
      <c r="N294" s="532"/>
      <c r="O294" s="532"/>
      <c r="P294" s="532"/>
      <c r="Q294" s="532"/>
      <c r="R294" s="532"/>
      <c r="S294" s="532"/>
      <c r="T294" s="532"/>
      <c r="U294" s="532"/>
      <c r="V294" s="532"/>
      <c r="W294" s="532"/>
      <c r="X294" s="532"/>
      <c r="Y294" s="532"/>
      <c r="Z294" s="532"/>
      <c r="AA294" s="532"/>
      <c r="AB294" s="532"/>
      <c r="AC294" s="532"/>
      <c r="AD294" s="532"/>
      <c r="AE294" s="532"/>
      <c r="AF294" s="532"/>
      <c r="AG294" s="532"/>
      <c r="AH294" s="532"/>
      <c r="AI294" s="532"/>
      <c r="AJ294" s="532"/>
      <c r="AK294" s="532"/>
      <c r="AL294" s="532"/>
      <c r="AM294" s="532"/>
      <c r="AN294" s="532"/>
      <c r="AO294" s="532"/>
      <c r="AP294" s="532"/>
      <c r="AQ294" s="532"/>
      <c r="AR294" s="532"/>
      <c r="AS294" s="532"/>
      <c r="AT294" s="532"/>
      <c r="AU294" s="532"/>
      <c r="AV294" s="532"/>
      <c r="AW294" s="532"/>
      <c r="AX294" s="532"/>
      <c r="AY294" s="532"/>
      <c r="AZ294" s="532"/>
      <c r="BA294" s="532"/>
      <c r="BB294" s="532"/>
      <c r="BC294" s="532"/>
      <c r="BD294" s="532"/>
      <c r="BE294" s="532"/>
      <c r="BF294" s="532"/>
      <c r="BG294" s="532"/>
      <c r="BH294" s="532"/>
      <c r="BI294" s="532"/>
      <c r="BJ294" s="532"/>
      <c r="BK294" s="532"/>
      <c r="BL294" s="532"/>
      <c r="BM294" s="532"/>
      <c r="BN294" s="532"/>
      <c r="BO294" s="532"/>
      <c r="BP294" s="532"/>
      <c r="BQ294" s="532"/>
      <c r="BR294" s="532"/>
      <c r="BS294" s="532"/>
      <c r="BT294" s="532"/>
      <c r="BU294" s="532"/>
      <c r="BV294" s="532"/>
      <c r="BW294" s="532"/>
      <c r="BX294" s="532"/>
      <c r="BY294" s="532"/>
      <c r="BZ294" s="532"/>
      <c r="CA294" s="532"/>
      <c r="CB294" s="532"/>
      <c r="CC294" s="532"/>
      <c r="CD294" s="532"/>
      <c r="CE294" s="532"/>
      <c r="CF294" s="532"/>
      <c r="CG294" s="532"/>
      <c r="CH294" s="532"/>
      <c r="CI294" s="532"/>
      <c r="CJ294" s="532"/>
      <c r="CK294" s="532"/>
      <c r="CL294" s="532"/>
      <c r="CM294" s="532"/>
      <c r="CN294" s="532"/>
      <c r="CO294" s="532"/>
      <c r="CP294" s="532"/>
      <c r="CQ294" s="532"/>
      <c r="CR294" s="532"/>
      <c r="CS294" s="532"/>
      <c r="CT294" s="532"/>
      <c r="CU294" s="532"/>
      <c r="CV294" s="532"/>
      <c r="CW294" s="532"/>
      <c r="CX294" s="532"/>
      <c r="CY294" s="532"/>
      <c r="CZ294" s="532"/>
      <c r="DA294" s="532"/>
      <c r="DB294" s="532"/>
      <c r="DC294" s="532"/>
      <c r="DD294" s="532"/>
      <c r="DE294" s="532"/>
      <c r="DF294" s="532"/>
      <c r="DG294" s="532"/>
      <c r="DH294" s="532"/>
      <c r="DI294" s="532"/>
      <c r="DJ294" s="532"/>
      <c r="DK294" s="532"/>
      <c r="DL294" s="532"/>
      <c r="DM294" s="532"/>
      <c r="DN294" s="532"/>
      <c r="DO294" s="532"/>
      <c r="DP294" s="532"/>
      <c r="DQ294" s="532"/>
      <c r="DR294" s="532"/>
      <c r="DS294" s="532"/>
      <c r="DT294" s="532"/>
      <c r="DU294" s="532"/>
      <c r="DV294" s="532"/>
      <c r="DW294" s="532"/>
      <c r="DX294" s="532"/>
      <c r="DY294" s="532"/>
      <c r="DZ294" s="532"/>
      <c r="EA294" s="532"/>
      <c r="EB294" s="532"/>
      <c r="EC294" s="532"/>
      <c r="ED294" s="532"/>
      <c r="EE294" s="532"/>
      <c r="EF294" s="532"/>
      <c r="EG294" s="532"/>
      <c r="EH294" s="532"/>
      <c r="EI294" s="532"/>
      <c r="EJ294" s="532"/>
      <c r="EK294" s="532"/>
      <c r="EL294" s="532"/>
      <c r="EM294" s="532"/>
      <c r="EN294" s="532"/>
      <c r="EO294" s="532"/>
      <c r="EP294" s="532"/>
      <c r="EQ294" s="532"/>
      <c r="ER294" s="532"/>
      <c r="ES294" s="532"/>
      <c r="ET294" s="532"/>
      <c r="EU294" s="532"/>
      <c r="EV294" s="532"/>
      <c r="EW294" s="532"/>
      <c r="EX294" s="532"/>
      <c r="EY294" s="532"/>
      <c r="EZ294" s="532"/>
      <c r="FA294" s="532"/>
      <c r="FB294" s="532"/>
      <c r="FC294" s="532"/>
      <c r="FD294" s="532"/>
      <c r="FE294" s="532"/>
      <c r="FF294" s="532"/>
      <c r="FG294" s="532"/>
      <c r="FH294" s="532"/>
      <c r="FI294" s="532"/>
      <c r="FJ294" s="338"/>
      <c r="FK294" s="338"/>
      <c r="FL294" s="338"/>
      <c r="FM294" s="338"/>
      <c r="FN294" s="338"/>
      <c r="FO294" s="338"/>
      <c r="FP294" s="338"/>
      <c r="FQ294" s="338"/>
      <c r="FR294" s="338"/>
      <c r="FS294" s="338"/>
      <c r="FT294" s="338"/>
      <c r="FU294" s="338"/>
      <c r="FV294" s="338"/>
      <c r="FW294" s="49"/>
      <c r="FX294" s="49"/>
      <c r="FY294" s="259"/>
      <c r="FZ294" s="259"/>
      <c r="GA294" s="259"/>
      <c r="GB294" s="259"/>
      <c r="GC294" s="49"/>
      <c r="GD294" s="49"/>
      <c r="GE294" s="49"/>
      <c r="GF294" s="49"/>
      <c r="GG294" s="49"/>
      <c r="GH294" s="49"/>
      <c r="GI294" s="49"/>
      <c r="GJ294" s="49"/>
      <c r="GK294" s="49"/>
      <c r="GL294" s="49"/>
      <c r="GM294" s="49"/>
      <c r="GN294" s="49"/>
      <c r="GO294" s="49"/>
      <c r="GP294" s="49"/>
      <c r="GQ294" s="49"/>
      <c r="GR294" s="49"/>
      <c r="GS294" s="49"/>
      <c r="GT294" s="49"/>
      <c r="GU294" s="49"/>
      <c r="GV294" s="49"/>
      <c r="GW294" s="66"/>
      <c r="GX294" s="66"/>
      <c r="GY294" s="66"/>
      <c r="GZ294" s="66"/>
      <c r="HA294" s="66"/>
      <c r="HB294" s="66"/>
      <c r="HC294" s="66"/>
      <c r="HD294" s="66"/>
      <c r="HE294" s="66"/>
      <c r="HF294" s="66"/>
      <c r="HG294" s="66"/>
      <c r="HH294" s="66"/>
      <c r="HI294" s="66"/>
      <c r="HJ294" s="66"/>
      <c r="HK294" s="66"/>
      <c r="HL294" s="66"/>
      <c r="HM294" s="66"/>
      <c r="HN294" s="66"/>
      <c r="HO294" s="66"/>
      <c r="HP294" s="66"/>
      <c r="HQ294" s="66"/>
      <c r="HR294" s="66"/>
      <c r="HS294" s="66"/>
      <c r="HT294" s="66"/>
      <c r="HU294" s="66"/>
      <c r="HV294" s="66"/>
      <c r="HW294" s="66"/>
      <c r="HX294" s="66"/>
      <c r="HY294" s="66"/>
      <c r="HZ294" s="66"/>
      <c r="IA294" s="66"/>
    </row>
    <row r="295" spans="1:235" customFormat="1" ht="9.75" customHeight="1">
      <c r="A295" s="1"/>
      <c r="B295" s="3"/>
      <c r="C295" s="3"/>
      <c r="D295" s="124"/>
      <c r="E295" s="333"/>
      <c r="F295" s="333"/>
      <c r="G295" s="79"/>
      <c r="H295" s="333"/>
      <c r="I295" s="333"/>
      <c r="J295" s="278"/>
      <c r="K295" s="278"/>
      <c r="L295" s="278"/>
      <c r="M295" s="278"/>
      <c r="N295" s="278"/>
      <c r="O295" s="278"/>
      <c r="P295" s="278"/>
      <c r="Q295" s="278"/>
      <c r="R295" s="278"/>
      <c r="S295" s="278"/>
      <c r="T295" s="278"/>
      <c r="U295" s="278"/>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278"/>
      <c r="CQ295" s="278"/>
      <c r="CR295" s="278"/>
      <c r="CS295" s="278"/>
      <c r="CT295" s="278"/>
      <c r="CU295" s="278"/>
      <c r="CV295" s="278"/>
      <c r="CW295" s="278"/>
      <c r="CX295" s="278"/>
      <c r="CY295" s="278"/>
      <c r="CZ295" s="278"/>
      <c r="DA295" s="278"/>
      <c r="DB295" s="278"/>
      <c r="DC295" s="278"/>
      <c r="DD295" s="278"/>
      <c r="DE295" s="278"/>
      <c r="DF295" s="278"/>
      <c r="DG295" s="278"/>
      <c r="DH295" s="278"/>
      <c r="DI295" s="278"/>
      <c r="DJ295" s="278"/>
      <c r="DK295" s="278"/>
      <c r="DL295" s="278"/>
      <c r="DM295" s="278"/>
      <c r="DN295" s="278"/>
      <c r="DO295" s="278"/>
      <c r="DP295" s="278"/>
      <c r="DQ295" s="278"/>
      <c r="DR295" s="278"/>
      <c r="DS295" s="278"/>
      <c r="DT295" s="278"/>
      <c r="DU295" s="278"/>
      <c r="DV295" s="278"/>
      <c r="DW295" s="278"/>
      <c r="DX295" s="278"/>
      <c r="DY295" s="278"/>
      <c r="DZ295" s="278"/>
      <c r="EA295" s="278"/>
      <c r="EB295" s="278"/>
      <c r="EC295" s="278"/>
      <c r="ED295" s="278"/>
      <c r="EE295" s="278"/>
      <c r="EF295" s="278"/>
      <c r="EG295" s="278"/>
      <c r="EH295" s="278"/>
      <c r="EI295" s="278"/>
      <c r="EJ295" s="278"/>
      <c r="EK295" s="278"/>
      <c r="EL295" s="278"/>
      <c r="EM295" s="278"/>
      <c r="EN295" s="278"/>
      <c r="EO295" s="278"/>
      <c r="EP295" s="278"/>
      <c r="EQ295" s="278"/>
      <c r="ER295" s="278"/>
      <c r="ES295" s="278"/>
      <c r="ET295" s="278"/>
      <c r="EU295" s="278"/>
      <c r="EV295" s="278"/>
      <c r="EW295" s="278"/>
      <c r="EX295" s="278"/>
      <c r="EY295" s="278"/>
      <c r="EZ295" s="278"/>
      <c r="FA295" s="328"/>
      <c r="FB295" s="328"/>
      <c r="FC295" s="328"/>
      <c r="FD295" s="328"/>
      <c r="FE295" s="328"/>
      <c r="FF295" s="43"/>
      <c r="FG295" s="43"/>
      <c r="FH295" s="43"/>
      <c r="FI295" s="43"/>
      <c r="FJ295" s="338"/>
      <c r="FK295" s="338"/>
      <c r="FL295" s="338"/>
      <c r="FM295" s="338"/>
      <c r="FN295" s="338"/>
      <c r="FO295" s="338"/>
      <c r="FP295" s="338"/>
      <c r="FQ295" s="338"/>
      <c r="FR295" s="338"/>
      <c r="FS295" s="338"/>
      <c r="FT295" s="338"/>
      <c r="FU295" s="338"/>
      <c r="FV295" s="338"/>
      <c r="FW295" s="183"/>
      <c r="FX295" s="183"/>
      <c r="FY295" s="259"/>
      <c r="FZ295" s="259"/>
      <c r="GA295" s="259"/>
      <c r="GB295" s="259"/>
      <c r="GC295" s="183"/>
      <c r="GD295" s="183"/>
      <c r="GE295" s="183"/>
      <c r="GF295" s="183"/>
      <c r="GG295" s="183"/>
      <c r="GH295" s="183"/>
      <c r="GI295" s="183"/>
      <c r="GJ295" s="183"/>
      <c r="GK295" s="183"/>
      <c r="GL295" s="183"/>
      <c r="GM295" s="183"/>
      <c r="GN295" s="183"/>
      <c r="GO295" s="183"/>
      <c r="GP295" s="183"/>
      <c r="GQ295" s="183"/>
      <c r="GR295" s="183"/>
      <c r="GS295" s="183"/>
      <c r="GT295" s="183"/>
      <c r="GU295" s="183"/>
      <c r="GV295" s="183"/>
      <c r="GW295" s="66"/>
      <c r="GX295" s="66"/>
      <c r="GY295" s="66"/>
      <c r="GZ295" s="66"/>
      <c r="HA295" s="66"/>
      <c r="HB295" s="66"/>
      <c r="HC295" s="66"/>
      <c r="HD295" s="66"/>
      <c r="HE295" s="66"/>
      <c r="HF295" s="66"/>
      <c r="HG295" s="66"/>
      <c r="HH295" s="66"/>
      <c r="HI295" s="66"/>
      <c r="HJ295" s="66"/>
      <c r="HK295" s="66"/>
      <c r="HL295" s="66"/>
      <c r="HM295" s="66"/>
      <c r="HN295" s="66"/>
      <c r="HO295" s="66"/>
      <c r="HP295" s="66"/>
      <c r="HQ295" s="66"/>
      <c r="HR295" s="66"/>
      <c r="HS295" s="66"/>
      <c r="HT295" s="66"/>
      <c r="HU295" s="66"/>
      <c r="HV295" s="66"/>
      <c r="HW295" s="66"/>
      <c r="HX295" s="66"/>
      <c r="HY295" s="66"/>
      <c r="HZ295" s="66"/>
      <c r="IA295" s="66"/>
    </row>
    <row r="296" spans="1:235" customFormat="1" ht="3.75" customHeight="1">
      <c r="A296" s="1"/>
      <c r="B296" s="3"/>
      <c r="C296" s="3"/>
      <c r="D296" s="124"/>
      <c r="E296" s="66"/>
      <c r="F296" s="66"/>
      <c r="G296" s="66"/>
      <c r="H296" s="66"/>
      <c r="I296" s="66"/>
      <c r="J296" s="66"/>
      <c r="K296" s="66"/>
      <c r="L296" s="66"/>
      <c r="M296" s="66"/>
      <c r="N296" s="66"/>
      <c r="O296" s="66"/>
      <c r="P296" s="66"/>
      <c r="Q296" s="66"/>
      <c r="R296" s="66"/>
      <c r="S296" s="66"/>
      <c r="T296" s="66"/>
      <c r="U296" s="66"/>
      <c r="V296" s="66"/>
      <c r="W296" s="333"/>
      <c r="X296" s="333"/>
      <c r="Y296" s="335"/>
      <c r="Z296" s="333"/>
      <c r="AA296" s="333"/>
      <c r="AB296" s="278"/>
      <c r="AC296" s="278"/>
      <c r="AD296" s="278"/>
      <c r="AE296" s="278"/>
      <c r="AF296" s="278"/>
      <c r="AG296" s="278"/>
      <c r="AH296" s="278"/>
      <c r="AI296" s="278"/>
      <c r="AJ296" s="278"/>
      <c r="AK296" s="278"/>
      <c r="AL296" s="278"/>
      <c r="AM296" s="278"/>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79"/>
      <c r="BW296" s="79"/>
      <c r="BX296" s="79"/>
      <c r="BY296" s="544" t="str">
        <f ca="1">IF(FL1=0,"","+")</f>
        <v/>
      </c>
      <c r="BZ296" s="545"/>
      <c r="CA296" s="545"/>
      <c r="CB296" s="545"/>
      <c r="CC296" s="545"/>
      <c r="CD296" s="545"/>
      <c r="CE296" s="545"/>
      <c r="CF296" s="278"/>
      <c r="CG296" s="544" t="str">
        <f ca="1">IF(FL1=0,"","+")</f>
        <v/>
      </c>
      <c r="CH296" s="545"/>
      <c r="CI296" s="545"/>
      <c r="CJ296" s="545"/>
      <c r="CK296" s="545"/>
      <c r="CL296" s="545"/>
      <c r="CM296" s="545"/>
      <c r="CN296" s="278"/>
      <c r="CO296" s="544" t="str">
        <f ca="1">IF(FL1=0,"","+")</f>
        <v/>
      </c>
      <c r="CP296" s="545"/>
      <c r="CQ296" s="545"/>
      <c r="CR296" s="545"/>
      <c r="CS296" s="545"/>
      <c r="CT296" s="545"/>
      <c r="CU296" s="545"/>
      <c r="CV296" s="278"/>
      <c r="CW296" s="544" t="str">
        <f ca="1">IF(FL1=0,"","+")</f>
        <v/>
      </c>
      <c r="CX296" s="545"/>
      <c r="CY296" s="545"/>
      <c r="CZ296" s="545"/>
      <c r="DA296" s="545"/>
      <c r="DB296" s="545"/>
      <c r="DC296" s="545"/>
      <c r="DD296" s="278"/>
      <c r="DE296" s="544" t="str">
        <f ca="1">IF(FL1=0,"","+")</f>
        <v/>
      </c>
      <c r="DF296" s="545"/>
      <c r="DG296" s="545"/>
      <c r="DH296" s="545"/>
      <c r="DI296" s="545"/>
      <c r="DJ296" s="545"/>
      <c r="DK296" s="545"/>
      <c r="DL296" s="278"/>
      <c r="DM296" s="544" t="str">
        <f ca="1">IF(FL1=0,"","+")</f>
        <v/>
      </c>
      <c r="DN296" s="545"/>
      <c r="DO296" s="545"/>
      <c r="DP296" s="545"/>
      <c r="DQ296" s="545"/>
      <c r="DR296" s="545"/>
      <c r="DS296" s="545"/>
      <c r="DT296" s="278"/>
      <c r="DU296" s="544" t="str">
        <f ca="1">IF(FL1=0,"","+")</f>
        <v/>
      </c>
      <c r="DV296" s="545"/>
      <c r="DW296" s="545"/>
      <c r="DX296" s="545"/>
      <c r="DY296" s="545"/>
      <c r="DZ296" s="545"/>
      <c r="EA296" s="545"/>
      <c r="EB296" s="278"/>
      <c r="EC296" s="544" t="str">
        <f ca="1">IF(FL1=0,"","+")</f>
        <v/>
      </c>
      <c r="ED296" s="545"/>
      <c r="EE296" s="545"/>
      <c r="EF296" s="545"/>
      <c r="EG296" s="545"/>
      <c r="EH296" s="545"/>
      <c r="EI296" s="545"/>
      <c r="EJ296" s="278"/>
      <c r="EK296" s="544" t="str">
        <f ca="1">IF(FL1=0,"","+")</f>
        <v/>
      </c>
      <c r="EL296" s="545"/>
      <c r="EM296" s="545"/>
      <c r="EN296" s="545"/>
      <c r="EO296" s="545"/>
      <c r="EP296" s="545"/>
      <c r="EQ296" s="545"/>
      <c r="ER296" s="328"/>
      <c r="ES296" s="328"/>
      <c r="ET296" s="79"/>
      <c r="EU296" s="79"/>
      <c r="EV296" s="79"/>
      <c r="EW296" s="79"/>
      <c r="EX296" s="79"/>
      <c r="EY296" s="79"/>
      <c r="EZ296" s="79"/>
      <c r="FA296" s="79"/>
      <c r="FB296" s="79"/>
      <c r="FC296" s="79"/>
      <c r="FD296" s="79"/>
      <c r="FE296" s="79"/>
      <c r="FF296" s="79"/>
      <c r="FG296" s="79"/>
      <c r="FH296" s="79"/>
      <c r="FI296" s="79"/>
      <c r="FJ296" s="338"/>
      <c r="FK296" s="338"/>
      <c r="FL296" s="338"/>
      <c r="FM296" s="338"/>
      <c r="FN296" s="354"/>
      <c r="FO296" s="353"/>
      <c r="FP296" s="353"/>
      <c r="FQ296" s="47"/>
      <c r="FR296" s="47"/>
      <c r="FS296" s="47"/>
      <c r="FT296" s="47"/>
      <c r="FU296" s="47"/>
      <c r="FV296" s="47"/>
      <c r="FW296" s="183"/>
      <c r="FX296" s="183"/>
      <c r="FY296" s="259"/>
      <c r="FZ296" s="259"/>
      <c r="GA296" s="259"/>
      <c r="GB296" s="259"/>
      <c r="GC296" s="183"/>
      <c r="GD296" s="183"/>
      <c r="GE296" s="183"/>
      <c r="GF296" s="183"/>
      <c r="GG296" s="183"/>
      <c r="GH296" s="183"/>
      <c r="GI296" s="183"/>
      <c r="GJ296" s="183"/>
      <c r="GK296" s="183"/>
      <c r="GL296" s="183"/>
      <c r="GM296" s="183"/>
      <c r="GN296" s="183"/>
      <c r="GO296" s="183"/>
      <c r="GP296" s="183"/>
      <c r="GQ296" s="183"/>
      <c r="GR296" s="183"/>
      <c r="GS296" s="183"/>
      <c r="GT296" s="183"/>
      <c r="GU296" s="183"/>
      <c r="GV296" s="183"/>
      <c r="GW296" s="66"/>
      <c r="GX296" s="66"/>
      <c r="GY296" s="66"/>
      <c r="GZ296" s="66"/>
      <c r="HA296" s="66"/>
      <c r="HB296" s="66"/>
      <c r="HC296" s="66"/>
      <c r="HD296" s="66"/>
      <c r="HE296" s="66"/>
      <c r="HF296" s="66"/>
      <c r="HG296" s="66"/>
      <c r="HH296" s="66"/>
      <c r="HI296" s="66"/>
      <c r="HJ296" s="66"/>
      <c r="HK296" s="66"/>
      <c r="HL296" s="66"/>
      <c r="HM296" s="66"/>
      <c r="HN296" s="66"/>
      <c r="HO296" s="66"/>
      <c r="HP296" s="66"/>
      <c r="HQ296" s="66"/>
      <c r="HR296" s="66"/>
      <c r="HS296" s="66"/>
      <c r="HT296" s="66"/>
      <c r="HU296" s="66"/>
      <c r="HV296" s="66"/>
      <c r="HW296" s="66"/>
      <c r="HX296" s="66"/>
      <c r="HY296" s="66"/>
      <c r="HZ296" s="66"/>
      <c r="IA296" s="66"/>
    </row>
    <row r="297" spans="1:235" customFormat="1" ht="18.75" customHeight="1">
      <c r="A297" s="1"/>
      <c r="B297" s="3"/>
      <c r="C297" s="3"/>
      <c r="D297" s="124"/>
      <c r="E297" s="66"/>
      <c r="F297" s="66"/>
      <c r="G297" s="66"/>
      <c r="H297" s="66"/>
      <c r="I297" s="66"/>
      <c r="J297" s="66"/>
      <c r="K297" s="66"/>
      <c r="L297" s="66"/>
      <c r="M297" s="66"/>
      <c r="N297" s="66"/>
      <c r="O297" s="66"/>
      <c r="P297" s="66"/>
      <c r="Q297" s="66"/>
      <c r="R297" s="66"/>
      <c r="S297" s="66"/>
      <c r="T297" s="66"/>
      <c r="U297" s="66"/>
      <c r="V297" s="66"/>
      <c r="W297" s="333"/>
      <c r="X297" s="333"/>
      <c r="Y297" s="79"/>
      <c r="Z297" s="333"/>
      <c r="AA297" s="333"/>
      <c r="AB297" s="278"/>
      <c r="AC297" s="278"/>
      <c r="AD297" s="278"/>
      <c r="AE297" s="278"/>
      <c r="AF297" s="278"/>
      <c r="AG297" s="278"/>
      <c r="AH297" s="278"/>
      <c r="AI297" s="278"/>
      <c r="AJ297" s="278"/>
      <c r="AK297" s="278"/>
      <c r="AL297" s="278"/>
      <c r="AM297" s="278"/>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79"/>
      <c r="BW297" s="133" t="str">
        <f ca="1">IF(FL1=0,"","Het surplus was bij monopolie:")</f>
        <v/>
      </c>
      <c r="BX297" s="79"/>
      <c r="BY297" s="330" t="str">
        <f ca="1">IF(FL1=0,"","+")</f>
        <v/>
      </c>
      <c r="BZ297" s="543"/>
      <c r="CA297" s="543"/>
      <c r="CB297" s="543"/>
      <c r="CC297" s="543"/>
      <c r="CD297" s="543"/>
      <c r="CE297" s="497" t="str">
        <f ca="1">IF(FL1=0,"","+")</f>
        <v/>
      </c>
      <c r="CF297" s="498" t="s">
        <v>131</v>
      </c>
      <c r="CG297" s="497" t="str">
        <f ca="1">IF(FL1=0,"","+")</f>
        <v/>
      </c>
      <c r="CH297" s="543"/>
      <c r="CI297" s="543"/>
      <c r="CJ297" s="543"/>
      <c r="CK297" s="543"/>
      <c r="CL297" s="543"/>
      <c r="CM297" s="497" t="str">
        <f ca="1">IF(FL1=0,"","+")</f>
        <v/>
      </c>
      <c r="CN297" s="498" t="s">
        <v>131</v>
      </c>
      <c r="CO297" s="497" t="str">
        <f ca="1">IF(FL1=0,"","+")</f>
        <v/>
      </c>
      <c r="CP297" s="543"/>
      <c r="CQ297" s="543"/>
      <c r="CR297" s="543"/>
      <c r="CS297" s="543"/>
      <c r="CT297" s="543"/>
      <c r="CU297" s="497" t="str">
        <f ca="1">IF(FL1=0,"","+")</f>
        <v/>
      </c>
      <c r="CV297" s="498" t="s">
        <v>131</v>
      </c>
      <c r="CW297" s="497" t="str">
        <f ca="1">IF(FL1=0,"","+")</f>
        <v/>
      </c>
      <c r="CX297" s="543"/>
      <c r="CY297" s="543"/>
      <c r="CZ297" s="543"/>
      <c r="DA297" s="543"/>
      <c r="DB297" s="543"/>
      <c r="DC297" s="497" t="str">
        <f ca="1">IF(FL1=0,"","+")</f>
        <v/>
      </c>
      <c r="DD297" s="498" t="s">
        <v>131</v>
      </c>
      <c r="DE297" s="497" t="str">
        <f ca="1">IF(FL1=0,"","+")</f>
        <v/>
      </c>
      <c r="DF297" s="543"/>
      <c r="DG297" s="543"/>
      <c r="DH297" s="543"/>
      <c r="DI297" s="543"/>
      <c r="DJ297" s="543"/>
      <c r="DK297" s="497" t="str">
        <f ca="1">IF(FL1=0,"","+")</f>
        <v/>
      </c>
      <c r="DL297" s="498" t="s">
        <v>131</v>
      </c>
      <c r="DM297" s="497" t="str">
        <f ca="1">IF(FL1=0,"","+")</f>
        <v/>
      </c>
      <c r="DN297" s="543"/>
      <c r="DO297" s="543"/>
      <c r="DP297" s="543"/>
      <c r="DQ297" s="543"/>
      <c r="DR297" s="543"/>
      <c r="DS297" s="497" t="str">
        <f ca="1">IF(FL1=0,"","+")</f>
        <v/>
      </c>
      <c r="DT297" s="498" t="s">
        <v>131</v>
      </c>
      <c r="DU297" s="497" t="str">
        <f ca="1">IF(FL1=0,"","+")</f>
        <v/>
      </c>
      <c r="DV297" s="543"/>
      <c r="DW297" s="543"/>
      <c r="DX297" s="543"/>
      <c r="DY297" s="543"/>
      <c r="DZ297" s="543"/>
      <c r="EA297" s="497" t="str">
        <f ca="1">IF(FL1=0,"","+")</f>
        <v/>
      </c>
      <c r="EB297" s="498" t="s">
        <v>131</v>
      </c>
      <c r="EC297" s="497" t="str">
        <f ca="1">IF(FL1=0,"","+")</f>
        <v/>
      </c>
      <c r="ED297" s="543"/>
      <c r="EE297" s="543"/>
      <c r="EF297" s="543"/>
      <c r="EG297" s="543"/>
      <c r="EH297" s="543"/>
      <c r="EI297" s="497" t="str">
        <f ca="1">IF(FL1=0,"","+")</f>
        <v/>
      </c>
      <c r="EJ297" s="498" t="s">
        <v>131</v>
      </c>
      <c r="EK297" s="497" t="str">
        <f ca="1">IF(FL1=0,"","+")</f>
        <v/>
      </c>
      <c r="EL297" s="543"/>
      <c r="EM297" s="543"/>
      <c r="EN297" s="543"/>
      <c r="EO297" s="543"/>
      <c r="EP297" s="543"/>
      <c r="EQ297" s="330" t="str">
        <f ca="1">IF(FL1=0,"","+")</f>
        <v/>
      </c>
      <c r="ER297" s="384" t="s">
        <v>131</v>
      </c>
      <c r="ES297" s="328"/>
      <c r="ET297" s="79"/>
      <c r="EU297" s="79"/>
      <c r="EV297" s="79"/>
      <c r="EW297" s="79"/>
      <c r="EX297" s="79"/>
      <c r="EY297" s="79"/>
      <c r="EZ297" s="79"/>
      <c r="FA297" s="79"/>
      <c r="FB297" s="79"/>
      <c r="FC297" s="79"/>
      <c r="FD297" s="79"/>
      <c r="FE297" s="79"/>
      <c r="FF297" s="79"/>
      <c r="FG297" s="79"/>
      <c r="FH297" s="79"/>
      <c r="FI297" s="79"/>
      <c r="FJ297" s="338"/>
      <c r="FK297" s="338"/>
      <c r="FL297" s="338"/>
      <c r="FM297" s="93">
        <f ca="1">IF(programma!B1="X",1,IF(FL1=0,0,IF(AND(BZ297=FO297,CH297=FP297,CP297="",CX297=FR297,DF297=FS297,DN297="",DV297="",ED297="",EL297=""),1,0)))</f>
        <v>0</v>
      </c>
      <c r="FN297" s="48"/>
      <c r="FO297" s="48" t="s">
        <v>12</v>
      </c>
      <c r="FP297" s="48" t="s">
        <v>13</v>
      </c>
      <c r="FQ297" s="48" t="s">
        <v>14</v>
      </c>
      <c r="FR297" s="48" t="s">
        <v>138</v>
      </c>
      <c r="FS297" s="48" t="s">
        <v>139</v>
      </c>
      <c r="FT297" s="48" t="s">
        <v>141</v>
      </c>
      <c r="FU297" s="48" t="s">
        <v>140</v>
      </c>
      <c r="FV297" s="48" t="s">
        <v>142</v>
      </c>
      <c r="FW297" s="48" t="s">
        <v>143</v>
      </c>
      <c r="FX297" s="183"/>
      <c r="FY297" s="259"/>
      <c r="FZ297" s="259"/>
      <c r="GA297" s="259"/>
      <c r="GB297" s="259"/>
      <c r="GC297" s="183"/>
      <c r="GD297" s="183"/>
      <c r="GE297" s="183"/>
      <c r="GF297" s="183"/>
      <c r="GG297" s="183"/>
      <c r="GH297" s="183"/>
      <c r="GI297" s="183"/>
      <c r="GJ297" s="183"/>
      <c r="GK297" s="183"/>
      <c r="GL297" s="183"/>
      <c r="GM297" s="183"/>
      <c r="GN297" s="183"/>
      <c r="GO297" s="183"/>
      <c r="GP297" s="183"/>
      <c r="GQ297" s="183"/>
      <c r="GR297" s="183"/>
      <c r="GS297" s="183"/>
      <c r="GT297" s="183"/>
      <c r="GU297" s="183"/>
      <c r="GV297" s="183"/>
      <c r="GW297" s="66"/>
      <c r="GX297" s="66"/>
      <c r="GY297" s="66"/>
      <c r="GZ297" s="66"/>
      <c r="HA297" s="66"/>
      <c r="HB297" s="66"/>
      <c r="HC297" s="66"/>
      <c r="HD297" s="66"/>
      <c r="HE297" s="66"/>
      <c r="HF297" s="66"/>
      <c r="HG297" s="66"/>
      <c r="HH297" s="66"/>
      <c r="HI297" s="66"/>
      <c r="HJ297" s="66"/>
      <c r="HK297" s="66"/>
      <c r="HL297" s="66"/>
      <c r="HM297" s="66"/>
      <c r="HN297" s="66"/>
      <c r="HO297" s="66"/>
      <c r="HP297" s="66"/>
      <c r="HQ297" s="66"/>
      <c r="HR297" s="66"/>
      <c r="HS297" s="66"/>
      <c r="HT297" s="66"/>
      <c r="HU297" s="66"/>
      <c r="HV297" s="66"/>
      <c r="HW297" s="66"/>
      <c r="HX297" s="66"/>
      <c r="HY297" s="66"/>
      <c r="HZ297" s="66"/>
      <c r="IA297" s="66"/>
    </row>
    <row r="298" spans="1:235" customFormat="1" ht="3.75" customHeight="1">
      <c r="A298" s="1"/>
      <c r="B298" s="3"/>
      <c r="C298" s="3"/>
      <c r="D298" s="124"/>
      <c r="E298" s="66"/>
      <c r="F298" s="66"/>
      <c r="G298" s="66"/>
      <c r="H298" s="66"/>
      <c r="I298" s="66"/>
      <c r="J298" s="66"/>
      <c r="K298" s="66"/>
      <c r="L298" s="66"/>
      <c r="M298" s="66"/>
      <c r="N298" s="66"/>
      <c r="O298" s="66"/>
      <c r="P298" s="66"/>
      <c r="Q298" s="66"/>
      <c r="R298" s="66"/>
      <c r="S298" s="66"/>
      <c r="T298" s="66"/>
      <c r="U298" s="66"/>
      <c r="V298" s="66"/>
      <c r="W298" s="333"/>
      <c r="X298" s="333"/>
      <c r="Y298" s="335"/>
      <c r="Z298" s="333"/>
      <c r="AA298" s="333"/>
      <c r="AB298" s="278"/>
      <c r="AC298" s="278"/>
      <c r="AD298" s="278"/>
      <c r="AE298" s="278"/>
      <c r="AF298" s="278"/>
      <c r="AG298" s="278"/>
      <c r="AH298" s="278"/>
      <c r="AI298" s="278"/>
      <c r="AJ298" s="278"/>
      <c r="AK298" s="278"/>
      <c r="AL298" s="278"/>
      <c r="AM298" s="278"/>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79"/>
      <c r="BW298" s="79"/>
      <c r="BX298" s="79"/>
      <c r="BY298" s="544" t="str">
        <f ca="1">IF(FL1=0,"","+")</f>
        <v/>
      </c>
      <c r="BZ298" s="545"/>
      <c r="CA298" s="545"/>
      <c r="CB298" s="545"/>
      <c r="CC298" s="545"/>
      <c r="CD298" s="545"/>
      <c r="CE298" s="545"/>
      <c r="CF298" s="278"/>
      <c r="CG298" s="544" t="str">
        <f ca="1">IF(FL1=0,"","+")</f>
        <v/>
      </c>
      <c r="CH298" s="545"/>
      <c r="CI298" s="545"/>
      <c r="CJ298" s="545"/>
      <c r="CK298" s="545"/>
      <c r="CL298" s="545"/>
      <c r="CM298" s="545"/>
      <c r="CN298" s="278"/>
      <c r="CO298" s="544" t="str">
        <f ca="1">IF(FL1=0,"","+")</f>
        <v/>
      </c>
      <c r="CP298" s="545"/>
      <c r="CQ298" s="545"/>
      <c r="CR298" s="545"/>
      <c r="CS298" s="545"/>
      <c r="CT298" s="545"/>
      <c r="CU298" s="545"/>
      <c r="CV298" s="278"/>
      <c r="CW298" s="544" t="str">
        <f ca="1">IF(FL1=0,"","+")</f>
        <v/>
      </c>
      <c r="CX298" s="545"/>
      <c r="CY298" s="545"/>
      <c r="CZ298" s="545"/>
      <c r="DA298" s="545"/>
      <c r="DB298" s="545"/>
      <c r="DC298" s="545"/>
      <c r="DD298" s="278"/>
      <c r="DE298" s="544" t="str">
        <f ca="1">IF(FL1=0,"","+")</f>
        <v/>
      </c>
      <c r="DF298" s="545"/>
      <c r="DG298" s="545"/>
      <c r="DH298" s="545"/>
      <c r="DI298" s="545"/>
      <c r="DJ298" s="545"/>
      <c r="DK298" s="545"/>
      <c r="DL298" s="278"/>
      <c r="DM298" s="544" t="str">
        <f ca="1">IF(FL1=0,"","+")</f>
        <v/>
      </c>
      <c r="DN298" s="545"/>
      <c r="DO298" s="545"/>
      <c r="DP298" s="545"/>
      <c r="DQ298" s="545"/>
      <c r="DR298" s="545"/>
      <c r="DS298" s="545"/>
      <c r="DT298" s="278"/>
      <c r="DU298" s="544" t="str">
        <f ca="1">IF(FL1=0,"","+")</f>
        <v/>
      </c>
      <c r="DV298" s="545"/>
      <c r="DW298" s="545"/>
      <c r="DX298" s="545"/>
      <c r="DY298" s="545"/>
      <c r="DZ298" s="545"/>
      <c r="EA298" s="545"/>
      <c r="EB298" s="278"/>
      <c r="EC298" s="544" t="str">
        <f ca="1">IF(FL1=0,"","+")</f>
        <v/>
      </c>
      <c r="ED298" s="545"/>
      <c r="EE298" s="545"/>
      <c r="EF298" s="545"/>
      <c r="EG298" s="545"/>
      <c r="EH298" s="545"/>
      <c r="EI298" s="545"/>
      <c r="EJ298" s="278"/>
      <c r="EK298" s="544" t="str">
        <f ca="1">IF(FL1=0,"","+")</f>
        <v/>
      </c>
      <c r="EL298" s="545"/>
      <c r="EM298" s="545"/>
      <c r="EN298" s="545"/>
      <c r="EO298" s="545"/>
      <c r="EP298" s="545"/>
      <c r="EQ298" s="545"/>
      <c r="ER298" s="328"/>
      <c r="ES298" s="328"/>
      <c r="ET298" s="79"/>
      <c r="EU298" s="79"/>
      <c r="EV298" s="79"/>
      <c r="EW298" s="79"/>
      <c r="EX298" s="79"/>
      <c r="EY298" s="79"/>
      <c r="EZ298" s="79"/>
      <c r="FA298" s="79"/>
      <c r="FB298" s="79"/>
      <c r="FC298" s="79"/>
      <c r="FD298" s="79"/>
      <c r="FE298" s="79"/>
      <c r="FF298" s="79"/>
      <c r="FG298" s="79"/>
      <c r="FH298" s="79"/>
      <c r="FI298" s="79"/>
      <c r="FJ298" s="338"/>
      <c r="FK298" s="338"/>
      <c r="FL298" s="338"/>
      <c r="FM298" s="93"/>
      <c r="FN298" s="354"/>
      <c r="FO298" s="354"/>
      <c r="FP298" s="354"/>
      <c r="FQ298" s="47"/>
      <c r="FR298" s="47"/>
      <c r="FS298" s="47"/>
      <c r="FT298" s="47"/>
      <c r="FU298" s="47"/>
      <c r="FV298" s="47"/>
      <c r="FW298" s="47"/>
      <c r="FX298" s="183"/>
      <c r="FY298" s="259"/>
      <c r="FZ298" s="259"/>
      <c r="GA298" s="259"/>
      <c r="GB298" s="259"/>
      <c r="GC298" s="183"/>
      <c r="GD298" s="183"/>
      <c r="GE298" s="183"/>
      <c r="GF298" s="183"/>
      <c r="GG298" s="183"/>
      <c r="GH298" s="183"/>
      <c r="GI298" s="183"/>
      <c r="GJ298" s="183"/>
      <c r="GK298" s="183"/>
      <c r="GL298" s="183"/>
      <c r="GM298" s="183"/>
      <c r="GN298" s="183"/>
      <c r="GO298" s="183"/>
      <c r="GP298" s="183"/>
      <c r="GQ298" s="183"/>
      <c r="GR298" s="183"/>
      <c r="GS298" s="183"/>
      <c r="GT298" s="183"/>
      <c r="GU298" s="183"/>
      <c r="GV298" s="183"/>
      <c r="GW298" s="66"/>
      <c r="GX298" s="66"/>
      <c r="GY298" s="66"/>
      <c r="GZ298" s="66"/>
      <c r="HA298" s="66"/>
      <c r="HB298" s="66"/>
      <c r="HC298" s="66"/>
      <c r="HD298" s="66"/>
      <c r="HE298" s="66"/>
      <c r="HF298" s="66"/>
      <c r="HG298" s="66"/>
      <c r="HH298" s="66"/>
      <c r="HI298" s="66"/>
      <c r="HJ298" s="66"/>
      <c r="HK298" s="66"/>
      <c r="HL298" s="66"/>
      <c r="HM298" s="66"/>
      <c r="HN298" s="66"/>
      <c r="HO298" s="66"/>
      <c r="HP298" s="66"/>
      <c r="HQ298" s="66"/>
      <c r="HR298" s="66"/>
      <c r="HS298" s="66"/>
      <c r="HT298" s="66"/>
      <c r="HU298" s="66"/>
      <c r="HV298" s="66"/>
      <c r="HW298" s="66"/>
      <c r="HX298" s="66"/>
      <c r="HY298" s="66"/>
      <c r="HZ298" s="66"/>
      <c r="IA298" s="66"/>
    </row>
    <row r="299" spans="1:235" customFormat="1" ht="4.95" customHeight="1">
      <c r="A299" s="1"/>
      <c r="B299" s="3"/>
      <c r="C299" s="3"/>
      <c r="D299" s="124"/>
      <c r="E299" s="66"/>
      <c r="F299" s="66"/>
      <c r="G299" s="66"/>
      <c r="H299" s="66"/>
      <c r="I299" s="66"/>
      <c r="J299" s="66"/>
      <c r="K299" s="66"/>
      <c r="L299" s="66"/>
      <c r="M299" s="66"/>
      <c r="N299" s="66"/>
      <c r="O299" s="66"/>
      <c r="P299" s="66"/>
      <c r="Q299" s="66"/>
      <c r="R299" s="66"/>
      <c r="S299" s="66"/>
      <c r="T299" s="66"/>
      <c r="U299" s="66"/>
      <c r="V299" s="66"/>
      <c r="W299" s="333"/>
      <c r="X299" s="333"/>
      <c r="Y299" s="335"/>
      <c r="Z299" s="333"/>
      <c r="AA299" s="333"/>
      <c r="AB299" s="278"/>
      <c r="AC299" s="278"/>
      <c r="AD299" s="278"/>
      <c r="AE299" s="278"/>
      <c r="AF299" s="278"/>
      <c r="AG299" s="278"/>
      <c r="AH299" s="278"/>
      <c r="AI299" s="278"/>
      <c r="AJ299" s="278"/>
      <c r="AK299" s="278"/>
      <c r="AL299" s="278"/>
      <c r="AM299" s="278"/>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79"/>
      <c r="BW299" s="79"/>
      <c r="BX299" s="79"/>
      <c r="BY299" s="330"/>
      <c r="BZ299" s="328"/>
      <c r="CA299" s="328"/>
      <c r="CB299" s="328"/>
      <c r="CC299" s="328"/>
      <c r="CD299" s="328"/>
      <c r="CE299" s="328"/>
      <c r="CF299" s="278"/>
      <c r="CG299" s="330"/>
      <c r="CH299" s="328"/>
      <c r="CI299" s="328"/>
      <c r="CJ299" s="328"/>
      <c r="CK299" s="328"/>
      <c r="CL299" s="328"/>
      <c r="CM299" s="328"/>
      <c r="CN299" s="278"/>
      <c r="CO299" s="330"/>
      <c r="CP299" s="328"/>
      <c r="CQ299" s="328"/>
      <c r="CR299" s="328"/>
      <c r="CS299" s="328"/>
      <c r="CT299" s="328"/>
      <c r="CU299" s="328"/>
      <c r="CV299" s="278"/>
      <c r="CW299" s="330"/>
      <c r="CX299" s="328"/>
      <c r="CY299" s="328"/>
      <c r="CZ299" s="328"/>
      <c r="DA299" s="328"/>
      <c r="DB299" s="328"/>
      <c r="DC299" s="328"/>
      <c r="DD299" s="278"/>
      <c r="DE299" s="330"/>
      <c r="DF299" s="328"/>
      <c r="DG299" s="328"/>
      <c r="DH299" s="328"/>
      <c r="DI299" s="328"/>
      <c r="DJ299" s="328"/>
      <c r="DK299" s="328"/>
      <c r="DL299" s="278"/>
      <c r="DM299" s="330"/>
      <c r="DN299" s="328"/>
      <c r="DO299" s="328"/>
      <c r="DP299" s="328"/>
      <c r="DQ299" s="328"/>
      <c r="DR299" s="328"/>
      <c r="DS299" s="328"/>
      <c r="DT299" s="278"/>
      <c r="DU299" s="330"/>
      <c r="DV299" s="328"/>
      <c r="DW299" s="328"/>
      <c r="DX299" s="328"/>
      <c r="DY299" s="328"/>
      <c r="DZ299" s="328"/>
      <c r="EA299" s="328"/>
      <c r="EB299" s="278"/>
      <c r="EC299" s="330"/>
      <c r="ED299" s="328"/>
      <c r="EE299" s="328"/>
      <c r="EF299" s="328"/>
      <c r="EG299" s="328"/>
      <c r="EH299" s="328"/>
      <c r="EI299" s="328"/>
      <c r="EJ299" s="278"/>
      <c r="EK299" s="330"/>
      <c r="EL299" s="328"/>
      <c r="EM299" s="328"/>
      <c r="EN299" s="328"/>
      <c r="EO299" s="328"/>
      <c r="EP299" s="328"/>
      <c r="EQ299" s="328"/>
      <c r="ER299" s="328"/>
      <c r="ES299" s="328"/>
      <c r="ET299" s="79"/>
      <c r="EU299" s="79"/>
      <c r="EV299" s="79"/>
      <c r="EW299" s="79"/>
      <c r="EX299" s="79"/>
      <c r="EY299" s="79"/>
      <c r="EZ299" s="79"/>
      <c r="FA299" s="79"/>
      <c r="FB299" s="79"/>
      <c r="FC299" s="79"/>
      <c r="FD299" s="79"/>
      <c r="FE299" s="79"/>
      <c r="FF299" s="79"/>
      <c r="FG299" s="79"/>
      <c r="FH299" s="79"/>
      <c r="FI299" s="79"/>
      <c r="FJ299" s="338"/>
      <c r="FK299" s="338"/>
      <c r="FL299" s="338"/>
      <c r="FM299" s="93"/>
      <c r="FN299" s="354"/>
      <c r="FO299" s="354"/>
      <c r="FP299" s="354"/>
      <c r="FQ299" s="47"/>
      <c r="FR299" s="47"/>
      <c r="FS299" s="47"/>
      <c r="FT299" s="47"/>
      <c r="FU299" s="47"/>
      <c r="FV299" s="47"/>
      <c r="FW299" s="47"/>
      <c r="FX299" s="183"/>
      <c r="FY299" s="259"/>
      <c r="FZ299" s="259"/>
      <c r="GA299" s="259"/>
      <c r="GB299" s="259"/>
      <c r="GC299" s="183"/>
      <c r="GD299" s="183"/>
      <c r="GE299" s="183"/>
      <c r="GF299" s="183"/>
      <c r="GG299" s="183"/>
      <c r="GH299" s="183"/>
      <c r="GI299" s="183"/>
      <c r="GJ299" s="183"/>
      <c r="GK299" s="183"/>
      <c r="GL299" s="183"/>
      <c r="GM299" s="183"/>
      <c r="GN299" s="183"/>
      <c r="GO299" s="183"/>
      <c r="GP299" s="183"/>
      <c r="GQ299" s="183"/>
      <c r="GR299" s="183"/>
      <c r="GS299" s="183"/>
      <c r="GT299" s="183"/>
      <c r="GU299" s="183"/>
      <c r="GV299" s="183"/>
      <c r="GW299" s="66"/>
      <c r="GX299" s="66"/>
      <c r="GY299" s="66"/>
      <c r="GZ299" s="66"/>
      <c r="HA299" s="66"/>
      <c r="HB299" s="66"/>
      <c r="HC299" s="66"/>
      <c r="HD299" s="66"/>
      <c r="HE299" s="66"/>
      <c r="HF299" s="66"/>
      <c r="HG299" s="66"/>
      <c r="HH299" s="66"/>
      <c r="HI299" s="66"/>
      <c r="HJ299" s="66"/>
      <c r="HK299" s="66"/>
      <c r="HL299" s="66"/>
      <c r="HM299" s="66"/>
      <c r="HN299" s="66"/>
      <c r="HO299" s="66"/>
      <c r="HP299" s="66"/>
      <c r="HQ299" s="66"/>
      <c r="HR299" s="66"/>
      <c r="HS299" s="66"/>
      <c r="HT299" s="66"/>
      <c r="HU299" s="66"/>
      <c r="HV299" s="66"/>
      <c r="HW299" s="66"/>
      <c r="HX299" s="66"/>
      <c r="HY299" s="66"/>
      <c r="HZ299" s="66"/>
      <c r="IA299" s="66"/>
    </row>
    <row r="300" spans="1:235" customFormat="1" ht="10.95" customHeight="1">
      <c r="A300" s="1"/>
      <c r="B300" s="3"/>
      <c r="C300" s="3"/>
      <c r="D300" s="124"/>
      <c r="E300" s="66"/>
      <c r="F300" s="66"/>
      <c r="G300" s="66"/>
      <c r="H300" s="605" t="str">
        <f ca="1">IF(FL1=0,"","Bij de overgang naar volkomen concurrentie neemt het consumentensurplus toe met:")</f>
        <v/>
      </c>
      <c r="I300" s="606"/>
      <c r="J300" s="606"/>
      <c r="K300" s="606"/>
      <c r="L300" s="606"/>
      <c r="M300" s="606"/>
      <c r="N300" s="606"/>
      <c r="O300" s="606"/>
      <c r="P300" s="606"/>
      <c r="Q300" s="606"/>
      <c r="R300" s="606"/>
      <c r="S300" s="606"/>
      <c r="T300" s="606"/>
      <c r="U300" s="606"/>
      <c r="V300" s="606"/>
      <c r="W300" s="606"/>
      <c r="X300" s="606"/>
      <c r="Y300" s="606"/>
      <c r="Z300" s="606"/>
      <c r="AA300" s="606"/>
      <c r="AB300" s="606"/>
      <c r="AC300" s="606"/>
      <c r="AD300" s="606"/>
      <c r="AE300" s="606"/>
      <c r="AF300" s="606"/>
      <c r="AG300" s="606"/>
      <c r="AH300" s="606"/>
      <c r="AI300" s="606"/>
      <c r="AJ300" s="606"/>
      <c r="AK300" s="606"/>
      <c r="AL300" s="606"/>
      <c r="AM300" s="606"/>
      <c r="AN300" s="606"/>
      <c r="AO300" s="606"/>
      <c r="AP300" s="606"/>
      <c r="AQ300" s="606"/>
      <c r="AR300" s="606"/>
      <c r="AS300" s="606"/>
      <c r="AT300" s="606"/>
      <c r="AU300" s="606"/>
      <c r="AV300" s="606"/>
      <c r="AW300" s="606"/>
      <c r="AX300" s="606"/>
      <c r="AY300" s="606"/>
      <c r="AZ300" s="606"/>
      <c r="BA300" s="606"/>
      <c r="BB300" s="606"/>
      <c r="BC300" s="606"/>
      <c r="BD300" s="606"/>
      <c r="BE300" s="606"/>
      <c r="BF300" s="606"/>
      <c r="BG300" s="606"/>
      <c r="BH300" s="606"/>
      <c r="BI300" s="606"/>
      <c r="BJ300" s="606"/>
      <c r="BK300" s="606"/>
      <c r="BL300" s="606"/>
      <c r="BM300" s="606"/>
      <c r="BN300" s="606"/>
      <c r="BO300" s="606"/>
      <c r="BP300" s="606"/>
      <c r="BQ300" s="606"/>
      <c r="BR300" s="606"/>
      <c r="BS300" s="606"/>
      <c r="BT300" s="606"/>
      <c r="BU300" s="606"/>
      <c r="BV300" s="606"/>
      <c r="BW300" s="606"/>
      <c r="BX300" s="43"/>
      <c r="BY300" s="43"/>
      <c r="BZ300" s="43"/>
      <c r="CA300" s="43"/>
      <c r="CB300" s="43"/>
      <c r="CC300" s="43"/>
      <c r="CD300" s="43"/>
      <c r="CE300" s="43"/>
      <c r="CF300" s="43"/>
      <c r="CG300" s="43"/>
      <c r="CH300" s="43"/>
      <c r="CI300" s="43"/>
      <c r="CJ300" s="278"/>
      <c r="CK300" s="278"/>
      <c r="CL300" s="278"/>
      <c r="CM300" s="278"/>
      <c r="CN300" s="278"/>
      <c r="CO300" s="278"/>
      <c r="CP300" s="278"/>
      <c r="CQ300" s="278"/>
      <c r="CR300" s="278"/>
      <c r="CS300" s="278"/>
      <c r="CT300" s="278"/>
      <c r="CU300" s="278"/>
      <c r="CV300" s="278"/>
      <c r="CW300" s="278"/>
      <c r="CX300" s="278"/>
      <c r="CY300" s="278"/>
      <c r="CZ300" s="278"/>
      <c r="DA300" s="278"/>
      <c r="DB300" s="278"/>
      <c r="DC300" s="278"/>
      <c r="DD300" s="278"/>
      <c r="DE300" s="278"/>
      <c r="DF300" s="278"/>
      <c r="DG300" s="278"/>
      <c r="DH300" s="278"/>
      <c r="DI300" s="278"/>
      <c r="DJ300" s="278"/>
      <c r="DK300" s="278"/>
      <c r="DL300" s="278"/>
      <c r="DM300" s="278"/>
      <c r="DN300" s="278"/>
      <c r="DO300" s="278"/>
      <c r="DP300" s="278"/>
      <c r="DQ300" s="278"/>
      <c r="DR300" s="278"/>
      <c r="DS300" s="278"/>
      <c r="DT300" s="278"/>
      <c r="DU300" s="278"/>
      <c r="DV300" s="278"/>
      <c r="DW300" s="278"/>
      <c r="DX300" s="278"/>
      <c r="DY300" s="278"/>
      <c r="DZ300" s="278"/>
      <c r="EA300" s="278"/>
      <c r="EB300" s="278"/>
      <c r="EC300" s="278"/>
      <c r="ED300" s="278"/>
      <c r="EE300" s="278"/>
      <c r="EF300" s="278"/>
      <c r="EG300" s="278"/>
      <c r="EH300" s="278"/>
      <c r="EI300" s="278"/>
      <c r="EJ300" s="278"/>
      <c r="EK300" s="278"/>
      <c r="EL300" s="278"/>
      <c r="EM300" s="278"/>
      <c r="EN300" s="278"/>
      <c r="EO300" s="278"/>
      <c r="EP300" s="278"/>
      <c r="EQ300" s="278"/>
      <c r="ER300" s="328"/>
      <c r="ES300" s="328"/>
      <c r="ET300" s="79"/>
      <c r="EU300" s="79"/>
      <c r="EV300" s="79"/>
      <c r="EW300" s="79"/>
      <c r="EX300" s="79"/>
      <c r="EY300" s="79"/>
      <c r="EZ300" s="79"/>
      <c r="FA300" s="79"/>
      <c r="FB300" s="79"/>
      <c r="FC300" s="79"/>
      <c r="FD300" s="79"/>
      <c r="FE300" s="79"/>
      <c r="FF300" s="79"/>
      <c r="FG300" s="79"/>
      <c r="FH300" s="79"/>
      <c r="FI300" s="79"/>
      <c r="FJ300" s="338"/>
      <c r="FK300" s="338"/>
      <c r="FL300" s="338"/>
      <c r="FM300" s="93"/>
      <c r="FN300" s="338"/>
      <c r="FO300" s="338"/>
      <c r="FP300" s="338"/>
      <c r="FQ300" s="338"/>
      <c r="FR300" s="338"/>
      <c r="FS300" s="338"/>
      <c r="FT300" s="338"/>
      <c r="FU300" s="338"/>
      <c r="FV300" s="338"/>
      <c r="FW300" s="338"/>
      <c r="FX300" s="183"/>
      <c r="FY300" s="259"/>
      <c r="FZ300" s="259"/>
      <c r="GA300" s="259"/>
      <c r="GB300" s="259"/>
      <c r="GC300" s="183"/>
      <c r="GD300" s="183"/>
      <c r="GE300" s="183"/>
      <c r="GF300" s="183"/>
      <c r="GG300" s="183"/>
      <c r="GH300" s="183"/>
      <c r="GI300" s="183"/>
      <c r="GJ300" s="183"/>
      <c r="GK300" s="183"/>
      <c r="GL300" s="183"/>
      <c r="GM300" s="183"/>
      <c r="GN300" s="183"/>
      <c r="GO300" s="183"/>
      <c r="GP300" s="183"/>
      <c r="GQ300" s="183"/>
      <c r="GR300" s="183"/>
      <c r="GS300" s="183"/>
      <c r="GT300" s="183"/>
      <c r="GU300" s="183"/>
      <c r="GV300" s="183"/>
      <c r="GW300" s="66"/>
      <c r="GX300" s="66"/>
      <c r="GY300" s="66"/>
      <c r="GZ300" s="66"/>
      <c r="HA300" s="66"/>
      <c r="HB300" s="66"/>
      <c r="HC300" s="66"/>
      <c r="HD300" s="66"/>
      <c r="HE300" s="66"/>
      <c r="HF300" s="66"/>
      <c r="HG300" s="66"/>
      <c r="HH300" s="66"/>
      <c r="HI300" s="66"/>
      <c r="HJ300" s="66"/>
      <c r="HK300" s="66"/>
      <c r="HL300" s="66"/>
      <c r="HM300" s="66"/>
      <c r="HN300" s="66"/>
      <c r="HO300" s="66"/>
      <c r="HP300" s="66"/>
      <c r="HQ300" s="66"/>
      <c r="HR300" s="66"/>
      <c r="HS300" s="66"/>
      <c r="HT300" s="66"/>
      <c r="HU300" s="66"/>
      <c r="HV300" s="66"/>
      <c r="HW300" s="66"/>
      <c r="HX300" s="66"/>
      <c r="HY300" s="66"/>
      <c r="HZ300" s="66"/>
      <c r="IA300" s="66"/>
    </row>
    <row r="301" spans="1:235" customFormat="1" ht="3.75" customHeight="1">
      <c r="A301" s="1"/>
      <c r="B301" s="3"/>
      <c r="C301" s="3"/>
      <c r="D301" s="124"/>
      <c r="E301" s="66"/>
      <c r="F301" s="66"/>
      <c r="G301" s="66"/>
      <c r="H301" s="606"/>
      <c r="I301" s="606"/>
      <c r="J301" s="606"/>
      <c r="K301" s="606"/>
      <c r="L301" s="606"/>
      <c r="M301" s="606"/>
      <c r="N301" s="606"/>
      <c r="O301" s="606"/>
      <c r="P301" s="606"/>
      <c r="Q301" s="606"/>
      <c r="R301" s="606"/>
      <c r="S301" s="606"/>
      <c r="T301" s="606"/>
      <c r="U301" s="606"/>
      <c r="V301" s="606"/>
      <c r="W301" s="606"/>
      <c r="X301" s="606"/>
      <c r="Y301" s="606"/>
      <c r="Z301" s="606"/>
      <c r="AA301" s="606"/>
      <c r="AB301" s="606"/>
      <c r="AC301" s="606"/>
      <c r="AD301" s="606"/>
      <c r="AE301" s="606"/>
      <c r="AF301" s="606"/>
      <c r="AG301" s="606"/>
      <c r="AH301" s="606"/>
      <c r="AI301" s="606"/>
      <c r="AJ301" s="606"/>
      <c r="AK301" s="606"/>
      <c r="AL301" s="606"/>
      <c r="AM301" s="606"/>
      <c r="AN301" s="606"/>
      <c r="AO301" s="606"/>
      <c r="AP301" s="606"/>
      <c r="AQ301" s="606"/>
      <c r="AR301" s="606"/>
      <c r="AS301" s="606"/>
      <c r="AT301" s="606"/>
      <c r="AU301" s="606"/>
      <c r="AV301" s="606"/>
      <c r="AW301" s="606"/>
      <c r="AX301" s="606"/>
      <c r="AY301" s="606"/>
      <c r="AZ301" s="606"/>
      <c r="BA301" s="606"/>
      <c r="BB301" s="606"/>
      <c r="BC301" s="606"/>
      <c r="BD301" s="606"/>
      <c r="BE301" s="606"/>
      <c r="BF301" s="606"/>
      <c r="BG301" s="606"/>
      <c r="BH301" s="606"/>
      <c r="BI301" s="606"/>
      <c r="BJ301" s="606"/>
      <c r="BK301" s="606"/>
      <c r="BL301" s="606"/>
      <c r="BM301" s="606"/>
      <c r="BN301" s="606"/>
      <c r="BO301" s="606"/>
      <c r="BP301" s="606"/>
      <c r="BQ301" s="606"/>
      <c r="BR301" s="606"/>
      <c r="BS301" s="606"/>
      <c r="BT301" s="606"/>
      <c r="BU301" s="606"/>
      <c r="BV301" s="606"/>
      <c r="BW301" s="606"/>
      <c r="BX301" s="79"/>
      <c r="BY301" s="544" t="str">
        <f ca="1">IF(FL1=0,"","+")</f>
        <v/>
      </c>
      <c r="BZ301" s="545"/>
      <c r="CA301" s="545"/>
      <c r="CB301" s="545"/>
      <c r="CC301" s="545"/>
      <c r="CD301" s="545"/>
      <c r="CE301" s="545"/>
      <c r="CF301" s="278"/>
      <c r="CG301" s="544" t="str">
        <f ca="1">IF(FL1=0,"","+")</f>
        <v/>
      </c>
      <c r="CH301" s="545"/>
      <c r="CI301" s="545"/>
      <c r="CJ301" s="545"/>
      <c r="CK301" s="545"/>
      <c r="CL301" s="545"/>
      <c r="CM301" s="545"/>
      <c r="CN301" s="278"/>
      <c r="CO301" s="544" t="str">
        <f ca="1">IF(FL1=0,"","+")</f>
        <v/>
      </c>
      <c r="CP301" s="545"/>
      <c r="CQ301" s="545"/>
      <c r="CR301" s="545"/>
      <c r="CS301" s="545"/>
      <c r="CT301" s="545"/>
      <c r="CU301" s="545"/>
      <c r="CV301" s="278"/>
      <c r="CW301" s="544" t="str">
        <f ca="1">IF(FL1=0,"","+")</f>
        <v/>
      </c>
      <c r="CX301" s="545"/>
      <c r="CY301" s="545"/>
      <c r="CZ301" s="545"/>
      <c r="DA301" s="545"/>
      <c r="DB301" s="545"/>
      <c r="DC301" s="545"/>
      <c r="DD301" s="278"/>
      <c r="DE301" s="544" t="str">
        <f ca="1">IF(FL1=0,"","+")</f>
        <v/>
      </c>
      <c r="DF301" s="545"/>
      <c r="DG301" s="545"/>
      <c r="DH301" s="545"/>
      <c r="DI301" s="545"/>
      <c r="DJ301" s="545"/>
      <c r="DK301" s="545"/>
      <c r="DL301" s="278"/>
      <c r="DM301" s="544" t="str">
        <f ca="1">IF(FL1=0,"","+")</f>
        <v/>
      </c>
      <c r="DN301" s="545"/>
      <c r="DO301" s="545"/>
      <c r="DP301" s="545"/>
      <c r="DQ301" s="545"/>
      <c r="DR301" s="545"/>
      <c r="DS301" s="545"/>
      <c r="DT301" s="278"/>
      <c r="DU301" s="544" t="str">
        <f ca="1">IF(FL1=0,"","+")</f>
        <v/>
      </c>
      <c r="DV301" s="545"/>
      <c r="DW301" s="545"/>
      <c r="DX301" s="545"/>
      <c r="DY301" s="545"/>
      <c r="DZ301" s="545"/>
      <c r="EA301" s="545"/>
      <c r="EB301" s="278"/>
      <c r="EC301" s="544" t="str">
        <f ca="1">IF(FL1=0,"","+")</f>
        <v/>
      </c>
      <c r="ED301" s="545"/>
      <c r="EE301" s="545"/>
      <c r="EF301" s="545"/>
      <c r="EG301" s="545"/>
      <c r="EH301" s="545"/>
      <c r="EI301" s="545"/>
      <c r="EJ301" s="278"/>
      <c r="EK301" s="544" t="str">
        <f ca="1">IF(FL1=0,"","+")</f>
        <v/>
      </c>
      <c r="EL301" s="545"/>
      <c r="EM301" s="545"/>
      <c r="EN301" s="545"/>
      <c r="EO301" s="545"/>
      <c r="EP301" s="545"/>
      <c r="EQ301" s="545"/>
      <c r="ER301" s="79"/>
      <c r="ES301" s="79"/>
      <c r="ET301" s="79"/>
      <c r="EU301" s="79"/>
      <c r="EV301" s="79"/>
      <c r="EW301" s="79"/>
      <c r="EX301" s="79"/>
      <c r="EY301" s="79"/>
      <c r="EZ301" s="79"/>
      <c r="FA301" s="79"/>
      <c r="FB301" s="79"/>
      <c r="FC301" s="79"/>
      <c r="FD301" s="79"/>
      <c r="FE301" s="79"/>
      <c r="FF301" s="79"/>
      <c r="FG301" s="79"/>
      <c r="FH301" s="79"/>
      <c r="FI301" s="79"/>
      <c r="FJ301" s="338"/>
      <c r="FK301" s="338"/>
      <c r="FL301" s="338"/>
      <c r="FM301" s="93"/>
      <c r="FN301" s="353"/>
      <c r="FO301" s="353"/>
      <c r="FP301" s="354"/>
      <c r="FQ301" s="353"/>
      <c r="FR301" s="353"/>
      <c r="FS301" s="47"/>
      <c r="FT301" s="47"/>
      <c r="FU301" s="47"/>
      <c r="FV301" s="47"/>
      <c r="FW301" s="47"/>
      <c r="FX301" s="183"/>
      <c r="FY301" s="259"/>
      <c r="FZ301" s="259"/>
      <c r="GA301" s="259"/>
      <c r="GB301" s="259"/>
      <c r="GC301" s="183"/>
      <c r="GD301" s="183"/>
      <c r="GE301" s="183"/>
      <c r="GF301" s="183"/>
      <c r="GG301" s="183"/>
      <c r="GH301" s="183"/>
      <c r="GI301" s="183"/>
      <c r="GJ301" s="183"/>
      <c r="GK301" s="183"/>
      <c r="GL301" s="183"/>
      <c r="GM301" s="183"/>
      <c r="GN301" s="183"/>
      <c r="GO301" s="183"/>
      <c r="GP301" s="183"/>
      <c r="GQ301" s="183"/>
      <c r="GR301" s="183"/>
      <c r="GS301" s="183"/>
      <c r="GT301" s="183"/>
      <c r="GU301" s="183"/>
      <c r="GV301" s="183"/>
      <c r="GW301" s="66"/>
      <c r="GX301" s="66"/>
      <c r="GY301" s="66"/>
      <c r="GZ301" s="66"/>
      <c r="HA301" s="66"/>
      <c r="HB301" s="66"/>
      <c r="HC301" s="66"/>
      <c r="HD301" s="66"/>
      <c r="HE301" s="66"/>
      <c r="HF301" s="66"/>
      <c r="HG301" s="66"/>
      <c r="HH301" s="66"/>
      <c r="HI301" s="66"/>
      <c r="HJ301" s="66"/>
      <c r="HK301" s="66"/>
      <c r="HL301" s="66"/>
      <c r="HM301" s="66"/>
      <c r="HN301" s="66"/>
      <c r="HO301" s="66"/>
      <c r="HP301" s="66"/>
      <c r="HQ301" s="66"/>
      <c r="HR301" s="66"/>
      <c r="HS301" s="66"/>
      <c r="HT301" s="66"/>
      <c r="HU301" s="66"/>
      <c r="HV301" s="66"/>
      <c r="HW301" s="66"/>
      <c r="HX301" s="66"/>
      <c r="HY301" s="66"/>
      <c r="HZ301" s="66"/>
      <c r="IA301" s="66"/>
    </row>
    <row r="302" spans="1:235" customFormat="1" ht="18.75" customHeight="1">
      <c r="A302" s="1"/>
      <c r="B302" s="3"/>
      <c r="C302" s="3"/>
      <c r="D302" s="124"/>
      <c r="E302" s="66"/>
      <c r="F302" s="66"/>
      <c r="G302" s="66"/>
      <c r="H302" s="606"/>
      <c r="I302" s="606"/>
      <c r="J302" s="606"/>
      <c r="K302" s="606"/>
      <c r="L302" s="606"/>
      <c r="M302" s="606"/>
      <c r="N302" s="606"/>
      <c r="O302" s="606"/>
      <c r="P302" s="606"/>
      <c r="Q302" s="606"/>
      <c r="R302" s="606"/>
      <c r="S302" s="606"/>
      <c r="T302" s="606"/>
      <c r="U302" s="606"/>
      <c r="V302" s="606"/>
      <c r="W302" s="606"/>
      <c r="X302" s="606"/>
      <c r="Y302" s="606"/>
      <c r="Z302" s="606"/>
      <c r="AA302" s="606"/>
      <c r="AB302" s="606"/>
      <c r="AC302" s="606"/>
      <c r="AD302" s="606"/>
      <c r="AE302" s="606"/>
      <c r="AF302" s="606"/>
      <c r="AG302" s="606"/>
      <c r="AH302" s="606"/>
      <c r="AI302" s="606"/>
      <c r="AJ302" s="606"/>
      <c r="AK302" s="606"/>
      <c r="AL302" s="606"/>
      <c r="AM302" s="606"/>
      <c r="AN302" s="606"/>
      <c r="AO302" s="606"/>
      <c r="AP302" s="606"/>
      <c r="AQ302" s="606"/>
      <c r="AR302" s="606"/>
      <c r="AS302" s="606"/>
      <c r="AT302" s="606"/>
      <c r="AU302" s="606"/>
      <c r="AV302" s="606"/>
      <c r="AW302" s="606"/>
      <c r="AX302" s="606"/>
      <c r="AY302" s="606"/>
      <c r="AZ302" s="606"/>
      <c r="BA302" s="606"/>
      <c r="BB302" s="606"/>
      <c r="BC302" s="606"/>
      <c r="BD302" s="606"/>
      <c r="BE302" s="606"/>
      <c r="BF302" s="606"/>
      <c r="BG302" s="606"/>
      <c r="BH302" s="606"/>
      <c r="BI302" s="606"/>
      <c r="BJ302" s="606"/>
      <c r="BK302" s="606"/>
      <c r="BL302" s="606"/>
      <c r="BM302" s="606"/>
      <c r="BN302" s="606"/>
      <c r="BO302" s="606"/>
      <c r="BP302" s="606"/>
      <c r="BQ302" s="606"/>
      <c r="BR302" s="606"/>
      <c r="BS302" s="606"/>
      <c r="BT302" s="606"/>
      <c r="BU302" s="606"/>
      <c r="BV302" s="606"/>
      <c r="BW302" s="606"/>
      <c r="BX302" s="79"/>
      <c r="BY302" s="330" t="str">
        <f ca="1">IF(FL1=0,"","+")</f>
        <v/>
      </c>
      <c r="BZ302" s="543"/>
      <c r="CA302" s="543"/>
      <c r="CB302" s="543"/>
      <c r="CC302" s="543"/>
      <c r="CD302" s="543"/>
      <c r="CE302" s="497" t="str">
        <f ca="1">IF(FL1=0,"","+")</f>
        <v/>
      </c>
      <c r="CF302" s="498" t="s">
        <v>131</v>
      </c>
      <c r="CG302" s="497" t="str">
        <f ca="1">IF(FL1=0,"","+")</f>
        <v/>
      </c>
      <c r="CH302" s="543"/>
      <c r="CI302" s="543"/>
      <c r="CJ302" s="543"/>
      <c r="CK302" s="543"/>
      <c r="CL302" s="543"/>
      <c r="CM302" s="497" t="str">
        <f ca="1">IF(FL1=0,"","+")</f>
        <v/>
      </c>
      <c r="CN302" s="498" t="s">
        <v>131</v>
      </c>
      <c r="CO302" s="497" t="str">
        <f ca="1">IF(FL1=0,"","+")</f>
        <v/>
      </c>
      <c r="CP302" s="543"/>
      <c r="CQ302" s="543"/>
      <c r="CR302" s="543"/>
      <c r="CS302" s="543"/>
      <c r="CT302" s="543"/>
      <c r="CU302" s="497" t="str">
        <f ca="1">IF(FL1=0,"","+")</f>
        <v/>
      </c>
      <c r="CV302" s="498" t="s">
        <v>131</v>
      </c>
      <c r="CW302" s="497" t="str">
        <f ca="1">IF(FL1=0,"","+")</f>
        <v/>
      </c>
      <c r="CX302" s="543"/>
      <c r="CY302" s="543"/>
      <c r="CZ302" s="543"/>
      <c r="DA302" s="543"/>
      <c r="DB302" s="543"/>
      <c r="DC302" s="497" t="str">
        <f ca="1">IF(FL1=0,"","+")</f>
        <v/>
      </c>
      <c r="DD302" s="498" t="s">
        <v>131</v>
      </c>
      <c r="DE302" s="497" t="str">
        <f ca="1">IF(FL1=0,"","+")</f>
        <v/>
      </c>
      <c r="DF302" s="543"/>
      <c r="DG302" s="543"/>
      <c r="DH302" s="543"/>
      <c r="DI302" s="543"/>
      <c r="DJ302" s="543"/>
      <c r="DK302" s="497" t="str">
        <f ca="1">IF(FL1=0,"","+")</f>
        <v/>
      </c>
      <c r="DL302" s="498" t="s">
        <v>131</v>
      </c>
      <c r="DM302" s="497" t="str">
        <f ca="1">IF(FL1=0,"","+")</f>
        <v/>
      </c>
      <c r="DN302" s="543"/>
      <c r="DO302" s="543"/>
      <c r="DP302" s="543"/>
      <c r="DQ302" s="543"/>
      <c r="DR302" s="543"/>
      <c r="DS302" s="497" t="str">
        <f ca="1">IF(FL1=0,"","+")</f>
        <v/>
      </c>
      <c r="DT302" s="498" t="s">
        <v>131</v>
      </c>
      <c r="DU302" s="497" t="str">
        <f ca="1">IF(FL1=0,"","+")</f>
        <v/>
      </c>
      <c r="DV302" s="543"/>
      <c r="DW302" s="543"/>
      <c r="DX302" s="543"/>
      <c r="DY302" s="543"/>
      <c r="DZ302" s="543"/>
      <c r="EA302" s="497" t="str">
        <f ca="1">IF(FL1=0,"","+")</f>
        <v/>
      </c>
      <c r="EB302" s="498" t="s">
        <v>131</v>
      </c>
      <c r="EC302" s="497" t="str">
        <f ca="1">IF(FL1=0,"","+")</f>
        <v/>
      </c>
      <c r="ED302" s="543"/>
      <c r="EE302" s="543"/>
      <c r="EF302" s="543"/>
      <c r="EG302" s="543"/>
      <c r="EH302" s="543"/>
      <c r="EI302" s="497" t="str">
        <f ca="1">IF(FL1=0,"","+")</f>
        <v/>
      </c>
      <c r="EJ302" s="498" t="s">
        <v>131</v>
      </c>
      <c r="EK302" s="497" t="str">
        <f ca="1">IF(FL1=0,"","+")</f>
        <v/>
      </c>
      <c r="EL302" s="543"/>
      <c r="EM302" s="543"/>
      <c r="EN302" s="543"/>
      <c r="EO302" s="543"/>
      <c r="EP302" s="543"/>
      <c r="EQ302" s="330" t="str">
        <f ca="1">IF(FL1=0,"","+")</f>
        <v/>
      </c>
      <c r="ER302" s="51" t="s">
        <v>131</v>
      </c>
      <c r="ES302" s="79"/>
      <c r="ET302" s="79"/>
      <c r="EU302" s="329" t="str">
        <f ca="1">IF(OR(CO461="",TODAY()&gt;=Blad1!AY3),"",IF(FL1=0,"",IF(AND(BZ297="",CH297="",CP297="",CX297="",DF297="",DN297="",DV297="",ED297="",EL297="",BZ302="",CH302="",CP302="",CX302="",DF302="",DN302="",DV302="",ED302="",EL302="",BZ307="",CH307="",CP307="",CX307="",DF307="",DN307="",DV307="",ED307="",EL307=""),"Deze moet je nog (af-) maken.",IF(FL307=1,"Goed!","Fout!"))))</f>
        <v/>
      </c>
      <c r="EV302" s="79"/>
      <c r="EW302" s="79"/>
      <c r="EX302" s="79"/>
      <c r="EY302" s="79"/>
      <c r="EZ302" s="79"/>
      <c r="FA302" s="79"/>
      <c r="FB302" s="79"/>
      <c r="FC302" s="79"/>
      <c r="FD302" s="79"/>
      <c r="FE302" s="79"/>
      <c r="FF302" s="79"/>
      <c r="FG302" s="79"/>
      <c r="FH302" s="79"/>
      <c r="FI302" s="79"/>
      <c r="FJ302" s="338"/>
      <c r="FK302" s="338"/>
      <c r="FL302" s="338"/>
      <c r="FM302" s="93">
        <f ca="1">IF(programma!B1="X",1,IF(FL1=0,0,IF(AND(BZ302="",CH302=FP297,CP302="",CX302="",DF302=FS297,DN302="",DV302=FU297,ED302="",EL302=""),1,0)))</f>
        <v>0</v>
      </c>
      <c r="FN302" s="48"/>
      <c r="FO302" s="449" t="str">
        <f ca="1">IF(FK1=0,"",FO297)</f>
        <v>A</v>
      </c>
      <c r="FP302" s="449" t="str">
        <f ca="1">IF(FK1=0,"",FP297)</f>
        <v>B</v>
      </c>
      <c r="FQ302" s="449" t="str">
        <f ca="1">IF(FK1=0,"",FQ297)</f>
        <v>C</v>
      </c>
      <c r="FR302" s="449" t="str">
        <f ca="1">IF(FK1=0,"",FR297)</f>
        <v>D</v>
      </c>
      <c r="FS302" s="449" t="str">
        <f ca="1">IF(FK1=0,"",FS297)</f>
        <v>E</v>
      </c>
      <c r="FT302" s="449" t="str">
        <f ca="1">IF(FK1=0,"",FT297)</f>
        <v>F</v>
      </c>
      <c r="FU302" s="449" t="str">
        <f ca="1">IF(FK1=0,"",FU297)</f>
        <v>G</v>
      </c>
      <c r="FV302" s="449" t="str">
        <f ca="1">IF(FK1=0,"",FV297)</f>
        <v>H</v>
      </c>
      <c r="FW302" s="48"/>
      <c r="FX302" s="183"/>
      <c r="FY302" s="259"/>
      <c r="FZ302" s="259"/>
      <c r="GA302" s="259"/>
      <c r="GB302" s="259"/>
      <c r="GC302" s="183"/>
      <c r="GD302" s="183"/>
      <c r="GE302" s="183"/>
      <c r="GF302" s="183"/>
      <c r="GG302" s="183"/>
      <c r="GH302" s="183"/>
      <c r="GI302" s="183"/>
      <c r="GJ302" s="183"/>
      <c r="GK302" s="183"/>
      <c r="GL302" s="183"/>
      <c r="GM302" s="183"/>
      <c r="GN302" s="183"/>
      <c r="GO302" s="183"/>
      <c r="GP302" s="183"/>
      <c r="GQ302" s="183"/>
      <c r="GR302" s="183"/>
      <c r="GS302" s="183"/>
      <c r="GT302" s="183"/>
      <c r="GU302" s="183"/>
      <c r="GV302" s="183"/>
      <c r="GW302" s="66"/>
      <c r="GX302" s="66"/>
      <c r="GY302" s="66"/>
      <c r="GZ302" s="66"/>
      <c r="HA302" s="66"/>
      <c r="HB302" s="66"/>
      <c r="HC302" s="66"/>
      <c r="HD302" s="66"/>
      <c r="HE302" s="66"/>
      <c r="HF302" s="66"/>
      <c r="HG302" s="66"/>
      <c r="HH302" s="66"/>
      <c r="HI302" s="66"/>
      <c r="HJ302" s="66"/>
      <c r="HK302" s="66"/>
      <c r="HL302" s="66"/>
      <c r="HM302" s="66"/>
      <c r="HN302" s="66"/>
      <c r="HO302" s="66"/>
      <c r="HP302" s="66"/>
      <c r="HQ302" s="66"/>
      <c r="HR302" s="66"/>
      <c r="HS302" s="66"/>
      <c r="HT302" s="66"/>
      <c r="HU302" s="66"/>
      <c r="HV302" s="66"/>
      <c r="HW302" s="66"/>
      <c r="HX302" s="66"/>
      <c r="HY302" s="66"/>
      <c r="HZ302" s="66"/>
      <c r="IA302" s="66"/>
    </row>
    <row r="303" spans="1:235" customFormat="1" ht="3.75" customHeight="1">
      <c r="A303" s="1"/>
      <c r="B303" s="3"/>
      <c r="C303" s="3"/>
      <c r="D303" s="124"/>
      <c r="E303" s="66"/>
      <c r="F303" s="66"/>
      <c r="G303" s="66"/>
      <c r="H303" s="606"/>
      <c r="I303" s="606"/>
      <c r="J303" s="606"/>
      <c r="K303" s="606"/>
      <c r="L303" s="606"/>
      <c r="M303" s="606"/>
      <c r="N303" s="606"/>
      <c r="O303" s="606"/>
      <c r="P303" s="606"/>
      <c r="Q303" s="606"/>
      <c r="R303" s="606"/>
      <c r="S303" s="606"/>
      <c r="T303" s="606"/>
      <c r="U303" s="606"/>
      <c r="V303" s="606"/>
      <c r="W303" s="606"/>
      <c r="X303" s="606"/>
      <c r="Y303" s="606"/>
      <c r="Z303" s="606"/>
      <c r="AA303" s="606"/>
      <c r="AB303" s="606"/>
      <c r="AC303" s="606"/>
      <c r="AD303" s="606"/>
      <c r="AE303" s="606"/>
      <c r="AF303" s="606"/>
      <c r="AG303" s="606"/>
      <c r="AH303" s="606"/>
      <c r="AI303" s="606"/>
      <c r="AJ303" s="606"/>
      <c r="AK303" s="606"/>
      <c r="AL303" s="606"/>
      <c r="AM303" s="606"/>
      <c r="AN303" s="606"/>
      <c r="AO303" s="606"/>
      <c r="AP303" s="606"/>
      <c r="AQ303" s="606"/>
      <c r="AR303" s="606"/>
      <c r="AS303" s="606"/>
      <c r="AT303" s="606"/>
      <c r="AU303" s="606"/>
      <c r="AV303" s="606"/>
      <c r="AW303" s="606"/>
      <c r="AX303" s="606"/>
      <c r="AY303" s="606"/>
      <c r="AZ303" s="606"/>
      <c r="BA303" s="606"/>
      <c r="BB303" s="606"/>
      <c r="BC303" s="606"/>
      <c r="BD303" s="606"/>
      <c r="BE303" s="606"/>
      <c r="BF303" s="606"/>
      <c r="BG303" s="606"/>
      <c r="BH303" s="606"/>
      <c r="BI303" s="606"/>
      <c r="BJ303" s="606"/>
      <c r="BK303" s="606"/>
      <c r="BL303" s="606"/>
      <c r="BM303" s="606"/>
      <c r="BN303" s="606"/>
      <c r="BO303" s="606"/>
      <c r="BP303" s="606"/>
      <c r="BQ303" s="606"/>
      <c r="BR303" s="606"/>
      <c r="BS303" s="606"/>
      <c r="BT303" s="606"/>
      <c r="BU303" s="606"/>
      <c r="BV303" s="606"/>
      <c r="BW303" s="606"/>
      <c r="BX303" s="79"/>
      <c r="BY303" s="544" t="str">
        <f ca="1">IF(FL1=0,"","+")</f>
        <v/>
      </c>
      <c r="BZ303" s="545"/>
      <c r="CA303" s="545"/>
      <c r="CB303" s="545"/>
      <c r="CC303" s="545"/>
      <c r="CD303" s="545"/>
      <c r="CE303" s="545"/>
      <c r="CF303" s="278"/>
      <c r="CG303" s="544" t="str">
        <f ca="1">IF(FL1=0,"","+")</f>
        <v/>
      </c>
      <c r="CH303" s="545"/>
      <c r="CI303" s="545"/>
      <c r="CJ303" s="545"/>
      <c r="CK303" s="545"/>
      <c r="CL303" s="545"/>
      <c r="CM303" s="545"/>
      <c r="CN303" s="278"/>
      <c r="CO303" s="544" t="str">
        <f ca="1">IF(FL1=0,"","+")</f>
        <v/>
      </c>
      <c r="CP303" s="545"/>
      <c r="CQ303" s="545"/>
      <c r="CR303" s="545"/>
      <c r="CS303" s="545"/>
      <c r="CT303" s="545"/>
      <c r="CU303" s="545"/>
      <c r="CV303" s="278"/>
      <c r="CW303" s="544" t="str">
        <f ca="1">IF(FL1=0,"","+")</f>
        <v/>
      </c>
      <c r="CX303" s="545"/>
      <c r="CY303" s="545"/>
      <c r="CZ303" s="545"/>
      <c r="DA303" s="545"/>
      <c r="DB303" s="545"/>
      <c r="DC303" s="545"/>
      <c r="DD303" s="278"/>
      <c r="DE303" s="544" t="str">
        <f ca="1">IF(FL1=0,"","+")</f>
        <v/>
      </c>
      <c r="DF303" s="545"/>
      <c r="DG303" s="545"/>
      <c r="DH303" s="545"/>
      <c r="DI303" s="545"/>
      <c r="DJ303" s="545"/>
      <c r="DK303" s="545"/>
      <c r="DL303" s="278"/>
      <c r="DM303" s="544" t="str">
        <f ca="1">IF(FL1=0,"","+")</f>
        <v/>
      </c>
      <c r="DN303" s="545"/>
      <c r="DO303" s="545"/>
      <c r="DP303" s="545"/>
      <c r="DQ303" s="545"/>
      <c r="DR303" s="545"/>
      <c r="DS303" s="545"/>
      <c r="DT303" s="278"/>
      <c r="DU303" s="544" t="str">
        <f ca="1">IF(FL1=0,"","+")</f>
        <v/>
      </c>
      <c r="DV303" s="545"/>
      <c r="DW303" s="545"/>
      <c r="DX303" s="545"/>
      <c r="DY303" s="545"/>
      <c r="DZ303" s="545"/>
      <c r="EA303" s="545"/>
      <c r="EB303" s="278"/>
      <c r="EC303" s="544" t="str">
        <f ca="1">IF(FL1=0,"","+")</f>
        <v/>
      </c>
      <c r="ED303" s="545"/>
      <c r="EE303" s="545"/>
      <c r="EF303" s="545"/>
      <c r="EG303" s="545"/>
      <c r="EH303" s="545"/>
      <c r="EI303" s="545"/>
      <c r="EJ303" s="278"/>
      <c r="EK303" s="544" t="str">
        <f ca="1">IF(FL1=0,"","+")</f>
        <v/>
      </c>
      <c r="EL303" s="545"/>
      <c r="EM303" s="545"/>
      <c r="EN303" s="545"/>
      <c r="EO303" s="545"/>
      <c r="EP303" s="545"/>
      <c r="EQ303" s="545"/>
      <c r="ER303" s="79"/>
      <c r="ES303" s="79"/>
      <c r="ET303" s="79"/>
      <c r="EU303" s="79"/>
      <c r="EV303" s="79"/>
      <c r="EW303" s="79"/>
      <c r="EX303" s="79"/>
      <c r="EY303" s="79"/>
      <c r="EZ303" s="79"/>
      <c r="FA303" s="79"/>
      <c r="FB303" s="79"/>
      <c r="FC303" s="79"/>
      <c r="FD303" s="79"/>
      <c r="FE303" s="79"/>
      <c r="FF303" s="79"/>
      <c r="FG303" s="79"/>
      <c r="FH303" s="79"/>
      <c r="FI303" s="79"/>
      <c r="FJ303" s="338"/>
      <c r="FK303" s="338"/>
      <c r="FL303" s="338"/>
      <c r="FM303" s="93"/>
      <c r="FN303" s="354"/>
      <c r="FO303" s="354"/>
      <c r="FP303" s="354"/>
      <c r="FQ303" s="47"/>
      <c r="FR303" s="47"/>
      <c r="FS303" s="47"/>
      <c r="FT303" s="47"/>
      <c r="FU303" s="47"/>
      <c r="FV303" s="47"/>
      <c r="FW303" s="47"/>
      <c r="FX303" s="183"/>
      <c r="FY303" s="259"/>
      <c r="FZ303" s="259"/>
      <c r="GA303" s="259"/>
      <c r="GB303" s="259"/>
      <c r="GC303" s="183"/>
      <c r="GD303" s="183"/>
      <c r="GE303" s="183"/>
      <c r="GF303" s="183"/>
      <c r="GG303" s="183"/>
      <c r="GH303" s="183"/>
      <c r="GI303" s="183"/>
      <c r="GJ303" s="183"/>
      <c r="GK303" s="183"/>
      <c r="GL303" s="183"/>
      <c r="GM303" s="183"/>
      <c r="GN303" s="183"/>
      <c r="GO303" s="183"/>
      <c r="GP303" s="183"/>
      <c r="GQ303" s="183"/>
      <c r="GR303" s="183"/>
      <c r="GS303" s="183"/>
      <c r="GT303" s="183"/>
      <c r="GU303" s="183"/>
      <c r="GV303" s="183"/>
      <c r="GW303" s="66"/>
      <c r="GX303" s="66"/>
      <c r="GY303" s="66"/>
      <c r="GZ303" s="66"/>
      <c r="HA303" s="66"/>
      <c r="HB303" s="66"/>
      <c r="HC303" s="66"/>
      <c r="HD303" s="66"/>
      <c r="HE303" s="66"/>
      <c r="HF303" s="66"/>
      <c r="HG303" s="66"/>
      <c r="HH303" s="66"/>
      <c r="HI303" s="66"/>
      <c r="HJ303" s="66"/>
      <c r="HK303" s="66"/>
      <c r="HL303" s="66"/>
      <c r="HM303" s="66"/>
      <c r="HN303" s="66"/>
      <c r="HO303" s="66"/>
      <c r="HP303" s="66"/>
      <c r="HQ303" s="66"/>
      <c r="HR303" s="66"/>
      <c r="HS303" s="66"/>
      <c r="HT303" s="66"/>
      <c r="HU303" s="66"/>
      <c r="HV303" s="66"/>
      <c r="HW303" s="66"/>
      <c r="HX303" s="66"/>
      <c r="HY303" s="66"/>
      <c r="HZ303" s="66"/>
      <c r="IA303" s="66"/>
    </row>
    <row r="304" spans="1:235" customFormat="1" ht="13.95" customHeight="1">
      <c r="A304" s="1"/>
      <c r="B304" s="3"/>
      <c r="C304" s="3"/>
      <c r="D304" s="124"/>
      <c r="E304" s="66"/>
      <c r="F304" s="66"/>
      <c r="G304" s="66"/>
      <c r="H304" s="606"/>
      <c r="I304" s="606"/>
      <c r="J304" s="606"/>
      <c r="K304" s="606"/>
      <c r="L304" s="606"/>
      <c r="M304" s="606"/>
      <c r="N304" s="606"/>
      <c r="O304" s="606"/>
      <c r="P304" s="606"/>
      <c r="Q304" s="606"/>
      <c r="R304" s="606"/>
      <c r="S304" s="606"/>
      <c r="T304" s="606"/>
      <c r="U304" s="606"/>
      <c r="V304" s="606"/>
      <c r="W304" s="606"/>
      <c r="X304" s="606"/>
      <c r="Y304" s="606"/>
      <c r="Z304" s="606"/>
      <c r="AA304" s="606"/>
      <c r="AB304" s="606"/>
      <c r="AC304" s="606"/>
      <c r="AD304" s="606"/>
      <c r="AE304" s="606"/>
      <c r="AF304" s="606"/>
      <c r="AG304" s="606"/>
      <c r="AH304" s="606"/>
      <c r="AI304" s="606"/>
      <c r="AJ304" s="606"/>
      <c r="AK304" s="606"/>
      <c r="AL304" s="606"/>
      <c r="AM304" s="606"/>
      <c r="AN304" s="606"/>
      <c r="AO304" s="606"/>
      <c r="AP304" s="606"/>
      <c r="AQ304" s="606"/>
      <c r="AR304" s="606"/>
      <c r="AS304" s="606"/>
      <c r="AT304" s="606"/>
      <c r="AU304" s="606"/>
      <c r="AV304" s="606"/>
      <c r="AW304" s="606"/>
      <c r="AX304" s="606"/>
      <c r="AY304" s="606"/>
      <c r="AZ304" s="606"/>
      <c r="BA304" s="606"/>
      <c r="BB304" s="606"/>
      <c r="BC304" s="606"/>
      <c r="BD304" s="606"/>
      <c r="BE304" s="606"/>
      <c r="BF304" s="606"/>
      <c r="BG304" s="606"/>
      <c r="BH304" s="606"/>
      <c r="BI304" s="606"/>
      <c r="BJ304" s="606"/>
      <c r="BK304" s="606"/>
      <c r="BL304" s="606"/>
      <c r="BM304" s="606"/>
      <c r="BN304" s="606"/>
      <c r="BO304" s="606"/>
      <c r="BP304" s="606"/>
      <c r="BQ304" s="606"/>
      <c r="BR304" s="606"/>
      <c r="BS304" s="606"/>
      <c r="BT304" s="606"/>
      <c r="BU304" s="606"/>
      <c r="BV304" s="606"/>
      <c r="BW304" s="606"/>
      <c r="BX304" s="43"/>
      <c r="BY304" s="43"/>
      <c r="BZ304" s="43"/>
      <c r="CA304" s="43"/>
      <c r="CB304" s="43"/>
      <c r="CC304" s="43"/>
      <c r="CD304" s="43"/>
      <c r="CE304" s="43"/>
      <c r="CF304" s="43"/>
      <c r="CG304" s="43"/>
      <c r="CH304" s="43"/>
      <c r="CI304" s="43"/>
      <c r="CJ304" s="278"/>
      <c r="CK304" s="278"/>
      <c r="CL304" s="278"/>
      <c r="CM304" s="278"/>
      <c r="CN304" s="278"/>
      <c r="CO304" s="278"/>
      <c r="CP304" s="278"/>
      <c r="CQ304" s="278"/>
      <c r="CR304" s="278"/>
      <c r="CS304" s="278"/>
      <c r="CT304" s="278"/>
      <c r="CU304" s="278"/>
      <c r="CV304" s="278"/>
      <c r="CW304" s="278"/>
      <c r="CX304" s="278"/>
      <c r="CY304" s="278"/>
      <c r="CZ304" s="278"/>
      <c r="DA304" s="278"/>
      <c r="DB304" s="278"/>
      <c r="DC304" s="278"/>
      <c r="DD304" s="278"/>
      <c r="DE304" s="278"/>
      <c r="DF304" s="278"/>
      <c r="DG304" s="278"/>
      <c r="DH304" s="278"/>
      <c r="DI304" s="278"/>
      <c r="DJ304" s="278"/>
      <c r="DK304" s="278"/>
      <c r="DL304" s="278"/>
      <c r="DM304" s="278"/>
      <c r="DN304" s="278"/>
      <c r="DO304" s="278"/>
      <c r="DP304" s="278"/>
      <c r="DQ304" s="278"/>
      <c r="DR304" s="278"/>
      <c r="DS304" s="278"/>
      <c r="DT304" s="278"/>
      <c r="DU304" s="278"/>
      <c r="DV304" s="278"/>
      <c r="DW304" s="278"/>
      <c r="DX304" s="278"/>
      <c r="DY304" s="278"/>
      <c r="DZ304" s="278"/>
      <c r="EA304" s="278"/>
      <c r="EB304" s="278"/>
      <c r="EC304" s="278"/>
      <c r="ED304" s="278"/>
      <c r="EE304" s="278"/>
      <c r="EF304" s="278"/>
      <c r="EG304" s="278"/>
      <c r="EH304" s="278"/>
      <c r="EI304" s="278"/>
      <c r="EJ304" s="278"/>
      <c r="EK304" s="278"/>
      <c r="EL304" s="278"/>
      <c r="EM304" s="278"/>
      <c r="EN304" s="278"/>
      <c r="EO304" s="278"/>
      <c r="EP304" s="278"/>
      <c r="EQ304" s="278"/>
      <c r="ER304" s="79"/>
      <c r="ES304" s="79"/>
      <c r="ET304" s="79"/>
      <c r="EU304" s="79"/>
      <c r="EV304" s="79"/>
      <c r="EW304" s="79"/>
      <c r="EX304" s="79"/>
      <c r="EY304" s="79"/>
      <c r="EZ304" s="79"/>
      <c r="FA304" s="79"/>
      <c r="FB304" s="79"/>
      <c r="FC304" s="79"/>
      <c r="FD304" s="79"/>
      <c r="FE304" s="79"/>
      <c r="FF304" s="79"/>
      <c r="FG304" s="79"/>
      <c r="FH304" s="79"/>
      <c r="FI304" s="79"/>
      <c r="FJ304" s="338"/>
      <c r="FK304" s="338"/>
      <c r="FL304" s="338"/>
      <c r="FM304" s="93"/>
      <c r="FN304" s="338"/>
      <c r="FO304" s="338"/>
      <c r="FP304" s="338"/>
      <c r="FQ304" s="338"/>
      <c r="FR304" s="338"/>
      <c r="FS304" s="338"/>
      <c r="FT304" s="338"/>
      <c r="FU304" s="338"/>
      <c r="FV304" s="338"/>
      <c r="FW304" s="338"/>
      <c r="FX304" s="183"/>
      <c r="FY304" s="259"/>
      <c r="FZ304" s="259"/>
      <c r="GA304" s="259"/>
      <c r="GB304" s="259"/>
      <c r="GC304" s="183"/>
      <c r="GD304" s="183"/>
      <c r="GE304" s="183"/>
      <c r="GF304" s="183"/>
      <c r="GG304" s="183"/>
      <c r="GH304" s="183"/>
      <c r="GI304" s="183"/>
      <c r="GJ304" s="183"/>
      <c r="GK304" s="183"/>
      <c r="GL304" s="183"/>
      <c r="GM304" s="183"/>
      <c r="GN304" s="183"/>
      <c r="GO304" s="183"/>
      <c r="GP304" s="183"/>
      <c r="GQ304" s="183"/>
      <c r="GR304" s="183"/>
      <c r="GS304" s="183"/>
      <c r="GT304" s="183"/>
      <c r="GU304" s="183"/>
      <c r="GV304" s="183"/>
      <c r="GW304" s="66"/>
      <c r="GX304" s="66"/>
      <c r="GY304" s="66"/>
      <c r="GZ304" s="66"/>
      <c r="HA304" s="66"/>
      <c r="HB304" s="66"/>
      <c r="HC304" s="66"/>
      <c r="HD304" s="66"/>
      <c r="HE304" s="66"/>
      <c r="HF304" s="66"/>
      <c r="HG304" s="66"/>
      <c r="HH304" s="66"/>
      <c r="HI304" s="66"/>
      <c r="HJ304" s="66"/>
      <c r="HK304" s="66"/>
      <c r="HL304" s="66"/>
      <c r="HM304" s="66"/>
      <c r="HN304" s="66"/>
      <c r="HO304" s="66"/>
      <c r="HP304" s="66"/>
      <c r="HQ304" s="66"/>
      <c r="HR304" s="66"/>
      <c r="HS304" s="66"/>
      <c r="HT304" s="66"/>
      <c r="HU304" s="66"/>
      <c r="HV304" s="66"/>
      <c r="HW304" s="66"/>
      <c r="HX304" s="66"/>
      <c r="HY304" s="66"/>
      <c r="HZ304" s="66"/>
      <c r="IA304" s="66"/>
    </row>
    <row r="305" spans="1:236" customFormat="1" ht="4.2" customHeight="1">
      <c r="A305" s="1"/>
      <c r="B305" s="3"/>
      <c r="C305" s="3"/>
      <c r="D305" s="124"/>
      <c r="E305" s="66"/>
      <c r="F305" s="66"/>
      <c r="G305" s="315"/>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5"/>
      <c r="AD305" s="315"/>
      <c r="AE305" s="315"/>
      <c r="AF305" s="315"/>
      <c r="AG305" s="315"/>
      <c r="AH305" s="315"/>
      <c r="AI305" s="315"/>
      <c r="AJ305" s="315"/>
      <c r="AK305" s="315"/>
      <c r="AL305" s="315"/>
      <c r="AM305" s="315"/>
      <c r="AN305" s="315"/>
      <c r="AO305" s="315"/>
      <c r="AP305" s="315"/>
      <c r="AQ305" s="315"/>
      <c r="AR305" s="315"/>
      <c r="AS305" s="315"/>
      <c r="AT305" s="315"/>
      <c r="AU305" s="315"/>
      <c r="AV305" s="315"/>
      <c r="AW305" s="315"/>
      <c r="AX305" s="315"/>
      <c r="AY305" s="315"/>
      <c r="AZ305" s="315"/>
      <c r="BA305" s="315"/>
      <c r="BB305" s="315"/>
      <c r="BC305" s="315"/>
      <c r="BD305" s="315"/>
      <c r="BE305" s="315"/>
      <c r="BF305" s="315"/>
      <c r="BG305" s="315"/>
      <c r="BH305" s="315"/>
      <c r="BI305" s="315"/>
      <c r="BJ305" s="315"/>
      <c r="BK305" s="315"/>
      <c r="BL305" s="315"/>
      <c r="BM305" s="315"/>
      <c r="BN305" s="315"/>
      <c r="BO305" s="315"/>
      <c r="BP305" s="315"/>
      <c r="BQ305" s="315"/>
      <c r="BR305" s="315"/>
      <c r="BS305" s="315"/>
      <c r="BT305" s="315"/>
      <c r="BU305" s="315"/>
      <c r="BV305" s="315"/>
      <c r="BW305" s="315"/>
      <c r="BX305" s="43"/>
      <c r="BY305" s="43"/>
      <c r="BZ305" s="43"/>
      <c r="CA305" s="43"/>
      <c r="CB305" s="43"/>
      <c r="CC305" s="43"/>
      <c r="CD305" s="43"/>
      <c r="CE305" s="43"/>
      <c r="CF305" s="43"/>
      <c r="CG305" s="43"/>
      <c r="CH305" s="43"/>
      <c r="CI305" s="43"/>
      <c r="CJ305" s="278"/>
      <c r="CK305" s="278"/>
      <c r="CL305" s="278"/>
      <c r="CM305" s="278"/>
      <c r="CN305" s="278"/>
      <c r="CO305" s="278"/>
      <c r="CP305" s="278"/>
      <c r="CQ305" s="278"/>
      <c r="CR305" s="278"/>
      <c r="CS305" s="278"/>
      <c r="CT305" s="278"/>
      <c r="CU305" s="278"/>
      <c r="CV305" s="278"/>
      <c r="CW305" s="278"/>
      <c r="CX305" s="278"/>
      <c r="CY305" s="278"/>
      <c r="CZ305" s="278"/>
      <c r="DA305" s="278"/>
      <c r="DB305" s="278"/>
      <c r="DC305" s="278"/>
      <c r="DD305" s="278"/>
      <c r="DE305" s="278"/>
      <c r="DF305" s="278"/>
      <c r="DG305" s="278"/>
      <c r="DH305" s="278"/>
      <c r="DI305" s="278"/>
      <c r="DJ305" s="278"/>
      <c r="DK305" s="278"/>
      <c r="DL305" s="278"/>
      <c r="DM305" s="278"/>
      <c r="DN305" s="278"/>
      <c r="DO305" s="278"/>
      <c r="DP305" s="278"/>
      <c r="DQ305" s="278"/>
      <c r="DR305" s="278"/>
      <c r="DS305" s="278"/>
      <c r="DT305" s="278"/>
      <c r="DU305" s="278"/>
      <c r="DV305" s="278"/>
      <c r="DW305" s="278"/>
      <c r="DX305" s="278"/>
      <c r="DY305" s="278"/>
      <c r="DZ305" s="278"/>
      <c r="EA305" s="278"/>
      <c r="EB305" s="278"/>
      <c r="EC305" s="278"/>
      <c r="ED305" s="278"/>
      <c r="EE305" s="278"/>
      <c r="EF305" s="278"/>
      <c r="EG305" s="278"/>
      <c r="EH305" s="278"/>
      <c r="EI305" s="278"/>
      <c r="EJ305" s="278"/>
      <c r="EK305" s="278"/>
      <c r="EL305" s="278"/>
      <c r="EM305" s="278"/>
      <c r="EN305" s="278"/>
      <c r="EO305" s="278"/>
      <c r="EP305" s="278"/>
      <c r="EQ305" s="278"/>
      <c r="ER305" s="79"/>
      <c r="ES305" s="79"/>
      <c r="ET305" s="79"/>
      <c r="EU305" s="79"/>
      <c r="EV305" s="79"/>
      <c r="EW305" s="79"/>
      <c r="EX305" s="79"/>
      <c r="EY305" s="79"/>
      <c r="EZ305" s="79"/>
      <c r="FA305" s="79"/>
      <c r="FB305" s="79"/>
      <c r="FC305" s="79"/>
      <c r="FD305" s="79"/>
      <c r="FE305" s="79"/>
      <c r="FF305" s="79"/>
      <c r="FG305" s="79"/>
      <c r="FH305" s="79"/>
      <c r="FI305" s="79"/>
      <c r="FJ305" s="338"/>
      <c r="FK305" s="338"/>
      <c r="FL305" s="338"/>
      <c r="FM305" s="93"/>
      <c r="FN305" s="338"/>
      <c r="FO305" s="338"/>
      <c r="FP305" s="338"/>
      <c r="FQ305" s="338"/>
      <c r="FR305" s="338"/>
      <c r="FS305" s="338"/>
      <c r="FT305" s="338"/>
      <c r="FU305" s="338"/>
      <c r="FV305" s="338"/>
      <c r="FW305" s="338"/>
      <c r="FX305" s="183"/>
      <c r="FY305" s="259"/>
      <c r="FZ305" s="259"/>
      <c r="GA305" s="259"/>
      <c r="GB305" s="259"/>
      <c r="GC305" s="183"/>
      <c r="GD305" s="183"/>
      <c r="GE305" s="183"/>
      <c r="GF305" s="183"/>
      <c r="GG305" s="183"/>
      <c r="GH305" s="183"/>
      <c r="GI305" s="183"/>
      <c r="GJ305" s="183"/>
      <c r="GK305" s="183"/>
      <c r="GL305" s="183"/>
      <c r="GM305" s="183"/>
      <c r="GN305" s="183"/>
      <c r="GO305" s="183"/>
      <c r="GP305" s="183"/>
      <c r="GQ305" s="183"/>
      <c r="GR305" s="183"/>
      <c r="GS305" s="183"/>
      <c r="GT305" s="183"/>
      <c r="GU305" s="183"/>
      <c r="GV305" s="183"/>
      <c r="GW305" s="66"/>
      <c r="GX305" s="66"/>
      <c r="GY305" s="66"/>
      <c r="GZ305" s="66"/>
      <c r="HA305" s="66"/>
      <c r="HB305" s="66"/>
      <c r="HC305" s="66"/>
      <c r="HD305" s="66"/>
      <c r="HE305" s="66"/>
      <c r="HF305" s="66"/>
      <c r="HG305" s="66"/>
      <c r="HH305" s="66"/>
      <c r="HI305" s="66"/>
      <c r="HJ305" s="66"/>
      <c r="HK305" s="66"/>
      <c r="HL305" s="66"/>
      <c r="HM305" s="66"/>
      <c r="HN305" s="66"/>
      <c r="HO305" s="66"/>
      <c r="HP305" s="66"/>
      <c r="HQ305" s="66"/>
      <c r="HR305" s="66"/>
      <c r="HS305" s="66"/>
      <c r="HT305" s="66"/>
      <c r="HU305" s="66"/>
      <c r="HV305" s="66"/>
      <c r="HW305" s="66"/>
      <c r="HX305" s="66"/>
      <c r="HY305" s="66"/>
      <c r="HZ305" s="66"/>
      <c r="IA305" s="66"/>
    </row>
    <row r="306" spans="1:236" customFormat="1" ht="3.75" customHeight="1">
      <c r="A306" s="1"/>
      <c r="B306" s="3"/>
      <c r="C306" s="3"/>
      <c r="D306" s="124"/>
      <c r="E306" s="66"/>
      <c r="F306" s="315"/>
      <c r="G306" s="315"/>
      <c r="H306" s="315"/>
      <c r="I306" s="315"/>
      <c r="J306" s="315"/>
      <c r="K306" s="315"/>
      <c r="L306" s="315"/>
      <c r="M306" s="315"/>
      <c r="N306" s="315"/>
      <c r="O306" s="315"/>
      <c r="P306" s="315"/>
      <c r="Q306" s="315"/>
      <c r="R306" s="315"/>
      <c r="S306" s="315"/>
      <c r="T306" s="315"/>
      <c r="U306" s="315"/>
      <c r="V306" s="315"/>
      <c r="W306" s="315"/>
      <c r="X306" s="315"/>
      <c r="Y306" s="315"/>
      <c r="Z306" s="315"/>
      <c r="AA306" s="315"/>
      <c r="AB306" s="315"/>
      <c r="AC306" s="315"/>
      <c r="AD306" s="315"/>
      <c r="AE306" s="315"/>
      <c r="AF306" s="315"/>
      <c r="AG306" s="315"/>
      <c r="AH306" s="315"/>
      <c r="AI306" s="315"/>
      <c r="AJ306" s="315"/>
      <c r="AK306" s="315"/>
      <c r="AL306" s="315"/>
      <c r="AM306" s="315"/>
      <c r="AN306" s="315"/>
      <c r="AO306" s="315"/>
      <c r="AP306" s="315"/>
      <c r="AQ306" s="315"/>
      <c r="AR306" s="315"/>
      <c r="AS306" s="315"/>
      <c r="AT306" s="315"/>
      <c r="AU306" s="315"/>
      <c r="AV306" s="315"/>
      <c r="AW306" s="315"/>
      <c r="AX306" s="315"/>
      <c r="AY306" s="315"/>
      <c r="AZ306" s="315"/>
      <c r="BA306" s="315"/>
      <c r="BB306" s="315"/>
      <c r="BC306" s="315"/>
      <c r="BD306" s="315"/>
      <c r="BE306" s="315"/>
      <c r="BF306" s="315"/>
      <c r="BG306" s="315"/>
      <c r="BH306" s="315"/>
      <c r="BI306" s="315"/>
      <c r="BJ306" s="315"/>
      <c r="BK306" s="315"/>
      <c r="BL306" s="315"/>
      <c r="BM306" s="315"/>
      <c r="BN306" s="315"/>
      <c r="BO306" s="315"/>
      <c r="BP306" s="315"/>
      <c r="BQ306" s="315"/>
      <c r="BR306" s="315"/>
      <c r="BS306" s="315"/>
      <c r="BT306" s="315"/>
      <c r="BU306" s="315"/>
      <c r="BV306" s="315"/>
      <c r="BW306" s="315"/>
      <c r="BX306" s="79"/>
      <c r="BY306" s="544" t="str">
        <f ca="1">IF(FL1=0,"","+")</f>
        <v/>
      </c>
      <c r="BZ306" s="545"/>
      <c r="CA306" s="545"/>
      <c r="CB306" s="545"/>
      <c r="CC306" s="545"/>
      <c r="CD306" s="545"/>
      <c r="CE306" s="545"/>
      <c r="CF306" s="278"/>
      <c r="CG306" s="544" t="str">
        <f ca="1">IF(FL1=0,"","+")</f>
        <v/>
      </c>
      <c r="CH306" s="545"/>
      <c r="CI306" s="545"/>
      <c r="CJ306" s="545"/>
      <c r="CK306" s="545"/>
      <c r="CL306" s="545"/>
      <c r="CM306" s="545"/>
      <c r="CN306" s="278"/>
      <c r="CO306" s="544" t="str">
        <f ca="1">IF(FL1=0,"","+")</f>
        <v/>
      </c>
      <c r="CP306" s="545"/>
      <c r="CQ306" s="545"/>
      <c r="CR306" s="545"/>
      <c r="CS306" s="545"/>
      <c r="CT306" s="545"/>
      <c r="CU306" s="545"/>
      <c r="CV306" s="278"/>
      <c r="CW306" s="544" t="str">
        <f ca="1">IF(FL1=0,"","+")</f>
        <v/>
      </c>
      <c r="CX306" s="545"/>
      <c r="CY306" s="545"/>
      <c r="CZ306" s="545"/>
      <c r="DA306" s="545"/>
      <c r="DB306" s="545"/>
      <c r="DC306" s="545"/>
      <c r="DD306" s="278"/>
      <c r="DE306" s="544" t="str">
        <f ca="1">IF(FL1=0,"","+")</f>
        <v/>
      </c>
      <c r="DF306" s="545"/>
      <c r="DG306" s="545"/>
      <c r="DH306" s="545"/>
      <c r="DI306" s="545"/>
      <c r="DJ306" s="545"/>
      <c r="DK306" s="545"/>
      <c r="DL306" s="278"/>
      <c r="DM306" s="544" t="str">
        <f ca="1">IF(FL1=0,"","+")</f>
        <v/>
      </c>
      <c r="DN306" s="545"/>
      <c r="DO306" s="545"/>
      <c r="DP306" s="545"/>
      <c r="DQ306" s="545"/>
      <c r="DR306" s="545"/>
      <c r="DS306" s="545"/>
      <c r="DT306" s="278"/>
      <c r="DU306" s="544" t="str">
        <f ca="1">IF(FL1=0,"","+")</f>
        <v/>
      </c>
      <c r="DV306" s="545"/>
      <c r="DW306" s="545"/>
      <c r="DX306" s="545"/>
      <c r="DY306" s="545"/>
      <c r="DZ306" s="545"/>
      <c r="EA306" s="545"/>
      <c r="EB306" s="278"/>
      <c r="EC306" s="544" t="str">
        <f ca="1">IF(FL1=0,"","+")</f>
        <v/>
      </c>
      <c r="ED306" s="545"/>
      <c r="EE306" s="545"/>
      <c r="EF306" s="545"/>
      <c r="EG306" s="545"/>
      <c r="EH306" s="545"/>
      <c r="EI306" s="545"/>
      <c r="EJ306" s="278"/>
      <c r="EK306" s="544" t="str">
        <f ca="1">IF(FL1=0,"","+")</f>
        <v/>
      </c>
      <c r="EL306" s="545"/>
      <c r="EM306" s="545"/>
      <c r="EN306" s="545"/>
      <c r="EO306" s="545"/>
      <c r="EP306" s="545"/>
      <c r="EQ306" s="545"/>
      <c r="ER306" s="79"/>
      <c r="ES306" s="79"/>
      <c r="ET306" s="79"/>
      <c r="EU306" s="79"/>
      <c r="EV306" s="79"/>
      <c r="EW306" s="79"/>
      <c r="EX306" s="79"/>
      <c r="EY306" s="79"/>
      <c r="EZ306" s="79"/>
      <c r="FA306" s="79"/>
      <c r="FB306" s="79"/>
      <c r="FC306" s="79"/>
      <c r="FD306" s="79"/>
      <c r="FE306" s="79"/>
      <c r="FF306" s="79"/>
      <c r="FG306" s="79"/>
      <c r="FH306" s="79"/>
      <c r="FI306" s="79"/>
      <c r="FJ306" s="338"/>
      <c r="FK306" s="338"/>
      <c r="FL306" s="338"/>
      <c r="FM306" s="93"/>
      <c r="FN306" s="353"/>
      <c r="FO306" s="353"/>
      <c r="FP306" s="354"/>
      <c r="FQ306" s="353"/>
      <c r="FR306" s="353"/>
      <c r="FS306" s="47"/>
      <c r="FT306" s="47"/>
      <c r="FU306" s="47"/>
      <c r="FV306" s="47"/>
      <c r="FW306" s="47"/>
      <c r="FX306" s="183"/>
      <c r="FY306" s="259"/>
      <c r="FZ306" s="259"/>
      <c r="GA306" s="259"/>
      <c r="GB306" s="259"/>
      <c r="GC306" s="183"/>
      <c r="GD306" s="183"/>
      <c r="GE306" s="183"/>
      <c r="GF306" s="183"/>
      <c r="GG306" s="183"/>
      <c r="GH306" s="183"/>
      <c r="GI306" s="183"/>
      <c r="GJ306" s="183"/>
      <c r="GK306" s="183"/>
      <c r="GL306" s="183"/>
      <c r="GM306" s="183"/>
      <c r="GN306" s="183"/>
      <c r="GO306" s="183"/>
      <c r="GP306" s="183"/>
      <c r="GQ306" s="183"/>
      <c r="GR306" s="183"/>
      <c r="GS306" s="183"/>
      <c r="GT306" s="183"/>
      <c r="GU306" s="183"/>
      <c r="GV306" s="183"/>
      <c r="GW306" s="66"/>
      <c r="GX306" s="66"/>
      <c r="GY306" s="66"/>
      <c r="GZ306" s="66"/>
      <c r="HA306" s="66"/>
      <c r="HB306" s="66"/>
      <c r="HC306" s="66"/>
      <c r="HD306" s="66"/>
      <c r="HE306" s="66"/>
      <c r="HF306" s="66"/>
      <c r="HG306" s="66"/>
      <c r="HH306" s="66"/>
      <c r="HI306" s="66"/>
      <c r="HJ306" s="66"/>
      <c r="HK306" s="66"/>
      <c r="HL306" s="66"/>
      <c r="HM306" s="66"/>
      <c r="HN306" s="66"/>
      <c r="HO306" s="66"/>
      <c r="HP306" s="66"/>
      <c r="HQ306" s="66"/>
      <c r="HR306" s="66"/>
      <c r="HS306" s="66"/>
      <c r="HT306" s="66"/>
      <c r="HU306" s="66"/>
      <c r="HV306" s="66"/>
      <c r="HW306" s="66"/>
      <c r="HX306" s="66"/>
      <c r="HY306" s="66"/>
      <c r="HZ306" s="66"/>
      <c r="IA306" s="66"/>
    </row>
    <row r="307" spans="1:236" customFormat="1" ht="18.75" customHeight="1">
      <c r="A307" s="1"/>
      <c r="B307" s="3"/>
      <c r="C307" s="3"/>
      <c r="D307" s="124"/>
      <c r="E307" s="66"/>
      <c r="F307" s="315"/>
      <c r="G307" s="315"/>
      <c r="H307" s="315"/>
      <c r="I307" s="315"/>
      <c r="J307" s="315"/>
      <c r="K307" s="315"/>
      <c r="L307" s="315"/>
      <c r="M307" s="315"/>
      <c r="N307" s="315"/>
      <c r="O307" s="315"/>
      <c r="P307" s="315"/>
      <c r="Q307" s="315"/>
      <c r="R307" s="315"/>
      <c r="S307" s="315"/>
      <c r="T307" s="315"/>
      <c r="U307" s="315"/>
      <c r="V307" s="315"/>
      <c r="W307" s="315"/>
      <c r="X307" s="315"/>
      <c r="Y307" s="315"/>
      <c r="Z307" s="315"/>
      <c r="AA307" s="315"/>
      <c r="AB307" s="315"/>
      <c r="AC307" s="315"/>
      <c r="AD307" s="315"/>
      <c r="AE307" s="315"/>
      <c r="AF307" s="315"/>
      <c r="AG307" s="315"/>
      <c r="AH307" s="315"/>
      <c r="AI307" s="315"/>
      <c r="AJ307" s="315"/>
      <c r="AK307" s="315"/>
      <c r="AL307" s="315"/>
      <c r="AM307" s="315"/>
      <c r="AN307" s="315"/>
      <c r="AO307" s="315"/>
      <c r="AP307" s="315"/>
      <c r="AQ307" s="315"/>
      <c r="AR307" s="315"/>
      <c r="AS307" s="315"/>
      <c r="AT307" s="315"/>
      <c r="AU307" s="315"/>
      <c r="AV307" s="315"/>
      <c r="AW307" s="315"/>
      <c r="AX307" s="315"/>
      <c r="AY307" s="315"/>
      <c r="AZ307" s="315"/>
      <c r="BA307" s="315"/>
      <c r="BB307" s="315"/>
      <c r="BC307" s="315"/>
      <c r="BD307" s="315"/>
      <c r="BE307" s="315"/>
      <c r="BF307" s="315"/>
      <c r="BG307" s="315"/>
      <c r="BH307" s="315"/>
      <c r="BI307" s="315"/>
      <c r="BJ307" s="315"/>
      <c r="BK307" s="315"/>
      <c r="BL307" s="315"/>
      <c r="BM307" s="315"/>
      <c r="BN307" s="315"/>
      <c r="BO307" s="315"/>
      <c r="BP307" s="315"/>
      <c r="BQ307" s="315"/>
      <c r="BR307" s="315"/>
      <c r="BS307" s="315"/>
      <c r="BT307" s="315"/>
      <c r="BU307" s="315"/>
      <c r="BV307" s="315"/>
      <c r="BW307" s="358" t="str">
        <f ca="1">IF(FL1=0,"","en daalt het producentensurplus met:")</f>
        <v/>
      </c>
      <c r="BX307" s="79"/>
      <c r="BY307" s="330" t="str">
        <f ca="1">IF(FL1=0,"","+")</f>
        <v/>
      </c>
      <c r="BZ307" s="543"/>
      <c r="CA307" s="543"/>
      <c r="CB307" s="543"/>
      <c r="CC307" s="543"/>
      <c r="CD307" s="543"/>
      <c r="CE307" s="497" t="str">
        <f ca="1">IF(FL1=0,"","+")</f>
        <v/>
      </c>
      <c r="CF307" s="498" t="s">
        <v>131</v>
      </c>
      <c r="CG307" s="497" t="str">
        <f ca="1">IF(FL1=0,"","+")</f>
        <v/>
      </c>
      <c r="CH307" s="543"/>
      <c r="CI307" s="543"/>
      <c r="CJ307" s="543"/>
      <c r="CK307" s="543"/>
      <c r="CL307" s="543"/>
      <c r="CM307" s="497" t="str">
        <f ca="1">IF(FL1=0,"","+")</f>
        <v/>
      </c>
      <c r="CN307" s="498" t="s">
        <v>131</v>
      </c>
      <c r="CO307" s="497" t="str">
        <f ca="1">IF(FL1=0,"","+")</f>
        <v/>
      </c>
      <c r="CP307" s="543"/>
      <c r="CQ307" s="543"/>
      <c r="CR307" s="543"/>
      <c r="CS307" s="543"/>
      <c r="CT307" s="543"/>
      <c r="CU307" s="497" t="str">
        <f ca="1">IF(FL1=0,"","+")</f>
        <v/>
      </c>
      <c r="CV307" s="498" t="s">
        <v>131</v>
      </c>
      <c r="CW307" s="497" t="str">
        <f ca="1">IF(FL1=0,"","+")</f>
        <v/>
      </c>
      <c r="CX307" s="543"/>
      <c r="CY307" s="543"/>
      <c r="CZ307" s="543"/>
      <c r="DA307" s="543"/>
      <c r="DB307" s="543"/>
      <c r="DC307" s="497" t="str">
        <f ca="1">IF(FL1=0,"","+")</f>
        <v/>
      </c>
      <c r="DD307" s="498" t="s">
        <v>131</v>
      </c>
      <c r="DE307" s="497" t="str">
        <f ca="1">IF(FL1=0,"","+")</f>
        <v/>
      </c>
      <c r="DF307" s="543"/>
      <c r="DG307" s="543"/>
      <c r="DH307" s="543"/>
      <c r="DI307" s="543"/>
      <c r="DJ307" s="543"/>
      <c r="DK307" s="497" t="str">
        <f ca="1">IF(FL1=0,"","+")</f>
        <v/>
      </c>
      <c r="DL307" s="498" t="s">
        <v>131</v>
      </c>
      <c r="DM307" s="497" t="str">
        <f ca="1">IF(FL1=0,"","+")</f>
        <v/>
      </c>
      <c r="DN307" s="543"/>
      <c r="DO307" s="543"/>
      <c r="DP307" s="543"/>
      <c r="DQ307" s="543"/>
      <c r="DR307" s="543"/>
      <c r="DS307" s="497" t="str">
        <f ca="1">IF(FL1=0,"","+")</f>
        <v/>
      </c>
      <c r="DT307" s="498" t="s">
        <v>131</v>
      </c>
      <c r="DU307" s="497" t="str">
        <f ca="1">IF(FL1=0,"","+")</f>
        <v/>
      </c>
      <c r="DV307" s="543"/>
      <c r="DW307" s="543"/>
      <c r="DX307" s="543"/>
      <c r="DY307" s="543"/>
      <c r="DZ307" s="543"/>
      <c r="EA307" s="497" t="str">
        <f ca="1">IF(FL1=0,"","+")</f>
        <v/>
      </c>
      <c r="EB307" s="498" t="s">
        <v>131</v>
      </c>
      <c r="EC307" s="497" t="str">
        <f ca="1">IF(FL1=0,"","+")</f>
        <v/>
      </c>
      <c r="ED307" s="543"/>
      <c r="EE307" s="543"/>
      <c r="EF307" s="543"/>
      <c r="EG307" s="543"/>
      <c r="EH307" s="543"/>
      <c r="EI307" s="497" t="str">
        <f ca="1">IF(FL1=0,"","+")</f>
        <v/>
      </c>
      <c r="EJ307" s="498" t="s">
        <v>131</v>
      </c>
      <c r="EK307" s="497" t="str">
        <f ca="1">IF(FL1=0,"","+")</f>
        <v/>
      </c>
      <c r="EL307" s="543"/>
      <c r="EM307" s="543"/>
      <c r="EN307" s="543"/>
      <c r="EO307" s="543"/>
      <c r="EP307" s="543"/>
      <c r="EQ307" s="330" t="str">
        <f ca="1">IF(FL1=0,"","+")</f>
        <v/>
      </c>
      <c r="ER307" s="51" t="s">
        <v>131</v>
      </c>
      <c r="ES307" s="79"/>
      <c r="ET307" s="79"/>
      <c r="EU307" s="135"/>
      <c r="EV307" s="79"/>
      <c r="EW307" s="79"/>
      <c r="EX307" s="79"/>
      <c r="EY307" s="79"/>
      <c r="EZ307" s="79"/>
      <c r="FA307" s="79"/>
      <c r="FB307" s="79"/>
      <c r="FC307" s="79"/>
      <c r="FD307" s="79"/>
      <c r="FE307" s="79"/>
      <c r="FF307" s="79"/>
      <c r="FG307" s="79"/>
      <c r="FH307" s="79"/>
      <c r="FI307" s="79"/>
      <c r="FJ307" s="96">
        <f ca="1">IF(FM297+FM302+FM307=3,1,IF(FM297+FM302+FM307=2,1/2,0))</f>
        <v>0</v>
      </c>
      <c r="FK307" s="338"/>
      <c r="FL307" s="93">
        <f ca="1">IF(programma!B1="X",1,IF(FL1=0,0,IF(FM297+FM302+FM307=3,1,0)))</f>
        <v>0</v>
      </c>
      <c r="FM307" s="93">
        <f ca="1">IF(programma!B1="X",1,IF(FL1=0,0,IF(AND(BZ307="",CH307=FP297,CP307="",CX307="",DF307=FS297,DN307="",DV307="",ED307="",EL307=""),1,0)))</f>
        <v>0</v>
      </c>
      <c r="FN307" s="48"/>
      <c r="FO307" s="48"/>
      <c r="FP307" s="48"/>
      <c r="FQ307" s="48"/>
      <c r="FR307" s="48"/>
      <c r="FS307" s="48"/>
      <c r="FT307" s="48"/>
      <c r="FU307" s="48"/>
      <c r="FV307" s="48"/>
      <c r="FW307" s="48"/>
      <c r="FX307" s="183"/>
      <c r="FY307" s="259"/>
      <c r="FZ307" s="259"/>
      <c r="GA307" s="259"/>
      <c r="GB307" s="259"/>
      <c r="GC307" s="183"/>
      <c r="GD307" s="183"/>
      <c r="GE307" s="183"/>
      <c r="GF307" s="183"/>
      <c r="GG307" s="183"/>
      <c r="GH307" s="183"/>
      <c r="GI307" s="183"/>
      <c r="GJ307" s="183"/>
      <c r="GK307" s="183"/>
      <c r="GL307" s="183"/>
      <c r="GM307" s="183"/>
      <c r="GN307" s="183"/>
      <c r="GO307" s="183"/>
      <c r="GP307" s="183"/>
      <c r="GQ307" s="183"/>
      <c r="GR307" s="183"/>
      <c r="GS307" s="183"/>
      <c r="GT307" s="183"/>
      <c r="GU307" s="183"/>
      <c r="GV307" s="183"/>
      <c r="GW307" s="66"/>
      <c r="GX307" s="66"/>
      <c r="GY307" s="66"/>
      <c r="GZ307" s="66"/>
      <c r="HA307" s="66"/>
      <c r="HB307" s="66"/>
      <c r="HC307" s="66"/>
      <c r="HD307" s="66"/>
      <c r="HE307" s="66"/>
      <c r="HF307" s="66"/>
      <c r="HG307" s="66"/>
      <c r="HH307" s="66"/>
      <c r="HI307" s="66"/>
      <c r="HJ307" s="66"/>
      <c r="HK307" s="66"/>
      <c r="HL307" s="66"/>
      <c r="HM307" s="66"/>
      <c r="HN307" s="66"/>
      <c r="HO307" s="66"/>
      <c r="HP307" s="66"/>
      <c r="HQ307" s="66"/>
      <c r="HR307" s="66"/>
      <c r="HS307" s="66"/>
      <c r="HT307" s="66"/>
      <c r="HU307" s="66"/>
      <c r="HV307" s="66"/>
      <c r="HW307" s="66"/>
      <c r="HX307" s="66"/>
      <c r="HY307" s="66"/>
      <c r="HZ307" s="66"/>
      <c r="IA307" s="66"/>
    </row>
    <row r="308" spans="1:236" customFormat="1" ht="3.75" customHeight="1">
      <c r="A308" s="1"/>
      <c r="B308" s="3"/>
      <c r="C308" s="3"/>
      <c r="D308" s="124"/>
      <c r="E308" s="66"/>
      <c r="F308" s="315"/>
      <c r="G308" s="315"/>
      <c r="H308" s="315"/>
      <c r="I308" s="315"/>
      <c r="J308" s="315"/>
      <c r="K308" s="315"/>
      <c r="L308" s="315"/>
      <c r="M308" s="315"/>
      <c r="N308" s="315"/>
      <c r="O308" s="315"/>
      <c r="P308" s="315"/>
      <c r="Q308" s="315"/>
      <c r="R308" s="315"/>
      <c r="S308" s="315"/>
      <c r="T308" s="315"/>
      <c r="U308" s="315"/>
      <c r="V308" s="315"/>
      <c r="W308" s="315"/>
      <c r="X308" s="315"/>
      <c r="Y308" s="315"/>
      <c r="Z308" s="315"/>
      <c r="AA308" s="315"/>
      <c r="AB308" s="315"/>
      <c r="AC308" s="315"/>
      <c r="AD308" s="315"/>
      <c r="AE308" s="315"/>
      <c r="AF308" s="315"/>
      <c r="AG308" s="315"/>
      <c r="AH308" s="315"/>
      <c r="AI308" s="315"/>
      <c r="AJ308" s="315"/>
      <c r="AK308" s="315"/>
      <c r="AL308" s="315"/>
      <c r="AM308" s="315"/>
      <c r="AN308" s="315"/>
      <c r="AO308" s="315"/>
      <c r="AP308" s="315"/>
      <c r="AQ308" s="315"/>
      <c r="AR308" s="315"/>
      <c r="AS308" s="315"/>
      <c r="AT308" s="315"/>
      <c r="AU308" s="315"/>
      <c r="AV308" s="315"/>
      <c r="AW308" s="315"/>
      <c r="AX308" s="315"/>
      <c r="AY308" s="315"/>
      <c r="AZ308" s="315"/>
      <c r="BA308" s="315"/>
      <c r="BB308" s="315"/>
      <c r="BC308" s="315"/>
      <c r="BD308" s="315"/>
      <c r="BE308" s="315"/>
      <c r="BF308" s="315"/>
      <c r="BG308" s="315"/>
      <c r="BH308" s="315"/>
      <c r="BI308" s="315"/>
      <c r="BJ308" s="315"/>
      <c r="BK308" s="315"/>
      <c r="BL308" s="315"/>
      <c r="BM308" s="315"/>
      <c r="BN308" s="315"/>
      <c r="BO308" s="315"/>
      <c r="BP308" s="315"/>
      <c r="BQ308" s="315"/>
      <c r="BR308" s="315"/>
      <c r="BS308" s="315"/>
      <c r="BT308" s="315"/>
      <c r="BU308" s="315"/>
      <c r="BV308" s="315"/>
      <c r="BW308" s="315"/>
      <c r="BX308" s="79"/>
      <c r="BY308" s="544" t="str">
        <f ca="1">IF(FL1=0,"","+")</f>
        <v/>
      </c>
      <c r="BZ308" s="545"/>
      <c r="CA308" s="545"/>
      <c r="CB308" s="545"/>
      <c r="CC308" s="545"/>
      <c r="CD308" s="545"/>
      <c r="CE308" s="545"/>
      <c r="CF308" s="278"/>
      <c r="CG308" s="544" t="str">
        <f ca="1">IF(FL1=0,"","+")</f>
        <v/>
      </c>
      <c r="CH308" s="545"/>
      <c r="CI308" s="545"/>
      <c r="CJ308" s="545"/>
      <c r="CK308" s="545"/>
      <c r="CL308" s="545"/>
      <c r="CM308" s="545"/>
      <c r="CN308" s="278"/>
      <c r="CO308" s="544" t="str">
        <f ca="1">IF(FL1=0,"","+")</f>
        <v/>
      </c>
      <c r="CP308" s="545"/>
      <c r="CQ308" s="545"/>
      <c r="CR308" s="545"/>
      <c r="CS308" s="545"/>
      <c r="CT308" s="545"/>
      <c r="CU308" s="545"/>
      <c r="CV308" s="278"/>
      <c r="CW308" s="544" t="str">
        <f ca="1">IF(FL1=0,"","+")</f>
        <v/>
      </c>
      <c r="CX308" s="545"/>
      <c r="CY308" s="545"/>
      <c r="CZ308" s="545"/>
      <c r="DA308" s="545"/>
      <c r="DB308" s="545"/>
      <c r="DC308" s="545"/>
      <c r="DD308" s="278"/>
      <c r="DE308" s="544" t="str">
        <f ca="1">IF(FL1=0,"","+")</f>
        <v/>
      </c>
      <c r="DF308" s="545"/>
      <c r="DG308" s="545"/>
      <c r="DH308" s="545"/>
      <c r="DI308" s="545"/>
      <c r="DJ308" s="545"/>
      <c r="DK308" s="545"/>
      <c r="DL308" s="278"/>
      <c r="DM308" s="544" t="str">
        <f ca="1">IF(FL1=0,"","+")</f>
        <v/>
      </c>
      <c r="DN308" s="545"/>
      <c r="DO308" s="545"/>
      <c r="DP308" s="545"/>
      <c r="DQ308" s="545"/>
      <c r="DR308" s="545"/>
      <c r="DS308" s="545"/>
      <c r="DT308" s="278"/>
      <c r="DU308" s="544" t="str">
        <f ca="1">IF(FL1=0,"","+")</f>
        <v/>
      </c>
      <c r="DV308" s="545"/>
      <c r="DW308" s="545"/>
      <c r="DX308" s="545"/>
      <c r="DY308" s="545"/>
      <c r="DZ308" s="545"/>
      <c r="EA308" s="545"/>
      <c r="EB308" s="278"/>
      <c r="EC308" s="544" t="str">
        <f ca="1">IF(FL1=0,"","+")</f>
        <v/>
      </c>
      <c r="ED308" s="545"/>
      <c r="EE308" s="545"/>
      <c r="EF308" s="545"/>
      <c r="EG308" s="545"/>
      <c r="EH308" s="545"/>
      <c r="EI308" s="545"/>
      <c r="EJ308" s="278"/>
      <c r="EK308" s="544" t="str">
        <f ca="1">IF(FL1=0,"","+")</f>
        <v/>
      </c>
      <c r="EL308" s="545"/>
      <c r="EM308" s="545"/>
      <c r="EN308" s="545"/>
      <c r="EO308" s="545"/>
      <c r="EP308" s="545"/>
      <c r="EQ308" s="545"/>
      <c r="ER308" s="79"/>
      <c r="ES308" s="79"/>
      <c r="ET308" s="79"/>
      <c r="EU308" s="79"/>
      <c r="EV308" s="79"/>
      <c r="EW308" s="79"/>
      <c r="EX308" s="79"/>
      <c r="EY308" s="79"/>
      <c r="EZ308" s="79"/>
      <c r="FA308" s="79"/>
      <c r="FB308" s="79"/>
      <c r="FC308" s="79"/>
      <c r="FD308" s="79"/>
      <c r="FE308" s="79"/>
      <c r="FF308" s="79"/>
      <c r="FG308" s="79"/>
      <c r="FH308" s="79"/>
      <c r="FI308" s="79"/>
      <c r="FJ308" s="338"/>
      <c r="FK308" s="338"/>
      <c r="FL308" s="338"/>
      <c r="FM308" s="338"/>
      <c r="FN308" s="354"/>
      <c r="FO308" s="47"/>
      <c r="FP308" s="47"/>
      <c r="FQ308" s="47"/>
      <c r="FR308" s="47"/>
      <c r="FS308" s="47"/>
      <c r="FT308" s="47"/>
      <c r="FU308" s="47"/>
      <c r="FV308" s="47"/>
      <c r="FW308" s="183"/>
      <c r="FX308" s="183"/>
      <c r="FY308" s="259"/>
      <c r="FZ308" s="259"/>
      <c r="GA308" s="259"/>
      <c r="GB308" s="259"/>
      <c r="GC308" s="183"/>
      <c r="GD308" s="183"/>
      <c r="GE308" s="183"/>
      <c r="GF308" s="183"/>
      <c r="GG308" s="183"/>
      <c r="GH308" s="183"/>
      <c r="GI308" s="183"/>
      <c r="GJ308" s="183"/>
      <c r="GK308" s="183"/>
      <c r="GL308" s="183"/>
      <c r="GM308" s="183"/>
      <c r="GN308" s="183"/>
      <c r="GO308" s="183"/>
      <c r="GP308" s="183"/>
      <c r="GQ308" s="183"/>
      <c r="GR308" s="183"/>
      <c r="GS308" s="183"/>
      <c r="GT308" s="183"/>
      <c r="GU308" s="183"/>
      <c r="GV308" s="183"/>
      <c r="GW308" s="66"/>
      <c r="GX308" s="66"/>
      <c r="GY308" s="66"/>
      <c r="GZ308" s="66"/>
      <c r="HA308" s="66"/>
      <c r="HB308" s="66"/>
      <c r="HC308" s="66"/>
      <c r="HD308" s="66"/>
      <c r="HE308" s="66"/>
      <c r="HF308" s="66"/>
      <c r="HG308" s="66"/>
      <c r="HH308" s="66"/>
      <c r="HI308" s="66"/>
      <c r="HJ308" s="66"/>
      <c r="HK308" s="66"/>
      <c r="HL308" s="66"/>
      <c r="HM308" s="66"/>
      <c r="HN308" s="66"/>
      <c r="HO308" s="66"/>
      <c r="HP308" s="66"/>
      <c r="HQ308" s="66"/>
      <c r="HR308" s="66"/>
      <c r="HS308" s="66"/>
      <c r="HT308" s="66"/>
      <c r="HU308" s="66"/>
      <c r="HV308" s="66"/>
      <c r="HW308" s="66"/>
      <c r="HX308" s="66"/>
      <c r="HY308" s="66"/>
      <c r="HZ308" s="66"/>
      <c r="IA308" s="66"/>
    </row>
    <row r="309" spans="1:236" s="268" customFormat="1" ht="20.399999999999999" customHeight="1">
      <c r="A309" s="60"/>
      <c r="B309" s="69"/>
      <c r="C309" s="69"/>
      <c r="D309" s="331"/>
      <c r="E309" s="141"/>
      <c r="F309" s="141"/>
      <c r="G309" s="141"/>
      <c r="H309" s="141"/>
      <c r="I309" s="141"/>
      <c r="J309" s="141"/>
      <c r="K309" s="141"/>
      <c r="L309" s="141"/>
      <c r="M309" s="141"/>
      <c r="N309" s="141"/>
      <c r="O309" s="141"/>
      <c r="P309" s="141"/>
      <c r="Q309" s="141"/>
      <c r="R309" s="332"/>
      <c r="S309" s="332"/>
      <c r="T309" s="332"/>
      <c r="U309" s="332"/>
      <c r="V309" s="332"/>
      <c r="ER309" s="141"/>
      <c r="ES309" s="141"/>
      <c r="ET309" s="141"/>
      <c r="EU309" s="141"/>
      <c r="EV309" s="141"/>
      <c r="EW309" s="141"/>
      <c r="EX309" s="141"/>
      <c r="EY309" s="141"/>
      <c r="EZ309" s="141"/>
      <c r="FA309" s="141"/>
      <c r="FB309" s="141"/>
      <c r="FC309" s="141"/>
      <c r="FD309" s="141"/>
      <c r="FE309" s="141"/>
      <c r="FF309" s="141"/>
      <c r="FG309" s="141"/>
      <c r="FH309" s="141"/>
      <c r="FI309" s="141"/>
      <c r="FJ309" s="96"/>
      <c r="FK309" s="96"/>
      <c r="FL309" s="86"/>
      <c r="FM309" s="86"/>
      <c r="FN309" s="86"/>
      <c r="FO309" s="86"/>
      <c r="FP309" s="86"/>
      <c r="FQ309" s="86"/>
      <c r="FR309" s="86"/>
      <c r="FS309" s="86"/>
      <c r="FT309" s="86"/>
      <c r="FU309" s="86"/>
      <c r="FV309" s="86"/>
      <c r="FW309" s="86"/>
      <c r="FX309" s="86"/>
      <c r="FY309" s="259"/>
      <c r="FZ309" s="259"/>
      <c r="GA309" s="259"/>
      <c r="GB309" s="259"/>
      <c r="GC309" s="259"/>
      <c r="GD309" s="259"/>
      <c r="GE309" s="259"/>
      <c r="GF309" s="259"/>
      <c r="GG309" s="259"/>
      <c r="GH309" s="259"/>
      <c r="GI309" s="259"/>
      <c r="GJ309" s="259"/>
      <c r="GK309" s="86"/>
      <c r="GL309" s="86"/>
      <c r="GM309" s="86"/>
      <c r="GN309" s="86"/>
      <c r="GO309" s="86"/>
      <c r="GP309" s="377"/>
      <c r="GQ309" s="377"/>
      <c r="GR309" s="377"/>
      <c r="GS309" s="377"/>
      <c r="GT309" s="377"/>
      <c r="GU309" s="377"/>
      <c r="GV309" s="377"/>
      <c r="GW309" s="66"/>
      <c r="GX309" s="66"/>
      <c r="GY309" s="66"/>
      <c r="GZ309" s="66"/>
      <c r="HA309" s="66"/>
      <c r="HB309" s="66"/>
      <c r="HC309" s="66"/>
      <c r="HD309" s="66"/>
      <c r="HE309" s="66"/>
      <c r="HF309" s="66"/>
      <c r="HG309" s="66"/>
      <c r="HH309" s="66"/>
      <c r="HI309" s="66"/>
      <c r="HJ309" s="66"/>
      <c r="HK309" s="66"/>
      <c r="HL309" s="66"/>
      <c r="HM309" s="66"/>
      <c r="HN309" s="66"/>
      <c r="HO309" s="66"/>
      <c r="HP309" s="66"/>
      <c r="HQ309" s="66"/>
      <c r="HR309" s="66"/>
      <c r="HS309" s="66"/>
      <c r="HT309" s="66"/>
      <c r="HU309" s="66"/>
      <c r="HV309" s="66"/>
      <c r="HW309" s="66"/>
      <c r="HX309" s="66"/>
      <c r="HY309" s="66"/>
      <c r="HZ309" s="66"/>
      <c r="IA309" s="66"/>
    </row>
    <row r="310" spans="1:236" ht="16.95" customHeight="1">
      <c r="A310" s="60"/>
      <c r="B310" s="311" t="str">
        <f ca="1">IF(FL1=0,"",16)</f>
        <v/>
      </c>
      <c r="C310" s="69"/>
      <c r="D310" s="397" t="str">
        <f ca="1">IF(FL1=0,"","Hiernaast zie je de grafiek van een markt")</f>
        <v/>
      </c>
      <c r="E310" s="341"/>
      <c r="F310" s="341"/>
      <c r="G310" s="341"/>
      <c r="H310" s="341"/>
      <c r="I310" s="341"/>
      <c r="J310" s="341"/>
      <c r="K310" s="89"/>
      <c r="L310" s="89"/>
      <c r="M310" s="89"/>
      <c r="N310" s="89"/>
      <c r="O310" s="89"/>
      <c r="P310" s="89"/>
      <c r="Q310" s="89"/>
      <c r="R310" s="89"/>
      <c r="S310" s="89"/>
      <c r="T310" s="89"/>
      <c r="U310" s="89"/>
      <c r="V310" s="89"/>
      <c r="W310" s="89"/>
      <c r="X310" s="89"/>
      <c r="Y310" s="89"/>
      <c r="Z310" s="89"/>
      <c r="AA310" s="89"/>
      <c r="AB310" s="89"/>
      <c r="AC310" s="89"/>
      <c r="AD310" s="89"/>
      <c r="AE310" s="89"/>
      <c r="AF310" s="89"/>
      <c r="AG310" s="89"/>
      <c r="AH310" s="89"/>
      <c r="AI310" s="89"/>
      <c r="AJ310" s="89"/>
      <c r="AK310" s="89"/>
      <c r="AL310" s="89"/>
      <c r="AM310" s="89"/>
      <c r="AN310" s="89"/>
      <c r="AO310" s="89"/>
      <c r="AP310" s="89"/>
      <c r="AQ310" s="89"/>
      <c r="AR310" s="89"/>
      <c r="AS310" s="89"/>
      <c r="AT310" s="89"/>
      <c r="AU310" s="89"/>
      <c r="AV310" s="89"/>
      <c r="AW310" s="89"/>
      <c r="AX310" s="89"/>
      <c r="AY310" s="89"/>
      <c r="AZ310" s="89"/>
      <c r="BA310" s="89"/>
      <c r="BB310" s="89"/>
      <c r="BC310" s="89"/>
      <c r="BD310" s="89"/>
      <c r="BE310" s="89"/>
      <c r="BF310" s="89"/>
      <c r="BG310" s="89"/>
      <c r="BH310" s="89"/>
      <c r="BI310" s="89"/>
      <c r="BJ310" s="89"/>
      <c r="BK310" s="89"/>
      <c r="BL310" s="89"/>
      <c r="BM310" s="89"/>
      <c r="BN310" s="89"/>
      <c r="BO310" s="89"/>
      <c r="BP310" s="89"/>
      <c r="BQ310" s="89"/>
      <c r="BR310" s="89"/>
      <c r="BS310" s="89"/>
      <c r="BT310" s="89"/>
      <c r="BU310" s="89"/>
      <c r="BV310" s="89"/>
      <c r="BW310" s="89"/>
      <c r="BX310" s="89"/>
      <c r="BY310" s="89"/>
      <c r="BZ310" s="89"/>
      <c r="CA310" s="89"/>
      <c r="CB310" s="89"/>
      <c r="CC310" s="89"/>
      <c r="CD310" s="89"/>
      <c r="CE310" s="89"/>
      <c r="CF310" s="89"/>
      <c r="CG310" s="89"/>
      <c r="CH310" s="89"/>
      <c r="CI310" s="89"/>
      <c r="CJ310" s="89"/>
      <c r="CK310" s="89"/>
      <c r="CL310" s="89"/>
      <c r="CM310" s="89"/>
      <c r="CN310" s="89"/>
      <c r="CO310" s="89"/>
      <c r="CP310" s="89"/>
      <c r="CQ310" s="89"/>
      <c r="CR310" s="89"/>
      <c r="CS310" s="89"/>
      <c r="CT310" s="89"/>
      <c r="CU310" s="89"/>
      <c r="CV310" s="89"/>
      <c r="CW310" s="89"/>
      <c r="CX310" s="89"/>
      <c r="CY310" s="89"/>
      <c r="CZ310" s="89"/>
      <c r="DA310" s="89"/>
      <c r="DB310" s="89"/>
      <c r="DC310" s="89"/>
      <c r="DD310" s="89"/>
      <c r="DE310" s="89"/>
      <c r="DF310" s="89"/>
      <c r="DG310" s="89"/>
      <c r="DH310" s="89"/>
      <c r="DI310" s="89"/>
      <c r="DJ310" s="89"/>
      <c r="DK310" s="89"/>
      <c r="DL310" s="89"/>
      <c r="DM310" s="89"/>
      <c r="DN310" s="89"/>
      <c r="DO310" s="89"/>
      <c r="DP310" s="89"/>
      <c r="DQ310" s="89"/>
      <c r="DR310" s="89"/>
      <c r="DS310" s="89"/>
      <c r="DT310" s="89"/>
      <c r="DU310" s="141"/>
      <c r="DV310" s="141"/>
      <c r="DW310" s="141"/>
      <c r="DX310" s="141"/>
      <c r="DY310" s="141"/>
      <c r="DZ310" s="141"/>
      <c r="EA310" s="141"/>
      <c r="EB310" s="89"/>
      <c r="EC310" s="89"/>
      <c r="ED310" s="89"/>
      <c r="EE310" s="89"/>
      <c r="EF310" s="89"/>
      <c r="EG310" s="89"/>
      <c r="EH310" s="89"/>
      <c r="EI310" s="89"/>
      <c r="EJ310" s="89"/>
      <c r="EK310" s="89"/>
      <c r="EL310" s="89"/>
      <c r="EM310" s="89"/>
      <c r="EN310" s="89"/>
      <c r="EO310" s="89"/>
      <c r="EP310" s="89"/>
      <c r="EQ310" s="89"/>
      <c r="ER310" s="89"/>
      <c r="ES310" s="89"/>
      <c r="ET310" s="89"/>
      <c r="EU310" s="89"/>
      <c r="EV310" s="89"/>
      <c r="EW310" s="89"/>
      <c r="EX310" s="89"/>
      <c r="EY310" s="89"/>
      <c r="EZ310" s="89"/>
      <c r="FA310" s="89"/>
      <c r="FB310" s="89"/>
      <c r="FC310" s="89"/>
      <c r="FD310" s="89"/>
      <c r="FE310" s="89"/>
      <c r="FF310" s="89"/>
      <c r="FG310" s="89"/>
      <c r="FH310" s="89"/>
      <c r="FI310" s="89"/>
      <c r="FJ310" s="300"/>
      <c r="FK310" s="300"/>
      <c r="FL310" s="300"/>
      <c r="FM310" s="300"/>
      <c r="FN310" s="300"/>
      <c r="FO310" s="108"/>
      <c r="FP310" s="108"/>
      <c r="FQ310" s="108"/>
      <c r="FR310" s="108"/>
      <c r="FS310" s="108"/>
      <c r="FT310" s="108"/>
      <c r="FU310" s="108"/>
      <c r="FV310" s="108"/>
      <c r="FW310" s="108"/>
      <c r="FX310" s="301"/>
      <c r="FY310" s="259"/>
      <c r="FZ310" s="259"/>
      <c r="GA310" s="259"/>
      <c r="GB310" s="259"/>
      <c r="GC310" s="301"/>
      <c r="GD310" s="301"/>
      <c r="GE310" s="301"/>
      <c r="GF310" s="301"/>
      <c r="GG310" s="301"/>
      <c r="GH310" s="301"/>
      <c r="GI310" s="301"/>
      <c r="GJ310" s="301"/>
      <c r="GK310" s="301"/>
      <c r="GL310" s="301"/>
      <c r="GM310" s="301"/>
      <c r="GN310" s="301"/>
      <c r="GO310" s="301"/>
      <c r="GP310" s="301"/>
      <c r="GQ310" s="301"/>
      <c r="GR310" s="301"/>
      <c r="GS310" s="301"/>
      <c r="GT310" s="301"/>
      <c r="GU310" s="301"/>
      <c r="GV310" s="301"/>
      <c r="IB310" s="65"/>
    </row>
    <row r="311" spans="1:236" ht="16.95" customHeight="1">
      <c r="A311" s="60"/>
      <c r="B311" s="69"/>
      <c r="C311" s="69"/>
      <c r="D311" s="397" t="str">
        <f ca="1">IF(FL1=0,"","met maar twee aanbieders (duopolie). De")</f>
        <v/>
      </c>
      <c r="E311" s="341"/>
      <c r="F311" s="341"/>
      <c r="G311" s="341"/>
      <c r="H311" s="341"/>
      <c r="I311" s="341"/>
      <c r="J311" s="341"/>
      <c r="K311" s="89"/>
      <c r="L311" s="89"/>
      <c r="M311" s="89"/>
      <c r="N311" s="89"/>
      <c r="O311" s="89"/>
      <c r="P311" s="89"/>
      <c r="Q311" s="89"/>
      <c r="R311" s="89"/>
      <c r="S311" s="89"/>
      <c r="T311" s="89"/>
      <c r="U311" s="89"/>
      <c r="V311" s="89"/>
      <c r="W311" s="89"/>
      <c r="X311" s="89"/>
      <c r="Y311" s="89"/>
      <c r="Z311" s="89"/>
      <c r="AA311" s="89"/>
      <c r="AB311" s="89"/>
      <c r="AC311" s="89"/>
      <c r="AD311" s="89"/>
      <c r="AE311" s="89"/>
      <c r="AF311" s="89"/>
      <c r="AG311" s="89"/>
      <c r="AH311" s="89"/>
      <c r="AI311" s="89"/>
      <c r="AJ311" s="89"/>
      <c r="AK311" s="89"/>
      <c r="AL311" s="89"/>
      <c r="AM311" s="89"/>
      <c r="AN311" s="89"/>
      <c r="AO311" s="89"/>
      <c r="AP311" s="89"/>
      <c r="AQ311" s="89"/>
      <c r="AR311" s="89"/>
      <c r="AS311" s="89"/>
      <c r="AT311" s="89"/>
      <c r="AU311" s="89"/>
      <c r="AV311" s="89"/>
      <c r="AW311" s="89"/>
      <c r="AX311" s="89"/>
      <c r="AY311" s="89"/>
      <c r="AZ311" s="89"/>
      <c r="BA311" s="89"/>
      <c r="BB311" s="89"/>
      <c r="BC311" s="89"/>
      <c r="BD311" s="89"/>
      <c r="BE311" s="89"/>
      <c r="BF311" s="89"/>
      <c r="BG311" s="89"/>
      <c r="BH311" s="89"/>
      <c r="BI311" s="89"/>
      <c r="BJ311" s="89"/>
      <c r="BK311" s="89"/>
      <c r="BL311" s="89"/>
      <c r="BM311" s="89"/>
      <c r="BN311" s="89"/>
      <c r="BO311" s="89"/>
      <c r="BP311" s="89"/>
      <c r="BQ311" s="89"/>
      <c r="BR311" s="89"/>
      <c r="BS311" s="89"/>
      <c r="BT311" s="89"/>
      <c r="BU311" s="89"/>
      <c r="BV311" s="89"/>
      <c r="BW311" s="89"/>
      <c r="BX311" s="89"/>
      <c r="BY311" s="89"/>
      <c r="BZ311" s="89"/>
      <c r="CA311" s="89"/>
      <c r="CB311" s="89"/>
      <c r="CC311" s="89"/>
      <c r="CD311" s="89"/>
      <c r="CE311" s="89"/>
      <c r="CF311" s="89"/>
      <c r="CG311" s="89"/>
      <c r="CH311" s="89"/>
      <c r="CI311" s="89"/>
      <c r="CJ311" s="89"/>
      <c r="CK311" s="89"/>
      <c r="CL311" s="89"/>
      <c r="CM311" s="89"/>
      <c r="CN311" s="89"/>
      <c r="CO311" s="89"/>
      <c r="CP311" s="89"/>
      <c r="CQ311" s="89"/>
      <c r="CR311" s="89"/>
      <c r="CS311" s="89"/>
      <c r="CT311" s="89"/>
      <c r="CU311" s="89"/>
      <c r="CV311" s="89"/>
      <c r="CW311" s="89"/>
      <c r="CX311" s="89"/>
      <c r="CY311" s="89"/>
      <c r="CZ311" s="89"/>
      <c r="DA311" s="89"/>
      <c r="DB311" s="89"/>
      <c r="DC311" s="89"/>
      <c r="DD311" s="89"/>
      <c r="DE311" s="89"/>
      <c r="DF311" s="89"/>
      <c r="DG311" s="89"/>
      <c r="DH311" s="89"/>
      <c r="DI311" s="89"/>
      <c r="DJ311" s="89"/>
      <c r="DK311" s="89"/>
      <c r="DL311" s="89"/>
      <c r="DM311" s="89"/>
      <c r="DN311" s="89"/>
      <c r="DO311" s="89"/>
      <c r="DP311" s="89"/>
      <c r="DQ311" s="89"/>
      <c r="DR311" s="89"/>
      <c r="DS311" s="89"/>
      <c r="DT311" s="89"/>
      <c r="DU311" s="141"/>
      <c r="DV311" s="141"/>
      <c r="DW311" s="141"/>
      <c r="DX311" s="141"/>
      <c r="DY311" s="141"/>
      <c r="DZ311" s="141"/>
      <c r="EA311" s="141"/>
      <c r="EB311" s="89"/>
      <c r="EC311" s="89"/>
      <c r="ED311" s="89"/>
      <c r="EE311" s="89"/>
      <c r="EF311" s="89"/>
      <c r="EG311" s="89"/>
      <c r="EH311" s="89"/>
      <c r="EI311" s="89"/>
      <c r="EJ311" s="89"/>
      <c r="EK311" s="89"/>
      <c r="EL311" s="89"/>
      <c r="EM311" s="89"/>
      <c r="EN311" s="89"/>
      <c r="EO311" s="89"/>
      <c r="EP311" s="89"/>
      <c r="EQ311" s="89"/>
      <c r="ER311" s="89"/>
      <c r="ES311" s="89"/>
      <c r="ET311" s="89"/>
      <c r="EU311" s="89"/>
      <c r="EV311" s="89"/>
      <c r="EW311" s="89"/>
      <c r="EX311" s="89"/>
      <c r="EY311" s="89"/>
      <c r="EZ311" s="89"/>
      <c r="FA311" s="89"/>
      <c r="FB311" s="89"/>
      <c r="FC311" s="89"/>
      <c r="FD311" s="89"/>
      <c r="FE311" s="89"/>
      <c r="FF311" s="89"/>
      <c r="FG311" s="89"/>
      <c r="FH311" s="89"/>
      <c r="FI311" s="89"/>
      <c r="FJ311" s="300"/>
      <c r="FK311" s="300"/>
      <c r="FL311" s="300"/>
      <c r="FM311" s="300"/>
      <c r="FN311" s="300"/>
      <c r="FO311" s="108"/>
      <c r="FP311" s="108"/>
      <c r="FQ311" s="108"/>
      <c r="FR311" s="108"/>
      <c r="FS311" s="108"/>
      <c r="FT311" s="108"/>
      <c r="FU311" s="108"/>
      <c r="FV311" s="108"/>
      <c r="FW311" s="108"/>
      <c r="FX311" s="301"/>
      <c r="FY311" s="259"/>
      <c r="FZ311" s="259"/>
      <c r="GA311" s="259"/>
      <c r="GB311" s="259"/>
      <c r="GC311" s="301"/>
      <c r="GD311" s="301"/>
      <c r="GE311" s="301"/>
      <c r="GF311" s="301"/>
      <c r="GG311" s="301"/>
      <c r="GH311" s="301"/>
      <c r="GI311" s="301"/>
      <c r="GJ311" s="301"/>
      <c r="GK311" s="301"/>
      <c r="GL311" s="301"/>
      <c r="GM311" s="301"/>
      <c r="GN311" s="301"/>
      <c r="GO311" s="301"/>
      <c r="GP311" s="301"/>
      <c r="GQ311" s="301"/>
      <c r="GR311" s="301"/>
      <c r="GS311" s="301"/>
      <c r="GT311" s="301"/>
      <c r="GU311" s="301"/>
      <c r="GV311" s="301"/>
      <c r="IB311" s="65"/>
    </row>
    <row r="312" spans="1:236" ht="16.95" customHeight="1">
      <c r="A312" s="60"/>
      <c r="B312" s="69"/>
      <c r="C312" s="69"/>
      <c r="D312" s="397" t="str">
        <f ca="1">IF(FL1=0,"","lijnen stellen de gemiddelde variabele kosten")</f>
        <v/>
      </c>
      <c r="E312" s="341"/>
      <c r="F312" s="341"/>
      <c r="G312" s="341"/>
      <c r="H312" s="341"/>
      <c r="I312" s="341"/>
      <c r="J312" s="341"/>
      <c r="K312" s="89"/>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c r="AK312" s="89"/>
      <c r="AL312" s="89"/>
      <c r="AM312" s="89"/>
      <c r="AN312" s="89"/>
      <c r="AO312" s="89"/>
      <c r="AP312" s="89"/>
      <c r="AQ312" s="89"/>
      <c r="AR312" s="89"/>
      <c r="AS312" s="89"/>
      <c r="AT312" s="89"/>
      <c r="AU312" s="89"/>
      <c r="AV312" s="89"/>
      <c r="AW312" s="89"/>
      <c r="AX312" s="89"/>
      <c r="AY312" s="89"/>
      <c r="AZ312" s="89"/>
      <c r="BA312" s="89"/>
      <c r="BB312" s="89"/>
      <c r="BC312" s="89"/>
      <c r="BD312" s="89"/>
      <c r="BE312" s="89"/>
      <c r="BF312" s="89"/>
      <c r="BG312" s="89"/>
      <c r="BH312" s="89"/>
      <c r="BI312" s="89"/>
      <c r="BJ312" s="89"/>
      <c r="BK312" s="89"/>
      <c r="BL312" s="89"/>
      <c r="BM312" s="89"/>
      <c r="BN312" s="89"/>
      <c r="BO312" s="89"/>
      <c r="BP312" s="89"/>
      <c r="BQ312" s="89"/>
      <c r="BR312" s="89"/>
      <c r="BS312" s="89"/>
      <c r="BT312" s="89"/>
      <c r="BU312" s="89"/>
      <c r="BV312" s="89"/>
      <c r="BW312" s="89"/>
      <c r="BX312" s="89"/>
      <c r="BY312" s="89"/>
      <c r="BZ312" s="89"/>
      <c r="CA312" s="89"/>
      <c r="CB312" s="89"/>
      <c r="CC312" s="89"/>
      <c r="CD312" s="89"/>
      <c r="CE312" s="89"/>
      <c r="CF312" s="89"/>
      <c r="CG312" s="89"/>
      <c r="CH312" s="89"/>
      <c r="CI312" s="89"/>
      <c r="CJ312" s="89"/>
      <c r="CK312" s="89"/>
      <c r="CL312" s="89"/>
      <c r="CM312" s="89"/>
      <c r="CN312" s="89"/>
      <c r="CO312" s="89"/>
      <c r="CP312" s="89"/>
      <c r="CQ312" s="89"/>
      <c r="CR312" s="89"/>
      <c r="CS312" s="89"/>
      <c r="CT312" s="89"/>
      <c r="CU312" s="89"/>
      <c r="CV312" s="89"/>
      <c r="CW312" s="89"/>
      <c r="CX312" s="89"/>
      <c r="CY312" s="89"/>
      <c r="CZ312" s="89"/>
      <c r="DA312" s="89"/>
      <c r="DB312" s="89"/>
      <c r="DC312" s="89"/>
      <c r="DD312" s="89"/>
      <c r="DE312" s="89"/>
      <c r="DF312" s="89"/>
      <c r="DG312" s="89"/>
      <c r="DH312" s="89"/>
      <c r="DI312" s="89"/>
      <c r="DJ312" s="89"/>
      <c r="DK312" s="89"/>
      <c r="DL312" s="89"/>
      <c r="DM312" s="89"/>
      <c r="DN312" s="89"/>
      <c r="DO312" s="89"/>
      <c r="DP312" s="89"/>
      <c r="DQ312" s="89"/>
      <c r="DR312" s="89"/>
      <c r="DS312" s="89"/>
      <c r="DT312" s="89"/>
      <c r="DU312" s="141"/>
      <c r="DV312" s="141"/>
      <c r="DW312" s="141"/>
      <c r="DX312" s="141"/>
      <c r="DY312" s="141"/>
      <c r="DZ312" s="141"/>
      <c r="EA312" s="141"/>
      <c r="EB312" s="89"/>
      <c r="EC312" s="89"/>
      <c r="ED312" s="89"/>
      <c r="EE312" s="89"/>
      <c r="EF312" s="89"/>
      <c r="EG312" s="89"/>
      <c r="EH312" s="89"/>
      <c r="EI312" s="89"/>
      <c r="EJ312" s="89"/>
      <c r="EK312" s="89"/>
      <c r="EL312" s="89"/>
      <c r="EM312" s="89"/>
      <c r="EN312" s="89"/>
      <c r="EO312" s="89"/>
      <c r="EP312" s="89"/>
      <c r="EQ312" s="89"/>
      <c r="ER312" s="89"/>
      <c r="ES312" s="89"/>
      <c r="ET312" s="89"/>
      <c r="EU312" s="89"/>
      <c r="EV312" s="89"/>
      <c r="EW312" s="89"/>
      <c r="EX312" s="89"/>
      <c r="EY312" s="89"/>
      <c r="EZ312" s="89"/>
      <c r="FA312" s="89"/>
      <c r="FB312" s="89"/>
      <c r="FC312" s="89"/>
      <c r="FD312" s="89"/>
      <c r="FE312" s="89"/>
      <c r="FF312" s="89"/>
      <c r="FG312" s="89"/>
      <c r="FH312" s="89"/>
      <c r="FI312" s="89"/>
      <c r="FJ312" s="300"/>
      <c r="FK312" s="300"/>
      <c r="FL312" s="300"/>
      <c r="FM312" s="300"/>
      <c r="FN312" s="300"/>
      <c r="FO312" s="108"/>
      <c r="FP312" s="108"/>
      <c r="FQ312" s="108"/>
      <c r="FR312" s="108"/>
      <c r="FS312" s="108"/>
      <c r="FT312" s="108"/>
      <c r="FU312" s="108"/>
      <c r="FV312" s="108"/>
      <c r="FW312" s="108"/>
      <c r="FX312" s="301"/>
      <c r="FY312" s="259"/>
      <c r="FZ312" s="259"/>
      <c r="GA312" s="259"/>
      <c r="GB312" s="259"/>
      <c r="GC312" s="301"/>
      <c r="GD312" s="301"/>
      <c r="GE312" s="301"/>
      <c r="GF312" s="301"/>
      <c r="GG312" s="301"/>
      <c r="GH312" s="301"/>
      <c r="GI312" s="301"/>
      <c r="GJ312" s="301"/>
      <c r="GK312" s="301"/>
      <c r="GL312" s="301"/>
      <c r="GM312" s="301"/>
      <c r="GN312" s="301"/>
      <c r="GO312" s="301"/>
      <c r="GP312" s="301"/>
      <c r="GQ312" s="301"/>
      <c r="GR312" s="301"/>
      <c r="GS312" s="301"/>
      <c r="GT312" s="301"/>
      <c r="GU312" s="301"/>
      <c r="GV312" s="301"/>
      <c r="IB312" s="65"/>
    </row>
    <row r="313" spans="1:236" ht="16.95" customHeight="1">
      <c r="A313" s="60"/>
      <c r="B313" s="69"/>
      <c r="C313" s="69"/>
      <c r="D313" s="397" t="str">
        <f ca="1">IF(FL1=0,"","(GVK) en de marginale kosten (MK), de")</f>
        <v/>
      </c>
      <c r="E313" s="341"/>
      <c r="F313" s="341"/>
      <c r="G313" s="341"/>
      <c r="H313" s="341"/>
      <c r="I313" s="341"/>
      <c r="J313" s="341"/>
      <c r="K313" s="89"/>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c r="AK313" s="89"/>
      <c r="AL313" s="89"/>
      <c r="AM313" s="89"/>
      <c r="AN313" s="89"/>
      <c r="AO313" s="89"/>
      <c r="AP313" s="89"/>
      <c r="AQ313" s="89"/>
      <c r="AR313" s="89"/>
      <c r="AS313" s="89"/>
      <c r="AT313" s="89"/>
      <c r="AU313" s="89"/>
      <c r="AV313" s="89"/>
      <c r="AW313" s="89"/>
      <c r="AX313" s="89"/>
      <c r="AY313" s="89"/>
      <c r="AZ313" s="89"/>
      <c r="BA313" s="89"/>
      <c r="BB313" s="89"/>
      <c r="BC313" s="89"/>
      <c r="BD313" s="89"/>
      <c r="BE313" s="89"/>
      <c r="BF313" s="89"/>
      <c r="BG313" s="89"/>
      <c r="BH313" s="89"/>
      <c r="BI313" s="89"/>
      <c r="BJ313" s="89"/>
      <c r="BK313" s="89"/>
      <c r="BL313" s="89"/>
      <c r="BM313" s="89"/>
      <c r="BN313" s="89"/>
      <c r="BO313" s="89"/>
      <c r="BP313" s="89"/>
      <c r="BQ313" s="89"/>
      <c r="BR313" s="89"/>
      <c r="BS313" s="89"/>
      <c r="BT313" s="89"/>
      <c r="BU313" s="89"/>
      <c r="BV313" s="89"/>
      <c r="BW313" s="89"/>
      <c r="BX313" s="89"/>
      <c r="BY313" s="89"/>
      <c r="BZ313" s="89"/>
      <c r="CA313" s="89"/>
      <c r="CB313" s="348" t="str">
        <f ca="1">IF(FL1=0,"",""&amp;FN321&amp;"")</f>
        <v/>
      </c>
      <c r="CC313" s="89"/>
      <c r="CD313" s="89"/>
      <c r="CE313" s="89"/>
      <c r="CF313" s="89"/>
      <c r="CG313" s="89"/>
      <c r="CH313" s="89"/>
      <c r="CI313" s="89"/>
      <c r="CJ313" s="89"/>
      <c r="CK313" s="89"/>
      <c r="CL313" s="89"/>
      <c r="CM313" s="89"/>
      <c r="CN313" s="89"/>
      <c r="CO313" s="89"/>
      <c r="CP313" s="89"/>
      <c r="CQ313" s="89"/>
      <c r="CR313" s="89"/>
      <c r="CS313" s="89"/>
      <c r="CT313" s="89"/>
      <c r="CU313" s="89"/>
      <c r="CV313" s="89"/>
      <c r="CW313" s="89"/>
      <c r="CX313" s="89"/>
      <c r="CY313" s="89"/>
      <c r="CZ313" s="89"/>
      <c r="DA313" s="89"/>
      <c r="DB313" s="89"/>
      <c r="DC313" s="89"/>
      <c r="DD313" s="89"/>
      <c r="DE313" s="89"/>
      <c r="DF313" s="89"/>
      <c r="DG313" s="89"/>
      <c r="DH313" s="89"/>
      <c r="DI313" s="89"/>
      <c r="DJ313" s="89"/>
      <c r="DK313" s="89"/>
      <c r="DL313" s="89"/>
      <c r="DM313" s="89"/>
      <c r="DN313" s="89"/>
      <c r="DO313" s="89"/>
      <c r="DP313" s="89"/>
      <c r="DQ313" s="89"/>
      <c r="DR313" s="89"/>
      <c r="DS313" s="89"/>
      <c r="DT313" s="89"/>
      <c r="DU313" s="141"/>
      <c r="DV313" s="141"/>
      <c r="DW313" s="141"/>
      <c r="DX313" s="141"/>
      <c r="DY313" s="141"/>
      <c r="DZ313" s="141"/>
      <c r="EA313" s="141"/>
      <c r="EB313" s="89"/>
      <c r="EC313" s="89"/>
      <c r="ED313" s="89"/>
      <c r="EE313" s="89"/>
      <c r="EF313" s="89"/>
      <c r="EG313" s="89"/>
      <c r="EH313" s="89"/>
      <c r="EI313" s="89"/>
      <c r="EJ313" s="89"/>
      <c r="EK313" s="89"/>
      <c r="EL313" s="89"/>
      <c r="EM313" s="89"/>
      <c r="EN313" s="89"/>
      <c r="EO313" s="89"/>
      <c r="EP313" s="89"/>
      <c r="EQ313" s="89"/>
      <c r="ER313" s="89"/>
      <c r="ES313" s="89"/>
      <c r="ET313" s="89"/>
      <c r="EU313" s="89"/>
      <c r="EV313" s="89"/>
      <c r="EW313" s="89"/>
      <c r="EX313" s="89"/>
      <c r="EY313" s="89"/>
      <c r="EZ313" s="89"/>
      <c r="FA313" s="89"/>
      <c r="FB313" s="89"/>
      <c r="FC313" s="89"/>
      <c r="FD313" s="89"/>
      <c r="FE313" s="89"/>
      <c r="FF313" s="89"/>
      <c r="FG313" s="89"/>
      <c r="FH313" s="89"/>
      <c r="FI313" s="89"/>
      <c r="FJ313" s="300"/>
      <c r="FK313" s="300"/>
      <c r="FL313" s="300"/>
      <c r="FM313" s="300"/>
      <c r="FN313" s="300"/>
      <c r="FO313" s="108"/>
      <c r="FP313" s="108"/>
      <c r="FQ313" s="108"/>
      <c r="FR313" s="108"/>
      <c r="FS313" s="108"/>
      <c r="FT313" s="108"/>
      <c r="FU313" s="108"/>
      <c r="FV313" s="108"/>
      <c r="FW313" s="108"/>
      <c r="FX313" s="301"/>
      <c r="FY313" s="259"/>
      <c r="FZ313" s="259"/>
      <c r="GA313" s="259"/>
      <c r="GB313" s="259"/>
      <c r="GC313" s="301"/>
      <c r="GD313" s="301"/>
      <c r="GE313" s="301"/>
      <c r="GF313" s="301"/>
      <c r="GG313" s="301"/>
      <c r="GH313" s="301"/>
      <c r="GI313" s="301"/>
      <c r="GJ313" s="301"/>
      <c r="GK313" s="301"/>
      <c r="GL313" s="301"/>
      <c r="GM313" s="301"/>
      <c r="GN313" s="301"/>
      <c r="GO313" s="301"/>
      <c r="GP313" s="301"/>
      <c r="GQ313" s="301"/>
      <c r="GR313" s="301"/>
      <c r="GS313" s="301"/>
      <c r="GT313" s="301"/>
      <c r="GU313" s="301"/>
      <c r="GV313" s="301"/>
      <c r="IB313" s="65"/>
    </row>
    <row r="314" spans="1:236" ht="16.95" customHeight="1">
      <c r="A314" s="60"/>
      <c r="B314" s="69"/>
      <c r="C314" s="69"/>
      <c r="D314" s="397" t="str">
        <f ca="1">IF(FL1=0,"","prijsafzetlijn (P) en de MO-lijn voor, die voor")</f>
        <v/>
      </c>
      <c r="E314" s="341"/>
      <c r="F314" s="341"/>
      <c r="G314" s="341"/>
      <c r="H314" s="341"/>
      <c r="I314" s="341"/>
      <c r="J314" s="341"/>
      <c r="K314" s="89"/>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c r="AK314" s="89"/>
      <c r="AL314" s="89"/>
      <c r="AM314" s="89"/>
      <c r="AN314" s="89"/>
      <c r="AO314" s="89"/>
      <c r="AP314" s="89"/>
      <c r="AQ314" s="89"/>
      <c r="AR314" s="89"/>
      <c r="AS314" s="89"/>
      <c r="AT314" s="89"/>
      <c r="AU314" s="89"/>
      <c r="AV314" s="89"/>
      <c r="AW314" s="89"/>
      <c r="AX314" s="89"/>
      <c r="AY314" s="89"/>
      <c r="AZ314" s="89"/>
      <c r="BA314" s="89"/>
      <c r="BB314" s="89"/>
      <c r="BC314" s="89"/>
      <c r="BD314" s="89"/>
      <c r="BE314" s="89"/>
      <c r="BF314" s="89"/>
      <c r="BG314" s="89"/>
      <c r="BH314" s="89"/>
      <c r="BI314" s="89"/>
      <c r="BJ314" s="89"/>
      <c r="BK314" s="89"/>
      <c r="BL314" s="89"/>
      <c r="BM314" s="89"/>
      <c r="BN314" s="89"/>
      <c r="BO314" s="89"/>
      <c r="BP314" s="89"/>
      <c r="BQ314" s="89"/>
      <c r="BR314" s="89"/>
      <c r="BS314" s="89"/>
      <c r="BT314" s="89"/>
      <c r="BU314" s="89"/>
      <c r="BV314" s="89"/>
      <c r="BW314" s="89"/>
      <c r="BX314" s="89"/>
      <c r="BY314" s="89"/>
      <c r="BZ314" s="89"/>
      <c r="CA314" s="89"/>
      <c r="CB314" s="349" t="str">
        <f ca="1">IF(FL1=0,"",""&amp;FO321&amp;"")</f>
        <v/>
      </c>
      <c r="CC314" s="89"/>
      <c r="CD314" s="89"/>
      <c r="CE314" s="89"/>
      <c r="CF314" s="89"/>
      <c r="CG314" s="89"/>
      <c r="CH314" s="89"/>
      <c r="CI314" s="89"/>
      <c r="CJ314" s="89"/>
      <c r="CK314" s="89"/>
      <c r="CL314" s="89"/>
      <c r="CM314" s="89"/>
      <c r="CN314" s="89"/>
      <c r="CO314" s="89"/>
      <c r="CP314" s="89"/>
      <c r="CQ314" s="89"/>
      <c r="CR314" s="89"/>
      <c r="CS314" s="89"/>
      <c r="CT314" s="89"/>
      <c r="CU314" s="89"/>
      <c r="CV314" s="89"/>
      <c r="CW314" s="89"/>
      <c r="CX314" s="89"/>
      <c r="CY314" s="89"/>
      <c r="CZ314" s="89"/>
      <c r="DA314" s="89"/>
      <c r="DB314" s="89"/>
      <c r="DC314" s="89"/>
      <c r="DD314" s="89"/>
      <c r="DE314" s="89"/>
      <c r="DF314" s="89"/>
      <c r="DG314" s="89"/>
      <c r="DH314" s="89"/>
      <c r="DI314" s="89"/>
      <c r="DJ314" s="89"/>
      <c r="DK314" s="89"/>
      <c r="DL314" s="89"/>
      <c r="DM314" s="89"/>
      <c r="DN314" s="89"/>
      <c r="DO314" s="89"/>
      <c r="DP314" s="89"/>
      <c r="DQ314" s="89"/>
      <c r="DR314" s="89"/>
      <c r="DS314" s="89"/>
      <c r="DT314" s="89"/>
      <c r="DU314" s="141"/>
      <c r="DV314" s="141"/>
      <c r="DW314" s="141"/>
      <c r="DX314" s="141"/>
      <c r="DY314" s="141"/>
      <c r="DZ314" s="141"/>
      <c r="EA314" s="141"/>
      <c r="EB314" s="89"/>
      <c r="EC314" s="89"/>
      <c r="ED314" s="89"/>
      <c r="EE314" s="89"/>
      <c r="EF314" s="89"/>
      <c r="EG314" s="89"/>
      <c r="EH314" s="89"/>
      <c r="EI314" s="89"/>
      <c r="EJ314" s="89"/>
      <c r="EK314" s="89"/>
      <c r="EL314" s="89"/>
      <c r="EM314" s="89"/>
      <c r="EN314" s="89"/>
      <c r="EO314" s="89"/>
      <c r="EP314" s="89"/>
      <c r="EQ314" s="89"/>
      <c r="ER314" s="89"/>
      <c r="ES314" s="89"/>
      <c r="ET314" s="89"/>
      <c r="EU314" s="89"/>
      <c r="EV314" s="89"/>
      <c r="EW314" s="89"/>
      <c r="EX314" s="89"/>
      <c r="EY314" s="89"/>
      <c r="EZ314" s="89"/>
      <c r="FA314" s="89"/>
      <c r="FB314" s="89"/>
      <c r="FC314" s="89"/>
      <c r="FD314" s="89"/>
      <c r="FE314" s="89"/>
      <c r="FF314" s="89"/>
      <c r="FG314" s="89"/>
      <c r="FH314" s="89"/>
      <c r="FI314" s="89"/>
      <c r="FJ314" s="300"/>
      <c r="FK314" s="300"/>
      <c r="FL314" s="300"/>
      <c r="FM314" s="300"/>
      <c r="FN314" s="300"/>
      <c r="FO314" s="108"/>
      <c r="FP314" s="108"/>
      <c r="FQ314" s="108"/>
      <c r="FR314" s="108"/>
      <c r="FS314" s="108"/>
      <c r="FT314" s="108"/>
      <c r="FU314" s="108"/>
      <c r="FV314" s="108"/>
      <c r="FW314" s="108"/>
      <c r="FX314" s="301"/>
      <c r="FY314" s="259"/>
      <c r="FZ314" s="259"/>
      <c r="GA314" s="259"/>
      <c r="GB314" s="259"/>
      <c r="GC314" s="301"/>
      <c r="GD314" s="301"/>
      <c r="GE314" s="301"/>
      <c r="GF314" s="301"/>
      <c r="GG314" s="301"/>
      <c r="GH314" s="301"/>
      <c r="GI314" s="301"/>
      <c r="GJ314" s="301"/>
      <c r="GK314" s="301"/>
      <c r="GL314" s="301"/>
      <c r="GM314" s="301"/>
      <c r="GN314" s="301"/>
      <c r="GO314" s="301"/>
      <c r="GP314" s="301"/>
      <c r="GQ314" s="301"/>
      <c r="GR314" s="301"/>
      <c r="GS314" s="301"/>
      <c r="GT314" s="301"/>
      <c r="GU314" s="301"/>
      <c r="GV314" s="301"/>
      <c r="IB314" s="65"/>
    </row>
    <row r="315" spans="1:236" ht="16.95" customHeight="1">
      <c r="A315" s="60"/>
      <c r="B315" s="69"/>
      <c r="C315" s="69"/>
      <c r="D315" s="397" t="str">
        <f ca="1">IF(FL1=0,"","beide producenten samen gelden. Zoals je ziet")</f>
        <v/>
      </c>
      <c r="E315" s="341"/>
      <c r="F315" s="341"/>
      <c r="G315" s="341"/>
      <c r="H315" s="341"/>
      <c r="I315" s="341"/>
      <c r="J315" s="341"/>
      <c r="K315" s="89"/>
      <c r="L315" s="89"/>
      <c r="M315" s="89"/>
      <c r="N315" s="89"/>
      <c r="O315" s="89"/>
      <c r="P315" s="89"/>
      <c r="Q315" s="89"/>
      <c r="R315" s="89"/>
      <c r="S315" s="89"/>
      <c r="T315" s="89"/>
      <c r="U315" s="89"/>
      <c r="V315" s="89"/>
      <c r="W315" s="89"/>
      <c r="X315" s="89"/>
      <c r="Y315" s="89"/>
      <c r="Z315" s="89"/>
      <c r="AA315" s="89"/>
      <c r="AB315" s="89"/>
      <c r="AC315" s="89"/>
      <c r="AD315" s="89"/>
      <c r="AE315" s="89"/>
      <c r="AF315" s="89"/>
      <c r="AG315" s="89"/>
      <c r="AH315" s="89"/>
      <c r="AI315" s="89"/>
      <c r="AJ315" s="89"/>
      <c r="AK315" s="89"/>
      <c r="AL315" s="89"/>
      <c r="AM315" s="89"/>
      <c r="AN315" s="89"/>
      <c r="AO315" s="89"/>
      <c r="AP315" s="89"/>
      <c r="AQ315" s="89"/>
      <c r="AR315" s="89"/>
      <c r="AS315" s="89"/>
      <c r="AT315" s="89"/>
      <c r="AU315" s="89"/>
      <c r="AV315" s="89"/>
      <c r="AW315" s="89"/>
      <c r="AX315" s="89"/>
      <c r="AY315" s="89"/>
      <c r="AZ315" s="89"/>
      <c r="BA315" s="89"/>
      <c r="BB315" s="89"/>
      <c r="BC315" s="89"/>
      <c r="BD315" s="89"/>
      <c r="BE315" s="89"/>
      <c r="BF315" s="89"/>
      <c r="BG315" s="89"/>
      <c r="BH315" s="89"/>
      <c r="BI315" s="89"/>
      <c r="BJ315" s="89"/>
      <c r="BK315" s="89"/>
      <c r="BL315" s="89"/>
      <c r="BM315" s="89"/>
      <c r="BN315" s="89"/>
      <c r="BO315" s="89"/>
      <c r="BP315" s="89"/>
      <c r="BQ315" s="89"/>
      <c r="BR315" s="89"/>
      <c r="BS315" s="89"/>
      <c r="BT315" s="89"/>
      <c r="BU315" s="89"/>
      <c r="BV315" s="89"/>
      <c r="BW315" s="89"/>
      <c r="BX315" s="89"/>
      <c r="BY315" s="89"/>
      <c r="BZ315" s="89"/>
      <c r="CA315" s="89"/>
      <c r="CB315" s="348" t="str">
        <f ca="1">IF(FL1=0,"",""&amp;FP321&amp;"")</f>
        <v/>
      </c>
      <c r="CC315" s="89"/>
      <c r="CD315" s="89"/>
      <c r="CE315" s="89"/>
      <c r="CF315" s="89"/>
      <c r="CG315" s="89"/>
      <c r="CH315" s="89"/>
      <c r="CI315" s="89"/>
      <c r="CJ315" s="89"/>
      <c r="CK315" s="89"/>
      <c r="CL315" s="89"/>
      <c r="CM315" s="89"/>
      <c r="CN315" s="89"/>
      <c r="CO315" s="89"/>
      <c r="CP315" s="89"/>
      <c r="CQ315" s="89"/>
      <c r="CR315" s="89"/>
      <c r="CS315" s="89"/>
      <c r="CT315" s="89"/>
      <c r="CU315" s="89"/>
      <c r="CV315" s="89"/>
      <c r="CW315" s="89"/>
      <c r="CX315" s="89"/>
      <c r="CY315" s="89"/>
      <c r="CZ315" s="89"/>
      <c r="DA315" s="89"/>
      <c r="DB315" s="89"/>
      <c r="DC315" s="89"/>
      <c r="DD315" s="89"/>
      <c r="DE315" s="89"/>
      <c r="DF315" s="89"/>
      <c r="DG315" s="89"/>
      <c r="DH315" s="89"/>
      <c r="DI315" s="89"/>
      <c r="DJ315" s="89"/>
      <c r="DK315" s="89"/>
      <c r="DL315" s="89"/>
      <c r="DM315" s="89"/>
      <c r="DN315" s="89"/>
      <c r="DO315" s="89"/>
      <c r="DP315" s="89"/>
      <c r="DQ315" s="89"/>
      <c r="DR315" s="89"/>
      <c r="DS315" s="89"/>
      <c r="DT315" s="89"/>
      <c r="DU315" s="141"/>
      <c r="DV315" s="141"/>
      <c r="DW315" s="141"/>
      <c r="DX315" s="141"/>
      <c r="DY315" s="141"/>
      <c r="DZ315" s="141"/>
      <c r="EA315" s="141"/>
      <c r="EB315" s="89"/>
      <c r="EC315" s="89"/>
      <c r="ED315" s="89"/>
      <c r="EE315" s="89"/>
      <c r="EF315" s="89"/>
      <c r="EG315" s="89"/>
      <c r="EH315" s="89"/>
      <c r="EI315" s="89"/>
      <c r="EJ315" s="89"/>
      <c r="EK315" s="89"/>
      <c r="EL315" s="89"/>
      <c r="EM315" s="89"/>
      <c r="EN315" s="89"/>
      <c r="EO315" s="89"/>
      <c r="EP315" s="89"/>
      <c r="EQ315" s="89"/>
      <c r="ER315" s="89"/>
      <c r="ES315" s="89"/>
      <c r="ET315" s="89"/>
      <c r="EU315" s="89"/>
      <c r="EV315" s="89"/>
      <c r="EW315" s="89"/>
      <c r="EX315" s="89"/>
      <c r="EY315" s="89"/>
      <c r="EZ315" s="89"/>
      <c r="FA315" s="89"/>
      <c r="FB315" s="89"/>
      <c r="FC315" s="89"/>
      <c r="FD315" s="89"/>
      <c r="FE315" s="89"/>
      <c r="FF315" s="89"/>
      <c r="FG315" s="89"/>
      <c r="FH315" s="89"/>
      <c r="FI315" s="89"/>
      <c r="FJ315" s="300"/>
      <c r="FK315" s="300"/>
      <c r="FL315" s="300"/>
      <c r="FM315" s="300"/>
      <c r="FN315" s="300"/>
      <c r="FO315" s="108"/>
      <c r="FP315" s="108"/>
      <c r="FQ315" s="108"/>
      <c r="FR315" s="108"/>
      <c r="FS315" s="108"/>
      <c r="FT315" s="108"/>
      <c r="FU315" s="108"/>
      <c r="FV315" s="108"/>
      <c r="FW315" s="108"/>
      <c r="FX315" s="301"/>
      <c r="FY315" s="259"/>
      <c r="FZ315" s="259"/>
      <c r="GA315" s="259"/>
      <c r="GB315" s="259"/>
      <c r="GC315" s="301"/>
      <c r="GD315" s="301"/>
      <c r="GE315" s="301"/>
      <c r="GF315" s="301"/>
      <c r="GG315" s="301"/>
      <c r="GH315" s="301"/>
      <c r="GI315" s="301"/>
      <c r="GJ315" s="301"/>
      <c r="GK315" s="301"/>
      <c r="GL315" s="301"/>
      <c r="GM315" s="301"/>
      <c r="GN315" s="301"/>
      <c r="GO315" s="301"/>
      <c r="GP315" s="301"/>
      <c r="GQ315" s="301"/>
      <c r="GR315" s="301"/>
      <c r="GS315" s="301"/>
      <c r="GT315" s="301"/>
      <c r="GU315" s="301"/>
      <c r="GV315" s="301"/>
      <c r="IB315" s="65"/>
    </row>
    <row r="316" spans="1:236" ht="16.95" customHeight="1">
      <c r="A316" s="60"/>
      <c r="B316" s="69"/>
      <c r="C316" s="69"/>
      <c r="D316" s="397" t="str">
        <f ca="1">IF(FL1=0,"","is er niet bij gezet wat elke lijn voorstelt.")</f>
        <v/>
      </c>
      <c r="E316" s="341"/>
      <c r="F316" s="341"/>
      <c r="G316" s="341"/>
      <c r="H316" s="341"/>
      <c r="I316" s="341"/>
      <c r="J316" s="341"/>
      <c r="K316" s="89"/>
      <c r="L316" s="89"/>
      <c r="M316" s="89"/>
      <c r="N316" s="89"/>
      <c r="O316" s="89"/>
      <c r="P316" s="89"/>
      <c r="Q316" s="89"/>
      <c r="R316" s="89"/>
      <c r="S316" s="89"/>
      <c r="T316" s="89"/>
      <c r="U316" s="89"/>
      <c r="V316" s="89"/>
      <c r="W316" s="89"/>
      <c r="X316" s="89"/>
      <c r="Y316" s="89"/>
      <c r="Z316" s="89"/>
      <c r="AA316" s="89"/>
      <c r="AB316" s="89"/>
      <c r="AC316" s="89"/>
      <c r="AD316" s="89"/>
      <c r="AE316" s="89"/>
      <c r="AF316" s="89"/>
      <c r="AG316" s="89"/>
      <c r="AH316" s="89"/>
      <c r="AI316" s="89"/>
      <c r="AJ316" s="89"/>
      <c r="AK316" s="89"/>
      <c r="AL316" s="89"/>
      <c r="AM316" s="89"/>
      <c r="AN316" s="89"/>
      <c r="AO316" s="89"/>
      <c r="AP316" s="89"/>
      <c r="AQ316" s="89"/>
      <c r="AR316" s="89"/>
      <c r="AS316" s="89"/>
      <c r="AT316" s="89"/>
      <c r="AU316" s="89"/>
      <c r="AV316" s="89"/>
      <c r="AW316" s="89"/>
      <c r="AX316" s="89"/>
      <c r="AY316" s="89"/>
      <c r="AZ316" s="89"/>
      <c r="BA316" s="89"/>
      <c r="BB316" s="89"/>
      <c r="BC316" s="89"/>
      <c r="BD316" s="89"/>
      <c r="BE316" s="89"/>
      <c r="BF316" s="89"/>
      <c r="BG316" s="89"/>
      <c r="BH316" s="89"/>
      <c r="BI316" s="89"/>
      <c r="BJ316" s="89"/>
      <c r="BK316" s="89"/>
      <c r="BL316" s="89"/>
      <c r="BM316" s="89"/>
      <c r="BN316" s="89"/>
      <c r="BO316" s="89"/>
      <c r="BP316" s="89"/>
      <c r="BQ316" s="89"/>
      <c r="BR316" s="89"/>
      <c r="BS316" s="89"/>
      <c r="BT316" s="89"/>
      <c r="BU316" s="89"/>
      <c r="BV316" s="89"/>
      <c r="BW316" s="89"/>
      <c r="BX316" s="89"/>
      <c r="BY316" s="89"/>
      <c r="BZ316" s="89"/>
      <c r="CA316" s="89"/>
      <c r="CB316" s="89"/>
      <c r="CC316" s="89"/>
      <c r="CD316" s="89"/>
      <c r="CE316" s="89"/>
      <c r="CF316" s="89"/>
      <c r="CG316" s="89"/>
      <c r="CH316" s="89"/>
      <c r="CI316" s="89"/>
      <c r="CJ316" s="89"/>
      <c r="CK316" s="89"/>
      <c r="CL316" s="89"/>
      <c r="CM316" s="89"/>
      <c r="CN316" s="89"/>
      <c r="CO316" s="89"/>
      <c r="CP316" s="89"/>
      <c r="CQ316" s="89"/>
      <c r="CR316" s="89"/>
      <c r="CS316" s="89"/>
      <c r="CT316" s="89"/>
      <c r="CU316" s="89"/>
      <c r="CV316" s="89"/>
      <c r="CW316" s="89"/>
      <c r="CX316" s="89"/>
      <c r="CY316" s="89"/>
      <c r="CZ316" s="89"/>
      <c r="DA316" s="89"/>
      <c r="DB316" s="89"/>
      <c r="DC316" s="89"/>
      <c r="DD316" s="89"/>
      <c r="DE316" s="89"/>
      <c r="DF316" s="89"/>
      <c r="DG316" s="89"/>
      <c r="DH316" s="89"/>
      <c r="DI316" s="89"/>
      <c r="DJ316" s="89"/>
      <c r="DK316" s="89"/>
      <c r="DL316" s="89"/>
      <c r="DM316" s="89"/>
      <c r="DN316" s="89"/>
      <c r="DO316" s="89"/>
      <c r="DP316" s="89"/>
      <c r="DQ316" s="89"/>
      <c r="DR316" s="89"/>
      <c r="DS316" s="89"/>
      <c r="DT316" s="89"/>
      <c r="DU316" s="141"/>
      <c r="DV316" s="141"/>
      <c r="DW316" s="141"/>
      <c r="DX316" s="141"/>
      <c r="DY316" s="141"/>
      <c r="DZ316" s="141"/>
      <c r="EA316" s="141"/>
      <c r="EB316" s="89"/>
      <c r="EC316" s="89"/>
      <c r="ED316" s="89"/>
      <c r="EE316" s="89"/>
      <c r="EF316" s="89"/>
      <c r="EG316" s="89"/>
      <c r="EH316" s="89"/>
      <c r="EI316" s="89"/>
      <c r="EJ316" s="89"/>
      <c r="EK316" s="89"/>
      <c r="EL316" s="89"/>
      <c r="EM316" s="89"/>
      <c r="EN316" s="89"/>
      <c r="EO316" s="89"/>
      <c r="EP316" s="89"/>
      <c r="EQ316" s="89"/>
      <c r="ER316" s="89"/>
      <c r="ES316" s="89"/>
      <c r="ET316" s="89"/>
      <c r="EU316" s="89"/>
      <c r="EV316" s="89"/>
      <c r="EW316" s="89"/>
      <c r="EX316" s="89"/>
      <c r="EY316" s="89"/>
      <c r="EZ316" s="89"/>
      <c r="FA316" s="89"/>
      <c r="FB316" s="89"/>
      <c r="FC316" s="89"/>
      <c r="FD316" s="89"/>
      <c r="FE316" s="89"/>
      <c r="FF316" s="89"/>
      <c r="FG316" s="89"/>
      <c r="FH316" s="89"/>
      <c r="FI316" s="89"/>
      <c r="FJ316" s="300"/>
      <c r="FK316" s="300"/>
      <c r="FL316" s="300"/>
      <c r="FM316" s="300"/>
      <c r="FN316" s="300"/>
      <c r="FO316" s="108"/>
      <c r="FP316" s="108"/>
      <c r="FQ316" s="108"/>
      <c r="FR316" s="108"/>
      <c r="FS316" s="108"/>
      <c r="FT316" s="108"/>
      <c r="FU316" s="108"/>
      <c r="FV316" s="108"/>
      <c r="FW316" s="108"/>
      <c r="FX316" s="301"/>
      <c r="FY316" s="259"/>
      <c r="FZ316" s="259"/>
      <c r="GA316" s="259"/>
      <c r="GB316" s="259"/>
      <c r="GC316" s="301"/>
      <c r="GD316" s="301"/>
      <c r="GE316" s="301"/>
      <c r="GF316" s="301"/>
      <c r="GG316" s="301"/>
      <c r="GH316" s="301"/>
      <c r="GI316" s="301"/>
      <c r="GJ316" s="301"/>
      <c r="GK316" s="301"/>
      <c r="GL316" s="301"/>
      <c r="GM316" s="301"/>
      <c r="GN316" s="301"/>
      <c r="GO316" s="301"/>
      <c r="GP316" s="301"/>
      <c r="GQ316" s="301"/>
      <c r="GR316" s="301"/>
      <c r="GS316" s="301"/>
      <c r="GT316" s="301"/>
      <c r="GU316" s="301"/>
      <c r="GV316" s="301"/>
      <c r="IB316" s="65"/>
    </row>
    <row r="317" spans="1:236" ht="16.95" customHeight="1">
      <c r="A317" s="60"/>
      <c r="B317" s="69"/>
      <c r="C317" s="69"/>
      <c r="D317" s="397" t="str">
        <f ca="1">IF(FL1=0,"","Geef met behulp van de letters aan welke")</f>
        <v/>
      </c>
      <c r="E317" s="341"/>
      <c r="F317" s="341"/>
      <c r="G317" s="341"/>
      <c r="H317" s="341"/>
      <c r="I317" s="341"/>
      <c r="J317" s="341"/>
      <c r="K317" s="89"/>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c r="AK317" s="89"/>
      <c r="AL317" s="89"/>
      <c r="AM317" s="89"/>
      <c r="AN317" s="89"/>
      <c r="AO317" s="89"/>
      <c r="AP317" s="89"/>
      <c r="AQ317" s="89"/>
      <c r="AR317" s="89"/>
      <c r="AS317" s="89"/>
      <c r="AT317" s="89"/>
      <c r="AU317" s="89"/>
      <c r="AV317" s="89"/>
      <c r="AW317" s="89"/>
      <c r="AX317" s="89"/>
      <c r="AY317" s="89"/>
      <c r="AZ317" s="89"/>
      <c r="BA317" s="89"/>
      <c r="BB317" s="89"/>
      <c r="BC317" s="89"/>
      <c r="BD317" s="89"/>
      <c r="BE317" s="89"/>
      <c r="BF317" s="89"/>
      <c r="BG317" s="89"/>
      <c r="BH317" s="89"/>
      <c r="BI317" s="89"/>
      <c r="BJ317" s="89"/>
      <c r="BK317" s="89"/>
      <c r="BL317" s="89"/>
      <c r="BM317" s="89"/>
      <c r="BN317" s="89"/>
      <c r="BO317" s="89"/>
      <c r="BP317" s="89"/>
      <c r="BQ317" s="89"/>
      <c r="BR317" s="89"/>
      <c r="BS317" s="89"/>
      <c r="BT317" s="89"/>
      <c r="BU317" s="89"/>
      <c r="BV317" s="89"/>
      <c r="BW317" s="89"/>
      <c r="BX317" s="89"/>
      <c r="BY317" s="89"/>
      <c r="BZ317" s="89"/>
      <c r="CA317" s="89"/>
      <c r="CB317" s="89"/>
      <c r="CC317" s="89"/>
      <c r="CD317" s="89"/>
      <c r="CE317" s="89"/>
      <c r="CF317" s="89"/>
      <c r="CG317" s="89"/>
      <c r="CH317" s="89"/>
      <c r="CI317" s="89"/>
      <c r="CJ317" s="89"/>
      <c r="CK317" s="89"/>
      <c r="CL317" s="89"/>
      <c r="CM317" s="89"/>
      <c r="CN317" s="89"/>
      <c r="CO317" s="89"/>
      <c r="CP317" s="89"/>
      <c r="CQ317" s="89"/>
      <c r="CR317" s="89"/>
      <c r="CS317" s="89"/>
      <c r="CT317" s="89"/>
      <c r="CU317" s="89"/>
      <c r="CV317" s="89"/>
      <c r="CW317" s="552" t="str">
        <f ca="1">IF(FL1=0,"",""&amp;FQ321&amp;"")</f>
        <v/>
      </c>
      <c r="CX317" s="552"/>
      <c r="CY317" s="552"/>
      <c r="CZ317" s="552"/>
      <c r="DA317" s="552"/>
      <c r="DB317" s="552"/>
      <c r="DC317" s="552"/>
      <c r="DD317" s="552"/>
      <c r="DE317" s="552"/>
      <c r="DF317" s="350"/>
      <c r="DG317" s="89"/>
      <c r="DH317" s="89"/>
      <c r="DI317" s="89"/>
      <c r="DJ317" s="89"/>
      <c r="DK317" s="89"/>
      <c r="DL317" s="89"/>
      <c r="DM317" s="89"/>
      <c r="DN317" s="89"/>
      <c r="DO317" s="89"/>
      <c r="DP317" s="89"/>
      <c r="DQ317" s="89"/>
      <c r="DR317" s="89"/>
      <c r="DS317" s="89"/>
      <c r="DT317" s="89"/>
      <c r="DU317" s="141"/>
      <c r="DV317" s="141"/>
      <c r="DW317" s="141"/>
      <c r="DX317" s="141"/>
      <c r="DY317" s="141"/>
      <c r="DZ317" s="141"/>
      <c r="EA317" s="141"/>
      <c r="EB317" s="89"/>
      <c r="EC317" s="89"/>
      <c r="ED317" s="89"/>
      <c r="EE317" s="89"/>
      <c r="EF317" s="89"/>
      <c r="EG317" s="89"/>
      <c r="EH317" s="89"/>
      <c r="EI317" s="89"/>
      <c r="EJ317" s="89"/>
      <c r="EK317" s="89"/>
      <c r="EL317" s="89"/>
      <c r="EM317" s="89"/>
      <c r="EN317" s="89"/>
      <c r="EO317" s="89"/>
      <c r="EP317" s="89"/>
      <c r="EQ317" s="89"/>
      <c r="ER317" s="89"/>
      <c r="ES317" s="89"/>
      <c r="ET317" s="89"/>
      <c r="EU317" s="89"/>
      <c r="EV317" s="89"/>
      <c r="EW317" s="89"/>
      <c r="EX317" s="89"/>
      <c r="EY317" s="89"/>
      <c r="EZ317" s="89"/>
      <c r="FA317" s="89"/>
      <c r="FB317" s="89"/>
      <c r="FC317" s="89"/>
      <c r="FD317" s="89"/>
      <c r="FE317" s="89"/>
      <c r="FF317" s="89"/>
      <c r="FG317" s="89"/>
      <c r="FH317" s="89"/>
      <c r="FI317" s="89"/>
      <c r="FJ317" s="300"/>
      <c r="FK317" s="300"/>
      <c r="FL317" s="300"/>
      <c r="FM317" s="300"/>
      <c r="FN317" s="300"/>
      <c r="FO317" s="108"/>
      <c r="FP317" s="108"/>
      <c r="FQ317" s="108"/>
      <c r="FR317" s="108"/>
      <c r="FS317" s="108"/>
      <c r="FT317" s="108"/>
      <c r="FU317" s="108"/>
      <c r="FV317" s="108"/>
      <c r="FW317" s="108"/>
      <c r="FX317" s="301"/>
      <c r="FY317" s="259"/>
      <c r="FZ317" s="259"/>
      <c r="GA317" s="259"/>
      <c r="GB317" s="259"/>
      <c r="GC317" s="301"/>
      <c r="GD317" s="301"/>
      <c r="GE317" s="301"/>
      <c r="GF317" s="301"/>
      <c r="GG317" s="301"/>
      <c r="GH317" s="301"/>
      <c r="GI317" s="301"/>
      <c r="GJ317" s="301"/>
      <c r="GK317" s="301"/>
      <c r="GL317" s="301"/>
      <c r="GM317" s="301"/>
      <c r="GN317" s="301"/>
      <c r="GO317" s="301"/>
      <c r="GP317" s="301"/>
      <c r="GQ317" s="301"/>
      <c r="GR317" s="301"/>
      <c r="GS317" s="301"/>
      <c r="GT317" s="301"/>
      <c r="GU317" s="301"/>
      <c r="GV317" s="301"/>
      <c r="IB317" s="65"/>
    </row>
    <row r="318" spans="1:236" ht="16.95" customHeight="1">
      <c r="A318" s="60"/>
      <c r="B318" s="69"/>
      <c r="C318" s="69"/>
      <c r="D318" s="397" t="str">
        <f ca="1">IF(FL1=0,"","afzet tot stand komt bij hevige prijs-")</f>
        <v/>
      </c>
      <c r="E318" s="341"/>
      <c r="F318" s="341"/>
      <c r="G318" s="341"/>
      <c r="H318" s="341"/>
      <c r="I318" s="341"/>
      <c r="J318" s="341"/>
      <c r="K318" s="89"/>
      <c r="L318" s="89"/>
      <c r="M318" s="89"/>
      <c r="N318" s="89"/>
      <c r="O318" s="89"/>
      <c r="P318" s="89"/>
      <c r="Q318" s="89"/>
      <c r="R318" s="89"/>
      <c r="S318" s="89"/>
      <c r="T318" s="89"/>
      <c r="U318" s="89"/>
      <c r="V318" s="89"/>
      <c r="W318" s="89"/>
      <c r="X318" s="89"/>
      <c r="Y318" s="89"/>
      <c r="Z318" s="89"/>
      <c r="AA318" s="89"/>
      <c r="AB318" s="89"/>
      <c r="AC318" s="89"/>
      <c r="AD318" s="89"/>
      <c r="AE318" s="89"/>
      <c r="AF318" s="89"/>
      <c r="AG318" s="89"/>
      <c r="AH318" s="89"/>
      <c r="AI318" s="89"/>
      <c r="AJ318" s="89"/>
      <c r="AK318" s="89"/>
      <c r="AL318" s="89"/>
      <c r="AM318" s="89"/>
      <c r="AN318" s="89"/>
      <c r="AO318" s="89"/>
      <c r="AP318" s="89"/>
      <c r="AQ318" s="89"/>
      <c r="AR318" s="89"/>
      <c r="AS318" s="89"/>
      <c r="AT318" s="89"/>
      <c r="AU318" s="89"/>
      <c r="AV318" s="89"/>
      <c r="AW318" s="89"/>
      <c r="AX318" s="89"/>
      <c r="AY318" s="89"/>
      <c r="AZ318" s="89"/>
      <c r="BA318" s="89"/>
      <c r="BB318" s="89"/>
      <c r="BC318" s="89"/>
      <c r="BD318" s="89"/>
      <c r="BE318" s="89"/>
      <c r="BF318" s="89"/>
      <c r="BG318" s="89"/>
      <c r="BH318" s="89"/>
      <c r="BI318" s="89"/>
      <c r="BJ318" s="89"/>
      <c r="BK318" s="89"/>
      <c r="BL318" s="89"/>
      <c r="BM318" s="89"/>
      <c r="BN318" s="89"/>
      <c r="BO318" s="89"/>
      <c r="BP318" s="89"/>
      <c r="BQ318" s="89"/>
      <c r="BR318" s="89"/>
      <c r="BS318" s="89"/>
      <c r="BT318" s="89"/>
      <c r="BU318" s="89"/>
      <c r="BV318" s="89"/>
      <c r="BW318" s="89"/>
      <c r="BX318" s="89"/>
      <c r="BY318" s="89"/>
      <c r="BZ318" s="89"/>
      <c r="CA318" s="89"/>
      <c r="CB318" s="89"/>
      <c r="CC318" s="89"/>
      <c r="CD318" s="89"/>
      <c r="CE318" s="89"/>
      <c r="CF318" s="89"/>
      <c r="CG318" s="89"/>
      <c r="CH318" s="89"/>
      <c r="CI318" s="89"/>
      <c r="CJ318" s="89"/>
      <c r="CK318" s="89"/>
      <c r="CL318" s="89"/>
      <c r="CM318" s="89"/>
      <c r="CN318" s="89"/>
      <c r="CO318" s="89"/>
      <c r="CP318" s="89"/>
      <c r="CQ318" s="89"/>
      <c r="CR318" s="89"/>
      <c r="CS318" s="89"/>
      <c r="CT318" s="89"/>
      <c r="CU318" s="89"/>
      <c r="CV318" s="89"/>
      <c r="CW318" s="89"/>
      <c r="CX318" s="89"/>
      <c r="CY318" s="89"/>
      <c r="CZ318" s="89"/>
      <c r="DA318" s="89"/>
      <c r="DB318" s="89"/>
      <c r="DC318" s="89"/>
      <c r="DD318" s="89"/>
      <c r="DE318" s="89"/>
      <c r="DF318" s="89"/>
      <c r="DG318" s="89"/>
      <c r="DH318" s="89"/>
      <c r="DI318" s="89"/>
      <c r="DJ318" s="89"/>
      <c r="DK318" s="89"/>
      <c r="DL318" s="89"/>
      <c r="DM318" s="89"/>
      <c r="DN318" s="89"/>
      <c r="DO318" s="89"/>
      <c r="DP318" s="89"/>
      <c r="DQ318" s="89"/>
      <c r="DR318" s="89"/>
      <c r="DS318" s="89"/>
      <c r="DT318" s="89"/>
      <c r="DU318" s="141"/>
      <c r="DV318" s="141"/>
      <c r="DW318" s="141"/>
      <c r="DX318" s="141"/>
      <c r="DY318" s="141"/>
      <c r="DZ318" s="141"/>
      <c r="EA318" s="141"/>
      <c r="EB318" s="89"/>
      <c r="EC318" s="89"/>
      <c r="ED318" s="89"/>
      <c r="EE318" s="89"/>
      <c r="EF318" s="89"/>
      <c r="EG318" s="89"/>
      <c r="EH318" s="89"/>
      <c r="EI318" s="89"/>
      <c r="EJ318" s="89"/>
      <c r="EK318" s="89"/>
      <c r="EL318" s="89"/>
      <c r="EM318" s="89"/>
      <c r="EN318" s="89"/>
      <c r="EO318" s="89"/>
      <c r="EP318" s="89"/>
      <c r="EQ318" s="89"/>
      <c r="ER318" s="89"/>
      <c r="ES318" s="89"/>
      <c r="ET318" s="89"/>
      <c r="EU318" s="89"/>
      <c r="EV318" s="89"/>
      <c r="EW318" s="89"/>
      <c r="EX318" s="89"/>
      <c r="EY318" s="89"/>
      <c r="EZ318" s="89"/>
      <c r="FA318" s="89"/>
      <c r="FB318" s="89"/>
      <c r="FC318" s="89"/>
      <c r="FD318" s="89"/>
      <c r="FE318" s="89"/>
      <c r="FF318" s="89"/>
      <c r="FG318" s="89"/>
      <c r="FH318" s="89"/>
      <c r="FI318" s="89"/>
      <c r="FJ318" s="300"/>
      <c r="FK318" s="300"/>
      <c r="FL318" s="300"/>
      <c r="FM318" s="300"/>
      <c r="FN318" s="300"/>
      <c r="FO318" s="300"/>
      <c r="FP318" s="300"/>
      <c r="FQ318" s="108"/>
      <c r="FR318" s="108"/>
      <c r="FS318" s="108"/>
      <c r="FT318" s="108"/>
      <c r="FU318" s="108"/>
      <c r="FV318" s="108"/>
      <c r="FW318" s="108"/>
      <c r="FX318" s="301"/>
      <c r="FY318" s="259"/>
      <c r="FZ318" s="259"/>
      <c r="GA318" s="259"/>
      <c r="GB318" s="259"/>
      <c r="GC318" s="301"/>
      <c r="GD318" s="301"/>
      <c r="GE318" s="301"/>
      <c r="GF318" s="301"/>
      <c r="GG318" s="301"/>
      <c r="GH318" s="301"/>
      <c r="GI318" s="301"/>
      <c r="GJ318" s="301"/>
      <c r="GK318" s="301"/>
      <c r="GL318" s="301"/>
      <c r="GM318" s="301"/>
      <c r="GN318" s="301"/>
      <c r="GO318" s="301"/>
      <c r="GP318" s="301"/>
      <c r="GQ318" s="301"/>
      <c r="GR318" s="301"/>
      <c r="GS318" s="301"/>
      <c r="GT318" s="301"/>
      <c r="GU318" s="301"/>
      <c r="GV318" s="301"/>
      <c r="IB318" s="65"/>
    </row>
    <row r="319" spans="1:236" s="268" customFormat="1" ht="16.95" customHeight="1">
      <c r="A319" s="60"/>
      <c r="B319" s="69"/>
      <c r="C319" s="69"/>
      <c r="D319" s="397" t="str">
        <f ca="1">IF(FL1=0,"","concurrentie en wat de mogelijke afzet is")</f>
        <v/>
      </c>
      <c r="E319" s="141"/>
      <c r="F319" s="141"/>
      <c r="G319" s="141"/>
      <c r="H319" s="141"/>
      <c r="I319" s="141"/>
      <c r="J319" s="141"/>
      <c r="K319" s="141"/>
      <c r="L319" s="141"/>
      <c r="M319" s="141"/>
      <c r="N319" s="141"/>
      <c r="O319" s="141"/>
      <c r="P319" s="141"/>
      <c r="Q319" s="141"/>
      <c r="R319" s="332"/>
      <c r="S319" s="332"/>
      <c r="T319" s="332"/>
      <c r="U319" s="332"/>
      <c r="V319" s="332"/>
      <c r="W319" s="332"/>
      <c r="X319" s="332"/>
      <c r="Y319" s="332"/>
      <c r="Z319" s="332"/>
      <c r="AA319" s="332"/>
      <c r="AB319" s="332"/>
      <c r="AC319" s="332"/>
      <c r="AD319" s="332"/>
      <c r="AE319" s="332"/>
      <c r="AF319" s="332"/>
      <c r="AG319" s="332"/>
      <c r="AH319" s="332"/>
      <c r="AI319" s="332"/>
      <c r="AJ319" s="332"/>
      <c r="AK319" s="332"/>
      <c r="AL319" s="332"/>
      <c r="AM319" s="332"/>
      <c r="AN319" s="332"/>
      <c r="AO319" s="332"/>
      <c r="AP319" s="332"/>
      <c r="AQ319" s="332"/>
      <c r="AR319" s="332"/>
      <c r="AS319" s="332"/>
      <c r="AT319" s="332"/>
      <c r="AU319" s="332"/>
      <c r="AV319" s="332"/>
      <c r="AW319" s="332"/>
      <c r="AX319" s="332"/>
      <c r="AY319" s="332"/>
      <c r="AZ319" s="332"/>
      <c r="BA319" s="332"/>
      <c r="BB319" s="332"/>
      <c r="BC319" s="331"/>
      <c r="BD319" s="331"/>
      <c r="BE319" s="331"/>
      <c r="BF319" s="331"/>
      <c r="BG319" s="331"/>
      <c r="BH319" s="331"/>
      <c r="BI319" s="331"/>
      <c r="BJ319" s="331"/>
      <c r="BK319" s="331"/>
      <c r="BL319" s="331"/>
      <c r="BM319" s="331"/>
      <c r="BN319" s="331"/>
      <c r="BO319" s="331"/>
      <c r="BP319" s="331"/>
      <c r="BQ319" s="331"/>
      <c r="BR319" s="331"/>
      <c r="BS319" s="331"/>
      <c r="BT319" s="331"/>
      <c r="BU319" s="331"/>
      <c r="BV319" s="332"/>
      <c r="BW319" s="332"/>
      <c r="BX319" s="332"/>
      <c r="BY319" s="332"/>
      <c r="BZ319" s="332"/>
      <c r="CA319" s="332"/>
      <c r="CB319" s="332"/>
      <c r="CC319" s="332"/>
      <c r="CD319" s="141"/>
      <c r="CE319" s="141"/>
      <c r="CF319" s="141"/>
      <c r="CG319" s="141"/>
      <c r="CH319" s="141"/>
      <c r="CI319" s="141"/>
      <c r="CJ319" s="141"/>
      <c r="CK319" s="141"/>
      <c r="CL319" s="141"/>
      <c r="CM319" s="141"/>
      <c r="CN319" s="141"/>
      <c r="CO319" s="141"/>
      <c r="CP319" s="141"/>
      <c r="CQ319" s="141"/>
      <c r="CR319" s="141"/>
      <c r="CS319" s="141"/>
      <c r="CT319" s="141"/>
      <c r="CU319" s="141"/>
      <c r="CV319" s="141"/>
      <c r="CW319" s="141"/>
      <c r="CX319" s="141"/>
      <c r="CY319" s="141"/>
      <c r="CZ319" s="141"/>
      <c r="DA319" s="141"/>
      <c r="DB319" s="141"/>
      <c r="DC319" s="141"/>
      <c r="DD319" s="141"/>
      <c r="DE319" s="141"/>
      <c r="DF319" s="141"/>
      <c r="DG319" s="141"/>
      <c r="DH319" s="141"/>
      <c r="DI319" s="141"/>
      <c r="DJ319" s="141"/>
      <c r="DK319" s="141"/>
      <c r="DL319" s="141"/>
      <c r="DM319" s="141"/>
      <c r="DN319" s="141"/>
      <c r="DO319" s="141"/>
      <c r="DP319" s="141"/>
      <c r="DQ319" s="141"/>
      <c r="DR319" s="141"/>
      <c r="DS319" s="141"/>
      <c r="DT319" s="141"/>
      <c r="DU319" s="141"/>
      <c r="DV319" s="141"/>
      <c r="DW319" s="141"/>
      <c r="DX319" s="141"/>
      <c r="DY319" s="141"/>
      <c r="DZ319" s="141"/>
      <c r="EA319" s="141"/>
      <c r="EB319" s="141"/>
      <c r="EC319" s="141"/>
      <c r="ED319" s="141"/>
      <c r="EE319" s="141"/>
      <c r="EF319" s="141"/>
      <c r="EG319" s="141"/>
      <c r="EH319" s="141"/>
      <c r="EI319" s="141"/>
      <c r="EJ319" s="141"/>
      <c r="EK319" s="141"/>
      <c r="EL319" s="141"/>
      <c r="EM319" s="141"/>
      <c r="EN319" s="141"/>
      <c r="EO319" s="141"/>
      <c r="EP319" s="141"/>
      <c r="EQ319" s="141"/>
      <c r="ER319" s="141"/>
      <c r="ES319" s="141"/>
      <c r="ET319" s="141"/>
      <c r="EU319" s="141"/>
      <c r="EV319" s="141"/>
      <c r="EW319" s="141"/>
      <c r="EX319" s="141"/>
      <c r="EY319" s="141"/>
      <c r="EZ319" s="141"/>
      <c r="FA319" s="141"/>
      <c r="FB319" s="141"/>
      <c r="FC319" s="141"/>
      <c r="FD319" s="141"/>
      <c r="FE319" s="141"/>
      <c r="FF319" s="141"/>
      <c r="FG319" s="141"/>
      <c r="FH319" s="141"/>
      <c r="FI319" s="141"/>
      <c r="FJ319" s="96"/>
      <c r="FK319" s="96"/>
      <c r="FL319" s="86"/>
      <c r="FM319" s="86"/>
      <c r="FN319" s="86"/>
      <c r="FO319" s="86"/>
      <c r="FP319" s="86"/>
      <c r="FQ319" s="86"/>
      <c r="FR319" s="86"/>
      <c r="FS319" s="86"/>
      <c r="FT319" s="86"/>
      <c r="FU319" s="86"/>
      <c r="FV319" s="86"/>
      <c r="FW319" s="86"/>
      <c r="FX319" s="86"/>
      <c r="FY319" s="259"/>
      <c r="FZ319" s="259"/>
      <c r="GA319" s="259"/>
      <c r="GB319" s="259"/>
      <c r="GC319" s="259"/>
      <c r="GD319" s="259"/>
      <c r="GE319" s="259"/>
      <c r="GF319" s="259"/>
      <c r="GG319" s="259"/>
      <c r="GH319" s="259"/>
      <c r="GI319" s="259"/>
      <c r="GJ319" s="259"/>
      <c r="GK319" s="86"/>
      <c r="GL319" s="86"/>
      <c r="GM319" s="86"/>
      <c r="GN319" s="86"/>
      <c r="GO319" s="86"/>
      <c r="GP319" s="377"/>
      <c r="GQ319" s="377"/>
      <c r="GR319" s="377"/>
      <c r="GS319" s="377"/>
      <c r="GT319" s="377"/>
      <c r="GU319" s="377"/>
      <c r="GV319" s="377"/>
      <c r="GW319" s="66"/>
      <c r="GX319" s="66"/>
      <c r="GY319" s="66"/>
      <c r="GZ319" s="66"/>
      <c r="HA319" s="66"/>
      <c r="HB319" s="66"/>
      <c r="HC319" s="66"/>
      <c r="HD319" s="66"/>
      <c r="HE319" s="66"/>
      <c r="HF319" s="66"/>
      <c r="HG319" s="66"/>
      <c r="HH319" s="66"/>
      <c r="HI319" s="66"/>
      <c r="HJ319" s="66"/>
      <c r="HK319" s="66"/>
      <c r="HL319" s="66"/>
      <c r="HM319" s="66"/>
      <c r="HN319" s="66"/>
      <c r="HO319" s="66"/>
      <c r="HP319" s="66"/>
      <c r="HQ319" s="66"/>
      <c r="HR319" s="66"/>
      <c r="HS319" s="66"/>
      <c r="HT319" s="66"/>
      <c r="HU319" s="66"/>
      <c r="HV319" s="66"/>
      <c r="HW319" s="66"/>
      <c r="HX319" s="66"/>
      <c r="HY319" s="66"/>
      <c r="HZ319" s="66"/>
      <c r="IA319" s="66"/>
    </row>
    <row r="320" spans="1:236" s="268" customFormat="1" ht="16.95" customHeight="1">
      <c r="A320" s="60"/>
      <c r="B320" s="69"/>
      <c r="C320" s="69"/>
      <c r="D320" s="397" t="str">
        <f ca="1">IF(FL1=0,"","bij redelijk veel prijsconcurentie en")</f>
        <v/>
      </c>
      <c r="E320" s="141"/>
      <c r="F320" s="141"/>
      <c r="G320" s="141"/>
      <c r="H320" s="141"/>
      <c r="I320" s="141"/>
      <c r="J320" s="141"/>
      <c r="K320" s="141"/>
      <c r="L320" s="141"/>
      <c r="M320" s="141"/>
      <c r="N320" s="141"/>
      <c r="O320" s="141"/>
      <c r="P320" s="141"/>
      <c r="Q320" s="141"/>
      <c r="R320" s="332"/>
      <c r="S320" s="332"/>
      <c r="T320" s="332"/>
      <c r="U320" s="332"/>
      <c r="V320" s="332"/>
      <c r="W320" s="332"/>
      <c r="X320" s="332"/>
      <c r="Y320" s="332"/>
      <c r="Z320" s="332"/>
      <c r="AA320" s="332"/>
      <c r="AB320" s="332"/>
      <c r="AC320" s="332"/>
      <c r="AD320" s="332"/>
      <c r="AE320" s="332"/>
      <c r="AF320" s="332"/>
      <c r="AG320" s="332"/>
      <c r="AH320" s="332"/>
      <c r="AI320" s="332"/>
      <c r="AJ320" s="332"/>
      <c r="AK320" s="332"/>
      <c r="AL320" s="332"/>
      <c r="AM320" s="332"/>
      <c r="AN320" s="332"/>
      <c r="AO320" s="332"/>
      <c r="AP320" s="332"/>
      <c r="AQ320" s="332"/>
      <c r="AR320" s="332"/>
      <c r="AS320" s="332"/>
      <c r="AT320" s="332"/>
      <c r="AU320" s="332"/>
      <c r="AV320" s="332"/>
      <c r="AW320" s="332"/>
      <c r="AX320" s="332"/>
      <c r="AY320" s="332"/>
      <c r="AZ320" s="332"/>
      <c r="BA320" s="332"/>
      <c r="BB320" s="332"/>
      <c r="BC320" s="331"/>
      <c r="BD320" s="331"/>
      <c r="BE320" s="331"/>
      <c r="BF320" s="331"/>
      <c r="BG320" s="331"/>
      <c r="BH320" s="331"/>
      <c r="BI320" s="331"/>
      <c r="BJ320" s="331"/>
      <c r="BK320" s="331"/>
      <c r="BL320" s="331"/>
      <c r="BM320" s="331"/>
      <c r="BN320" s="331"/>
      <c r="BO320" s="331"/>
      <c r="BP320" s="331"/>
      <c r="BQ320" s="331"/>
      <c r="BR320" s="331"/>
      <c r="BS320" s="331"/>
      <c r="BT320" s="331"/>
      <c r="BU320" s="331"/>
      <c r="BV320" s="332"/>
      <c r="BW320" s="332"/>
      <c r="BX320" s="332"/>
      <c r="BY320" s="332"/>
      <c r="BZ320" s="332"/>
      <c r="CA320" s="332"/>
      <c r="CB320" s="332"/>
      <c r="CC320" s="332"/>
      <c r="CD320" s="141"/>
      <c r="CE320" s="141"/>
      <c r="CF320" s="141"/>
      <c r="CG320" s="141"/>
      <c r="CH320" s="141"/>
      <c r="CI320" s="141"/>
      <c r="CJ320" s="141"/>
      <c r="CK320" s="141"/>
      <c r="CL320" s="141"/>
      <c r="CM320" s="141"/>
      <c r="CN320" s="141"/>
      <c r="CO320" s="141"/>
      <c r="CP320" s="141"/>
      <c r="CQ320" s="141"/>
      <c r="CR320" s="141"/>
      <c r="CS320" s="141"/>
      <c r="CT320" s="141"/>
      <c r="CU320" s="141"/>
      <c r="CV320" s="141"/>
      <c r="CW320" s="141"/>
      <c r="CX320" s="141"/>
      <c r="CY320" s="141"/>
      <c r="CZ320" s="141"/>
      <c r="DA320" s="141"/>
      <c r="DB320" s="141"/>
      <c r="DC320" s="141"/>
      <c r="DD320" s="141"/>
      <c r="DE320" s="141"/>
      <c r="DF320" s="141"/>
      <c r="DG320" s="141"/>
      <c r="DH320" s="141"/>
      <c r="DI320" s="141"/>
      <c r="DJ320" s="141"/>
      <c r="DK320" s="141"/>
      <c r="DL320" s="141"/>
      <c r="DM320" s="141"/>
      <c r="DN320" s="141"/>
      <c r="DO320" s="141"/>
      <c r="DP320" s="141"/>
      <c r="DQ320" s="141"/>
      <c r="DR320" s="141"/>
      <c r="DS320" s="141"/>
      <c r="DT320" s="141"/>
      <c r="DU320" s="141"/>
      <c r="DV320" s="141"/>
      <c r="DW320" s="141"/>
      <c r="DX320" s="141"/>
      <c r="DY320" s="141"/>
      <c r="DZ320" s="141"/>
      <c r="EA320" s="141"/>
      <c r="EB320" s="141"/>
      <c r="EC320" s="141"/>
      <c r="ED320" s="141"/>
      <c r="EE320" s="141"/>
      <c r="EF320" s="141"/>
      <c r="EG320" s="141"/>
      <c r="EH320" s="141"/>
      <c r="EI320" s="141"/>
      <c r="EJ320" s="141"/>
      <c r="EK320" s="141"/>
      <c r="EL320" s="141"/>
      <c r="EM320" s="141"/>
      <c r="EN320" s="141"/>
      <c r="EO320" s="141"/>
      <c r="EP320" s="141"/>
      <c r="EQ320" s="141"/>
      <c r="ER320" s="141"/>
      <c r="ES320" s="141"/>
      <c r="ET320" s="141"/>
      <c r="EU320" s="141"/>
      <c r="EV320" s="141"/>
      <c r="EW320" s="141"/>
      <c r="EX320" s="141"/>
      <c r="EY320" s="141"/>
      <c r="EZ320" s="141"/>
      <c r="FA320" s="141"/>
      <c r="FB320" s="141"/>
      <c r="FC320" s="141"/>
      <c r="FD320" s="141"/>
      <c r="FE320" s="141"/>
      <c r="FF320" s="141"/>
      <c r="FG320" s="141"/>
      <c r="FH320" s="141"/>
      <c r="FI320" s="141"/>
      <c r="FJ320" s="96"/>
      <c r="FK320" s="96"/>
      <c r="FL320" s="86"/>
      <c r="FM320" s="86"/>
      <c r="FN320" s="86"/>
      <c r="FO320" s="86"/>
      <c r="FP320" s="86"/>
      <c r="FQ320" s="86"/>
      <c r="FR320" s="86"/>
      <c r="FS320" s="86"/>
      <c r="FT320" s="86"/>
      <c r="FU320" s="86"/>
      <c r="FV320" s="86"/>
      <c r="FW320" s="86"/>
      <c r="FX320" s="86"/>
      <c r="FY320" s="259"/>
      <c r="FZ320" s="259"/>
      <c r="GA320" s="259"/>
      <c r="GB320" s="259"/>
      <c r="GC320" s="259"/>
      <c r="GD320" s="259"/>
      <c r="GE320" s="259"/>
      <c r="GF320" s="259"/>
      <c r="GG320" s="259"/>
      <c r="GH320" s="259"/>
      <c r="GI320" s="259"/>
      <c r="GJ320" s="259"/>
      <c r="GK320" s="86"/>
      <c r="GL320" s="86"/>
      <c r="GM320" s="86"/>
      <c r="GN320" s="86"/>
      <c r="GO320" s="86"/>
      <c r="GP320" s="377"/>
      <c r="GQ320" s="377"/>
      <c r="GR320" s="377"/>
      <c r="GS320" s="377"/>
      <c r="GT320" s="377"/>
      <c r="GU320" s="377"/>
      <c r="GV320" s="377"/>
      <c r="GW320" s="66"/>
      <c r="GX320" s="66"/>
      <c r="GY320" s="66"/>
      <c r="GZ320" s="66"/>
      <c r="HA320" s="66"/>
      <c r="HB320" s="66"/>
      <c r="HC320" s="66"/>
      <c r="HD320" s="66"/>
      <c r="HE320" s="66"/>
      <c r="HF320" s="66"/>
      <c r="HG320" s="66"/>
      <c r="HH320" s="66"/>
      <c r="HI320" s="66"/>
      <c r="HJ320" s="66"/>
      <c r="HK320" s="66"/>
      <c r="HL320" s="66"/>
      <c r="HM320" s="66"/>
      <c r="HN320" s="66"/>
      <c r="HO320" s="66"/>
      <c r="HP320" s="66"/>
      <c r="HQ320" s="66"/>
      <c r="HR320" s="66"/>
      <c r="HS320" s="66"/>
      <c r="HT320" s="66"/>
      <c r="HU320" s="66"/>
      <c r="HV320" s="66"/>
      <c r="HW320" s="66"/>
      <c r="HX320" s="66"/>
      <c r="HY320" s="66"/>
      <c r="HZ320" s="66"/>
      <c r="IA320" s="66"/>
    </row>
    <row r="321" spans="1:236" s="268" customFormat="1" ht="16.95" customHeight="1">
      <c r="A321" s="60"/>
      <c r="B321" s="69"/>
      <c r="C321" s="69"/>
      <c r="D321" s="397" t="str">
        <f ca="1">IF(FL1=0,"","wat de afzet is als ze een prijskartel hebben")</f>
        <v/>
      </c>
      <c r="E321" s="141"/>
      <c r="F321" s="141"/>
      <c r="G321" s="141"/>
      <c r="H321" s="141"/>
      <c r="I321" s="141"/>
      <c r="J321" s="141"/>
      <c r="K321" s="141"/>
      <c r="L321" s="141"/>
      <c r="M321" s="141"/>
      <c r="N321" s="141"/>
      <c r="O321" s="141"/>
      <c r="P321" s="141"/>
      <c r="Q321" s="141"/>
      <c r="R321" s="332"/>
      <c r="S321" s="332"/>
      <c r="T321" s="332"/>
      <c r="U321" s="332"/>
      <c r="V321" s="332"/>
      <c r="W321" s="332"/>
      <c r="X321" s="332"/>
      <c r="Y321" s="332"/>
      <c r="Z321" s="332"/>
      <c r="AA321" s="332"/>
      <c r="AB321" s="332"/>
      <c r="AC321" s="332"/>
      <c r="AD321" s="332"/>
      <c r="AE321" s="332"/>
      <c r="AF321" s="332"/>
      <c r="AG321" s="332"/>
      <c r="AH321" s="332"/>
      <c r="AI321" s="332"/>
      <c r="AJ321" s="332"/>
      <c r="AK321" s="332"/>
      <c r="AL321" s="332"/>
      <c r="AM321" s="332"/>
      <c r="AN321" s="332"/>
      <c r="AO321" s="332"/>
      <c r="AP321" s="332"/>
      <c r="AQ321" s="332"/>
      <c r="AR321" s="332"/>
      <c r="AS321" s="332"/>
      <c r="AT321" s="332"/>
      <c r="AU321" s="332"/>
      <c r="AV321" s="332"/>
      <c r="AW321" s="332"/>
      <c r="AX321" s="332"/>
      <c r="AY321" s="332"/>
      <c r="AZ321" s="332"/>
      <c r="BA321" s="332"/>
      <c r="BB321" s="332"/>
      <c r="BC321" s="331"/>
      <c r="BD321" s="331"/>
      <c r="BE321" s="331"/>
      <c r="BF321" s="331"/>
      <c r="BG321" s="331"/>
      <c r="BH321" s="331"/>
      <c r="BI321" s="331"/>
      <c r="BJ321" s="331"/>
      <c r="BK321" s="331"/>
      <c r="BL321" s="331"/>
      <c r="BM321" s="331"/>
      <c r="BN321" s="331"/>
      <c r="BO321" s="331"/>
      <c r="BP321" s="331"/>
      <c r="BQ321" s="331"/>
      <c r="BR321" s="331"/>
      <c r="BS321" s="331"/>
      <c r="BT321" s="331"/>
      <c r="BU321" s="331"/>
      <c r="BV321" s="332"/>
      <c r="BW321" s="332"/>
      <c r="BX321" s="332"/>
      <c r="BY321" s="332"/>
      <c r="BZ321" s="332"/>
      <c r="CA321" s="332"/>
      <c r="CB321" s="332"/>
      <c r="CC321" s="332"/>
      <c r="CD321" s="141"/>
      <c r="CE321" s="141"/>
      <c r="CF321" s="141"/>
      <c r="CG321" s="141"/>
      <c r="CH321" s="141"/>
      <c r="CI321" s="141"/>
      <c r="CJ321" s="141"/>
      <c r="CK321" s="141"/>
      <c r="CL321" s="141"/>
      <c r="CM321" s="141"/>
      <c r="CN321" s="141"/>
      <c r="CO321" s="141"/>
      <c r="CP321" s="141"/>
      <c r="CQ321" s="141"/>
      <c r="CR321" s="141"/>
      <c r="CS321" s="141"/>
      <c r="CT321" s="141"/>
      <c r="CU321" s="141"/>
      <c r="CV321" s="141"/>
      <c r="CW321" s="141"/>
      <c r="CX321" s="141"/>
      <c r="CY321" s="141"/>
      <c r="CZ321" s="141"/>
      <c r="DA321" s="141"/>
      <c r="DB321" s="141"/>
      <c r="DC321" s="141"/>
      <c r="DD321" s="141"/>
      <c r="DE321" s="141"/>
      <c r="DF321" s="141"/>
      <c r="DG321" s="141"/>
      <c r="DH321" s="141"/>
      <c r="DI321" s="141"/>
      <c r="DJ321" s="141"/>
      <c r="DK321" s="141"/>
      <c r="DL321" s="141"/>
      <c r="DM321" s="141"/>
      <c r="DN321" s="141"/>
      <c r="DO321" s="141"/>
      <c r="DP321" s="141"/>
      <c r="DQ321" s="141"/>
      <c r="DR321" s="141"/>
      <c r="DS321" s="141"/>
      <c r="DT321" s="141"/>
      <c r="DU321" s="141"/>
      <c r="DV321" s="141"/>
      <c r="DW321" s="141"/>
      <c r="DX321" s="141"/>
      <c r="DY321" s="141"/>
      <c r="DZ321" s="141"/>
      <c r="EA321" s="141"/>
      <c r="EB321" s="141"/>
      <c r="EC321" s="141"/>
      <c r="ED321" s="141"/>
      <c r="EE321" s="141"/>
      <c r="EF321" s="141"/>
      <c r="EG321" s="141"/>
      <c r="EH321" s="141"/>
      <c r="EI321" s="141"/>
      <c r="EJ321" s="141"/>
      <c r="EK321" s="141"/>
      <c r="EL321" s="141"/>
      <c r="EM321" s="141"/>
      <c r="EN321" s="141"/>
      <c r="EO321" s="141"/>
      <c r="EP321" s="141"/>
      <c r="EQ321" s="141"/>
      <c r="ER321" s="141"/>
      <c r="ES321" s="141"/>
      <c r="ET321" s="141"/>
      <c r="EU321" s="141"/>
      <c r="EV321" s="141"/>
      <c r="EW321" s="141"/>
      <c r="EX321" s="141"/>
      <c r="EY321" s="141"/>
      <c r="EZ321" s="141"/>
      <c r="FA321" s="141"/>
      <c r="FB321" s="141"/>
      <c r="FC321" s="141"/>
      <c r="FD321" s="141"/>
      <c r="FE321" s="141"/>
      <c r="FF321" s="141"/>
      <c r="FG321" s="141"/>
      <c r="FH321" s="141"/>
      <c r="FI321" s="141"/>
      <c r="FJ321" s="96"/>
      <c r="FK321" s="96"/>
      <c r="FL321" s="86"/>
      <c r="FM321" s="86"/>
      <c r="FN321" s="86"/>
      <c r="FO321" s="86"/>
      <c r="FP321" s="86"/>
      <c r="FQ321" s="86"/>
      <c r="FR321" s="86"/>
      <c r="FS321" s="86"/>
      <c r="FT321" s="86"/>
      <c r="FU321" s="86"/>
      <c r="FV321" s="86"/>
      <c r="FW321" s="86"/>
      <c r="FX321" s="86"/>
      <c r="FY321" s="259"/>
      <c r="FZ321" s="259"/>
      <c r="GA321" s="259"/>
      <c r="GB321" s="259"/>
      <c r="GC321" s="259"/>
      <c r="GD321" s="259"/>
      <c r="GE321" s="259"/>
      <c r="GF321" s="259"/>
      <c r="GG321" s="259"/>
      <c r="GH321" s="259"/>
      <c r="GI321" s="259"/>
      <c r="GJ321" s="259"/>
      <c r="GK321" s="86"/>
      <c r="GL321" s="86"/>
      <c r="GM321" s="86"/>
      <c r="GN321" s="86"/>
      <c r="GO321" s="86"/>
      <c r="GP321" s="377"/>
      <c r="GQ321" s="377"/>
      <c r="GR321" s="377"/>
      <c r="GS321" s="377"/>
      <c r="GT321" s="377"/>
      <c r="GU321" s="377"/>
      <c r="GV321" s="377"/>
      <c r="GW321" s="66"/>
      <c r="GX321" s="66"/>
      <c r="GY321" s="66"/>
      <c r="GZ321" s="66"/>
      <c r="HA321" s="66"/>
      <c r="HB321" s="66"/>
      <c r="HC321" s="66"/>
      <c r="HD321" s="66"/>
      <c r="HE321" s="66"/>
      <c r="HF321" s="66"/>
      <c r="HG321" s="66"/>
      <c r="HH321" s="66"/>
      <c r="HI321" s="66"/>
      <c r="HJ321" s="66"/>
      <c r="HK321" s="66"/>
      <c r="HL321" s="66"/>
      <c r="HM321" s="66"/>
      <c r="HN321" s="66"/>
      <c r="HO321" s="66"/>
      <c r="HP321" s="66"/>
      <c r="HQ321" s="66"/>
      <c r="HR321" s="66"/>
      <c r="HS321" s="66"/>
      <c r="HT321" s="66"/>
      <c r="HU321" s="66"/>
      <c r="HV321" s="66"/>
      <c r="HW321" s="66"/>
      <c r="HX321" s="66"/>
      <c r="HY321" s="66"/>
      <c r="HZ321" s="66"/>
      <c r="IA321" s="66"/>
    </row>
    <row r="322" spans="1:236" s="268" customFormat="1" ht="16.95" customHeight="1">
      <c r="A322" s="60"/>
      <c r="B322" s="69"/>
      <c r="C322" s="69"/>
      <c r="D322" s="397" t="str">
        <f ca="1">IF(FL1=0,"","afgesloten met als doel zo'n hoog mogelijke")</f>
        <v/>
      </c>
      <c r="E322" s="141"/>
      <c r="F322" s="141"/>
      <c r="G322" s="141"/>
      <c r="H322" s="141"/>
      <c r="I322" s="141"/>
      <c r="J322" s="141"/>
      <c r="K322" s="141"/>
      <c r="L322" s="141"/>
      <c r="M322" s="141"/>
      <c r="N322" s="141"/>
      <c r="O322" s="141"/>
      <c r="P322" s="141"/>
      <c r="Q322" s="141"/>
      <c r="R322" s="398"/>
      <c r="S322" s="398"/>
      <c r="T322" s="398"/>
      <c r="U322" s="398"/>
      <c r="V322" s="398"/>
      <c r="W322" s="398"/>
      <c r="X322" s="398"/>
      <c r="Y322" s="398"/>
      <c r="Z322" s="398"/>
      <c r="AA322" s="398"/>
      <c r="AB322" s="398"/>
      <c r="AC322" s="398"/>
      <c r="AD322" s="398"/>
      <c r="AE322" s="398"/>
      <c r="AF322" s="398"/>
      <c r="AG322" s="398"/>
      <c r="AH322" s="398"/>
      <c r="AI322" s="398"/>
      <c r="AJ322" s="398"/>
      <c r="AK322" s="398"/>
      <c r="AL322" s="398"/>
      <c r="AM322" s="398"/>
      <c r="AN322" s="398"/>
      <c r="AO322" s="398"/>
      <c r="AP322" s="398"/>
      <c r="AQ322" s="398"/>
      <c r="AR322" s="398"/>
      <c r="AS322" s="398"/>
      <c r="AT322" s="398"/>
      <c r="AU322" s="398"/>
      <c r="AV322" s="398"/>
      <c r="AW322" s="398"/>
      <c r="AX322" s="398"/>
      <c r="AY322" s="398"/>
      <c r="AZ322" s="398"/>
      <c r="BA322" s="398"/>
      <c r="BB322" s="398"/>
      <c r="BC322" s="397"/>
      <c r="BD322" s="397"/>
      <c r="BE322" s="397"/>
      <c r="BF322" s="397"/>
      <c r="BG322" s="397"/>
      <c r="BH322" s="397"/>
      <c r="BI322" s="397"/>
      <c r="BJ322" s="397"/>
      <c r="BK322" s="397"/>
      <c r="BL322" s="397"/>
      <c r="BM322" s="397"/>
      <c r="BN322" s="397"/>
      <c r="BO322" s="397"/>
      <c r="BP322" s="397"/>
      <c r="BQ322" s="397"/>
      <c r="BR322" s="397"/>
      <c r="BS322" s="397"/>
      <c r="BT322" s="397"/>
      <c r="BU322" s="397"/>
      <c r="BV322" s="398"/>
      <c r="BW322" s="398"/>
      <c r="BX322" s="398"/>
      <c r="BY322" s="398"/>
      <c r="BZ322" s="398"/>
      <c r="CA322" s="398"/>
      <c r="CB322" s="398"/>
      <c r="CC322" s="398"/>
      <c r="CD322" s="141"/>
      <c r="CE322" s="141"/>
      <c r="CF322" s="141"/>
      <c r="CG322" s="141"/>
      <c r="CH322" s="141"/>
      <c r="CI322" s="141"/>
      <c r="CJ322" s="141"/>
      <c r="CK322" s="141"/>
      <c r="CL322" s="141"/>
      <c r="CM322" s="141"/>
      <c r="CN322" s="141"/>
      <c r="CO322" s="141"/>
      <c r="CP322" s="141"/>
      <c r="CQ322" s="141"/>
      <c r="CR322" s="141"/>
      <c r="CS322" s="141"/>
      <c r="CT322" s="141"/>
      <c r="CU322" s="141"/>
      <c r="CV322" s="141"/>
      <c r="CW322" s="141"/>
      <c r="CX322" s="141"/>
      <c r="CY322" s="141"/>
      <c r="CZ322" s="141"/>
      <c r="DA322" s="141"/>
      <c r="DB322" s="141"/>
      <c r="DC322" s="141"/>
      <c r="DD322" s="141"/>
      <c r="DE322" s="141"/>
      <c r="DF322" s="141"/>
      <c r="DG322" s="141"/>
      <c r="DH322" s="141"/>
      <c r="DI322" s="141"/>
      <c r="DJ322" s="141"/>
      <c r="DK322" s="141"/>
      <c r="DL322" s="141"/>
      <c r="DM322" s="141"/>
      <c r="DN322" s="141"/>
      <c r="DO322" s="141"/>
      <c r="DP322" s="141"/>
      <c r="DQ322" s="141"/>
      <c r="DR322" s="141"/>
      <c r="DS322" s="141"/>
      <c r="DT322" s="141"/>
      <c r="DU322" s="141"/>
      <c r="DV322" s="141"/>
      <c r="DW322" s="141"/>
      <c r="DX322" s="141"/>
      <c r="DY322" s="141"/>
      <c r="DZ322" s="141"/>
      <c r="EA322" s="141"/>
      <c r="EB322" s="141"/>
      <c r="EC322" s="141"/>
      <c r="ED322" s="141"/>
      <c r="EE322" s="141"/>
      <c r="EF322" s="141"/>
      <c r="EG322" s="141"/>
      <c r="EH322" s="141"/>
      <c r="EI322" s="141"/>
      <c r="EJ322" s="141"/>
      <c r="EK322" s="141"/>
      <c r="EL322" s="141"/>
      <c r="EM322" s="141"/>
      <c r="EN322" s="141"/>
      <c r="EO322" s="141"/>
      <c r="EP322" s="141"/>
      <c r="EQ322" s="141"/>
      <c r="ER322" s="141"/>
      <c r="ES322" s="141"/>
      <c r="ET322" s="141"/>
      <c r="EU322" s="141"/>
      <c r="EV322" s="141"/>
      <c r="EW322" s="141"/>
      <c r="EX322" s="141"/>
      <c r="EY322" s="141"/>
      <c r="EZ322" s="141"/>
      <c r="FA322" s="141"/>
      <c r="FB322" s="141"/>
      <c r="FC322" s="141"/>
      <c r="FD322" s="141"/>
      <c r="FE322" s="141"/>
      <c r="FF322" s="141"/>
      <c r="FG322" s="141"/>
      <c r="FH322" s="141"/>
      <c r="FI322" s="141"/>
      <c r="FJ322" s="96"/>
      <c r="FK322" s="96"/>
      <c r="FL322" s="377"/>
      <c r="FM322" s="377"/>
      <c r="FN322" s="377"/>
      <c r="FO322" s="377"/>
      <c r="FP322" s="377"/>
      <c r="FQ322" s="377"/>
      <c r="FR322" s="377"/>
      <c r="FS322" s="377"/>
      <c r="FT322" s="377"/>
      <c r="FU322" s="377"/>
      <c r="FV322" s="377"/>
      <c r="FW322" s="377"/>
      <c r="FX322" s="377"/>
      <c r="FY322" s="259"/>
      <c r="FZ322" s="259"/>
      <c r="GA322" s="259"/>
      <c r="GB322" s="259"/>
      <c r="GC322" s="259"/>
      <c r="GD322" s="259"/>
      <c r="GE322" s="259"/>
      <c r="GF322" s="259"/>
      <c r="GG322" s="259"/>
      <c r="GH322" s="259"/>
      <c r="GI322" s="259"/>
      <c r="GJ322" s="259"/>
      <c r="GK322" s="377"/>
      <c r="GL322" s="377"/>
      <c r="GM322" s="377"/>
      <c r="GN322" s="377"/>
      <c r="GO322" s="377"/>
      <c r="GP322" s="377"/>
      <c r="GQ322" s="377"/>
      <c r="GR322" s="377"/>
      <c r="GS322" s="377"/>
      <c r="GT322" s="377"/>
      <c r="GU322" s="377"/>
      <c r="GV322" s="377"/>
      <c r="GW322" s="66"/>
      <c r="GX322" s="66"/>
      <c r="GY322" s="66"/>
      <c r="GZ322" s="66"/>
      <c r="HA322" s="66"/>
      <c r="HB322" s="66"/>
      <c r="HC322" s="66"/>
      <c r="HD322" s="66"/>
      <c r="HE322" s="66"/>
      <c r="HF322" s="66"/>
      <c r="HG322" s="66"/>
      <c r="HH322" s="66"/>
      <c r="HI322" s="66"/>
      <c r="HJ322" s="66"/>
      <c r="HK322" s="66"/>
      <c r="HL322" s="66"/>
      <c r="HM322" s="66"/>
      <c r="HN322" s="66"/>
      <c r="HO322" s="66"/>
      <c r="HP322" s="66"/>
      <c r="HQ322" s="66"/>
      <c r="HR322" s="66"/>
      <c r="HS322" s="66"/>
      <c r="HT322" s="66"/>
      <c r="HU322" s="66"/>
      <c r="HV322" s="66"/>
      <c r="HW322" s="66"/>
      <c r="HX322" s="66"/>
      <c r="HY322" s="66"/>
      <c r="HZ322" s="66"/>
      <c r="IA322" s="66"/>
    </row>
    <row r="323" spans="1:236" s="268" customFormat="1" ht="16.95" customHeight="1">
      <c r="A323" s="60"/>
      <c r="B323" s="69"/>
      <c r="C323" s="69"/>
      <c r="D323" s="397" t="str">
        <f ca="1">IF(FL1=0,"","winst te bereiken?")</f>
        <v/>
      </c>
      <c r="E323" s="141"/>
      <c r="F323" s="141"/>
      <c r="G323" s="141"/>
      <c r="H323" s="141"/>
      <c r="I323" s="141"/>
      <c r="J323" s="141"/>
      <c r="K323" s="141"/>
      <c r="L323" s="141"/>
      <c r="M323" s="141"/>
      <c r="N323" s="141"/>
      <c r="O323" s="141"/>
      <c r="P323" s="141"/>
      <c r="Q323" s="141"/>
      <c r="R323" s="398"/>
      <c r="S323" s="398"/>
      <c r="T323" s="398"/>
      <c r="U323" s="398"/>
      <c r="V323" s="398"/>
      <c r="W323" s="398"/>
      <c r="X323" s="398"/>
      <c r="Y323" s="398"/>
      <c r="Z323" s="398"/>
      <c r="AA323" s="398"/>
      <c r="AB323" s="398"/>
      <c r="AC323" s="398"/>
      <c r="AD323" s="398"/>
      <c r="AE323" s="398"/>
      <c r="AF323" s="398"/>
      <c r="AG323" s="398"/>
      <c r="AH323" s="398"/>
      <c r="AI323" s="398"/>
      <c r="AJ323" s="398"/>
      <c r="AK323" s="398"/>
      <c r="AL323" s="398"/>
      <c r="AM323" s="398"/>
      <c r="AN323" s="398"/>
      <c r="AO323" s="398"/>
      <c r="AP323" s="398"/>
      <c r="AQ323" s="398"/>
      <c r="AR323" s="398"/>
      <c r="AS323" s="398"/>
      <c r="AT323" s="398"/>
      <c r="AU323" s="398"/>
      <c r="AV323" s="398"/>
      <c r="AW323" s="398"/>
      <c r="AX323" s="398"/>
      <c r="AY323" s="398"/>
      <c r="AZ323" s="398"/>
      <c r="BA323" s="398"/>
      <c r="BB323" s="398"/>
      <c r="BC323" s="397"/>
      <c r="BD323" s="397"/>
      <c r="BE323" s="397"/>
      <c r="BF323" s="397"/>
      <c r="BG323" s="397"/>
      <c r="BH323" s="397"/>
      <c r="BI323" s="397"/>
      <c r="BJ323" s="397"/>
      <c r="BK323" s="397"/>
      <c r="BL323" s="397"/>
      <c r="BM323" s="397"/>
      <c r="BN323" s="397"/>
      <c r="BO323" s="397"/>
      <c r="BP323" s="397"/>
      <c r="BQ323" s="397"/>
      <c r="BR323" s="397"/>
      <c r="BS323" s="397"/>
      <c r="BT323" s="397"/>
      <c r="BU323" s="397"/>
      <c r="BV323" s="398"/>
      <c r="BW323" s="398"/>
      <c r="BX323" s="398"/>
      <c r="BY323" s="398"/>
      <c r="BZ323" s="398"/>
      <c r="CA323" s="398"/>
      <c r="CB323" s="398"/>
      <c r="CC323" s="398"/>
      <c r="CD323" s="141"/>
      <c r="CE323" s="141"/>
      <c r="CF323" s="141"/>
      <c r="CG323" s="141"/>
      <c r="CH323" s="141"/>
      <c r="CI323" s="141"/>
      <c r="CJ323" s="141"/>
      <c r="CK323" s="141"/>
      <c r="CL323" s="141"/>
      <c r="CM323" s="141"/>
      <c r="CN323" s="141"/>
      <c r="CO323" s="141"/>
      <c r="CP323" s="141"/>
      <c r="CQ323" s="141"/>
      <c r="CR323" s="141"/>
      <c r="CS323" s="141"/>
      <c r="CT323" s="141"/>
      <c r="CU323" s="141"/>
      <c r="CV323" s="141"/>
      <c r="CW323" s="141"/>
      <c r="CX323" s="141"/>
      <c r="CY323" s="141"/>
      <c r="CZ323" s="141"/>
      <c r="DA323" s="141"/>
      <c r="DB323" s="141"/>
      <c r="DC323" s="141"/>
      <c r="DD323" s="141"/>
      <c r="DE323" s="141"/>
      <c r="DF323" s="141"/>
      <c r="DG323" s="141"/>
      <c r="DH323" s="141"/>
      <c r="DI323" s="141"/>
      <c r="DJ323" s="141"/>
      <c r="DK323" s="141"/>
      <c r="DL323" s="141"/>
      <c r="DM323" s="141"/>
      <c r="DN323" s="141"/>
      <c r="DO323" s="141"/>
      <c r="DP323" s="141"/>
      <c r="DQ323" s="141"/>
      <c r="DR323" s="141"/>
      <c r="DS323" s="141"/>
      <c r="DT323" s="141"/>
      <c r="DU323" s="141"/>
      <c r="DV323" s="141"/>
      <c r="DW323" s="141"/>
      <c r="DX323" s="141"/>
      <c r="DY323" s="141"/>
      <c r="DZ323" s="141"/>
      <c r="EA323" s="141"/>
      <c r="EB323" s="141"/>
      <c r="EC323" s="141"/>
      <c r="ED323" s="141"/>
      <c r="EE323" s="141"/>
      <c r="EF323" s="141"/>
      <c r="EG323" s="141"/>
      <c r="EH323" s="141"/>
      <c r="EI323" s="141"/>
      <c r="EJ323" s="141"/>
      <c r="EK323" s="141"/>
      <c r="EL323" s="141"/>
      <c r="EM323" s="141"/>
      <c r="EN323" s="141"/>
      <c r="EO323" s="141"/>
      <c r="EP323" s="141"/>
      <c r="EQ323" s="141"/>
      <c r="ER323" s="141"/>
      <c r="ES323" s="141"/>
      <c r="ET323" s="141"/>
      <c r="EU323" s="141"/>
      <c r="EV323" s="141"/>
      <c r="EW323" s="141"/>
      <c r="EX323" s="141"/>
      <c r="EY323" s="141"/>
      <c r="EZ323" s="141"/>
      <c r="FA323" s="141"/>
      <c r="FB323" s="141"/>
      <c r="FC323" s="141"/>
      <c r="FD323" s="141"/>
      <c r="FE323" s="141"/>
      <c r="FF323" s="141"/>
      <c r="FG323" s="141"/>
      <c r="FH323" s="141"/>
      <c r="FI323" s="141"/>
      <c r="FJ323" s="96"/>
      <c r="FK323" s="96"/>
      <c r="FL323" s="377"/>
      <c r="FM323" s="377"/>
      <c r="FN323" s="377"/>
      <c r="FO323" s="377"/>
      <c r="FP323" s="377"/>
      <c r="FQ323" s="377"/>
      <c r="FR323" s="377"/>
      <c r="FS323" s="377"/>
      <c r="FT323" s="377"/>
      <c r="FU323" s="377"/>
      <c r="FV323" s="377"/>
      <c r="FW323" s="377"/>
      <c r="FX323" s="377"/>
      <c r="FY323" s="259"/>
      <c r="FZ323" s="259"/>
      <c r="GA323" s="259"/>
      <c r="GB323" s="259"/>
      <c r="GC323" s="259"/>
      <c r="GD323" s="259"/>
      <c r="GE323" s="259"/>
      <c r="GF323" s="259"/>
      <c r="GG323" s="259"/>
      <c r="GH323" s="259"/>
      <c r="GI323" s="259"/>
      <c r="GJ323" s="259"/>
      <c r="GK323" s="377"/>
      <c r="GL323" s="377"/>
      <c r="GM323" s="377"/>
      <c r="GN323" s="377"/>
      <c r="GO323" s="377"/>
      <c r="GP323" s="377"/>
      <c r="GQ323" s="377"/>
      <c r="GR323" s="377"/>
      <c r="GS323" s="377"/>
      <c r="GT323" s="377"/>
      <c r="GU323" s="377"/>
      <c r="GV323" s="377"/>
      <c r="GW323" s="66"/>
      <c r="GX323" s="66"/>
      <c r="GY323" s="66"/>
      <c r="GZ323" s="66"/>
      <c r="HA323" s="66"/>
      <c r="HB323" s="66"/>
      <c r="HC323" s="66"/>
      <c r="HD323" s="66"/>
      <c r="HE323" s="66"/>
      <c r="HF323" s="66"/>
      <c r="HG323" s="66"/>
      <c r="HH323" s="66"/>
      <c r="HI323" s="66"/>
      <c r="HJ323" s="66"/>
      <c r="HK323" s="66"/>
      <c r="HL323" s="66"/>
      <c r="HM323" s="66"/>
      <c r="HN323" s="66"/>
      <c r="HO323" s="66"/>
      <c r="HP323" s="66"/>
      <c r="HQ323" s="66"/>
      <c r="HR323" s="66"/>
      <c r="HS323" s="66"/>
      <c r="HT323" s="66"/>
      <c r="HU323" s="66"/>
      <c r="HV323" s="66"/>
      <c r="HW323" s="66"/>
      <c r="HX323" s="66"/>
      <c r="HY323" s="66"/>
      <c r="HZ323" s="66"/>
      <c r="IA323" s="66"/>
    </row>
    <row r="324" spans="1:236" ht="16.95" customHeight="1">
      <c r="A324" s="60"/>
      <c r="B324" s="69"/>
      <c r="C324" s="69"/>
      <c r="D324" s="341"/>
      <c r="E324" s="341"/>
      <c r="F324" s="341"/>
      <c r="G324" s="341"/>
      <c r="H324" s="341"/>
      <c r="I324" s="341"/>
      <c r="J324" s="341"/>
      <c r="K324" s="89"/>
      <c r="L324" s="89"/>
      <c r="M324" s="89"/>
      <c r="N324" s="89"/>
      <c r="O324" s="89"/>
      <c r="P324" s="89"/>
      <c r="Q324" s="89"/>
      <c r="R324" s="89"/>
      <c r="S324" s="89"/>
      <c r="T324" s="89"/>
      <c r="U324" s="89"/>
      <c r="V324" s="89"/>
      <c r="W324" s="89"/>
      <c r="X324" s="89"/>
      <c r="Y324" s="89"/>
      <c r="Z324" s="89"/>
      <c r="AA324" s="89"/>
      <c r="AB324" s="89"/>
      <c r="AC324" s="89"/>
      <c r="AD324" s="89"/>
      <c r="AE324" s="89"/>
      <c r="AF324" s="89"/>
      <c r="AG324" s="89"/>
      <c r="AH324" s="89"/>
      <c r="AI324" s="89"/>
      <c r="AJ324" s="89"/>
      <c r="AK324" s="89"/>
      <c r="AL324" s="89"/>
      <c r="AM324" s="89"/>
      <c r="AN324" s="89"/>
      <c r="AO324" s="89"/>
      <c r="AP324" s="89"/>
      <c r="AQ324" s="89"/>
      <c r="AR324" s="89"/>
      <c r="AS324" s="89"/>
      <c r="AT324" s="89"/>
      <c r="AU324" s="89"/>
      <c r="AV324" s="89"/>
      <c r="AW324" s="89"/>
      <c r="AX324" s="89"/>
      <c r="AY324" s="89"/>
      <c r="AZ324" s="89"/>
      <c r="BA324" s="89"/>
      <c r="BB324" s="89"/>
      <c r="BC324" s="89"/>
      <c r="BD324" s="89"/>
      <c r="BE324" s="89"/>
      <c r="BF324" s="89"/>
      <c r="BG324" s="89"/>
      <c r="BH324" s="89"/>
      <c r="BI324" s="89"/>
      <c r="BJ324" s="89"/>
      <c r="BK324" s="89"/>
      <c r="BL324" s="89"/>
      <c r="BM324" s="89"/>
      <c r="BN324" s="89"/>
      <c r="BO324" s="89"/>
      <c r="BP324" s="89"/>
      <c r="BQ324" s="89"/>
      <c r="BR324" s="89"/>
      <c r="BS324" s="89"/>
      <c r="BT324" s="89"/>
      <c r="BU324" s="89"/>
      <c r="BV324" s="89"/>
      <c r="BW324" s="89"/>
      <c r="BX324" s="89"/>
      <c r="BY324" s="89"/>
      <c r="BZ324" s="89"/>
      <c r="CA324" s="89"/>
      <c r="CB324" s="89"/>
      <c r="CC324" s="89"/>
      <c r="CD324" s="89"/>
      <c r="CE324" s="89"/>
      <c r="CF324" s="89"/>
      <c r="CG324" s="89"/>
      <c r="CH324" s="89"/>
      <c r="CI324" s="89"/>
      <c r="CJ324" s="89"/>
      <c r="CK324" s="89"/>
      <c r="CL324" s="89"/>
      <c r="CM324" s="89"/>
      <c r="CN324" s="89"/>
      <c r="CO324" s="89"/>
      <c r="CP324" s="89"/>
      <c r="CQ324" s="89"/>
      <c r="CR324" s="89"/>
      <c r="CS324" s="89"/>
      <c r="CT324" s="89"/>
      <c r="CU324" s="89"/>
      <c r="CV324" s="89"/>
      <c r="CW324" s="89"/>
      <c r="CX324" s="89"/>
      <c r="CY324" s="89"/>
      <c r="CZ324" s="89"/>
      <c r="DA324" s="89"/>
      <c r="DB324" s="89"/>
      <c r="DC324" s="89"/>
      <c r="DD324" s="89"/>
      <c r="DE324" s="89"/>
      <c r="DF324" s="89"/>
      <c r="DG324" s="89"/>
      <c r="DH324" s="89"/>
      <c r="DI324" s="89"/>
      <c r="DJ324" s="89"/>
      <c r="DK324" s="89"/>
      <c r="DL324" s="89"/>
      <c r="DM324" s="89"/>
      <c r="DN324" s="89"/>
      <c r="DO324" s="89"/>
      <c r="DP324" s="89"/>
      <c r="DQ324" s="89"/>
      <c r="DR324" s="89"/>
      <c r="DS324" s="89"/>
      <c r="DT324" s="89"/>
      <c r="DU324" s="141"/>
      <c r="DV324" s="141"/>
      <c r="DW324" s="141"/>
      <c r="DX324" s="141"/>
      <c r="DY324" s="141"/>
      <c r="DZ324" s="141"/>
      <c r="EA324" s="141"/>
      <c r="EB324" s="89"/>
      <c r="EC324" s="89"/>
      <c r="ED324" s="89"/>
      <c r="EE324" s="89"/>
      <c r="EF324" s="89"/>
      <c r="EG324" s="89"/>
      <c r="EH324" s="89"/>
      <c r="EI324" s="89"/>
      <c r="EJ324" s="89"/>
      <c r="EK324" s="89"/>
      <c r="EL324" s="89"/>
      <c r="EM324" s="89"/>
      <c r="EN324" s="89"/>
      <c r="EO324" s="89"/>
      <c r="EP324" s="89"/>
      <c r="EQ324" s="89"/>
      <c r="ER324" s="89"/>
      <c r="ES324" s="89"/>
      <c r="ET324" s="89"/>
      <c r="EU324" s="89"/>
      <c r="EV324" s="89"/>
      <c r="EW324" s="89"/>
      <c r="EX324" s="89"/>
      <c r="EY324" s="89"/>
      <c r="EZ324" s="89"/>
      <c r="FA324" s="89"/>
      <c r="FB324" s="89"/>
      <c r="FC324" s="89"/>
      <c r="FD324" s="89"/>
      <c r="FE324" s="89"/>
      <c r="FF324" s="89"/>
      <c r="FG324" s="89"/>
      <c r="FH324" s="89"/>
      <c r="FI324" s="89"/>
      <c r="FJ324" s="300"/>
      <c r="FK324" s="300"/>
      <c r="FL324" s="300"/>
      <c r="FM324" s="300"/>
      <c r="FN324" s="300"/>
      <c r="FO324" s="300"/>
      <c r="FP324" s="300"/>
      <c r="FQ324" s="108"/>
      <c r="FR324" s="108"/>
      <c r="FS324" s="108"/>
      <c r="FT324" s="108"/>
      <c r="FU324" s="108"/>
      <c r="FV324" s="108"/>
      <c r="FW324" s="108"/>
      <c r="FX324" s="301"/>
      <c r="FY324" s="259"/>
      <c r="FZ324" s="259"/>
      <c r="GA324" s="259"/>
      <c r="GB324" s="259"/>
      <c r="GC324" s="301"/>
      <c r="GD324" s="301"/>
      <c r="GE324" s="301"/>
      <c r="GF324" s="301"/>
      <c r="GG324" s="301"/>
      <c r="GH324" s="301"/>
      <c r="GI324" s="301"/>
      <c r="GJ324" s="301"/>
      <c r="GK324" s="301"/>
      <c r="GL324" s="301"/>
      <c r="GM324" s="301"/>
      <c r="GN324" s="301"/>
      <c r="GO324" s="301"/>
      <c r="GP324" s="301"/>
      <c r="GQ324" s="301"/>
      <c r="GR324" s="301"/>
      <c r="GS324" s="301"/>
      <c r="GT324" s="301"/>
      <c r="GU324" s="301"/>
      <c r="GV324" s="301"/>
      <c r="IB324" s="65"/>
    </row>
    <row r="325" spans="1:236" customFormat="1" ht="3.75" customHeight="1">
      <c r="A325" s="1"/>
      <c r="B325" s="3"/>
      <c r="C325" s="3"/>
      <c r="D325" s="124"/>
      <c r="E325" s="346"/>
      <c r="F325" s="346"/>
      <c r="G325" s="346"/>
      <c r="H325" s="346"/>
      <c r="I325" s="346"/>
      <c r="J325" s="79"/>
      <c r="K325" s="79"/>
      <c r="L325" s="41"/>
      <c r="M325" s="42"/>
      <c r="N325" s="41"/>
      <c r="O325" s="41"/>
      <c r="P325" s="41"/>
      <c r="Q325" s="41"/>
      <c r="R325" s="41"/>
      <c r="S325" s="79"/>
      <c r="T325" s="344"/>
      <c r="U325" s="344"/>
      <c r="V325" s="344"/>
      <c r="W325" s="34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c r="AS325" s="344"/>
      <c r="AT325" s="344"/>
      <c r="AU325" s="344"/>
      <c r="AV325" s="344"/>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44"/>
      <c r="CZ325" s="344"/>
      <c r="DA325" s="344"/>
      <c r="DB325" s="344"/>
      <c r="DC325" s="344"/>
      <c r="DD325" s="344"/>
      <c r="DE325" s="536" t="str">
        <f ca="1">IF(FL1=0,"","+")</f>
        <v/>
      </c>
      <c r="DF325" s="536"/>
      <c r="DG325" s="536"/>
      <c r="DH325" s="536"/>
      <c r="DI325" s="536"/>
      <c r="DJ325" s="536"/>
      <c r="DK325" s="536"/>
      <c r="DL325" s="43"/>
      <c r="DM325" s="43"/>
      <c r="DN325" s="43"/>
      <c r="DO325" s="43"/>
      <c r="DP325" s="43"/>
      <c r="DQ325" s="43"/>
      <c r="DR325" s="43"/>
      <c r="DS325" s="43"/>
      <c r="DT325" s="43"/>
      <c r="DU325" s="43"/>
      <c r="DV325" s="43"/>
      <c r="DW325" s="43"/>
      <c r="DX325" s="43"/>
      <c r="DY325" s="357"/>
      <c r="DZ325" s="357"/>
      <c r="EA325" s="357"/>
      <c r="EB325" s="357"/>
      <c r="EC325" s="357"/>
      <c r="ED325" s="357"/>
      <c r="EE325" s="357"/>
      <c r="EF325" s="357"/>
      <c r="EG325" s="357"/>
      <c r="EH325" s="357"/>
      <c r="EI325" s="357"/>
      <c r="EJ325" s="357"/>
      <c r="EK325" s="357"/>
      <c r="EL325" s="357"/>
      <c r="EM325" s="357"/>
      <c r="EN325" s="357"/>
      <c r="EO325" s="357"/>
      <c r="EP325" s="357"/>
      <c r="EQ325" s="357"/>
      <c r="ER325" s="357"/>
      <c r="ES325" s="357"/>
      <c r="ET325" s="357"/>
      <c r="EU325" s="357"/>
      <c r="EV325" s="357"/>
      <c r="EW325" s="357"/>
      <c r="EX325" s="357"/>
      <c r="EY325" s="357"/>
      <c r="EZ325" s="357"/>
      <c r="FA325" s="43"/>
      <c r="FB325" s="43"/>
      <c r="FC325" s="43"/>
      <c r="FD325" s="43"/>
      <c r="FE325" s="43"/>
      <c r="FF325" s="43"/>
      <c r="FG325" s="43"/>
      <c r="FH325" s="43"/>
      <c r="FI325" s="43"/>
      <c r="FJ325" s="96"/>
      <c r="FK325" s="96"/>
      <c r="FL325" s="300"/>
      <c r="FM325" s="338"/>
      <c r="FN325" s="338"/>
      <c r="FO325" s="338"/>
      <c r="FP325" s="93"/>
      <c r="FQ325" s="93"/>
      <c r="FR325" s="93"/>
      <c r="FS325" s="93"/>
      <c r="FT325" s="93"/>
      <c r="FU325" s="93"/>
      <c r="FV325" s="93"/>
      <c r="FW325" s="93"/>
      <c r="FX325" s="93"/>
      <c r="FY325" s="259"/>
      <c r="FZ325" s="259"/>
      <c r="GA325" s="259"/>
      <c r="GB325" s="259"/>
      <c r="GC325" s="49"/>
      <c r="GD325" s="49"/>
      <c r="GE325" s="49"/>
      <c r="GF325" s="49"/>
      <c r="GG325" s="49"/>
      <c r="GH325" s="49"/>
      <c r="GI325" s="49"/>
      <c r="GJ325" s="49"/>
      <c r="GK325" s="49"/>
      <c r="GL325" s="49"/>
      <c r="GM325" s="49"/>
      <c r="GN325" s="49"/>
      <c r="GO325" s="49"/>
      <c r="GP325" s="49"/>
      <c r="GQ325" s="49"/>
      <c r="GR325" s="49"/>
      <c r="GS325" s="49"/>
      <c r="GT325" s="49"/>
      <c r="GU325" s="49"/>
      <c r="GV325" s="49"/>
      <c r="GW325" s="66"/>
      <c r="GX325" s="66"/>
      <c r="GY325" s="66"/>
      <c r="GZ325" s="66"/>
      <c r="HA325" s="66"/>
      <c r="HB325" s="66"/>
      <c r="HC325" s="66"/>
      <c r="HD325" s="66"/>
      <c r="HE325" s="66"/>
      <c r="HF325" s="66"/>
      <c r="HG325" s="66"/>
      <c r="HH325" s="66"/>
      <c r="HI325" s="66"/>
      <c r="HJ325" s="66"/>
      <c r="HK325" s="66"/>
      <c r="HL325" s="66"/>
      <c r="HM325" s="66"/>
      <c r="HN325" s="66"/>
      <c r="HO325" s="66"/>
      <c r="HP325" s="66"/>
      <c r="HQ325" s="66"/>
      <c r="HR325" s="66"/>
      <c r="HS325" s="66"/>
      <c r="HT325" s="66"/>
      <c r="HU325" s="66"/>
      <c r="HV325" s="66"/>
      <c r="HW325" s="66"/>
      <c r="HX325" s="66"/>
      <c r="HY325" s="66"/>
      <c r="HZ325" s="66"/>
      <c r="IA325" s="66"/>
    </row>
    <row r="326" spans="1:236" customFormat="1" ht="16.5" customHeight="1">
      <c r="A326" s="1"/>
      <c r="B326" s="3"/>
      <c r="C326" s="3"/>
      <c r="D326" s="124"/>
      <c r="E326" s="346"/>
      <c r="F326" s="346"/>
      <c r="G326" s="346"/>
      <c r="H326" s="346"/>
      <c r="I326" s="346"/>
      <c r="J326" s="79"/>
      <c r="K326" s="79"/>
      <c r="L326" s="41"/>
      <c r="M326" s="42"/>
      <c r="N326" s="41"/>
      <c r="O326" s="41"/>
      <c r="P326" s="41"/>
      <c r="Q326" s="79"/>
      <c r="R326" s="41"/>
      <c r="S326" s="79"/>
      <c r="T326" s="180"/>
      <c r="U326" s="347"/>
      <c r="V326" s="347"/>
      <c r="W326" s="347"/>
      <c r="X326" s="347"/>
      <c r="Y326" s="347"/>
      <c r="Z326" s="347"/>
      <c r="AA326" s="347"/>
      <c r="AB326" s="347"/>
      <c r="AC326" s="347"/>
      <c r="AD326" s="347"/>
      <c r="AE326" s="347"/>
      <c r="AF326" s="347"/>
      <c r="AG326" s="347"/>
      <c r="AH326" s="347"/>
      <c r="AI326" s="347"/>
      <c r="AJ326" s="347"/>
      <c r="AK326" s="347"/>
      <c r="AL326" s="347"/>
      <c r="AM326" s="347"/>
      <c r="AN326" s="347"/>
      <c r="AO326" s="347"/>
      <c r="AP326" s="181"/>
      <c r="AQ326" s="181"/>
      <c r="AR326" s="181"/>
      <c r="AS326" s="181"/>
      <c r="AT326" s="181"/>
      <c r="AU326" s="181"/>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44"/>
      <c r="CZ326" s="344"/>
      <c r="DA326" s="344"/>
      <c r="DB326" s="153" t="str">
        <f ca="1">IF(FL1=0,"","Bij hevige prijsconcurrentie (maar geen prijzenoorlog) is de afzet:")</f>
        <v/>
      </c>
      <c r="DC326" s="344"/>
      <c r="DD326" s="344"/>
      <c r="DE326" s="343" t="str">
        <f ca="1">IF(FL1=0,"","+")</f>
        <v/>
      </c>
      <c r="DF326" s="537"/>
      <c r="DG326" s="537"/>
      <c r="DH326" s="537"/>
      <c r="DI326" s="537"/>
      <c r="DJ326" s="537"/>
      <c r="DK326" s="343" t="str">
        <f ca="1">IF(FL1=0,"","+")</f>
        <v/>
      </c>
      <c r="DL326" s="165" t="s">
        <v>131</v>
      </c>
      <c r="DM326" s="43"/>
      <c r="DN326" s="43"/>
      <c r="DO326" s="43"/>
      <c r="DP326" s="43"/>
      <c r="DQ326" s="43"/>
      <c r="DR326" s="43"/>
      <c r="DS326" s="43"/>
      <c r="DT326" s="43"/>
      <c r="DU326" s="43"/>
      <c r="DV326" s="43"/>
      <c r="DW326" s="43"/>
      <c r="DX326" s="43"/>
      <c r="DY326" s="357"/>
      <c r="DZ326" s="357"/>
      <c r="EA326" s="357"/>
      <c r="EB326" s="357"/>
      <c r="EC326" s="357"/>
      <c r="ED326" s="357"/>
      <c r="EE326" s="345" t="str">
        <f ca="1">IF(OR(CO520="",TODAY()&gt;=Blad1!AY3),"",IF(FL1=0,"",IF(DF326="","Deze moet je nog (af-) maken.",IF(FM326=1,"Goed!","Fout!"))))</f>
        <v/>
      </c>
      <c r="EF326" s="357"/>
      <c r="EG326" s="357"/>
      <c r="EH326" s="357"/>
      <c r="EI326" s="357"/>
      <c r="EJ326" s="357"/>
      <c r="EK326" s="357"/>
      <c r="EL326" s="357"/>
      <c r="EM326" s="357"/>
      <c r="EN326" s="357"/>
      <c r="EO326" s="357"/>
      <c r="EP326" s="357"/>
      <c r="EQ326" s="357"/>
      <c r="ER326" s="357"/>
      <c r="ES326" s="357"/>
      <c r="ET326" s="357"/>
      <c r="EU326" s="357"/>
      <c r="EV326" s="357"/>
      <c r="EW326" s="357"/>
      <c r="EX326" s="357"/>
      <c r="EY326" s="357"/>
      <c r="EZ326" s="357"/>
      <c r="FA326" s="43"/>
      <c r="FB326" s="43"/>
      <c r="FC326" s="43"/>
      <c r="FD326" s="43"/>
      <c r="FE326" s="43"/>
      <c r="FF326" s="43"/>
      <c r="FG326" s="43"/>
      <c r="FH326" s="43"/>
      <c r="FI326" s="43"/>
      <c r="FJ326" s="96"/>
      <c r="FK326" s="96"/>
      <c r="FL326" s="300"/>
      <c r="FM326" s="93">
        <f ca="1">IF(programma!B1="X",1,IF(FL1=0,0,IF(DF326=FU240,1,0)))</f>
        <v>0</v>
      </c>
      <c r="FN326" s="338"/>
      <c r="FO326" s="93"/>
      <c r="FP326" s="93"/>
      <c r="FQ326" s="93"/>
      <c r="FR326" s="93"/>
      <c r="FS326" s="93"/>
      <c r="FT326" s="93"/>
      <c r="FU326" s="93"/>
      <c r="FV326" s="93"/>
      <c r="FW326" s="93"/>
      <c r="FX326" s="93"/>
      <c r="FY326" s="259"/>
      <c r="FZ326" s="259"/>
      <c r="GA326" s="259"/>
      <c r="GB326" s="259"/>
      <c r="GC326" s="49"/>
      <c r="GD326" s="49"/>
      <c r="GE326" s="49"/>
      <c r="GF326" s="49"/>
      <c r="GG326" s="49"/>
      <c r="GH326" s="49"/>
      <c r="GI326" s="49"/>
      <c r="GJ326" s="49"/>
      <c r="GK326" s="49"/>
      <c r="GL326" s="49"/>
      <c r="GM326" s="49"/>
      <c r="GN326" s="49"/>
      <c r="GO326" s="49"/>
      <c r="GP326" s="49"/>
      <c r="GQ326" s="49"/>
      <c r="GR326" s="49"/>
      <c r="GS326" s="49"/>
      <c r="GT326" s="49"/>
      <c r="GU326" s="49"/>
      <c r="GV326" s="49"/>
      <c r="GW326" s="66"/>
      <c r="GX326" s="66"/>
      <c r="GY326" s="66"/>
      <c r="GZ326" s="66"/>
      <c r="HA326" s="66"/>
      <c r="HB326" s="66"/>
      <c r="HC326" s="66"/>
      <c r="HD326" s="66"/>
      <c r="HE326" s="66"/>
      <c r="HF326" s="66"/>
      <c r="HG326" s="66"/>
      <c r="HH326" s="66"/>
      <c r="HI326" s="66"/>
      <c r="HJ326" s="66"/>
      <c r="HK326" s="66"/>
      <c r="HL326" s="66"/>
      <c r="HM326" s="66"/>
      <c r="HN326" s="66"/>
      <c r="HO326" s="66"/>
      <c r="HP326" s="66"/>
      <c r="HQ326" s="66"/>
      <c r="HR326" s="66"/>
      <c r="HS326" s="66"/>
      <c r="HT326" s="66"/>
      <c r="HU326" s="66"/>
      <c r="HV326" s="66"/>
      <c r="HW326" s="66"/>
      <c r="HX326" s="66"/>
      <c r="HY326" s="66"/>
      <c r="HZ326" s="66"/>
      <c r="IA326" s="66"/>
    </row>
    <row r="327" spans="1:236" customFormat="1" ht="3.75" customHeight="1">
      <c r="A327" s="1"/>
      <c r="B327" s="3"/>
      <c r="C327" s="3"/>
      <c r="D327" s="124"/>
      <c r="E327" s="346"/>
      <c r="F327" s="346"/>
      <c r="G327" s="346"/>
      <c r="H327" s="346"/>
      <c r="I327" s="346"/>
      <c r="J327" s="79"/>
      <c r="K327" s="79"/>
      <c r="L327" s="41"/>
      <c r="M327" s="42"/>
      <c r="N327" s="41"/>
      <c r="O327" s="41"/>
      <c r="P327" s="41"/>
      <c r="Q327" s="41"/>
      <c r="R327" s="41"/>
      <c r="S327" s="79"/>
      <c r="T327" s="344"/>
      <c r="U327" s="344"/>
      <c r="V327" s="344"/>
      <c r="W327" s="34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c r="AS327" s="344"/>
      <c r="AT327" s="344"/>
      <c r="AU327" s="344"/>
      <c r="AV327" s="344"/>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44"/>
      <c r="CZ327" s="344"/>
      <c r="DA327" s="344"/>
      <c r="DB327" s="344"/>
      <c r="DC327" s="344"/>
      <c r="DD327" s="344"/>
      <c r="DE327" s="536" t="str">
        <f ca="1">IF(FL1=0,"","+")</f>
        <v/>
      </c>
      <c r="DF327" s="536"/>
      <c r="DG327" s="536"/>
      <c r="DH327" s="536"/>
      <c r="DI327" s="536"/>
      <c r="DJ327" s="536"/>
      <c r="DK327" s="536"/>
      <c r="DL327" s="165"/>
      <c r="DM327" s="43"/>
      <c r="DN327" s="43"/>
      <c r="DO327" s="43"/>
      <c r="DP327" s="43"/>
      <c r="DQ327" s="43"/>
      <c r="DR327" s="43"/>
      <c r="DS327" s="43"/>
      <c r="DT327" s="43"/>
      <c r="DU327" s="43"/>
      <c r="DV327" s="43"/>
      <c r="DW327" s="43"/>
      <c r="DX327" s="43"/>
      <c r="DY327" s="357"/>
      <c r="DZ327" s="357"/>
      <c r="EA327" s="357"/>
      <c r="EB327" s="357"/>
      <c r="EC327" s="357"/>
      <c r="ED327" s="357"/>
      <c r="EE327" s="357"/>
      <c r="EF327" s="357"/>
      <c r="EG327" s="357"/>
      <c r="EH327" s="357"/>
      <c r="EI327" s="357"/>
      <c r="EJ327" s="357"/>
      <c r="EK327" s="357"/>
      <c r="EL327" s="357"/>
      <c r="EM327" s="357"/>
      <c r="EN327" s="357"/>
      <c r="EO327" s="357"/>
      <c r="EP327" s="357"/>
      <c r="EQ327" s="357"/>
      <c r="ER327" s="357"/>
      <c r="ES327" s="357"/>
      <c r="ET327" s="357"/>
      <c r="EU327" s="357"/>
      <c r="EV327" s="357"/>
      <c r="EW327" s="357"/>
      <c r="EX327" s="357"/>
      <c r="EY327" s="357"/>
      <c r="EZ327" s="357"/>
      <c r="FA327" s="43"/>
      <c r="FB327" s="43"/>
      <c r="FC327" s="43"/>
      <c r="FD327" s="43"/>
      <c r="FE327" s="43"/>
      <c r="FF327" s="43"/>
      <c r="FG327" s="43"/>
      <c r="FH327" s="43"/>
      <c r="FI327" s="43"/>
      <c r="FJ327" s="96"/>
      <c r="FK327" s="96"/>
      <c r="FL327" s="300"/>
      <c r="FM327" s="96"/>
      <c r="FN327" s="93"/>
      <c r="FO327" s="93"/>
      <c r="FP327" s="93"/>
      <c r="FQ327" s="93"/>
      <c r="FR327" s="93"/>
      <c r="FS327" s="93"/>
      <c r="FT327" s="93"/>
      <c r="FU327" s="93"/>
      <c r="FV327" s="93"/>
      <c r="FW327" s="93"/>
      <c r="FX327" s="93"/>
      <c r="FY327" s="259"/>
      <c r="FZ327" s="259"/>
      <c r="GA327" s="259"/>
      <c r="GB327" s="259"/>
      <c r="GC327" s="49"/>
      <c r="GD327" s="49"/>
      <c r="GE327" s="49"/>
      <c r="GF327" s="49"/>
      <c r="GG327" s="49"/>
      <c r="GH327" s="49"/>
      <c r="GI327" s="49"/>
      <c r="GJ327" s="49"/>
      <c r="GK327" s="49"/>
      <c r="GL327" s="49"/>
      <c r="GM327" s="49"/>
      <c r="GN327" s="49"/>
      <c r="GO327" s="49"/>
      <c r="GP327" s="49"/>
      <c r="GQ327" s="49"/>
      <c r="GR327" s="49"/>
      <c r="GS327" s="49"/>
      <c r="GT327" s="49"/>
      <c r="GU327" s="49"/>
      <c r="GV327" s="49"/>
      <c r="GW327" s="66"/>
      <c r="GX327" s="66"/>
      <c r="GY327" s="66"/>
      <c r="GZ327" s="66"/>
      <c r="HA327" s="66"/>
      <c r="HB327" s="66"/>
      <c r="HC327" s="66"/>
      <c r="HD327" s="66"/>
      <c r="HE327" s="66"/>
      <c r="HF327" s="66"/>
      <c r="HG327" s="66"/>
      <c r="HH327" s="66"/>
      <c r="HI327" s="66"/>
      <c r="HJ327" s="66"/>
      <c r="HK327" s="66"/>
      <c r="HL327" s="66"/>
      <c r="HM327" s="66"/>
      <c r="HN327" s="66"/>
      <c r="HO327" s="66"/>
      <c r="HP327" s="66"/>
      <c r="HQ327" s="66"/>
      <c r="HR327" s="66"/>
      <c r="HS327" s="66"/>
      <c r="HT327" s="66"/>
      <c r="HU327" s="66"/>
      <c r="HV327" s="66"/>
      <c r="HW327" s="66"/>
      <c r="HX327" s="66"/>
      <c r="HY327" s="66"/>
      <c r="HZ327" s="66"/>
      <c r="IA327" s="66"/>
    </row>
    <row r="328" spans="1:236" ht="7.2" customHeight="1">
      <c r="A328" s="60"/>
      <c r="B328" s="69"/>
      <c r="C328" s="69"/>
      <c r="D328" s="341"/>
      <c r="E328" s="341"/>
      <c r="F328" s="341"/>
      <c r="G328" s="341"/>
      <c r="H328" s="341"/>
      <c r="I328" s="341"/>
      <c r="J328" s="341"/>
      <c r="K328" s="89"/>
      <c r="L328" s="89"/>
      <c r="M328" s="89"/>
      <c r="N328" s="89"/>
      <c r="O328" s="89"/>
      <c r="P328" s="89"/>
      <c r="Q328" s="89"/>
      <c r="R328" s="89"/>
      <c r="S328" s="89"/>
      <c r="T328" s="89"/>
      <c r="U328" s="89"/>
      <c r="V328" s="89"/>
      <c r="W328" s="89"/>
      <c r="X328" s="89"/>
      <c r="Y328" s="89"/>
      <c r="Z328" s="89"/>
      <c r="AA328" s="89"/>
      <c r="AB328" s="89"/>
      <c r="AC328" s="89"/>
      <c r="AD328" s="89"/>
      <c r="AE328" s="89"/>
      <c r="AF328" s="89"/>
      <c r="AG328" s="89"/>
      <c r="AH328" s="89"/>
      <c r="AI328" s="89"/>
      <c r="AJ328" s="89"/>
      <c r="AK328" s="89"/>
      <c r="AL328" s="89"/>
      <c r="AM328" s="89"/>
      <c r="AN328" s="89"/>
      <c r="AO328" s="89"/>
      <c r="AP328" s="89"/>
      <c r="AQ328" s="89"/>
      <c r="AR328" s="89"/>
      <c r="AS328" s="89"/>
      <c r="AT328" s="89"/>
      <c r="AU328" s="89"/>
      <c r="AV328" s="89"/>
      <c r="AW328" s="89"/>
      <c r="AX328" s="89"/>
      <c r="AY328" s="89"/>
      <c r="AZ328" s="89"/>
      <c r="BA328" s="89"/>
      <c r="BB328" s="89"/>
      <c r="BC328" s="89"/>
      <c r="BD328" s="89"/>
      <c r="BE328" s="89"/>
      <c r="BF328" s="89"/>
      <c r="BG328" s="89"/>
      <c r="BH328" s="89"/>
      <c r="BI328" s="89"/>
      <c r="BJ328" s="89"/>
      <c r="BK328" s="89"/>
      <c r="BL328" s="89"/>
      <c r="BM328" s="89"/>
      <c r="BN328" s="89"/>
      <c r="BO328" s="89"/>
      <c r="BP328" s="89"/>
      <c r="BQ328" s="89"/>
      <c r="BR328" s="89"/>
      <c r="BS328" s="89"/>
      <c r="BT328" s="89"/>
      <c r="BU328" s="89"/>
      <c r="BV328" s="89"/>
      <c r="BW328" s="89"/>
      <c r="BX328" s="89"/>
      <c r="BY328" s="89"/>
      <c r="BZ328" s="89"/>
      <c r="CA328" s="89"/>
      <c r="CB328" s="89"/>
      <c r="CC328" s="89"/>
      <c r="CD328" s="89"/>
      <c r="CE328" s="89"/>
      <c r="CF328" s="89"/>
      <c r="CG328" s="89"/>
      <c r="CH328" s="89"/>
      <c r="CI328" s="89"/>
      <c r="CJ328" s="89"/>
      <c r="CK328" s="89"/>
      <c r="CL328" s="89"/>
      <c r="CM328" s="89"/>
      <c r="CN328" s="89"/>
      <c r="CO328" s="89"/>
      <c r="CP328" s="89"/>
      <c r="CQ328" s="89"/>
      <c r="CR328" s="89"/>
      <c r="CS328" s="89"/>
      <c r="CT328" s="89"/>
      <c r="CU328" s="89"/>
      <c r="CV328" s="89"/>
      <c r="CW328" s="89"/>
      <c r="CX328" s="89"/>
      <c r="CY328" s="89"/>
      <c r="CZ328" s="89"/>
      <c r="DA328" s="89"/>
      <c r="DB328" s="89"/>
      <c r="DC328" s="89"/>
      <c r="DD328" s="89"/>
      <c r="DE328" s="89"/>
      <c r="DF328" s="89"/>
      <c r="DG328" s="89"/>
      <c r="DH328" s="89"/>
      <c r="DI328" s="89"/>
      <c r="DJ328" s="89"/>
      <c r="DK328" s="89"/>
      <c r="DL328" s="304"/>
      <c r="DM328" s="89"/>
      <c r="DN328" s="89"/>
      <c r="DO328" s="89"/>
      <c r="DP328" s="89"/>
      <c r="DQ328" s="89"/>
      <c r="DR328" s="89"/>
      <c r="DS328" s="89"/>
      <c r="DT328" s="89"/>
      <c r="DU328" s="141"/>
      <c r="DV328" s="141"/>
      <c r="DW328" s="141"/>
      <c r="DX328" s="141"/>
      <c r="DY328" s="141"/>
      <c r="DZ328" s="141"/>
      <c r="EA328" s="141"/>
      <c r="EB328" s="89"/>
      <c r="EC328" s="89"/>
      <c r="ED328" s="89"/>
      <c r="EE328" s="89"/>
      <c r="EF328" s="89"/>
      <c r="EG328" s="89"/>
      <c r="EH328" s="89"/>
      <c r="EI328" s="89"/>
      <c r="EJ328" s="89"/>
      <c r="EK328" s="89"/>
      <c r="EL328" s="89"/>
      <c r="EM328" s="89"/>
      <c r="EN328" s="89"/>
      <c r="EO328" s="89"/>
      <c r="EP328" s="89"/>
      <c r="EQ328" s="89"/>
      <c r="ER328" s="89"/>
      <c r="ES328" s="89"/>
      <c r="ET328" s="89"/>
      <c r="EU328" s="89"/>
      <c r="EV328" s="89"/>
      <c r="EW328" s="89"/>
      <c r="EX328" s="89"/>
      <c r="EY328" s="89"/>
      <c r="EZ328" s="89"/>
      <c r="FA328" s="89"/>
      <c r="FB328" s="89"/>
      <c r="FC328" s="89"/>
      <c r="FD328" s="89"/>
      <c r="FE328" s="89"/>
      <c r="FF328" s="89"/>
      <c r="FG328" s="89"/>
      <c r="FH328" s="89"/>
      <c r="FI328" s="89"/>
      <c r="FJ328" s="300"/>
      <c r="FK328" s="300"/>
      <c r="FL328" s="300"/>
      <c r="FM328" s="300"/>
      <c r="FN328" s="300"/>
      <c r="FO328" s="300"/>
      <c r="FP328" s="300"/>
      <c r="FQ328" s="108"/>
      <c r="FR328" s="108"/>
      <c r="FS328" s="108"/>
      <c r="FT328" s="108"/>
      <c r="FU328" s="108"/>
      <c r="FV328" s="108"/>
      <c r="FW328" s="108"/>
      <c r="FX328" s="301"/>
      <c r="FY328" s="259"/>
      <c r="FZ328" s="259"/>
      <c r="GA328" s="259"/>
      <c r="GB328" s="259"/>
      <c r="GC328" s="301"/>
      <c r="GD328" s="301"/>
      <c r="GE328" s="301"/>
      <c r="GF328" s="301"/>
      <c r="GG328" s="301"/>
      <c r="GH328" s="301"/>
      <c r="GI328" s="301"/>
      <c r="GJ328" s="301"/>
      <c r="GK328" s="301"/>
      <c r="GL328" s="301"/>
      <c r="GM328" s="301"/>
      <c r="GN328" s="301"/>
      <c r="GO328" s="301"/>
      <c r="GP328" s="301"/>
      <c r="GQ328" s="301"/>
      <c r="GR328" s="301"/>
      <c r="GS328" s="301"/>
      <c r="GT328" s="301"/>
      <c r="GU328" s="301"/>
      <c r="GV328" s="301"/>
      <c r="IB328" s="65"/>
    </row>
    <row r="329" spans="1:236" customFormat="1" ht="3.75" customHeight="1">
      <c r="A329" s="1"/>
      <c r="B329" s="3"/>
      <c r="C329" s="3"/>
      <c r="D329" s="124"/>
      <c r="E329" s="346"/>
      <c r="F329" s="346"/>
      <c r="G329" s="346"/>
      <c r="H329" s="346"/>
      <c r="I329" s="346"/>
      <c r="J329" s="79"/>
      <c r="K329" s="79"/>
      <c r="L329" s="41"/>
      <c r="M329" s="42"/>
      <c r="N329" s="41"/>
      <c r="O329" s="41"/>
      <c r="P329" s="41"/>
      <c r="Q329" s="41"/>
      <c r="R329" s="41"/>
      <c r="S329" s="79"/>
      <c r="T329" s="344"/>
      <c r="U329" s="344"/>
      <c r="V329" s="344"/>
      <c r="W329" s="34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c r="AS329" s="344"/>
      <c r="AT329" s="344"/>
      <c r="AU329" s="344"/>
      <c r="AV329" s="344"/>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44"/>
      <c r="CZ329" s="344"/>
      <c r="DA329" s="344"/>
      <c r="DB329" s="344"/>
      <c r="DC329" s="344"/>
      <c r="DD329" s="344"/>
      <c r="DE329" s="536" t="str">
        <f ca="1">IF(FL1=0,"","+")</f>
        <v/>
      </c>
      <c r="DF329" s="536"/>
      <c r="DG329" s="536"/>
      <c r="DH329" s="536"/>
      <c r="DI329" s="536"/>
      <c r="DJ329" s="536"/>
      <c r="DK329" s="536"/>
      <c r="DL329" s="165"/>
      <c r="DM329" s="43"/>
      <c r="DN329" s="43"/>
      <c r="DO329" s="43"/>
      <c r="DP329" s="43"/>
      <c r="DQ329" s="43"/>
      <c r="DR329" s="43"/>
      <c r="DS329" s="43"/>
      <c r="DT329" s="43"/>
      <c r="DU329" s="43"/>
      <c r="DV329" s="43"/>
      <c r="DW329" s="43"/>
      <c r="DX329" s="43"/>
      <c r="DY329" s="357"/>
      <c r="DZ329" s="357"/>
      <c r="EA329" s="357"/>
      <c r="EB329" s="357"/>
      <c r="EC329" s="357"/>
      <c r="ED329" s="357"/>
      <c r="EE329" s="357"/>
      <c r="EF329" s="357"/>
      <c r="EG329" s="357"/>
      <c r="EH329" s="357"/>
      <c r="EI329" s="357"/>
      <c r="EJ329" s="357"/>
      <c r="EK329" s="357"/>
      <c r="EL329" s="357"/>
      <c r="EM329" s="357"/>
      <c r="EN329" s="357"/>
      <c r="EO329" s="357"/>
      <c r="EP329" s="357"/>
      <c r="EQ329" s="357"/>
      <c r="ER329" s="357"/>
      <c r="ES329" s="357"/>
      <c r="ET329" s="357"/>
      <c r="EU329" s="357"/>
      <c r="EV329" s="357"/>
      <c r="EW329" s="357"/>
      <c r="EX329" s="357"/>
      <c r="EY329" s="357"/>
      <c r="EZ329" s="357"/>
      <c r="FA329" s="43"/>
      <c r="FB329" s="43"/>
      <c r="FC329" s="43"/>
      <c r="FD329" s="43"/>
      <c r="FE329" s="43"/>
      <c r="FF329" s="43"/>
      <c r="FG329" s="43"/>
      <c r="FH329" s="43"/>
      <c r="FI329" s="43"/>
      <c r="FJ329" s="96"/>
      <c r="FK329" s="96"/>
      <c r="FL329" s="300"/>
      <c r="FM329" s="96"/>
      <c r="FN329" s="338"/>
      <c r="FO329" s="338"/>
      <c r="FP329" s="93"/>
      <c r="FQ329" s="93"/>
      <c r="FR329" s="93"/>
      <c r="FS329" s="93"/>
      <c r="FT329" s="93"/>
      <c r="FU329" s="93"/>
      <c r="FV329" s="93"/>
      <c r="FW329" s="93"/>
      <c r="FX329" s="93"/>
      <c r="FY329" s="259"/>
      <c r="FZ329" s="259"/>
      <c r="GA329" s="259"/>
      <c r="GB329" s="259"/>
      <c r="GC329" s="49"/>
      <c r="GD329" s="49"/>
      <c r="GE329" s="49"/>
      <c r="GF329" s="49"/>
      <c r="GG329" s="49"/>
      <c r="GH329" s="49"/>
      <c r="GI329" s="49"/>
      <c r="GJ329" s="49"/>
      <c r="GK329" s="49"/>
      <c r="GL329" s="49"/>
      <c r="GM329" s="49"/>
      <c r="GN329" s="49"/>
      <c r="GO329" s="49"/>
      <c r="GP329" s="49"/>
      <c r="GQ329" s="49"/>
      <c r="GR329" s="49"/>
      <c r="GS329" s="49"/>
      <c r="GT329" s="49"/>
      <c r="GU329" s="49"/>
      <c r="GV329" s="49"/>
      <c r="GW329" s="66"/>
      <c r="GX329" s="66"/>
      <c r="GY329" s="66"/>
      <c r="GZ329" s="66"/>
      <c r="HA329" s="66"/>
      <c r="HB329" s="66"/>
      <c r="HC329" s="66"/>
      <c r="HD329" s="66"/>
      <c r="HE329" s="66"/>
      <c r="HF329" s="66"/>
      <c r="HG329" s="66"/>
      <c r="HH329" s="66"/>
      <c r="HI329" s="66"/>
      <c r="HJ329" s="66"/>
      <c r="HK329" s="66"/>
      <c r="HL329" s="66"/>
      <c r="HM329" s="66"/>
      <c r="HN329" s="66"/>
      <c r="HO329" s="66"/>
      <c r="HP329" s="66"/>
      <c r="HQ329" s="66"/>
      <c r="HR329" s="66"/>
      <c r="HS329" s="66"/>
      <c r="HT329" s="66"/>
      <c r="HU329" s="66"/>
      <c r="HV329" s="66"/>
      <c r="HW329" s="66"/>
      <c r="HX329" s="66"/>
      <c r="HY329" s="66"/>
      <c r="HZ329" s="66"/>
      <c r="IA329" s="66"/>
    </row>
    <row r="330" spans="1:236" customFormat="1" ht="16.5" customHeight="1">
      <c r="A330" s="1"/>
      <c r="B330" s="3"/>
      <c r="C330" s="3"/>
      <c r="D330" s="124"/>
      <c r="E330" s="346"/>
      <c r="F330" s="346"/>
      <c r="G330" s="346"/>
      <c r="H330" s="346"/>
      <c r="I330" s="346"/>
      <c r="J330" s="79"/>
      <c r="K330" s="79"/>
      <c r="L330" s="41"/>
      <c r="M330" s="42"/>
      <c r="N330" s="41"/>
      <c r="O330" s="41"/>
      <c r="P330" s="41"/>
      <c r="Q330" s="79"/>
      <c r="R330" s="41"/>
      <c r="S330" s="79"/>
      <c r="T330" s="180"/>
      <c r="U330" s="347"/>
      <c r="V330" s="347"/>
      <c r="W330" s="347"/>
      <c r="X330" s="347"/>
      <c r="Y330" s="347"/>
      <c r="Z330" s="347"/>
      <c r="AA330" s="347"/>
      <c r="AB330" s="347"/>
      <c r="AC330" s="347"/>
      <c r="AD330" s="347"/>
      <c r="AE330" s="347"/>
      <c r="AF330" s="347"/>
      <c r="AG330" s="347"/>
      <c r="AH330" s="347"/>
      <c r="AI330" s="347"/>
      <c r="AJ330" s="347"/>
      <c r="AK330" s="347"/>
      <c r="AL330" s="347"/>
      <c r="AM330" s="347"/>
      <c r="AN330" s="347"/>
      <c r="AO330" s="347"/>
      <c r="AP330" s="181"/>
      <c r="AQ330" s="181"/>
      <c r="AR330" s="181"/>
      <c r="AS330" s="181"/>
      <c r="AT330" s="181"/>
      <c r="AU330" s="181"/>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44"/>
      <c r="CZ330" s="344"/>
      <c r="DA330" s="344"/>
      <c r="DB330" s="153" t="str">
        <f ca="1">IF(FL1=0,"","Bij redelijk veel prijsconcurrentie is de afzet mogelijk:")</f>
        <v/>
      </c>
      <c r="DC330" s="344"/>
      <c r="DD330" s="344"/>
      <c r="DE330" s="343" t="str">
        <f ca="1">IF(FL1=0,"","+")</f>
        <v/>
      </c>
      <c r="DF330" s="537"/>
      <c r="DG330" s="537"/>
      <c r="DH330" s="537"/>
      <c r="DI330" s="537"/>
      <c r="DJ330" s="537"/>
      <c r="DK330" s="343" t="str">
        <f ca="1">IF(FL1=0,"","+")</f>
        <v/>
      </c>
      <c r="DL330" s="165" t="s">
        <v>131</v>
      </c>
      <c r="DM330" s="43"/>
      <c r="DN330" s="43"/>
      <c r="DO330" s="43"/>
      <c r="DP330" s="43"/>
      <c r="DQ330" s="43"/>
      <c r="DR330" s="43"/>
      <c r="DS330" s="43"/>
      <c r="DT330" s="43"/>
      <c r="DU330" s="43"/>
      <c r="DV330" s="43"/>
      <c r="DW330" s="43"/>
      <c r="DX330" s="43"/>
      <c r="DY330" s="357"/>
      <c r="DZ330" s="357"/>
      <c r="EA330" s="357"/>
      <c r="EB330" s="357"/>
      <c r="EC330" s="357"/>
      <c r="ED330" s="357"/>
      <c r="EE330" s="345" t="str">
        <f ca="1">IF(OR(CO461="",TODAY()&gt;=Blad1!AY3),"",IF(FL1=0,"",IF(OR(DF326="",DF330="",DF334=""),"Deze moet je nog (af-) maken.",IF(FL334=1,"Goed!","Fout!"))))</f>
        <v/>
      </c>
      <c r="EF330" s="357"/>
      <c r="EG330" s="357"/>
      <c r="EH330" s="357"/>
      <c r="EI330" s="357"/>
      <c r="EJ330" s="357"/>
      <c r="EK330" s="357"/>
      <c r="EL330" s="357"/>
      <c r="EM330" s="357"/>
      <c r="EN330" s="357"/>
      <c r="EO330" s="357"/>
      <c r="EP330" s="357"/>
      <c r="EQ330" s="357"/>
      <c r="ER330" s="357"/>
      <c r="ES330" s="357"/>
      <c r="ET330" s="357"/>
      <c r="EU330" s="357"/>
      <c r="EV330" s="357"/>
      <c r="EW330" s="357"/>
      <c r="EX330" s="357"/>
      <c r="EY330" s="357"/>
      <c r="EZ330" s="357"/>
      <c r="FA330" s="43"/>
      <c r="FB330" s="43"/>
      <c r="FC330" s="43"/>
      <c r="FD330" s="43"/>
      <c r="FE330" s="43"/>
      <c r="FF330" s="43"/>
      <c r="FG330" s="43"/>
      <c r="FH330" s="43"/>
      <c r="FI330" s="43"/>
      <c r="FJ330" s="96"/>
      <c r="FK330" s="96"/>
      <c r="FL330" s="300"/>
      <c r="FM330" s="93">
        <f ca="1">IF(programma!B1="X",1,IF(FL1=0,0,IF(DF330=FT240,1,0)))</f>
        <v>0</v>
      </c>
      <c r="FN330" s="338"/>
      <c r="FO330" s="93"/>
      <c r="FP330" s="93"/>
      <c r="FQ330" s="93"/>
      <c r="FR330" s="93"/>
      <c r="FS330" s="93"/>
      <c r="FT330" s="93"/>
      <c r="FU330" s="93"/>
      <c r="FV330" s="93"/>
      <c r="FW330" s="93"/>
      <c r="FX330" s="93"/>
      <c r="FY330" s="259"/>
      <c r="FZ330" s="259"/>
      <c r="GA330" s="259"/>
      <c r="GB330" s="259"/>
      <c r="GC330" s="49"/>
      <c r="GD330" s="49"/>
      <c r="GE330" s="49"/>
      <c r="GF330" s="49"/>
      <c r="GG330" s="49"/>
      <c r="GH330" s="49"/>
      <c r="GI330" s="49"/>
      <c r="GJ330" s="49"/>
      <c r="GK330" s="49"/>
      <c r="GL330" s="49"/>
      <c r="GM330" s="49"/>
      <c r="GN330" s="49"/>
      <c r="GO330" s="49"/>
      <c r="GP330" s="49"/>
      <c r="GQ330" s="49"/>
      <c r="GR330" s="49"/>
      <c r="GS330" s="49"/>
      <c r="GT330" s="49"/>
      <c r="GU330" s="49"/>
      <c r="GV330" s="49"/>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row>
    <row r="331" spans="1:236" customFormat="1" ht="3.75" customHeight="1">
      <c r="A331" s="1"/>
      <c r="B331" s="3"/>
      <c r="C331" s="3"/>
      <c r="D331" s="124"/>
      <c r="E331" s="346"/>
      <c r="F331" s="346"/>
      <c r="G331" s="346"/>
      <c r="H331" s="346"/>
      <c r="I331" s="346"/>
      <c r="J331" s="79"/>
      <c r="K331" s="79"/>
      <c r="L331" s="41"/>
      <c r="M331" s="42"/>
      <c r="N331" s="41"/>
      <c r="O331" s="41"/>
      <c r="P331" s="41"/>
      <c r="Q331" s="41"/>
      <c r="R331" s="41"/>
      <c r="S331" s="79"/>
      <c r="T331" s="344"/>
      <c r="U331" s="344"/>
      <c r="V331" s="344"/>
      <c r="W331" s="34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c r="AS331" s="344"/>
      <c r="AT331" s="344"/>
      <c r="AU331" s="344"/>
      <c r="AV331" s="344"/>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44"/>
      <c r="CZ331" s="344"/>
      <c r="DA331" s="344"/>
      <c r="DB331" s="344"/>
      <c r="DC331" s="344"/>
      <c r="DD331" s="344"/>
      <c r="DE331" s="536" t="str">
        <f ca="1">IF(FL1=0,"","+")</f>
        <v/>
      </c>
      <c r="DF331" s="536"/>
      <c r="DG331" s="536"/>
      <c r="DH331" s="536"/>
      <c r="DI331" s="536"/>
      <c r="DJ331" s="536"/>
      <c r="DK331" s="536"/>
      <c r="DL331" s="165"/>
      <c r="DM331" s="43"/>
      <c r="DN331" s="43"/>
      <c r="DO331" s="43"/>
      <c r="DP331" s="43"/>
      <c r="DQ331" s="43"/>
      <c r="DR331" s="43"/>
      <c r="DS331" s="43"/>
      <c r="DT331" s="43"/>
      <c r="DU331" s="43"/>
      <c r="DV331" s="43"/>
      <c r="DW331" s="43"/>
      <c r="DX331" s="43"/>
      <c r="DY331" s="357"/>
      <c r="DZ331" s="357"/>
      <c r="EA331" s="357"/>
      <c r="EB331" s="357"/>
      <c r="EC331" s="357"/>
      <c r="ED331" s="357"/>
      <c r="EE331" s="357"/>
      <c r="EF331" s="357"/>
      <c r="EG331" s="357"/>
      <c r="EH331" s="357"/>
      <c r="EI331" s="357"/>
      <c r="EJ331" s="357"/>
      <c r="EK331" s="357"/>
      <c r="EL331" s="357"/>
      <c r="EM331" s="357"/>
      <c r="EN331" s="357"/>
      <c r="EO331" s="357"/>
      <c r="EP331" s="357"/>
      <c r="EQ331" s="357"/>
      <c r="ER331" s="357"/>
      <c r="ES331" s="357"/>
      <c r="ET331" s="357"/>
      <c r="EU331" s="357"/>
      <c r="EV331" s="357"/>
      <c r="EW331" s="357"/>
      <c r="EX331" s="357"/>
      <c r="EY331" s="357"/>
      <c r="EZ331" s="357"/>
      <c r="FA331" s="43"/>
      <c r="FB331" s="43"/>
      <c r="FC331" s="43"/>
      <c r="FD331" s="43"/>
      <c r="FE331" s="43"/>
      <c r="FF331" s="43"/>
      <c r="FG331" s="43"/>
      <c r="FH331" s="43"/>
      <c r="FI331" s="43"/>
      <c r="FJ331" s="96"/>
      <c r="FK331" s="96"/>
      <c r="FL331" s="300"/>
      <c r="FM331" s="96"/>
      <c r="FN331" s="93"/>
      <c r="FO331" s="93"/>
      <c r="FP331" s="93"/>
      <c r="FQ331" s="93"/>
      <c r="FR331" s="93"/>
      <c r="FS331" s="93"/>
      <c r="FT331" s="93"/>
      <c r="FU331" s="93"/>
      <c r="FV331" s="93"/>
      <c r="FW331" s="93"/>
      <c r="FX331" s="93"/>
      <c r="FY331" s="259"/>
      <c r="FZ331" s="259"/>
      <c r="GA331" s="259"/>
      <c r="GB331" s="259"/>
      <c r="GC331" s="49"/>
      <c r="GD331" s="49"/>
      <c r="GE331" s="49"/>
      <c r="GF331" s="49"/>
      <c r="GG331" s="49"/>
      <c r="GH331" s="49"/>
      <c r="GI331" s="49"/>
      <c r="GJ331" s="49"/>
      <c r="GK331" s="49"/>
      <c r="GL331" s="49"/>
      <c r="GM331" s="49"/>
      <c r="GN331" s="49"/>
      <c r="GO331" s="49"/>
      <c r="GP331" s="49"/>
      <c r="GQ331" s="49"/>
      <c r="GR331" s="49"/>
      <c r="GS331" s="49"/>
      <c r="GT331" s="49"/>
      <c r="GU331" s="49"/>
      <c r="GV331" s="49"/>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row>
    <row r="332" spans="1:236" ht="7.2" customHeight="1">
      <c r="A332" s="60"/>
      <c r="B332" s="69"/>
      <c r="C332" s="69"/>
      <c r="D332" s="341"/>
      <c r="E332" s="341"/>
      <c r="F332" s="341"/>
      <c r="G332" s="341"/>
      <c r="H332" s="341"/>
      <c r="I332" s="341"/>
      <c r="J332" s="341"/>
      <c r="K332" s="89"/>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89"/>
      <c r="BB332" s="89"/>
      <c r="BC332" s="89"/>
      <c r="BD332" s="89"/>
      <c r="BE332" s="89"/>
      <c r="BF332" s="89"/>
      <c r="BG332" s="89"/>
      <c r="BH332" s="89"/>
      <c r="BI332" s="89"/>
      <c r="BJ332" s="89"/>
      <c r="BK332" s="89"/>
      <c r="BL332" s="89"/>
      <c r="BM332" s="89"/>
      <c r="BN332" s="89"/>
      <c r="BO332" s="89"/>
      <c r="BP332" s="89"/>
      <c r="BQ332" s="89"/>
      <c r="BR332" s="89"/>
      <c r="BS332" s="89"/>
      <c r="BT332" s="89"/>
      <c r="BU332" s="89"/>
      <c r="BV332" s="89"/>
      <c r="BW332" s="89"/>
      <c r="BX332" s="89"/>
      <c r="BY332" s="89"/>
      <c r="BZ332" s="89"/>
      <c r="CA332" s="89"/>
      <c r="CB332" s="89"/>
      <c r="CC332" s="89"/>
      <c r="CD332" s="89"/>
      <c r="CE332" s="89"/>
      <c r="CF332" s="89"/>
      <c r="CG332" s="89"/>
      <c r="CH332" s="89"/>
      <c r="CI332" s="89"/>
      <c r="CJ332" s="89"/>
      <c r="CK332" s="89"/>
      <c r="CL332" s="89"/>
      <c r="CM332" s="89"/>
      <c r="CN332" s="89"/>
      <c r="CO332" s="89"/>
      <c r="CP332" s="89"/>
      <c r="CQ332" s="89"/>
      <c r="CR332" s="89"/>
      <c r="CS332" s="89"/>
      <c r="CT332" s="89"/>
      <c r="CU332" s="89"/>
      <c r="CV332" s="89"/>
      <c r="CW332" s="89"/>
      <c r="CX332" s="89"/>
      <c r="CY332" s="89"/>
      <c r="CZ332" s="89"/>
      <c r="DA332" s="89"/>
      <c r="DB332" s="89"/>
      <c r="DC332" s="89"/>
      <c r="DD332" s="89"/>
      <c r="DE332" s="89"/>
      <c r="DF332" s="89"/>
      <c r="DG332" s="89"/>
      <c r="DH332" s="89"/>
      <c r="DI332" s="89"/>
      <c r="DJ332" s="89"/>
      <c r="DK332" s="89"/>
      <c r="DL332" s="304"/>
      <c r="DM332" s="89"/>
      <c r="DN332" s="89"/>
      <c r="DO332" s="89"/>
      <c r="DP332" s="89"/>
      <c r="DQ332" s="89"/>
      <c r="DR332" s="89"/>
      <c r="DS332" s="89"/>
      <c r="DT332" s="89"/>
      <c r="DU332" s="141"/>
      <c r="DV332" s="141"/>
      <c r="DW332" s="141"/>
      <c r="DX332" s="141"/>
      <c r="DY332" s="141"/>
      <c r="DZ332" s="141"/>
      <c r="EA332" s="141"/>
      <c r="EB332" s="89"/>
      <c r="EC332" s="89"/>
      <c r="ED332" s="89"/>
      <c r="EE332" s="89"/>
      <c r="EF332" s="89"/>
      <c r="EG332" s="89"/>
      <c r="EH332" s="89"/>
      <c r="EI332" s="89"/>
      <c r="EJ332" s="89"/>
      <c r="EK332" s="89"/>
      <c r="EL332" s="89"/>
      <c r="EM332" s="89"/>
      <c r="EN332" s="89"/>
      <c r="EO332" s="89"/>
      <c r="EP332" s="89"/>
      <c r="EQ332" s="89"/>
      <c r="ER332" s="89"/>
      <c r="ES332" s="89"/>
      <c r="ET332" s="89"/>
      <c r="EU332" s="89"/>
      <c r="EV332" s="89"/>
      <c r="EW332" s="89"/>
      <c r="EX332" s="89"/>
      <c r="EY332" s="89"/>
      <c r="EZ332" s="89"/>
      <c r="FA332" s="89"/>
      <c r="FB332" s="89"/>
      <c r="FC332" s="89"/>
      <c r="FD332" s="89"/>
      <c r="FE332" s="89"/>
      <c r="FF332" s="89"/>
      <c r="FG332" s="89"/>
      <c r="FH332" s="89"/>
      <c r="FI332" s="89"/>
      <c r="FJ332" s="300"/>
      <c r="FK332" s="300"/>
      <c r="FL332" s="300"/>
      <c r="FM332" s="300"/>
      <c r="FN332" s="300"/>
      <c r="FO332" s="300"/>
      <c r="FP332" s="300"/>
      <c r="FQ332" s="108"/>
      <c r="FR332" s="108"/>
      <c r="FS332" s="108"/>
      <c r="FT332" s="108"/>
      <c r="FU332" s="108"/>
      <c r="FV332" s="108"/>
      <c r="FW332" s="108"/>
      <c r="FX332" s="301"/>
      <c r="FY332" s="259"/>
      <c r="FZ332" s="259"/>
      <c r="GA332" s="259"/>
      <c r="GB332" s="259"/>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IB332" s="65"/>
    </row>
    <row r="333" spans="1:236" customFormat="1" ht="3.75" customHeight="1">
      <c r="A333" s="1"/>
      <c r="B333" s="3"/>
      <c r="C333" s="3"/>
      <c r="D333" s="124"/>
      <c r="E333" s="346"/>
      <c r="F333" s="346"/>
      <c r="G333" s="346"/>
      <c r="H333" s="346"/>
      <c r="I333" s="346"/>
      <c r="J333" s="79"/>
      <c r="K333" s="79"/>
      <c r="L333" s="41"/>
      <c r="M333" s="42"/>
      <c r="N333" s="41"/>
      <c r="O333" s="41"/>
      <c r="P333" s="41"/>
      <c r="Q333" s="41"/>
      <c r="R333" s="41"/>
      <c r="S333" s="79"/>
      <c r="T333" s="344"/>
      <c r="U333" s="344"/>
      <c r="V333" s="344"/>
      <c r="W333" s="34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c r="AS333" s="344"/>
      <c r="AT333" s="344"/>
      <c r="AU333" s="344"/>
      <c r="AV333" s="344"/>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44"/>
      <c r="CZ333" s="344"/>
      <c r="DA333" s="344"/>
      <c r="DB333" s="344"/>
      <c r="DC333" s="344"/>
      <c r="DD333" s="344"/>
      <c r="DE333" s="536" t="str">
        <f ca="1">IF(FL1=0,"","+")</f>
        <v/>
      </c>
      <c r="DF333" s="536"/>
      <c r="DG333" s="536"/>
      <c r="DH333" s="536"/>
      <c r="DI333" s="536"/>
      <c r="DJ333" s="536"/>
      <c r="DK333" s="536"/>
      <c r="DL333" s="165"/>
      <c r="DM333" s="43"/>
      <c r="DN333" s="43"/>
      <c r="DO333" s="43"/>
      <c r="DP333" s="43"/>
      <c r="DQ333" s="43"/>
      <c r="DR333" s="43"/>
      <c r="DS333" s="43"/>
      <c r="DT333" s="43"/>
      <c r="DU333" s="43"/>
      <c r="DV333" s="43"/>
      <c r="DW333" s="43"/>
      <c r="DX333" s="43"/>
      <c r="DY333" s="357"/>
      <c r="DZ333" s="357"/>
      <c r="EA333" s="357"/>
      <c r="EB333" s="357"/>
      <c r="EC333" s="357"/>
      <c r="ED333" s="357"/>
      <c r="EE333" s="357"/>
      <c r="EF333" s="357"/>
      <c r="EG333" s="357"/>
      <c r="EH333" s="357"/>
      <c r="EI333" s="357"/>
      <c r="EJ333" s="357"/>
      <c r="EK333" s="357"/>
      <c r="EL333" s="357"/>
      <c r="EM333" s="357"/>
      <c r="EN333" s="357"/>
      <c r="EO333" s="357"/>
      <c r="EP333" s="357"/>
      <c r="EQ333" s="357"/>
      <c r="ER333" s="357"/>
      <c r="ES333" s="357"/>
      <c r="ET333" s="357"/>
      <c r="EU333" s="357"/>
      <c r="EV333" s="357"/>
      <c r="EW333" s="357"/>
      <c r="EX333" s="357"/>
      <c r="EY333" s="357"/>
      <c r="EZ333" s="357"/>
      <c r="FA333" s="43"/>
      <c r="FB333" s="43"/>
      <c r="FC333" s="43"/>
      <c r="FD333" s="43"/>
      <c r="FE333" s="43"/>
      <c r="FF333" s="43"/>
      <c r="FG333" s="43"/>
      <c r="FH333" s="43"/>
      <c r="FI333" s="43"/>
      <c r="FJ333" s="96"/>
      <c r="FK333" s="96"/>
      <c r="FL333" s="300"/>
      <c r="FM333" s="96"/>
      <c r="FN333" s="338"/>
      <c r="FO333" s="338"/>
      <c r="FP333" s="93"/>
      <c r="FQ333" s="93"/>
      <c r="FR333" s="93"/>
      <c r="FS333" s="93"/>
      <c r="FT333" s="93"/>
      <c r="FU333" s="93"/>
      <c r="FV333" s="93"/>
      <c r="FW333" s="93"/>
      <c r="FX333" s="93"/>
      <c r="FY333" s="259"/>
      <c r="FZ333" s="259"/>
      <c r="GA333" s="259"/>
      <c r="GB333" s="259"/>
      <c r="GC333" s="49"/>
      <c r="GD333" s="49"/>
      <c r="GE333" s="49"/>
      <c r="GF333" s="49"/>
      <c r="GG333" s="49"/>
      <c r="GH333" s="49"/>
      <c r="GI333" s="49"/>
      <c r="GJ333" s="49"/>
      <c r="GK333" s="49"/>
      <c r="GL333" s="49"/>
      <c r="GM333" s="49"/>
      <c r="GN333" s="49"/>
      <c r="GO333" s="49"/>
      <c r="GP333" s="49"/>
      <c r="GQ333" s="49"/>
      <c r="GR333" s="49"/>
      <c r="GS333" s="49"/>
      <c r="GT333" s="49"/>
      <c r="GU333" s="49"/>
      <c r="GV333" s="49"/>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row>
    <row r="334" spans="1:236" customFormat="1" ht="16.5" customHeight="1">
      <c r="A334" s="1"/>
      <c r="B334" s="3"/>
      <c r="C334" s="3"/>
      <c r="D334" s="124"/>
      <c r="E334" s="346"/>
      <c r="F334" s="346"/>
      <c r="G334" s="346"/>
      <c r="H334" s="346"/>
      <c r="I334" s="346"/>
      <c r="J334" s="79"/>
      <c r="K334" s="79"/>
      <c r="L334" s="41"/>
      <c r="M334" s="42"/>
      <c r="N334" s="41"/>
      <c r="O334" s="41"/>
      <c r="P334" s="41"/>
      <c r="Q334" s="79"/>
      <c r="R334" s="41"/>
      <c r="S334" s="79"/>
      <c r="T334" s="180"/>
      <c r="U334" s="347"/>
      <c r="V334" s="347"/>
      <c r="W334" s="347"/>
      <c r="X334" s="347"/>
      <c r="Y334" s="347"/>
      <c r="Z334" s="347"/>
      <c r="AA334" s="347"/>
      <c r="AB334" s="347"/>
      <c r="AC334" s="347"/>
      <c r="AD334" s="347"/>
      <c r="AE334" s="347"/>
      <c r="AF334" s="347"/>
      <c r="AG334" s="347"/>
      <c r="AH334" s="347"/>
      <c r="AI334" s="347"/>
      <c r="AJ334" s="347"/>
      <c r="AK334" s="347"/>
      <c r="AL334" s="347"/>
      <c r="AM334" s="347"/>
      <c r="AN334" s="347"/>
      <c r="AO334" s="347"/>
      <c r="AP334" s="181"/>
      <c r="AQ334" s="181"/>
      <c r="AR334" s="181"/>
      <c r="AS334" s="181"/>
      <c r="AT334" s="181"/>
      <c r="AU334" s="181"/>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44"/>
      <c r="CZ334" s="344"/>
      <c r="DA334" s="344"/>
      <c r="DB334" s="153" t="str">
        <f ca="1">IF(FL1=0,"","Bij een prijskartel met als streven maximale winst is de afzet:")</f>
        <v/>
      </c>
      <c r="DC334" s="344"/>
      <c r="DD334" s="344"/>
      <c r="DE334" s="343" t="str">
        <f ca="1">IF(FL1=0,"","+")</f>
        <v/>
      </c>
      <c r="DF334" s="537"/>
      <c r="DG334" s="537"/>
      <c r="DH334" s="537"/>
      <c r="DI334" s="537"/>
      <c r="DJ334" s="537"/>
      <c r="DK334" s="343" t="str">
        <f ca="1">IF(FL1=0,"","+")</f>
        <v/>
      </c>
      <c r="DL334" s="165" t="s">
        <v>131</v>
      </c>
      <c r="DM334" s="43"/>
      <c r="DN334" s="43"/>
      <c r="DO334" s="43"/>
      <c r="DP334" s="43"/>
      <c r="DQ334" s="43"/>
      <c r="DR334" s="43"/>
      <c r="DS334" s="43"/>
      <c r="DT334" s="43"/>
      <c r="DU334" s="43"/>
      <c r="DV334" s="43"/>
      <c r="DW334" s="43"/>
      <c r="DX334" s="43"/>
      <c r="DY334" s="357"/>
      <c r="DZ334" s="357"/>
      <c r="EA334" s="357"/>
      <c r="EB334" s="357"/>
      <c r="EC334" s="357"/>
      <c r="ED334" s="357"/>
      <c r="EE334" s="345" t="str">
        <f ca="1">IF(OR(CO528="",TODAY()&gt;=Blad1!AY3),"",IF(FL1=0,"",IF(DF334="","Deze moet je nog (af-) maken.",IF(FM334=1,"Goed!","Fout!"))))</f>
        <v/>
      </c>
      <c r="EF334" s="357"/>
      <c r="EG334" s="357"/>
      <c r="EH334" s="357"/>
      <c r="EI334" s="357"/>
      <c r="EJ334" s="357"/>
      <c r="EK334" s="357"/>
      <c r="EL334" s="357"/>
      <c r="EM334" s="357"/>
      <c r="EN334" s="357"/>
      <c r="EO334" s="357"/>
      <c r="EP334" s="357"/>
      <c r="EQ334" s="357"/>
      <c r="ER334" s="357"/>
      <c r="ES334" s="357"/>
      <c r="ET334" s="357"/>
      <c r="EU334" s="357"/>
      <c r="EV334" s="357"/>
      <c r="EW334" s="357"/>
      <c r="EX334" s="357"/>
      <c r="EY334" s="357"/>
      <c r="EZ334" s="357"/>
      <c r="FA334" s="43"/>
      <c r="FB334" s="43"/>
      <c r="FC334" s="43"/>
      <c r="FD334" s="43"/>
      <c r="FE334" s="43"/>
      <c r="FF334" s="43"/>
      <c r="FG334" s="43"/>
      <c r="FH334" s="43"/>
      <c r="FI334" s="43"/>
      <c r="FJ334" s="96">
        <f ca="1">IF(FM326+FM330+FM334=3,1,IF(FM326+FM330+FM334=2,1/2,0))</f>
        <v>0</v>
      </c>
      <c r="FK334" s="96"/>
      <c r="FL334" s="93">
        <f ca="1">IF(programma!B1="X",1,IF(FL1=0,0,IF(FM326+FM330+FM334=3,1,0)))</f>
        <v>0</v>
      </c>
      <c r="FM334" s="93">
        <f ca="1">IF(programma!B1="X",1,IF(FL1=0,0,IF(DF334=FR240,1,0)))</f>
        <v>0</v>
      </c>
      <c r="FN334" s="338"/>
      <c r="FO334" s="93"/>
      <c r="FP334" s="93"/>
      <c r="FQ334" s="93"/>
      <c r="FR334" s="93"/>
      <c r="FS334" s="93"/>
      <c r="FT334" s="93"/>
      <c r="FU334" s="93"/>
      <c r="FV334" s="93"/>
      <c r="FW334" s="93"/>
      <c r="FX334" s="93"/>
      <c r="FY334" s="259"/>
      <c r="FZ334" s="259"/>
      <c r="GA334" s="259"/>
      <c r="GB334" s="259"/>
      <c r="GC334" s="49"/>
      <c r="GD334" s="49"/>
      <c r="GE334" s="49"/>
      <c r="GF334" s="49"/>
      <c r="GG334" s="49"/>
      <c r="GH334" s="49"/>
      <c r="GI334" s="49"/>
      <c r="GJ334" s="49"/>
      <c r="GK334" s="49"/>
      <c r="GL334" s="49"/>
      <c r="GM334" s="49"/>
      <c r="GN334" s="49"/>
      <c r="GO334" s="49"/>
      <c r="GP334" s="49"/>
      <c r="GQ334" s="49"/>
      <c r="GR334" s="49"/>
      <c r="GS334" s="49"/>
      <c r="GT334" s="49"/>
      <c r="GU334" s="49"/>
      <c r="GV334" s="49"/>
      <c r="GW334" s="66"/>
      <c r="GX334" s="66"/>
      <c r="GY334" s="66"/>
      <c r="GZ334" s="66"/>
      <c r="HA334" s="66"/>
      <c r="HB334" s="66"/>
      <c r="HC334" s="66"/>
      <c r="HD334" s="66"/>
      <c r="HE334" s="66"/>
      <c r="HF334" s="66"/>
      <c r="HG334" s="66"/>
      <c r="HH334" s="66"/>
      <c r="HI334" s="66"/>
      <c r="HJ334" s="66"/>
      <c r="HK334" s="66"/>
      <c r="HL334" s="66"/>
      <c r="HM334" s="66"/>
      <c r="HN334" s="66"/>
      <c r="HO334" s="66"/>
      <c r="HP334" s="66"/>
      <c r="HQ334" s="66"/>
      <c r="HR334" s="66"/>
      <c r="HS334" s="66"/>
      <c r="HT334" s="66"/>
      <c r="HU334" s="66"/>
      <c r="HV334" s="66"/>
      <c r="HW334" s="66"/>
      <c r="HX334" s="66"/>
      <c r="HY334" s="66"/>
      <c r="HZ334" s="66"/>
      <c r="IA334" s="66"/>
    </row>
    <row r="335" spans="1:236" customFormat="1" ht="3.75" customHeight="1">
      <c r="A335" s="1"/>
      <c r="B335" s="3"/>
      <c r="C335" s="3"/>
      <c r="D335" s="124"/>
      <c r="E335" s="346"/>
      <c r="F335" s="346"/>
      <c r="G335" s="346"/>
      <c r="H335" s="346"/>
      <c r="I335" s="346"/>
      <c r="J335" s="79"/>
      <c r="K335" s="79"/>
      <c r="L335" s="41"/>
      <c r="M335" s="42"/>
      <c r="N335" s="41"/>
      <c r="O335" s="41"/>
      <c r="P335" s="41"/>
      <c r="Q335" s="41"/>
      <c r="R335" s="41"/>
      <c r="S335" s="79"/>
      <c r="T335" s="344"/>
      <c r="U335" s="344"/>
      <c r="V335" s="344"/>
      <c r="W335" s="34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c r="AS335" s="344"/>
      <c r="AT335" s="344"/>
      <c r="AU335" s="344"/>
      <c r="AV335" s="344"/>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44"/>
      <c r="CZ335" s="344"/>
      <c r="DA335" s="344"/>
      <c r="DB335" s="344"/>
      <c r="DC335" s="344"/>
      <c r="DD335" s="344"/>
      <c r="DE335" s="536" t="str">
        <f ca="1">IF(FL1=0,"","+")</f>
        <v/>
      </c>
      <c r="DF335" s="536"/>
      <c r="DG335" s="536"/>
      <c r="DH335" s="536"/>
      <c r="DI335" s="536"/>
      <c r="DJ335" s="536"/>
      <c r="DK335" s="536"/>
      <c r="DL335" s="165"/>
      <c r="DM335" s="43"/>
      <c r="DN335" s="43"/>
      <c r="DO335" s="43"/>
      <c r="DP335" s="43"/>
      <c r="DQ335" s="43"/>
      <c r="DR335" s="43"/>
      <c r="DS335" s="43"/>
      <c r="DT335" s="43"/>
      <c r="DU335" s="43"/>
      <c r="DV335" s="43"/>
      <c r="DW335" s="43"/>
      <c r="DX335" s="43"/>
      <c r="DY335" s="357"/>
      <c r="DZ335" s="357"/>
      <c r="EA335" s="357"/>
      <c r="EB335" s="357"/>
      <c r="EC335" s="357"/>
      <c r="ED335" s="357"/>
      <c r="EE335" s="357"/>
      <c r="EF335" s="357"/>
      <c r="EG335" s="357"/>
      <c r="EH335" s="357"/>
      <c r="EI335" s="357"/>
      <c r="EJ335" s="357"/>
      <c r="EK335" s="357"/>
      <c r="EL335" s="357"/>
      <c r="EM335" s="357"/>
      <c r="EN335" s="357"/>
      <c r="EO335" s="357"/>
      <c r="EP335" s="357"/>
      <c r="EQ335" s="357"/>
      <c r="ER335" s="357"/>
      <c r="ES335" s="357"/>
      <c r="ET335" s="357"/>
      <c r="EU335" s="357"/>
      <c r="EV335" s="357"/>
      <c r="EW335" s="357"/>
      <c r="EX335" s="357"/>
      <c r="EY335" s="357"/>
      <c r="EZ335" s="357"/>
      <c r="FA335" s="43"/>
      <c r="FB335" s="43"/>
      <c r="FC335" s="43"/>
      <c r="FD335" s="43"/>
      <c r="FE335" s="43"/>
      <c r="FF335" s="43"/>
      <c r="FG335" s="43"/>
      <c r="FH335" s="43"/>
      <c r="FI335" s="43"/>
      <c r="FJ335" s="96"/>
      <c r="FK335" s="96"/>
      <c r="FL335" s="96"/>
      <c r="FM335" s="338"/>
      <c r="FN335" s="93"/>
      <c r="FO335" s="93"/>
      <c r="FP335" s="93"/>
      <c r="FQ335" s="93"/>
      <c r="FR335" s="93"/>
      <c r="FS335" s="93"/>
      <c r="FT335" s="93"/>
      <c r="FU335" s="93"/>
      <c r="FV335" s="93"/>
      <c r="FW335" s="93"/>
      <c r="FX335" s="93"/>
      <c r="FY335" s="259"/>
      <c r="FZ335" s="259"/>
      <c r="GA335" s="259"/>
      <c r="GB335" s="259"/>
      <c r="GC335" s="49"/>
      <c r="GD335" s="49"/>
      <c r="GE335" s="49"/>
      <c r="GF335" s="49"/>
      <c r="GG335" s="49"/>
      <c r="GH335" s="49"/>
      <c r="GI335" s="49"/>
      <c r="GJ335" s="49"/>
      <c r="GK335" s="49"/>
      <c r="GL335" s="49"/>
      <c r="GM335" s="49"/>
      <c r="GN335" s="49"/>
      <c r="GO335" s="49"/>
      <c r="GP335" s="49"/>
      <c r="GQ335" s="49"/>
      <c r="GR335" s="49"/>
      <c r="GS335" s="49"/>
      <c r="GT335" s="49"/>
      <c r="GU335" s="49"/>
      <c r="GV335" s="49"/>
      <c r="GW335" s="66"/>
      <c r="GX335" s="66"/>
      <c r="GY335" s="66"/>
      <c r="GZ335" s="66"/>
      <c r="HA335" s="66"/>
      <c r="HB335" s="66"/>
      <c r="HC335" s="66"/>
      <c r="HD335" s="66"/>
      <c r="HE335" s="66"/>
      <c r="HF335" s="66"/>
      <c r="HG335" s="66"/>
      <c r="HH335" s="66"/>
      <c r="HI335" s="66"/>
      <c r="HJ335" s="66"/>
      <c r="HK335" s="66"/>
      <c r="HL335" s="66"/>
      <c r="HM335" s="66"/>
      <c r="HN335" s="66"/>
      <c r="HO335" s="66"/>
      <c r="HP335" s="66"/>
      <c r="HQ335" s="66"/>
      <c r="HR335" s="66"/>
      <c r="HS335" s="66"/>
      <c r="HT335" s="66"/>
      <c r="HU335" s="66"/>
      <c r="HV335" s="66"/>
      <c r="HW335" s="66"/>
      <c r="HX335" s="66"/>
      <c r="HY335" s="66"/>
      <c r="HZ335" s="66"/>
      <c r="IA335" s="66"/>
    </row>
    <row r="336" spans="1:236" s="268" customFormat="1" ht="20.399999999999999" customHeight="1">
      <c r="A336" s="60"/>
      <c r="B336" s="69"/>
      <c r="C336" s="69"/>
      <c r="D336" s="331"/>
      <c r="E336" s="141"/>
      <c r="F336" s="141"/>
      <c r="G336" s="141"/>
      <c r="H336" s="141"/>
      <c r="I336" s="141"/>
      <c r="J336" s="141"/>
      <c r="K336" s="141"/>
      <c r="L336" s="141"/>
      <c r="M336" s="141"/>
      <c r="N336" s="141"/>
      <c r="O336" s="141"/>
      <c r="P336" s="141"/>
      <c r="Q336" s="141"/>
      <c r="R336" s="332"/>
      <c r="S336" s="332"/>
      <c r="T336" s="332"/>
      <c r="U336" s="332"/>
      <c r="V336" s="332"/>
      <c r="W336" s="332"/>
      <c r="X336" s="332"/>
      <c r="Y336" s="332"/>
      <c r="Z336" s="332"/>
      <c r="AA336" s="332"/>
      <c r="AB336" s="332"/>
      <c r="AC336" s="332"/>
      <c r="AD336" s="332"/>
      <c r="AE336" s="332"/>
      <c r="AF336" s="332"/>
      <c r="AG336" s="332"/>
      <c r="AH336" s="332"/>
      <c r="AI336" s="332"/>
      <c r="AJ336" s="332"/>
      <c r="AK336" s="332"/>
      <c r="AL336" s="332"/>
      <c r="AM336" s="332"/>
      <c r="AN336" s="332"/>
      <c r="AO336" s="332"/>
      <c r="AP336" s="332"/>
      <c r="AQ336" s="332"/>
      <c r="AR336" s="332"/>
      <c r="AS336" s="332"/>
      <c r="AT336" s="332"/>
      <c r="AU336" s="332"/>
      <c r="AV336" s="332"/>
      <c r="AW336" s="332"/>
      <c r="AX336" s="332"/>
      <c r="AY336" s="332"/>
      <c r="AZ336" s="332"/>
      <c r="BA336" s="332"/>
      <c r="BB336" s="332"/>
      <c r="BC336" s="331"/>
      <c r="BD336" s="331"/>
      <c r="BE336" s="331"/>
      <c r="BF336" s="331"/>
      <c r="BG336" s="331"/>
      <c r="BH336" s="331"/>
      <c r="BI336" s="331"/>
      <c r="BJ336" s="331"/>
      <c r="BK336" s="331"/>
      <c r="BL336" s="331"/>
      <c r="BM336" s="331"/>
      <c r="BN336" s="331"/>
      <c r="BO336" s="331"/>
      <c r="BP336" s="331"/>
      <c r="BQ336" s="331"/>
      <c r="BR336" s="331"/>
      <c r="BS336" s="331"/>
      <c r="BT336" s="331"/>
      <c r="BU336" s="331"/>
      <c r="BV336" s="332"/>
      <c r="BW336" s="332"/>
      <c r="BX336" s="332"/>
      <c r="BY336" s="332"/>
      <c r="BZ336" s="332"/>
      <c r="CA336" s="332"/>
      <c r="CB336" s="332"/>
      <c r="CC336" s="332"/>
      <c r="CD336" s="141"/>
      <c r="CE336" s="141"/>
      <c r="CF336" s="141"/>
      <c r="CG336" s="141"/>
      <c r="CH336" s="141"/>
      <c r="CI336" s="141"/>
      <c r="CJ336" s="141"/>
      <c r="CK336" s="141"/>
      <c r="CL336" s="141"/>
      <c r="CM336" s="141"/>
      <c r="CN336" s="141"/>
      <c r="CO336" s="141"/>
      <c r="CP336" s="141"/>
      <c r="CQ336" s="141"/>
      <c r="CR336" s="141"/>
      <c r="CS336" s="141"/>
      <c r="CT336" s="141"/>
      <c r="CU336" s="141"/>
      <c r="CV336" s="141"/>
      <c r="CW336" s="141"/>
      <c r="CX336" s="141"/>
      <c r="CY336" s="141"/>
      <c r="CZ336" s="141"/>
      <c r="DA336" s="141"/>
      <c r="DB336" s="141"/>
      <c r="DC336" s="141"/>
      <c r="DD336" s="141"/>
      <c r="DE336" s="141"/>
      <c r="DF336" s="141"/>
      <c r="DG336" s="141"/>
      <c r="DH336" s="141"/>
      <c r="DI336" s="141"/>
      <c r="DJ336" s="141"/>
      <c r="DK336" s="141"/>
      <c r="DL336" s="141"/>
      <c r="DM336" s="141"/>
      <c r="DN336" s="141"/>
      <c r="DO336" s="141"/>
      <c r="DP336" s="141"/>
      <c r="DQ336" s="141"/>
      <c r="DR336" s="141"/>
      <c r="DS336" s="141"/>
      <c r="DT336" s="141"/>
      <c r="DU336" s="141"/>
      <c r="DV336" s="141"/>
      <c r="DW336" s="141"/>
      <c r="DX336" s="141"/>
      <c r="DY336" s="141"/>
      <c r="DZ336" s="141"/>
      <c r="EA336" s="141"/>
      <c r="EB336" s="141"/>
      <c r="EC336" s="141"/>
      <c r="ED336" s="141"/>
      <c r="EE336" s="141"/>
      <c r="EF336" s="141"/>
      <c r="EG336" s="141"/>
      <c r="EH336" s="141"/>
      <c r="EI336" s="141"/>
      <c r="EJ336" s="141"/>
      <c r="EK336" s="141"/>
      <c r="EL336" s="141"/>
      <c r="EM336" s="141"/>
      <c r="EN336" s="141"/>
      <c r="EO336" s="141"/>
      <c r="EP336" s="141"/>
      <c r="EQ336" s="141"/>
      <c r="ER336" s="141"/>
      <c r="ES336" s="141"/>
      <c r="ET336" s="141"/>
      <c r="EU336" s="141"/>
      <c r="EV336" s="141"/>
      <c r="EW336" s="141"/>
      <c r="EX336" s="141"/>
      <c r="EY336" s="141"/>
      <c r="EZ336" s="141"/>
      <c r="FA336" s="141"/>
      <c r="FB336" s="141"/>
      <c r="FC336" s="141"/>
      <c r="FD336" s="141"/>
      <c r="FE336" s="141"/>
      <c r="FF336" s="141"/>
      <c r="FG336" s="141"/>
      <c r="FH336" s="141"/>
      <c r="FI336" s="141"/>
      <c r="FJ336" s="96"/>
      <c r="FK336" s="96"/>
      <c r="FL336" s="86"/>
      <c r="FM336" s="86"/>
      <c r="FN336" s="86"/>
      <c r="FO336" s="86"/>
      <c r="FP336" s="86"/>
      <c r="FQ336" s="86"/>
      <c r="FR336" s="86"/>
      <c r="FS336" s="86"/>
      <c r="FT336" s="86"/>
      <c r="FU336" s="86"/>
      <c r="FV336" s="86"/>
      <c r="FW336" s="86"/>
      <c r="FX336" s="86"/>
      <c r="FY336" s="259"/>
      <c r="FZ336" s="259"/>
      <c r="GA336" s="259"/>
      <c r="GB336" s="259"/>
      <c r="GC336" s="259"/>
      <c r="GD336" s="259"/>
      <c r="GE336" s="259"/>
      <c r="GF336" s="259"/>
      <c r="GG336" s="259"/>
      <c r="GH336" s="259"/>
      <c r="GI336" s="259"/>
      <c r="GJ336" s="259"/>
      <c r="GK336" s="86"/>
      <c r="GL336" s="86"/>
      <c r="GM336" s="86"/>
      <c r="GN336" s="86"/>
      <c r="GO336" s="86"/>
      <c r="GP336" s="377"/>
      <c r="GQ336" s="377"/>
      <c r="GR336" s="377"/>
      <c r="GS336" s="377"/>
      <c r="GT336" s="377"/>
      <c r="GU336" s="377"/>
      <c r="GV336" s="377"/>
      <c r="GW336" s="66"/>
      <c r="GX336" s="66"/>
      <c r="GY336" s="66"/>
      <c r="GZ336" s="66"/>
      <c r="HA336" s="66"/>
      <c r="HB336" s="66"/>
      <c r="HC336" s="66"/>
      <c r="HD336" s="66"/>
      <c r="HE336" s="66"/>
      <c r="HF336" s="66"/>
      <c r="HG336" s="66"/>
      <c r="HH336" s="66"/>
      <c r="HI336" s="66"/>
      <c r="HJ336" s="66"/>
      <c r="HK336" s="66"/>
      <c r="HL336" s="66"/>
      <c r="HM336" s="66"/>
      <c r="HN336" s="66"/>
      <c r="HO336" s="66"/>
      <c r="HP336" s="66"/>
      <c r="HQ336" s="66"/>
      <c r="HR336" s="66"/>
      <c r="HS336" s="66"/>
      <c r="HT336" s="66"/>
      <c r="HU336" s="66"/>
      <c r="HV336" s="66"/>
      <c r="HW336" s="66"/>
      <c r="HX336" s="66"/>
      <c r="HY336" s="66"/>
      <c r="HZ336" s="66"/>
      <c r="IA336" s="66"/>
    </row>
    <row r="337" spans="1:235" s="268" customFormat="1" ht="16.95" customHeight="1">
      <c r="A337" s="60"/>
      <c r="B337" s="272" t="str">
        <f ca="1">IF(FL1=0,"",17)</f>
        <v/>
      </c>
      <c r="C337" s="69"/>
      <c r="D337" s="418" t="str">
        <f ca="1">IF(FL1=0,"","Hieronder is het consumenten in blauw en het producentensurplus in grijs")</f>
        <v/>
      </c>
      <c r="E337" s="141"/>
      <c r="F337" s="141"/>
      <c r="G337" s="141"/>
      <c r="H337" s="141"/>
      <c r="I337" s="141"/>
      <c r="J337" s="141"/>
      <c r="K337" s="141"/>
      <c r="L337" s="141"/>
      <c r="M337" s="141"/>
      <c r="N337" s="141"/>
      <c r="O337" s="141"/>
      <c r="P337" s="141"/>
      <c r="Q337" s="141"/>
      <c r="R337" s="410"/>
      <c r="S337" s="410"/>
      <c r="T337" s="410"/>
      <c r="U337" s="410"/>
      <c r="V337" s="410"/>
      <c r="W337" s="410"/>
      <c r="X337" s="410"/>
      <c r="Y337" s="410"/>
      <c r="Z337" s="410"/>
      <c r="AA337" s="410"/>
      <c r="AB337" s="410"/>
      <c r="AC337" s="410"/>
      <c r="AD337" s="410"/>
      <c r="AE337" s="410"/>
      <c r="AF337" s="410"/>
      <c r="AG337" s="410"/>
      <c r="AH337" s="410"/>
      <c r="AI337" s="410"/>
      <c r="AJ337" s="410"/>
      <c r="AK337" s="410"/>
      <c r="AL337" s="410"/>
      <c r="AM337" s="410"/>
      <c r="AN337" s="410"/>
      <c r="AO337" s="410"/>
      <c r="AP337" s="410"/>
      <c r="AQ337" s="410"/>
      <c r="AR337" s="410"/>
      <c r="AS337" s="410"/>
      <c r="AT337" s="410"/>
      <c r="AU337" s="410"/>
      <c r="AV337" s="410"/>
      <c r="AW337" s="410"/>
      <c r="AX337" s="410"/>
      <c r="AY337" s="410"/>
      <c r="AZ337" s="410"/>
      <c r="BA337" s="410"/>
      <c r="BB337" s="410"/>
      <c r="BC337" s="409"/>
      <c r="BD337" s="409"/>
      <c r="BE337" s="409"/>
      <c r="BF337" s="409"/>
      <c r="BG337" s="409"/>
      <c r="BH337" s="409"/>
      <c r="BI337" s="409"/>
      <c r="BJ337" s="409"/>
      <c r="BK337" s="409"/>
      <c r="BL337" s="409"/>
      <c r="BM337" s="409"/>
      <c r="BN337" s="409"/>
      <c r="BO337" s="409"/>
      <c r="BP337" s="409"/>
      <c r="BQ337" s="409"/>
      <c r="BR337" s="409"/>
      <c r="BS337" s="409"/>
      <c r="BT337" s="409"/>
      <c r="BU337" s="409"/>
      <c r="BV337" s="410"/>
      <c r="BW337" s="410"/>
      <c r="BX337" s="410"/>
      <c r="BY337" s="410"/>
      <c r="BZ337" s="410"/>
      <c r="CA337" s="410"/>
      <c r="CB337" s="410"/>
      <c r="CC337" s="410"/>
      <c r="CD337" s="141"/>
      <c r="CE337" s="141"/>
      <c r="CF337" s="141"/>
      <c r="CG337" s="141"/>
      <c r="CH337" s="141"/>
      <c r="CI337" s="141"/>
      <c r="CJ337" s="141"/>
      <c r="CK337" s="141"/>
      <c r="CL337" s="141"/>
      <c r="CM337" s="141"/>
      <c r="CN337" s="141"/>
      <c r="CO337" s="141"/>
      <c r="CP337" s="141"/>
      <c r="CQ337" s="141"/>
      <c r="CR337" s="141"/>
      <c r="CS337" s="141"/>
      <c r="CT337" s="141"/>
      <c r="CU337" s="141"/>
      <c r="CV337" s="141"/>
      <c r="CW337" s="141"/>
      <c r="CX337" s="141"/>
      <c r="CY337" s="141"/>
      <c r="CZ337" s="141"/>
      <c r="DA337" s="141"/>
      <c r="DB337" s="141"/>
      <c r="DC337" s="141"/>
      <c r="DD337" s="141"/>
      <c r="DE337" s="141"/>
      <c r="DF337" s="141"/>
      <c r="DG337" s="141"/>
      <c r="DH337" s="141"/>
      <c r="DI337" s="141"/>
      <c r="DJ337" s="141"/>
      <c r="DK337" s="141"/>
      <c r="DL337" s="141"/>
      <c r="DM337" s="141"/>
      <c r="DN337" s="141"/>
      <c r="DO337" s="141"/>
      <c r="DP337" s="141"/>
      <c r="DQ337" s="141"/>
      <c r="DR337" s="141"/>
      <c r="DS337" s="141"/>
      <c r="DT337" s="141"/>
      <c r="DU337" s="141"/>
      <c r="DV337" s="141"/>
      <c r="DW337" s="141"/>
      <c r="DX337" s="141"/>
      <c r="DY337" s="141"/>
      <c r="DZ337" s="141"/>
      <c r="EA337" s="141"/>
      <c r="EB337" s="141"/>
      <c r="EC337" s="141"/>
      <c r="ED337" s="141"/>
      <c r="EE337" s="141"/>
      <c r="EF337" s="141"/>
      <c r="EG337" s="141"/>
      <c r="EH337" s="141"/>
      <c r="EI337" s="141"/>
      <c r="EJ337" s="141"/>
      <c r="EK337" s="141"/>
      <c r="EL337" s="141"/>
      <c r="EM337" s="141"/>
      <c r="EN337" s="141"/>
      <c r="EO337" s="141"/>
      <c r="EP337" s="141"/>
      <c r="EQ337" s="141"/>
      <c r="ER337" s="141"/>
      <c r="ES337" s="141"/>
      <c r="ET337" s="141"/>
      <c r="EU337" s="141"/>
      <c r="EV337" s="141"/>
      <c r="EW337" s="141"/>
      <c r="EX337" s="141"/>
      <c r="EY337" s="141"/>
      <c r="EZ337" s="141"/>
      <c r="FA337" s="141"/>
      <c r="FB337" s="141"/>
      <c r="FC337" s="141"/>
      <c r="FD337" s="141"/>
      <c r="FE337" s="141"/>
      <c r="FF337" s="141"/>
      <c r="FG337" s="141"/>
      <c r="FH337" s="141"/>
      <c r="FI337" s="141"/>
      <c r="FJ337" s="96"/>
      <c r="FK337" s="96"/>
      <c r="FL337" s="377"/>
      <c r="FM337" s="377"/>
      <c r="FN337" s="377"/>
      <c r="FO337" s="377"/>
      <c r="FP337" s="377"/>
      <c r="FQ337" s="377"/>
      <c r="FR337" s="377"/>
      <c r="FS337" s="377"/>
      <c r="FT337" s="377"/>
      <c r="FU337" s="377"/>
      <c r="FV337" s="377"/>
      <c r="FW337" s="377"/>
      <c r="FX337" s="377"/>
      <c r="FY337" s="259"/>
      <c r="FZ337" s="259"/>
      <c r="GA337" s="259"/>
      <c r="GB337" s="259"/>
      <c r="GC337" s="259"/>
      <c r="GD337" s="259"/>
      <c r="GE337" s="259"/>
      <c r="GF337" s="259"/>
      <c r="GG337" s="259"/>
      <c r="GH337" s="259"/>
      <c r="GI337" s="259"/>
      <c r="GJ337" s="259"/>
      <c r="GK337" s="377"/>
      <c r="GL337" s="377"/>
      <c r="GM337" s="377"/>
      <c r="GN337" s="377"/>
      <c r="GO337" s="377"/>
      <c r="GP337" s="377"/>
      <c r="GQ337" s="377"/>
      <c r="GR337" s="377"/>
      <c r="GS337" s="377"/>
      <c r="GT337" s="377"/>
      <c r="GU337" s="377"/>
      <c r="GV337" s="377"/>
      <c r="GW337" s="66"/>
      <c r="GX337" s="66"/>
      <c r="GY337" s="66"/>
      <c r="GZ337" s="66"/>
      <c r="HA337" s="66"/>
      <c r="HB337" s="66"/>
      <c r="HC337" s="66"/>
      <c r="HD337" s="66"/>
      <c r="HE337" s="66"/>
      <c r="HF337" s="66"/>
      <c r="HG337" s="66"/>
      <c r="HH337" s="66"/>
      <c r="HI337" s="66"/>
      <c r="HJ337" s="66"/>
      <c r="HK337" s="66"/>
      <c r="HL337" s="66"/>
      <c r="HM337" s="66"/>
      <c r="HN337" s="66"/>
      <c r="HO337" s="66"/>
      <c r="HP337" s="66"/>
      <c r="HQ337" s="66"/>
      <c r="HR337" s="66"/>
      <c r="HS337" s="66"/>
      <c r="HT337" s="66"/>
      <c r="HU337" s="66"/>
      <c r="HV337" s="66"/>
      <c r="HW337" s="66"/>
      <c r="HX337" s="66"/>
      <c r="HY337" s="66"/>
      <c r="HZ337" s="66"/>
      <c r="IA337" s="66"/>
    </row>
    <row r="338" spans="1:235" s="268" customFormat="1" ht="16.95" customHeight="1">
      <c r="A338" s="60"/>
      <c r="B338" s="272"/>
      <c r="C338" s="69"/>
      <c r="D338" s="418" t="str">
        <f ca="1">IF(FL1=0,"","weergegeven. De afzet is aangeduid met een stippellijn en een kleine ''q''.")</f>
        <v/>
      </c>
      <c r="E338" s="141"/>
      <c r="F338" s="141"/>
      <c r="G338" s="141"/>
      <c r="H338" s="141"/>
      <c r="I338" s="141"/>
      <c r="J338" s="141"/>
      <c r="K338" s="141"/>
      <c r="L338" s="141"/>
      <c r="M338" s="141"/>
      <c r="N338" s="141"/>
      <c r="O338" s="141"/>
      <c r="P338" s="141"/>
      <c r="Q338" s="141"/>
      <c r="R338" s="410"/>
      <c r="S338" s="410"/>
      <c r="T338" s="410"/>
      <c r="U338" s="410"/>
      <c r="V338" s="410"/>
      <c r="W338" s="410"/>
      <c r="X338" s="410"/>
      <c r="Y338" s="410"/>
      <c r="Z338" s="410"/>
      <c r="AA338" s="410"/>
      <c r="AB338" s="410"/>
      <c r="AC338" s="410"/>
      <c r="AD338" s="410"/>
      <c r="AE338" s="410"/>
      <c r="AF338" s="410"/>
      <c r="AG338" s="410"/>
      <c r="AH338" s="410"/>
      <c r="AI338" s="410"/>
      <c r="AJ338" s="410"/>
      <c r="AK338" s="410"/>
      <c r="AL338" s="410"/>
      <c r="AM338" s="410"/>
      <c r="AN338" s="410"/>
      <c r="AO338" s="410"/>
      <c r="AP338" s="410"/>
      <c r="AQ338" s="410"/>
      <c r="AR338" s="410"/>
      <c r="AS338" s="410"/>
      <c r="AT338" s="410"/>
      <c r="AU338" s="410"/>
      <c r="AV338" s="410"/>
      <c r="AW338" s="410"/>
      <c r="AX338" s="410"/>
      <c r="AY338" s="410"/>
      <c r="AZ338" s="410"/>
      <c r="BA338" s="410"/>
      <c r="BB338" s="410"/>
      <c r="BC338" s="409"/>
      <c r="BD338" s="409"/>
      <c r="BE338" s="409"/>
      <c r="BF338" s="409"/>
      <c r="BG338" s="409"/>
      <c r="BH338" s="409"/>
      <c r="BI338" s="409"/>
      <c r="BJ338" s="409"/>
      <c r="BK338" s="409"/>
      <c r="BL338" s="409"/>
      <c r="BM338" s="409"/>
      <c r="BN338" s="409"/>
      <c r="BO338" s="409"/>
      <c r="BP338" s="409"/>
      <c r="BQ338" s="409"/>
      <c r="BR338" s="409"/>
      <c r="BS338" s="409"/>
      <c r="BT338" s="409"/>
      <c r="BU338" s="409"/>
      <c r="BV338" s="410"/>
      <c r="BW338" s="410"/>
      <c r="BX338" s="410"/>
      <c r="BY338" s="410"/>
      <c r="BZ338" s="410"/>
      <c r="CA338" s="410"/>
      <c r="CB338" s="410"/>
      <c r="CC338" s="410"/>
      <c r="CD338" s="141"/>
      <c r="CE338" s="141"/>
      <c r="CF338" s="141"/>
      <c r="CG338" s="141"/>
      <c r="CH338" s="141"/>
      <c r="CI338" s="141"/>
      <c r="CJ338" s="141"/>
      <c r="CK338" s="141"/>
      <c r="CL338" s="141"/>
      <c r="CM338" s="141"/>
      <c r="CN338" s="141"/>
      <c r="CO338" s="141"/>
      <c r="CP338" s="141"/>
      <c r="CQ338" s="141"/>
      <c r="CR338" s="141"/>
      <c r="CS338" s="141"/>
      <c r="CT338" s="141"/>
      <c r="CU338" s="141"/>
      <c r="CV338" s="141"/>
      <c r="CW338" s="141"/>
      <c r="CX338" s="141"/>
      <c r="CY338" s="141"/>
      <c r="CZ338" s="141"/>
      <c r="DA338" s="141"/>
      <c r="DB338" s="141"/>
      <c r="DC338" s="141"/>
      <c r="DD338" s="141"/>
      <c r="DE338" s="141"/>
      <c r="DF338" s="141"/>
      <c r="DG338" s="141"/>
      <c r="DH338" s="141"/>
      <c r="DI338" s="141"/>
      <c r="DJ338" s="141"/>
      <c r="DK338" s="141"/>
      <c r="DL338" s="141"/>
      <c r="DM338" s="141"/>
      <c r="DN338" s="141"/>
      <c r="DO338" s="141"/>
      <c r="DP338" s="141"/>
      <c r="DQ338" s="141"/>
      <c r="DR338" s="141"/>
      <c r="DS338" s="141"/>
      <c r="DT338" s="141"/>
      <c r="DU338" s="141"/>
      <c r="DV338" s="141"/>
      <c r="DW338" s="141"/>
      <c r="DX338" s="141"/>
      <c r="DY338" s="141"/>
      <c r="DZ338" s="141"/>
      <c r="EA338" s="141"/>
      <c r="EB338" s="141"/>
      <c r="EC338" s="141"/>
      <c r="ED338" s="141"/>
      <c r="EE338" s="141"/>
      <c r="EF338" s="141"/>
      <c r="EG338" s="141"/>
      <c r="EH338" s="141"/>
      <c r="EI338" s="141"/>
      <c r="EJ338" s="141"/>
      <c r="EK338" s="141"/>
      <c r="EL338" s="141"/>
      <c r="EM338" s="141"/>
      <c r="EN338" s="141"/>
      <c r="EO338" s="141"/>
      <c r="EP338" s="141"/>
      <c r="EQ338" s="141"/>
      <c r="ER338" s="141"/>
      <c r="ES338" s="141"/>
      <c r="ET338" s="141"/>
      <c r="EU338" s="141"/>
      <c r="EV338" s="141"/>
      <c r="EW338" s="141"/>
      <c r="EX338" s="141"/>
      <c r="EY338" s="141"/>
      <c r="EZ338" s="141"/>
      <c r="FA338" s="141"/>
      <c r="FB338" s="141"/>
      <c r="FC338" s="141"/>
      <c r="FD338" s="141"/>
      <c r="FE338" s="141"/>
      <c r="FF338" s="141"/>
      <c r="FG338" s="141"/>
      <c r="FH338" s="141"/>
      <c r="FI338" s="141"/>
      <c r="FJ338" s="96"/>
      <c r="FK338" s="96"/>
      <c r="FL338" s="377"/>
      <c r="FM338" s="377"/>
      <c r="FN338" s="377"/>
      <c r="FO338" s="377"/>
      <c r="FP338" s="377"/>
      <c r="FQ338" s="377"/>
      <c r="FR338" s="377"/>
      <c r="FS338" s="377"/>
      <c r="FT338" s="377"/>
      <c r="FU338" s="377"/>
      <c r="FV338" s="377"/>
      <c r="FW338" s="377"/>
      <c r="FX338" s="377"/>
      <c r="FY338" s="259"/>
      <c r="FZ338" s="259"/>
      <c r="GA338" s="259"/>
      <c r="GB338" s="259"/>
      <c r="GC338" s="259"/>
      <c r="GD338" s="259"/>
      <c r="GE338" s="259"/>
      <c r="GF338" s="259"/>
      <c r="GG338" s="259"/>
      <c r="GH338" s="259"/>
      <c r="GI338" s="259"/>
      <c r="GJ338" s="259"/>
      <c r="GK338" s="377"/>
      <c r="GL338" s="377"/>
      <c r="GM338" s="377"/>
      <c r="GN338" s="377"/>
      <c r="GO338" s="377"/>
      <c r="GP338" s="377"/>
      <c r="GQ338" s="377"/>
      <c r="GR338" s="377"/>
      <c r="GS338" s="377"/>
      <c r="GT338" s="377"/>
      <c r="GU338" s="377"/>
      <c r="GV338" s="377"/>
      <c r="GW338" s="66"/>
      <c r="GX338" s="66"/>
      <c r="GY338" s="66"/>
      <c r="GZ338" s="66"/>
      <c r="HA338" s="66"/>
      <c r="HB338" s="66"/>
      <c r="HC338" s="66"/>
      <c r="HD338" s="66"/>
      <c r="HE338" s="66"/>
      <c r="HF338" s="66"/>
      <c r="HG338" s="66"/>
      <c r="HH338" s="66"/>
      <c r="HI338" s="66"/>
      <c r="HJ338" s="66"/>
      <c r="HK338" s="66"/>
      <c r="HL338" s="66"/>
      <c r="HM338" s="66"/>
      <c r="HN338" s="66"/>
      <c r="HO338" s="66"/>
      <c r="HP338" s="66"/>
      <c r="HQ338" s="66"/>
      <c r="HR338" s="66"/>
      <c r="HS338" s="66"/>
      <c r="HT338" s="66"/>
      <c r="HU338" s="66"/>
      <c r="HV338" s="66"/>
      <c r="HW338" s="66"/>
      <c r="HX338" s="66"/>
      <c r="HY338" s="66"/>
      <c r="HZ338" s="66"/>
      <c r="IA338" s="66"/>
    </row>
    <row r="339" spans="1:235" ht="16.95" customHeight="1">
      <c r="A339" s="60"/>
      <c r="B339" s="69"/>
      <c r="C339" s="69"/>
      <c r="D339" s="418"/>
      <c r="E339" s="409"/>
      <c r="F339" s="409"/>
      <c r="G339" s="409"/>
      <c r="H339" s="409"/>
      <c r="I339" s="409"/>
      <c r="J339" s="137"/>
      <c r="K339" s="137"/>
      <c r="L339" s="419"/>
      <c r="M339" s="420"/>
      <c r="N339" s="419"/>
      <c r="O339" s="419"/>
      <c r="P339" s="419"/>
      <c r="Q339" s="419"/>
      <c r="R339" s="419"/>
      <c r="S339" s="137"/>
      <c r="T339" s="410"/>
      <c r="U339" s="410"/>
      <c r="V339" s="410"/>
      <c r="W339" s="410"/>
      <c r="X339" s="410"/>
      <c r="Y339" s="410"/>
      <c r="Z339" s="410"/>
      <c r="AA339" s="410"/>
      <c r="AB339" s="410"/>
      <c r="AC339" s="410"/>
      <c r="AD339" s="410"/>
      <c r="AE339" s="410"/>
      <c r="AF339" s="410"/>
      <c r="AG339" s="410"/>
      <c r="AH339" s="410"/>
      <c r="AI339" s="410"/>
      <c r="AJ339" s="410"/>
      <c r="AK339" s="410"/>
      <c r="AL339" s="410"/>
      <c r="AM339" s="410"/>
      <c r="AN339" s="410"/>
      <c r="AO339" s="410"/>
      <c r="AP339" s="410"/>
      <c r="AQ339" s="410"/>
      <c r="AR339" s="410"/>
      <c r="AS339" s="410"/>
      <c r="AT339" s="410"/>
      <c r="AU339" s="410"/>
      <c r="AV339" s="410"/>
      <c r="AW339" s="297"/>
      <c r="AX339" s="297"/>
      <c r="AY339" s="297"/>
      <c r="AZ339" s="297"/>
      <c r="BA339" s="297"/>
      <c r="BB339" s="297"/>
      <c r="BC339" s="297"/>
      <c r="BD339" s="297"/>
      <c r="BE339" s="297"/>
      <c r="BF339" s="297"/>
      <c r="BG339" s="297"/>
      <c r="BH339" s="297"/>
      <c r="BI339" s="297"/>
      <c r="BJ339" s="297"/>
      <c r="BK339" s="297"/>
      <c r="BL339" s="297"/>
      <c r="BM339" s="297"/>
      <c r="BN339" s="297"/>
      <c r="BO339" s="297"/>
      <c r="BP339" s="297"/>
      <c r="BQ339" s="297"/>
      <c r="BR339" s="297"/>
      <c r="BS339" s="297"/>
      <c r="BT339" s="297"/>
      <c r="BU339" s="297"/>
      <c r="BV339" s="297"/>
      <c r="BW339" s="297"/>
      <c r="BX339" s="297"/>
      <c r="BY339" s="297"/>
      <c r="BZ339" s="297"/>
      <c r="CA339" s="297"/>
      <c r="CB339" s="297"/>
      <c r="CC339" s="297"/>
      <c r="CD339" s="297"/>
      <c r="CE339" s="297"/>
      <c r="CF339" s="297"/>
      <c r="CG339" s="297"/>
      <c r="CH339" s="297"/>
      <c r="CI339" s="297"/>
      <c r="CJ339" s="297"/>
      <c r="CK339" s="297"/>
      <c r="CL339" s="297"/>
      <c r="CM339" s="297"/>
      <c r="CN339" s="297"/>
      <c r="CO339" s="297"/>
      <c r="CP339" s="297"/>
      <c r="CQ339" s="297"/>
      <c r="CR339" s="297"/>
      <c r="CS339" s="297"/>
      <c r="CT339" s="297"/>
      <c r="CU339" s="297"/>
      <c r="CV339" s="297"/>
      <c r="CW339" s="297"/>
      <c r="CX339" s="297"/>
      <c r="CY339" s="410"/>
      <c r="CZ339" s="410"/>
      <c r="DA339" s="410"/>
      <c r="DB339" s="410"/>
      <c r="DC339" s="410"/>
      <c r="DD339" s="410"/>
      <c r="DE339" s="411"/>
      <c r="DF339" s="411"/>
      <c r="DG339" s="411"/>
      <c r="DH339" s="411"/>
      <c r="DI339" s="411"/>
      <c r="DJ339" s="411"/>
      <c r="DK339" s="411"/>
      <c r="DL339" s="424"/>
      <c r="DM339" s="141"/>
      <c r="DN339" s="141"/>
      <c r="DO339" s="141"/>
      <c r="DP339" s="141"/>
      <c r="DQ339" s="141"/>
      <c r="DR339" s="141"/>
      <c r="DS339" s="141"/>
      <c r="DT339" s="141"/>
      <c r="DU339" s="141"/>
      <c r="DV339" s="141"/>
      <c r="DW339" s="141"/>
      <c r="DX339" s="141"/>
      <c r="DY339" s="89"/>
      <c r="DZ339" s="89"/>
      <c r="EA339" s="89"/>
      <c r="EB339" s="89"/>
      <c r="EC339" s="89"/>
      <c r="ED339" s="89"/>
      <c r="EE339" s="89"/>
      <c r="EF339" s="89"/>
      <c r="EG339" s="89"/>
      <c r="EH339" s="89"/>
      <c r="EI339" s="89"/>
      <c r="EJ339" s="89"/>
      <c r="EK339" s="89"/>
      <c r="EL339" s="89"/>
      <c r="EM339" s="89"/>
      <c r="EN339" s="89"/>
      <c r="EO339" s="89"/>
      <c r="EP339" s="89"/>
      <c r="EQ339" s="89"/>
      <c r="ER339" s="89"/>
      <c r="ES339" s="89"/>
      <c r="ET339" s="89"/>
      <c r="EU339" s="89"/>
      <c r="EV339" s="89"/>
      <c r="EW339" s="89"/>
      <c r="EX339" s="89"/>
      <c r="EY339" s="89"/>
      <c r="EZ339" s="89"/>
      <c r="FA339" s="141"/>
      <c r="FB339" s="141"/>
      <c r="FC339" s="141"/>
      <c r="FD339" s="141"/>
      <c r="FE339" s="141"/>
      <c r="FF339" s="141"/>
      <c r="FG339" s="141"/>
      <c r="FH339" s="141"/>
      <c r="FI339" s="141"/>
      <c r="FJ339" s="96"/>
      <c r="FK339" s="96"/>
      <c r="FL339" s="96"/>
      <c r="FM339" s="377"/>
      <c r="FN339" s="96"/>
      <c r="FO339" s="96"/>
      <c r="FP339" s="96"/>
      <c r="FQ339" s="96"/>
      <c r="FR339" s="96"/>
      <c r="FS339" s="96"/>
      <c r="FT339" s="96"/>
      <c r="FU339" s="96"/>
      <c r="FV339" s="96"/>
      <c r="FW339" s="96"/>
      <c r="FX339" s="96"/>
      <c r="FY339" s="259"/>
      <c r="FZ339" s="259"/>
      <c r="GA339" s="259"/>
      <c r="GB339" s="259"/>
      <c r="GC339" s="259"/>
      <c r="GD339" s="259"/>
      <c r="GE339" s="259"/>
      <c r="GF339" s="259"/>
      <c r="GG339" s="259"/>
      <c r="GH339" s="259"/>
      <c r="GI339" s="259"/>
      <c r="GJ339" s="259"/>
      <c r="GK339" s="259"/>
      <c r="GL339" s="259"/>
      <c r="GM339" s="259"/>
      <c r="GN339" s="259"/>
      <c r="GO339" s="259"/>
      <c r="GP339" s="259"/>
      <c r="GQ339" s="259"/>
      <c r="GR339" s="259"/>
      <c r="GS339" s="259"/>
      <c r="GT339" s="259"/>
      <c r="GU339" s="259"/>
      <c r="GV339" s="259"/>
    </row>
    <row r="340" spans="1:235" ht="16.95" customHeight="1">
      <c r="A340" s="60"/>
      <c r="B340" s="69"/>
      <c r="C340" s="69"/>
      <c r="D340" s="418"/>
      <c r="E340" s="409"/>
      <c r="F340" s="409"/>
      <c r="G340" s="409"/>
      <c r="H340" s="409"/>
      <c r="I340" s="409"/>
      <c r="J340" s="137"/>
      <c r="K340" s="137"/>
      <c r="L340" s="419"/>
      <c r="M340" s="420"/>
      <c r="N340" s="419"/>
      <c r="O340" s="419"/>
      <c r="P340" s="419"/>
      <c r="Q340" s="419"/>
      <c r="R340" s="419"/>
      <c r="S340" s="137"/>
      <c r="T340" s="410"/>
      <c r="U340" s="410"/>
      <c r="V340" s="410"/>
      <c r="W340" s="410"/>
      <c r="X340" s="410"/>
      <c r="Y340" s="410"/>
      <c r="Z340" s="410"/>
      <c r="AA340" s="410"/>
      <c r="AB340" s="410"/>
      <c r="AC340" s="410"/>
      <c r="AD340" s="410"/>
      <c r="AE340" s="410"/>
      <c r="AF340" s="410"/>
      <c r="AG340" s="410"/>
      <c r="AH340" s="410"/>
      <c r="AI340" s="410"/>
      <c r="AJ340" s="410"/>
      <c r="AK340" s="410"/>
      <c r="AL340" s="410"/>
      <c r="AM340" s="410"/>
      <c r="AN340" s="410"/>
      <c r="AO340" s="410"/>
      <c r="AP340" s="410"/>
      <c r="AQ340" s="410"/>
      <c r="AR340" s="410"/>
      <c r="AS340" s="410"/>
      <c r="AT340" s="410"/>
      <c r="AU340" s="410"/>
      <c r="AV340" s="410"/>
      <c r="AW340" s="297"/>
      <c r="AX340" s="297"/>
      <c r="AY340" s="297"/>
      <c r="AZ340" s="297"/>
      <c r="BA340" s="297"/>
      <c r="BB340" s="297"/>
      <c r="BC340" s="297"/>
      <c r="BD340" s="297"/>
      <c r="BE340" s="297"/>
      <c r="BF340" s="297"/>
      <c r="BG340" s="297"/>
      <c r="BH340" s="297"/>
      <c r="BI340" s="297"/>
      <c r="BJ340" s="297"/>
      <c r="BK340" s="297"/>
      <c r="BL340" s="297"/>
      <c r="BM340" s="297"/>
      <c r="BN340" s="297"/>
      <c r="BO340" s="297"/>
      <c r="BP340" s="297"/>
      <c r="BQ340" s="297"/>
      <c r="BR340" s="297"/>
      <c r="BS340" s="297"/>
      <c r="BT340" s="297"/>
      <c r="BU340" s="297"/>
      <c r="BV340" s="297"/>
      <c r="BW340" s="297"/>
      <c r="BX340" s="297"/>
      <c r="BY340" s="297"/>
      <c r="BZ340" s="297"/>
      <c r="CA340" s="297"/>
      <c r="CB340" s="297"/>
      <c r="CC340" s="297"/>
      <c r="CD340" s="297"/>
      <c r="CE340" s="297"/>
      <c r="CF340" s="297"/>
      <c r="CG340" s="297"/>
      <c r="CH340" s="297"/>
      <c r="CI340" s="297"/>
      <c r="CJ340" s="297"/>
      <c r="CK340" s="297"/>
      <c r="CL340" s="297"/>
      <c r="CM340" s="297"/>
      <c r="CN340" s="297"/>
      <c r="CO340" s="297"/>
      <c r="CP340" s="297"/>
      <c r="CQ340" s="297"/>
      <c r="CR340" s="297"/>
      <c r="CS340" s="297"/>
      <c r="CT340" s="297"/>
      <c r="CU340" s="297"/>
      <c r="CV340" s="297"/>
      <c r="CW340" s="297"/>
      <c r="CX340" s="297"/>
      <c r="CY340" s="410"/>
      <c r="CZ340" s="410"/>
      <c r="DA340" s="410"/>
      <c r="DB340" s="410"/>
      <c r="DC340" s="410"/>
      <c r="DD340" s="410"/>
      <c r="DE340" s="411"/>
      <c r="DF340" s="411"/>
      <c r="DG340" s="411"/>
      <c r="DH340" s="411"/>
      <c r="DI340" s="411"/>
      <c r="DJ340" s="411"/>
      <c r="DK340" s="411"/>
      <c r="DL340" s="424"/>
      <c r="DM340" s="141"/>
      <c r="DN340" s="141"/>
      <c r="DO340" s="141"/>
      <c r="DP340" s="141"/>
      <c r="DQ340" s="141"/>
      <c r="DR340" s="141"/>
      <c r="DS340" s="141"/>
      <c r="DT340" s="141"/>
      <c r="DU340" s="141"/>
      <c r="DV340" s="141"/>
      <c r="DW340" s="141"/>
      <c r="DX340" s="141"/>
      <c r="DY340" s="89"/>
      <c r="DZ340" s="89"/>
      <c r="EA340" s="89"/>
      <c r="EB340" s="89"/>
      <c r="EC340" s="89"/>
      <c r="ED340" s="89"/>
      <c r="EE340" s="89"/>
      <c r="EF340" s="89"/>
      <c r="EG340" s="89"/>
      <c r="EH340" s="89"/>
      <c r="EI340" s="89"/>
      <c r="EJ340" s="89"/>
      <c r="EK340" s="89"/>
      <c r="EL340" s="89"/>
      <c r="EM340" s="89"/>
      <c r="EN340" s="89"/>
      <c r="EO340" s="89"/>
      <c r="EP340" s="89"/>
      <c r="EQ340" s="89"/>
      <c r="ER340" s="89"/>
      <c r="ES340" s="89"/>
      <c r="ET340" s="89"/>
      <c r="EU340" s="89"/>
      <c r="EV340" s="89"/>
      <c r="EW340" s="89"/>
      <c r="EX340" s="89"/>
      <c r="EY340" s="89"/>
      <c r="EZ340" s="89"/>
      <c r="FA340" s="141"/>
      <c r="FB340" s="141"/>
      <c r="FC340" s="141"/>
      <c r="FD340" s="141"/>
      <c r="FE340" s="141"/>
      <c r="FF340" s="141"/>
      <c r="FG340" s="141"/>
      <c r="FH340" s="141"/>
      <c r="FI340" s="141"/>
      <c r="FJ340" s="96"/>
      <c r="FK340" s="96"/>
      <c r="FL340" s="96"/>
      <c r="FM340" s="377"/>
      <c r="FN340" s="96"/>
      <c r="FO340" s="96"/>
      <c r="FP340" s="96"/>
      <c r="FQ340" s="96"/>
      <c r="FR340" s="96"/>
      <c r="FS340" s="96"/>
      <c r="FT340" s="96"/>
      <c r="FU340" s="96"/>
      <c r="FV340" s="96"/>
      <c r="FW340" s="96"/>
      <c r="FX340" s="96"/>
      <c r="FY340" s="259"/>
      <c r="FZ340" s="259"/>
      <c r="GA340" s="259"/>
      <c r="GB340" s="259"/>
      <c r="GC340" s="259"/>
      <c r="GD340" s="259"/>
      <c r="GE340" s="259"/>
      <c r="GF340" s="259"/>
      <c r="GG340" s="259"/>
      <c r="GH340" s="259"/>
      <c r="GI340" s="259"/>
      <c r="GJ340" s="259"/>
      <c r="GK340" s="259"/>
      <c r="GL340" s="259"/>
      <c r="GM340" s="259"/>
      <c r="GN340" s="259"/>
      <c r="GO340" s="259"/>
      <c r="GP340" s="259"/>
      <c r="GQ340" s="259"/>
      <c r="GR340" s="259"/>
      <c r="GS340" s="259"/>
      <c r="GT340" s="259"/>
      <c r="GU340" s="259"/>
      <c r="GV340" s="259"/>
    </row>
    <row r="341" spans="1:235" ht="16.95" customHeight="1">
      <c r="A341" s="60"/>
      <c r="B341" s="69"/>
      <c r="C341" s="69"/>
      <c r="D341" s="418"/>
      <c r="E341" s="409"/>
      <c r="F341" s="409"/>
      <c r="G341" s="409"/>
      <c r="H341" s="409"/>
      <c r="I341" s="409"/>
      <c r="J341" s="137"/>
      <c r="K341" s="137"/>
      <c r="L341" s="419"/>
      <c r="M341" s="420"/>
      <c r="N341" s="419"/>
      <c r="O341" s="419"/>
      <c r="P341" s="419"/>
      <c r="Q341" s="419"/>
      <c r="R341" s="419"/>
      <c r="S341" s="137"/>
      <c r="T341" s="410"/>
      <c r="U341" s="410"/>
      <c r="V341" s="410"/>
      <c r="W341" s="410"/>
      <c r="X341" s="410"/>
      <c r="Y341" s="410"/>
      <c r="Z341" s="410"/>
      <c r="AA341" s="410"/>
      <c r="AB341" s="410"/>
      <c r="AC341" s="410"/>
      <c r="AD341" s="410"/>
      <c r="AE341" s="410"/>
      <c r="AF341" s="410"/>
      <c r="AG341" s="410"/>
      <c r="AH341" s="410"/>
      <c r="AI341" s="410"/>
      <c r="AJ341" s="410"/>
      <c r="AK341" s="410"/>
      <c r="AL341" s="410"/>
      <c r="AM341" s="410"/>
      <c r="AN341" s="410"/>
      <c r="AO341" s="410"/>
      <c r="AP341" s="410"/>
      <c r="AQ341" s="410"/>
      <c r="AR341" s="410"/>
      <c r="AS341" s="410"/>
      <c r="AT341" s="410"/>
      <c r="AU341" s="410"/>
      <c r="AV341" s="410"/>
      <c r="AW341" s="297"/>
      <c r="AX341" s="297"/>
      <c r="AY341" s="297"/>
      <c r="AZ341" s="297"/>
      <c r="BA341" s="297"/>
      <c r="BB341" s="297"/>
      <c r="BC341" s="297"/>
      <c r="BD341" s="297"/>
      <c r="BE341" s="297"/>
      <c r="BF341" s="297"/>
      <c r="BG341" s="297"/>
      <c r="BH341" s="297"/>
      <c r="BI341" s="297"/>
      <c r="BJ341" s="297"/>
      <c r="BK341" s="297"/>
      <c r="BL341" s="297"/>
      <c r="BM341" s="297"/>
      <c r="BN341" s="297"/>
      <c r="BO341" s="297"/>
      <c r="BP341" s="297"/>
      <c r="BQ341" s="297"/>
      <c r="BR341" s="297"/>
      <c r="BS341" s="297"/>
      <c r="BT341" s="297"/>
      <c r="BU341" s="297"/>
      <c r="BV341" s="297"/>
      <c r="BW341" s="297"/>
      <c r="BX341" s="297"/>
      <c r="BY341" s="297"/>
      <c r="BZ341" s="297"/>
      <c r="CA341" s="297"/>
      <c r="CB341" s="297"/>
      <c r="CC341" s="297"/>
      <c r="CD341" s="297"/>
      <c r="CE341" s="297"/>
      <c r="CF341" s="297"/>
      <c r="CG341" s="297"/>
      <c r="CH341" s="297"/>
      <c r="CI341" s="297"/>
      <c r="CJ341" s="297"/>
      <c r="CK341" s="297"/>
      <c r="CL341" s="297"/>
      <c r="CM341" s="297"/>
      <c r="CN341" s="297"/>
      <c r="CO341" s="297"/>
      <c r="CP341" s="297"/>
      <c r="CQ341" s="297"/>
      <c r="CR341" s="297"/>
      <c r="CS341" s="297"/>
      <c r="CT341" s="297"/>
      <c r="CU341" s="297"/>
      <c r="CV341" s="297"/>
      <c r="CW341" s="297"/>
      <c r="CX341" s="297"/>
      <c r="CY341" s="410"/>
      <c r="CZ341" s="410"/>
      <c r="DA341" s="410"/>
      <c r="DB341" s="410"/>
      <c r="DC341" s="410"/>
      <c r="DD341" s="410"/>
      <c r="DE341" s="411"/>
      <c r="DF341" s="411"/>
      <c r="DG341" s="411"/>
      <c r="DH341" s="411"/>
      <c r="DI341" s="411"/>
      <c r="DJ341" s="411"/>
      <c r="DK341" s="411"/>
      <c r="DL341" s="424"/>
      <c r="DM341" s="141"/>
      <c r="DN341" s="141"/>
      <c r="DO341" s="141"/>
      <c r="DP341" s="141"/>
      <c r="DQ341" s="141"/>
      <c r="DR341" s="141"/>
      <c r="DS341" s="141"/>
      <c r="DT341" s="141"/>
      <c r="DU341" s="141"/>
      <c r="DV341" s="141"/>
      <c r="DW341" s="141"/>
      <c r="DX341" s="141"/>
      <c r="DY341" s="89"/>
      <c r="DZ341" s="89"/>
      <c r="EA341" s="89"/>
      <c r="EB341" s="89"/>
      <c r="EC341" s="89"/>
      <c r="ED341" s="89"/>
      <c r="EE341" s="89"/>
      <c r="EF341" s="89"/>
      <c r="EG341" s="89"/>
      <c r="EH341" s="89"/>
      <c r="EI341" s="89"/>
      <c r="EJ341" s="89"/>
      <c r="EK341" s="89"/>
      <c r="EL341" s="89"/>
      <c r="EM341" s="89"/>
      <c r="EN341" s="89"/>
      <c r="EO341" s="89"/>
      <c r="EP341" s="89"/>
      <c r="EQ341" s="89"/>
      <c r="ER341" s="89"/>
      <c r="ES341" s="89"/>
      <c r="ET341" s="89"/>
      <c r="EU341" s="89"/>
      <c r="EV341" s="89"/>
      <c r="EW341" s="89"/>
      <c r="EX341" s="89"/>
      <c r="EY341" s="89"/>
      <c r="EZ341" s="89"/>
      <c r="FA341" s="141"/>
      <c r="FB341" s="141"/>
      <c r="FC341" s="141"/>
      <c r="FD341" s="141"/>
      <c r="FE341" s="141"/>
      <c r="FF341" s="141"/>
      <c r="FG341" s="141"/>
      <c r="FH341" s="141"/>
      <c r="FI341" s="141"/>
      <c r="FJ341" s="96"/>
      <c r="FK341" s="96"/>
      <c r="FL341" s="96"/>
      <c r="FM341" s="377"/>
      <c r="FN341" s="96"/>
      <c r="FO341" s="96"/>
      <c r="FP341" s="96"/>
      <c r="FQ341" s="96"/>
      <c r="FR341" s="96"/>
      <c r="FS341" s="96"/>
      <c r="FT341" s="96"/>
      <c r="FU341" s="96"/>
      <c r="FV341" s="96"/>
      <c r="FW341" s="96"/>
      <c r="FX341" s="96"/>
      <c r="FY341" s="259"/>
      <c r="FZ341" s="259"/>
      <c r="GA341" s="259"/>
      <c r="GB341" s="259"/>
      <c r="GC341" s="259"/>
      <c r="GD341" s="259"/>
      <c r="GE341" s="259"/>
      <c r="GF341" s="259"/>
      <c r="GG341" s="259"/>
      <c r="GH341" s="259"/>
      <c r="GI341" s="259"/>
      <c r="GJ341" s="259"/>
      <c r="GK341" s="259"/>
      <c r="GL341" s="259"/>
      <c r="GM341" s="259"/>
      <c r="GN341" s="259"/>
      <c r="GO341" s="259"/>
      <c r="GP341" s="259"/>
      <c r="GQ341" s="259"/>
      <c r="GR341" s="259"/>
      <c r="GS341" s="259"/>
      <c r="GT341" s="259"/>
      <c r="GU341" s="259"/>
      <c r="GV341" s="259"/>
    </row>
    <row r="342" spans="1:235" ht="16.95" customHeight="1">
      <c r="A342" s="60"/>
      <c r="B342" s="69"/>
      <c r="C342" s="69"/>
      <c r="D342" s="418"/>
      <c r="E342" s="409"/>
      <c r="F342" s="409"/>
      <c r="G342" s="409"/>
      <c r="H342" s="409"/>
      <c r="I342" s="409"/>
      <c r="J342" s="137"/>
      <c r="K342" s="137"/>
      <c r="L342" s="419"/>
      <c r="M342" s="420"/>
      <c r="N342" s="419"/>
      <c r="O342" s="419"/>
      <c r="P342" s="419"/>
      <c r="Q342" s="419"/>
      <c r="R342" s="419"/>
      <c r="S342" s="137"/>
      <c r="T342" s="410"/>
      <c r="U342" s="410"/>
      <c r="V342" s="410"/>
      <c r="W342" s="410"/>
      <c r="X342" s="410"/>
      <c r="Y342" s="410"/>
      <c r="Z342" s="410"/>
      <c r="AA342" s="410"/>
      <c r="AB342" s="410"/>
      <c r="AC342" s="410"/>
      <c r="AD342" s="410"/>
      <c r="AE342" s="410"/>
      <c r="AF342" s="410"/>
      <c r="AG342" s="410"/>
      <c r="AH342" s="410"/>
      <c r="AI342" s="410"/>
      <c r="AJ342" s="410"/>
      <c r="AK342" s="410"/>
      <c r="AL342" s="410"/>
      <c r="AM342" s="410"/>
      <c r="AN342" s="410"/>
      <c r="AO342" s="410"/>
      <c r="AP342" s="410"/>
      <c r="AQ342" s="410"/>
      <c r="AR342" s="410"/>
      <c r="AS342" s="410"/>
      <c r="AT342" s="410"/>
      <c r="AU342" s="410"/>
      <c r="AV342" s="410"/>
      <c r="AW342" s="297"/>
      <c r="AX342" s="297"/>
      <c r="AY342" s="297"/>
      <c r="AZ342" s="297"/>
      <c r="BA342" s="297"/>
      <c r="BB342" s="297"/>
      <c r="BC342" s="297"/>
      <c r="BD342" s="297"/>
      <c r="BE342" s="297"/>
      <c r="BF342" s="297"/>
      <c r="BG342" s="297"/>
      <c r="BH342" s="297"/>
      <c r="BI342" s="297"/>
      <c r="BJ342" s="297"/>
      <c r="BK342" s="297"/>
      <c r="BL342" s="297"/>
      <c r="BM342" s="297"/>
      <c r="BN342" s="297"/>
      <c r="BO342" s="297"/>
      <c r="BP342" s="297"/>
      <c r="BQ342" s="297"/>
      <c r="BR342" s="297"/>
      <c r="BS342" s="297"/>
      <c r="BT342" s="297"/>
      <c r="BU342" s="297"/>
      <c r="BV342" s="297"/>
      <c r="BW342" s="297"/>
      <c r="BX342" s="297"/>
      <c r="BY342" s="297"/>
      <c r="BZ342" s="297"/>
      <c r="CA342" s="297"/>
      <c r="CB342" s="297"/>
      <c r="CC342" s="297"/>
      <c r="CD342" s="297"/>
      <c r="CE342" s="297"/>
      <c r="CF342" s="297"/>
      <c r="CG342" s="297"/>
      <c r="CH342" s="297"/>
      <c r="CI342" s="297"/>
      <c r="CJ342" s="297"/>
      <c r="CK342" s="297"/>
      <c r="CL342" s="297"/>
      <c r="CM342" s="297"/>
      <c r="CN342" s="297"/>
      <c r="CO342" s="297"/>
      <c r="CP342" s="297"/>
      <c r="CQ342" s="297"/>
      <c r="CR342" s="297"/>
      <c r="CS342" s="297"/>
      <c r="CT342" s="297"/>
      <c r="CU342" s="297"/>
      <c r="CV342" s="297"/>
      <c r="CW342" s="297"/>
      <c r="CX342" s="297"/>
      <c r="CY342" s="410"/>
      <c r="CZ342" s="410"/>
      <c r="DA342" s="410"/>
      <c r="DB342" s="410"/>
      <c r="DC342" s="410"/>
      <c r="DD342" s="410"/>
      <c r="DE342" s="411"/>
      <c r="DF342" s="411"/>
      <c r="DG342" s="411"/>
      <c r="DH342" s="411"/>
      <c r="DI342" s="411"/>
      <c r="DJ342" s="411"/>
      <c r="DK342" s="411"/>
      <c r="DL342" s="424"/>
      <c r="DM342" s="141"/>
      <c r="DN342" s="141"/>
      <c r="DO342" s="141"/>
      <c r="DP342" s="141"/>
      <c r="DQ342" s="141"/>
      <c r="DR342" s="141"/>
      <c r="DS342" s="141"/>
      <c r="DT342" s="141"/>
      <c r="DU342" s="141"/>
      <c r="DV342" s="141"/>
      <c r="DW342" s="141"/>
      <c r="DX342" s="141"/>
      <c r="DY342" s="89"/>
      <c r="DZ342" s="89"/>
      <c r="EA342" s="89"/>
      <c r="EB342" s="89"/>
      <c r="EC342" s="89"/>
      <c r="ED342" s="89"/>
      <c r="EE342" s="89"/>
      <c r="EF342" s="89"/>
      <c r="EG342" s="89"/>
      <c r="EH342" s="89"/>
      <c r="EI342" s="89"/>
      <c r="EJ342" s="89"/>
      <c r="EK342" s="89"/>
      <c r="EL342" s="89"/>
      <c r="EM342" s="89"/>
      <c r="EN342" s="89"/>
      <c r="EO342" s="89"/>
      <c r="EP342" s="89"/>
      <c r="EQ342" s="89"/>
      <c r="ER342" s="89"/>
      <c r="ES342" s="89"/>
      <c r="ET342" s="89"/>
      <c r="EU342" s="89"/>
      <c r="EV342" s="89"/>
      <c r="EW342" s="89"/>
      <c r="EX342" s="89"/>
      <c r="EY342" s="89"/>
      <c r="EZ342" s="89"/>
      <c r="FA342" s="141"/>
      <c r="FB342" s="141"/>
      <c r="FC342" s="141"/>
      <c r="FD342" s="141"/>
      <c r="FE342" s="141"/>
      <c r="FF342" s="141"/>
      <c r="FG342" s="141"/>
      <c r="FH342" s="141"/>
      <c r="FI342" s="141"/>
      <c r="FJ342" s="96"/>
      <c r="FK342" s="96"/>
      <c r="FL342" s="96"/>
      <c r="FM342" s="377"/>
      <c r="FN342" s="96"/>
      <c r="FO342" s="96"/>
      <c r="FP342" s="96"/>
      <c r="FQ342" s="96"/>
      <c r="FR342" s="96"/>
      <c r="FS342" s="96"/>
      <c r="FT342" s="96"/>
      <c r="FU342" s="96"/>
      <c r="FV342" s="96"/>
      <c r="FW342" s="96"/>
      <c r="FX342" s="96"/>
      <c r="FY342" s="259"/>
      <c r="FZ342" s="259"/>
      <c r="GA342" s="259"/>
      <c r="GB342" s="259"/>
      <c r="GC342" s="259"/>
      <c r="GD342" s="259"/>
      <c r="GE342" s="259"/>
      <c r="GF342" s="259"/>
      <c r="GG342" s="259"/>
      <c r="GH342" s="259"/>
      <c r="GI342" s="259"/>
      <c r="GJ342" s="259"/>
      <c r="GK342" s="259"/>
      <c r="GL342" s="259"/>
      <c r="GM342" s="259"/>
      <c r="GN342" s="259"/>
      <c r="GO342" s="259"/>
      <c r="GP342" s="259"/>
      <c r="GQ342" s="259"/>
      <c r="GR342" s="259"/>
      <c r="GS342" s="259"/>
      <c r="GT342" s="259"/>
      <c r="GU342" s="259"/>
      <c r="GV342" s="259"/>
    </row>
    <row r="343" spans="1:235" ht="16.95" customHeight="1">
      <c r="A343" s="60"/>
      <c r="B343" s="69"/>
      <c r="C343" s="69"/>
      <c r="D343" s="418"/>
      <c r="E343" s="409"/>
      <c r="F343" s="409"/>
      <c r="G343" s="409"/>
      <c r="H343" s="409"/>
      <c r="I343" s="409"/>
      <c r="J343" s="137"/>
      <c r="K343" s="137"/>
      <c r="L343" s="419"/>
      <c r="M343" s="420"/>
      <c r="N343" s="419"/>
      <c r="O343" s="419"/>
      <c r="P343" s="419"/>
      <c r="Q343" s="419"/>
      <c r="R343" s="419"/>
      <c r="S343" s="137"/>
      <c r="T343" s="410"/>
      <c r="U343" s="410"/>
      <c r="V343" s="410"/>
      <c r="W343" s="410"/>
      <c r="X343" s="410"/>
      <c r="Y343" s="410"/>
      <c r="Z343" s="410"/>
      <c r="AA343" s="410"/>
      <c r="AB343" s="410"/>
      <c r="AC343" s="410"/>
      <c r="AD343" s="410"/>
      <c r="AE343" s="410"/>
      <c r="AF343" s="410"/>
      <c r="AG343" s="410"/>
      <c r="AH343" s="410"/>
      <c r="AI343" s="410"/>
      <c r="AJ343" s="410"/>
      <c r="AK343" s="410"/>
      <c r="AL343" s="410"/>
      <c r="AM343" s="410"/>
      <c r="AN343" s="410"/>
      <c r="AO343" s="410"/>
      <c r="AP343" s="410"/>
      <c r="AQ343" s="410"/>
      <c r="AR343" s="410"/>
      <c r="AS343" s="410"/>
      <c r="AT343" s="410"/>
      <c r="AU343" s="410"/>
      <c r="AV343" s="410"/>
      <c r="AW343" s="297"/>
      <c r="AX343" s="297"/>
      <c r="AY343" s="297"/>
      <c r="AZ343" s="297"/>
      <c r="BA343" s="297"/>
      <c r="BB343" s="297"/>
      <c r="BC343" s="297"/>
      <c r="BD343" s="297"/>
      <c r="BE343" s="297"/>
      <c r="BF343" s="297"/>
      <c r="BG343" s="297"/>
      <c r="BH343" s="297"/>
      <c r="BI343" s="297"/>
      <c r="BJ343" s="297"/>
      <c r="BK343" s="297"/>
      <c r="BL343" s="297"/>
      <c r="BM343" s="297"/>
      <c r="BN343" s="297"/>
      <c r="BO343" s="297"/>
      <c r="BP343" s="297"/>
      <c r="BQ343" s="297"/>
      <c r="BR343" s="297"/>
      <c r="BS343" s="297"/>
      <c r="BT343" s="297"/>
      <c r="BU343" s="297"/>
      <c r="BV343" s="297"/>
      <c r="BW343" s="297"/>
      <c r="BX343" s="297"/>
      <c r="BY343" s="297"/>
      <c r="BZ343" s="297"/>
      <c r="CA343" s="297"/>
      <c r="CB343" s="297"/>
      <c r="CC343" s="297"/>
      <c r="CD343" s="297"/>
      <c r="CE343" s="297"/>
      <c r="CF343" s="297"/>
      <c r="CG343" s="297"/>
      <c r="CH343" s="297"/>
      <c r="CI343" s="297"/>
      <c r="CJ343" s="297"/>
      <c r="CK343" s="297"/>
      <c r="CL343" s="297"/>
      <c r="CM343" s="297"/>
      <c r="CN343" s="297"/>
      <c r="CO343" s="297"/>
      <c r="CP343" s="297"/>
      <c r="CQ343" s="297"/>
      <c r="CR343" s="297"/>
      <c r="CS343" s="297"/>
      <c r="CT343" s="297"/>
      <c r="CU343" s="297"/>
      <c r="CV343" s="297"/>
      <c r="CW343" s="297"/>
      <c r="CX343" s="297"/>
      <c r="CY343" s="410"/>
      <c r="CZ343" s="410"/>
      <c r="DA343" s="410"/>
      <c r="DB343" s="410"/>
      <c r="DC343" s="410"/>
      <c r="DD343" s="410"/>
      <c r="DE343" s="411"/>
      <c r="DF343" s="411"/>
      <c r="DG343" s="411"/>
      <c r="DH343" s="411"/>
      <c r="DI343" s="411"/>
      <c r="DJ343" s="411"/>
      <c r="DK343" s="411"/>
      <c r="DL343" s="424"/>
      <c r="DM343" s="141"/>
      <c r="DN343" s="141"/>
      <c r="DO343" s="141"/>
      <c r="DP343" s="141"/>
      <c r="DQ343" s="141"/>
      <c r="DR343" s="141"/>
      <c r="DS343" s="141"/>
      <c r="DT343" s="141"/>
      <c r="DU343" s="141"/>
      <c r="DV343" s="141"/>
      <c r="DW343" s="141"/>
      <c r="DX343" s="141"/>
      <c r="DY343" s="89"/>
      <c r="DZ343" s="89"/>
      <c r="EA343" s="89"/>
      <c r="EB343" s="89"/>
      <c r="EC343" s="89"/>
      <c r="ED343" s="89"/>
      <c r="EE343" s="89"/>
      <c r="EF343" s="89"/>
      <c r="EG343" s="89"/>
      <c r="EH343" s="89"/>
      <c r="EI343" s="89"/>
      <c r="EJ343" s="89"/>
      <c r="EK343" s="89"/>
      <c r="EL343" s="89"/>
      <c r="EM343" s="89"/>
      <c r="EN343" s="89"/>
      <c r="EO343" s="89"/>
      <c r="EP343" s="89"/>
      <c r="EQ343" s="89"/>
      <c r="ER343" s="89"/>
      <c r="ES343" s="89"/>
      <c r="ET343" s="89"/>
      <c r="EU343" s="89"/>
      <c r="EV343" s="89"/>
      <c r="EW343" s="89"/>
      <c r="EX343" s="89"/>
      <c r="EY343" s="89"/>
      <c r="EZ343" s="89"/>
      <c r="FA343" s="141"/>
      <c r="FB343" s="141"/>
      <c r="FC343" s="141"/>
      <c r="FD343" s="141"/>
      <c r="FE343" s="141"/>
      <c r="FF343" s="141"/>
      <c r="FG343" s="141"/>
      <c r="FH343" s="141"/>
      <c r="FI343" s="141"/>
      <c r="FJ343" s="96"/>
      <c r="FK343" s="96"/>
      <c r="FL343" s="96"/>
      <c r="FM343" s="377"/>
      <c r="FN343" s="96"/>
      <c r="FO343" s="96"/>
      <c r="FP343" s="96"/>
      <c r="FQ343" s="96"/>
      <c r="FR343" s="96"/>
      <c r="FS343" s="96"/>
      <c r="FT343" s="96"/>
      <c r="FU343" s="96"/>
      <c r="FV343" s="96"/>
      <c r="FW343" s="96"/>
      <c r="FX343" s="96"/>
      <c r="FY343" s="259"/>
      <c r="FZ343" s="259"/>
      <c r="GA343" s="259"/>
      <c r="GB343" s="259"/>
      <c r="GC343" s="259"/>
      <c r="GD343" s="259"/>
      <c r="GE343" s="259"/>
      <c r="GF343" s="259"/>
      <c r="GG343" s="259"/>
      <c r="GH343" s="259"/>
      <c r="GI343" s="259"/>
      <c r="GJ343" s="259"/>
      <c r="GK343" s="259"/>
      <c r="GL343" s="259"/>
      <c r="GM343" s="259"/>
      <c r="GN343" s="259"/>
      <c r="GO343" s="259"/>
      <c r="GP343" s="259"/>
      <c r="GQ343" s="259"/>
      <c r="GR343" s="259"/>
      <c r="GS343" s="259"/>
      <c r="GT343" s="259"/>
      <c r="GU343" s="259"/>
      <c r="GV343" s="259"/>
    </row>
    <row r="344" spans="1:235" ht="16.95" customHeight="1">
      <c r="A344" s="60"/>
      <c r="B344" s="69"/>
      <c r="C344" s="69"/>
      <c r="D344" s="418"/>
      <c r="E344" s="409"/>
      <c r="F344" s="409"/>
      <c r="G344" s="409"/>
      <c r="H344" s="409"/>
      <c r="I344" s="409"/>
      <c r="J344" s="137"/>
      <c r="K344" s="137"/>
      <c r="L344" s="419"/>
      <c r="M344" s="420"/>
      <c r="N344" s="419"/>
      <c r="O344" s="419"/>
      <c r="P344" s="419"/>
      <c r="Q344" s="419"/>
      <c r="R344" s="419"/>
      <c r="S344" s="137"/>
      <c r="T344" s="410"/>
      <c r="U344" s="410"/>
      <c r="V344" s="410"/>
      <c r="W344" s="410"/>
      <c r="X344" s="410"/>
      <c r="Y344" s="410"/>
      <c r="Z344" s="410"/>
      <c r="AA344" s="410"/>
      <c r="AB344" s="410"/>
      <c r="AC344" s="410"/>
      <c r="AD344" s="410"/>
      <c r="AE344" s="410"/>
      <c r="AF344" s="410"/>
      <c r="AG344" s="410"/>
      <c r="AH344" s="410"/>
      <c r="AI344" s="410"/>
      <c r="AJ344" s="410"/>
      <c r="AK344" s="410"/>
      <c r="AL344" s="410"/>
      <c r="AM344" s="410"/>
      <c r="AN344" s="410"/>
      <c r="AO344" s="410"/>
      <c r="AP344" s="410"/>
      <c r="AQ344" s="410"/>
      <c r="AR344" s="410"/>
      <c r="AS344" s="410"/>
      <c r="AT344" s="410"/>
      <c r="AU344" s="410"/>
      <c r="AV344" s="410"/>
      <c r="AW344" s="297"/>
      <c r="AX344" s="297"/>
      <c r="AY344" s="297"/>
      <c r="AZ344" s="297"/>
      <c r="BA344" s="297"/>
      <c r="BB344" s="297"/>
      <c r="BC344" s="297"/>
      <c r="BD344" s="297"/>
      <c r="BE344" s="297"/>
      <c r="BF344" s="297"/>
      <c r="BG344" s="297"/>
      <c r="BH344" s="297"/>
      <c r="BI344" s="297"/>
      <c r="BJ344" s="297"/>
      <c r="BK344" s="297"/>
      <c r="BL344" s="297"/>
      <c r="BM344" s="297"/>
      <c r="BN344" s="297"/>
      <c r="BO344" s="297"/>
      <c r="BP344" s="297"/>
      <c r="BQ344" s="297"/>
      <c r="BR344" s="297"/>
      <c r="BS344" s="297"/>
      <c r="BT344" s="297"/>
      <c r="BU344" s="297"/>
      <c r="BV344" s="297"/>
      <c r="BW344" s="297"/>
      <c r="BX344" s="297"/>
      <c r="BY344" s="297"/>
      <c r="BZ344" s="297"/>
      <c r="CA344" s="297"/>
      <c r="CB344" s="297"/>
      <c r="CC344" s="297"/>
      <c r="CD344" s="297"/>
      <c r="CE344" s="297"/>
      <c r="CF344" s="297"/>
      <c r="CG344" s="297"/>
      <c r="CH344" s="297"/>
      <c r="CI344" s="297"/>
      <c r="CJ344" s="297"/>
      <c r="CK344" s="297"/>
      <c r="CL344" s="297"/>
      <c r="CM344" s="297"/>
      <c r="CN344" s="297"/>
      <c r="CO344" s="297"/>
      <c r="CP344" s="297"/>
      <c r="CQ344" s="297"/>
      <c r="CR344" s="297"/>
      <c r="CS344" s="297"/>
      <c r="CT344" s="297"/>
      <c r="CU344" s="297"/>
      <c r="CV344" s="297"/>
      <c r="CW344" s="297"/>
      <c r="CX344" s="297"/>
      <c r="CY344" s="410"/>
      <c r="CZ344" s="410"/>
      <c r="DA344" s="410"/>
      <c r="DB344" s="410"/>
      <c r="DC344" s="410"/>
      <c r="DD344" s="410"/>
      <c r="DE344" s="411"/>
      <c r="DF344" s="411"/>
      <c r="DG344" s="411"/>
      <c r="DH344" s="411"/>
      <c r="DI344" s="411"/>
      <c r="DJ344" s="411"/>
      <c r="DK344" s="411"/>
      <c r="DL344" s="424"/>
      <c r="DM344" s="141"/>
      <c r="DN344" s="141"/>
      <c r="DO344" s="141"/>
      <c r="DP344" s="141"/>
      <c r="DQ344" s="141"/>
      <c r="DR344" s="141"/>
      <c r="DS344" s="141"/>
      <c r="DT344" s="141"/>
      <c r="DU344" s="141"/>
      <c r="DV344" s="141"/>
      <c r="DW344" s="141"/>
      <c r="DX344" s="141"/>
      <c r="DY344" s="89"/>
      <c r="DZ344" s="89"/>
      <c r="EA344" s="89"/>
      <c r="EB344" s="89"/>
      <c r="EC344" s="89"/>
      <c r="ED344" s="89"/>
      <c r="EE344" s="89"/>
      <c r="EF344" s="89"/>
      <c r="EG344" s="89"/>
      <c r="EH344" s="89"/>
      <c r="EI344" s="89"/>
      <c r="EJ344" s="89"/>
      <c r="EK344" s="89"/>
      <c r="EL344" s="89"/>
      <c r="EM344" s="89"/>
      <c r="EN344" s="89"/>
      <c r="EO344" s="89"/>
      <c r="EP344" s="89"/>
      <c r="EQ344" s="89"/>
      <c r="ER344" s="89"/>
      <c r="ES344" s="89"/>
      <c r="ET344" s="89"/>
      <c r="EU344" s="89"/>
      <c r="EV344" s="89"/>
      <c r="EW344" s="89"/>
      <c r="EX344" s="89"/>
      <c r="EY344" s="89"/>
      <c r="EZ344" s="89"/>
      <c r="FA344" s="141"/>
      <c r="FB344" s="141"/>
      <c r="FC344" s="141"/>
      <c r="FD344" s="141"/>
      <c r="FE344" s="141"/>
      <c r="FF344" s="141"/>
      <c r="FG344" s="141"/>
      <c r="FH344" s="141"/>
      <c r="FI344" s="141"/>
      <c r="FJ344" s="96"/>
      <c r="FK344" s="96"/>
      <c r="FL344" s="96"/>
      <c r="FM344" s="377"/>
      <c r="FN344" s="96"/>
      <c r="FO344" s="96"/>
      <c r="FP344" s="96"/>
      <c r="FQ344" s="96"/>
      <c r="FR344" s="96"/>
      <c r="FS344" s="96"/>
      <c r="FT344" s="96"/>
      <c r="FU344" s="96"/>
      <c r="FV344" s="96"/>
      <c r="FW344" s="96"/>
      <c r="FX344" s="96"/>
      <c r="FY344" s="259"/>
      <c r="FZ344" s="259"/>
      <c r="GA344" s="259"/>
      <c r="GB344" s="259"/>
      <c r="GC344" s="259"/>
      <c r="GD344" s="259"/>
      <c r="GE344" s="259"/>
      <c r="GF344" s="259"/>
      <c r="GG344" s="259"/>
      <c r="GH344" s="259"/>
      <c r="GI344" s="259"/>
      <c r="GJ344" s="259"/>
      <c r="GK344" s="259"/>
      <c r="GL344" s="259"/>
      <c r="GM344" s="259"/>
      <c r="GN344" s="259"/>
      <c r="GO344" s="259"/>
      <c r="GP344" s="259"/>
      <c r="GQ344" s="259"/>
      <c r="GR344" s="259"/>
      <c r="GS344" s="259"/>
      <c r="GT344" s="259"/>
      <c r="GU344" s="259"/>
      <c r="GV344" s="259"/>
    </row>
    <row r="345" spans="1:235" ht="16.95" customHeight="1">
      <c r="A345" s="60"/>
      <c r="B345" s="69"/>
      <c r="C345" s="69"/>
      <c r="D345" s="418"/>
      <c r="E345" s="409"/>
      <c r="F345" s="409"/>
      <c r="G345" s="409"/>
      <c r="H345" s="409"/>
      <c r="I345" s="409"/>
      <c r="J345" s="137"/>
      <c r="K345" s="137"/>
      <c r="L345" s="419"/>
      <c r="M345" s="420"/>
      <c r="N345" s="419"/>
      <c r="O345" s="419"/>
      <c r="P345" s="419"/>
      <c r="Q345" s="419"/>
      <c r="R345" s="419"/>
      <c r="S345" s="137"/>
      <c r="T345" s="410"/>
      <c r="U345" s="410"/>
      <c r="V345" s="410"/>
      <c r="W345" s="410"/>
      <c r="X345" s="410"/>
      <c r="Y345" s="410"/>
      <c r="Z345" s="410"/>
      <c r="AA345" s="410"/>
      <c r="AB345" s="410"/>
      <c r="AC345" s="410"/>
      <c r="AD345" s="410"/>
      <c r="AE345" s="410"/>
      <c r="AF345" s="410"/>
      <c r="AG345" s="410"/>
      <c r="AH345" s="410"/>
      <c r="AI345" s="410"/>
      <c r="AJ345" s="410"/>
      <c r="AK345" s="410"/>
      <c r="AL345" s="410"/>
      <c r="AM345" s="410"/>
      <c r="AN345" s="410"/>
      <c r="AO345" s="410"/>
      <c r="AP345" s="410"/>
      <c r="AQ345" s="410"/>
      <c r="AR345" s="410"/>
      <c r="AS345" s="410"/>
      <c r="AT345" s="410"/>
      <c r="AU345" s="410"/>
      <c r="AV345" s="410"/>
      <c r="AW345" s="297"/>
      <c r="AX345" s="297"/>
      <c r="AY345" s="297"/>
      <c r="AZ345" s="297"/>
      <c r="BA345" s="297"/>
      <c r="BB345" s="297"/>
      <c r="BC345" s="297"/>
      <c r="BD345" s="297"/>
      <c r="BE345" s="297"/>
      <c r="BF345" s="297"/>
      <c r="BG345" s="297"/>
      <c r="BH345" s="297"/>
      <c r="BI345" s="297"/>
      <c r="BJ345" s="297"/>
      <c r="BK345" s="297"/>
      <c r="BL345" s="297"/>
      <c r="BM345" s="297"/>
      <c r="BN345" s="297"/>
      <c r="BO345" s="297"/>
      <c r="BP345" s="297"/>
      <c r="BQ345" s="297"/>
      <c r="BR345" s="297"/>
      <c r="BS345" s="297"/>
      <c r="BT345" s="297"/>
      <c r="BU345" s="297"/>
      <c r="BV345" s="297"/>
      <c r="BW345" s="297"/>
      <c r="BX345" s="297"/>
      <c r="BY345" s="297"/>
      <c r="BZ345" s="297"/>
      <c r="CA345" s="297"/>
      <c r="CB345" s="297"/>
      <c r="CC345" s="297"/>
      <c r="CD345" s="297"/>
      <c r="CE345" s="297"/>
      <c r="CF345" s="297"/>
      <c r="CG345" s="297"/>
      <c r="CH345" s="297"/>
      <c r="CI345" s="297"/>
      <c r="CJ345" s="297"/>
      <c r="CK345" s="297"/>
      <c r="CL345" s="297"/>
      <c r="CM345" s="297"/>
      <c r="CN345" s="297"/>
      <c r="CO345" s="297"/>
      <c r="CP345" s="297"/>
      <c r="CQ345" s="297"/>
      <c r="CR345" s="297"/>
      <c r="CS345" s="297"/>
      <c r="CT345" s="297"/>
      <c r="CU345" s="297"/>
      <c r="CV345" s="297"/>
      <c r="CW345" s="297"/>
      <c r="CX345" s="297"/>
      <c r="CY345" s="410"/>
      <c r="CZ345" s="410"/>
      <c r="DA345" s="410"/>
      <c r="DB345" s="410"/>
      <c r="DC345" s="410"/>
      <c r="DD345" s="410"/>
      <c r="DE345" s="411"/>
      <c r="DF345" s="411"/>
      <c r="DG345" s="411"/>
      <c r="DH345" s="411"/>
      <c r="DI345" s="411"/>
      <c r="DJ345" s="411"/>
      <c r="DK345" s="411"/>
      <c r="DL345" s="424"/>
      <c r="DM345" s="141"/>
      <c r="DN345" s="141"/>
      <c r="DO345" s="141"/>
      <c r="DP345" s="141"/>
      <c r="DQ345" s="141"/>
      <c r="DR345" s="141"/>
      <c r="DS345" s="141"/>
      <c r="DT345" s="141"/>
      <c r="DU345" s="141"/>
      <c r="DV345" s="141"/>
      <c r="DW345" s="141"/>
      <c r="DX345" s="141"/>
      <c r="DY345" s="89"/>
      <c r="DZ345" s="89"/>
      <c r="EA345" s="89"/>
      <c r="EB345" s="89"/>
      <c r="EC345" s="89"/>
      <c r="ED345" s="89"/>
      <c r="EE345" s="89"/>
      <c r="EF345" s="89"/>
      <c r="EG345" s="89"/>
      <c r="EH345" s="89"/>
      <c r="EI345" s="89"/>
      <c r="EJ345" s="89"/>
      <c r="EK345" s="89"/>
      <c r="EL345" s="89"/>
      <c r="EM345" s="89"/>
      <c r="EN345" s="89"/>
      <c r="EO345" s="89"/>
      <c r="EP345" s="89"/>
      <c r="EQ345" s="89"/>
      <c r="ER345" s="89"/>
      <c r="ES345" s="89"/>
      <c r="ET345" s="89"/>
      <c r="EU345" s="89"/>
      <c r="EV345" s="89"/>
      <c r="EW345" s="89"/>
      <c r="EX345" s="89"/>
      <c r="EY345" s="89"/>
      <c r="EZ345" s="89"/>
      <c r="FA345" s="141"/>
      <c r="FB345" s="141"/>
      <c r="FC345" s="141"/>
      <c r="FD345" s="141"/>
      <c r="FE345" s="141"/>
      <c r="FF345" s="141"/>
      <c r="FG345" s="141"/>
      <c r="FH345" s="141"/>
      <c r="FI345" s="141"/>
      <c r="FJ345" s="96"/>
      <c r="FK345" s="96"/>
      <c r="FL345" s="96"/>
      <c r="FM345" s="377"/>
      <c r="FN345" s="96"/>
      <c r="FO345" s="96"/>
      <c r="FP345" s="96"/>
      <c r="FQ345" s="96"/>
      <c r="FR345" s="96"/>
      <c r="FS345" s="96"/>
      <c r="FT345" s="96"/>
      <c r="FU345" s="96"/>
      <c r="FV345" s="96"/>
      <c r="FW345" s="96"/>
      <c r="FX345" s="96"/>
      <c r="FY345" s="259"/>
      <c r="FZ345" s="259"/>
      <c r="GA345" s="259"/>
      <c r="GB345" s="259"/>
      <c r="GC345" s="259"/>
      <c r="GD345" s="259"/>
      <c r="GE345" s="259"/>
      <c r="GF345" s="259"/>
      <c r="GG345" s="259"/>
      <c r="GH345" s="259"/>
      <c r="GI345" s="259"/>
      <c r="GJ345" s="259"/>
      <c r="GK345" s="259"/>
      <c r="GL345" s="259"/>
      <c r="GM345" s="259"/>
      <c r="GN345" s="259"/>
      <c r="GO345" s="259"/>
      <c r="GP345" s="259"/>
      <c r="GQ345" s="259"/>
      <c r="GR345" s="259"/>
      <c r="GS345" s="259"/>
      <c r="GT345" s="259"/>
      <c r="GU345" s="259"/>
      <c r="GV345" s="259"/>
    </row>
    <row r="346" spans="1:235" ht="16.95" customHeight="1">
      <c r="A346" s="60"/>
      <c r="B346" s="69"/>
      <c r="C346" s="69"/>
      <c r="D346" s="418"/>
      <c r="E346" s="409"/>
      <c r="F346" s="409"/>
      <c r="G346" s="409"/>
      <c r="H346" s="409"/>
      <c r="I346" s="409"/>
      <c r="J346" s="137"/>
      <c r="K346" s="137"/>
      <c r="L346" s="419"/>
      <c r="M346" s="420"/>
      <c r="N346" s="419"/>
      <c r="O346" s="419"/>
      <c r="P346" s="419"/>
      <c r="Q346" s="419"/>
      <c r="R346" s="419"/>
      <c r="S346" s="137"/>
      <c r="T346" s="410"/>
      <c r="U346" s="410"/>
      <c r="V346" s="410"/>
      <c r="W346" s="410"/>
      <c r="X346" s="410"/>
      <c r="Y346" s="410"/>
      <c r="Z346" s="410"/>
      <c r="AA346" s="410"/>
      <c r="AB346" s="410"/>
      <c r="AC346" s="410"/>
      <c r="AD346" s="410"/>
      <c r="AE346" s="410"/>
      <c r="AF346" s="410"/>
      <c r="AG346" s="410"/>
      <c r="AH346" s="410"/>
      <c r="AI346" s="410"/>
      <c r="AJ346" s="410"/>
      <c r="AK346" s="410"/>
      <c r="AL346" s="410"/>
      <c r="AM346" s="410"/>
      <c r="AN346" s="410"/>
      <c r="AO346" s="410"/>
      <c r="AP346" s="410"/>
      <c r="AQ346" s="410"/>
      <c r="AR346" s="410"/>
      <c r="AS346" s="410"/>
      <c r="AT346" s="410"/>
      <c r="AU346" s="410"/>
      <c r="AV346" s="410"/>
      <c r="AW346" s="297"/>
      <c r="AX346" s="297"/>
      <c r="AY346" s="297"/>
      <c r="AZ346" s="297"/>
      <c r="BA346" s="297"/>
      <c r="BB346" s="297"/>
      <c r="BC346" s="297"/>
      <c r="BD346" s="297"/>
      <c r="BE346" s="297"/>
      <c r="BF346" s="297"/>
      <c r="BG346" s="297"/>
      <c r="BH346" s="297"/>
      <c r="BI346" s="297"/>
      <c r="BJ346" s="297"/>
      <c r="BK346" s="297"/>
      <c r="BL346" s="297"/>
      <c r="BM346" s="297"/>
      <c r="BN346" s="297"/>
      <c r="BO346" s="297"/>
      <c r="BP346" s="297"/>
      <c r="BQ346" s="297"/>
      <c r="BR346" s="297"/>
      <c r="BS346" s="297"/>
      <c r="BT346" s="297"/>
      <c r="BU346" s="297"/>
      <c r="BV346" s="297"/>
      <c r="BW346" s="297"/>
      <c r="BX346" s="297"/>
      <c r="BY346" s="297"/>
      <c r="BZ346" s="297"/>
      <c r="CA346" s="297"/>
      <c r="CB346" s="297"/>
      <c r="CC346" s="297"/>
      <c r="CD346" s="297"/>
      <c r="CE346" s="297"/>
      <c r="CF346" s="297"/>
      <c r="CG346" s="297"/>
      <c r="CH346" s="297"/>
      <c r="CI346" s="297"/>
      <c r="CJ346" s="297"/>
      <c r="CK346" s="297"/>
      <c r="CL346" s="297"/>
      <c r="CM346" s="297"/>
      <c r="CN346" s="297"/>
      <c r="CO346" s="297"/>
      <c r="CP346" s="297"/>
      <c r="CQ346" s="297"/>
      <c r="CR346" s="297"/>
      <c r="CS346" s="297"/>
      <c r="CT346" s="297"/>
      <c r="CU346" s="297"/>
      <c r="CV346" s="297"/>
      <c r="CW346" s="297"/>
      <c r="CX346" s="297"/>
      <c r="CY346" s="410"/>
      <c r="CZ346" s="410"/>
      <c r="DA346" s="410"/>
      <c r="DB346" s="410"/>
      <c r="DC346" s="410"/>
      <c r="DD346" s="410"/>
      <c r="DE346" s="411"/>
      <c r="DF346" s="411"/>
      <c r="DG346" s="411"/>
      <c r="DH346" s="411"/>
      <c r="DI346" s="411"/>
      <c r="DJ346" s="411"/>
      <c r="DK346" s="411"/>
      <c r="DL346" s="424"/>
      <c r="DM346" s="141"/>
      <c r="DN346" s="141"/>
      <c r="DO346" s="141"/>
      <c r="DP346" s="141"/>
      <c r="DQ346" s="141"/>
      <c r="DR346" s="141"/>
      <c r="DS346" s="141"/>
      <c r="DT346" s="141"/>
      <c r="DU346" s="141"/>
      <c r="DV346" s="141"/>
      <c r="DW346" s="141"/>
      <c r="DX346" s="141"/>
      <c r="DY346" s="89"/>
      <c r="DZ346" s="89"/>
      <c r="EA346" s="89"/>
      <c r="EB346" s="89"/>
      <c r="EC346" s="89"/>
      <c r="ED346" s="89"/>
      <c r="EE346" s="89"/>
      <c r="EF346" s="89"/>
      <c r="EG346" s="89"/>
      <c r="EH346" s="89"/>
      <c r="EI346" s="89"/>
      <c r="EJ346" s="89"/>
      <c r="EK346" s="89"/>
      <c r="EL346" s="89"/>
      <c r="EM346" s="89"/>
      <c r="EN346" s="89"/>
      <c r="EO346" s="89"/>
      <c r="EP346" s="89"/>
      <c r="EQ346" s="89"/>
      <c r="ER346" s="89"/>
      <c r="ES346" s="89"/>
      <c r="ET346" s="89"/>
      <c r="EU346" s="89"/>
      <c r="EV346" s="89"/>
      <c r="EW346" s="89"/>
      <c r="EX346" s="89"/>
      <c r="EY346" s="89"/>
      <c r="EZ346" s="89"/>
      <c r="FA346" s="141"/>
      <c r="FB346" s="141"/>
      <c r="FC346" s="141"/>
      <c r="FD346" s="141"/>
      <c r="FE346" s="141"/>
      <c r="FF346" s="141"/>
      <c r="FG346" s="141"/>
      <c r="FH346" s="141"/>
      <c r="FI346" s="141"/>
      <c r="FJ346" s="96"/>
      <c r="FK346" s="96"/>
      <c r="FL346" s="96"/>
      <c r="FM346" s="377"/>
      <c r="FN346" s="96"/>
      <c r="FO346" s="96"/>
      <c r="FP346" s="96"/>
      <c r="FQ346" s="96"/>
      <c r="FR346" s="96"/>
      <c r="FS346" s="96"/>
      <c r="FT346" s="96"/>
      <c r="FU346" s="96"/>
      <c r="FV346" s="96"/>
      <c r="FW346" s="96"/>
      <c r="FX346" s="96"/>
      <c r="FY346" s="259"/>
      <c r="FZ346" s="259"/>
      <c r="GA346" s="259"/>
      <c r="GB346" s="259"/>
      <c r="GC346" s="259"/>
      <c r="GD346" s="259"/>
      <c r="GE346" s="259"/>
      <c r="GF346" s="259"/>
      <c r="GG346" s="259"/>
      <c r="GH346" s="259"/>
      <c r="GI346" s="259"/>
      <c r="GJ346" s="259"/>
      <c r="GK346" s="259"/>
      <c r="GL346" s="259"/>
      <c r="GM346" s="259"/>
      <c r="GN346" s="259"/>
      <c r="GO346" s="259"/>
      <c r="GP346" s="259"/>
      <c r="GQ346" s="259"/>
      <c r="GR346" s="259"/>
      <c r="GS346" s="259"/>
      <c r="GT346" s="259"/>
      <c r="GU346" s="259"/>
      <c r="GV346" s="259"/>
    </row>
    <row r="347" spans="1:235" ht="16.95" customHeight="1">
      <c r="A347" s="60"/>
      <c r="B347" s="69"/>
      <c r="C347" s="69"/>
      <c r="D347" s="418"/>
      <c r="E347" s="409"/>
      <c r="F347" s="409"/>
      <c r="G347" s="409"/>
      <c r="H347" s="409"/>
      <c r="I347" s="409"/>
      <c r="J347" s="137"/>
      <c r="K347" s="137"/>
      <c r="L347" s="419"/>
      <c r="M347" s="420"/>
      <c r="N347" s="419"/>
      <c r="O347" s="419"/>
      <c r="P347" s="419"/>
      <c r="Q347" s="419"/>
      <c r="R347" s="419"/>
      <c r="S347" s="137"/>
      <c r="T347" s="410"/>
      <c r="U347" s="410"/>
      <c r="V347" s="410"/>
      <c r="W347" s="410"/>
      <c r="X347" s="410"/>
      <c r="Y347" s="410"/>
      <c r="Z347" s="410"/>
      <c r="AA347" s="410"/>
      <c r="AB347" s="410"/>
      <c r="AC347" s="410"/>
      <c r="AD347" s="410"/>
      <c r="AE347" s="410"/>
      <c r="AF347" s="410"/>
      <c r="AG347" s="410"/>
      <c r="AH347" s="410"/>
      <c r="AI347" s="410"/>
      <c r="AJ347" s="410"/>
      <c r="AK347" s="410"/>
      <c r="AL347" s="410"/>
      <c r="AM347" s="410"/>
      <c r="AN347" s="410"/>
      <c r="AO347" s="410"/>
      <c r="AP347" s="410"/>
      <c r="AQ347" s="410"/>
      <c r="AR347" s="410"/>
      <c r="AS347" s="410"/>
      <c r="AT347" s="410"/>
      <c r="AU347" s="410"/>
      <c r="AV347" s="410"/>
      <c r="AW347" s="297"/>
      <c r="AX347" s="297"/>
      <c r="AY347" s="297"/>
      <c r="AZ347" s="297"/>
      <c r="BA347" s="297"/>
      <c r="BB347" s="297"/>
      <c r="BC347" s="297"/>
      <c r="BD347" s="297"/>
      <c r="BE347" s="297"/>
      <c r="BF347" s="297"/>
      <c r="BG347" s="297"/>
      <c r="BH347" s="297"/>
      <c r="BI347" s="297"/>
      <c r="BJ347" s="297"/>
      <c r="BK347" s="297"/>
      <c r="BL347" s="297"/>
      <c r="BM347" s="297"/>
      <c r="BN347" s="297"/>
      <c r="BO347" s="297"/>
      <c r="BP347" s="297"/>
      <c r="BQ347" s="297"/>
      <c r="BR347" s="297"/>
      <c r="BS347" s="297"/>
      <c r="BT347" s="297"/>
      <c r="BU347" s="297"/>
      <c r="BV347" s="297"/>
      <c r="BW347" s="297"/>
      <c r="BX347" s="297"/>
      <c r="BY347" s="297"/>
      <c r="BZ347" s="297"/>
      <c r="CA347" s="297"/>
      <c r="CB347" s="297"/>
      <c r="CC347" s="297"/>
      <c r="CD347" s="297"/>
      <c r="CE347" s="297"/>
      <c r="CF347" s="297"/>
      <c r="CG347" s="297"/>
      <c r="CH347" s="297"/>
      <c r="CI347" s="297"/>
      <c r="CJ347" s="297"/>
      <c r="CK347" s="297"/>
      <c r="CL347" s="297"/>
      <c r="CM347" s="297"/>
      <c r="CN347" s="297"/>
      <c r="CO347" s="297"/>
      <c r="CP347" s="297"/>
      <c r="CQ347" s="297"/>
      <c r="CR347" s="297"/>
      <c r="CS347" s="297"/>
      <c r="CT347" s="297"/>
      <c r="CU347" s="297"/>
      <c r="CV347" s="297"/>
      <c r="CW347" s="297"/>
      <c r="CX347" s="297"/>
      <c r="CY347" s="410"/>
      <c r="CZ347" s="410"/>
      <c r="DA347" s="410"/>
      <c r="DB347" s="410"/>
      <c r="DC347" s="410"/>
      <c r="DD347" s="410"/>
      <c r="DE347" s="411"/>
      <c r="DF347" s="411"/>
      <c r="DG347" s="411"/>
      <c r="DH347" s="411"/>
      <c r="DI347" s="411"/>
      <c r="DJ347" s="411"/>
      <c r="DK347" s="411"/>
      <c r="DL347" s="424"/>
      <c r="DM347" s="141"/>
      <c r="DN347" s="141"/>
      <c r="DO347" s="141"/>
      <c r="DP347" s="141"/>
      <c r="DQ347" s="141"/>
      <c r="DR347" s="141"/>
      <c r="DS347" s="141"/>
      <c r="DT347" s="141"/>
      <c r="DU347" s="141"/>
      <c r="DV347" s="141"/>
      <c r="DW347" s="141"/>
      <c r="DX347" s="141"/>
      <c r="DY347" s="89"/>
      <c r="DZ347" s="89"/>
      <c r="EA347" s="89"/>
      <c r="EB347" s="89"/>
      <c r="EC347" s="89"/>
      <c r="ED347" s="89"/>
      <c r="EE347" s="89"/>
      <c r="EF347" s="89"/>
      <c r="EG347" s="89"/>
      <c r="EH347" s="89"/>
      <c r="EI347" s="89"/>
      <c r="EJ347" s="89"/>
      <c r="EK347" s="89"/>
      <c r="EL347" s="89"/>
      <c r="EM347" s="89"/>
      <c r="EN347" s="89"/>
      <c r="EO347" s="89"/>
      <c r="EP347" s="89"/>
      <c r="EQ347" s="89"/>
      <c r="ER347" s="89"/>
      <c r="ES347" s="89"/>
      <c r="ET347" s="89"/>
      <c r="EU347" s="89"/>
      <c r="EV347" s="89"/>
      <c r="EW347" s="89"/>
      <c r="EX347" s="89"/>
      <c r="EY347" s="89"/>
      <c r="EZ347" s="89"/>
      <c r="FA347" s="141"/>
      <c r="FB347" s="141"/>
      <c r="FC347" s="141"/>
      <c r="FD347" s="141"/>
      <c r="FE347" s="141"/>
      <c r="FF347" s="141"/>
      <c r="FG347" s="141"/>
      <c r="FH347" s="141"/>
      <c r="FI347" s="141"/>
      <c r="FJ347" s="96"/>
      <c r="FK347" s="96"/>
      <c r="FL347" s="96"/>
      <c r="FM347" s="377"/>
      <c r="FN347" s="96"/>
      <c r="FO347" s="96"/>
      <c r="FP347" s="96"/>
      <c r="FQ347" s="96"/>
      <c r="FR347" s="96"/>
      <c r="FS347" s="96"/>
      <c r="FT347" s="96"/>
      <c r="FU347" s="96"/>
      <c r="FV347" s="96"/>
      <c r="FW347" s="96"/>
      <c r="FX347" s="96"/>
      <c r="FY347" s="259"/>
      <c r="FZ347" s="259"/>
      <c r="GA347" s="259"/>
      <c r="GB347" s="259"/>
      <c r="GC347" s="259"/>
      <c r="GD347" s="259"/>
      <c r="GE347" s="259"/>
      <c r="GF347" s="259"/>
      <c r="GG347" s="259"/>
      <c r="GH347" s="259"/>
      <c r="GI347" s="259"/>
      <c r="GJ347" s="259"/>
      <c r="GK347" s="259"/>
      <c r="GL347" s="259"/>
      <c r="GM347" s="259"/>
      <c r="GN347" s="259"/>
      <c r="GO347" s="259"/>
      <c r="GP347" s="259"/>
      <c r="GQ347" s="259"/>
      <c r="GR347" s="259"/>
      <c r="GS347" s="259"/>
      <c r="GT347" s="259"/>
      <c r="GU347" s="259"/>
      <c r="GV347" s="259"/>
    </row>
    <row r="348" spans="1:235" ht="16.95" customHeight="1">
      <c r="A348" s="60"/>
      <c r="B348" s="69"/>
      <c r="C348" s="69"/>
      <c r="D348" s="418"/>
      <c r="E348" s="409"/>
      <c r="F348" s="409"/>
      <c r="G348" s="409"/>
      <c r="H348" s="409"/>
      <c r="I348" s="409"/>
      <c r="J348" s="137"/>
      <c r="K348" s="137"/>
      <c r="L348" s="419"/>
      <c r="M348" s="420"/>
      <c r="N348" s="419"/>
      <c r="O348" s="419"/>
      <c r="P348" s="419"/>
      <c r="Q348" s="419"/>
      <c r="R348" s="419"/>
      <c r="S348" s="137"/>
      <c r="T348" s="410"/>
      <c r="U348" s="410"/>
      <c r="V348" s="410"/>
      <c r="W348" s="410"/>
      <c r="X348" s="410"/>
      <c r="Y348" s="410"/>
      <c r="Z348" s="410"/>
      <c r="AA348" s="410"/>
      <c r="AB348" s="410"/>
      <c r="AC348" s="410"/>
      <c r="AD348" s="410"/>
      <c r="AE348" s="410"/>
      <c r="AF348" s="410"/>
      <c r="AG348" s="410"/>
      <c r="AH348" s="410"/>
      <c r="AI348" s="410"/>
      <c r="AJ348" s="410"/>
      <c r="AK348" s="410"/>
      <c r="AL348" s="410"/>
      <c r="AM348" s="410"/>
      <c r="AN348" s="410"/>
      <c r="AO348" s="410"/>
      <c r="AP348" s="410"/>
      <c r="AQ348" s="410"/>
      <c r="AR348" s="410"/>
      <c r="AS348" s="410"/>
      <c r="AT348" s="410"/>
      <c r="AU348" s="410"/>
      <c r="AV348" s="410"/>
      <c r="AW348" s="297"/>
      <c r="AX348" s="297"/>
      <c r="AY348" s="297"/>
      <c r="AZ348" s="297"/>
      <c r="BA348" s="297"/>
      <c r="BB348" s="297"/>
      <c r="BC348" s="297"/>
      <c r="BD348" s="297"/>
      <c r="BE348" s="297"/>
      <c r="BF348" s="297"/>
      <c r="BG348" s="297"/>
      <c r="BH348" s="297"/>
      <c r="BI348" s="297"/>
      <c r="BJ348" s="297"/>
      <c r="BK348" s="297"/>
      <c r="BL348" s="297"/>
      <c r="BM348" s="297"/>
      <c r="BN348" s="297"/>
      <c r="BO348" s="297"/>
      <c r="BP348" s="297"/>
      <c r="BQ348" s="297"/>
      <c r="BR348" s="297"/>
      <c r="BS348" s="297"/>
      <c r="BT348" s="297"/>
      <c r="BU348" s="297"/>
      <c r="BV348" s="297"/>
      <c r="BW348" s="297"/>
      <c r="BX348" s="297"/>
      <c r="BY348" s="297"/>
      <c r="BZ348" s="297"/>
      <c r="CA348" s="297"/>
      <c r="CB348" s="297"/>
      <c r="CC348" s="297"/>
      <c r="CD348" s="297"/>
      <c r="CE348" s="297"/>
      <c r="CF348" s="297"/>
      <c r="CG348" s="297"/>
      <c r="CH348" s="297"/>
      <c r="CI348" s="297"/>
      <c r="CJ348" s="297"/>
      <c r="CK348" s="297"/>
      <c r="CL348" s="297"/>
      <c r="CM348" s="297"/>
      <c r="CN348" s="297"/>
      <c r="CO348" s="297"/>
      <c r="CP348" s="297"/>
      <c r="CQ348" s="297"/>
      <c r="CR348" s="297"/>
      <c r="CS348" s="297"/>
      <c r="CT348" s="297"/>
      <c r="CU348" s="297"/>
      <c r="CV348" s="297"/>
      <c r="CW348" s="297"/>
      <c r="CX348" s="297"/>
      <c r="CY348" s="410"/>
      <c r="CZ348" s="410"/>
      <c r="DA348" s="410"/>
      <c r="DB348" s="410"/>
      <c r="DC348" s="410"/>
      <c r="DD348" s="410"/>
      <c r="DE348" s="411"/>
      <c r="DF348" s="411"/>
      <c r="DG348" s="411"/>
      <c r="DH348" s="411"/>
      <c r="DI348" s="411"/>
      <c r="DJ348" s="411"/>
      <c r="DK348" s="411"/>
      <c r="DL348" s="424"/>
      <c r="DM348" s="141"/>
      <c r="DN348" s="141"/>
      <c r="DO348" s="141"/>
      <c r="DP348" s="141"/>
      <c r="DQ348" s="141"/>
      <c r="DR348" s="141"/>
      <c r="DS348" s="141"/>
      <c r="DT348" s="141"/>
      <c r="DU348" s="141"/>
      <c r="DV348" s="141"/>
      <c r="DW348" s="141"/>
      <c r="DX348" s="141"/>
      <c r="DY348" s="89"/>
      <c r="DZ348" s="89"/>
      <c r="EA348" s="89"/>
      <c r="EB348" s="89"/>
      <c r="EC348" s="89"/>
      <c r="ED348" s="89"/>
      <c r="EE348" s="89"/>
      <c r="EF348" s="89"/>
      <c r="EG348" s="89"/>
      <c r="EH348" s="89"/>
      <c r="EI348" s="89"/>
      <c r="EJ348" s="89"/>
      <c r="EK348" s="89"/>
      <c r="EL348" s="89"/>
      <c r="EM348" s="89"/>
      <c r="EN348" s="89"/>
      <c r="EO348" s="89"/>
      <c r="EP348" s="89"/>
      <c r="EQ348" s="89"/>
      <c r="ER348" s="89"/>
      <c r="ES348" s="89"/>
      <c r="ET348" s="89"/>
      <c r="EU348" s="89"/>
      <c r="EV348" s="89"/>
      <c r="EW348" s="89"/>
      <c r="EX348" s="89"/>
      <c r="EY348" s="89"/>
      <c r="EZ348" s="89"/>
      <c r="FA348" s="141"/>
      <c r="FB348" s="141"/>
      <c r="FC348" s="141"/>
      <c r="FD348" s="141"/>
      <c r="FE348" s="141"/>
      <c r="FF348" s="141"/>
      <c r="FG348" s="141"/>
      <c r="FH348" s="141"/>
      <c r="FI348" s="141"/>
      <c r="FJ348" s="96"/>
      <c r="FK348" s="96"/>
      <c r="FL348" s="96"/>
      <c r="FM348" s="377"/>
      <c r="FN348" s="96"/>
      <c r="FO348" s="96"/>
      <c r="FP348" s="96"/>
      <c r="FQ348" s="96"/>
      <c r="FR348" s="96"/>
      <c r="FS348" s="96"/>
      <c r="FT348" s="96"/>
      <c r="FU348" s="96"/>
      <c r="FV348" s="96"/>
      <c r="FW348" s="96"/>
      <c r="FX348" s="96"/>
      <c r="FY348" s="259"/>
      <c r="FZ348" s="259"/>
      <c r="GA348" s="259"/>
      <c r="GB348" s="259"/>
      <c r="GC348" s="259"/>
      <c r="GD348" s="259"/>
      <c r="GE348" s="259"/>
      <c r="GF348" s="259"/>
      <c r="GG348" s="259"/>
      <c r="GH348" s="259"/>
      <c r="GI348" s="259"/>
      <c r="GJ348" s="259"/>
      <c r="GK348" s="259"/>
      <c r="GL348" s="259"/>
      <c r="GM348" s="259"/>
      <c r="GN348" s="259"/>
      <c r="GO348" s="259"/>
      <c r="GP348" s="259"/>
      <c r="GQ348" s="259"/>
      <c r="GR348" s="259"/>
      <c r="GS348" s="259"/>
      <c r="GT348" s="259"/>
      <c r="GU348" s="259"/>
      <c r="GV348" s="259"/>
    </row>
    <row r="349" spans="1:235" ht="16.95" customHeight="1">
      <c r="A349" s="60"/>
      <c r="B349" s="69"/>
      <c r="C349" s="69"/>
      <c r="D349" s="418" t="str">
        <f ca="1">IF(FL1=0,"","Welk surplus is ingetekend?")</f>
        <v/>
      </c>
      <c r="E349" s="409"/>
      <c r="F349" s="409"/>
      <c r="G349" s="409"/>
      <c r="H349" s="409"/>
      <c r="I349" s="409"/>
      <c r="J349" s="137"/>
      <c r="K349" s="137"/>
      <c r="L349" s="419"/>
      <c r="M349" s="420"/>
      <c r="N349" s="419"/>
      <c r="O349" s="419"/>
      <c r="P349" s="419"/>
      <c r="Q349" s="419"/>
      <c r="R349" s="419"/>
      <c r="S349" s="137"/>
      <c r="T349" s="410"/>
      <c r="U349" s="410"/>
      <c r="V349" s="410"/>
      <c r="W349" s="410"/>
      <c r="X349" s="410"/>
      <c r="Y349" s="410"/>
      <c r="Z349" s="410"/>
      <c r="AA349" s="410"/>
      <c r="AB349" s="410"/>
      <c r="AC349" s="410"/>
      <c r="AD349" s="410"/>
      <c r="AE349" s="410"/>
      <c r="AF349" s="410"/>
      <c r="AG349" s="410"/>
      <c r="AH349" s="410"/>
      <c r="AI349" s="410"/>
      <c r="AJ349" s="410"/>
      <c r="AK349" s="410"/>
      <c r="AL349" s="410"/>
      <c r="AM349" s="410"/>
      <c r="AN349" s="410"/>
      <c r="AO349" s="410"/>
      <c r="AP349" s="410"/>
      <c r="AQ349" s="410"/>
      <c r="AR349" s="410"/>
      <c r="AS349" s="410"/>
      <c r="AT349" s="410"/>
      <c r="AU349" s="410"/>
      <c r="AV349" s="410"/>
      <c r="AW349" s="297"/>
      <c r="AX349" s="297"/>
      <c r="AY349" s="297"/>
      <c r="AZ349" s="297"/>
      <c r="BA349" s="297"/>
      <c r="BB349" s="297"/>
      <c r="BC349" s="297"/>
      <c r="BD349" s="297"/>
      <c r="BE349" s="297"/>
      <c r="BF349" s="297"/>
      <c r="BG349" s="297"/>
      <c r="BH349" s="297"/>
      <c r="BI349" s="297"/>
      <c r="BJ349" s="297"/>
      <c r="BK349" s="297"/>
      <c r="BL349" s="297"/>
      <c r="BM349" s="297"/>
      <c r="BN349" s="297"/>
      <c r="BO349" s="297"/>
      <c r="BP349" s="297"/>
      <c r="BQ349" s="297"/>
      <c r="BR349" s="297"/>
      <c r="BS349" s="297"/>
      <c r="BT349" s="297"/>
      <c r="BU349" s="297"/>
      <c r="BV349" s="297"/>
      <c r="BW349" s="297"/>
      <c r="BX349" s="297"/>
      <c r="BY349" s="297"/>
      <c r="BZ349" s="297"/>
      <c r="CA349" s="297"/>
      <c r="CB349" s="297"/>
      <c r="CC349" s="297"/>
      <c r="CD349" s="297"/>
      <c r="CE349" s="297"/>
      <c r="CF349" s="297"/>
      <c r="CG349" s="297"/>
      <c r="CH349" s="297"/>
      <c r="CI349" s="297"/>
      <c r="CJ349" s="297"/>
      <c r="CK349" s="297"/>
      <c r="CL349" s="297"/>
      <c r="CM349" s="297"/>
      <c r="CN349" s="297"/>
      <c r="CO349" s="297"/>
      <c r="CP349" s="297"/>
      <c r="CQ349" s="297"/>
      <c r="CR349" s="297"/>
      <c r="CS349" s="297"/>
      <c r="CT349" s="297"/>
      <c r="CU349" s="297"/>
      <c r="CV349" s="297"/>
      <c r="CW349" s="297"/>
      <c r="CX349" s="297"/>
      <c r="CY349" s="410"/>
      <c r="CZ349" s="410"/>
      <c r="DA349" s="410"/>
      <c r="DB349" s="410"/>
      <c r="DC349" s="410"/>
      <c r="DD349" s="410"/>
      <c r="DE349" s="411"/>
      <c r="DF349" s="411"/>
      <c r="DG349" s="411"/>
      <c r="DH349" s="411"/>
      <c r="DI349" s="411"/>
      <c r="DJ349" s="411"/>
      <c r="DK349" s="411"/>
      <c r="DL349" s="424"/>
      <c r="DM349" s="141"/>
      <c r="DN349" s="141"/>
      <c r="DO349" s="141"/>
      <c r="DP349" s="141"/>
      <c r="DQ349" s="141"/>
      <c r="DR349" s="141"/>
      <c r="DS349" s="141"/>
      <c r="DT349" s="141"/>
      <c r="DU349" s="141"/>
      <c r="DV349" s="141"/>
      <c r="DW349" s="141"/>
      <c r="DX349" s="141"/>
      <c r="DY349" s="89"/>
      <c r="DZ349" s="89"/>
      <c r="EA349" s="89"/>
      <c r="EB349" s="89"/>
      <c r="EC349" s="89"/>
      <c r="ED349" s="89"/>
      <c r="EE349" s="89"/>
      <c r="EF349" s="89"/>
      <c r="EG349" s="89"/>
      <c r="EH349" s="89"/>
      <c r="EI349" s="89"/>
      <c r="EJ349" s="89"/>
      <c r="EK349" s="89"/>
      <c r="EL349" s="89"/>
      <c r="EM349" s="89"/>
      <c r="EN349" s="89"/>
      <c r="EO349" s="89"/>
      <c r="EP349" s="89"/>
      <c r="EQ349" s="89"/>
      <c r="ER349" s="89"/>
      <c r="ES349" s="89"/>
      <c r="ET349" s="89"/>
      <c r="EU349" s="89"/>
      <c r="EV349" s="89"/>
      <c r="EW349" s="89"/>
      <c r="EX349" s="89"/>
      <c r="EY349" s="89"/>
      <c r="EZ349" s="89"/>
      <c r="FA349" s="141"/>
      <c r="FB349" s="141"/>
      <c r="FC349" s="141"/>
      <c r="FD349" s="141"/>
      <c r="FE349" s="141"/>
      <c r="FF349" s="141"/>
      <c r="FG349" s="141"/>
      <c r="FH349" s="141"/>
      <c r="FI349" s="141"/>
      <c r="FJ349" s="96"/>
      <c r="FK349" s="96"/>
      <c r="FL349" s="96"/>
      <c r="FM349" s="377"/>
      <c r="FN349" s="96"/>
      <c r="FO349" s="96"/>
      <c r="FP349" s="96"/>
      <c r="FQ349" s="96"/>
      <c r="FR349" s="96"/>
      <c r="FS349" s="96"/>
      <c r="FT349" s="96"/>
      <c r="FU349" s="96"/>
      <c r="FV349" s="96"/>
      <c r="FW349" s="96"/>
      <c r="FX349" s="96"/>
      <c r="FY349" s="259"/>
      <c r="FZ349" s="259"/>
      <c r="GA349" s="259"/>
      <c r="GB349" s="259"/>
      <c r="GC349" s="259"/>
      <c r="GD349" s="259"/>
      <c r="GE349" s="259"/>
      <c r="GF349" s="259"/>
      <c r="GG349" s="259"/>
      <c r="GH349" s="259"/>
      <c r="GI349" s="259"/>
      <c r="GJ349" s="259"/>
      <c r="GK349" s="259"/>
      <c r="GL349" s="259"/>
      <c r="GM349" s="259"/>
      <c r="GN349" s="259"/>
      <c r="GO349" s="259"/>
      <c r="GP349" s="259"/>
      <c r="GQ349" s="259"/>
      <c r="GR349" s="259"/>
      <c r="GS349" s="259"/>
      <c r="GT349" s="259"/>
      <c r="GU349" s="259"/>
      <c r="GV349" s="259"/>
    </row>
    <row r="350" spans="1:235" ht="6" customHeight="1">
      <c r="A350" s="60"/>
      <c r="B350" s="69"/>
      <c r="C350" s="69"/>
      <c r="D350" s="418"/>
      <c r="E350" s="409"/>
      <c r="F350" s="409"/>
      <c r="G350" s="409"/>
      <c r="H350" s="409"/>
      <c r="I350" s="409"/>
      <c r="J350" s="137"/>
      <c r="K350" s="137"/>
      <c r="L350" s="419"/>
      <c r="M350" s="420"/>
      <c r="N350" s="419"/>
      <c r="O350" s="419"/>
      <c r="P350" s="419"/>
      <c r="Q350" s="419"/>
      <c r="R350" s="419"/>
      <c r="S350" s="137"/>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410"/>
      <c r="AQ350" s="410"/>
      <c r="AR350" s="410"/>
      <c r="AS350" s="410"/>
      <c r="AT350" s="410"/>
      <c r="AU350" s="410"/>
      <c r="AV350" s="410"/>
      <c r="AW350" s="297"/>
      <c r="AX350" s="297"/>
      <c r="AY350" s="297"/>
      <c r="AZ350" s="297"/>
      <c r="BA350" s="297"/>
      <c r="BB350" s="297"/>
      <c r="BC350" s="297"/>
      <c r="BD350" s="297"/>
      <c r="BE350" s="297"/>
      <c r="BF350" s="297"/>
      <c r="BG350" s="297"/>
      <c r="BH350" s="297"/>
      <c r="BI350" s="297"/>
      <c r="BJ350" s="297"/>
      <c r="BK350" s="297"/>
      <c r="BL350" s="297"/>
      <c r="BM350" s="297"/>
      <c r="BN350" s="297"/>
      <c r="BO350" s="297"/>
      <c r="BP350" s="297"/>
      <c r="BQ350" s="297"/>
      <c r="BR350" s="297"/>
      <c r="BS350" s="297"/>
      <c r="BT350" s="297"/>
      <c r="BU350" s="297"/>
      <c r="BV350" s="297"/>
      <c r="BW350" s="297"/>
      <c r="BX350" s="297"/>
      <c r="BY350" s="297"/>
      <c r="BZ350" s="297"/>
      <c r="CA350" s="297"/>
      <c r="CB350" s="297"/>
      <c r="CC350" s="297"/>
      <c r="CD350" s="297"/>
      <c r="CE350" s="297"/>
      <c r="CF350" s="297"/>
      <c r="CG350" s="297"/>
      <c r="CH350" s="297"/>
      <c r="CI350" s="297"/>
      <c r="CJ350" s="297"/>
      <c r="CK350" s="297"/>
      <c r="CL350" s="297"/>
      <c r="CM350" s="297"/>
      <c r="CN350" s="297"/>
      <c r="CO350" s="297"/>
      <c r="CP350" s="297"/>
      <c r="CQ350" s="297"/>
      <c r="CR350" s="297"/>
      <c r="CS350" s="297"/>
      <c r="CT350" s="297"/>
      <c r="CU350" s="297"/>
      <c r="CV350" s="297"/>
      <c r="CW350" s="297"/>
      <c r="CX350" s="297"/>
      <c r="CY350" s="410"/>
      <c r="CZ350" s="410"/>
      <c r="DA350" s="410"/>
      <c r="DB350" s="410"/>
      <c r="DC350" s="410"/>
      <c r="DD350" s="410"/>
      <c r="DE350" s="411"/>
      <c r="DF350" s="411"/>
      <c r="DG350" s="411"/>
      <c r="DH350" s="411"/>
      <c r="DI350" s="411"/>
      <c r="DJ350" s="411"/>
      <c r="DK350" s="411"/>
      <c r="DL350" s="424"/>
      <c r="DM350" s="141"/>
      <c r="DN350" s="141"/>
      <c r="DO350" s="141"/>
      <c r="DP350" s="141"/>
      <c r="DQ350" s="141"/>
      <c r="DR350" s="141"/>
      <c r="DS350" s="141"/>
      <c r="DT350" s="141"/>
      <c r="DU350" s="141"/>
      <c r="DV350" s="141"/>
      <c r="DW350" s="141"/>
      <c r="DX350" s="141"/>
      <c r="DY350" s="89"/>
      <c r="DZ350" s="89"/>
      <c r="EA350" s="89"/>
      <c r="EB350" s="89"/>
      <c r="EC350" s="89"/>
      <c r="ED350" s="89"/>
      <c r="EE350" s="89"/>
      <c r="EF350" s="89"/>
      <c r="EG350" s="89"/>
      <c r="EH350" s="89"/>
      <c r="EI350" s="89"/>
      <c r="EJ350" s="89"/>
      <c r="EK350" s="89"/>
      <c r="EL350" s="89"/>
      <c r="EM350" s="89"/>
      <c r="EN350" s="89"/>
      <c r="EO350" s="89"/>
      <c r="EP350" s="89"/>
      <c r="EQ350" s="89"/>
      <c r="ER350" s="89"/>
      <c r="ES350" s="89"/>
      <c r="ET350" s="89"/>
      <c r="EU350" s="89"/>
      <c r="EV350" s="89"/>
      <c r="EW350" s="89"/>
      <c r="EX350" s="89"/>
      <c r="EY350" s="89"/>
      <c r="EZ350" s="89"/>
      <c r="FA350" s="141"/>
      <c r="FB350" s="141"/>
      <c r="FC350" s="141"/>
      <c r="FD350" s="141"/>
      <c r="FE350" s="141"/>
      <c r="FF350" s="141"/>
      <c r="FG350" s="141"/>
      <c r="FH350" s="141"/>
      <c r="FI350" s="141"/>
      <c r="FJ350" s="96"/>
      <c r="FK350" s="257"/>
      <c r="FL350" s="96"/>
      <c r="FM350" s="377"/>
      <c r="FN350" s="96"/>
      <c r="FO350" s="96"/>
      <c r="FP350" s="96"/>
      <c r="FQ350" s="96"/>
      <c r="FR350" s="96"/>
      <c r="FS350" s="96"/>
      <c r="FT350" s="96"/>
      <c r="FU350" s="96"/>
      <c r="FV350" s="96"/>
      <c r="FW350" s="96"/>
      <c r="FX350" s="96"/>
      <c r="FY350" s="259"/>
      <c r="FZ350" s="259"/>
      <c r="GA350" s="259"/>
      <c r="GB350" s="259"/>
      <c r="GC350" s="259"/>
      <c r="GD350" s="259"/>
      <c r="GE350" s="259"/>
      <c r="GF350" s="259"/>
      <c r="GG350" s="259"/>
      <c r="GH350" s="259"/>
      <c r="GI350" s="259"/>
      <c r="GJ350" s="259"/>
      <c r="GK350" s="259"/>
      <c r="GL350" s="259"/>
      <c r="GM350" s="259"/>
      <c r="GN350" s="259"/>
      <c r="GO350" s="259"/>
      <c r="GP350" s="259"/>
      <c r="GQ350" s="259"/>
      <c r="GR350" s="259"/>
      <c r="GS350" s="259"/>
      <c r="GT350" s="259"/>
      <c r="GU350" s="259"/>
      <c r="GV350" s="259"/>
    </row>
    <row r="351" spans="1:235" ht="3.6" customHeight="1">
      <c r="A351" s="60"/>
      <c r="B351" s="69"/>
      <c r="C351" s="69"/>
      <c r="D351" s="418"/>
      <c r="E351" s="409"/>
      <c r="F351" s="409"/>
      <c r="G351" s="409"/>
      <c r="H351" s="409"/>
      <c r="I351" s="409"/>
      <c r="J351" s="137"/>
      <c r="K351" s="137"/>
      <c r="L351" s="297"/>
      <c r="M351" s="297"/>
      <c r="N351" s="297"/>
      <c r="O351" s="297"/>
      <c r="P351" s="538" t="str">
        <f ca="1">IF(FL1=0,"","+")</f>
        <v/>
      </c>
      <c r="Q351" s="548"/>
      <c r="R351" s="548"/>
      <c r="S351" s="548"/>
      <c r="T351" s="548"/>
      <c r="U351" s="548"/>
      <c r="V351" s="548"/>
      <c r="W351" s="548"/>
      <c r="X351" s="548"/>
      <c r="Y351" s="548"/>
      <c r="Z351" s="548"/>
      <c r="AA351" s="548"/>
      <c r="AB351" s="548"/>
      <c r="AC351" s="548"/>
      <c r="AD351" s="548"/>
      <c r="AE351" s="548"/>
      <c r="AF351" s="548"/>
      <c r="AG351" s="548"/>
      <c r="AH351" s="548"/>
      <c r="AI351" s="548"/>
      <c r="AJ351" s="548"/>
      <c r="AK351" s="548"/>
      <c r="AL351" s="548"/>
      <c r="AM351" s="548"/>
      <c r="AN351" s="548"/>
      <c r="AO351" s="548"/>
      <c r="AP351" s="548"/>
      <c r="AQ351" s="548"/>
      <c r="AR351" s="548"/>
      <c r="AS351" s="548"/>
      <c r="AT351" s="548"/>
      <c r="AU351" s="548"/>
      <c r="AV351" s="548"/>
      <c r="AW351" s="548"/>
      <c r="AX351" s="548"/>
      <c r="AY351" s="548"/>
      <c r="AZ351" s="548"/>
      <c r="BA351" s="548"/>
      <c r="BB351" s="548"/>
      <c r="BC351" s="548"/>
      <c r="BD351" s="548"/>
      <c r="BE351" s="548"/>
      <c r="BF351" s="548"/>
      <c r="BG351" s="548"/>
      <c r="BH351" s="548"/>
      <c r="BI351" s="548"/>
      <c r="BJ351" s="548"/>
      <c r="BK351" s="548"/>
      <c r="BL351" s="548"/>
      <c r="BM351" s="548"/>
      <c r="BN351" s="548"/>
      <c r="BO351" s="548"/>
      <c r="BP351" s="548"/>
      <c r="BQ351" s="548"/>
      <c r="BR351" s="548"/>
      <c r="BS351" s="548"/>
      <c r="BT351" s="548"/>
      <c r="BU351" s="548"/>
      <c r="BV351" s="548"/>
      <c r="BW351" s="548"/>
      <c r="BX351" s="548"/>
      <c r="BY351" s="548"/>
      <c r="BZ351" s="548"/>
      <c r="CA351" s="548"/>
      <c r="CB351" s="548"/>
      <c r="CC351" s="548"/>
      <c r="CD351" s="548"/>
      <c r="CE351" s="548"/>
      <c r="CF351" s="548"/>
      <c r="CG351" s="548"/>
      <c r="CH351" s="548"/>
      <c r="CI351" s="548"/>
      <c r="CJ351" s="548"/>
      <c r="CK351" s="548"/>
      <c r="CL351" s="548"/>
      <c r="CM351" s="532"/>
      <c r="CN351" s="532"/>
      <c r="CO351" s="532"/>
      <c r="CP351" s="532"/>
      <c r="CQ351" s="532"/>
      <c r="CR351" s="532"/>
      <c r="CS351" s="532"/>
      <c r="CT351" s="532"/>
      <c r="CU351" s="532"/>
      <c r="CV351" s="532"/>
      <c r="CW351" s="532"/>
      <c r="CX351" s="532"/>
      <c r="CY351" s="532"/>
      <c r="CZ351" s="532"/>
      <c r="DA351" s="532"/>
      <c r="DB351" s="532"/>
      <c r="DC351" s="532"/>
      <c r="DD351" s="532"/>
      <c r="DE351" s="532"/>
      <c r="DF351" s="532"/>
      <c r="DG351" s="532"/>
      <c r="DH351" s="532"/>
      <c r="DI351" s="532"/>
      <c r="DJ351" s="532"/>
      <c r="DK351" s="532"/>
      <c r="DL351" s="532"/>
      <c r="DM351" s="532"/>
      <c r="DN351" s="532"/>
      <c r="DO351" s="532"/>
      <c r="DP351" s="532"/>
      <c r="DQ351" s="532"/>
      <c r="DR351" s="532"/>
      <c r="DS351" s="532"/>
      <c r="DT351" s="532"/>
      <c r="DU351" s="532"/>
      <c r="DV351" s="532"/>
      <c r="DW351" s="532"/>
      <c r="DX351" s="532"/>
      <c r="DY351" s="532"/>
      <c r="DZ351" s="532"/>
      <c r="EA351" s="532"/>
      <c r="EB351" s="532"/>
      <c r="EC351" s="532"/>
      <c r="ED351" s="532"/>
      <c r="EE351" s="532"/>
      <c r="EF351" s="532"/>
      <c r="EG351" s="532"/>
      <c r="EH351" s="532"/>
      <c r="EI351" s="532"/>
      <c r="EJ351" s="532"/>
      <c r="EK351" s="532"/>
      <c r="EL351" s="532"/>
      <c r="EM351" s="532"/>
      <c r="EN351" s="532"/>
      <c r="EO351" s="532"/>
      <c r="EP351" s="532"/>
      <c r="EQ351" s="532"/>
      <c r="ER351" s="141"/>
      <c r="ES351" s="141"/>
      <c r="ET351" s="141"/>
      <c r="EU351" s="141"/>
      <c r="EV351" s="141"/>
      <c r="EW351" s="141"/>
      <c r="EX351" s="141"/>
      <c r="EY351" s="141"/>
      <c r="EZ351" s="141"/>
      <c r="FA351" s="141"/>
      <c r="FB351" s="141"/>
      <c r="FC351" s="141"/>
      <c r="FD351" s="141"/>
      <c r="FE351" s="141"/>
      <c r="FF351" s="141"/>
      <c r="FG351" s="141"/>
      <c r="FH351" s="141"/>
      <c r="FI351" s="141"/>
      <c r="FJ351" s="257"/>
      <c r="FK351" s="257"/>
      <c r="FL351" s="257"/>
      <c r="FM351" s="300"/>
      <c r="FN351" s="277"/>
      <c r="FO351" s="277"/>
      <c r="FP351" s="96"/>
      <c r="FQ351" s="96"/>
      <c r="FR351" s="96"/>
      <c r="FS351" s="96"/>
      <c r="FT351" s="96"/>
      <c r="FU351" s="96"/>
      <c r="FV351" s="96"/>
      <c r="FW351" s="96"/>
      <c r="FX351" s="96"/>
      <c r="FY351" s="259"/>
      <c r="FZ351" s="259"/>
      <c r="GA351" s="259"/>
      <c r="GB351" s="259"/>
      <c r="GC351" s="259"/>
      <c r="GD351" s="259"/>
      <c r="GE351" s="259"/>
      <c r="GF351" s="259"/>
      <c r="GG351" s="259"/>
      <c r="GH351" s="259"/>
      <c r="GI351" s="259"/>
      <c r="GJ351" s="259"/>
      <c r="GK351" s="259"/>
      <c r="GL351" s="259"/>
      <c r="GM351" s="259"/>
      <c r="GN351" s="259"/>
      <c r="GO351" s="259"/>
      <c r="GP351" s="259"/>
      <c r="GQ351" s="259"/>
      <c r="GR351" s="259"/>
      <c r="GS351" s="259"/>
      <c r="GT351" s="259"/>
      <c r="GU351" s="259"/>
      <c r="GV351" s="259"/>
    </row>
    <row r="352" spans="1:235" ht="16.95" customHeight="1">
      <c r="A352" s="60"/>
      <c r="B352" s="69"/>
      <c r="C352" s="69"/>
      <c r="D352" s="418"/>
      <c r="E352" s="409"/>
      <c r="F352" s="409"/>
      <c r="G352" s="409"/>
      <c r="H352" s="409"/>
      <c r="I352" s="409"/>
      <c r="J352" s="137"/>
      <c r="K352" s="137"/>
      <c r="L352" s="297"/>
      <c r="M352" s="297"/>
      <c r="N352" s="425" t="str">
        <f ca="1">IF(FL1=0,"","Bij A:")</f>
        <v/>
      </c>
      <c r="O352" s="297"/>
      <c r="P352" s="408" t="str">
        <f ca="1">IF(FL1=0,"","+")</f>
        <v/>
      </c>
      <c r="Q352" s="549"/>
      <c r="R352" s="550"/>
      <c r="S352" s="550"/>
      <c r="T352" s="550"/>
      <c r="U352" s="550"/>
      <c r="V352" s="550"/>
      <c r="W352" s="550"/>
      <c r="X352" s="550"/>
      <c r="Y352" s="550"/>
      <c r="Z352" s="550"/>
      <c r="AA352" s="550"/>
      <c r="AB352" s="550"/>
      <c r="AC352" s="550"/>
      <c r="AD352" s="550"/>
      <c r="AE352" s="550"/>
      <c r="AF352" s="550"/>
      <c r="AG352" s="550"/>
      <c r="AH352" s="550"/>
      <c r="AI352" s="550"/>
      <c r="AJ352" s="550"/>
      <c r="AK352" s="550"/>
      <c r="AL352" s="550"/>
      <c r="AM352" s="550"/>
      <c r="AN352" s="550"/>
      <c r="AO352" s="550"/>
      <c r="AP352" s="550"/>
      <c r="AQ352" s="550"/>
      <c r="AR352" s="550"/>
      <c r="AS352" s="550"/>
      <c r="AT352" s="550"/>
      <c r="AU352" s="550"/>
      <c r="AV352" s="550"/>
      <c r="AW352" s="550"/>
      <c r="AX352" s="550"/>
      <c r="AY352" s="550"/>
      <c r="AZ352" s="550"/>
      <c r="BA352" s="550"/>
      <c r="BB352" s="550"/>
      <c r="BC352" s="550"/>
      <c r="BD352" s="550"/>
      <c r="BE352" s="550"/>
      <c r="BF352" s="550"/>
      <c r="BG352" s="550"/>
      <c r="BH352" s="550"/>
      <c r="BI352" s="550"/>
      <c r="BJ352" s="550"/>
      <c r="BK352" s="550"/>
      <c r="BL352" s="550"/>
      <c r="BM352" s="550"/>
      <c r="BN352" s="550"/>
      <c r="BO352" s="550"/>
      <c r="BP352" s="550"/>
      <c r="BQ352" s="550"/>
      <c r="BR352" s="550"/>
      <c r="BS352" s="550"/>
      <c r="BT352" s="550"/>
      <c r="BU352" s="550"/>
      <c r="BV352" s="550"/>
      <c r="BW352" s="550"/>
      <c r="BX352" s="550"/>
      <c r="BY352" s="550"/>
      <c r="BZ352" s="550"/>
      <c r="CA352" s="550"/>
      <c r="CB352" s="550"/>
      <c r="CC352" s="550"/>
      <c r="CD352" s="550"/>
      <c r="CE352" s="550"/>
      <c r="CF352" s="550"/>
      <c r="CG352" s="550"/>
      <c r="CH352" s="550"/>
      <c r="CI352" s="550"/>
      <c r="CJ352" s="550"/>
      <c r="CK352" s="550"/>
      <c r="CL352" s="551"/>
      <c r="CM352" s="551"/>
      <c r="CN352" s="551"/>
      <c r="CO352" s="551"/>
      <c r="CP352" s="551"/>
      <c r="CQ352" s="551"/>
      <c r="CR352" s="551"/>
      <c r="CS352" s="551"/>
      <c r="CT352" s="551"/>
      <c r="CU352" s="551"/>
      <c r="CV352" s="551"/>
      <c r="CW352" s="551"/>
      <c r="CX352" s="551"/>
      <c r="CY352" s="551"/>
      <c r="CZ352" s="551"/>
      <c r="DA352" s="551"/>
      <c r="DB352" s="551"/>
      <c r="DC352" s="551"/>
      <c r="DD352" s="551"/>
      <c r="DE352" s="551"/>
      <c r="DF352" s="551"/>
      <c r="DG352" s="551"/>
      <c r="DH352" s="551"/>
      <c r="DI352" s="551"/>
      <c r="DJ352" s="551"/>
      <c r="DK352" s="551"/>
      <c r="DL352" s="551"/>
      <c r="DM352" s="551"/>
      <c r="DN352" s="551"/>
      <c r="DO352" s="551"/>
      <c r="DP352" s="551"/>
      <c r="DQ352" s="551"/>
      <c r="DR352" s="551"/>
      <c r="DS352" s="551"/>
      <c r="DT352" s="551"/>
      <c r="DU352" s="551"/>
      <c r="DV352" s="551"/>
      <c r="DW352" s="551"/>
      <c r="DX352" s="551"/>
      <c r="DY352" s="551"/>
      <c r="DZ352" s="551"/>
      <c r="EA352" s="551"/>
      <c r="EB352" s="551"/>
      <c r="EC352" s="551"/>
      <c r="ED352" s="551"/>
      <c r="EE352" s="551"/>
      <c r="EF352" s="551"/>
      <c r="EG352" s="551"/>
      <c r="EH352" s="551"/>
      <c r="EI352" s="551"/>
      <c r="EJ352" s="551"/>
      <c r="EK352" s="551"/>
      <c r="EL352" s="551"/>
      <c r="EM352" s="551"/>
      <c r="EN352" s="551"/>
      <c r="EO352" s="551"/>
      <c r="EP352" s="551"/>
      <c r="EQ352" s="408" t="str">
        <f ca="1">IF(FL1=0,"","+")</f>
        <v/>
      </c>
      <c r="ER352" s="304" t="s">
        <v>131</v>
      </c>
      <c r="ES352" s="416"/>
      <c r="ET352" s="298"/>
      <c r="EU352" s="141"/>
      <c r="EV352" s="268"/>
      <c r="EW352" s="268"/>
      <c r="EX352" s="141"/>
      <c r="EY352" s="141"/>
      <c r="EZ352" s="141"/>
      <c r="FA352" s="141"/>
      <c r="FB352" s="141"/>
      <c r="FC352" s="141"/>
      <c r="FD352" s="141"/>
      <c r="FE352" s="141"/>
      <c r="FF352" s="141"/>
      <c r="FG352" s="141"/>
      <c r="FH352" s="141"/>
      <c r="FI352" s="141"/>
      <c r="FJ352" s="257"/>
      <c r="FK352" s="257"/>
      <c r="FL352" s="257"/>
      <c r="FM352" s="277">
        <f>IF(programma!B1="X",1,IF(Q352=FP352,1,0))</f>
        <v>0</v>
      </c>
      <c r="FN352" s="277" t="s">
        <v>222</v>
      </c>
      <c r="FO352" s="277" t="s">
        <v>223</v>
      </c>
      <c r="FP352" s="277" t="s">
        <v>221</v>
      </c>
      <c r="FQ352" s="277" t="s">
        <v>224</v>
      </c>
      <c r="FR352" s="277" t="s">
        <v>225</v>
      </c>
      <c r="FS352" s="277" t="s">
        <v>226</v>
      </c>
      <c r="FT352" s="277" t="s">
        <v>227</v>
      </c>
      <c r="FU352" s="96"/>
      <c r="FV352" s="96"/>
      <c r="FW352" s="96"/>
      <c r="FX352" s="96"/>
      <c r="FY352" s="259"/>
      <c r="FZ352" s="259"/>
      <c r="GA352" s="259"/>
      <c r="GB352" s="259"/>
      <c r="GC352" s="259"/>
      <c r="GD352" s="259"/>
      <c r="GE352" s="259"/>
      <c r="GF352" s="259"/>
      <c r="GG352" s="259"/>
      <c r="GH352" s="259"/>
      <c r="GI352" s="259"/>
      <c r="GJ352" s="259"/>
      <c r="GK352" s="259"/>
      <c r="GL352" s="259"/>
      <c r="GM352" s="259"/>
      <c r="GN352" s="259"/>
      <c r="GO352" s="259"/>
      <c r="GP352" s="259"/>
      <c r="GQ352" s="259"/>
      <c r="GR352" s="259"/>
      <c r="GS352" s="259"/>
      <c r="GT352" s="259"/>
      <c r="GU352" s="259"/>
      <c r="GV352" s="259"/>
    </row>
    <row r="353" spans="1:204" ht="3.6" customHeight="1">
      <c r="A353" s="60"/>
      <c r="B353" s="69"/>
      <c r="C353" s="69"/>
      <c r="D353" s="418"/>
      <c r="E353" s="409"/>
      <c r="F353" s="409"/>
      <c r="G353" s="409"/>
      <c r="H353" s="409"/>
      <c r="I353" s="409"/>
      <c r="J353" s="137"/>
      <c r="K353" s="137"/>
      <c r="L353" s="297"/>
      <c r="M353" s="297"/>
      <c r="N353" s="297"/>
      <c r="O353" s="297"/>
      <c r="P353" s="538" t="str">
        <f ca="1">IF(FL1=0,"","+")</f>
        <v/>
      </c>
      <c r="Q353" s="548"/>
      <c r="R353" s="548"/>
      <c r="S353" s="548"/>
      <c r="T353" s="548"/>
      <c r="U353" s="548"/>
      <c r="V353" s="548"/>
      <c r="W353" s="548"/>
      <c r="X353" s="548"/>
      <c r="Y353" s="548"/>
      <c r="Z353" s="548"/>
      <c r="AA353" s="548"/>
      <c r="AB353" s="548"/>
      <c r="AC353" s="548"/>
      <c r="AD353" s="548"/>
      <c r="AE353" s="548"/>
      <c r="AF353" s="548"/>
      <c r="AG353" s="548"/>
      <c r="AH353" s="548"/>
      <c r="AI353" s="548"/>
      <c r="AJ353" s="548"/>
      <c r="AK353" s="548"/>
      <c r="AL353" s="548"/>
      <c r="AM353" s="548"/>
      <c r="AN353" s="548"/>
      <c r="AO353" s="548"/>
      <c r="AP353" s="548"/>
      <c r="AQ353" s="548"/>
      <c r="AR353" s="548"/>
      <c r="AS353" s="548"/>
      <c r="AT353" s="548"/>
      <c r="AU353" s="548"/>
      <c r="AV353" s="548"/>
      <c r="AW353" s="548"/>
      <c r="AX353" s="548"/>
      <c r="AY353" s="548"/>
      <c r="AZ353" s="548"/>
      <c r="BA353" s="548"/>
      <c r="BB353" s="548"/>
      <c r="BC353" s="548"/>
      <c r="BD353" s="548"/>
      <c r="BE353" s="548"/>
      <c r="BF353" s="548"/>
      <c r="BG353" s="548"/>
      <c r="BH353" s="548"/>
      <c r="BI353" s="548"/>
      <c r="BJ353" s="548"/>
      <c r="BK353" s="548"/>
      <c r="BL353" s="548"/>
      <c r="BM353" s="548"/>
      <c r="BN353" s="548"/>
      <c r="BO353" s="548"/>
      <c r="BP353" s="548"/>
      <c r="BQ353" s="548"/>
      <c r="BR353" s="548"/>
      <c r="BS353" s="548"/>
      <c r="BT353" s="548"/>
      <c r="BU353" s="548"/>
      <c r="BV353" s="548"/>
      <c r="BW353" s="548"/>
      <c r="BX353" s="548"/>
      <c r="BY353" s="548"/>
      <c r="BZ353" s="548"/>
      <c r="CA353" s="548"/>
      <c r="CB353" s="548"/>
      <c r="CC353" s="548"/>
      <c r="CD353" s="548"/>
      <c r="CE353" s="548"/>
      <c r="CF353" s="548"/>
      <c r="CG353" s="548"/>
      <c r="CH353" s="548"/>
      <c r="CI353" s="548"/>
      <c r="CJ353" s="548"/>
      <c r="CK353" s="548"/>
      <c r="CL353" s="548"/>
      <c r="CM353" s="532"/>
      <c r="CN353" s="532"/>
      <c r="CO353" s="532"/>
      <c r="CP353" s="532"/>
      <c r="CQ353" s="532"/>
      <c r="CR353" s="532"/>
      <c r="CS353" s="532"/>
      <c r="CT353" s="532"/>
      <c r="CU353" s="532"/>
      <c r="CV353" s="532"/>
      <c r="CW353" s="532"/>
      <c r="CX353" s="532"/>
      <c r="CY353" s="532"/>
      <c r="CZ353" s="532"/>
      <c r="DA353" s="532"/>
      <c r="DB353" s="532"/>
      <c r="DC353" s="532"/>
      <c r="DD353" s="532"/>
      <c r="DE353" s="532"/>
      <c r="DF353" s="532"/>
      <c r="DG353" s="532"/>
      <c r="DH353" s="532"/>
      <c r="DI353" s="532"/>
      <c r="DJ353" s="532"/>
      <c r="DK353" s="532"/>
      <c r="DL353" s="532"/>
      <c r="DM353" s="532"/>
      <c r="DN353" s="532"/>
      <c r="DO353" s="532"/>
      <c r="DP353" s="532"/>
      <c r="DQ353" s="532"/>
      <c r="DR353" s="532"/>
      <c r="DS353" s="532"/>
      <c r="DT353" s="532"/>
      <c r="DU353" s="532"/>
      <c r="DV353" s="532"/>
      <c r="DW353" s="532"/>
      <c r="DX353" s="532"/>
      <c r="DY353" s="532"/>
      <c r="DZ353" s="532"/>
      <c r="EA353" s="532"/>
      <c r="EB353" s="532"/>
      <c r="EC353" s="532"/>
      <c r="ED353" s="532"/>
      <c r="EE353" s="532"/>
      <c r="EF353" s="532"/>
      <c r="EG353" s="532"/>
      <c r="EH353" s="532"/>
      <c r="EI353" s="532"/>
      <c r="EJ353" s="532"/>
      <c r="EK353" s="532"/>
      <c r="EL353" s="532"/>
      <c r="EM353" s="532"/>
      <c r="EN353" s="532"/>
      <c r="EO353" s="532"/>
      <c r="EP353" s="532"/>
      <c r="EQ353" s="532"/>
      <c r="ER353" s="141"/>
      <c r="ES353" s="141"/>
      <c r="ET353" s="141"/>
      <c r="EU353" s="141"/>
      <c r="EV353" s="141"/>
      <c r="EW353" s="141"/>
      <c r="EX353" s="141"/>
      <c r="EY353" s="141"/>
      <c r="EZ353" s="141"/>
      <c r="FA353" s="141"/>
      <c r="FB353" s="141"/>
      <c r="FC353" s="141"/>
      <c r="FD353" s="141"/>
      <c r="FE353" s="141"/>
      <c r="FF353" s="141"/>
      <c r="FG353" s="141"/>
      <c r="FH353" s="141"/>
      <c r="FI353" s="141"/>
      <c r="FJ353" s="257"/>
      <c r="FK353" s="257"/>
      <c r="FL353" s="257"/>
      <c r="FM353" s="257"/>
      <c r="FN353" s="277"/>
      <c r="FO353" s="277"/>
      <c r="FP353" s="277"/>
      <c r="FQ353" s="277"/>
      <c r="FR353" s="277"/>
      <c r="FS353" s="96"/>
      <c r="FT353" s="96"/>
      <c r="FU353" s="96"/>
      <c r="FV353" s="96"/>
      <c r="FW353" s="96"/>
      <c r="FX353" s="96"/>
      <c r="FY353" s="259"/>
      <c r="FZ353" s="259"/>
      <c r="GA353" s="259"/>
      <c r="GB353" s="259"/>
      <c r="GC353" s="259"/>
      <c r="GD353" s="259"/>
      <c r="GE353" s="259"/>
      <c r="GF353" s="259"/>
      <c r="GG353" s="259"/>
      <c r="GH353" s="259"/>
      <c r="GI353" s="259"/>
      <c r="GJ353" s="259"/>
      <c r="GK353" s="259"/>
      <c r="GL353" s="259"/>
      <c r="GM353" s="259"/>
      <c r="GN353" s="259"/>
      <c r="GO353" s="259"/>
      <c r="GP353" s="259"/>
      <c r="GQ353" s="259"/>
      <c r="GR353" s="259"/>
      <c r="GS353" s="259"/>
      <c r="GT353" s="259"/>
      <c r="GU353" s="259"/>
      <c r="GV353" s="259"/>
    </row>
    <row r="354" spans="1:204" ht="5.4" customHeight="1">
      <c r="A354" s="60"/>
      <c r="B354" s="69"/>
      <c r="C354" s="69"/>
      <c r="D354" s="418"/>
      <c r="E354" s="409"/>
      <c r="F354" s="409"/>
      <c r="G354" s="409"/>
      <c r="H354" s="409"/>
      <c r="I354" s="409"/>
      <c r="J354" s="137"/>
      <c r="K354" s="137"/>
      <c r="CM354" s="297"/>
      <c r="CN354" s="297"/>
      <c r="CO354" s="297"/>
      <c r="CP354" s="297"/>
      <c r="CQ354" s="297"/>
      <c r="CR354" s="297"/>
      <c r="CS354" s="297"/>
      <c r="CT354" s="297"/>
      <c r="CU354" s="297"/>
      <c r="CV354" s="297"/>
      <c r="CW354" s="297"/>
      <c r="CX354" s="297"/>
      <c r="CY354" s="410"/>
      <c r="CZ354" s="410"/>
      <c r="DA354" s="410"/>
      <c r="DB354" s="410"/>
      <c r="DC354" s="410"/>
      <c r="DD354" s="410"/>
      <c r="DE354" s="411"/>
      <c r="DF354" s="411"/>
      <c r="DG354" s="411"/>
      <c r="DH354" s="411"/>
      <c r="DI354" s="411"/>
      <c r="DJ354" s="411"/>
      <c r="DK354" s="411"/>
      <c r="DL354" s="424"/>
      <c r="DM354" s="141"/>
      <c r="DN354" s="141"/>
      <c r="DO354" s="141"/>
      <c r="DP354" s="141"/>
      <c r="DQ354" s="141"/>
      <c r="DR354" s="141"/>
      <c r="DS354" s="141"/>
      <c r="DT354" s="141"/>
      <c r="DU354" s="141"/>
      <c r="DV354" s="141"/>
      <c r="DW354" s="141"/>
      <c r="DX354" s="141"/>
      <c r="DY354" s="89"/>
      <c r="DZ354" s="89"/>
      <c r="EA354" s="89"/>
      <c r="EB354" s="89"/>
      <c r="EC354" s="89"/>
      <c r="ED354" s="89"/>
      <c r="EE354" s="89"/>
      <c r="EF354" s="89"/>
      <c r="EG354" s="89"/>
      <c r="EH354" s="89"/>
      <c r="EI354" s="89"/>
      <c r="EJ354" s="89"/>
      <c r="EK354" s="89"/>
      <c r="EL354" s="89"/>
      <c r="EM354" s="89"/>
      <c r="EN354" s="89"/>
      <c r="EO354" s="89"/>
      <c r="EP354" s="89"/>
      <c r="EQ354" s="89"/>
      <c r="ER354" s="89"/>
      <c r="ES354" s="89"/>
      <c r="ET354" s="89"/>
      <c r="EU354" s="89"/>
      <c r="EV354" s="89"/>
      <c r="EW354" s="89"/>
      <c r="EX354" s="89"/>
      <c r="EY354" s="89"/>
      <c r="EZ354" s="89"/>
      <c r="FA354" s="141"/>
      <c r="FB354" s="141"/>
      <c r="FC354" s="141"/>
      <c r="FD354" s="141"/>
      <c r="FE354" s="141"/>
      <c r="FF354" s="141"/>
      <c r="FG354" s="141"/>
      <c r="FH354" s="141"/>
      <c r="FI354" s="141"/>
      <c r="FJ354" s="96"/>
      <c r="FK354" s="257"/>
      <c r="FL354" s="96"/>
      <c r="FM354" s="96"/>
      <c r="FN354" s="96"/>
      <c r="FO354" s="96"/>
      <c r="FP354" s="96"/>
      <c r="FQ354" s="96"/>
      <c r="FR354" s="96"/>
      <c r="FS354" s="96"/>
      <c r="FT354" s="96"/>
      <c r="FU354" s="96"/>
      <c r="FV354" s="96"/>
      <c r="FW354" s="96"/>
      <c r="FX354" s="96"/>
      <c r="FY354" s="259"/>
      <c r="FZ354" s="259"/>
      <c r="GA354" s="259"/>
      <c r="GB354" s="259"/>
      <c r="GC354" s="259"/>
      <c r="GD354" s="259"/>
      <c r="GE354" s="259"/>
      <c r="GF354" s="259"/>
      <c r="GG354" s="259"/>
      <c r="GH354" s="259"/>
      <c r="GI354" s="259"/>
      <c r="GJ354" s="259"/>
      <c r="GK354" s="259"/>
      <c r="GL354" s="259"/>
      <c r="GM354" s="259"/>
      <c r="GN354" s="259"/>
      <c r="GO354" s="259"/>
      <c r="GP354" s="259"/>
      <c r="GQ354" s="259"/>
      <c r="GR354" s="259"/>
      <c r="GS354" s="259"/>
      <c r="GT354" s="259"/>
      <c r="GU354" s="259"/>
      <c r="GV354" s="259"/>
    </row>
    <row r="355" spans="1:204" ht="3.6" customHeight="1">
      <c r="A355" s="60"/>
      <c r="B355" s="69"/>
      <c r="C355" s="69"/>
      <c r="D355" s="418"/>
      <c r="E355" s="409"/>
      <c r="F355" s="409"/>
      <c r="G355" s="409"/>
      <c r="H355" s="409"/>
      <c r="I355" s="409"/>
      <c r="J355" s="137"/>
      <c r="K355" s="137"/>
      <c r="L355" s="297"/>
      <c r="M355" s="297"/>
      <c r="N355" s="297"/>
      <c r="O355" s="297"/>
      <c r="P355" s="538" t="str">
        <f ca="1">IF(FL1=0,"","+")</f>
        <v/>
      </c>
      <c r="Q355" s="548"/>
      <c r="R355" s="548"/>
      <c r="S355" s="548"/>
      <c r="T355" s="548"/>
      <c r="U355" s="548"/>
      <c r="V355" s="548"/>
      <c r="W355" s="548"/>
      <c r="X355" s="548"/>
      <c r="Y355" s="548"/>
      <c r="Z355" s="548"/>
      <c r="AA355" s="548"/>
      <c r="AB355" s="548"/>
      <c r="AC355" s="548"/>
      <c r="AD355" s="548"/>
      <c r="AE355" s="548"/>
      <c r="AF355" s="548"/>
      <c r="AG355" s="548"/>
      <c r="AH355" s="548"/>
      <c r="AI355" s="548"/>
      <c r="AJ355" s="548"/>
      <c r="AK355" s="548"/>
      <c r="AL355" s="548"/>
      <c r="AM355" s="548"/>
      <c r="AN355" s="548"/>
      <c r="AO355" s="548"/>
      <c r="AP355" s="548"/>
      <c r="AQ355" s="548"/>
      <c r="AR355" s="548"/>
      <c r="AS355" s="548"/>
      <c r="AT355" s="548"/>
      <c r="AU355" s="548"/>
      <c r="AV355" s="548"/>
      <c r="AW355" s="548"/>
      <c r="AX355" s="548"/>
      <c r="AY355" s="548"/>
      <c r="AZ355" s="548"/>
      <c r="BA355" s="548"/>
      <c r="BB355" s="548"/>
      <c r="BC355" s="548"/>
      <c r="BD355" s="548"/>
      <c r="BE355" s="548"/>
      <c r="BF355" s="548"/>
      <c r="BG355" s="548"/>
      <c r="BH355" s="548"/>
      <c r="BI355" s="548"/>
      <c r="BJ355" s="548"/>
      <c r="BK355" s="548"/>
      <c r="BL355" s="548"/>
      <c r="BM355" s="548"/>
      <c r="BN355" s="548"/>
      <c r="BO355" s="548"/>
      <c r="BP355" s="548"/>
      <c r="BQ355" s="548"/>
      <c r="BR355" s="548"/>
      <c r="BS355" s="548"/>
      <c r="BT355" s="548"/>
      <c r="BU355" s="548"/>
      <c r="BV355" s="548"/>
      <c r="BW355" s="548"/>
      <c r="BX355" s="548"/>
      <c r="BY355" s="548"/>
      <c r="BZ355" s="548"/>
      <c r="CA355" s="548"/>
      <c r="CB355" s="548"/>
      <c r="CC355" s="548"/>
      <c r="CD355" s="548"/>
      <c r="CE355" s="548"/>
      <c r="CF355" s="548"/>
      <c r="CG355" s="548"/>
      <c r="CH355" s="548"/>
      <c r="CI355" s="548"/>
      <c r="CJ355" s="548"/>
      <c r="CK355" s="548"/>
      <c r="CL355" s="548"/>
      <c r="CM355" s="532"/>
      <c r="CN355" s="532"/>
      <c r="CO355" s="532"/>
      <c r="CP355" s="532"/>
      <c r="CQ355" s="532"/>
      <c r="CR355" s="532"/>
      <c r="CS355" s="532"/>
      <c r="CT355" s="532"/>
      <c r="CU355" s="532"/>
      <c r="CV355" s="532"/>
      <c r="CW355" s="532"/>
      <c r="CX355" s="532"/>
      <c r="CY355" s="532"/>
      <c r="CZ355" s="532"/>
      <c r="DA355" s="532"/>
      <c r="DB355" s="532"/>
      <c r="DC355" s="532"/>
      <c r="DD355" s="532"/>
      <c r="DE355" s="532"/>
      <c r="DF355" s="532"/>
      <c r="DG355" s="532"/>
      <c r="DH355" s="532"/>
      <c r="DI355" s="532"/>
      <c r="DJ355" s="532"/>
      <c r="DK355" s="532"/>
      <c r="DL355" s="532"/>
      <c r="DM355" s="532"/>
      <c r="DN355" s="532"/>
      <c r="DO355" s="532"/>
      <c r="DP355" s="532"/>
      <c r="DQ355" s="532"/>
      <c r="DR355" s="532"/>
      <c r="DS355" s="532"/>
      <c r="DT355" s="532"/>
      <c r="DU355" s="532"/>
      <c r="DV355" s="532"/>
      <c r="DW355" s="532"/>
      <c r="DX355" s="532"/>
      <c r="DY355" s="532"/>
      <c r="DZ355" s="532"/>
      <c r="EA355" s="532"/>
      <c r="EB355" s="532"/>
      <c r="EC355" s="532"/>
      <c r="ED355" s="532"/>
      <c r="EE355" s="532"/>
      <c r="EF355" s="532"/>
      <c r="EG355" s="532"/>
      <c r="EH355" s="532"/>
      <c r="EI355" s="532"/>
      <c r="EJ355" s="532"/>
      <c r="EK355" s="532"/>
      <c r="EL355" s="532"/>
      <c r="EM355" s="532"/>
      <c r="EN355" s="532"/>
      <c r="EO355" s="532"/>
      <c r="EP355" s="532"/>
      <c r="EQ355" s="532"/>
      <c r="ER355" s="141"/>
      <c r="ES355" s="141"/>
      <c r="ET355" s="141"/>
      <c r="EU355" s="141"/>
      <c r="EV355" s="141"/>
      <c r="EW355" s="141"/>
      <c r="EX355" s="141"/>
      <c r="EY355" s="141"/>
      <c r="EZ355" s="141"/>
      <c r="FA355" s="141"/>
      <c r="FB355" s="141"/>
      <c r="FC355" s="141"/>
      <c r="FD355" s="141"/>
      <c r="FE355" s="141"/>
      <c r="FF355" s="141"/>
      <c r="FG355" s="141"/>
      <c r="FH355" s="141"/>
      <c r="FI355" s="141"/>
      <c r="FJ355" s="257"/>
      <c r="FK355" s="257"/>
      <c r="FL355" s="257"/>
      <c r="FM355" s="257"/>
      <c r="FN355" s="277"/>
      <c r="FO355" s="277"/>
      <c r="FP355" s="96"/>
      <c r="FQ355" s="96"/>
      <c r="FR355" s="96"/>
      <c r="FS355" s="96"/>
      <c r="FT355" s="96"/>
      <c r="FU355" s="96"/>
      <c r="FV355" s="96"/>
      <c r="FW355" s="96"/>
      <c r="FX355" s="96"/>
      <c r="FY355" s="259"/>
      <c r="FZ355" s="259"/>
      <c r="GA355" s="259"/>
      <c r="GB355" s="259"/>
      <c r="GC355" s="259"/>
      <c r="GD355" s="259"/>
      <c r="GE355" s="259"/>
      <c r="GF355" s="259"/>
      <c r="GG355" s="259"/>
      <c r="GH355" s="259"/>
      <c r="GI355" s="259"/>
      <c r="GJ355" s="259"/>
      <c r="GK355" s="259"/>
      <c r="GL355" s="259"/>
      <c r="GM355" s="259"/>
      <c r="GN355" s="259"/>
      <c r="GO355" s="259"/>
      <c r="GP355" s="259"/>
      <c r="GQ355" s="259"/>
      <c r="GR355" s="259"/>
      <c r="GS355" s="259"/>
      <c r="GT355" s="259"/>
      <c r="GU355" s="259"/>
      <c r="GV355" s="259"/>
    </row>
    <row r="356" spans="1:204" ht="16.95" customHeight="1">
      <c r="A356" s="60"/>
      <c r="B356" s="69"/>
      <c r="C356" s="69"/>
      <c r="D356" s="418"/>
      <c r="E356" s="409"/>
      <c r="F356" s="409"/>
      <c r="G356" s="409"/>
      <c r="H356" s="409"/>
      <c r="I356" s="409"/>
      <c r="J356" s="137"/>
      <c r="K356" s="137"/>
      <c r="L356" s="297"/>
      <c r="M356" s="297"/>
      <c r="N356" s="425" t="str">
        <f ca="1">IF(FL1=0,"","Bij B:")</f>
        <v/>
      </c>
      <c r="O356" s="297"/>
      <c r="P356" s="408" t="str">
        <f ca="1">IF(FL1=0,"","+")</f>
        <v/>
      </c>
      <c r="Q356" s="549"/>
      <c r="R356" s="550"/>
      <c r="S356" s="550"/>
      <c r="T356" s="550"/>
      <c r="U356" s="550"/>
      <c r="V356" s="550"/>
      <c r="W356" s="550"/>
      <c r="X356" s="550"/>
      <c r="Y356" s="550"/>
      <c r="Z356" s="550"/>
      <c r="AA356" s="550"/>
      <c r="AB356" s="550"/>
      <c r="AC356" s="550"/>
      <c r="AD356" s="550"/>
      <c r="AE356" s="550"/>
      <c r="AF356" s="550"/>
      <c r="AG356" s="550"/>
      <c r="AH356" s="550"/>
      <c r="AI356" s="550"/>
      <c r="AJ356" s="550"/>
      <c r="AK356" s="550"/>
      <c r="AL356" s="550"/>
      <c r="AM356" s="550"/>
      <c r="AN356" s="550"/>
      <c r="AO356" s="550"/>
      <c r="AP356" s="550"/>
      <c r="AQ356" s="550"/>
      <c r="AR356" s="550"/>
      <c r="AS356" s="550"/>
      <c r="AT356" s="550"/>
      <c r="AU356" s="550"/>
      <c r="AV356" s="550"/>
      <c r="AW356" s="550"/>
      <c r="AX356" s="550"/>
      <c r="AY356" s="550"/>
      <c r="AZ356" s="550"/>
      <c r="BA356" s="550"/>
      <c r="BB356" s="550"/>
      <c r="BC356" s="550"/>
      <c r="BD356" s="550"/>
      <c r="BE356" s="550"/>
      <c r="BF356" s="550"/>
      <c r="BG356" s="550"/>
      <c r="BH356" s="550"/>
      <c r="BI356" s="550"/>
      <c r="BJ356" s="550"/>
      <c r="BK356" s="550"/>
      <c r="BL356" s="550"/>
      <c r="BM356" s="550"/>
      <c r="BN356" s="550"/>
      <c r="BO356" s="550"/>
      <c r="BP356" s="550"/>
      <c r="BQ356" s="550"/>
      <c r="BR356" s="550"/>
      <c r="BS356" s="550"/>
      <c r="BT356" s="550"/>
      <c r="BU356" s="550"/>
      <c r="BV356" s="550"/>
      <c r="BW356" s="550"/>
      <c r="BX356" s="550"/>
      <c r="BY356" s="550"/>
      <c r="BZ356" s="550"/>
      <c r="CA356" s="550"/>
      <c r="CB356" s="550"/>
      <c r="CC356" s="550"/>
      <c r="CD356" s="550"/>
      <c r="CE356" s="550"/>
      <c r="CF356" s="550"/>
      <c r="CG356" s="550"/>
      <c r="CH356" s="550"/>
      <c r="CI356" s="550"/>
      <c r="CJ356" s="550"/>
      <c r="CK356" s="550"/>
      <c r="CL356" s="551"/>
      <c r="CM356" s="551"/>
      <c r="CN356" s="551"/>
      <c r="CO356" s="551"/>
      <c r="CP356" s="551"/>
      <c r="CQ356" s="551"/>
      <c r="CR356" s="551"/>
      <c r="CS356" s="551"/>
      <c r="CT356" s="551"/>
      <c r="CU356" s="551"/>
      <c r="CV356" s="551"/>
      <c r="CW356" s="551"/>
      <c r="CX356" s="551"/>
      <c r="CY356" s="551"/>
      <c r="CZ356" s="551"/>
      <c r="DA356" s="551"/>
      <c r="DB356" s="551"/>
      <c r="DC356" s="551"/>
      <c r="DD356" s="551"/>
      <c r="DE356" s="551"/>
      <c r="DF356" s="551"/>
      <c r="DG356" s="551"/>
      <c r="DH356" s="551"/>
      <c r="DI356" s="551"/>
      <c r="DJ356" s="551"/>
      <c r="DK356" s="551"/>
      <c r="DL356" s="551"/>
      <c r="DM356" s="551"/>
      <c r="DN356" s="551"/>
      <c r="DO356" s="551"/>
      <c r="DP356" s="551"/>
      <c r="DQ356" s="551"/>
      <c r="DR356" s="551"/>
      <c r="DS356" s="551"/>
      <c r="DT356" s="551"/>
      <c r="DU356" s="551"/>
      <c r="DV356" s="551"/>
      <c r="DW356" s="551"/>
      <c r="DX356" s="551"/>
      <c r="DY356" s="551"/>
      <c r="DZ356" s="551"/>
      <c r="EA356" s="551"/>
      <c r="EB356" s="551"/>
      <c r="EC356" s="551"/>
      <c r="ED356" s="551"/>
      <c r="EE356" s="551"/>
      <c r="EF356" s="551"/>
      <c r="EG356" s="551"/>
      <c r="EH356" s="551"/>
      <c r="EI356" s="551"/>
      <c r="EJ356" s="551"/>
      <c r="EK356" s="551"/>
      <c r="EL356" s="551"/>
      <c r="EM356" s="551"/>
      <c r="EN356" s="551"/>
      <c r="EO356" s="551"/>
      <c r="EP356" s="551"/>
      <c r="EQ356" s="408" t="str">
        <f ca="1">IF(FL1=0,"","+")</f>
        <v/>
      </c>
      <c r="ER356" s="304" t="s">
        <v>131</v>
      </c>
      <c r="ES356" s="416"/>
      <c r="ET356" s="298"/>
      <c r="EU356" s="141"/>
      <c r="EV356" s="268"/>
      <c r="EW356" s="268"/>
      <c r="EX356" s="141"/>
      <c r="EY356" s="141"/>
      <c r="EZ356" s="141"/>
      <c r="FA356" s="141"/>
      <c r="FB356" s="141"/>
      <c r="FC356" s="141"/>
      <c r="FD356" s="141"/>
      <c r="FE356" s="141"/>
      <c r="FF356" s="141"/>
      <c r="FG356" s="141"/>
      <c r="FH356" s="141"/>
      <c r="FI356" s="141"/>
      <c r="FJ356" s="257"/>
      <c r="FK356" s="257"/>
      <c r="FL356" s="257"/>
      <c r="FM356" s="277">
        <f>IF(programma!B1="X",1,IF(Q356=FN352,1,0))</f>
        <v>0</v>
      </c>
      <c r="FN356" s="277"/>
      <c r="FO356" s="277" t="str">
        <f ca="1">IF(FK1=0,"",FP352)</f>
        <v>het consumenten- en producentensurplus bij redelijk veel prijsdicriminatie door een monopolist</v>
      </c>
      <c r="FP356" s="277" t="str">
        <f ca="1">IF(FK1=0,"",FN352)</f>
        <v>het consumenten- en producentensurplus bij maximale omzet van een monopolist</v>
      </c>
      <c r="FQ356" s="277" t="str">
        <f ca="1">IF(FK1=0,"",FO352)</f>
        <v>het consumenten- en producentensurplus bij maximale winst van een monopolist</v>
      </c>
      <c r="FR356" s="277" t="str">
        <f ca="1">IF(FK1=0,"",FS352)</f>
        <v>het consumentensurplus bij volkomen concurentie</v>
      </c>
      <c r="FS356" s="277" t="str">
        <f ca="1">IF(FK1=0,"",FR352)</f>
        <v>het producentensurplus bij volkomen prijsdiscriminatie door een monopolist</v>
      </c>
      <c r="FT356" s="277"/>
      <c r="FU356" s="96"/>
      <c r="FV356" s="96"/>
      <c r="FW356" s="96"/>
      <c r="FX356" s="96"/>
      <c r="FY356" s="259"/>
      <c r="FZ356" s="259"/>
      <c r="GA356" s="259"/>
      <c r="GB356" s="259"/>
      <c r="GC356" s="259"/>
      <c r="GD356" s="259"/>
      <c r="GE356" s="259"/>
      <c r="GF356" s="259"/>
      <c r="GG356" s="259"/>
      <c r="GH356" s="259"/>
      <c r="GI356" s="259"/>
      <c r="GJ356" s="259"/>
      <c r="GK356" s="259"/>
      <c r="GL356" s="259"/>
      <c r="GM356" s="259"/>
      <c r="GN356" s="259"/>
      <c r="GO356" s="259"/>
      <c r="GP356" s="259"/>
      <c r="GQ356" s="259"/>
      <c r="GR356" s="259"/>
      <c r="GS356" s="259"/>
      <c r="GT356" s="259"/>
      <c r="GU356" s="259"/>
      <c r="GV356" s="259"/>
    </row>
    <row r="357" spans="1:204" ht="3.6" customHeight="1">
      <c r="A357" s="60"/>
      <c r="B357" s="69"/>
      <c r="C357" s="69"/>
      <c r="D357" s="418"/>
      <c r="E357" s="409"/>
      <c r="F357" s="409"/>
      <c r="G357" s="409"/>
      <c r="H357" s="409"/>
      <c r="I357" s="409"/>
      <c r="J357" s="137"/>
      <c r="K357" s="137"/>
      <c r="L357" s="297"/>
      <c r="M357" s="297"/>
      <c r="N357" s="297"/>
      <c r="O357" s="297"/>
      <c r="P357" s="538" t="str">
        <f ca="1">IF(FL1=0,"","+")</f>
        <v/>
      </c>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548"/>
      <c r="AL357" s="548"/>
      <c r="AM357" s="548"/>
      <c r="AN357" s="548"/>
      <c r="AO357" s="548"/>
      <c r="AP357" s="548"/>
      <c r="AQ357" s="548"/>
      <c r="AR357" s="548"/>
      <c r="AS357" s="548"/>
      <c r="AT357" s="548"/>
      <c r="AU357" s="548"/>
      <c r="AV357" s="548"/>
      <c r="AW357" s="548"/>
      <c r="AX357" s="548"/>
      <c r="AY357" s="548"/>
      <c r="AZ357" s="548"/>
      <c r="BA357" s="548"/>
      <c r="BB357" s="548"/>
      <c r="BC357" s="548"/>
      <c r="BD357" s="548"/>
      <c r="BE357" s="548"/>
      <c r="BF357" s="548"/>
      <c r="BG357" s="548"/>
      <c r="BH357" s="548"/>
      <c r="BI357" s="548"/>
      <c r="BJ357" s="548"/>
      <c r="BK357" s="548"/>
      <c r="BL357" s="548"/>
      <c r="BM357" s="548"/>
      <c r="BN357" s="548"/>
      <c r="BO357" s="548"/>
      <c r="BP357" s="548"/>
      <c r="BQ357" s="548"/>
      <c r="BR357" s="548"/>
      <c r="BS357" s="548"/>
      <c r="BT357" s="548"/>
      <c r="BU357" s="548"/>
      <c r="BV357" s="548"/>
      <c r="BW357" s="548"/>
      <c r="BX357" s="548"/>
      <c r="BY357" s="548"/>
      <c r="BZ357" s="548"/>
      <c r="CA357" s="548"/>
      <c r="CB357" s="548"/>
      <c r="CC357" s="548"/>
      <c r="CD357" s="548"/>
      <c r="CE357" s="548"/>
      <c r="CF357" s="548"/>
      <c r="CG357" s="548"/>
      <c r="CH357" s="548"/>
      <c r="CI357" s="548"/>
      <c r="CJ357" s="548"/>
      <c r="CK357" s="548"/>
      <c r="CL357" s="548"/>
      <c r="CM357" s="532"/>
      <c r="CN357" s="532"/>
      <c r="CO357" s="532"/>
      <c r="CP357" s="532"/>
      <c r="CQ357" s="532"/>
      <c r="CR357" s="532"/>
      <c r="CS357" s="532"/>
      <c r="CT357" s="532"/>
      <c r="CU357" s="532"/>
      <c r="CV357" s="532"/>
      <c r="CW357" s="532"/>
      <c r="CX357" s="532"/>
      <c r="CY357" s="532"/>
      <c r="CZ357" s="532"/>
      <c r="DA357" s="532"/>
      <c r="DB357" s="532"/>
      <c r="DC357" s="532"/>
      <c r="DD357" s="532"/>
      <c r="DE357" s="532"/>
      <c r="DF357" s="532"/>
      <c r="DG357" s="532"/>
      <c r="DH357" s="532"/>
      <c r="DI357" s="532"/>
      <c r="DJ357" s="532"/>
      <c r="DK357" s="532"/>
      <c r="DL357" s="532"/>
      <c r="DM357" s="532"/>
      <c r="DN357" s="532"/>
      <c r="DO357" s="532"/>
      <c r="DP357" s="532"/>
      <c r="DQ357" s="532"/>
      <c r="DR357" s="532"/>
      <c r="DS357" s="532"/>
      <c r="DT357" s="532"/>
      <c r="DU357" s="532"/>
      <c r="DV357" s="532"/>
      <c r="DW357" s="532"/>
      <c r="DX357" s="532"/>
      <c r="DY357" s="532"/>
      <c r="DZ357" s="532"/>
      <c r="EA357" s="532"/>
      <c r="EB357" s="532"/>
      <c r="EC357" s="532"/>
      <c r="ED357" s="532"/>
      <c r="EE357" s="532"/>
      <c r="EF357" s="532"/>
      <c r="EG357" s="532"/>
      <c r="EH357" s="532"/>
      <c r="EI357" s="532"/>
      <c r="EJ357" s="532"/>
      <c r="EK357" s="532"/>
      <c r="EL357" s="532"/>
      <c r="EM357" s="532"/>
      <c r="EN357" s="532"/>
      <c r="EO357" s="532"/>
      <c r="EP357" s="532"/>
      <c r="EQ357" s="532"/>
      <c r="ER357" s="141"/>
      <c r="ES357" s="141"/>
      <c r="ET357" s="141"/>
      <c r="EU357" s="141"/>
      <c r="EV357" s="141"/>
      <c r="EW357" s="141"/>
      <c r="EX357" s="141"/>
      <c r="EY357" s="141"/>
      <c r="EZ357" s="141"/>
      <c r="FA357" s="141"/>
      <c r="FB357" s="141"/>
      <c r="FC357" s="141"/>
      <c r="FD357" s="141"/>
      <c r="FE357" s="141"/>
      <c r="FF357" s="141"/>
      <c r="FG357" s="141"/>
      <c r="FH357" s="141"/>
      <c r="FI357" s="141"/>
      <c r="FJ357" s="257"/>
      <c r="FK357" s="257"/>
      <c r="FL357" s="257"/>
      <c r="FM357" s="257"/>
      <c r="FN357" s="277"/>
      <c r="FO357" s="277"/>
      <c r="FP357" s="277"/>
      <c r="FQ357" s="277"/>
      <c r="FR357" s="277"/>
      <c r="FS357" s="96"/>
      <c r="FT357" s="96"/>
      <c r="FU357" s="96"/>
      <c r="FV357" s="96"/>
      <c r="FW357" s="96"/>
      <c r="FX357" s="96"/>
      <c r="FY357" s="259"/>
      <c r="FZ357" s="259"/>
      <c r="GA357" s="259"/>
      <c r="GB357" s="259"/>
      <c r="GC357" s="259"/>
      <c r="GD357" s="259"/>
      <c r="GE357" s="259"/>
      <c r="GF357" s="259"/>
      <c r="GG357" s="259"/>
      <c r="GH357" s="259"/>
      <c r="GI357" s="259"/>
      <c r="GJ357" s="259"/>
      <c r="GK357" s="259"/>
      <c r="GL357" s="259"/>
      <c r="GM357" s="259"/>
      <c r="GN357" s="259"/>
      <c r="GO357" s="259"/>
      <c r="GP357" s="259"/>
      <c r="GQ357" s="259"/>
      <c r="GR357" s="259"/>
      <c r="GS357" s="259"/>
      <c r="GT357" s="259"/>
      <c r="GU357" s="259"/>
      <c r="GV357" s="259"/>
    </row>
    <row r="358" spans="1:204" ht="5.4" customHeight="1">
      <c r="A358" s="60"/>
      <c r="B358" s="69"/>
      <c r="C358" s="69"/>
      <c r="D358" s="418"/>
      <c r="E358" s="409"/>
      <c r="F358" s="409"/>
      <c r="G358" s="409"/>
      <c r="H358" s="409"/>
      <c r="I358" s="409"/>
      <c r="J358" s="137"/>
      <c r="K358" s="137"/>
      <c r="CM358" s="297"/>
      <c r="CN358" s="297"/>
      <c r="CO358" s="297"/>
      <c r="CP358" s="297"/>
      <c r="CQ358" s="297"/>
      <c r="CR358" s="297"/>
      <c r="CS358" s="297"/>
      <c r="CT358" s="297"/>
      <c r="CU358" s="297"/>
      <c r="CV358" s="297"/>
      <c r="CW358" s="297"/>
      <c r="CX358" s="297"/>
      <c r="CY358" s="410"/>
      <c r="CZ358" s="410"/>
      <c r="DA358" s="410"/>
      <c r="DB358" s="410"/>
      <c r="DC358" s="410"/>
      <c r="DD358" s="410"/>
      <c r="DE358" s="411"/>
      <c r="DF358" s="411"/>
      <c r="DG358" s="411"/>
      <c r="DH358" s="411"/>
      <c r="DI358" s="411"/>
      <c r="DJ358" s="411"/>
      <c r="DK358" s="411"/>
      <c r="DL358" s="424"/>
      <c r="DM358" s="141"/>
      <c r="DN358" s="141"/>
      <c r="DO358" s="141"/>
      <c r="DP358" s="141"/>
      <c r="DQ358" s="141"/>
      <c r="DR358" s="141"/>
      <c r="DS358" s="141"/>
      <c r="DT358" s="141"/>
      <c r="DU358" s="141"/>
      <c r="DV358" s="141"/>
      <c r="DW358" s="141"/>
      <c r="DX358" s="141"/>
      <c r="DY358" s="89"/>
      <c r="DZ358" s="89"/>
      <c r="EA358" s="89"/>
      <c r="EB358" s="89"/>
      <c r="EC358" s="89"/>
      <c r="ED358" s="89"/>
      <c r="EE358" s="89"/>
      <c r="EF358" s="89"/>
      <c r="EG358" s="89"/>
      <c r="EH358" s="89"/>
      <c r="EI358" s="89"/>
      <c r="EJ358" s="89"/>
      <c r="EK358" s="89"/>
      <c r="EL358" s="89"/>
      <c r="EM358" s="89"/>
      <c r="EN358" s="89"/>
      <c r="EO358" s="89"/>
      <c r="EP358" s="89"/>
      <c r="EQ358" s="89"/>
      <c r="ER358" s="89"/>
      <c r="ES358" s="89"/>
      <c r="ET358" s="89"/>
      <c r="EU358" s="89"/>
      <c r="EV358" s="89"/>
      <c r="EW358" s="89"/>
      <c r="EX358" s="89"/>
      <c r="EY358" s="89"/>
      <c r="EZ358" s="89"/>
      <c r="FA358" s="141"/>
      <c r="FB358" s="141"/>
      <c r="FC358" s="141"/>
      <c r="FD358" s="141"/>
      <c r="FE358" s="141"/>
      <c r="FF358" s="141"/>
      <c r="FG358" s="141"/>
      <c r="FH358" s="141"/>
      <c r="FI358" s="141"/>
      <c r="FJ358" s="96"/>
      <c r="FK358" s="257"/>
      <c r="FL358" s="96"/>
      <c r="FM358" s="96"/>
      <c r="FN358" s="96"/>
      <c r="FO358" s="96"/>
      <c r="FP358" s="96"/>
      <c r="FQ358" s="96"/>
      <c r="FR358" s="96"/>
      <c r="FS358" s="96"/>
      <c r="FT358" s="96"/>
      <c r="FU358" s="96"/>
      <c r="FV358" s="96"/>
      <c r="FW358" s="96"/>
      <c r="FX358" s="96"/>
      <c r="FY358" s="259"/>
      <c r="FZ358" s="259"/>
      <c r="GA358" s="259"/>
      <c r="GB358" s="259"/>
      <c r="GC358" s="259"/>
      <c r="GD358" s="259"/>
      <c r="GE358" s="259"/>
      <c r="GF358" s="259"/>
      <c r="GG358" s="259"/>
      <c r="GH358" s="259"/>
      <c r="GI358" s="259"/>
      <c r="GJ358" s="259"/>
      <c r="GK358" s="259"/>
      <c r="GL358" s="259"/>
      <c r="GM358" s="259"/>
      <c r="GN358" s="259"/>
      <c r="GO358" s="259"/>
      <c r="GP358" s="259"/>
      <c r="GQ358" s="259"/>
      <c r="GR358" s="259"/>
      <c r="GS358" s="259"/>
      <c r="GT358" s="259"/>
      <c r="GU358" s="259"/>
      <c r="GV358" s="259"/>
    </row>
    <row r="359" spans="1:204" ht="3.6" customHeight="1">
      <c r="A359" s="60"/>
      <c r="B359" s="69"/>
      <c r="C359" s="69"/>
      <c r="D359" s="418"/>
      <c r="E359" s="409"/>
      <c r="F359" s="409"/>
      <c r="G359" s="409"/>
      <c r="H359" s="409"/>
      <c r="I359" s="409"/>
      <c r="J359" s="137"/>
      <c r="K359" s="137"/>
      <c r="L359" s="297"/>
      <c r="M359" s="297"/>
      <c r="N359" s="297"/>
      <c r="O359" s="297"/>
      <c r="P359" s="538" t="str">
        <f ca="1">IF(FL1=0,"","+")</f>
        <v/>
      </c>
      <c r="Q359" s="548"/>
      <c r="R359" s="548"/>
      <c r="S359" s="548"/>
      <c r="T359" s="548"/>
      <c r="U359" s="548"/>
      <c r="V359" s="548"/>
      <c r="W359" s="548"/>
      <c r="X359" s="548"/>
      <c r="Y359" s="548"/>
      <c r="Z359" s="548"/>
      <c r="AA359" s="548"/>
      <c r="AB359" s="548"/>
      <c r="AC359" s="548"/>
      <c r="AD359" s="548"/>
      <c r="AE359" s="548"/>
      <c r="AF359" s="548"/>
      <c r="AG359" s="548"/>
      <c r="AH359" s="548"/>
      <c r="AI359" s="548"/>
      <c r="AJ359" s="548"/>
      <c r="AK359" s="548"/>
      <c r="AL359" s="548"/>
      <c r="AM359" s="548"/>
      <c r="AN359" s="548"/>
      <c r="AO359" s="548"/>
      <c r="AP359" s="548"/>
      <c r="AQ359" s="548"/>
      <c r="AR359" s="548"/>
      <c r="AS359" s="548"/>
      <c r="AT359" s="548"/>
      <c r="AU359" s="548"/>
      <c r="AV359" s="548"/>
      <c r="AW359" s="548"/>
      <c r="AX359" s="548"/>
      <c r="AY359" s="548"/>
      <c r="AZ359" s="548"/>
      <c r="BA359" s="548"/>
      <c r="BB359" s="548"/>
      <c r="BC359" s="548"/>
      <c r="BD359" s="548"/>
      <c r="BE359" s="548"/>
      <c r="BF359" s="548"/>
      <c r="BG359" s="548"/>
      <c r="BH359" s="548"/>
      <c r="BI359" s="548"/>
      <c r="BJ359" s="548"/>
      <c r="BK359" s="548"/>
      <c r="BL359" s="548"/>
      <c r="BM359" s="548"/>
      <c r="BN359" s="548"/>
      <c r="BO359" s="548"/>
      <c r="BP359" s="548"/>
      <c r="BQ359" s="548"/>
      <c r="BR359" s="548"/>
      <c r="BS359" s="548"/>
      <c r="BT359" s="548"/>
      <c r="BU359" s="548"/>
      <c r="BV359" s="548"/>
      <c r="BW359" s="548"/>
      <c r="BX359" s="548"/>
      <c r="BY359" s="548"/>
      <c r="BZ359" s="548"/>
      <c r="CA359" s="548"/>
      <c r="CB359" s="548"/>
      <c r="CC359" s="548"/>
      <c r="CD359" s="548"/>
      <c r="CE359" s="548"/>
      <c r="CF359" s="548"/>
      <c r="CG359" s="548"/>
      <c r="CH359" s="548"/>
      <c r="CI359" s="548"/>
      <c r="CJ359" s="548"/>
      <c r="CK359" s="548"/>
      <c r="CL359" s="548"/>
      <c r="CM359" s="532"/>
      <c r="CN359" s="532"/>
      <c r="CO359" s="532"/>
      <c r="CP359" s="532"/>
      <c r="CQ359" s="532"/>
      <c r="CR359" s="532"/>
      <c r="CS359" s="532"/>
      <c r="CT359" s="532"/>
      <c r="CU359" s="532"/>
      <c r="CV359" s="532"/>
      <c r="CW359" s="532"/>
      <c r="CX359" s="532"/>
      <c r="CY359" s="532"/>
      <c r="CZ359" s="532"/>
      <c r="DA359" s="532"/>
      <c r="DB359" s="532"/>
      <c r="DC359" s="532"/>
      <c r="DD359" s="532"/>
      <c r="DE359" s="532"/>
      <c r="DF359" s="532"/>
      <c r="DG359" s="532"/>
      <c r="DH359" s="532"/>
      <c r="DI359" s="532"/>
      <c r="DJ359" s="532"/>
      <c r="DK359" s="532"/>
      <c r="DL359" s="532"/>
      <c r="DM359" s="532"/>
      <c r="DN359" s="532"/>
      <c r="DO359" s="532"/>
      <c r="DP359" s="532"/>
      <c r="DQ359" s="532"/>
      <c r="DR359" s="532"/>
      <c r="DS359" s="532"/>
      <c r="DT359" s="532"/>
      <c r="DU359" s="532"/>
      <c r="DV359" s="532"/>
      <c r="DW359" s="532"/>
      <c r="DX359" s="532"/>
      <c r="DY359" s="532"/>
      <c r="DZ359" s="532"/>
      <c r="EA359" s="532"/>
      <c r="EB359" s="532"/>
      <c r="EC359" s="532"/>
      <c r="ED359" s="532"/>
      <c r="EE359" s="532"/>
      <c r="EF359" s="532"/>
      <c r="EG359" s="532"/>
      <c r="EH359" s="532"/>
      <c r="EI359" s="532"/>
      <c r="EJ359" s="532"/>
      <c r="EK359" s="532"/>
      <c r="EL359" s="532"/>
      <c r="EM359" s="532"/>
      <c r="EN359" s="532"/>
      <c r="EO359" s="532"/>
      <c r="EP359" s="532"/>
      <c r="EQ359" s="532"/>
      <c r="ER359" s="141"/>
      <c r="ES359" s="141"/>
      <c r="ET359" s="141"/>
      <c r="EU359" s="141"/>
      <c r="EV359" s="141"/>
      <c r="EW359" s="141"/>
      <c r="EX359" s="141"/>
      <c r="EY359" s="141"/>
      <c r="EZ359" s="141"/>
      <c r="FA359" s="141"/>
      <c r="FB359" s="141"/>
      <c r="FC359" s="141"/>
      <c r="FD359" s="141"/>
      <c r="FE359" s="141"/>
      <c r="FF359" s="141"/>
      <c r="FG359" s="141"/>
      <c r="FH359" s="141"/>
      <c r="FI359" s="141"/>
      <c r="FJ359" s="257"/>
      <c r="FK359" s="257"/>
      <c r="FL359" s="257"/>
      <c r="FM359" s="257"/>
      <c r="FN359" s="277"/>
      <c r="FO359" s="277"/>
      <c r="FP359" s="96"/>
      <c r="FQ359" s="96"/>
      <c r="FR359" s="96"/>
      <c r="FS359" s="96"/>
      <c r="FT359" s="96"/>
      <c r="FU359" s="96"/>
      <c r="FV359" s="96"/>
      <c r="FW359" s="96"/>
      <c r="FX359" s="96"/>
      <c r="FY359" s="259"/>
      <c r="FZ359" s="259"/>
      <c r="GA359" s="259"/>
      <c r="GB359" s="259"/>
      <c r="GC359" s="259"/>
      <c r="GD359" s="259"/>
      <c r="GE359" s="259"/>
      <c r="GF359" s="259"/>
      <c r="GG359" s="259"/>
      <c r="GH359" s="259"/>
      <c r="GI359" s="259"/>
      <c r="GJ359" s="259"/>
      <c r="GK359" s="259"/>
      <c r="GL359" s="259"/>
      <c r="GM359" s="259"/>
      <c r="GN359" s="259"/>
      <c r="GO359" s="259"/>
      <c r="GP359" s="259"/>
      <c r="GQ359" s="259"/>
      <c r="GR359" s="259"/>
      <c r="GS359" s="259"/>
      <c r="GT359" s="259"/>
      <c r="GU359" s="259"/>
      <c r="GV359" s="259"/>
    </row>
    <row r="360" spans="1:204" ht="16.95" customHeight="1">
      <c r="A360" s="60"/>
      <c r="B360" s="69"/>
      <c r="C360" s="69"/>
      <c r="D360" s="418"/>
      <c r="E360" s="409"/>
      <c r="F360" s="409"/>
      <c r="G360" s="409"/>
      <c r="H360" s="409"/>
      <c r="I360" s="409"/>
      <c r="J360" s="137"/>
      <c r="K360" s="137"/>
      <c r="L360" s="297"/>
      <c r="M360" s="297"/>
      <c r="N360" s="425" t="str">
        <f ca="1">IF(FL1=0,"","Bij C:")</f>
        <v/>
      </c>
      <c r="O360" s="297"/>
      <c r="P360" s="408" t="str">
        <f ca="1">IF(FL1=0,"","+")</f>
        <v/>
      </c>
      <c r="Q360" s="549"/>
      <c r="R360" s="550"/>
      <c r="S360" s="550"/>
      <c r="T360" s="550"/>
      <c r="U360" s="550"/>
      <c r="V360" s="550"/>
      <c r="W360" s="550"/>
      <c r="X360" s="550"/>
      <c r="Y360" s="550"/>
      <c r="Z360" s="550"/>
      <c r="AA360" s="550"/>
      <c r="AB360" s="550"/>
      <c r="AC360" s="550"/>
      <c r="AD360" s="550"/>
      <c r="AE360" s="550"/>
      <c r="AF360" s="550"/>
      <c r="AG360" s="550"/>
      <c r="AH360" s="550"/>
      <c r="AI360" s="550"/>
      <c r="AJ360" s="550"/>
      <c r="AK360" s="550"/>
      <c r="AL360" s="550"/>
      <c r="AM360" s="550"/>
      <c r="AN360" s="550"/>
      <c r="AO360" s="550"/>
      <c r="AP360" s="550"/>
      <c r="AQ360" s="550"/>
      <c r="AR360" s="550"/>
      <c r="AS360" s="550"/>
      <c r="AT360" s="550"/>
      <c r="AU360" s="550"/>
      <c r="AV360" s="550"/>
      <c r="AW360" s="550"/>
      <c r="AX360" s="550"/>
      <c r="AY360" s="550"/>
      <c r="AZ360" s="550"/>
      <c r="BA360" s="550"/>
      <c r="BB360" s="550"/>
      <c r="BC360" s="550"/>
      <c r="BD360" s="550"/>
      <c r="BE360" s="550"/>
      <c r="BF360" s="550"/>
      <c r="BG360" s="550"/>
      <c r="BH360" s="550"/>
      <c r="BI360" s="550"/>
      <c r="BJ360" s="550"/>
      <c r="BK360" s="550"/>
      <c r="BL360" s="550"/>
      <c r="BM360" s="550"/>
      <c r="BN360" s="550"/>
      <c r="BO360" s="550"/>
      <c r="BP360" s="550"/>
      <c r="BQ360" s="550"/>
      <c r="BR360" s="550"/>
      <c r="BS360" s="550"/>
      <c r="BT360" s="550"/>
      <c r="BU360" s="550"/>
      <c r="BV360" s="550"/>
      <c r="BW360" s="550"/>
      <c r="BX360" s="550"/>
      <c r="BY360" s="550"/>
      <c r="BZ360" s="550"/>
      <c r="CA360" s="550"/>
      <c r="CB360" s="550"/>
      <c r="CC360" s="550"/>
      <c r="CD360" s="550"/>
      <c r="CE360" s="550"/>
      <c r="CF360" s="550"/>
      <c r="CG360" s="550"/>
      <c r="CH360" s="550"/>
      <c r="CI360" s="550"/>
      <c r="CJ360" s="550"/>
      <c r="CK360" s="550"/>
      <c r="CL360" s="551"/>
      <c r="CM360" s="551"/>
      <c r="CN360" s="551"/>
      <c r="CO360" s="551"/>
      <c r="CP360" s="551"/>
      <c r="CQ360" s="551"/>
      <c r="CR360" s="551"/>
      <c r="CS360" s="551"/>
      <c r="CT360" s="551"/>
      <c r="CU360" s="551"/>
      <c r="CV360" s="551"/>
      <c r="CW360" s="551"/>
      <c r="CX360" s="551"/>
      <c r="CY360" s="551"/>
      <c r="CZ360" s="551"/>
      <c r="DA360" s="551"/>
      <c r="DB360" s="551"/>
      <c r="DC360" s="551"/>
      <c r="DD360" s="551"/>
      <c r="DE360" s="551"/>
      <c r="DF360" s="551"/>
      <c r="DG360" s="551"/>
      <c r="DH360" s="551"/>
      <c r="DI360" s="551"/>
      <c r="DJ360" s="551"/>
      <c r="DK360" s="551"/>
      <c r="DL360" s="551"/>
      <c r="DM360" s="551"/>
      <c r="DN360" s="551"/>
      <c r="DO360" s="551"/>
      <c r="DP360" s="551"/>
      <c r="DQ360" s="551"/>
      <c r="DR360" s="551"/>
      <c r="DS360" s="551"/>
      <c r="DT360" s="551"/>
      <c r="DU360" s="551"/>
      <c r="DV360" s="551"/>
      <c r="DW360" s="551"/>
      <c r="DX360" s="551"/>
      <c r="DY360" s="551"/>
      <c r="DZ360" s="551"/>
      <c r="EA360" s="551"/>
      <c r="EB360" s="551"/>
      <c r="EC360" s="551"/>
      <c r="ED360" s="551"/>
      <c r="EE360" s="551"/>
      <c r="EF360" s="551"/>
      <c r="EG360" s="551"/>
      <c r="EH360" s="551"/>
      <c r="EI360" s="551"/>
      <c r="EJ360" s="551"/>
      <c r="EK360" s="551"/>
      <c r="EL360" s="551"/>
      <c r="EM360" s="551"/>
      <c r="EN360" s="551"/>
      <c r="EO360" s="551"/>
      <c r="EP360" s="551"/>
      <c r="EQ360" s="408" t="str">
        <f ca="1">IF(FL1=0,"","+")</f>
        <v/>
      </c>
      <c r="ER360" s="304" t="s">
        <v>131</v>
      </c>
      <c r="ES360" s="416"/>
      <c r="ET360" s="298" t="str">
        <f ca="1">IF(OR(CO461="",TODAY()&gt;=Blad1!AY3),"",IF(FL1=0,"",IF(OR(Q352="",Q356="",Q360="",Q364="",Q368=""),"Deze moet je nog maken.",IF(FL368=1,"Goed!",IF(FM352+FM356+FM360+FM364+FM368=4,"Je hebt er één fout!","Je hebt er twee of meer fout!")))))</f>
        <v/>
      </c>
      <c r="EU360" s="141"/>
      <c r="EV360" s="268"/>
      <c r="EW360" s="268"/>
      <c r="EX360" s="141"/>
      <c r="EY360" s="141"/>
      <c r="EZ360" s="141"/>
      <c r="FA360" s="141"/>
      <c r="FB360" s="141"/>
      <c r="FC360" s="141"/>
      <c r="FD360" s="141"/>
      <c r="FE360" s="141"/>
      <c r="FF360" s="141"/>
      <c r="FG360" s="141"/>
      <c r="FH360" s="141"/>
      <c r="FI360" s="141"/>
      <c r="FJ360" s="257"/>
      <c r="FK360" s="257"/>
      <c r="FL360" s="257"/>
      <c r="FM360" s="277">
        <f>IF(programma!B1="X",1,IF(Q360=FO352,1,0))</f>
        <v>0</v>
      </c>
      <c r="FN360" s="277"/>
      <c r="FO360" s="277"/>
      <c r="FP360" s="277"/>
      <c r="FQ360" s="277"/>
      <c r="FR360" s="277"/>
      <c r="FS360" s="277"/>
      <c r="FT360" s="277"/>
      <c r="FU360" s="96"/>
      <c r="FV360" s="96"/>
      <c r="FW360" s="96"/>
      <c r="FX360" s="96"/>
      <c r="FY360" s="259"/>
      <c r="FZ360" s="259"/>
      <c r="GA360" s="259"/>
      <c r="GB360" s="259"/>
      <c r="GC360" s="259"/>
      <c r="GD360" s="259"/>
      <c r="GE360" s="259"/>
      <c r="GF360" s="259"/>
      <c r="GG360" s="259"/>
      <c r="GH360" s="259"/>
      <c r="GI360" s="259"/>
      <c r="GJ360" s="259"/>
      <c r="GK360" s="259"/>
      <c r="GL360" s="259"/>
      <c r="GM360" s="259"/>
      <c r="GN360" s="259"/>
      <c r="GO360" s="259"/>
      <c r="GP360" s="259"/>
      <c r="GQ360" s="259"/>
      <c r="GR360" s="259"/>
      <c r="GS360" s="259"/>
      <c r="GT360" s="259"/>
      <c r="GU360" s="259"/>
      <c r="GV360" s="259"/>
    </row>
    <row r="361" spans="1:204" ht="3.6" customHeight="1">
      <c r="A361" s="60"/>
      <c r="B361" s="69"/>
      <c r="C361" s="69"/>
      <c r="D361" s="418"/>
      <c r="E361" s="409"/>
      <c r="F361" s="409"/>
      <c r="G361" s="409"/>
      <c r="H361" s="409"/>
      <c r="I361" s="409"/>
      <c r="J361" s="137"/>
      <c r="K361" s="137"/>
      <c r="L361" s="297"/>
      <c r="M361" s="297"/>
      <c r="N361" s="297"/>
      <c r="O361" s="297"/>
      <c r="P361" s="538" t="str">
        <f ca="1">IF(FL1=0,"","+")</f>
        <v/>
      </c>
      <c r="Q361" s="548"/>
      <c r="R361" s="548"/>
      <c r="S361" s="548"/>
      <c r="T361" s="548"/>
      <c r="U361" s="548"/>
      <c r="V361" s="548"/>
      <c r="W361" s="548"/>
      <c r="X361" s="548"/>
      <c r="Y361" s="548"/>
      <c r="Z361" s="548"/>
      <c r="AA361" s="548"/>
      <c r="AB361" s="548"/>
      <c r="AC361" s="548"/>
      <c r="AD361" s="548"/>
      <c r="AE361" s="548"/>
      <c r="AF361" s="548"/>
      <c r="AG361" s="548"/>
      <c r="AH361" s="548"/>
      <c r="AI361" s="548"/>
      <c r="AJ361" s="548"/>
      <c r="AK361" s="548"/>
      <c r="AL361" s="548"/>
      <c r="AM361" s="548"/>
      <c r="AN361" s="548"/>
      <c r="AO361" s="548"/>
      <c r="AP361" s="548"/>
      <c r="AQ361" s="548"/>
      <c r="AR361" s="548"/>
      <c r="AS361" s="548"/>
      <c r="AT361" s="548"/>
      <c r="AU361" s="548"/>
      <c r="AV361" s="548"/>
      <c r="AW361" s="548"/>
      <c r="AX361" s="548"/>
      <c r="AY361" s="548"/>
      <c r="AZ361" s="548"/>
      <c r="BA361" s="548"/>
      <c r="BB361" s="548"/>
      <c r="BC361" s="548"/>
      <c r="BD361" s="548"/>
      <c r="BE361" s="548"/>
      <c r="BF361" s="548"/>
      <c r="BG361" s="548"/>
      <c r="BH361" s="548"/>
      <c r="BI361" s="548"/>
      <c r="BJ361" s="548"/>
      <c r="BK361" s="548"/>
      <c r="BL361" s="548"/>
      <c r="BM361" s="548"/>
      <c r="BN361" s="548"/>
      <c r="BO361" s="548"/>
      <c r="BP361" s="548"/>
      <c r="BQ361" s="548"/>
      <c r="BR361" s="548"/>
      <c r="BS361" s="548"/>
      <c r="BT361" s="548"/>
      <c r="BU361" s="548"/>
      <c r="BV361" s="548"/>
      <c r="BW361" s="548"/>
      <c r="BX361" s="548"/>
      <c r="BY361" s="548"/>
      <c r="BZ361" s="548"/>
      <c r="CA361" s="548"/>
      <c r="CB361" s="548"/>
      <c r="CC361" s="548"/>
      <c r="CD361" s="548"/>
      <c r="CE361" s="548"/>
      <c r="CF361" s="548"/>
      <c r="CG361" s="548"/>
      <c r="CH361" s="548"/>
      <c r="CI361" s="548"/>
      <c r="CJ361" s="548"/>
      <c r="CK361" s="548"/>
      <c r="CL361" s="548"/>
      <c r="CM361" s="532"/>
      <c r="CN361" s="532"/>
      <c r="CO361" s="532"/>
      <c r="CP361" s="532"/>
      <c r="CQ361" s="532"/>
      <c r="CR361" s="532"/>
      <c r="CS361" s="532"/>
      <c r="CT361" s="532"/>
      <c r="CU361" s="532"/>
      <c r="CV361" s="532"/>
      <c r="CW361" s="532"/>
      <c r="CX361" s="532"/>
      <c r="CY361" s="532"/>
      <c r="CZ361" s="532"/>
      <c r="DA361" s="532"/>
      <c r="DB361" s="532"/>
      <c r="DC361" s="532"/>
      <c r="DD361" s="532"/>
      <c r="DE361" s="532"/>
      <c r="DF361" s="532"/>
      <c r="DG361" s="532"/>
      <c r="DH361" s="532"/>
      <c r="DI361" s="532"/>
      <c r="DJ361" s="532"/>
      <c r="DK361" s="532"/>
      <c r="DL361" s="532"/>
      <c r="DM361" s="532"/>
      <c r="DN361" s="532"/>
      <c r="DO361" s="532"/>
      <c r="DP361" s="532"/>
      <c r="DQ361" s="532"/>
      <c r="DR361" s="532"/>
      <c r="DS361" s="532"/>
      <c r="DT361" s="532"/>
      <c r="DU361" s="532"/>
      <c r="DV361" s="532"/>
      <c r="DW361" s="532"/>
      <c r="DX361" s="532"/>
      <c r="DY361" s="532"/>
      <c r="DZ361" s="532"/>
      <c r="EA361" s="532"/>
      <c r="EB361" s="532"/>
      <c r="EC361" s="532"/>
      <c r="ED361" s="532"/>
      <c r="EE361" s="532"/>
      <c r="EF361" s="532"/>
      <c r="EG361" s="532"/>
      <c r="EH361" s="532"/>
      <c r="EI361" s="532"/>
      <c r="EJ361" s="532"/>
      <c r="EK361" s="532"/>
      <c r="EL361" s="532"/>
      <c r="EM361" s="532"/>
      <c r="EN361" s="532"/>
      <c r="EO361" s="532"/>
      <c r="EP361" s="532"/>
      <c r="EQ361" s="532"/>
      <c r="ER361" s="141"/>
      <c r="ES361" s="141"/>
      <c r="ET361" s="141"/>
      <c r="EU361" s="141"/>
      <c r="EV361" s="141"/>
      <c r="EW361" s="141"/>
      <c r="EX361" s="141"/>
      <c r="EY361" s="141"/>
      <c r="EZ361" s="141"/>
      <c r="FA361" s="141"/>
      <c r="FB361" s="141"/>
      <c r="FC361" s="141"/>
      <c r="FD361" s="141"/>
      <c r="FE361" s="141"/>
      <c r="FF361" s="141"/>
      <c r="FG361" s="141"/>
      <c r="FH361" s="141"/>
      <c r="FI361" s="141"/>
      <c r="FJ361" s="257"/>
      <c r="FK361" s="257"/>
      <c r="FL361" s="257"/>
      <c r="FM361" s="257"/>
      <c r="FN361" s="277"/>
      <c r="FO361" s="277"/>
      <c r="FP361" s="277"/>
      <c r="FQ361" s="277"/>
      <c r="FR361" s="277"/>
      <c r="FS361" s="96"/>
      <c r="FT361" s="96"/>
      <c r="FU361" s="96"/>
      <c r="FV361" s="96"/>
      <c r="FW361" s="96"/>
      <c r="FX361" s="96"/>
      <c r="FY361" s="259"/>
      <c r="FZ361" s="259"/>
      <c r="GA361" s="259"/>
      <c r="GB361" s="259"/>
      <c r="GC361" s="259"/>
      <c r="GD361" s="259"/>
      <c r="GE361" s="259"/>
      <c r="GF361" s="259"/>
      <c r="GG361" s="259"/>
      <c r="GH361" s="259"/>
      <c r="GI361" s="259"/>
      <c r="GJ361" s="259"/>
      <c r="GK361" s="259"/>
      <c r="GL361" s="259"/>
      <c r="GM361" s="259"/>
      <c r="GN361" s="259"/>
      <c r="GO361" s="259"/>
      <c r="GP361" s="259"/>
      <c r="GQ361" s="259"/>
      <c r="GR361" s="259"/>
      <c r="GS361" s="259"/>
      <c r="GT361" s="259"/>
      <c r="GU361" s="259"/>
      <c r="GV361" s="259"/>
    </row>
    <row r="362" spans="1:204" ht="5.4" customHeight="1">
      <c r="A362" s="60"/>
      <c r="B362" s="69"/>
      <c r="C362" s="69"/>
      <c r="D362" s="418"/>
      <c r="E362" s="409"/>
      <c r="F362" s="409"/>
      <c r="G362" s="409"/>
      <c r="H362" s="409"/>
      <c r="I362" s="409"/>
      <c r="J362" s="137"/>
      <c r="K362" s="137"/>
      <c r="CM362" s="297"/>
      <c r="CN362" s="297"/>
      <c r="CO362" s="297"/>
      <c r="CP362" s="297"/>
      <c r="CQ362" s="297"/>
      <c r="CR362" s="297"/>
      <c r="CS362" s="297"/>
      <c r="CT362" s="297"/>
      <c r="CU362" s="297"/>
      <c r="CV362" s="297"/>
      <c r="CW362" s="297"/>
      <c r="CX362" s="297"/>
      <c r="CY362" s="410"/>
      <c r="CZ362" s="410"/>
      <c r="DA362" s="410"/>
      <c r="DB362" s="410"/>
      <c r="DC362" s="410"/>
      <c r="DD362" s="410"/>
      <c r="DE362" s="411"/>
      <c r="DF362" s="411"/>
      <c r="DG362" s="411"/>
      <c r="DH362" s="411"/>
      <c r="DI362" s="411"/>
      <c r="DJ362" s="411"/>
      <c r="DK362" s="411"/>
      <c r="DL362" s="424"/>
      <c r="DM362" s="141"/>
      <c r="DN362" s="141"/>
      <c r="DO362" s="141"/>
      <c r="DP362" s="141"/>
      <c r="DQ362" s="141"/>
      <c r="DR362" s="141"/>
      <c r="DS362" s="141"/>
      <c r="DT362" s="141"/>
      <c r="DU362" s="141"/>
      <c r="DV362" s="141"/>
      <c r="DW362" s="141"/>
      <c r="DX362" s="141"/>
      <c r="DY362" s="89"/>
      <c r="DZ362" s="89"/>
      <c r="EA362" s="89"/>
      <c r="EB362" s="89"/>
      <c r="EC362" s="89"/>
      <c r="ED362" s="89"/>
      <c r="EE362" s="89"/>
      <c r="EF362" s="89"/>
      <c r="EG362" s="89"/>
      <c r="EH362" s="89"/>
      <c r="EI362" s="89"/>
      <c r="EJ362" s="89"/>
      <c r="EK362" s="89"/>
      <c r="EL362" s="89"/>
      <c r="EM362" s="89"/>
      <c r="EN362" s="89"/>
      <c r="EO362" s="89"/>
      <c r="EP362" s="89"/>
      <c r="EQ362" s="89"/>
      <c r="ER362" s="89"/>
      <c r="ES362" s="89"/>
      <c r="ET362" s="89"/>
      <c r="EU362" s="89"/>
      <c r="EV362" s="89"/>
      <c r="EW362" s="89"/>
      <c r="EX362" s="89"/>
      <c r="EY362" s="89"/>
      <c r="EZ362" s="89"/>
      <c r="FA362" s="141"/>
      <c r="FB362" s="141"/>
      <c r="FC362" s="141"/>
      <c r="FD362" s="141"/>
      <c r="FE362" s="141"/>
      <c r="FF362" s="141"/>
      <c r="FG362" s="141"/>
      <c r="FH362" s="141"/>
      <c r="FI362" s="141"/>
      <c r="FJ362" s="96"/>
      <c r="FK362" s="257"/>
      <c r="FL362" s="96"/>
      <c r="FM362" s="96"/>
      <c r="FN362" s="96"/>
      <c r="FO362" s="96"/>
      <c r="FP362" s="96"/>
      <c r="FQ362" s="96"/>
      <c r="FR362" s="96"/>
      <c r="FS362" s="96"/>
      <c r="FT362" s="96"/>
      <c r="FU362" s="96"/>
      <c r="FV362" s="96"/>
      <c r="FW362" s="96"/>
      <c r="FX362" s="96"/>
      <c r="FY362" s="259"/>
      <c r="FZ362" s="259"/>
      <c r="GA362" s="259"/>
      <c r="GB362" s="259"/>
      <c r="GC362" s="259"/>
      <c r="GD362" s="259"/>
      <c r="GE362" s="259"/>
      <c r="GF362" s="259"/>
      <c r="GG362" s="259"/>
      <c r="GH362" s="259"/>
      <c r="GI362" s="259"/>
      <c r="GJ362" s="259"/>
      <c r="GK362" s="259"/>
      <c r="GL362" s="259"/>
      <c r="GM362" s="259"/>
      <c r="GN362" s="259"/>
      <c r="GO362" s="259"/>
      <c r="GP362" s="259"/>
      <c r="GQ362" s="259"/>
      <c r="GR362" s="259"/>
      <c r="GS362" s="259"/>
      <c r="GT362" s="259"/>
      <c r="GU362" s="259"/>
      <c r="GV362" s="259"/>
    </row>
    <row r="363" spans="1:204" ht="3.6" customHeight="1">
      <c r="A363" s="60"/>
      <c r="B363" s="69"/>
      <c r="C363" s="69"/>
      <c r="D363" s="418"/>
      <c r="E363" s="409"/>
      <c r="F363" s="409"/>
      <c r="G363" s="409"/>
      <c r="H363" s="409"/>
      <c r="I363" s="409"/>
      <c r="J363" s="137"/>
      <c r="K363" s="137"/>
      <c r="L363" s="297"/>
      <c r="M363" s="297"/>
      <c r="N363" s="297"/>
      <c r="O363" s="297"/>
      <c r="P363" s="538" t="str">
        <f ca="1">IF(FL1=0,"","+")</f>
        <v/>
      </c>
      <c r="Q363" s="548"/>
      <c r="R363" s="548"/>
      <c r="S363" s="548"/>
      <c r="T363" s="548"/>
      <c r="U363" s="548"/>
      <c r="V363" s="548"/>
      <c r="W363" s="548"/>
      <c r="X363" s="548"/>
      <c r="Y363" s="548"/>
      <c r="Z363" s="548"/>
      <c r="AA363" s="548"/>
      <c r="AB363" s="548"/>
      <c r="AC363" s="548"/>
      <c r="AD363" s="548"/>
      <c r="AE363" s="548"/>
      <c r="AF363" s="548"/>
      <c r="AG363" s="548"/>
      <c r="AH363" s="548"/>
      <c r="AI363" s="548"/>
      <c r="AJ363" s="548"/>
      <c r="AK363" s="548"/>
      <c r="AL363" s="548"/>
      <c r="AM363" s="548"/>
      <c r="AN363" s="548"/>
      <c r="AO363" s="548"/>
      <c r="AP363" s="548"/>
      <c r="AQ363" s="548"/>
      <c r="AR363" s="548"/>
      <c r="AS363" s="548"/>
      <c r="AT363" s="548"/>
      <c r="AU363" s="548"/>
      <c r="AV363" s="548"/>
      <c r="AW363" s="548"/>
      <c r="AX363" s="548"/>
      <c r="AY363" s="548"/>
      <c r="AZ363" s="548"/>
      <c r="BA363" s="548"/>
      <c r="BB363" s="548"/>
      <c r="BC363" s="548"/>
      <c r="BD363" s="548"/>
      <c r="BE363" s="548"/>
      <c r="BF363" s="548"/>
      <c r="BG363" s="548"/>
      <c r="BH363" s="548"/>
      <c r="BI363" s="548"/>
      <c r="BJ363" s="548"/>
      <c r="BK363" s="548"/>
      <c r="BL363" s="548"/>
      <c r="BM363" s="548"/>
      <c r="BN363" s="548"/>
      <c r="BO363" s="548"/>
      <c r="BP363" s="548"/>
      <c r="BQ363" s="548"/>
      <c r="BR363" s="548"/>
      <c r="BS363" s="548"/>
      <c r="BT363" s="548"/>
      <c r="BU363" s="548"/>
      <c r="BV363" s="548"/>
      <c r="BW363" s="548"/>
      <c r="BX363" s="548"/>
      <c r="BY363" s="548"/>
      <c r="BZ363" s="548"/>
      <c r="CA363" s="548"/>
      <c r="CB363" s="548"/>
      <c r="CC363" s="548"/>
      <c r="CD363" s="548"/>
      <c r="CE363" s="548"/>
      <c r="CF363" s="548"/>
      <c r="CG363" s="548"/>
      <c r="CH363" s="548"/>
      <c r="CI363" s="548"/>
      <c r="CJ363" s="548"/>
      <c r="CK363" s="548"/>
      <c r="CL363" s="548"/>
      <c r="CM363" s="532"/>
      <c r="CN363" s="532"/>
      <c r="CO363" s="532"/>
      <c r="CP363" s="532"/>
      <c r="CQ363" s="532"/>
      <c r="CR363" s="532"/>
      <c r="CS363" s="532"/>
      <c r="CT363" s="532"/>
      <c r="CU363" s="532"/>
      <c r="CV363" s="532"/>
      <c r="CW363" s="532"/>
      <c r="CX363" s="532"/>
      <c r="CY363" s="532"/>
      <c r="CZ363" s="532"/>
      <c r="DA363" s="532"/>
      <c r="DB363" s="532"/>
      <c r="DC363" s="532"/>
      <c r="DD363" s="532"/>
      <c r="DE363" s="532"/>
      <c r="DF363" s="532"/>
      <c r="DG363" s="532"/>
      <c r="DH363" s="532"/>
      <c r="DI363" s="532"/>
      <c r="DJ363" s="532"/>
      <c r="DK363" s="532"/>
      <c r="DL363" s="532"/>
      <c r="DM363" s="532"/>
      <c r="DN363" s="532"/>
      <c r="DO363" s="532"/>
      <c r="DP363" s="532"/>
      <c r="DQ363" s="532"/>
      <c r="DR363" s="532"/>
      <c r="DS363" s="532"/>
      <c r="DT363" s="532"/>
      <c r="DU363" s="532"/>
      <c r="DV363" s="532"/>
      <c r="DW363" s="532"/>
      <c r="DX363" s="532"/>
      <c r="DY363" s="532"/>
      <c r="DZ363" s="532"/>
      <c r="EA363" s="532"/>
      <c r="EB363" s="532"/>
      <c r="EC363" s="532"/>
      <c r="ED363" s="532"/>
      <c r="EE363" s="532"/>
      <c r="EF363" s="532"/>
      <c r="EG363" s="532"/>
      <c r="EH363" s="532"/>
      <c r="EI363" s="532"/>
      <c r="EJ363" s="532"/>
      <c r="EK363" s="532"/>
      <c r="EL363" s="532"/>
      <c r="EM363" s="532"/>
      <c r="EN363" s="532"/>
      <c r="EO363" s="532"/>
      <c r="EP363" s="532"/>
      <c r="EQ363" s="532"/>
      <c r="ER363" s="141"/>
      <c r="ES363" s="141"/>
      <c r="ET363" s="141"/>
      <c r="EU363" s="141"/>
      <c r="EV363" s="141"/>
      <c r="EW363" s="141"/>
      <c r="EX363" s="141"/>
      <c r="EY363" s="141"/>
      <c r="EZ363" s="141"/>
      <c r="FA363" s="141"/>
      <c r="FB363" s="141"/>
      <c r="FC363" s="141"/>
      <c r="FD363" s="141"/>
      <c r="FE363" s="141"/>
      <c r="FF363" s="141"/>
      <c r="FG363" s="141"/>
      <c r="FH363" s="141"/>
      <c r="FI363" s="141"/>
      <c r="FJ363" s="257"/>
      <c r="FK363" s="257"/>
      <c r="FL363" s="257"/>
      <c r="FM363" s="257"/>
      <c r="FN363" s="277"/>
      <c r="FO363" s="277"/>
      <c r="FP363" s="96"/>
      <c r="FQ363" s="96"/>
      <c r="FR363" s="96"/>
      <c r="FS363" s="96"/>
      <c r="FT363" s="96"/>
      <c r="FU363" s="96"/>
      <c r="FV363" s="96"/>
      <c r="FW363" s="96"/>
      <c r="FX363" s="96"/>
      <c r="FY363" s="259"/>
      <c r="FZ363" s="259"/>
      <c r="GA363" s="259"/>
      <c r="GB363" s="259"/>
      <c r="GC363" s="259"/>
      <c r="GD363" s="259"/>
      <c r="GE363" s="259"/>
      <c r="GF363" s="259"/>
      <c r="GG363" s="259"/>
      <c r="GH363" s="259"/>
      <c r="GI363" s="259"/>
      <c r="GJ363" s="259"/>
      <c r="GK363" s="259"/>
      <c r="GL363" s="259"/>
      <c r="GM363" s="259"/>
      <c r="GN363" s="259"/>
      <c r="GO363" s="259"/>
      <c r="GP363" s="259"/>
      <c r="GQ363" s="259"/>
      <c r="GR363" s="259"/>
      <c r="GS363" s="259"/>
      <c r="GT363" s="259"/>
      <c r="GU363" s="259"/>
      <c r="GV363" s="259"/>
    </row>
    <row r="364" spans="1:204" ht="16.95" customHeight="1">
      <c r="A364" s="60"/>
      <c r="B364" s="69"/>
      <c r="C364" s="69"/>
      <c r="D364" s="418"/>
      <c r="E364" s="409"/>
      <c r="F364" s="409"/>
      <c r="G364" s="409"/>
      <c r="H364" s="409"/>
      <c r="I364" s="409"/>
      <c r="J364" s="137"/>
      <c r="K364" s="137"/>
      <c r="L364" s="297"/>
      <c r="M364" s="297"/>
      <c r="N364" s="425" t="str">
        <f ca="1">IF(FL1=0,"","Bij D:")</f>
        <v/>
      </c>
      <c r="O364" s="297"/>
      <c r="P364" s="408" t="str">
        <f ca="1">IF(FL1=0,"","+")</f>
        <v/>
      </c>
      <c r="Q364" s="549"/>
      <c r="R364" s="550"/>
      <c r="S364" s="550"/>
      <c r="T364" s="550"/>
      <c r="U364" s="550"/>
      <c r="V364" s="550"/>
      <c r="W364" s="550"/>
      <c r="X364" s="550"/>
      <c r="Y364" s="550"/>
      <c r="Z364" s="550"/>
      <c r="AA364" s="550"/>
      <c r="AB364" s="550"/>
      <c r="AC364" s="550"/>
      <c r="AD364" s="550"/>
      <c r="AE364" s="550"/>
      <c r="AF364" s="550"/>
      <c r="AG364" s="550"/>
      <c r="AH364" s="550"/>
      <c r="AI364" s="550"/>
      <c r="AJ364" s="550"/>
      <c r="AK364" s="550"/>
      <c r="AL364" s="550"/>
      <c r="AM364" s="550"/>
      <c r="AN364" s="550"/>
      <c r="AO364" s="550"/>
      <c r="AP364" s="550"/>
      <c r="AQ364" s="550"/>
      <c r="AR364" s="550"/>
      <c r="AS364" s="550"/>
      <c r="AT364" s="550"/>
      <c r="AU364" s="550"/>
      <c r="AV364" s="550"/>
      <c r="AW364" s="550"/>
      <c r="AX364" s="550"/>
      <c r="AY364" s="550"/>
      <c r="AZ364" s="550"/>
      <c r="BA364" s="550"/>
      <c r="BB364" s="550"/>
      <c r="BC364" s="550"/>
      <c r="BD364" s="550"/>
      <c r="BE364" s="550"/>
      <c r="BF364" s="550"/>
      <c r="BG364" s="550"/>
      <c r="BH364" s="550"/>
      <c r="BI364" s="550"/>
      <c r="BJ364" s="550"/>
      <c r="BK364" s="550"/>
      <c r="BL364" s="550"/>
      <c r="BM364" s="550"/>
      <c r="BN364" s="550"/>
      <c r="BO364" s="550"/>
      <c r="BP364" s="550"/>
      <c r="BQ364" s="550"/>
      <c r="BR364" s="550"/>
      <c r="BS364" s="550"/>
      <c r="BT364" s="550"/>
      <c r="BU364" s="550"/>
      <c r="BV364" s="550"/>
      <c r="BW364" s="550"/>
      <c r="BX364" s="550"/>
      <c r="BY364" s="550"/>
      <c r="BZ364" s="550"/>
      <c r="CA364" s="550"/>
      <c r="CB364" s="550"/>
      <c r="CC364" s="550"/>
      <c r="CD364" s="550"/>
      <c r="CE364" s="550"/>
      <c r="CF364" s="550"/>
      <c r="CG364" s="550"/>
      <c r="CH364" s="550"/>
      <c r="CI364" s="550"/>
      <c r="CJ364" s="550"/>
      <c r="CK364" s="550"/>
      <c r="CL364" s="551"/>
      <c r="CM364" s="551"/>
      <c r="CN364" s="551"/>
      <c r="CO364" s="551"/>
      <c r="CP364" s="551"/>
      <c r="CQ364" s="551"/>
      <c r="CR364" s="551"/>
      <c r="CS364" s="551"/>
      <c r="CT364" s="551"/>
      <c r="CU364" s="551"/>
      <c r="CV364" s="551"/>
      <c r="CW364" s="551"/>
      <c r="CX364" s="551"/>
      <c r="CY364" s="551"/>
      <c r="CZ364" s="551"/>
      <c r="DA364" s="551"/>
      <c r="DB364" s="551"/>
      <c r="DC364" s="551"/>
      <c r="DD364" s="551"/>
      <c r="DE364" s="551"/>
      <c r="DF364" s="551"/>
      <c r="DG364" s="551"/>
      <c r="DH364" s="551"/>
      <c r="DI364" s="551"/>
      <c r="DJ364" s="551"/>
      <c r="DK364" s="551"/>
      <c r="DL364" s="551"/>
      <c r="DM364" s="551"/>
      <c r="DN364" s="551"/>
      <c r="DO364" s="551"/>
      <c r="DP364" s="551"/>
      <c r="DQ364" s="551"/>
      <c r="DR364" s="551"/>
      <c r="DS364" s="551"/>
      <c r="DT364" s="551"/>
      <c r="DU364" s="551"/>
      <c r="DV364" s="551"/>
      <c r="DW364" s="551"/>
      <c r="DX364" s="551"/>
      <c r="DY364" s="551"/>
      <c r="DZ364" s="551"/>
      <c r="EA364" s="551"/>
      <c r="EB364" s="551"/>
      <c r="EC364" s="551"/>
      <c r="ED364" s="551"/>
      <c r="EE364" s="551"/>
      <c r="EF364" s="551"/>
      <c r="EG364" s="551"/>
      <c r="EH364" s="551"/>
      <c r="EI364" s="551"/>
      <c r="EJ364" s="551"/>
      <c r="EK364" s="551"/>
      <c r="EL364" s="551"/>
      <c r="EM364" s="551"/>
      <c r="EN364" s="551"/>
      <c r="EO364" s="551"/>
      <c r="EP364" s="551"/>
      <c r="EQ364" s="408" t="str">
        <f ca="1">IF(FL1=0,"","+")</f>
        <v/>
      </c>
      <c r="ER364" s="304" t="s">
        <v>131</v>
      </c>
      <c r="ES364" s="416"/>
      <c r="ET364" s="298" t="str">
        <f ca="1">IF(OR(CO714="",TODAY()&gt;=Blad1!AY3),"",IF(FL1=0,"",IF(Q364="","Deze moet je nog maken.",IF(FM364=1,"Goed!","Fout!"))))</f>
        <v/>
      </c>
      <c r="EU364" s="141"/>
      <c r="EV364" s="268"/>
      <c r="EW364" s="268"/>
      <c r="EX364" s="141"/>
      <c r="EY364" s="141"/>
      <c r="EZ364" s="141"/>
      <c r="FA364" s="141"/>
      <c r="FB364" s="141"/>
      <c r="FC364" s="141"/>
      <c r="FD364" s="141"/>
      <c r="FE364" s="141"/>
      <c r="FF364" s="141"/>
      <c r="FG364" s="141"/>
      <c r="FH364" s="141"/>
      <c r="FI364" s="141"/>
      <c r="FJ364" s="257"/>
      <c r="FK364" s="257"/>
      <c r="FL364" s="257"/>
      <c r="FM364" s="277">
        <f>IF(programma!B1="X",1,IF(Q364=FS352,1,0))</f>
        <v>0</v>
      </c>
      <c r="FN364" s="277"/>
      <c r="FO364" s="277"/>
      <c r="FP364" s="277"/>
      <c r="FQ364" s="277"/>
      <c r="FR364" s="277"/>
      <c r="FS364" s="277"/>
      <c r="FT364" s="277"/>
      <c r="FU364" s="96"/>
      <c r="FV364" s="96"/>
      <c r="FW364" s="96"/>
      <c r="FX364" s="96"/>
      <c r="FY364" s="259"/>
      <c r="FZ364" s="259"/>
      <c r="GA364" s="259"/>
      <c r="GB364" s="259"/>
      <c r="GC364" s="259"/>
      <c r="GD364" s="259"/>
      <c r="GE364" s="259"/>
      <c r="GF364" s="259"/>
      <c r="GG364" s="259"/>
      <c r="GH364" s="259"/>
      <c r="GI364" s="259"/>
      <c r="GJ364" s="259"/>
      <c r="GK364" s="259"/>
      <c r="GL364" s="259"/>
      <c r="GM364" s="259"/>
      <c r="GN364" s="259"/>
      <c r="GO364" s="259"/>
      <c r="GP364" s="259"/>
      <c r="GQ364" s="259"/>
      <c r="GR364" s="259"/>
      <c r="GS364" s="259"/>
      <c r="GT364" s="259"/>
      <c r="GU364" s="259"/>
      <c r="GV364" s="259"/>
    </row>
    <row r="365" spans="1:204" ht="3.6" customHeight="1">
      <c r="A365" s="60"/>
      <c r="B365" s="69"/>
      <c r="C365" s="69"/>
      <c r="D365" s="418"/>
      <c r="E365" s="409"/>
      <c r="F365" s="409"/>
      <c r="G365" s="409"/>
      <c r="H365" s="409"/>
      <c r="I365" s="409"/>
      <c r="J365" s="137"/>
      <c r="K365" s="137"/>
      <c r="L365" s="297"/>
      <c r="M365" s="297"/>
      <c r="N365" s="297"/>
      <c r="O365" s="297"/>
      <c r="P365" s="538" t="str">
        <f ca="1">IF(FL1=0,"","+")</f>
        <v/>
      </c>
      <c r="Q365" s="548"/>
      <c r="R365" s="548"/>
      <c r="S365" s="548"/>
      <c r="T365" s="548"/>
      <c r="U365" s="548"/>
      <c r="V365" s="548"/>
      <c r="W365" s="548"/>
      <c r="X365" s="548"/>
      <c r="Y365" s="548"/>
      <c r="Z365" s="548"/>
      <c r="AA365" s="548"/>
      <c r="AB365" s="548"/>
      <c r="AC365" s="548"/>
      <c r="AD365" s="548"/>
      <c r="AE365" s="548"/>
      <c r="AF365" s="548"/>
      <c r="AG365" s="548"/>
      <c r="AH365" s="548"/>
      <c r="AI365" s="548"/>
      <c r="AJ365" s="548"/>
      <c r="AK365" s="548"/>
      <c r="AL365" s="548"/>
      <c r="AM365" s="548"/>
      <c r="AN365" s="548"/>
      <c r="AO365" s="548"/>
      <c r="AP365" s="548"/>
      <c r="AQ365" s="548"/>
      <c r="AR365" s="548"/>
      <c r="AS365" s="548"/>
      <c r="AT365" s="548"/>
      <c r="AU365" s="548"/>
      <c r="AV365" s="548"/>
      <c r="AW365" s="548"/>
      <c r="AX365" s="548"/>
      <c r="AY365" s="548"/>
      <c r="AZ365" s="548"/>
      <c r="BA365" s="548"/>
      <c r="BB365" s="548"/>
      <c r="BC365" s="548"/>
      <c r="BD365" s="548"/>
      <c r="BE365" s="548"/>
      <c r="BF365" s="548"/>
      <c r="BG365" s="548"/>
      <c r="BH365" s="548"/>
      <c r="BI365" s="548"/>
      <c r="BJ365" s="548"/>
      <c r="BK365" s="548"/>
      <c r="BL365" s="548"/>
      <c r="BM365" s="548"/>
      <c r="BN365" s="548"/>
      <c r="BO365" s="548"/>
      <c r="BP365" s="548"/>
      <c r="BQ365" s="548"/>
      <c r="BR365" s="548"/>
      <c r="BS365" s="548"/>
      <c r="BT365" s="548"/>
      <c r="BU365" s="548"/>
      <c r="BV365" s="548"/>
      <c r="BW365" s="548"/>
      <c r="BX365" s="548"/>
      <c r="BY365" s="548"/>
      <c r="BZ365" s="548"/>
      <c r="CA365" s="548"/>
      <c r="CB365" s="548"/>
      <c r="CC365" s="548"/>
      <c r="CD365" s="548"/>
      <c r="CE365" s="548"/>
      <c r="CF365" s="548"/>
      <c r="CG365" s="548"/>
      <c r="CH365" s="548"/>
      <c r="CI365" s="548"/>
      <c r="CJ365" s="548"/>
      <c r="CK365" s="548"/>
      <c r="CL365" s="548"/>
      <c r="CM365" s="532"/>
      <c r="CN365" s="532"/>
      <c r="CO365" s="532"/>
      <c r="CP365" s="532"/>
      <c r="CQ365" s="532"/>
      <c r="CR365" s="532"/>
      <c r="CS365" s="532"/>
      <c r="CT365" s="532"/>
      <c r="CU365" s="532"/>
      <c r="CV365" s="532"/>
      <c r="CW365" s="532"/>
      <c r="CX365" s="532"/>
      <c r="CY365" s="532"/>
      <c r="CZ365" s="532"/>
      <c r="DA365" s="532"/>
      <c r="DB365" s="532"/>
      <c r="DC365" s="532"/>
      <c r="DD365" s="532"/>
      <c r="DE365" s="532"/>
      <c r="DF365" s="532"/>
      <c r="DG365" s="532"/>
      <c r="DH365" s="532"/>
      <c r="DI365" s="532"/>
      <c r="DJ365" s="532"/>
      <c r="DK365" s="532"/>
      <c r="DL365" s="532"/>
      <c r="DM365" s="532"/>
      <c r="DN365" s="532"/>
      <c r="DO365" s="532"/>
      <c r="DP365" s="532"/>
      <c r="DQ365" s="532"/>
      <c r="DR365" s="532"/>
      <c r="DS365" s="532"/>
      <c r="DT365" s="532"/>
      <c r="DU365" s="532"/>
      <c r="DV365" s="532"/>
      <c r="DW365" s="532"/>
      <c r="DX365" s="532"/>
      <c r="DY365" s="532"/>
      <c r="DZ365" s="532"/>
      <c r="EA365" s="532"/>
      <c r="EB365" s="532"/>
      <c r="EC365" s="532"/>
      <c r="ED365" s="532"/>
      <c r="EE365" s="532"/>
      <c r="EF365" s="532"/>
      <c r="EG365" s="532"/>
      <c r="EH365" s="532"/>
      <c r="EI365" s="532"/>
      <c r="EJ365" s="532"/>
      <c r="EK365" s="532"/>
      <c r="EL365" s="532"/>
      <c r="EM365" s="532"/>
      <c r="EN365" s="532"/>
      <c r="EO365" s="532"/>
      <c r="EP365" s="532"/>
      <c r="EQ365" s="532"/>
      <c r="ER365" s="141"/>
      <c r="ES365" s="141"/>
      <c r="ET365" s="141"/>
      <c r="EU365" s="141"/>
      <c r="EV365" s="141"/>
      <c r="EW365" s="141"/>
      <c r="EX365" s="141"/>
      <c r="EY365" s="141"/>
      <c r="EZ365" s="141"/>
      <c r="FA365" s="141"/>
      <c r="FB365" s="141"/>
      <c r="FC365" s="141"/>
      <c r="FD365" s="141"/>
      <c r="FE365" s="141"/>
      <c r="FF365" s="141"/>
      <c r="FG365" s="141"/>
      <c r="FH365" s="141"/>
      <c r="FI365" s="141"/>
      <c r="FJ365" s="257"/>
      <c r="FK365" s="257"/>
      <c r="FL365" s="257"/>
      <c r="FM365" s="257"/>
      <c r="FN365" s="277"/>
      <c r="FO365" s="277"/>
      <c r="FP365" s="277"/>
      <c r="FQ365" s="277"/>
      <c r="FR365" s="277"/>
      <c r="FS365" s="96"/>
      <c r="FT365" s="96"/>
      <c r="FU365" s="96"/>
      <c r="FV365" s="96"/>
      <c r="FW365" s="96"/>
      <c r="FX365" s="96"/>
      <c r="FY365" s="259"/>
      <c r="FZ365" s="259"/>
      <c r="GA365" s="259"/>
      <c r="GB365" s="259"/>
      <c r="GC365" s="259"/>
      <c r="GD365" s="259"/>
      <c r="GE365" s="259"/>
      <c r="GF365" s="259"/>
      <c r="GG365" s="259"/>
      <c r="GH365" s="259"/>
      <c r="GI365" s="259"/>
      <c r="GJ365" s="259"/>
      <c r="GK365" s="259"/>
      <c r="GL365" s="259"/>
      <c r="GM365" s="259"/>
      <c r="GN365" s="259"/>
      <c r="GO365" s="259"/>
      <c r="GP365" s="259"/>
      <c r="GQ365" s="259"/>
      <c r="GR365" s="259"/>
      <c r="GS365" s="259"/>
      <c r="GT365" s="259"/>
      <c r="GU365" s="259"/>
      <c r="GV365" s="259"/>
    </row>
    <row r="366" spans="1:204" ht="5.4" customHeight="1">
      <c r="A366" s="60"/>
      <c r="B366" s="69"/>
      <c r="C366" s="69"/>
      <c r="D366" s="418"/>
      <c r="E366" s="409"/>
      <c r="F366" s="409"/>
      <c r="G366" s="409"/>
      <c r="H366" s="409"/>
      <c r="I366" s="409"/>
      <c r="J366" s="137"/>
      <c r="K366" s="137"/>
      <c r="CM366" s="297"/>
      <c r="CN366" s="297"/>
      <c r="CO366" s="297"/>
      <c r="CP366" s="297"/>
      <c r="CQ366" s="297"/>
      <c r="CR366" s="297"/>
      <c r="CS366" s="297"/>
      <c r="CT366" s="297"/>
      <c r="CU366" s="297"/>
      <c r="CV366" s="297"/>
      <c r="CW366" s="297"/>
      <c r="CX366" s="297"/>
      <c r="CY366" s="410"/>
      <c r="CZ366" s="410"/>
      <c r="DA366" s="410"/>
      <c r="DB366" s="410"/>
      <c r="DC366" s="410"/>
      <c r="DD366" s="410"/>
      <c r="DE366" s="411"/>
      <c r="DF366" s="411"/>
      <c r="DG366" s="411"/>
      <c r="DH366" s="411"/>
      <c r="DI366" s="411"/>
      <c r="DJ366" s="411"/>
      <c r="DK366" s="411"/>
      <c r="DL366" s="424"/>
      <c r="DM366" s="141"/>
      <c r="DN366" s="141"/>
      <c r="DO366" s="141"/>
      <c r="DP366" s="141"/>
      <c r="DQ366" s="141"/>
      <c r="DR366" s="141"/>
      <c r="DS366" s="141"/>
      <c r="DT366" s="141"/>
      <c r="DU366" s="141"/>
      <c r="DV366" s="141"/>
      <c r="DW366" s="141"/>
      <c r="DX366" s="141"/>
      <c r="DY366" s="89"/>
      <c r="DZ366" s="89"/>
      <c r="EA366" s="89"/>
      <c r="EB366" s="89"/>
      <c r="EC366" s="89"/>
      <c r="ED366" s="89"/>
      <c r="EE366" s="89"/>
      <c r="EF366" s="89"/>
      <c r="EG366" s="89"/>
      <c r="EH366" s="89"/>
      <c r="EI366" s="89"/>
      <c r="EJ366" s="89"/>
      <c r="EK366" s="89"/>
      <c r="EL366" s="89"/>
      <c r="EM366" s="89"/>
      <c r="EN366" s="89"/>
      <c r="EO366" s="89"/>
      <c r="EP366" s="89"/>
      <c r="EQ366" s="89"/>
      <c r="ER366" s="89"/>
      <c r="ES366" s="89"/>
      <c r="ET366" s="89"/>
      <c r="EU366" s="89"/>
      <c r="EV366" s="89"/>
      <c r="EW366" s="89"/>
      <c r="EX366" s="89"/>
      <c r="EY366" s="89"/>
      <c r="EZ366" s="89"/>
      <c r="FA366" s="141"/>
      <c r="FB366" s="141"/>
      <c r="FC366" s="141"/>
      <c r="FD366" s="141"/>
      <c r="FE366" s="141"/>
      <c r="FF366" s="141"/>
      <c r="FG366" s="141"/>
      <c r="FH366" s="141"/>
      <c r="FI366" s="141"/>
      <c r="FJ366" s="96"/>
      <c r="FK366" s="257"/>
      <c r="FL366" s="96"/>
      <c r="FM366" s="96"/>
      <c r="FN366" s="96"/>
      <c r="FO366" s="96"/>
      <c r="FP366" s="96"/>
      <c r="FQ366" s="96"/>
      <c r="FR366" s="96"/>
      <c r="FS366" s="96"/>
      <c r="FT366" s="96"/>
      <c r="FU366" s="96"/>
      <c r="FV366" s="96"/>
      <c r="FW366" s="96"/>
      <c r="FX366" s="96"/>
      <c r="FY366" s="259"/>
      <c r="FZ366" s="259"/>
      <c r="GA366" s="259"/>
      <c r="GB366" s="259"/>
      <c r="GC366" s="259"/>
      <c r="GD366" s="259"/>
      <c r="GE366" s="259"/>
      <c r="GF366" s="259"/>
      <c r="GG366" s="259"/>
      <c r="GH366" s="259"/>
      <c r="GI366" s="259"/>
      <c r="GJ366" s="259"/>
      <c r="GK366" s="259"/>
      <c r="GL366" s="259"/>
      <c r="GM366" s="259"/>
      <c r="GN366" s="259"/>
      <c r="GO366" s="259"/>
      <c r="GP366" s="259"/>
      <c r="GQ366" s="259"/>
      <c r="GR366" s="259"/>
      <c r="GS366" s="259"/>
      <c r="GT366" s="259"/>
      <c r="GU366" s="259"/>
      <c r="GV366" s="259"/>
    </row>
    <row r="367" spans="1:204" ht="3.6" customHeight="1">
      <c r="A367" s="60"/>
      <c r="B367" s="69"/>
      <c r="C367" s="69"/>
      <c r="D367" s="418"/>
      <c r="E367" s="409"/>
      <c r="F367" s="409"/>
      <c r="G367" s="409"/>
      <c r="H367" s="409"/>
      <c r="I367" s="409"/>
      <c r="J367" s="137"/>
      <c r="K367" s="137"/>
      <c r="L367" s="297"/>
      <c r="M367" s="297"/>
      <c r="N367" s="297"/>
      <c r="O367" s="297"/>
      <c r="P367" s="538" t="str">
        <f ca="1">IF(FL1=0,"","+")</f>
        <v/>
      </c>
      <c r="Q367" s="548"/>
      <c r="R367" s="548"/>
      <c r="S367" s="548"/>
      <c r="T367" s="548"/>
      <c r="U367" s="548"/>
      <c r="V367" s="548"/>
      <c r="W367" s="548"/>
      <c r="X367" s="548"/>
      <c r="Y367" s="548"/>
      <c r="Z367" s="548"/>
      <c r="AA367" s="548"/>
      <c r="AB367" s="548"/>
      <c r="AC367" s="548"/>
      <c r="AD367" s="548"/>
      <c r="AE367" s="548"/>
      <c r="AF367" s="548"/>
      <c r="AG367" s="548"/>
      <c r="AH367" s="548"/>
      <c r="AI367" s="548"/>
      <c r="AJ367" s="548"/>
      <c r="AK367" s="548"/>
      <c r="AL367" s="548"/>
      <c r="AM367" s="548"/>
      <c r="AN367" s="548"/>
      <c r="AO367" s="548"/>
      <c r="AP367" s="548"/>
      <c r="AQ367" s="548"/>
      <c r="AR367" s="548"/>
      <c r="AS367" s="548"/>
      <c r="AT367" s="548"/>
      <c r="AU367" s="548"/>
      <c r="AV367" s="548"/>
      <c r="AW367" s="548"/>
      <c r="AX367" s="548"/>
      <c r="AY367" s="548"/>
      <c r="AZ367" s="548"/>
      <c r="BA367" s="548"/>
      <c r="BB367" s="548"/>
      <c r="BC367" s="548"/>
      <c r="BD367" s="548"/>
      <c r="BE367" s="548"/>
      <c r="BF367" s="548"/>
      <c r="BG367" s="548"/>
      <c r="BH367" s="548"/>
      <c r="BI367" s="548"/>
      <c r="BJ367" s="548"/>
      <c r="BK367" s="548"/>
      <c r="BL367" s="548"/>
      <c r="BM367" s="548"/>
      <c r="BN367" s="548"/>
      <c r="BO367" s="548"/>
      <c r="BP367" s="548"/>
      <c r="BQ367" s="548"/>
      <c r="BR367" s="548"/>
      <c r="BS367" s="548"/>
      <c r="BT367" s="548"/>
      <c r="BU367" s="548"/>
      <c r="BV367" s="548"/>
      <c r="BW367" s="548"/>
      <c r="BX367" s="548"/>
      <c r="BY367" s="548"/>
      <c r="BZ367" s="548"/>
      <c r="CA367" s="548"/>
      <c r="CB367" s="548"/>
      <c r="CC367" s="548"/>
      <c r="CD367" s="548"/>
      <c r="CE367" s="548"/>
      <c r="CF367" s="548"/>
      <c r="CG367" s="548"/>
      <c r="CH367" s="548"/>
      <c r="CI367" s="548"/>
      <c r="CJ367" s="548"/>
      <c r="CK367" s="548"/>
      <c r="CL367" s="548"/>
      <c r="CM367" s="532"/>
      <c r="CN367" s="532"/>
      <c r="CO367" s="532"/>
      <c r="CP367" s="532"/>
      <c r="CQ367" s="532"/>
      <c r="CR367" s="532"/>
      <c r="CS367" s="532"/>
      <c r="CT367" s="532"/>
      <c r="CU367" s="532"/>
      <c r="CV367" s="532"/>
      <c r="CW367" s="532"/>
      <c r="CX367" s="532"/>
      <c r="CY367" s="532"/>
      <c r="CZ367" s="532"/>
      <c r="DA367" s="532"/>
      <c r="DB367" s="532"/>
      <c r="DC367" s="532"/>
      <c r="DD367" s="532"/>
      <c r="DE367" s="532"/>
      <c r="DF367" s="532"/>
      <c r="DG367" s="532"/>
      <c r="DH367" s="532"/>
      <c r="DI367" s="532"/>
      <c r="DJ367" s="532"/>
      <c r="DK367" s="532"/>
      <c r="DL367" s="532"/>
      <c r="DM367" s="532"/>
      <c r="DN367" s="532"/>
      <c r="DO367" s="532"/>
      <c r="DP367" s="532"/>
      <c r="DQ367" s="532"/>
      <c r="DR367" s="532"/>
      <c r="DS367" s="532"/>
      <c r="DT367" s="532"/>
      <c r="DU367" s="532"/>
      <c r="DV367" s="532"/>
      <c r="DW367" s="532"/>
      <c r="DX367" s="532"/>
      <c r="DY367" s="532"/>
      <c r="DZ367" s="532"/>
      <c r="EA367" s="532"/>
      <c r="EB367" s="532"/>
      <c r="EC367" s="532"/>
      <c r="ED367" s="532"/>
      <c r="EE367" s="532"/>
      <c r="EF367" s="532"/>
      <c r="EG367" s="532"/>
      <c r="EH367" s="532"/>
      <c r="EI367" s="532"/>
      <c r="EJ367" s="532"/>
      <c r="EK367" s="532"/>
      <c r="EL367" s="532"/>
      <c r="EM367" s="532"/>
      <c r="EN367" s="532"/>
      <c r="EO367" s="532"/>
      <c r="EP367" s="532"/>
      <c r="EQ367" s="532"/>
      <c r="ER367" s="141"/>
      <c r="ES367" s="141"/>
      <c r="ET367" s="141"/>
      <c r="EU367" s="141"/>
      <c r="EV367" s="141"/>
      <c r="EW367" s="141"/>
      <c r="EX367" s="141"/>
      <c r="EY367" s="141"/>
      <c r="EZ367" s="141"/>
      <c r="FA367" s="141"/>
      <c r="FB367" s="141"/>
      <c r="FC367" s="141"/>
      <c r="FD367" s="141"/>
      <c r="FE367" s="141"/>
      <c r="FF367" s="141"/>
      <c r="FG367" s="141"/>
      <c r="FH367" s="141"/>
      <c r="FI367" s="141"/>
      <c r="FJ367" s="257"/>
      <c r="FK367" s="257"/>
      <c r="FL367" s="257"/>
      <c r="FM367" s="257"/>
      <c r="FN367" s="277"/>
      <c r="FO367" s="277"/>
      <c r="FP367" s="96"/>
      <c r="FQ367" s="96"/>
      <c r="FR367" s="96"/>
      <c r="FS367" s="96"/>
      <c r="FT367" s="96"/>
      <c r="FU367" s="96"/>
      <c r="FV367" s="96"/>
      <c r="FW367" s="96"/>
      <c r="FX367" s="96"/>
      <c r="FY367" s="259"/>
      <c r="FZ367" s="259"/>
      <c r="GA367" s="259"/>
      <c r="GB367" s="259"/>
      <c r="GC367" s="259"/>
      <c r="GD367" s="259"/>
      <c r="GE367" s="259"/>
      <c r="GF367" s="259"/>
      <c r="GG367" s="259"/>
      <c r="GH367" s="259"/>
      <c r="GI367" s="259"/>
      <c r="GJ367" s="259"/>
      <c r="GK367" s="259"/>
      <c r="GL367" s="259"/>
      <c r="GM367" s="259"/>
      <c r="GN367" s="259"/>
      <c r="GO367" s="259"/>
      <c r="GP367" s="259"/>
      <c r="GQ367" s="259"/>
      <c r="GR367" s="259"/>
      <c r="GS367" s="259"/>
      <c r="GT367" s="259"/>
      <c r="GU367" s="259"/>
      <c r="GV367" s="259"/>
    </row>
    <row r="368" spans="1:204" ht="16.95" customHeight="1">
      <c r="A368" s="60"/>
      <c r="B368" s="69"/>
      <c r="C368" s="69"/>
      <c r="D368" s="418"/>
      <c r="E368" s="409"/>
      <c r="F368" s="409"/>
      <c r="G368" s="409"/>
      <c r="H368" s="409"/>
      <c r="I368" s="409"/>
      <c r="J368" s="137"/>
      <c r="K368" s="137"/>
      <c r="L368" s="297"/>
      <c r="M368" s="297"/>
      <c r="N368" s="425" t="str">
        <f ca="1">IF(FL1=0,"","Bij E:")</f>
        <v/>
      </c>
      <c r="O368" s="297"/>
      <c r="P368" s="408" t="str">
        <f ca="1">IF(FL1=0,"","+")</f>
        <v/>
      </c>
      <c r="Q368" s="549"/>
      <c r="R368" s="550"/>
      <c r="S368" s="550"/>
      <c r="T368" s="550"/>
      <c r="U368" s="550"/>
      <c r="V368" s="550"/>
      <c r="W368" s="550"/>
      <c r="X368" s="550"/>
      <c r="Y368" s="550"/>
      <c r="Z368" s="550"/>
      <c r="AA368" s="550"/>
      <c r="AB368" s="550"/>
      <c r="AC368" s="550"/>
      <c r="AD368" s="550"/>
      <c r="AE368" s="550"/>
      <c r="AF368" s="550"/>
      <c r="AG368" s="550"/>
      <c r="AH368" s="550"/>
      <c r="AI368" s="550"/>
      <c r="AJ368" s="550"/>
      <c r="AK368" s="550"/>
      <c r="AL368" s="550"/>
      <c r="AM368" s="550"/>
      <c r="AN368" s="550"/>
      <c r="AO368" s="550"/>
      <c r="AP368" s="550"/>
      <c r="AQ368" s="550"/>
      <c r="AR368" s="550"/>
      <c r="AS368" s="550"/>
      <c r="AT368" s="550"/>
      <c r="AU368" s="550"/>
      <c r="AV368" s="550"/>
      <c r="AW368" s="550"/>
      <c r="AX368" s="550"/>
      <c r="AY368" s="550"/>
      <c r="AZ368" s="550"/>
      <c r="BA368" s="550"/>
      <c r="BB368" s="550"/>
      <c r="BC368" s="550"/>
      <c r="BD368" s="550"/>
      <c r="BE368" s="550"/>
      <c r="BF368" s="550"/>
      <c r="BG368" s="550"/>
      <c r="BH368" s="550"/>
      <c r="BI368" s="550"/>
      <c r="BJ368" s="550"/>
      <c r="BK368" s="550"/>
      <c r="BL368" s="550"/>
      <c r="BM368" s="550"/>
      <c r="BN368" s="550"/>
      <c r="BO368" s="550"/>
      <c r="BP368" s="550"/>
      <c r="BQ368" s="550"/>
      <c r="BR368" s="550"/>
      <c r="BS368" s="550"/>
      <c r="BT368" s="550"/>
      <c r="BU368" s="550"/>
      <c r="BV368" s="550"/>
      <c r="BW368" s="550"/>
      <c r="BX368" s="550"/>
      <c r="BY368" s="550"/>
      <c r="BZ368" s="550"/>
      <c r="CA368" s="550"/>
      <c r="CB368" s="550"/>
      <c r="CC368" s="550"/>
      <c r="CD368" s="550"/>
      <c r="CE368" s="550"/>
      <c r="CF368" s="550"/>
      <c r="CG368" s="550"/>
      <c r="CH368" s="550"/>
      <c r="CI368" s="550"/>
      <c r="CJ368" s="550"/>
      <c r="CK368" s="550"/>
      <c r="CL368" s="551"/>
      <c r="CM368" s="551"/>
      <c r="CN368" s="551"/>
      <c r="CO368" s="551"/>
      <c r="CP368" s="551"/>
      <c r="CQ368" s="551"/>
      <c r="CR368" s="551"/>
      <c r="CS368" s="551"/>
      <c r="CT368" s="551"/>
      <c r="CU368" s="551"/>
      <c r="CV368" s="551"/>
      <c r="CW368" s="551"/>
      <c r="CX368" s="551"/>
      <c r="CY368" s="551"/>
      <c r="CZ368" s="551"/>
      <c r="DA368" s="551"/>
      <c r="DB368" s="551"/>
      <c r="DC368" s="551"/>
      <c r="DD368" s="551"/>
      <c r="DE368" s="551"/>
      <c r="DF368" s="551"/>
      <c r="DG368" s="551"/>
      <c r="DH368" s="551"/>
      <c r="DI368" s="551"/>
      <c r="DJ368" s="551"/>
      <c r="DK368" s="551"/>
      <c r="DL368" s="551"/>
      <c r="DM368" s="551"/>
      <c r="DN368" s="551"/>
      <c r="DO368" s="551"/>
      <c r="DP368" s="551"/>
      <c r="DQ368" s="551"/>
      <c r="DR368" s="551"/>
      <c r="DS368" s="551"/>
      <c r="DT368" s="551"/>
      <c r="DU368" s="551"/>
      <c r="DV368" s="551"/>
      <c r="DW368" s="551"/>
      <c r="DX368" s="551"/>
      <c r="DY368" s="551"/>
      <c r="DZ368" s="551"/>
      <c r="EA368" s="551"/>
      <c r="EB368" s="551"/>
      <c r="EC368" s="551"/>
      <c r="ED368" s="551"/>
      <c r="EE368" s="551"/>
      <c r="EF368" s="551"/>
      <c r="EG368" s="551"/>
      <c r="EH368" s="551"/>
      <c r="EI368" s="551"/>
      <c r="EJ368" s="551"/>
      <c r="EK368" s="551"/>
      <c r="EL368" s="551"/>
      <c r="EM368" s="551"/>
      <c r="EN368" s="551"/>
      <c r="EO368" s="551"/>
      <c r="EP368" s="551"/>
      <c r="EQ368" s="408" t="str">
        <f ca="1">IF(FL1=0,"","+")</f>
        <v/>
      </c>
      <c r="ER368" s="304" t="s">
        <v>131</v>
      </c>
      <c r="ES368" s="416"/>
      <c r="ET368" s="298" t="str">
        <f ca="1">IF(OR(CO718="",TODAY()&gt;=Blad1!AY3),"",IF(FL1=0,"",IF(Q368="","Deze moet je nog maken.",IF(FM368=1,"Goed!","Fout!"))))</f>
        <v/>
      </c>
      <c r="EU368" s="141"/>
      <c r="EV368" s="268"/>
      <c r="EW368" s="268"/>
      <c r="EX368" s="141"/>
      <c r="EY368" s="141"/>
      <c r="EZ368" s="141"/>
      <c r="FA368" s="141"/>
      <c r="FB368" s="141"/>
      <c r="FC368" s="141"/>
      <c r="FD368" s="141"/>
      <c r="FE368" s="141"/>
      <c r="FF368" s="141"/>
      <c r="FG368" s="141"/>
      <c r="FH368" s="141"/>
      <c r="FI368" s="141"/>
      <c r="FJ368" s="258">
        <f>IF(FM352+FM356+FM360+FM364+FM368=5,1,IF(FM352+FM356+FM360+FM364+FM368=4,2/3,IF(FM352+FM356+FM360+FM364+FM368=3,1/3,0)))</f>
        <v>0</v>
      </c>
      <c r="FK368" s="257"/>
      <c r="FL368" s="96">
        <f ca="1">IF(programma!B1="X",1,IF(FL1=0,0,IF(FM352+FM356+FM360+FM364+FM368=5,1,0)))</f>
        <v>0</v>
      </c>
      <c r="FM368" s="277">
        <f>IF(programma!B1="X",1,IF(Q368=FR352,1,0))</f>
        <v>0</v>
      </c>
      <c r="FN368" s="277"/>
      <c r="FO368" s="277"/>
      <c r="FP368" s="277"/>
      <c r="FQ368" s="277"/>
      <c r="FR368" s="277"/>
      <c r="FS368" s="277"/>
      <c r="FT368" s="277"/>
      <c r="FU368" s="96"/>
      <c r="FV368" s="96"/>
      <c r="FW368" s="96"/>
      <c r="FX368" s="96"/>
      <c r="FY368" s="259"/>
      <c r="FZ368" s="259"/>
      <c r="GA368" s="259"/>
      <c r="GB368" s="259"/>
      <c r="GC368" s="259"/>
      <c r="GD368" s="259"/>
      <c r="GE368" s="259"/>
      <c r="GF368" s="259"/>
      <c r="GG368" s="259"/>
      <c r="GH368" s="259"/>
      <c r="GI368" s="259"/>
      <c r="GJ368" s="259"/>
      <c r="GK368" s="259"/>
      <c r="GL368" s="259"/>
      <c r="GM368" s="259"/>
      <c r="GN368" s="259"/>
      <c r="GO368" s="259"/>
      <c r="GP368" s="259"/>
      <c r="GQ368" s="259"/>
      <c r="GR368" s="259"/>
      <c r="GS368" s="259"/>
      <c r="GT368" s="259"/>
      <c r="GU368" s="259"/>
      <c r="GV368" s="259"/>
    </row>
    <row r="369" spans="1:204" ht="3.6" customHeight="1">
      <c r="A369" s="60"/>
      <c r="B369" s="69"/>
      <c r="C369" s="69"/>
      <c r="D369" s="418"/>
      <c r="E369" s="409"/>
      <c r="F369" s="409"/>
      <c r="G369" s="409"/>
      <c r="H369" s="409"/>
      <c r="I369" s="409"/>
      <c r="J369" s="137"/>
      <c r="K369" s="137"/>
      <c r="L369" s="297"/>
      <c r="M369" s="297"/>
      <c r="N369" s="297"/>
      <c r="O369" s="297"/>
      <c r="P369" s="538" t="str">
        <f ca="1">IF(FL1=0,"","+")</f>
        <v/>
      </c>
      <c r="Q369" s="548"/>
      <c r="R369" s="548"/>
      <c r="S369" s="548"/>
      <c r="T369" s="548"/>
      <c r="U369" s="548"/>
      <c r="V369" s="548"/>
      <c r="W369" s="548"/>
      <c r="X369" s="548"/>
      <c r="Y369" s="548"/>
      <c r="Z369" s="548"/>
      <c r="AA369" s="548"/>
      <c r="AB369" s="548"/>
      <c r="AC369" s="548"/>
      <c r="AD369" s="548"/>
      <c r="AE369" s="548"/>
      <c r="AF369" s="548"/>
      <c r="AG369" s="548"/>
      <c r="AH369" s="548"/>
      <c r="AI369" s="548"/>
      <c r="AJ369" s="548"/>
      <c r="AK369" s="548"/>
      <c r="AL369" s="548"/>
      <c r="AM369" s="548"/>
      <c r="AN369" s="548"/>
      <c r="AO369" s="548"/>
      <c r="AP369" s="548"/>
      <c r="AQ369" s="548"/>
      <c r="AR369" s="548"/>
      <c r="AS369" s="548"/>
      <c r="AT369" s="548"/>
      <c r="AU369" s="548"/>
      <c r="AV369" s="548"/>
      <c r="AW369" s="548"/>
      <c r="AX369" s="548"/>
      <c r="AY369" s="548"/>
      <c r="AZ369" s="548"/>
      <c r="BA369" s="548"/>
      <c r="BB369" s="548"/>
      <c r="BC369" s="548"/>
      <c r="BD369" s="548"/>
      <c r="BE369" s="548"/>
      <c r="BF369" s="548"/>
      <c r="BG369" s="548"/>
      <c r="BH369" s="548"/>
      <c r="BI369" s="548"/>
      <c r="BJ369" s="548"/>
      <c r="BK369" s="548"/>
      <c r="BL369" s="548"/>
      <c r="BM369" s="548"/>
      <c r="BN369" s="548"/>
      <c r="BO369" s="548"/>
      <c r="BP369" s="548"/>
      <c r="BQ369" s="548"/>
      <c r="BR369" s="548"/>
      <c r="BS369" s="548"/>
      <c r="BT369" s="548"/>
      <c r="BU369" s="548"/>
      <c r="BV369" s="548"/>
      <c r="BW369" s="548"/>
      <c r="BX369" s="548"/>
      <c r="BY369" s="548"/>
      <c r="BZ369" s="548"/>
      <c r="CA369" s="548"/>
      <c r="CB369" s="548"/>
      <c r="CC369" s="548"/>
      <c r="CD369" s="548"/>
      <c r="CE369" s="548"/>
      <c r="CF369" s="548"/>
      <c r="CG369" s="548"/>
      <c r="CH369" s="548"/>
      <c r="CI369" s="548"/>
      <c r="CJ369" s="548"/>
      <c r="CK369" s="548"/>
      <c r="CL369" s="548"/>
      <c r="CM369" s="532"/>
      <c r="CN369" s="532"/>
      <c r="CO369" s="532"/>
      <c r="CP369" s="532"/>
      <c r="CQ369" s="532"/>
      <c r="CR369" s="532"/>
      <c r="CS369" s="532"/>
      <c r="CT369" s="532"/>
      <c r="CU369" s="532"/>
      <c r="CV369" s="532"/>
      <c r="CW369" s="532"/>
      <c r="CX369" s="532"/>
      <c r="CY369" s="532"/>
      <c r="CZ369" s="532"/>
      <c r="DA369" s="532"/>
      <c r="DB369" s="532"/>
      <c r="DC369" s="532"/>
      <c r="DD369" s="532"/>
      <c r="DE369" s="532"/>
      <c r="DF369" s="532"/>
      <c r="DG369" s="532"/>
      <c r="DH369" s="532"/>
      <c r="DI369" s="532"/>
      <c r="DJ369" s="532"/>
      <c r="DK369" s="532"/>
      <c r="DL369" s="532"/>
      <c r="DM369" s="532"/>
      <c r="DN369" s="532"/>
      <c r="DO369" s="532"/>
      <c r="DP369" s="532"/>
      <c r="DQ369" s="532"/>
      <c r="DR369" s="532"/>
      <c r="DS369" s="532"/>
      <c r="DT369" s="532"/>
      <c r="DU369" s="532"/>
      <c r="DV369" s="532"/>
      <c r="DW369" s="532"/>
      <c r="DX369" s="532"/>
      <c r="DY369" s="532"/>
      <c r="DZ369" s="532"/>
      <c r="EA369" s="532"/>
      <c r="EB369" s="532"/>
      <c r="EC369" s="532"/>
      <c r="ED369" s="532"/>
      <c r="EE369" s="532"/>
      <c r="EF369" s="532"/>
      <c r="EG369" s="532"/>
      <c r="EH369" s="532"/>
      <c r="EI369" s="532"/>
      <c r="EJ369" s="532"/>
      <c r="EK369" s="532"/>
      <c r="EL369" s="532"/>
      <c r="EM369" s="532"/>
      <c r="EN369" s="532"/>
      <c r="EO369" s="532"/>
      <c r="EP369" s="532"/>
      <c r="EQ369" s="532"/>
      <c r="ER369" s="141"/>
      <c r="ES369" s="141"/>
      <c r="ET369" s="141"/>
      <c r="EU369" s="141"/>
      <c r="EV369" s="141"/>
      <c r="EW369" s="141"/>
      <c r="EX369" s="141"/>
      <c r="EY369" s="141"/>
      <c r="EZ369" s="141"/>
      <c r="FA369" s="141"/>
      <c r="FB369" s="141"/>
      <c r="FC369" s="141"/>
      <c r="FD369" s="141"/>
      <c r="FE369" s="141"/>
      <c r="FF369" s="141"/>
      <c r="FG369" s="141"/>
      <c r="FH369" s="141"/>
      <c r="FI369" s="141"/>
      <c r="FJ369" s="257"/>
      <c r="FK369" s="257"/>
      <c r="FL369" s="257"/>
      <c r="FM369" s="300"/>
      <c r="FN369" s="277"/>
      <c r="FO369" s="277"/>
      <c r="FP369" s="277"/>
      <c r="FQ369" s="277"/>
      <c r="FR369" s="277"/>
      <c r="FS369" s="96"/>
      <c r="FT369" s="96"/>
      <c r="FU369" s="96"/>
      <c r="FV369" s="96"/>
      <c r="FW369" s="96"/>
      <c r="FX369" s="96"/>
      <c r="FY369" s="259"/>
      <c r="FZ369" s="259"/>
      <c r="GA369" s="259"/>
      <c r="GB369" s="259"/>
      <c r="GC369" s="259"/>
      <c r="GD369" s="259"/>
      <c r="GE369" s="259"/>
      <c r="GF369" s="259"/>
      <c r="GG369" s="259"/>
      <c r="GH369" s="259"/>
      <c r="GI369" s="259"/>
      <c r="GJ369" s="259"/>
      <c r="GK369" s="259"/>
      <c r="GL369" s="259"/>
      <c r="GM369" s="259"/>
      <c r="GN369" s="259"/>
      <c r="GO369" s="259"/>
      <c r="GP369" s="259"/>
      <c r="GQ369" s="259"/>
      <c r="GR369" s="259"/>
      <c r="GS369" s="259"/>
      <c r="GT369" s="259"/>
      <c r="GU369" s="259"/>
      <c r="GV369" s="259"/>
    </row>
    <row r="370" spans="1:204" ht="16.95" customHeight="1">
      <c r="A370" s="60"/>
      <c r="B370" s="69"/>
      <c r="C370" s="69"/>
      <c r="D370" s="418"/>
      <c r="E370" s="409"/>
      <c r="F370" s="409"/>
      <c r="G370" s="409"/>
      <c r="H370" s="409"/>
      <c r="I370" s="409"/>
      <c r="J370" s="137"/>
      <c r="K370" s="137"/>
      <c r="L370" s="419"/>
      <c r="M370" s="420"/>
      <c r="N370" s="419"/>
      <c r="O370" s="419"/>
      <c r="P370" s="419"/>
      <c r="Q370" s="419"/>
      <c r="R370" s="419"/>
      <c r="S370" s="137"/>
      <c r="T370" s="410"/>
      <c r="U370" s="410"/>
      <c r="V370" s="410"/>
      <c r="W370" s="410"/>
      <c r="X370" s="410"/>
      <c r="Y370" s="410"/>
      <c r="Z370" s="410"/>
      <c r="AA370" s="410"/>
      <c r="AB370" s="410"/>
      <c r="AC370" s="410"/>
      <c r="AD370" s="410"/>
      <c r="AE370" s="410"/>
      <c r="AF370" s="410"/>
      <c r="AG370" s="410"/>
      <c r="AH370" s="410"/>
      <c r="AI370" s="410"/>
      <c r="AJ370" s="410"/>
      <c r="AK370" s="410"/>
      <c r="AL370" s="410"/>
      <c r="AM370" s="410"/>
      <c r="AN370" s="410"/>
      <c r="AO370" s="410"/>
      <c r="AP370" s="410"/>
      <c r="AQ370" s="410"/>
      <c r="AR370" s="410"/>
      <c r="AS370" s="410"/>
      <c r="AT370" s="410"/>
      <c r="AU370" s="410"/>
      <c r="AV370" s="410"/>
      <c r="AW370" s="297"/>
      <c r="AX370" s="297"/>
      <c r="AY370" s="297"/>
      <c r="AZ370" s="297"/>
      <c r="BA370" s="297"/>
      <c r="BB370" s="297"/>
      <c r="BC370" s="297"/>
      <c r="BD370" s="297"/>
      <c r="BE370" s="297"/>
      <c r="BF370" s="297"/>
      <c r="BG370" s="297"/>
      <c r="BH370" s="297"/>
      <c r="BI370" s="297"/>
      <c r="BJ370" s="297"/>
      <c r="BK370" s="297"/>
      <c r="BL370" s="297"/>
      <c r="BM370" s="297"/>
      <c r="BN370" s="297"/>
      <c r="BO370" s="297"/>
      <c r="BP370" s="297"/>
      <c r="BQ370" s="297"/>
      <c r="BR370" s="297"/>
      <c r="BS370" s="297"/>
      <c r="BT370" s="297"/>
      <c r="BU370" s="297"/>
      <c r="BV370" s="297"/>
      <c r="BW370" s="297"/>
      <c r="BX370" s="297"/>
      <c r="BY370" s="297"/>
      <c r="BZ370" s="297"/>
      <c r="CA370" s="297"/>
      <c r="CB370" s="297"/>
      <c r="CC370" s="297"/>
      <c r="CD370" s="297"/>
      <c r="CE370" s="297"/>
      <c r="CF370" s="297"/>
      <c r="CG370" s="297"/>
      <c r="CH370" s="297"/>
      <c r="CI370" s="297"/>
      <c r="CJ370" s="297"/>
      <c r="CK370" s="297"/>
      <c r="CL370" s="297"/>
      <c r="CM370" s="297"/>
      <c r="CN370" s="297"/>
      <c r="CO370" s="297"/>
      <c r="CP370" s="297"/>
      <c r="CQ370" s="297"/>
      <c r="CR370" s="297"/>
      <c r="CS370" s="297"/>
      <c r="CT370" s="297"/>
      <c r="CU370" s="297"/>
      <c r="CV370" s="297"/>
      <c r="CW370" s="297"/>
      <c r="CX370" s="297"/>
      <c r="CY370" s="410"/>
      <c r="CZ370" s="410"/>
      <c r="DA370" s="410"/>
      <c r="DB370" s="410"/>
      <c r="DC370" s="410"/>
      <c r="DD370" s="410"/>
      <c r="DE370" s="411"/>
      <c r="DF370" s="411"/>
      <c r="DG370" s="411"/>
      <c r="DH370" s="411"/>
      <c r="DI370" s="411"/>
      <c r="DJ370" s="411"/>
      <c r="DK370" s="411"/>
      <c r="DL370" s="424"/>
      <c r="DM370" s="141"/>
      <c r="DN370" s="141"/>
      <c r="DO370" s="141"/>
      <c r="DP370" s="141"/>
      <c r="DQ370" s="141"/>
      <c r="DR370" s="141"/>
      <c r="DS370" s="141"/>
      <c r="DT370" s="141"/>
      <c r="DU370" s="141"/>
      <c r="DV370" s="141"/>
      <c r="DW370" s="141"/>
      <c r="DX370" s="141"/>
      <c r="DY370" s="89"/>
      <c r="DZ370" s="89"/>
      <c r="EA370" s="89"/>
      <c r="EB370" s="89"/>
      <c r="EC370" s="89"/>
      <c r="ED370" s="89"/>
      <c r="EE370" s="89"/>
      <c r="EF370" s="89"/>
      <c r="EG370" s="89"/>
      <c r="EH370" s="89"/>
      <c r="EI370" s="89"/>
      <c r="EJ370" s="89"/>
      <c r="EK370" s="89"/>
      <c r="EL370" s="89"/>
      <c r="EM370" s="89"/>
      <c r="EN370" s="89"/>
      <c r="EO370" s="89"/>
      <c r="EP370" s="89"/>
      <c r="EQ370" s="89"/>
      <c r="ER370" s="89"/>
      <c r="ES370" s="89"/>
      <c r="ET370" s="89"/>
      <c r="EU370" s="89"/>
      <c r="EV370" s="89"/>
      <c r="EW370" s="89"/>
      <c r="EX370" s="89"/>
      <c r="EY370" s="89"/>
      <c r="EZ370" s="89"/>
      <c r="FA370" s="141"/>
      <c r="FB370" s="141"/>
      <c r="FC370" s="141"/>
      <c r="FD370" s="141"/>
      <c r="FE370" s="141"/>
      <c r="FF370" s="141"/>
      <c r="FG370" s="141"/>
      <c r="FH370" s="141"/>
      <c r="FI370" s="141"/>
      <c r="FJ370" s="96"/>
      <c r="FK370" s="96"/>
      <c r="FL370" s="96"/>
      <c r="FM370" s="377"/>
      <c r="FN370" s="96"/>
      <c r="FO370" s="96"/>
      <c r="FP370" s="96"/>
      <c r="FQ370" s="96"/>
      <c r="FR370" s="96"/>
      <c r="FS370" s="96"/>
      <c r="FT370" s="96"/>
      <c r="FU370" s="96"/>
      <c r="FV370" s="96"/>
      <c r="FW370" s="96"/>
      <c r="FX370" s="96"/>
      <c r="FY370" s="259"/>
      <c r="FZ370" s="259"/>
      <c r="GA370" s="259"/>
      <c r="GB370" s="259"/>
      <c r="GC370" s="259"/>
      <c r="GD370" s="259"/>
      <c r="GE370" s="259"/>
      <c r="GF370" s="259"/>
      <c r="GG370" s="259"/>
      <c r="GH370" s="259"/>
      <c r="GI370" s="259"/>
      <c r="GJ370" s="259"/>
      <c r="GK370" s="259"/>
      <c r="GL370" s="259"/>
      <c r="GM370" s="259"/>
      <c r="GN370" s="259"/>
      <c r="GO370" s="259"/>
      <c r="GP370" s="259"/>
      <c r="GQ370" s="259"/>
      <c r="GR370" s="259"/>
      <c r="GS370" s="259"/>
      <c r="GT370" s="259"/>
      <c r="GU370" s="259"/>
      <c r="GV370" s="259"/>
    </row>
    <row r="371" spans="1:204" ht="16.95" customHeight="1">
      <c r="A371" s="60"/>
      <c r="B371" s="272" t="str">
        <f ca="1">IF(FL1=0,"",18)</f>
        <v/>
      </c>
      <c r="C371" s="273"/>
      <c r="D371" s="409" t="str">
        <f ca="1">IF(FL1=0,"","De functie van de totale kosten van een monopolist luidt TK = "&amp;FR371&amp;"q + "&amp;FS371&amp;"")</f>
        <v/>
      </c>
      <c r="E371" s="274"/>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75"/>
      <c r="AE371" s="275"/>
      <c r="AF371" s="275"/>
      <c r="AG371" s="275"/>
      <c r="AH371" s="275"/>
      <c r="AI371" s="275"/>
      <c r="AJ371" s="275"/>
      <c r="AK371" s="275"/>
      <c r="AL371" s="275"/>
      <c r="AM371" s="275"/>
      <c r="AN371" s="275"/>
      <c r="AO371" s="275"/>
      <c r="AP371" s="275"/>
      <c r="AQ371" s="275"/>
      <c r="AR371" s="275"/>
      <c r="AS371" s="275"/>
      <c r="AT371" s="275"/>
      <c r="AU371" s="275"/>
      <c r="AV371" s="275"/>
      <c r="AW371" s="275"/>
      <c r="AX371" s="275"/>
      <c r="AY371" s="275"/>
      <c r="AZ371" s="275"/>
      <c r="BA371" s="275"/>
      <c r="BB371" s="275"/>
      <c r="BC371" s="275"/>
      <c r="BD371" s="275"/>
      <c r="BE371" s="275"/>
      <c r="BF371" s="275"/>
      <c r="BG371" s="275"/>
      <c r="BH371" s="275"/>
      <c r="BI371" s="275"/>
      <c r="BJ371" s="275"/>
      <c r="BK371" s="275"/>
      <c r="BL371" s="275"/>
      <c r="BM371" s="275"/>
      <c r="BN371" s="275"/>
      <c r="BO371" s="276"/>
      <c r="BP371" s="276"/>
      <c r="BQ371" s="276"/>
      <c r="BR371" s="276"/>
      <c r="BS371" s="276"/>
      <c r="BT371" s="276"/>
      <c r="BU371" s="276"/>
      <c r="BV371" s="276"/>
      <c r="BW371" s="276"/>
      <c r="BX371" s="276"/>
      <c r="BY371" s="276"/>
      <c r="BZ371" s="276"/>
      <c r="CA371" s="276"/>
      <c r="CB371" s="276"/>
      <c r="CC371" s="276"/>
      <c r="CD371" s="276"/>
      <c r="CE371" s="276"/>
      <c r="CF371" s="276"/>
      <c r="CG371" s="276"/>
      <c r="CH371" s="275"/>
      <c r="CI371" s="275"/>
      <c r="CJ371" s="275"/>
      <c r="CK371" s="275"/>
      <c r="CL371" s="265"/>
      <c r="CM371" s="265"/>
      <c r="CN371" s="265"/>
      <c r="CO371" s="265"/>
      <c r="CP371" s="265"/>
      <c r="CQ371" s="265"/>
      <c r="CR371" s="265"/>
      <c r="CS371" s="265"/>
      <c r="CT371" s="265"/>
      <c r="CU371" s="265"/>
      <c r="CV371" s="265"/>
      <c r="CW371" s="265"/>
      <c r="CX371" s="265"/>
      <c r="CY371" s="265"/>
      <c r="CZ371" s="265"/>
      <c r="DA371" s="265"/>
      <c r="DB371" s="265"/>
      <c r="DC371" s="265"/>
      <c r="DD371" s="265"/>
      <c r="DE371" s="265"/>
      <c r="DF371" s="265"/>
      <c r="DG371" s="265"/>
      <c r="DH371" s="265"/>
      <c r="DI371" s="265"/>
      <c r="DJ371" s="265"/>
      <c r="DK371" s="265"/>
      <c r="DL371" s="268"/>
      <c r="DM371" s="268"/>
      <c r="DN371" s="268"/>
      <c r="DO371" s="268"/>
      <c r="DP371" s="268"/>
      <c r="DQ371" s="268"/>
      <c r="DR371" s="268"/>
      <c r="DS371" s="268"/>
      <c r="DT371" s="268"/>
      <c r="DU371" s="268"/>
      <c r="DV371" s="268"/>
      <c r="DW371" s="268"/>
      <c r="DX371" s="268"/>
      <c r="DY371" s="268"/>
      <c r="DZ371" s="268"/>
      <c r="EA371" s="268"/>
      <c r="EB371" s="268"/>
      <c r="EC371" s="265"/>
      <c r="ED371" s="265"/>
      <c r="EE371" s="265"/>
      <c r="EF371" s="265"/>
      <c r="EG371" s="265"/>
      <c r="EH371" s="265"/>
      <c r="EI371" s="265"/>
      <c r="EJ371" s="265"/>
      <c r="EK371" s="265"/>
      <c r="EL371" s="265"/>
      <c r="EM371" s="265"/>
      <c r="EN371" s="265"/>
      <c r="EO371" s="265"/>
      <c r="EP371" s="265"/>
      <c r="EQ371" s="265"/>
      <c r="ER371" s="265"/>
      <c r="ES371" s="265"/>
      <c r="ET371" s="265"/>
      <c r="EU371" s="265"/>
      <c r="EV371" s="265"/>
      <c r="EW371" s="265"/>
      <c r="EX371" s="265"/>
      <c r="EY371" s="265"/>
      <c r="EZ371" s="265"/>
      <c r="FA371" s="265"/>
      <c r="FB371" s="265"/>
      <c r="FC371" s="265"/>
      <c r="FD371" s="265"/>
      <c r="FE371" s="265"/>
      <c r="FF371" s="265"/>
      <c r="FG371" s="265"/>
      <c r="FH371" s="141"/>
      <c r="FI371" s="141"/>
      <c r="FJ371" s="257"/>
      <c r="FK371" s="257"/>
      <c r="FL371" s="257"/>
      <c r="FM371" s="258"/>
      <c r="FN371" s="258"/>
      <c r="FO371" s="258"/>
      <c r="FP371" s="258"/>
      <c r="FQ371" s="396">
        <v>0</v>
      </c>
      <c r="FR371" s="396">
        <f ca="1">CEILING(80/Blad1!Z24^0.4+25*Blad1!AA2,10)+5</f>
        <v>155</v>
      </c>
      <c r="FS371" s="396">
        <f ca="1">ROUND(0.7*(0.5*FU371*FN379^2+FY371*FN379-0.5*FQ371*FN379^2-FR371*FN379),-2)</f>
        <v>443500</v>
      </c>
      <c r="FT371" s="396"/>
      <c r="FU371" s="396">
        <f ca="1">IF(AND(FV371&gt;-0.5-0.0001,FV371&lt;-0.5+0.0001),-0.6,IF(AND(FV371&gt;-1-0.0001,FV371&lt;-1+0.0001),-0.9,FV371))</f>
        <v>-3.9</v>
      </c>
      <c r="FV371" s="396">
        <f ca="1">-ROUND(FR371/40,1)</f>
        <v>-3.9</v>
      </c>
      <c r="FW371" s="396">
        <f ca="1">IF(100*ROUND((-Blad1!Z24+0.5*Blad1!AA8),1)&gt;10000,ROUND((-Blad1!Z24+0.5*Blad1!AA8),-1),IF(100*ROUND((-Blad1!Z24+0.5*Blad1!AA8),1)&gt;1800,ROUND(20*(-Blad1!Z24+0.5*Blad1!AA8),-1),IF(100*ROUND((-Blad1!Z24+0.5*Blad1!AA8),1)&gt;500,ROUND(30*(-Blad1!Z24+0.5*Blad1!AA8),-1),100*ROUND((-Blad1!Z24+0.5*Blad1!AA8),1))))</f>
        <v>570</v>
      </c>
      <c r="FX371" s="396">
        <f ca="1">100*ROUND((-10/Blad1!Z24+0.6*Blad1!AA8),1)</f>
        <v>2540</v>
      </c>
      <c r="FY371" s="259">
        <f ca="1">FR371-FU371*FW371</f>
        <v>2378</v>
      </c>
      <c r="FZ371" s="259"/>
      <c r="GA371" s="259"/>
      <c r="GB371" s="259"/>
      <c r="GC371" s="377"/>
      <c r="GD371" s="377"/>
      <c r="GE371" s="377"/>
      <c r="GF371" s="377"/>
      <c r="GG371" s="377"/>
      <c r="GH371" s="377"/>
      <c r="GI371" s="377"/>
      <c r="GJ371" s="377"/>
      <c r="GK371" s="377"/>
      <c r="GL371" s="377"/>
      <c r="GM371" s="377"/>
      <c r="GN371" s="377"/>
      <c r="GO371" s="259"/>
      <c r="GP371" s="259"/>
      <c r="GQ371" s="259"/>
      <c r="GR371" s="259"/>
      <c r="GS371" s="259"/>
      <c r="GT371" s="259"/>
      <c r="GU371" s="259"/>
      <c r="GV371" s="259"/>
    </row>
    <row r="372" spans="1:204" ht="16.95" customHeight="1">
      <c r="A372" s="60"/>
      <c r="B372" s="69"/>
      <c r="C372" s="69"/>
      <c r="D372" s="409" t="str">
        <f ca="1">IF(FL1=0,"","(q luidt in stuks en TK in euro's) en de functie van de totale opbrengst luidt")</f>
        <v/>
      </c>
      <c r="E372" s="409"/>
      <c r="F372" s="89"/>
      <c r="G372" s="89"/>
      <c r="H372" s="89"/>
      <c r="I372" s="89"/>
      <c r="J372" s="89"/>
      <c r="K372" s="89"/>
      <c r="L372" s="89"/>
      <c r="M372" s="89"/>
      <c r="N372" s="89"/>
      <c r="O372" s="89"/>
      <c r="P372" s="89"/>
      <c r="Q372" s="89"/>
      <c r="R372" s="89"/>
      <c r="S372" s="89"/>
      <c r="T372" s="89"/>
      <c r="U372" s="89"/>
      <c r="V372" s="89"/>
      <c r="W372" s="89"/>
      <c r="X372" s="89"/>
      <c r="Y372" s="141"/>
      <c r="Z372" s="141"/>
      <c r="AA372" s="141"/>
      <c r="AB372" s="141"/>
      <c r="AC372" s="141"/>
      <c r="AD372" s="141"/>
      <c r="AE372" s="141"/>
      <c r="AF372" s="141"/>
      <c r="AG372" s="141"/>
      <c r="AH372" s="141"/>
      <c r="AI372" s="141"/>
      <c r="AJ372" s="141"/>
      <c r="AK372" s="141"/>
      <c r="AL372" s="141"/>
      <c r="AM372" s="141"/>
      <c r="AN372" s="141"/>
      <c r="AO372" s="141"/>
      <c r="AP372" s="141"/>
      <c r="AQ372" s="141"/>
      <c r="AR372" s="141"/>
      <c r="AS372" s="141"/>
      <c r="AT372" s="141"/>
      <c r="AU372" s="141"/>
      <c r="AV372" s="141"/>
      <c r="AW372" s="141"/>
      <c r="AX372" s="141"/>
      <c r="AY372" s="141"/>
      <c r="AZ372" s="141"/>
      <c r="BA372" s="141"/>
      <c r="BB372" s="141"/>
      <c r="BC372" s="141"/>
      <c r="BD372" s="89"/>
      <c r="BE372" s="89"/>
      <c r="BF372" s="89"/>
      <c r="BG372" s="89"/>
      <c r="BH372" s="89"/>
      <c r="BI372" s="89"/>
      <c r="BJ372" s="89"/>
      <c r="BK372" s="89"/>
      <c r="BL372" s="89"/>
      <c r="BM372" s="89"/>
      <c r="BN372" s="89"/>
      <c r="BO372" s="89"/>
      <c r="BP372" s="89"/>
      <c r="BQ372" s="89"/>
      <c r="BR372" s="89"/>
      <c r="BS372" s="89"/>
      <c r="BT372" s="89"/>
      <c r="BU372" s="89"/>
      <c r="BV372" s="89"/>
      <c r="BW372" s="89"/>
      <c r="BX372" s="89"/>
      <c r="BY372" s="89"/>
      <c r="BZ372" s="89"/>
      <c r="CA372" s="89"/>
      <c r="CB372" s="89"/>
      <c r="CC372" s="89"/>
      <c r="CD372" s="89"/>
      <c r="CE372" s="89"/>
      <c r="CF372" s="89"/>
      <c r="CG372" s="89"/>
      <c r="CH372" s="89"/>
      <c r="CI372" s="89"/>
      <c r="CJ372" s="89"/>
      <c r="CK372" s="89"/>
      <c r="CL372" s="89"/>
      <c r="CM372" s="89"/>
      <c r="CN372" s="89"/>
      <c r="CO372" s="89"/>
      <c r="CP372" s="89"/>
      <c r="CQ372" s="89"/>
      <c r="CR372" s="89"/>
      <c r="CS372" s="89"/>
      <c r="CT372" s="89"/>
      <c r="CU372" s="89"/>
      <c r="CV372" s="89"/>
      <c r="CW372" s="89"/>
      <c r="CX372" s="89"/>
      <c r="CY372" s="89"/>
      <c r="CZ372" s="89"/>
      <c r="DA372" s="89"/>
      <c r="DB372" s="89"/>
      <c r="DC372" s="89"/>
      <c r="DD372" s="89"/>
      <c r="DE372" s="89"/>
      <c r="DF372" s="89"/>
      <c r="DG372" s="89"/>
      <c r="DH372" s="89"/>
      <c r="DI372" s="89"/>
      <c r="DJ372" s="89"/>
      <c r="DK372" s="89"/>
      <c r="DL372" s="89"/>
      <c r="DM372" s="89"/>
      <c r="DN372" s="89"/>
      <c r="DO372" s="89"/>
      <c r="DP372" s="89"/>
      <c r="DQ372" s="89"/>
      <c r="DR372" s="89"/>
      <c r="DS372" s="89"/>
      <c r="DT372" s="89"/>
      <c r="DU372" s="89"/>
      <c r="DV372" s="89"/>
      <c r="DW372" s="89"/>
      <c r="DX372" s="89"/>
      <c r="DY372" s="89"/>
      <c r="DZ372" s="89"/>
      <c r="EA372" s="89"/>
      <c r="EB372" s="89"/>
      <c r="EC372" s="89"/>
      <c r="ED372" s="89"/>
      <c r="EE372" s="89"/>
      <c r="EF372" s="89"/>
      <c r="EG372" s="89"/>
      <c r="EH372" s="89"/>
      <c r="EI372" s="89"/>
      <c r="EJ372" s="89"/>
      <c r="EK372" s="89"/>
      <c r="EL372" s="89"/>
      <c r="EM372" s="89"/>
      <c r="EN372" s="89"/>
      <c r="EO372" s="89"/>
      <c r="EP372" s="89"/>
      <c r="EQ372" s="89"/>
      <c r="ER372" s="89"/>
      <c r="ES372" s="89"/>
      <c r="ET372" s="89"/>
      <c r="EU372" s="89"/>
      <c r="EV372" s="89"/>
      <c r="EW372" s="268"/>
      <c r="EX372" s="268"/>
      <c r="EY372" s="268"/>
      <c r="EZ372" s="268"/>
      <c r="FA372" s="268"/>
      <c r="FB372" s="268"/>
      <c r="FC372" s="268"/>
      <c r="FD372" s="268"/>
      <c r="FE372" s="268"/>
      <c r="FF372" s="268"/>
      <c r="FG372" s="268"/>
      <c r="FH372" s="268"/>
      <c r="FI372" s="268"/>
      <c r="FJ372" s="96"/>
      <c r="FK372" s="96"/>
      <c r="FL372" s="96"/>
      <c r="FM372" s="377"/>
      <c r="FN372" s="377"/>
      <c r="FO372" s="377"/>
      <c r="FP372" s="377"/>
      <c r="FQ372" s="377"/>
      <c r="FR372" s="396"/>
      <c r="FS372" s="396"/>
      <c r="FT372" s="396"/>
      <c r="FU372" s="396"/>
      <c r="FV372" s="396"/>
      <c r="FW372" s="396"/>
      <c r="FX372" s="396"/>
      <c r="FY372" s="259"/>
      <c r="FZ372" s="259"/>
      <c r="GA372" s="259"/>
      <c r="GB372" s="259"/>
      <c r="GC372" s="377"/>
      <c r="GD372" s="377"/>
      <c r="GE372" s="377"/>
      <c r="GF372" s="377"/>
      <c r="GG372" s="377"/>
      <c r="GH372" s="377"/>
      <c r="GI372" s="377"/>
      <c r="GJ372" s="377"/>
      <c r="GK372" s="377"/>
      <c r="GL372" s="377"/>
      <c r="GM372" s="377"/>
      <c r="GN372" s="377"/>
      <c r="GO372" s="377"/>
      <c r="GP372" s="377"/>
      <c r="GQ372" s="377"/>
      <c r="GR372" s="377"/>
      <c r="GS372" s="377"/>
      <c r="GT372" s="377"/>
      <c r="GU372" s="377"/>
      <c r="GV372" s="377"/>
    </row>
    <row r="373" spans="1:204" ht="16.95" customHeight="1">
      <c r="A373" s="60"/>
      <c r="B373" s="69"/>
      <c r="C373" s="69"/>
      <c r="D373" s="409" t="str">
        <f ca="1">IF(FL1=0,"","TO = "&amp;FU371/2&amp;"q² + "&amp;FY371&amp;"q. De productiecapaciteit is "&amp;CEILING(1.8*FW371,100)&amp;" stuks. Bij welke hoeveelheid")</f>
        <v/>
      </c>
      <c r="E373" s="409"/>
      <c r="F373" s="89"/>
      <c r="G373" s="89"/>
      <c r="H373" s="89"/>
      <c r="I373" s="89"/>
      <c r="J373" s="89"/>
      <c r="K373" s="89"/>
      <c r="L373" s="89"/>
      <c r="M373" s="89"/>
      <c r="N373" s="89"/>
      <c r="O373" s="89"/>
      <c r="P373" s="89"/>
      <c r="Q373" s="89"/>
      <c r="R373" s="89"/>
      <c r="S373" s="89"/>
      <c r="T373" s="89"/>
      <c r="U373" s="89"/>
      <c r="V373" s="89"/>
      <c r="W373" s="89"/>
      <c r="X373" s="89"/>
      <c r="Y373" s="141"/>
      <c r="Z373" s="141"/>
      <c r="AA373" s="141"/>
      <c r="AB373" s="141"/>
      <c r="AC373" s="141"/>
      <c r="AD373" s="141"/>
      <c r="AE373" s="141"/>
      <c r="AF373" s="141"/>
      <c r="AG373" s="141"/>
      <c r="AH373" s="141"/>
      <c r="AI373" s="141"/>
      <c r="AJ373" s="141"/>
      <c r="AK373" s="141"/>
      <c r="AL373" s="141"/>
      <c r="AM373" s="141"/>
      <c r="AN373" s="141"/>
      <c r="AO373" s="141"/>
      <c r="AP373" s="141"/>
      <c r="AQ373" s="141"/>
      <c r="AR373" s="141"/>
      <c r="AS373" s="141"/>
      <c r="AT373" s="141"/>
      <c r="AU373" s="141"/>
      <c r="AV373" s="141"/>
      <c r="AW373" s="141"/>
      <c r="AX373" s="141"/>
      <c r="AY373" s="141"/>
      <c r="AZ373" s="141"/>
      <c r="BA373" s="141"/>
      <c r="BB373" s="141"/>
      <c r="BC373" s="141"/>
      <c r="BD373" s="89"/>
      <c r="BE373" s="89"/>
      <c r="BF373" s="89"/>
      <c r="BG373" s="89"/>
      <c r="BH373" s="89"/>
      <c r="BI373" s="89"/>
      <c r="BJ373" s="89"/>
      <c r="BK373" s="89"/>
      <c r="BL373" s="89"/>
      <c r="BM373" s="89"/>
      <c r="BN373" s="89"/>
      <c r="BO373" s="89"/>
      <c r="BP373" s="89"/>
      <c r="BQ373" s="89"/>
      <c r="BR373" s="89"/>
      <c r="BS373" s="89"/>
      <c r="BT373" s="89"/>
      <c r="BU373" s="89"/>
      <c r="BV373" s="89"/>
      <c r="BW373" s="89"/>
      <c r="BX373" s="89"/>
      <c r="BY373" s="89"/>
      <c r="BZ373" s="89"/>
      <c r="CA373" s="89"/>
      <c r="CB373" s="89"/>
      <c r="CC373" s="89"/>
      <c r="CD373" s="89"/>
      <c r="CE373" s="89"/>
      <c r="CF373" s="89"/>
      <c r="CG373" s="89"/>
      <c r="CH373" s="89"/>
      <c r="CI373" s="89"/>
      <c r="CJ373" s="89"/>
      <c r="CK373" s="89"/>
      <c r="CL373" s="89"/>
      <c r="CM373" s="89"/>
      <c r="CN373" s="89"/>
      <c r="CO373" s="89"/>
      <c r="CP373" s="89"/>
      <c r="CQ373" s="89"/>
      <c r="CR373" s="89"/>
      <c r="CS373" s="89"/>
      <c r="CT373" s="89"/>
      <c r="CU373" s="89"/>
      <c r="CV373" s="89"/>
      <c r="CW373" s="89"/>
      <c r="CX373" s="89"/>
      <c r="CY373" s="89"/>
      <c r="CZ373" s="89"/>
      <c r="DA373" s="89"/>
      <c r="DB373" s="89"/>
      <c r="DC373" s="89"/>
      <c r="DD373" s="89"/>
      <c r="DE373" s="89"/>
      <c r="DF373" s="89"/>
      <c r="DG373" s="89"/>
      <c r="DH373" s="89"/>
      <c r="DI373" s="89"/>
      <c r="DJ373" s="89"/>
      <c r="DK373" s="89"/>
      <c r="DL373" s="89"/>
      <c r="DM373" s="89"/>
      <c r="DN373" s="89"/>
      <c r="DO373" s="89"/>
      <c r="DP373" s="89"/>
      <c r="DQ373" s="89"/>
      <c r="DR373" s="89"/>
      <c r="DS373" s="89"/>
      <c r="DT373" s="89"/>
      <c r="DU373" s="89"/>
      <c r="DV373" s="89"/>
      <c r="DW373" s="89"/>
      <c r="DX373" s="89"/>
      <c r="DY373" s="89"/>
      <c r="DZ373" s="89"/>
      <c r="EA373" s="89"/>
      <c r="EB373" s="89"/>
      <c r="EC373" s="89"/>
      <c r="ED373" s="89"/>
      <c r="EE373" s="89"/>
      <c r="EF373" s="89"/>
      <c r="EG373" s="89"/>
      <c r="EH373" s="89"/>
      <c r="EI373" s="89"/>
      <c r="EJ373" s="89"/>
      <c r="EK373" s="89"/>
      <c r="EL373" s="89"/>
      <c r="EM373" s="89"/>
      <c r="EN373" s="89"/>
      <c r="EO373" s="89"/>
      <c r="EP373" s="89"/>
      <c r="EQ373" s="89"/>
      <c r="ER373" s="89"/>
      <c r="ES373" s="89"/>
      <c r="ET373" s="89"/>
      <c r="EU373" s="89"/>
      <c r="EV373" s="89"/>
      <c r="EW373" s="268"/>
      <c r="EX373" s="268"/>
      <c r="EY373" s="268"/>
      <c r="EZ373" s="268"/>
      <c r="FA373" s="268"/>
      <c r="FB373" s="268"/>
      <c r="FC373" s="268"/>
      <c r="FD373" s="268"/>
      <c r="FE373" s="268"/>
      <c r="FF373" s="268"/>
      <c r="FG373" s="268"/>
      <c r="FH373" s="268"/>
      <c r="FI373" s="268"/>
      <c r="FJ373" s="96"/>
      <c r="FK373" s="96"/>
      <c r="FL373" s="96"/>
      <c r="FM373" s="377"/>
      <c r="FN373" s="377"/>
      <c r="FO373" s="377"/>
      <c r="FP373" s="377"/>
      <c r="FQ373" s="377"/>
      <c r="FR373" s="377"/>
      <c r="FS373" s="377"/>
      <c r="FT373" s="377"/>
      <c r="FU373" s="377"/>
      <c r="FV373" s="377"/>
      <c r="FW373" s="377"/>
      <c r="FX373" s="377"/>
      <c r="FY373" s="259"/>
      <c r="FZ373" s="259"/>
      <c r="GA373" s="259"/>
      <c r="GB373" s="259"/>
      <c r="GC373" s="377"/>
      <c r="GD373" s="377"/>
      <c r="GE373" s="377"/>
      <c r="GF373" s="377"/>
      <c r="GG373" s="377"/>
      <c r="GH373" s="377"/>
      <c r="GI373" s="377"/>
      <c r="GJ373" s="377"/>
      <c r="GK373" s="377"/>
      <c r="GL373" s="377"/>
      <c r="GM373" s="377"/>
      <c r="GN373" s="377"/>
      <c r="GO373" s="377"/>
      <c r="GP373" s="377"/>
      <c r="GQ373" s="377"/>
      <c r="GR373" s="377"/>
      <c r="GS373" s="377"/>
      <c r="GT373" s="377"/>
      <c r="GU373" s="377"/>
      <c r="GV373" s="377"/>
    </row>
    <row r="374" spans="1:204" ht="16.95" customHeight="1">
      <c r="A374" s="60"/>
      <c r="B374" s="69"/>
      <c r="C374" s="69"/>
      <c r="D374" s="409" t="str">
        <f ca="1">IF(FL1=0,"","wordt maximale winst gemaakt, wat is de prijs bij die hoeveelheid en hoeveel")</f>
        <v/>
      </c>
      <c r="E374" s="409"/>
      <c r="F374" s="89"/>
      <c r="G374" s="89"/>
      <c r="H374" s="89"/>
      <c r="I374" s="89"/>
      <c r="J374" s="89"/>
      <c r="K374" s="89"/>
      <c r="L374" s="89"/>
      <c r="M374" s="89"/>
      <c r="N374" s="89"/>
      <c r="O374" s="89"/>
      <c r="P374" s="89"/>
      <c r="Q374" s="89"/>
      <c r="R374" s="89"/>
      <c r="S374" s="89"/>
      <c r="T374" s="89"/>
      <c r="U374" s="89"/>
      <c r="V374" s="89"/>
      <c r="W374" s="89"/>
      <c r="X374" s="89"/>
      <c r="Y374" s="141"/>
      <c r="Z374" s="141"/>
      <c r="AA374" s="141"/>
      <c r="AB374" s="141"/>
      <c r="AC374" s="141"/>
      <c r="AD374" s="141"/>
      <c r="AE374" s="141"/>
      <c r="AF374" s="141"/>
      <c r="AG374" s="141"/>
      <c r="AH374" s="141"/>
      <c r="AI374" s="141"/>
      <c r="AJ374" s="141"/>
      <c r="AK374" s="141"/>
      <c r="AL374" s="141"/>
      <c r="AM374" s="141"/>
      <c r="AN374" s="141"/>
      <c r="AO374" s="141"/>
      <c r="AP374" s="141"/>
      <c r="AQ374" s="141"/>
      <c r="AR374" s="141"/>
      <c r="AS374" s="141"/>
      <c r="AT374" s="141"/>
      <c r="AU374" s="141"/>
      <c r="AV374" s="141"/>
      <c r="AW374" s="141"/>
      <c r="AX374" s="141"/>
      <c r="AY374" s="141"/>
      <c r="AZ374" s="141"/>
      <c r="BA374" s="141"/>
      <c r="BB374" s="141"/>
      <c r="BC374" s="141"/>
      <c r="BD374" s="89"/>
      <c r="BE374" s="89"/>
      <c r="BF374" s="89"/>
      <c r="BG374" s="89"/>
      <c r="BH374" s="89"/>
      <c r="BI374" s="89"/>
      <c r="BJ374" s="89"/>
      <c r="BK374" s="89"/>
      <c r="BL374" s="89"/>
      <c r="BM374" s="89"/>
      <c r="BN374" s="89"/>
      <c r="BO374" s="89"/>
      <c r="BP374" s="89"/>
      <c r="BQ374" s="89"/>
      <c r="BR374" s="89"/>
      <c r="BS374" s="89"/>
      <c r="BT374" s="89"/>
      <c r="BU374" s="89"/>
      <c r="BV374" s="89"/>
      <c r="BW374" s="89"/>
      <c r="BX374" s="89"/>
      <c r="BY374" s="89"/>
      <c r="BZ374" s="89"/>
      <c r="CA374" s="89"/>
      <c r="CB374" s="89"/>
      <c r="CC374" s="89"/>
      <c r="CD374" s="89"/>
      <c r="CE374" s="89"/>
      <c r="CF374" s="89"/>
      <c r="CG374" s="89"/>
      <c r="CH374" s="89"/>
      <c r="CI374" s="89"/>
      <c r="CJ374" s="89"/>
      <c r="CK374" s="89"/>
      <c r="CL374" s="89"/>
      <c r="CM374" s="89"/>
      <c r="CN374" s="89"/>
      <c r="CO374" s="89"/>
      <c r="CP374" s="89"/>
      <c r="CQ374" s="89"/>
      <c r="CR374" s="89"/>
      <c r="CS374" s="89"/>
      <c r="CT374" s="89"/>
      <c r="CU374" s="89"/>
      <c r="CV374" s="89"/>
      <c r="CW374" s="89"/>
      <c r="CX374" s="89"/>
      <c r="CY374" s="89"/>
      <c r="CZ374" s="89"/>
      <c r="DA374" s="89"/>
      <c r="DB374" s="89"/>
      <c r="DC374" s="89"/>
      <c r="DD374" s="89"/>
      <c r="DE374" s="89"/>
      <c r="DF374" s="89"/>
      <c r="DG374" s="89"/>
      <c r="DH374" s="89"/>
      <c r="DI374" s="89"/>
      <c r="DJ374" s="89"/>
      <c r="DK374" s="89"/>
      <c r="DL374" s="89"/>
      <c r="DM374" s="89"/>
      <c r="DN374" s="89"/>
      <c r="DO374" s="89"/>
      <c r="DP374" s="89"/>
      <c r="DQ374" s="89"/>
      <c r="DR374" s="89"/>
      <c r="DS374" s="89"/>
      <c r="DT374" s="89"/>
      <c r="DU374" s="89"/>
      <c r="DV374" s="89"/>
      <c r="DW374" s="89"/>
      <c r="DX374" s="89"/>
      <c r="DY374" s="89"/>
      <c r="DZ374" s="89"/>
      <c r="EA374" s="89"/>
      <c r="EB374" s="89"/>
      <c r="EC374" s="89"/>
      <c r="ED374" s="89"/>
      <c r="EE374" s="89"/>
      <c r="EF374" s="89"/>
      <c r="EG374" s="89"/>
      <c r="EH374" s="89"/>
      <c r="EI374" s="89"/>
      <c r="EJ374" s="89"/>
      <c r="EK374" s="89"/>
      <c r="EL374" s="89"/>
      <c r="EM374" s="89"/>
      <c r="EN374" s="89"/>
      <c r="EO374" s="89"/>
      <c r="EP374" s="89"/>
      <c r="EQ374" s="89"/>
      <c r="ER374" s="89"/>
      <c r="ES374" s="89"/>
      <c r="ET374" s="89"/>
      <c r="EU374" s="89"/>
      <c r="EV374" s="89"/>
      <c r="EW374" s="268"/>
      <c r="EX374" s="268"/>
      <c r="EY374" s="268"/>
      <c r="EZ374" s="268"/>
      <c r="FA374" s="268"/>
      <c r="FB374" s="268"/>
      <c r="FC374" s="268"/>
      <c r="FD374" s="268"/>
      <c r="FE374" s="268"/>
      <c r="FF374" s="268"/>
      <c r="FG374" s="268"/>
      <c r="FH374" s="268"/>
      <c r="FI374" s="268"/>
      <c r="FJ374" s="96"/>
      <c r="FK374" s="96"/>
      <c r="FL374" s="96"/>
      <c r="FM374" s="377"/>
      <c r="FN374" s="377"/>
      <c r="FO374" s="377"/>
      <c r="FP374" s="426"/>
      <c r="FQ374" s="377"/>
      <c r="FR374" s="377"/>
      <c r="FS374" s="377"/>
      <c r="FT374" s="377"/>
      <c r="FU374" s="377"/>
      <c r="FV374" s="377"/>
      <c r="FW374" s="377"/>
      <c r="FX374" s="377"/>
      <c r="FY374" s="259"/>
      <c r="FZ374" s="259"/>
      <c r="GA374" s="259"/>
      <c r="GB374" s="259"/>
      <c r="GC374" s="377"/>
      <c r="GD374" s="377"/>
      <c r="GE374" s="377"/>
      <c r="GF374" s="377"/>
      <c r="GG374" s="377"/>
      <c r="GH374" s="377"/>
      <c r="GI374" s="377"/>
      <c r="GJ374" s="377"/>
      <c r="GK374" s="377"/>
      <c r="GL374" s="377"/>
      <c r="GM374" s="377"/>
      <c r="GN374" s="377"/>
      <c r="GO374" s="377"/>
      <c r="GP374" s="377"/>
      <c r="GQ374" s="377"/>
      <c r="GR374" s="377"/>
      <c r="GS374" s="377"/>
      <c r="GT374" s="377"/>
      <c r="GU374" s="377"/>
      <c r="GV374" s="377"/>
    </row>
    <row r="375" spans="1:204" ht="16.95" customHeight="1">
      <c r="A375" s="60"/>
      <c r="B375" s="69"/>
      <c r="C375" s="69"/>
      <c r="D375" s="409" t="str">
        <f ca="1">IF(FL1=0,"","bedraagt de maximale winst? Rond de hoeveelheid af op hele stuks en de prijs")</f>
        <v/>
      </c>
      <c r="E375" s="409"/>
      <c r="F375" s="89"/>
      <c r="G375" s="89"/>
      <c r="H375" s="89"/>
      <c r="I375" s="89"/>
      <c r="J375" s="89"/>
      <c r="K375" s="89"/>
      <c r="L375" s="89"/>
      <c r="M375" s="89"/>
      <c r="N375" s="89"/>
      <c r="O375" s="89"/>
      <c r="P375" s="89"/>
      <c r="Q375" s="89"/>
      <c r="R375" s="89"/>
      <c r="S375" s="89"/>
      <c r="T375" s="89"/>
      <c r="U375" s="89"/>
      <c r="V375" s="89"/>
      <c r="W375" s="89"/>
      <c r="X375" s="89"/>
      <c r="Y375" s="141"/>
      <c r="Z375" s="141"/>
      <c r="AA375" s="141"/>
      <c r="AB375" s="141"/>
      <c r="AC375" s="141"/>
      <c r="AD375" s="141"/>
      <c r="AE375" s="141"/>
      <c r="AF375" s="141"/>
      <c r="AG375" s="141"/>
      <c r="AH375" s="141"/>
      <c r="AI375" s="141"/>
      <c r="AJ375" s="141"/>
      <c r="AK375" s="141"/>
      <c r="AL375" s="141"/>
      <c r="AM375" s="141"/>
      <c r="AN375" s="141"/>
      <c r="AO375" s="141"/>
      <c r="AP375" s="141"/>
      <c r="AQ375" s="141"/>
      <c r="AR375" s="141"/>
      <c r="AS375" s="141"/>
      <c r="AT375" s="141"/>
      <c r="AU375" s="141"/>
      <c r="AV375" s="141"/>
      <c r="AW375" s="141"/>
      <c r="AX375" s="141"/>
      <c r="AY375" s="141"/>
      <c r="AZ375" s="141"/>
      <c r="BA375" s="141"/>
      <c r="BB375" s="141"/>
      <c r="BC375" s="141"/>
      <c r="BD375" s="89"/>
      <c r="BE375" s="89"/>
      <c r="BF375" s="89"/>
      <c r="BG375" s="89"/>
      <c r="BH375" s="89"/>
      <c r="BI375" s="89"/>
      <c r="BJ375" s="89"/>
      <c r="BK375" s="89"/>
      <c r="BL375" s="89"/>
      <c r="BM375" s="89"/>
      <c r="BN375" s="89"/>
      <c r="BO375" s="89"/>
      <c r="BP375" s="89"/>
      <c r="BQ375" s="89"/>
      <c r="BR375" s="89"/>
      <c r="BS375" s="89"/>
      <c r="BT375" s="89"/>
      <c r="BU375" s="89"/>
      <c r="BV375" s="89"/>
      <c r="BW375" s="89"/>
      <c r="BX375" s="89"/>
      <c r="BY375" s="89"/>
      <c r="BZ375" s="89"/>
      <c r="CA375" s="89"/>
      <c r="CB375" s="89"/>
      <c r="CC375" s="89"/>
      <c r="CD375" s="89"/>
      <c r="CE375" s="89"/>
      <c r="CF375" s="89"/>
      <c r="CG375" s="89"/>
      <c r="CH375" s="89"/>
      <c r="CI375" s="89"/>
      <c r="CJ375" s="89"/>
      <c r="CK375" s="89"/>
      <c r="CL375" s="89"/>
      <c r="CM375" s="89"/>
      <c r="CN375" s="89"/>
      <c r="CO375" s="89"/>
      <c r="CP375" s="89"/>
      <c r="CQ375" s="89"/>
      <c r="CR375" s="89"/>
      <c r="CS375" s="89"/>
      <c r="CT375" s="89"/>
      <c r="CU375" s="89"/>
      <c r="CV375" s="89"/>
      <c r="CW375" s="89"/>
      <c r="CX375" s="89"/>
      <c r="CY375" s="89"/>
      <c r="CZ375" s="89"/>
      <c r="DA375" s="89"/>
      <c r="DB375" s="89"/>
      <c r="DC375" s="89"/>
      <c r="DD375" s="89"/>
      <c r="DE375" s="89"/>
      <c r="DF375" s="89"/>
      <c r="DG375" s="89"/>
      <c r="DH375" s="89"/>
      <c r="DI375" s="89"/>
      <c r="DJ375" s="89"/>
      <c r="DK375" s="89"/>
      <c r="DL375" s="89"/>
      <c r="DM375" s="89"/>
      <c r="DN375" s="89"/>
      <c r="DO375" s="89"/>
      <c r="DP375" s="89"/>
      <c r="DQ375" s="89"/>
      <c r="DR375" s="89"/>
      <c r="DS375" s="89"/>
      <c r="DT375" s="89"/>
      <c r="DU375" s="89"/>
      <c r="DV375" s="89"/>
      <c r="DW375" s="89"/>
      <c r="DX375" s="89"/>
      <c r="DY375" s="89"/>
      <c r="DZ375" s="89"/>
      <c r="EA375" s="89"/>
      <c r="EB375" s="89"/>
      <c r="EC375" s="89"/>
      <c r="ED375" s="89"/>
      <c r="EE375" s="89"/>
      <c r="EF375" s="89"/>
      <c r="EG375" s="89"/>
      <c r="EH375" s="89"/>
      <c r="EI375" s="89"/>
      <c r="EJ375" s="89"/>
      <c r="EK375" s="89"/>
      <c r="EL375" s="89"/>
      <c r="EM375" s="89"/>
      <c r="EN375" s="89"/>
      <c r="EO375" s="89"/>
      <c r="EP375" s="89"/>
      <c r="EQ375" s="89"/>
      <c r="ER375" s="89"/>
      <c r="ES375" s="89"/>
      <c r="ET375" s="89"/>
      <c r="EU375" s="89"/>
      <c r="EV375" s="89"/>
      <c r="EW375" s="268"/>
      <c r="EX375" s="268"/>
      <c r="EY375" s="268"/>
      <c r="EZ375" s="268"/>
      <c r="FA375" s="268"/>
      <c r="FB375" s="268"/>
      <c r="FC375" s="268"/>
      <c r="FD375" s="268"/>
      <c r="FE375" s="268"/>
      <c r="FF375" s="268"/>
      <c r="FG375" s="268"/>
      <c r="FH375" s="268"/>
      <c r="FI375" s="268"/>
      <c r="FJ375" s="96"/>
      <c r="FK375" s="96"/>
      <c r="FL375" s="96"/>
      <c r="FM375" s="377"/>
      <c r="FN375" s="377"/>
      <c r="FO375" s="377"/>
      <c r="FP375" s="377"/>
      <c r="FQ375" s="377"/>
      <c r="FR375" s="377"/>
      <c r="FS375" s="377"/>
      <c r="FT375" s="377"/>
      <c r="FU375" s="377"/>
      <c r="FV375" s="377"/>
      <c r="FW375" s="377"/>
      <c r="FX375" s="377"/>
      <c r="FY375" s="259"/>
      <c r="FZ375" s="259"/>
      <c r="GA375" s="259"/>
      <c r="GB375" s="259"/>
      <c r="GC375" s="377"/>
      <c r="GD375" s="377"/>
      <c r="GE375" s="377"/>
      <c r="GF375" s="377"/>
      <c r="GG375" s="377"/>
      <c r="GH375" s="377"/>
      <c r="GI375" s="377"/>
      <c r="GJ375" s="377"/>
      <c r="GK375" s="377"/>
      <c r="GL375" s="377"/>
      <c r="GM375" s="377"/>
      <c r="GN375" s="377"/>
      <c r="GO375" s="377"/>
      <c r="GP375" s="377"/>
      <c r="GQ375" s="377"/>
      <c r="GR375" s="377"/>
      <c r="GS375" s="377"/>
      <c r="GT375" s="377"/>
      <c r="GU375" s="377"/>
      <c r="GV375" s="377"/>
    </row>
    <row r="376" spans="1:204" ht="16.95" customHeight="1">
      <c r="A376" s="60"/>
      <c r="B376" s="69"/>
      <c r="C376" s="69"/>
      <c r="D376" s="409" t="str">
        <f ca="1">IF(FL1=0,"","en winst op twee decimalen.")</f>
        <v/>
      </c>
      <c r="E376" s="409"/>
      <c r="F376" s="89"/>
      <c r="G376" s="89"/>
      <c r="H376" s="89"/>
      <c r="I376" s="89"/>
      <c r="J376" s="89"/>
      <c r="K376" s="89"/>
      <c r="L376" s="89"/>
      <c r="M376" s="89"/>
      <c r="N376" s="89"/>
      <c r="O376" s="89"/>
      <c r="P376" s="89"/>
      <c r="Q376" s="89"/>
      <c r="R376" s="89"/>
      <c r="S376" s="89"/>
      <c r="T376" s="89"/>
      <c r="U376" s="89"/>
      <c r="V376" s="89"/>
      <c r="W376" s="89"/>
      <c r="X376" s="89"/>
      <c r="Y376" s="141"/>
      <c r="Z376" s="141"/>
      <c r="AA376" s="141"/>
      <c r="AB376" s="141"/>
      <c r="AC376" s="141"/>
      <c r="AD376" s="141"/>
      <c r="AE376" s="141"/>
      <c r="AF376" s="141"/>
      <c r="AG376" s="141"/>
      <c r="AH376" s="141"/>
      <c r="AI376" s="141"/>
      <c r="AJ376" s="141"/>
      <c r="AK376" s="141"/>
      <c r="AL376" s="141"/>
      <c r="AM376" s="141"/>
      <c r="AN376" s="141"/>
      <c r="AO376" s="141"/>
      <c r="AP376" s="141"/>
      <c r="AQ376" s="141"/>
      <c r="AR376" s="141"/>
      <c r="AS376" s="141"/>
      <c r="AT376" s="141"/>
      <c r="AU376" s="141"/>
      <c r="AV376" s="141"/>
      <c r="AW376" s="141"/>
      <c r="AX376" s="141"/>
      <c r="AY376" s="141"/>
      <c r="AZ376" s="141"/>
      <c r="BA376" s="141"/>
      <c r="BB376" s="141"/>
      <c r="BC376" s="141"/>
      <c r="BD376" s="89"/>
      <c r="BE376" s="89"/>
      <c r="BF376" s="89"/>
      <c r="BG376" s="89"/>
      <c r="BH376" s="89"/>
      <c r="BI376" s="89"/>
      <c r="BJ376" s="89"/>
      <c r="BK376" s="89"/>
      <c r="BL376" s="89"/>
      <c r="BM376" s="89"/>
      <c r="BN376" s="89"/>
      <c r="BO376" s="89"/>
      <c r="BP376" s="89"/>
      <c r="BQ376" s="89"/>
      <c r="BR376" s="89"/>
      <c r="BS376" s="89"/>
      <c r="BT376" s="89"/>
      <c r="BU376" s="89"/>
      <c r="BV376" s="89"/>
      <c r="BW376" s="89"/>
      <c r="BX376" s="89"/>
      <c r="BY376" s="89"/>
      <c r="BZ376" s="89"/>
      <c r="CA376" s="89"/>
      <c r="CB376" s="89"/>
      <c r="CC376" s="89"/>
      <c r="CD376" s="89"/>
      <c r="CE376" s="89"/>
      <c r="CF376" s="89"/>
      <c r="CG376" s="89"/>
      <c r="CH376" s="89"/>
      <c r="CI376" s="89"/>
      <c r="CJ376" s="89"/>
      <c r="CK376" s="89"/>
      <c r="CL376" s="89"/>
      <c r="CM376" s="89"/>
      <c r="CN376" s="89"/>
      <c r="CO376" s="89"/>
      <c r="CP376" s="89"/>
      <c r="CQ376" s="89"/>
      <c r="CR376" s="89"/>
      <c r="CS376" s="89"/>
      <c r="CT376" s="89"/>
      <c r="CU376" s="89"/>
      <c r="CV376" s="89"/>
      <c r="CW376" s="89"/>
      <c r="CX376" s="89"/>
      <c r="CY376" s="89"/>
      <c r="CZ376" s="89"/>
      <c r="DA376" s="89"/>
      <c r="DB376" s="89"/>
      <c r="DC376" s="89"/>
      <c r="DD376" s="89"/>
      <c r="DE376" s="89"/>
      <c r="DF376" s="89"/>
      <c r="DG376" s="89"/>
      <c r="DH376" s="89"/>
      <c r="DI376" s="89"/>
      <c r="DJ376" s="89"/>
      <c r="DK376" s="89"/>
      <c r="DL376" s="89"/>
      <c r="DM376" s="89"/>
      <c r="DN376" s="89"/>
      <c r="DO376" s="89"/>
      <c r="DP376" s="89"/>
      <c r="DQ376" s="89"/>
      <c r="DR376" s="89"/>
      <c r="DS376" s="89"/>
      <c r="DT376" s="89"/>
      <c r="DU376" s="89"/>
      <c r="DV376" s="89"/>
      <c r="DW376" s="89"/>
      <c r="DX376" s="89"/>
      <c r="DY376" s="89"/>
      <c r="DZ376" s="89"/>
      <c r="EA376" s="89"/>
      <c r="EB376" s="89"/>
      <c r="EC376" s="89"/>
      <c r="ED376" s="89"/>
      <c r="EE376" s="89"/>
      <c r="EF376" s="89"/>
      <c r="EG376" s="89"/>
      <c r="EH376" s="89"/>
      <c r="EI376" s="89"/>
      <c r="EJ376" s="89"/>
      <c r="EK376" s="89"/>
      <c r="EL376" s="89"/>
      <c r="EM376" s="89"/>
      <c r="EN376" s="89"/>
      <c r="EO376" s="89"/>
      <c r="EP376" s="89"/>
      <c r="EQ376" s="89"/>
      <c r="ER376" s="89"/>
      <c r="ES376" s="89"/>
      <c r="ET376" s="89"/>
      <c r="EU376" s="89"/>
      <c r="EV376" s="89"/>
      <c r="EW376" s="268"/>
      <c r="EX376" s="268"/>
      <c r="EY376" s="268"/>
      <c r="EZ376" s="268"/>
      <c r="FA376" s="268"/>
      <c r="FB376" s="268"/>
      <c r="FC376" s="268"/>
      <c r="FD376" s="268"/>
      <c r="FE376" s="268"/>
      <c r="FF376" s="268"/>
      <c r="FG376" s="268"/>
      <c r="FH376" s="268"/>
      <c r="FI376" s="268"/>
      <c r="FJ376" s="96"/>
      <c r="FK376" s="96"/>
      <c r="FL376" s="96"/>
      <c r="FM376" s="377"/>
      <c r="FN376" s="377"/>
      <c r="FO376" s="377"/>
      <c r="FP376" s="377"/>
      <c r="FQ376" s="377"/>
      <c r="FR376" s="377"/>
      <c r="FS376" s="377"/>
      <c r="FT376" s="377"/>
      <c r="FU376" s="377"/>
      <c r="FV376" s="377"/>
      <c r="FW376" s="377"/>
      <c r="FX376" s="377"/>
      <c r="FY376" s="259"/>
      <c r="FZ376" s="259"/>
      <c r="GA376" s="259"/>
      <c r="GB376" s="259"/>
      <c r="GC376" s="377"/>
      <c r="GD376" s="377"/>
      <c r="GE376" s="377"/>
      <c r="GF376" s="377"/>
      <c r="GG376" s="377"/>
      <c r="GH376" s="377"/>
      <c r="GI376" s="377"/>
      <c r="GJ376" s="377"/>
      <c r="GK376" s="377"/>
      <c r="GL376" s="377"/>
      <c r="GM376" s="377"/>
      <c r="GN376" s="377"/>
      <c r="GO376" s="377"/>
      <c r="GP376" s="377"/>
      <c r="GQ376" s="377"/>
      <c r="GR376" s="377"/>
      <c r="GS376" s="377"/>
      <c r="GT376" s="377"/>
      <c r="GU376" s="377"/>
      <c r="GV376" s="377"/>
    </row>
    <row r="377" spans="1:204" ht="16.95" customHeight="1">
      <c r="A377" s="60"/>
      <c r="B377" s="69"/>
      <c r="C377" s="69"/>
      <c r="D377" s="409"/>
      <c r="E377" s="409"/>
      <c r="F377" s="409"/>
      <c r="G377" s="409"/>
      <c r="H377" s="409"/>
      <c r="I377" s="409"/>
      <c r="J377" s="409"/>
      <c r="K377" s="409"/>
      <c r="L377" s="409"/>
      <c r="M377" s="409"/>
      <c r="N377" s="409"/>
      <c r="O377" s="409"/>
      <c r="P377" s="409"/>
      <c r="Q377" s="409"/>
      <c r="R377" s="409"/>
      <c r="S377" s="409"/>
      <c r="T377" s="409"/>
      <c r="U377" s="409"/>
      <c r="V377" s="409"/>
      <c r="W377" s="409"/>
      <c r="X377" s="409"/>
      <c r="Y377" s="409"/>
      <c r="Z377" s="409"/>
      <c r="AA377" s="409"/>
      <c r="AB377" s="409"/>
      <c r="AC377" s="409"/>
      <c r="AD377" s="409"/>
      <c r="AE377" s="409"/>
      <c r="AF377" s="409"/>
      <c r="AG377" s="409"/>
      <c r="AH377" s="409"/>
      <c r="AI377" s="89"/>
      <c r="AJ377" s="409"/>
      <c r="AK377" s="409"/>
      <c r="AL377" s="409"/>
      <c r="AM377" s="409"/>
      <c r="AN377" s="409"/>
      <c r="AO377" s="409"/>
      <c r="AP377" s="409"/>
      <c r="AQ377" s="409"/>
      <c r="AR377" s="409"/>
      <c r="AS377" s="409"/>
      <c r="AT377" s="409"/>
      <c r="AU377" s="409"/>
      <c r="AV377" s="409"/>
      <c r="AW377" s="409"/>
      <c r="AX377" s="409"/>
      <c r="AY377" s="409"/>
      <c r="AZ377" s="409"/>
      <c r="BA377" s="409"/>
      <c r="BB377" s="409"/>
      <c r="BC377" s="89"/>
      <c r="BD377" s="89"/>
      <c r="BE377" s="89"/>
      <c r="BF377" s="89"/>
      <c r="BG377" s="89"/>
      <c r="BH377" s="89"/>
      <c r="BI377" s="89"/>
      <c r="BJ377" s="89"/>
      <c r="BK377" s="89"/>
      <c r="BL377" s="89"/>
      <c r="BM377" s="89"/>
      <c r="BN377" s="89"/>
      <c r="BO377" s="89"/>
      <c r="BP377" s="89"/>
      <c r="BQ377" s="89"/>
      <c r="BR377" s="89"/>
      <c r="BS377" s="89"/>
      <c r="BT377" s="89"/>
      <c r="BU377" s="89"/>
      <c r="BV377" s="89"/>
      <c r="BW377" s="89"/>
      <c r="BX377" s="89"/>
      <c r="BY377" s="89"/>
      <c r="BZ377" s="89"/>
      <c r="CA377" s="89"/>
      <c r="CB377" s="89"/>
      <c r="CC377" s="89"/>
      <c r="CD377" s="89"/>
      <c r="CE377" s="89"/>
      <c r="CF377" s="89"/>
      <c r="CG377" s="89"/>
      <c r="CH377" s="89"/>
      <c r="CI377" s="89"/>
      <c r="CJ377" s="89"/>
      <c r="CK377" s="89"/>
      <c r="CL377" s="89"/>
      <c r="CM377" s="89"/>
      <c r="CN377" s="89"/>
      <c r="CO377" s="89"/>
      <c r="CP377" s="89"/>
      <c r="CQ377" s="89"/>
      <c r="CR377" s="89"/>
      <c r="CS377" s="89"/>
      <c r="CT377" s="89"/>
      <c r="CU377" s="89"/>
      <c r="CV377" s="89"/>
      <c r="CW377" s="89"/>
      <c r="CX377" s="89"/>
      <c r="EC377" s="89"/>
      <c r="ED377" s="89"/>
      <c r="EE377" s="89"/>
      <c r="EF377" s="89"/>
      <c r="EG377" s="89"/>
      <c r="EH377" s="89"/>
      <c r="EI377" s="89"/>
      <c r="EJ377" s="89"/>
      <c r="EK377" s="89"/>
      <c r="EL377" s="89"/>
      <c r="EM377" s="89"/>
      <c r="EN377" s="89"/>
      <c r="EO377" s="89"/>
      <c r="EP377" s="89"/>
      <c r="EQ377" s="89"/>
      <c r="ER377" s="89"/>
      <c r="ES377" s="89"/>
      <c r="ET377" s="89"/>
      <c r="EU377" s="89"/>
      <c r="EV377" s="89"/>
      <c r="EW377" s="89"/>
      <c r="EX377" s="89"/>
      <c r="EY377" s="89"/>
      <c r="EZ377" s="89"/>
      <c r="FA377" s="89"/>
      <c r="FB377" s="89"/>
      <c r="FC377" s="89"/>
      <c r="FD377" s="89"/>
      <c r="FE377" s="89"/>
      <c r="FF377" s="89"/>
      <c r="FG377" s="89"/>
      <c r="FH377" s="89"/>
      <c r="FI377" s="89"/>
      <c r="FJ377" s="306"/>
      <c r="FK377" s="306"/>
      <c r="FL377" s="300"/>
      <c r="FM377" s="300"/>
      <c r="FN377" s="108"/>
      <c r="FO377" s="108"/>
      <c r="FP377" s="108"/>
      <c r="FQ377" s="108"/>
      <c r="FR377" s="108"/>
      <c r="FS377" s="108"/>
      <c r="FT377" s="108"/>
      <c r="FU377" s="108"/>
      <c r="FV377" s="108"/>
      <c r="FW377" s="108"/>
      <c r="FX377" s="301"/>
      <c r="FY377" s="259"/>
      <c r="FZ377" s="259"/>
      <c r="GA377" s="259"/>
      <c r="GB377" s="259"/>
      <c r="GC377" s="377"/>
      <c r="GD377" s="377"/>
      <c r="GE377" s="377"/>
      <c r="GF377" s="377"/>
      <c r="GG377" s="377"/>
      <c r="GH377" s="377"/>
      <c r="GI377" s="377"/>
      <c r="GJ377" s="377"/>
      <c r="GK377" s="377"/>
      <c r="GL377" s="377"/>
      <c r="GM377" s="377"/>
      <c r="GN377" s="377"/>
      <c r="GO377" s="307"/>
      <c r="GP377" s="307"/>
      <c r="GQ377" s="307"/>
      <c r="GR377" s="307"/>
      <c r="GS377" s="307"/>
      <c r="GT377" s="307"/>
      <c r="GU377" s="307"/>
      <c r="GV377" s="307"/>
    </row>
    <row r="378" spans="1:204" ht="3.6" customHeight="1">
      <c r="A378" s="60"/>
      <c r="B378" s="69"/>
      <c r="C378" s="69"/>
      <c r="D378" s="409"/>
      <c r="E378" s="409"/>
      <c r="F378" s="409"/>
      <c r="G378" s="409"/>
      <c r="H378" s="409"/>
      <c r="I378" s="409"/>
      <c r="J378" s="409"/>
      <c r="K378" s="409"/>
      <c r="L378" s="409"/>
      <c r="M378" s="409"/>
      <c r="N378" s="409"/>
      <c r="O378" s="409"/>
      <c r="P378" s="409"/>
      <c r="Q378" s="409"/>
      <c r="R378" s="409"/>
      <c r="S378" s="409"/>
      <c r="T378" s="409"/>
      <c r="U378" s="409"/>
      <c r="V378" s="409"/>
      <c r="W378" s="409"/>
      <c r="X378" s="410"/>
      <c r="Y378" s="410"/>
      <c r="Z378" s="410"/>
      <c r="AA378" s="410"/>
      <c r="AB378" s="410"/>
      <c r="AC378" s="410"/>
      <c r="AD378" s="410"/>
      <c r="AE378" s="410"/>
      <c r="AF378" s="89"/>
      <c r="AG378" s="89"/>
      <c r="AH378" s="409"/>
      <c r="AI378" s="410"/>
      <c r="AJ378" s="410"/>
      <c r="AK378" s="410"/>
      <c r="AL378" s="410"/>
      <c r="AM378" s="410"/>
      <c r="AN378" s="410"/>
      <c r="AO378" s="410"/>
      <c r="AP378" s="410"/>
      <c r="AQ378" s="410"/>
      <c r="AR378" s="410"/>
      <c r="AS378" s="410"/>
      <c r="AT378" s="410"/>
      <c r="AU378" s="410"/>
      <c r="AV378" s="410"/>
      <c r="AW378" s="410"/>
      <c r="AX378" s="410"/>
      <c r="AY378" s="410"/>
      <c r="AZ378" s="410"/>
      <c r="BA378" s="410"/>
      <c r="BB378" s="410"/>
      <c r="BC378" s="410"/>
      <c r="BD378" s="89"/>
      <c r="BE378" s="410"/>
      <c r="BF378" s="410"/>
      <c r="BG378" s="410"/>
      <c r="BH378" s="410"/>
      <c r="BI378" s="410"/>
      <c r="BJ378" s="410"/>
      <c r="BK378" s="410"/>
      <c r="BL378" s="410"/>
      <c r="BM378" s="410"/>
      <c r="BN378" s="410"/>
      <c r="BO378" s="410"/>
      <c r="BP378" s="410"/>
      <c r="BQ378" s="410"/>
      <c r="BR378" s="410"/>
      <c r="BS378" s="410"/>
      <c r="BT378" s="410"/>
      <c r="BU378" s="410"/>
      <c r="BV378" s="410"/>
      <c r="BW378" s="410"/>
      <c r="BX378" s="410"/>
      <c r="BY378" s="410"/>
      <c r="BZ378" s="410"/>
      <c r="CA378" s="410"/>
      <c r="CB378" s="410"/>
      <c r="CC378" s="410"/>
      <c r="CD378" s="268"/>
      <c r="CE378" s="268"/>
      <c r="CF378" s="268"/>
      <c r="CG378" s="268"/>
      <c r="CH378" s="268"/>
      <c r="CI378" s="268"/>
      <c r="CJ378" s="268"/>
      <c r="CK378" s="268"/>
      <c r="CL378" s="268"/>
      <c r="CM378" s="268"/>
      <c r="CN378" s="268"/>
      <c r="CO378" s="268"/>
      <c r="CP378" s="268"/>
      <c r="CQ378" s="268"/>
      <c r="CR378" s="268"/>
      <c r="CS378" s="268"/>
      <c r="CT378" s="268"/>
      <c r="CU378" s="410"/>
      <c r="CV378" s="410"/>
      <c r="CW378" s="410"/>
      <c r="CX378" s="410"/>
      <c r="CY378" s="141"/>
      <c r="CZ378" s="141"/>
      <c r="DA378" s="141"/>
      <c r="DB378" s="89"/>
      <c r="DC378" s="89"/>
      <c r="DD378" s="553" t="str">
        <f ca="1">IF(FL1=0,"","+")</f>
        <v/>
      </c>
      <c r="DE378" s="541" t="e">
        <f>IF(#REF!=0,"","+")</f>
        <v>#REF!</v>
      </c>
      <c r="DF378" s="541" t="e">
        <f>IF(#REF!=0,"","+")</f>
        <v>#REF!</v>
      </c>
      <c r="DG378" s="541" t="e">
        <f>IF(#REF!=0,"","+")</f>
        <v>#REF!</v>
      </c>
      <c r="DH378" s="541" t="e">
        <f>IF(#REF!=0,"","+")</f>
        <v>#REF!</v>
      </c>
      <c r="DI378" s="541"/>
      <c r="DJ378" s="541"/>
      <c r="DK378" s="541"/>
      <c r="DL378" s="541" t="e">
        <f>IF(#REF!=0,"","+")</f>
        <v>#REF!</v>
      </c>
      <c r="DM378" s="541" t="e">
        <f>IF(#REF!=0,"","+")</f>
        <v>#REF!</v>
      </c>
      <c r="DN378" s="541" t="e">
        <f>IF(#REF!=0,"","+")</f>
        <v>#REF!</v>
      </c>
      <c r="DO378" s="541" t="e">
        <f>IF(#REF!=0,"","+")</f>
        <v>#REF!</v>
      </c>
      <c r="DP378" s="541" t="e">
        <f>IF(#REF!=0,"","+")</f>
        <v>#REF!</v>
      </c>
      <c r="DQ378" s="541" t="e">
        <f>IF(#REF!=0,"","+")</f>
        <v>#REF!</v>
      </c>
      <c r="DR378" s="541"/>
      <c r="DS378" s="541"/>
      <c r="DT378" s="541"/>
      <c r="DU378" s="541"/>
      <c r="DV378" s="541"/>
      <c r="DW378" s="541"/>
      <c r="DX378" s="541" t="e">
        <f>IF(#REF!=0,"","+")</f>
        <v>#REF!</v>
      </c>
      <c r="DY378" s="541" t="e">
        <f>IF(#REF!=0,"","+")</f>
        <v>#REF!</v>
      </c>
      <c r="DZ378" s="541" t="e">
        <f>IF(#REF!=0,"","+")</f>
        <v>#REF!</v>
      </c>
      <c r="EA378" s="541" t="e">
        <f>IF(#REF!=0,"","+")</f>
        <v>#REF!</v>
      </c>
      <c r="EB378" s="541" t="e">
        <f>IF(#REF!=0,"","+")</f>
        <v>#REF!</v>
      </c>
      <c r="EC378" s="89"/>
      <c r="ED378" s="89"/>
      <c r="FH378" s="89"/>
      <c r="FI378" s="89"/>
      <c r="FJ378" s="306"/>
      <c r="FK378" s="306"/>
      <c r="FL378" s="300"/>
      <c r="FM378" s="300"/>
      <c r="FN378" s="108"/>
      <c r="FO378" s="108"/>
      <c r="FP378" s="108"/>
      <c r="FQ378" s="108"/>
      <c r="FR378" s="108"/>
      <c r="FS378" s="108"/>
      <c r="FT378" s="108"/>
      <c r="FU378" s="108"/>
      <c r="FV378" s="108"/>
      <c r="FW378" s="108"/>
      <c r="FX378" s="301"/>
      <c r="FY378" s="259"/>
      <c r="FZ378" s="259"/>
      <c r="GA378" s="259"/>
      <c r="GB378" s="259"/>
      <c r="GC378" s="377"/>
      <c r="GD378" s="377"/>
      <c r="GE378" s="377"/>
      <c r="GF378" s="377"/>
      <c r="GG378" s="377"/>
      <c r="GH378" s="377"/>
      <c r="GI378" s="377"/>
      <c r="GJ378" s="377"/>
      <c r="GK378" s="377"/>
      <c r="GL378" s="377"/>
      <c r="GM378" s="377"/>
      <c r="GN378" s="377"/>
      <c r="GO378" s="307"/>
      <c r="GP378" s="307"/>
      <c r="GQ378" s="307"/>
      <c r="GR378" s="307"/>
      <c r="GS378" s="307"/>
      <c r="GT378" s="307"/>
      <c r="GU378" s="307"/>
      <c r="GV378" s="307"/>
    </row>
    <row r="379" spans="1:204" ht="16.5" customHeight="1">
      <c r="A379" s="60"/>
      <c r="B379" s="69"/>
      <c r="C379" s="69"/>
      <c r="D379" s="268"/>
      <c r="E379" s="268"/>
      <c r="F379" s="268"/>
      <c r="G379" s="268"/>
      <c r="H379" s="268"/>
      <c r="I379" s="268"/>
      <c r="J379" s="268"/>
      <c r="K379" s="268"/>
      <c r="L379" s="268"/>
      <c r="M379" s="268"/>
      <c r="N379" s="268"/>
      <c r="O379" s="268"/>
      <c r="P379" s="268"/>
      <c r="Q379" s="268"/>
      <c r="R379" s="410"/>
      <c r="S379" s="410"/>
      <c r="T379" s="410"/>
      <c r="U379" s="410"/>
      <c r="V379" s="410"/>
      <c r="W379" s="410"/>
      <c r="X379" s="410"/>
      <c r="Y379" s="410"/>
      <c r="Z379" s="410"/>
      <c r="AA379" s="410"/>
      <c r="AB379" s="410"/>
      <c r="AC379" s="410"/>
      <c r="AD379" s="410"/>
      <c r="AE379" s="410"/>
      <c r="AF379" s="302"/>
      <c r="AG379" s="89"/>
      <c r="AH379" s="409"/>
      <c r="AI379" s="325"/>
      <c r="AJ379" s="326"/>
      <c r="AK379" s="326"/>
      <c r="AL379" s="326"/>
      <c r="AM379" s="326"/>
      <c r="AN379" s="326"/>
      <c r="AO379" s="326"/>
      <c r="AP379" s="326"/>
      <c r="AQ379" s="326"/>
      <c r="AR379" s="326"/>
      <c r="AS379" s="326"/>
      <c r="AT379" s="326"/>
      <c r="AU379" s="326"/>
      <c r="AV379" s="326"/>
      <c r="AW379" s="326"/>
      <c r="AX379" s="326"/>
      <c r="AY379" s="326"/>
      <c r="AZ379" s="326"/>
      <c r="BA379" s="326"/>
      <c r="BB379" s="326"/>
      <c r="BC379" s="409"/>
      <c r="BD379" s="304"/>
      <c r="BE379" s="410"/>
      <c r="BF379" s="410"/>
      <c r="BG379" s="410"/>
      <c r="BH379" s="410"/>
      <c r="BI379" s="410"/>
      <c r="BJ379" s="410"/>
      <c r="BK379" s="410"/>
      <c r="BL379" s="410"/>
      <c r="BM379" s="410"/>
      <c r="BN379" s="410"/>
      <c r="BO379" s="410"/>
      <c r="BP379" s="410"/>
      <c r="BQ379" s="410"/>
      <c r="BR379" s="410"/>
      <c r="BS379" s="410"/>
      <c r="BT379" s="410"/>
      <c r="BU379" s="410"/>
      <c r="BV379" s="410"/>
      <c r="BW379" s="410"/>
      <c r="BX379" s="410"/>
      <c r="BY379" s="410"/>
      <c r="BZ379" s="410"/>
      <c r="CA379" s="410"/>
      <c r="CB379" s="410"/>
      <c r="CC379" s="410"/>
      <c r="CD379" s="268"/>
      <c r="CE379" s="268"/>
      <c r="CF379" s="268"/>
      <c r="CG379" s="268"/>
      <c r="CH379" s="268"/>
      <c r="CI379" s="268"/>
      <c r="CJ379" s="268"/>
      <c r="CK379" s="268"/>
      <c r="CL379" s="268"/>
      <c r="CM379" s="268"/>
      <c r="CN379" s="268"/>
      <c r="CO379" s="268"/>
      <c r="CP379" s="268"/>
      <c r="CQ379" s="268"/>
      <c r="CR379" s="268"/>
      <c r="CS379" s="268"/>
      <c r="CT379" s="268"/>
      <c r="CU379" s="410"/>
      <c r="CV379" s="410"/>
      <c r="CW379" s="410"/>
      <c r="CX379" s="410"/>
      <c r="CY379" s="141"/>
      <c r="CZ379" s="141"/>
      <c r="DA379" s="141"/>
      <c r="DB379" s="302" t="str">
        <f ca="1">IF(FL1=0,"","de hoeveelheid waarbij maximale winst wordt gemaakt, is:")</f>
        <v/>
      </c>
      <c r="DC379" s="89"/>
      <c r="DD379" s="409" t="str">
        <f ca="1">IF(FL1=0,"","+")</f>
        <v/>
      </c>
      <c r="DE379" s="559"/>
      <c r="DF379" s="560"/>
      <c r="DG379" s="560"/>
      <c r="DH379" s="560"/>
      <c r="DI379" s="560"/>
      <c r="DJ379" s="560"/>
      <c r="DK379" s="560"/>
      <c r="DL379" s="560"/>
      <c r="DM379" s="560"/>
      <c r="DN379" s="560"/>
      <c r="DO379" s="560"/>
      <c r="DP379" s="560"/>
      <c r="DQ379" s="560"/>
      <c r="DR379" s="560"/>
      <c r="DS379" s="560"/>
      <c r="DT379" s="560"/>
      <c r="DU379" s="560"/>
      <c r="DV379" s="560"/>
      <c r="DW379" s="560"/>
      <c r="DX379" s="560"/>
      <c r="DY379" s="560"/>
      <c r="DZ379" s="560"/>
      <c r="EA379" s="560"/>
      <c r="EB379" s="409" t="str">
        <f ca="1">IF(FL1=0,"","+")</f>
        <v/>
      </c>
      <c r="EC379" s="304" t="s">
        <v>131</v>
      </c>
      <c r="ED379" s="141"/>
      <c r="EE379" s="298"/>
      <c r="EF379" s="410"/>
      <c r="EG379" s="89"/>
      <c r="EH379" s="89"/>
      <c r="EI379" s="89"/>
      <c r="EJ379" s="89"/>
      <c r="EK379" s="89"/>
      <c r="EL379" s="89"/>
      <c r="EM379" s="89"/>
      <c r="EN379" s="89"/>
      <c r="EO379" s="89"/>
      <c r="EP379" s="89"/>
      <c r="EQ379" s="89"/>
      <c r="ER379" s="89"/>
      <c r="ES379" s="89"/>
      <c r="ET379" s="89"/>
      <c r="EU379" s="89"/>
      <c r="EV379" s="89"/>
      <c r="EW379" s="89"/>
      <c r="EX379" s="89"/>
      <c r="EY379" s="89"/>
      <c r="EZ379" s="89"/>
      <c r="FA379" s="89"/>
      <c r="FB379" s="89"/>
      <c r="FC379" s="89"/>
      <c r="FD379" s="89"/>
      <c r="FE379" s="89"/>
      <c r="FF379" s="89"/>
      <c r="FG379" s="89"/>
      <c r="FH379" s="89"/>
      <c r="FI379" s="89"/>
      <c r="FJ379" s="306"/>
      <c r="FK379" s="306"/>
      <c r="FL379" s="300"/>
      <c r="FM379" s="300">
        <f ca="1">IF(programma!B1="X",1,IF(AND(FL1=1,DE379&gt;FN379-1,DE379&lt;FN379+1),1,0))</f>
        <v>0</v>
      </c>
      <c r="FN379" s="339">
        <f ca="1">IF(FK1=0,"",ROUND((FY371-FR371)/(-FU371+FQ371),0))</f>
        <v>570</v>
      </c>
      <c r="FO379" s="300">
        <f ca="1">(FY371-FR371)/(FQ371/2-FU371/2)</f>
        <v>1140</v>
      </c>
      <c r="FP379" s="108"/>
      <c r="FQ379" s="108"/>
      <c r="FR379" s="108"/>
      <c r="FS379" s="108"/>
      <c r="FT379" s="108"/>
      <c r="FU379" s="108"/>
      <c r="FV379" s="108"/>
      <c r="FW379" s="108"/>
      <c r="FX379" s="301"/>
      <c r="FY379" s="259"/>
      <c r="FZ379" s="259"/>
      <c r="GA379" s="259"/>
      <c r="GB379" s="259"/>
      <c r="GC379" s="377"/>
      <c r="GD379" s="377"/>
      <c r="GE379" s="377"/>
      <c r="GF379" s="377"/>
      <c r="GG379" s="377"/>
      <c r="GH379" s="377"/>
      <c r="GI379" s="377"/>
      <c r="GJ379" s="377"/>
      <c r="GK379" s="377"/>
      <c r="GL379" s="377"/>
      <c r="GM379" s="377"/>
      <c r="GN379" s="377"/>
      <c r="GO379" s="307"/>
      <c r="GP379" s="307"/>
      <c r="GQ379" s="307"/>
      <c r="GR379" s="307"/>
      <c r="GS379" s="307"/>
      <c r="GT379" s="307"/>
      <c r="GU379" s="307"/>
      <c r="GV379" s="307"/>
    </row>
    <row r="380" spans="1:204" ht="3.6" customHeight="1">
      <c r="A380" s="60"/>
      <c r="B380" s="69"/>
      <c r="C380" s="69"/>
      <c r="D380" s="409"/>
      <c r="E380" s="409"/>
      <c r="F380" s="409"/>
      <c r="G380" s="409"/>
      <c r="H380" s="409"/>
      <c r="I380" s="409"/>
      <c r="J380" s="409"/>
      <c r="K380" s="409"/>
      <c r="L380" s="409"/>
      <c r="M380" s="409"/>
      <c r="N380" s="409"/>
      <c r="O380" s="409"/>
      <c r="P380" s="409"/>
      <c r="Q380" s="409"/>
      <c r="R380" s="409"/>
      <c r="S380" s="409"/>
      <c r="T380" s="409"/>
      <c r="U380" s="409"/>
      <c r="V380" s="409"/>
      <c r="W380" s="409"/>
      <c r="X380" s="410"/>
      <c r="Y380" s="410"/>
      <c r="Z380" s="410"/>
      <c r="AA380" s="410"/>
      <c r="AB380" s="410"/>
      <c r="AC380" s="410"/>
      <c r="AD380" s="410"/>
      <c r="AE380" s="410"/>
      <c r="AF380" s="89"/>
      <c r="AG380" s="89"/>
      <c r="AH380" s="409"/>
      <c r="AI380" s="410"/>
      <c r="AJ380" s="410"/>
      <c r="AK380" s="410"/>
      <c r="AL380" s="410"/>
      <c r="AM380" s="410"/>
      <c r="AN380" s="410"/>
      <c r="AO380" s="410"/>
      <c r="AP380" s="410"/>
      <c r="AQ380" s="410"/>
      <c r="AR380" s="410"/>
      <c r="AS380" s="410"/>
      <c r="AT380" s="410"/>
      <c r="AU380" s="410"/>
      <c r="AV380" s="410"/>
      <c r="AW380" s="410"/>
      <c r="AX380" s="410"/>
      <c r="AY380" s="410"/>
      <c r="AZ380" s="410"/>
      <c r="BA380" s="410"/>
      <c r="BB380" s="410"/>
      <c r="BC380" s="410"/>
      <c r="BD380" s="89"/>
      <c r="BE380" s="410"/>
      <c r="BF380" s="410"/>
      <c r="BG380" s="410"/>
      <c r="BH380" s="410"/>
      <c r="BI380" s="410"/>
      <c r="BJ380" s="410"/>
      <c r="BK380" s="410"/>
      <c r="BL380" s="410"/>
      <c r="BM380" s="410"/>
      <c r="BN380" s="410"/>
      <c r="BO380" s="410"/>
      <c r="BP380" s="410"/>
      <c r="BQ380" s="410"/>
      <c r="BR380" s="410"/>
      <c r="BS380" s="410"/>
      <c r="BT380" s="410"/>
      <c r="BU380" s="410"/>
      <c r="BV380" s="410"/>
      <c r="BW380" s="410"/>
      <c r="BX380" s="410"/>
      <c r="BY380" s="410"/>
      <c r="BZ380" s="410"/>
      <c r="CA380" s="410"/>
      <c r="CB380" s="410"/>
      <c r="CC380" s="410"/>
      <c r="CD380" s="268"/>
      <c r="CE380" s="268"/>
      <c r="CF380" s="268"/>
      <c r="CG380" s="268"/>
      <c r="CH380" s="268"/>
      <c r="CI380" s="268"/>
      <c r="CJ380" s="268"/>
      <c r="CK380" s="268"/>
      <c r="CL380" s="268"/>
      <c r="CM380" s="268"/>
      <c r="CN380" s="268"/>
      <c r="CO380" s="268"/>
      <c r="CP380" s="268"/>
      <c r="CQ380" s="268"/>
      <c r="CR380" s="268"/>
      <c r="CS380" s="268"/>
      <c r="CT380" s="268"/>
      <c r="CU380" s="410"/>
      <c r="CV380" s="410"/>
      <c r="CW380" s="410"/>
      <c r="CX380" s="410"/>
      <c r="CY380" s="141"/>
      <c r="CZ380" s="141"/>
      <c r="DA380" s="141"/>
      <c r="DB380" s="89"/>
      <c r="DC380" s="89"/>
      <c r="DD380" s="553" t="str">
        <f ca="1">IF(FL1=0,"","+")</f>
        <v/>
      </c>
      <c r="DE380" s="541" t="e">
        <f>IF(#REF!=0,"","+")</f>
        <v>#REF!</v>
      </c>
      <c r="DF380" s="541" t="e">
        <f>IF(#REF!=0,"","+")</f>
        <v>#REF!</v>
      </c>
      <c r="DG380" s="541" t="e">
        <f>IF(#REF!=0,"","+")</f>
        <v>#REF!</v>
      </c>
      <c r="DH380" s="541" t="e">
        <f>IF(#REF!=0,"","+")</f>
        <v>#REF!</v>
      </c>
      <c r="DI380" s="541"/>
      <c r="DJ380" s="541"/>
      <c r="DK380" s="541"/>
      <c r="DL380" s="541" t="e">
        <f>IF(#REF!=0,"","+")</f>
        <v>#REF!</v>
      </c>
      <c r="DM380" s="541" t="e">
        <f>IF(#REF!=0,"","+")</f>
        <v>#REF!</v>
      </c>
      <c r="DN380" s="541" t="e">
        <f>IF(#REF!=0,"","+")</f>
        <v>#REF!</v>
      </c>
      <c r="DO380" s="541" t="e">
        <f>IF(#REF!=0,"","+")</f>
        <v>#REF!</v>
      </c>
      <c r="DP380" s="541" t="e">
        <f>IF(#REF!=0,"","+")</f>
        <v>#REF!</v>
      </c>
      <c r="DQ380" s="541" t="e">
        <f>IF(#REF!=0,"","+")</f>
        <v>#REF!</v>
      </c>
      <c r="DR380" s="541"/>
      <c r="DS380" s="541"/>
      <c r="DT380" s="541"/>
      <c r="DU380" s="541"/>
      <c r="DV380" s="541"/>
      <c r="DW380" s="541"/>
      <c r="DX380" s="541" t="e">
        <f>IF(#REF!=0,"","+")</f>
        <v>#REF!</v>
      </c>
      <c r="DY380" s="541" t="e">
        <f>IF(#REF!=0,"","+")</f>
        <v>#REF!</v>
      </c>
      <c r="DZ380" s="541" t="e">
        <f>IF(#REF!=0,"","+")</f>
        <v>#REF!</v>
      </c>
      <c r="EA380" s="541" t="e">
        <f>IF(#REF!=0,"","+")</f>
        <v>#REF!</v>
      </c>
      <c r="EB380" s="541" t="e">
        <f>IF(#REF!=0,"","+")</f>
        <v>#REF!</v>
      </c>
      <c r="EC380" s="89"/>
      <c r="ED380" s="89"/>
      <c r="FH380" s="89"/>
      <c r="FI380" s="89"/>
      <c r="FJ380" s="306"/>
      <c r="FK380" s="306"/>
      <c r="FL380" s="300"/>
      <c r="FM380" s="300"/>
      <c r="FN380" s="300"/>
      <c r="FO380" s="108"/>
      <c r="FP380" s="108"/>
      <c r="FQ380" s="108"/>
      <c r="FR380" s="108"/>
      <c r="FS380" s="108"/>
      <c r="FT380" s="108"/>
      <c r="FU380" s="108"/>
      <c r="FV380" s="108"/>
      <c r="FW380" s="108"/>
      <c r="FX380" s="301"/>
      <c r="FY380" s="259"/>
      <c r="FZ380" s="259"/>
      <c r="GA380" s="259"/>
      <c r="GB380" s="259"/>
      <c r="GC380" s="377"/>
      <c r="GD380" s="377"/>
      <c r="GE380" s="377"/>
      <c r="GF380" s="377"/>
      <c r="GG380" s="377"/>
      <c r="GH380" s="377"/>
      <c r="GI380" s="377"/>
      <c r="GJ380" s="377"/>
      <c r="GK380" s="377"/>
      <c r="GL380" s="377"/>
      <c r="GM380" s="377"/>
      <c r="GN380" s="377"/>
      <c r="GO380" s="307"/>
      <c r="GP380" s="307"/>
      <c r="GQ380" s="307"/>
      <c r="GR380" s="307"/>
      <c r="GS380" s="307"/>
      <c r="GT380" s="307"/>
      <c r="GU380" s="307"/>
      <c r="GV380" s="307"/>
    </row>
    <row r="381" spans="1:204" ht="9" customHeight="1">
      <c r="A381" s="60"/>
      <c r="B381" s="69"/>
      <c r="C381" s="69"/>
      <c r="D381" s="409"/>
      <c r="E381" s="409"/>
      <c r="F381" s="409"/>
      <c r="G381" s="409"/>
      <c r="H381" s="409"/>
      <c r="I381" s="409"/>
      <c r="J381" s="409"/>
      <c r="K381" s="409"/>
      <c r="L381" s="409"/>
      <c r="M381" s="409"/>
      <c r="N381" s="409"/>
      <c r="O381" s="409"/>
      <c r="P381" s="409"/>
      <c r="Q381" s="409"/>
      <c r="R381" s="409"/>
      <c r="S381" s="409"/>
      <c r="T381" s="409"/>
      <c r="U381" s="409"/>
      <c r="V381" s="409"/>
      <c r="W381" s="409"/>
      <c r="X381" s="89"/>
      <c r="Y381" s="89"/>
      <c r="Z381" s="89"/>
      <c r="AA381" s="89"/>
      <c r="AB381" s="89"/>
      <c r="AC381" s="89"/>
      <c r="AD381" s="89"/>
      <c r="AE381" s="89"/>
      <c r="AF381" s="89"/>
      <c r="AG381" s="89"/>
      <c r="AH381" s="89"/>
      <c r="AI381" s="89"/>
      <c r="AJ381" s="89"/>
      <c r="AK381" s="89"/>
      <c r="AL381" s="89"/>
      <c r="AM381" s="89"/>
      <c r="AN381" s="89"/>
      <c r="AO381" s="89"/>
      <c r="AP381" s="89"/>
      <c r="AQ381" s="89"/>
      <c r="AR381" s="89"/>
      <c r="AS381" s="89"/>
      <c r="AT381" s="89"/>
      <c r="AU381" s="89"/>
      <c r="AV381" s="89"/>
      <c r="AW381" s="89"/>
      <c r="AX381" s="89"/>
      <c r="AY381" s="89"/>
      <c r="AZ381" s="89"/>
      <c r="BA381" s="89"/>
      <c r="BB381" s="89"/>
      <c r="BC381" s="89"/>
      <c r="BD381" s="89"/>
      <c r="BE381" s="89"/>
      <c r="BF381" s="89"/>
      <c r="BG381" s="89"/>
      <c r="BH381" s="89"/>
      <c r="BI381" s="89"/>
      <c r="BJ381" s="89"/>
      <c r="BK381" s="89"/>
      <c r="BL381" s="89"/>
      <c r="BM381" s="89"/>
      <c r="BN381" s="89"/>
      <c r="BO381" s="89"/>
      <c r="BP381" s="89"/>
      <c r="BQ381" s="89"/>
      <c r="BR381" s="89"/>
      <c r="BS381" s="89"/>
      <c r="BT381" s="89"/>
      <c r="BU381" s="89"/>
      <c r="BV381" s="89"/>
      <c r="BW381" s="89"/>
      <c r="BX381" s="89"/>
      <c r="BY381" s="89"/>
      <c r="BZ381" s="89"/>
      <c r="CA381" s="89"/>
      <c r="CB381" s="89"/>
      <c r="CC381" s="89"/>
      <c r="CD381" s="89"/>
      <c r="CE381" s="89"/>
      <c r="CF381" s="89"/>
      <c r="CG381" s="89"/>
      <c r="CH381" s="89"/>
      <c r="CI381" s="89"/>
      <c r="CJ381" s="89"/>
      <c r="CK381" s="89"/>
      <c r="CL381" s="89"/>
      <c r="CM381" s="89"/>
      <c r="CN381" s="89"/>
      <c r="CO381" s="89"/>
      <c r="CP381" s="89"/>
      <c r="CQ381" s="89"/>
      <c r="CR381" s="89"/>
      <c r="CS381" s="89"/>
      <c r="CT381" s="89"/>
      <c r="CU381" s="89"/>
      <c r="CV381" s="89"/>
      <c r="CW381" s="89"/>
      <c r="CX381" s="89"/>
      <c r="CY381" s="89"/>
      <c r="CZ381" s="89"/>
      <c r="DA381" s="89"/>
      <c r="DB381" s="89"/>
      <c r="DC381" s="89"/>
      <c r="DD381" s="89"/>
      <c r="DE381" s="89"/>
      <c r="DF381" s="89"/>
      <c r="DG381" s="89"/>
      <c r="DH381" s="89"/>
      <c r="DI381" s="89"/>
      <c r="DJ381" s="89"/>
      <c r="DK381" s="89"/>
      <c r="DL381" s="89"/>
      <c r="DM381" s="89"/>
      <c r="DN381" s="89"/>
      <c r="DO381" s="89"/>
      <c r="DP381" s="89"/>
      <c r="DQ381" s="89"/>
      <c r="DR381" s="89"/>
      <c r="DS381" s="89"/>
      <c r="DT381" s="89"/>
      <c r="DU381" s="89"/>
      <c r="DV381" s="89"/>
      <c r="DW381" s="89"/>
      <c r="DX381" s="89"/>
      <c r="DY381" s="89"/>
      <c r="DZ381" s="89"/>
      <c r="EA381" s="89"/>
      <c r="EB381" s="89"/>
      <c r="EC381" s="89"/>
      <c r="ED381" s="89"/>
      <c r="FH381" s="89"/>
      <c r="FI381" s="89"/>
      <c r="FJ381" s="306"/>
      <c r="FK381" s="306"/>
      <c r="FL381" s="300"/>
      <c r="FM381" s="300"/>
      <c r="FN381" s="300"/>
      <c r="FO381" s="108"/>
      <c r="FP381" s="108"/>
      <c r="FQ381" s="108"/>
      <c r="FR381" s="108"/>
      <c r="FS381" s="108"/>
      <c r="FT381" s="108"/>
      <c r="FU381" s="108"/>
      <c r="FV381" s="108"/>
      <c r="FW381" s="108"/>
      <c r="FX381" s="301"/>
      <c r="FY381" s="259"/>
      <c r="FZ381" s="259"/>
      <c r="GA381" s="259"/>
      <c r="GB381" s="259"/>
      <c r="GC381" s="377"/>
      <c r="GD381" s="377"/>
      <c r="GE381" s="377"/>
      <c r="GF381" s="377"/>
      <c r="GG381" s="377"/>
      <c r="GH381" s="377"/>
      <c r="GI381" s="377"/>
      <c r="GJ381" s="377"/>
      <c r="GK381" s="377"/>
      <c r="GL381" s="377"/>
      <c r="GM381" s="377"/>
      <c r="GN381" s="377"/>
      <c r="GO381" s="307"/>
      <c r="GP381" s="307"/>
      <c r="GQ381" s="307"/>
      <c r="GR381" s="307"/>
      <c r="GS381" s="307"/>
      <c r="GT381" s="307"/>
      <c r="GU381" s="307"/>
      <c r="GV381" s="307"/>
    </row>
    <row r="382" spans="1:204" ht="3.6" customHeight="1">
      <c r="A382" s="60"/>
      <c r="B382" s="69"/>
      <c r="C382" s="69"/>
      <c r="D382" s="409"/>
      <c r="E382" s="409"/>
      <c r="F382" s="409"/>
      <c r="G382" s="409"/>
      <c r="H382" s="409"/>
      <c r="I382" s="409"/>
      <c r="J382" s="409"/>
      <c r="K382" s="409"/>
      <c r="L382" s="409"/>
      <c r="M382" s="409"/>
      <c r="N382" s="409"/>
      <c r="O382" s="409"/>
      <c r="P382" s="409"/>
      <c r="Q382" s="409"/>
      <c r="R382" s="409"/>
      <c r="S382" s="409"/>
      <c r="T382" s="409"/>
      <c r="U382" s="409"/>
      <c r="V382" s="409"/>
      <c r="W382" s="409"/>
      <c r="X382" s="410"/>
      <c r="Y382" s="410"/>
      <c r="Z382" s="410"/>
      <c r="AA382" s="297"/>
      <c r="AB382" s="297"/>
      <c r="AC382" s="297"/>
      <c r="AD382" s="297"/>
      <c r="AE382" s="297"/>
      <c r="AF382" s="297"/>
      <c r="AG382" s="297"/>
      <c r="AH382" s="297"/>
      <c r="AI382" s="297"/>
      <c r="AJ382" s="297"/>
      <c r="AK382" s="297"/>
      <c r="AL382" s="297"/>
      <c r="AM382" s="297"/>
      <c r="AN382" s="297"/>
      <c r="AO382" s="297"/>
      <c r="AP382" s="297"/>
      <c r="AQ382" s="297"/>
      <c r="AR382" s="297"/>
      <c r="AS382" s="297"/>
      <c r="AT382" s="297"/>
      <c r="AU382" s="297"/>
      <c r="AV382" s="297"/>
      <c r="AW382" s="297"/>
      <c r="AX382" s="297"/>
      <c r="AY382" s="297"/>
      <c r="AZ382" s="297"/>
      <c r="BA382" s="297"/>
      <c r="BB382" s="297"/>
      <c r="BC382" s="297"/>
      <c r="BD382" s="297"/>
      <c r="BE382" s="297"/>
      <c r="BF382" s="297"/>
      <c r="BG382" s="410"/>
      <c r="BH382" s="410"/>
      <c r="BI382" s="410"/>
      <c r="BJ382" s="410"/>
      <c r="BK382" s="410"/>
      <c r="BL382" s="410"/>
      <c r="BM382" s="410"/>
      <c r="BN382" s="410"/>
      <c r="BO382" s="410"/>
      <c r="BP382" s="410"/>
      <c r="BQ382" s="410"/>
      <c r="BR382" s="410"/>
      <c r="BS382" s="410"/>
      <c r="BT382" s="410"/>
      <c r="BU382" s="410"/>
      <c r="BV382" s="410"/>
      <c r="BW382" s="410"/>
      <c r="BX382" s="410"/>
      <c r="BY382" s="410"/>
      <c r="BZ382" s="410"/>
      <c r="CA382" s="410"/>
      <c r="CB382" s="410"/>
      <c r="CC382" s="410"/>
      <c r="CD382" s="268"/>
      <c r="CE382" s="268"/>
      <c r="CF382" s="268"/>
      <c r="CG382" s="268"/>
      <c r="CH382" s="268"/>
      <c r="CI382" s="268"/>
      <c r="CJ382" s="268"/>
      <c r="CK382" s="268"/>
      <c r="CL382" s="268"/>
      <c r="CM382" s="268"/>
      <c r="CN382" s="268"/>
      <c r="CO382" s="268"/>
      <c r="CP382" s="268"/>
      <c r="CQ382" s="268"/>
      <c r="CR382" s="268"/>
      <c r="CS382" s="268"/>
      <c r="CT382" s="268"/>
      <c r="CU382" s="410"/>
      <c r="CV382" s="410"/>
      <c r="CW382" s="410"/>
      <c r="CX382" s="410"/>
      <c r="CY382" s="141"/>
      <c r="CZ382" s="141"/>
      <c r="DA382" s="141"/>
      <c r="DB382" s="89"/>
      <c r="DC382" s="89"/>
      <c r="DD382" s="553" t="str">
        <f ca="1">IF(FL1=0,"","+")</f>
        <v/>
      </c>
      <c r="DE382" s="541" t="e">
        <f>IF(#REF!=0,"","+")</f>
        <v>#REF!</v>
      </c>
      <c r="DF382" s="541" t="e">
        <f>IF(#REF!=0,"","+")</f>
        <v>#REF!</v>
      </c>
      <c r="DG382" s="541" t="e">
        <f>IF(#REF!=0,"","+")</f>
        <v>#REF!</v>
      </c>
      <c r="DH382" s="541" t="e">
        <f>IF(#REF!=0,"","+")</f>
        <v>#REF!</v>
      </c>
      <c r="DI382" s="541"/>
      <c r="DJ382" s="541"/>
      <c r="DK382" s="541"/>
      <c r="DL382" s="541" t="e">
        <f>IF(#REF!=0,"","+")</f>
        <v>#REF!</v>
      </c>
      <c r="DM382" s="541" t="e">
        <f>IF(#REF!=0,"","+")</f>
        <v>#REF!</v>
      </c>
      <c r="DN382" s="541" t="e">
        <f>IF(#REF!=0,"","+")</f>
        <v>#REF!</v>
      </c>
      <c r="DO382" s="541" t="e">
        <f>IF(#REF!=0,"","+")</f>
        <v>#REF!</v>
      </c>
      <c r="DP382" s="541" t="e">
        <f>IF(#REF!=0,"","+")</f>
        <v>#REF!</v>
      </c>
      <c r="DQ382" s="541" t="e">
        <f>IF(#REF!=0,"","+")</f>
        <v>#REF!</v>
      </c>
      <c r="DR382" s="541"/>
      <c r="DS382" s="541"/>
      <c r="DT382" s="541"/>
      <c r="DU382" s="541"/>
      <c r="DV382" s="541"/>
      <c r="DW382" s="541"/>
      <c r="DX382" s="541" t="e">
        <f>IF(#REF!=0,"","+")</f>
        <v>#REF!</v>
      </c>
      <c r="DY382" s="541" t="e">
        <f>IF(#REF!=0,"","+")</f>
        <v>#REF!</v>
      </c>
      <c r="DZ382" s="541" t="e">
        <f>IF(#REF!=0,"","+")</f>
        <v>#REF!</v>
      </c>
      <c r="EA382" s="541" t="e">
        <f>IF(#REF!=0,"","+")</f>
        <v>#REF!</v>
      </c>
      <c r="EB382" s="541" t="e">
        <f>IF(#REF!=0,"","+")</f>
        <v>#REF!</v>
      </c>
      <c r="EC382" s="89"/>
      <c r="ED382" s="89"/>
      <c r="FH382" s="89"/>
      <c r="FI382" s="89"/>
      <c r="FJ382" s="306"/>
      <c r="FK382" s="306"/>
      <c r="FL382" s="300"/>
      <c r="FM382" s="300"/>
      <c r="FN382" s="300"/>
      <c r="FO382" s="108"/>
      <c r="FP382" s="108"/>
      <c r="FQ382" s="108"/>
      <c r="FR382" s="108"/>
      <c r="FS382" s="108"/>
      <c r="FT382" s="108"/>
      <c r="FU382" s="108"/>
      <c r="FV382" s="108"/>
      <c r="FW382" s="108"/>
      <c r="FX382" s="301"/>
      <c r="FY382" s="259"/>
      <c r="FZ382" s="259"/>
      <c r="GA382" s="259"/>
      <c r="GB382" s="259"/>
      <c r="GC382" s="377"/>
      <c r="GD382" s="377"/>
      <c r="GE382" s="377"/>
      <c r="GF382" s="377"/>
      <c r="GG382" s="377"/>
      <c r="GH382" s="377"/>
      <c r="GI382" s="377"/>
      <c r="GJ382" s="377"/>
      <c r="GK382" s="377"/>
      <c r="GL382" s="377"/>
      <c r="GM382" s="377"/>
      <c r="GN382" s="377"/>
      <c r="GO382" s="307"/>
      <c r="GP382" s="307"/>
      <c r="GQ382" s="307"/>
      <c r="GR382" s="307"/>
      <c r="GS382" s="307"/>
      <c r="GT382" s="307"/>
      <c r="GU382" s="307"/>
      <c r="GV382" s="307"/>
    </row>
    <row r="383" spans="1:204" ht="16.5" customHeight="1">
      <c r="A383" s="60"/>
      <c r="B383" s="69"/>
      <c r="C383" s="69"/>
      <c r="D383" s="268"/>
      <c r="E383" s="268"/>
      <c r="F383" s="268"/>
      <c r="G383" s="268"/>
      <c r="H383" s="268"/>
      <c r="I383" s="268"/>
      <c r="J383" s="268"/>
      <c r="K383" s="268"/>
      <c r="L383" s="268"/>
      <c r="M383" s="268"/>
      <c r="N383" s="268"/>
      <c r="O383" s="268"/>
      <c r="P383" s="268"/>
      <c r="Q383" s="268"/>
      <c r="R383" s="410"/>
      <c r="S383" s="410"/>
      <c r="T383" s="410"/>
      <c r="U383" s="410"/>
      <c r="V383" s="410"/>
      <c r="W383" s="410"/>
      <c r="X383" s="410"/>
      <c r="Y383" s="410"/>
      <c r="Z383" s="410"/>
      <c r="AA383" s="297"/>
      <c r="AB383" s="297"/>
      <c r="AC383" s="297"/>
      <c r="AD383" s="297"/>
      <c r="AE383" s="297"/>
      <c r="AF383" s="297"/>
      <c r="AG383" s="297"/>
      <c r="AH383" s="297"/>
      <c r="AI383" s="297"/>
      <c r="AJ383" s="297"/>
      <c r="AK383" s="297"/>
      <c r="AL383" s="297"/>
      <c r="AM383" s="297"/>
      <c r="AN383" s="297"/>
      <c r="AO383" s="297"/>
      <c r="AP383" s="297"/>
      <c r="AQ383" s="297"/>
      <c r="AR383" s="297"/>
      <c r="AS383" s="297"/>
      <c r="AT383" s="297"/>
      <c r="AU383" s="297"/>
      <c r="AV383" s="297"/>
      <c r="AW383" s="297"/>
      <c r="AX383" s="297"/>
      <c r="AY383" s="297"/>
      <c r="AZ383" s="297"/>
      <c r="BA383" s="297"/>
      <c r="BB383" s="297"/>
      <c r="BC383" s="297"/>
      <c r="BD383" s="297"/>
      <c r="BE383" s="297"/>
      <c r="BF383" s="297"/>
      <c r="BG383" s="410"/>
      <c r="BH383" s="410"/>
      <c r="BI383" s="410"/>
      <c r="BJ383" s="410"/>
      <c r="BK383" s="410"/>
      <c r="BL383" s="410"/>
      <c r="BM383" s="410"/>
      <c r="BN383" s="410"/>
      <c r="BO383" s="410"/>
      <c r="BP383" s="410"/>
      <c r="BQ383" s="410"/>
      <c r="BR383" s="410"/>
      <c r="BS383" s="410"/>
      <c r="BT383" s="410"/>
      <c r="BU383" s="410"/>
      <c r="BV383" s="410"/>
      <c r="BW383" s="410"/>
      <c r="BX383" s="410"/>
      <c r="BY383" s="410"/>
      <c r="BZ383" s="410"/>
      <c r="CA383" s="410"/>
      <c r="CB383" s="410"/>
      <c r="CC383" s="410"/>
      <c r="CD383" s="268"/>
      <c r="CE383" s="268"/>
      <c r="CF383" s="268"/>
      <c r="CG383" s="268"/>
      <c r="CH383" s="268"/>
      <c r="CI383" s="268"/>
      <c r="CJ383" s="268"/>
      <c r="CK383" s="268"/>
      <c r="CL383" s="268"/>
      <c r="CM383" s="268"/>
      <c r="CN383" s="268"/>
      <c r="CO383" s="268"/>
      <c r="CP383" s="268"/>
      <c r="CQ383" s="268"/>
      <c r="CR383" s="268"/>
      <c r="CS383" s="268"/>
      <c r="CT383" s="268"/>
      <c r="CU383" s="410"/>
      <c r="CV383" s="410"/>
      <c r="CW383" s="410"/>
      <c r="CX383" s="410"/>
      <c r="CY383" s="141"/>
      <c r="CZ383" s="141"/>
      <c r="DA383" s="141"/>
      <c r="DB383" s="302" t="str">
        <f ca="1">IF(FL1=0,"","de prijs wordt:")</f>
        <v/>
      </c>
      <c r="DC383" s="89"/>
      <c r="DD383" s="409" t="str">
        <f ca="1">IF(FL1=0,"","+")</f>
        <v/>
      </c>
      <c r="DE383" s="556"/>
      <c r="DF383" s="557"/>
      <c r="DG383" s="557"/>
      <c r="DH383" s="557"/>
      <c r="DI383" s="557"/>
      <c r="DJ383" s="557"/>
      <c r="DK383" s="557"/>
      <c r="DL383" s="557"/>
      <c r="DM383" s="557"/>
      <c r="DN383" s="557"/>
      <c r="DO383" s="557"/>
      <c r="DP383" s="557"/>
      <c r="DQ383" s="557"/>
      <c r="DR383" s="557"/>
      <c r="DS383" s="557"/>
      <c r="DT383" s="557"/>
      <c r="DU383" s="557"/>
      <c r="DV383" s="557"/>
      <c r="DW383" s="557"/>
      <c r="DX383" s="557"/>
      <c r="DY383" s="557"/>
      <c r="DZ383" s="557"/>
      <c r="EA383" s="557"/>
      <c r="EB383" s="409" t="str">
        <f ca="1">IF(FL1=0,"","+")</f>
        <v/>
      </c>
      <c r="EC383" s="304" t="s">
        <v>131</v>
      </c>
      <c r="ED383" s="141"/>
      <c r="EE383" s="412" t="str">
        <f ca="1">IF(OR(CO461="",TODAY()&gt;=Blad1!AY3),"",IF(FL1=0,"",IF(OR(DE387="",DE379="",DE383=""),"Deze moet je nog (af-) maken.",IF(FL387=1,"Goed!",IF(FM387+FM379+FM383=2,"Je hebt er één fout!","Je hebt er twee of meer fout!")))))</f>
        <v/>
      </c>
      <c r="EF383" s="395"/>
      <c r="EG383" s="395"/>
      <c r="EH383" s="395"/>
      <c r="EI383" s="395"/>
      <c r="EJ383" s="395"/>
      <c r="EK383" s="395"/>
      <c r="EL383" s="395"/>
      <c r="EM383" s="395"/>
      <c r="EN383" s="395"/>
      <c r="EO383" s="395"/>
      <c r="EP383" s="395"/>
      <c r="EQ383" s="395"/>
      <c r="ER383" s="395"/>
      <c r="ES383" s="395"/>
      <c r="ET383" s="395"/>
      <c r="EU383" s="395"/>
      <c r="EV383" s="395"/>
      <c r="EW383" s="395"/>
      <c r="EX383" s="395"/>
      <c r="EY383" s="395"/>
      <c r="EZ383" s="395"/>
      <c r="FA383" s="395"/>
      <c r="FB383" s="395"/>
      <c r="FC383" s="395"/>
      <c r="FD383" s="395"/>
      <c r="FE383" s="395"/>
      <c r="FF383" s="395"/>
      <c r="FG383" s="395"/>
      <c r="FH383" s="89"/>
      <c r="FI383" s="89"/>
      <c r="FJ383" s="306"/>
      <c r="FK383" s="306"/>
      <c r="FL383" s="300"/>
      <c r="FM383" s="96">
        <f ca="1">IF(programma!B1="X",1,IF(AND(FL1=1,DE383&gt;FN383-0.01,DE383&lt;FN383+0.01),1,0))</f>
        <v>0</v>
      </c>
      <c r="FN383" s="339">
        <f ca="1">IF(FK1=0,"",ROUND(0.5*FU371*FN379+FY371,2))</f>
        <v>1266.5</v>
      </c>
      <c r="FO383" s="300"/>
      <c r="FP383" s="108"/>
      <c r="FQ383" s="108"/>
      <c r="FR383" s="108"/>
      <c r="FS383" s="108"/>
      <c r="FT383" s="108"/>
      <c r="FU383" s="108"/>
      <c r="FV383" s="108"/>
      <c r="FW383" s="108"/>
      <c r="FX383" s="301"/>
      <c r="FY383" s="259"/>
      <c r="FZ383" s="259"/>
      <c r="GA383" s="259"/>
      <c r="GB383" s="259"/>
      <c r="GC383" s="377"/>
      <c r="GD383" s="377"/>
      <c r="GE383" s="377"/>
      <c r="GF383" s="377"/>
      <c r="GG383" s="377"/>
      <c r="GH383" s="377"/>
      <c r="GI383" s="377"/>
      <c r="GJ383" s="377"/>
      <c r="GK383" s="377"/>
      <c r="GL383" s="377"/>
      <c r="GM383" s="377"/>
      <c r="GN383" s="377"/>
      <c r="GO383" s="307"/>
      <c r="GP383" s="307"/>
      <c r="GQ383" s="307"/>
      <c r="GR383" s="307"/>
      <c r="GS383" s="307"/>
      <c r="GT383" s="307"/>
      <c r="GU383" s="307"/>
      <c r="GV383" s="307"/>
    </row>
    <row r="384" spans="1:204" ht="3.6" customHeight="1">
      <c r="A384" s="60"/>
      <c r="B384" s="69"/>
      <c r="C384" s="69"/>
      <c r="D384" s="409"/>
      <c r="E384" s="409"/>
      <c r="F384" s="409"/>
      <c r="G384" s="409"/>
      <c r="H384" s="409"/>
      <c r="I384" s="409"/>
      <c r="J384" s="409"/>
      <c r="K384" s="409"/>
      <c r="L384" s="409"/>
      <c r="M384" s="409"/>
      <c r="N384" s="409"/>
      <c r="O384" s="409"/>
      <c r="P384" s="409"/>
      <c r="Q384" s="409"/>
      <c r="R384" s="409"/>
      <c r="S384" s="409"/>
      <c r="T384" s="409"/>
      <c r="U384" s="409"/>
      <c r="V384" s="409"/>
      <c r="W384" s="409"/>
      <c r="X384" s="410"/>
      <c r="Y384" s="410"/>
      <c r="Z384" s="410"/>
      <c r="AA384" s="297"/>
      <c r="AB384" s="297"/>
      <c r="AC384" s="297"/>
      <c r="AD384" s="297"/>
      <c r="AE384" s="297"/>
      <c r="AF384" s="297"/>
      <c r="AG384" s="297"/>
      <c r="AH384" s="297"/>
      <c r="AI384" s="297"/>
      <c r="AJ384" s="297"/>
      <c r="AK384" s="297"/>
      <c r="AL384" s="297"/>
      <c r="AM384" s="297"/>
      <c r="AN384" s="297"/>
      <c r="AO384" s="297"/>
      <c r="AP384" s="297"/>
      <c r="AQ384" s="297"/>
      <c r="AR384" s="297"/>
      <c r="AS384" s="297"/>
      <c r="AT384" s="297"/>
      <c r="AU384" s="297"/>
      <c r="AV384" s="297"/>
      <c r="AW384" s="297"/>
      <c r="AX384" s="297"/>
      <c r="AY384" s="297"/>
      <c r="AZ384" s="297"/>
      <c r="BA384" s="297"/>
      <c r="BB384" s="297"/>
      <c r="BC384" s="297"/>
      <c r="BD384" s="297"/>
      <c r="BE384" s="297"/>
      <c r="BF384" s="297"/>
      <c r="BG384" s="410"/>
      <c r="BH384" s="410"/>
      <c r="BI384" s="410"/>
      <c r="BJ384" s="410"/>
      <c r="BK384" s="410"/>
      <c r="BL384" s="410"/>
      <c r="BM384" s="410"/>
      <c r="BN384" s="410"/>
      <c r="BO384" s="410"/>
      <c r="BP384" s="410"/>
      <c r="BQ384" s="410"/>
      <c r="BR384" s="410"/>
      <c r="BS384" s="410"/>
      <c r="BT384" s="410"/>
      <c r="BU384" s="410"/>
      <c r="BV384" s="410"/>
      <c r="BW384" s="410"/>
      <c r="BX384" s="410"/>
      <c r="BY384" s="410"/>
      <c r="BZ384" s="410"/>
      <c r="CA384" s="410"/>
      <c r="CB384" s="410"/>
      <c r="CC384" s="410"/>
      <c r="CD384" s="268"/>
      <c r="CE384" s="268"/>
      <c r="CF384" s="268"/>
      <c r="CG384" s="268"/>
      <c r="CH384" s="268"/>
      <c r="CI384" s="268"/>
      <c r="CJ384" s="268"/>
      <c r="CK384" s="268"/>
      <c r="CL384" s="268"/>
      <c r="CM384" s="268"/>
      <c r="CN384" s="268"/>
      <c r="CO384" s="268"/>
      <c r="CP384" s="268"/>
      <c r="CQ384" s="268"/>
      <c r="CR384" s="268"/>
      <c r="CS384" s="268"/>
      <c r="CT384" s="268"/>
      <c r="CU384" s="410"/>
      <c r="CV384" s="410"/>
      <c r="CW384" s="410"/>
      <c r="CX384" s="410"/>
      <c r="CY384" s="141"/>
      <c r="CZ384" s="141"/>
      <c r="DA384" s="141"/>
      <c r="DB384" s="89"/>
      <c r="DC384" s="89"/>
      <c r="DD384" s="553" t="str">
        <f ca="1">IF(FL1=0,"","+")</f>
        <v/>
      </c>
      <c r="DE384" s="541" t="e">
        <f>IF(#REF!=0,"","+")</f>
        <v>#REF!</v>
      </c>
      <c r="DF384" s="541" t="e">
        <f>IF(#REF!=0,"","+")</f>
        <v>#REF!</v>
      </c>
      <c r="DG384" s="541" t="e">
        <f>IF(#REF!=0,"","+")</f>
        <v>#REF!</v>
      </c>
      <c r="DH384" s="541" t="e">
        <f>IF(#REF!=0,"","+")</f>
        <v>#REF!</v>
      </c>
      <c r="DI384" s="541"/>
      <c r="DJ384" s="541"/>
      <c r="DK384" s="541"/>
      <c r="DL384" s="541" t="e">
        <f>IF(#REF!=0,"","+")</f>
        <v>#REF!</v>
      </c>
      <c r="DM384" s="541" t="e">
        <f>IF(#REF!=0,"","+")</f>
        <v>#REF!</v>
      </c>
      <c r="DN384" s="541" t="e">
        <f>IF(#REF!=0,"","+")</f>
        <v>#REF!</v>
      </c>
      <c r="DO384" s="541" t="e">
        <f>IF(#REF!=0,"","+")</f>
        <v>#REF!</v>
      </c>
      <c r="DP384" s="541" t="e">
        <f>IF(#REF!=0,"","+")</f>
        <v>#REF!</v>
      </c>
      <c r="DQ384" s="541" t="e">
        <f>IF(#REF!=0,"","+")</f>
        <v>#REF!</v>
      </c>
      <c r="DR384" s="541"/>
      <c r="DS384" s="541"/>
      <c r="DT384" s="541"/>
      <c r="DU384" s="541"/>
      <c r="DV384" s="541"/>
      <c r="DW384" s="541"/>
      <c r="DX384" s="541" t="e">
        <f>IF(#REF!=0,"","+")</f>
        <v>#REF!</v>
      </c>
      <c r="DY384" s="541" t="e">
        <f>IF(#REF!=0,"","+")</f>
        <v>#REF!</v>
      </c>
      <c r="DZ384" s="541" t="e">
        <f>IF(#REF!=0,"","+")</f>
        <v>#REF!</v>
      </c>
      <c r="EA384" s="541" t="e">
        <f>IF(#REF!=0,"","+")</f>
        <v>#REF!</v>
      </c>
      <c r="EB384" s="541" t="e">
        <f>IF(#REF!=0,"","+")</f>
        <v>#REF!</v>
      </c>
      <c r="EC384" s="89"/>
      <c r="ED384" s="89"/>
      <c r="EE384" s="395"/>
      <c r="EF384" s="395"/>
      <c r="EG384" s="395"/>
      <c r="EH384" s="395"/>
      <c r="EI384" s="395"/>
      <c r="EJ384" s="395"/>
      <c r="EK384" s="395"/>
      <c r="EL384" s="395"/>
      <c r="EM384" s="395"/>
      <c r="EN384" s="395"/>
      <c r="EO384" s="395"/>
      <c r="EP384" s="395"/>
      <c r="EQ384" s="395"/>
      <c r="ER384" s="395"/>
      <c r="ES384" s="395"/>
      <c r="ET384" s="395"/>
      <c r="EU384" s="395"/>
      <c r="EV384" s="395"/>
      <c r="EW384" s="395"/>
      <c r="EX384" s="395"/>
      <c r="EY384" s="395"/>
      <c r="EZ384" s="395"/>
      <c r="FA384" s="395"/>
      <c r="FB384" s="395"/>
      <c r="FC384" s="395"/>
      <c r="FD384" s="395"/>
      <c r="FE384" s="395"/>
      <c r="FF384" s="395"/>
      <c r="FG384" s="395"/>
      <c r="FH384" s="89"/>
      <c r="FI384" s="89"/>
      <c r="FJ384" s="306"/>
      <c r="FK384" s="306"/>
      <c r="FL384" s="96"/>
      <c r="FM384" s="96"/>
      <c r="FN384" s="108"/>
      <c r="FO384" s="108"/>
      <c r="FP384" s="108"/>
      <c r="FQ384" s="108"/>
      <c r="FR384" s="108"/>
      <c r="FS384" s="108"/>
      <c r="FT384" s="108"/>
      <c r="FU384" s="108"/>
      <c r="FV384" s="108"/>
      <c r="FW384" s="108"/>
      <c r="FX384" s="301"/>
      <c r="FY384" s="259"/>
      <c r="FZ384" s="259"/>
      <c r="GA384" s="259"/>
      <c r="GB384" s="259"/>
      <c r="GC384" s="377"/>
      <c r="GD384" s="377"/>
      <c r="GE384" s="377"/>
      <c r="GF384" s="377"/>
      <c r="GG384" s="377"/>
      <c r="GH384" s="377"/>
      <c r="GI384" s="377"/>
      <c r="GJ384" s="377"/>
      <c r="GK384" s="377"/>
      <c r="GL384" s="377"/>
      <c r="GM384" s="377"/>
      <c r="GN384" s="377"/>
      <c r="GO384" s="307"/>
      <c r="GP384" s="307"/>
      <c r="GQ384" s="307"/>
      <c r="GR384" s="307"/>
      <c r="GS384" s="307"/>
      <c r="GT384" s="307"/>
      <c r="GU384" s="307"/>
      <c r="GV384" s="307"/>
    </row>
    <row r="385" spans="1:233" ht="9" customHeight="1">
      <c r="A385" s="60"/>
      <c r="B385" s="69"/>
      <c r="C385" s="69"/>
      <c r="D385" s="409"/>
      <c r="E385" s="409"/>
      <c r="F385" s="409"/>
      <c r="G385" s="409"/>
      <c r="H385" s="409"/>
      <c r="I385" s="409"/>
      <c r="J385" s="409"/>
      <c r="K385" s="409"/>
      <c r="L385" s="409"/>
      <c r="M385" s="409"/>
      <c r="N385" s="409"/>
      <c r="O385" s="409"/>
      <c r="P385" s="409"/>
      <c r="Q385" s="409"/>
      <c r="R385" s="409"/>
      <c r="S385" s="409"/>
      <c r="T385" s="409"/>
      <c r="U385" s="409"/>
      <c r="V385" s="409"/>
      <c r="W385" s="409"/>
      <c r="X385" s="89"/>
      <c r="Y385" s="89"/>
      <c r="Z385" s="89"/>
      <c r="AA385" s="89"/>
      <c r="AB385" s="89"/>
      <c r="AC385" s="89"/>
      <c r="AD385" s="89"/>
      <c r="AE385" s="89"/>
      <c r="AF385" s="89"/>
      <c r="AG385" s="89"/>
      <c r="AH385" s="89"/>
      <c r="AI385" s="89"/>
      <c r="AJ385" s="89"/>
      <c r="AK385" s="89"/>
      <c r="AL385" s="89"/>
      <c r="AM385" s="89"/>
      <c r="AN385" s="89"/>
      <c r="AO385" s="89"/>
      <c r="AP385" s="89"/>
      <c r="AQ385" s="89"/>
      <c r="AR385" s="89"/>
      <c r="AS385" s="89"/>
      <c r="AT385" s="89"/>
      <c r="AU385" s="89"/>
      <c r="AV385" s="89"/>
      <c r="AW385" s="89"/>
      <c r="AX385" s="89"/>
      <c r="AY385" s="89"/>
      <c r="AZ385" s="89"/>
      <c r="BA385" s="89"/>
      <c r="BB385" s="89"/>
      <c r="BC385" s="89"/>
      <c r="BD385" s="89"/>
      <c r="BE385" s="89"/>
      <c r="BF385" s="89"/>
      <c r="BG385" s="89"/>
      <c r="BH385" s="89"/>
      <c r="BI385" s="89"/>
      <c r="BJ385" s="89"/>
      <c r="BK385" s="89"/>
      <c r="BL385" s="89"/>
      <c r="BM385" s="89"/>
      <c r="BN385" s="89"/>
      <c r="BO385" s="89"/>
      <c r="BP385" s="89"/>
      <c r="BQ385" s="89"/>
      <c r="BR385" s="89"/>
      <c r="BS385" s="89"/>
      <c r="BT385" s="89"/>
      <c r="BU385" s="89"/>
      <c r="BV385" s="89"/>
      <c r="BW385" s="89"/>
      <c r="BX385" s="89"/>
      <c r="BY385" s="89"/>
      <c r="BZ385" s="89"/>
      <c r="CA385" s="89"/>
      <c r="CB385" s="89"/>
      <c r="CC385" s="89"/>
      <c r="CD385" s="89"/>
      <c r="CE385" s="89"/>
      <c r="CF385" s="89"/>
      <c r="CG385" s="89"/>
      <c r="CH385" s="89"/>
      <c r="CI385" s="89"/>
      <c r="CJ385" s="89"/>
      <c r="CK385" s="89"/>
      <c r="CL385" s="89"/>
      <c r="CM385" s="89"/>
      <c r="CN385" s="89"/>
      <c r="CO385" s="89"/>
      <c r="CP385" s="89"/>
      <c r="CQ385" s="89"/>
      <c r="CR385" s="89"/>
      <c r="CS385" s="89"/>
      <c r="CT385" s="89"/>
      <c r="CU385" s="89"/>
      <c r="CV385" s="89"/>
      <c r="CW385" s="89"/>
      <c r="CX385" s="89"/>
      <c r="CY385" s="89"/>
      <c r="CZ385" s="89"/>
      <c r="DA385" s="89"/>
      <c r="DB385" s="89"/>
      <c r="DC385" s="89"/>
      <c r="DD385" s="89"/>
      <c r="DE385" s="89"/>
      <c r="DF385" s="89"/>
      <c r="DG385" s="89"/>
      <c r="DH385" s="89"/>
      <c r="DI385" s="89"/>
      <c r="DJ385" s="89"/>
      <c r="DK385" s="89"/>
      <c r="DL385" s="89"/>
      <c r="DM385" s="89"/>
      <c r="DN385" s="89"/>
      <c r="DO385" s="89"/>
      <c r="DP385" s="89"/>
      <c r="DQ385" s="89"/>
      <c r="DR385" s="89"/>
      <c r="DS385" s="89"/>
      <c r="DT385" s="89"/>
      <c r="DU385" s="89"/>
      <c r="DV385" s="89"/>
      <c r="DW385" s="89"/>
      <c r="DX385" s="89"/>
      <c r="DY385" s="89"/>
      <c r="DZ385" s="89"/>
      <c r="EA385" s="89"/>
      <c r="EB385" s="89"/>
      <c r="EC385" s="89"/>
      <c r="ED385" s="89"/>
      <c r="EE385" s="395"/>
      <c r="EF385" s="395"/>
      <c r="EG385" s="395"/>
      <c r="EH385" s="395"/>
      <c r="EI385" s="395"/>
      <c r="EJ385" s="395"/>
      <c r="EK385" s="395"/>
      <c r="EL385" s="395"/>
      <c r="EM385" s="395"/>
      <c r="EN385" s="395"/>
      <c r="EO385" s="395"/>
      <c r="EP385" s="395"/>
      <c r="EQ385" s="395"/>
      <c r="ER385" s="395"/>
      <c r="ES385" s="395"/>
      <c r="ET385" s="395"/>
      <c r="EU385" s="395"/>
      <c r="EV385" s="395"/>
      <c r="EW385" s="395"/>
      <c r="EX385" s="395"/>
      <c r="EY385" s="395"/>
      <c r="EZ385" s="395"/>
      <c r="FA385" s="395"/>
      <c r="FB385" s="395"/>
      <c r="FC385" s="395"/>
      <c r="FD385" s="395"/>
      <c r="FE385" s="395"/>
      <c r="FF385" s="395"/>
      <c r="FG385" s="395"/>
      <c r="FH385" s="89"/>
      <c r="FI385" s="89"/>
      <c r="FJ385" s="306"/>
      <c r="FK385" s="306"/>
      <c r="FL385" s="300"/>
      <c r="FM385" s="300"/>
      <c r="FN385" s="300"/>
      <c r="FO385" s="108"/>
      <c r="FP385" s="108"/>
      <c r="FQ385" s="108"/>
      <c r="FR385" s="108"/>
      <c r="FS385" s="108"/>
      <c r="FT385" s="108"/>
      <c r="FU385" s="108"/>
      <c r="FV385" s="108"/>
      <c r="FW385" s="108"/>
      <c r="FX385" s="301"/>
      <c r="FY385" s="259"/>
      <c r="FZ385" s="259"/>
      <c r="GA385" s="259"/>
      <c r="GB385" s="259"/>
      <c r="GC385" s="377"/>
      <c r="GD385" s="377"/>
      <c r="GE385" s="377"/>
      <c r="GF385" s="377"/>
      <c r="GG385" s="377"/>
      <c r="GH385" s="377"/>
      <c r="GI385" s="377"/>
      <c r="GJ385" s="377"/>
      <c r="GK385" s="377"/>
      <c r="GL385" s="377"/>
      <c r="GM385" s="377"/>
      <c r="GN385" s="377"/>
      <c r="GO385" s="307"/>
      <c r="GP385" s="307"/>
      <c r="GQ385" s="307"/>
      <c r="GR385" s="307"/>
      <c r="GS385" s="307"/>
      <c r="GT385" s="307"/>
      <c r="GU385" s="307"/>
      <c r="GV385" s="307"/>
    </row>
    <row r="386" spans="1:233" ht="3.6" customHeight="1">
      <c r="A386" s="60"/>
      <c r="B386" s="69"/>
      <c r="C386" s="69"/>
      <c r="D386" s="409"/>
      <c r="E386" s="409"/>
      <c r="F386" s="409"/>
      <c r="G386" s="409"/>
      <c r="H386" s="409"/>
      <c r="I386" s="409"/>
      <c r="J386" s="409"/>
      <c r="K386" s="409"/>
      <c r="L386" s="409"/>
      <c r="M386" s="409"/>
      <c r="N386" s="409"/>
      <c r="O386" s="409"/>
      <c r="P386" s="409"/>
      <c r="Q386" s="409"/>
      <c r="R386" s="409"/>
      <c r="S386" s="409"/>
      <c r="T386" s="409"/>
      <c r="U386" s="409"/>
      <c r="V386" s="409"/>
      <c r="W386" s="409"/>
      <c r="X386" s="410"/>
      <c r="Y386" s="410"/>
      <c r="Z386" s="410"/>
      <c r="AA386" s="297"/>
      <c r="AB386" s="297"/>
      <c r="AC386" s="297"/>
      <c r="AD386" s="297"/>
      <c r="AE386" s="297"/>
      <c r="AF386" s="297"/>
      <c r="AG386" s="297"/>
      <c r="AH386" s="297"/>
      <c r="AI386" s="297"/>
      <c r="AJ386" s="297"/>
      <c r="AK386" s="297"/>
      <c r="AL386" s="297"/>
      <c r="AM386" s="297"/>
      <c r="AN386" s="297"/>
      <c r="AO386" s="297"/>
      <c r="AP386" s="297"/>
      <c r="AQ386" s="297"/>
      <c r="AR386" s="297"/>
      <c r="AS386" s="297"/>
      <c r="AT386" s="297"/>
      <c r="AU386" s="297"/>
      <c r="AV386" s="297"/>
      <c r="AW386" s="297"/>
      <c r="AX386" s="297"/>
      <c r="AY386" s="297"/>
      <c r="AZ386" s="297"/>
      <c r="BA386" s="297"/>
      <c r="BB386" s="297"/>
      <c r="BC386" s="297"/>
      <c r="BD386" s="297"/>
      <c r="BE386" s="297"/>
      <c r="BF386" s="297"/>
      <c r="BG386" s="410"/>
      <c r="BH386" s="410"/>
      <c r="BI386" s="410"/>
      <c r="BJ386" s="410"/>
      <c r="BK386" s="410"/>
      <c r="BL386" s="410"/>
      <c r="BM386" s="410"/>
      <c r="BN386" s="410"/>
      <c r="BO386" s="410"/>
      <c r="BP386" s="410"/>
      <c r="BQ386" s="410"/>
      <c r="BR386" s="410"/>
      <c r="BS386" s="410"/>
      <c r="BT386" s="410"/>
      <c r="BU386" s="410"/>
      <c r="BV386" s="410"/>
      <c r="BW386" s="410"/>
      <c r="BX386" s="410"/>
      <c r="BY386" s="410"/>
      <c r="BZ386" s="410"/>
      <c r="CA386" s="410"/>
      <c r="CB386" s="410"/>
      <c r="CC386" s="410"/>
      <c r="CD386" s="268"/>
      <c r="CE386" s="268"/>
      <c r="CF386" s="268"/>
      <c r="CG386" s="268"/>
      <c r="CH386" s="268"/>
      <c r="CI386" s="268"/>
      <c r="CJ386" s="268"/>
      <c r="CK386" s="268"/>
      <c r="CL386" s="268"/>
      <c r="CM386" s="268"/>
      <c r="CN386" s="268"/>
      <c r="CO386" s="268"/>
      <c r="CP386" s="268"/>
      <c r="CQ386" s="268"/>
      <c r="CR386" s="268"/>
      <c r="CS386" s="268"/>
      <c r="CT386" s="268"/>
      <c r="CU386" s="410"/>
      <c r="CV386" s="410"/>
      <c r="CW386" s="410"/>
      <c r="CX386" s="410"/>
      <c r="CY386" s="141"/>
      <c r="CZ386" s="141"/>
      <c r="DA386" s="141"/>
      <c r="DB386" s="89"/>
      <c r="DC386" s="89"/>
      <c r="DD386" s="553" t="str">
        <f ca="1">IF(FL1=0,"","+")</f>
        <v/>
      </c>
      <c r="DE386" s="541" t="e">
        <f>IF(#REF!=0,"","+")</f>
        <v>#REF!</v>
      </c>
      <c r="DF386" s="541" t="e">
        <f>IF(#REF!=0,"","+")</f>
        <v>#REF!</v>
      </c>
      <c r="DG386" s="541" t="e">
        <f>IF(#REF!=0,"","+")</f>
        <v>#REF!</v>
      </c>
      <c r="DH386" s="541" t="e">
        <f>IF(#REF!=0,"","+")</f>
        <v>#REF!</v>
      </c>
      <c r="DI386" s="541"/>
      <c r="DJ386" s="541"/>
      <c r="DK386" s="541"/>
      <c r="DL386" s="541" t="e">
        <f>IF(#REF!=0,"","+")</f>
        <v>#REF!</v>
      </c>
      <c r="DM386" s="541" t="e">
        <f>IF(#REF!=0,"","+")</f>
        <v>#REF!</v>
      </c>
      <c r="DN386" s="541" t="e">
        <f>IF(#REF!=0,"","+")</f>
        <v>#REF!</v>
      </c>
      <c r="DO386" s="541" t="e">
        <f>IF(#REF!=0,"","+")</f>
        <v>#REF!</v>
      </c>
      <c r="DP386" s="541" t="e">
        <f>IF(#REF!=0,"","+")</f>
        <v>#REF!</v>
      </c>
      <c r="DQ386" s="541" t="e">
        <f>IF(#REF!=0,"","+")</f>
        <v>#REF!</v>
      </c>
      <c r="DR386" s="541"/>
      <c r="DS386" s="541"/>
      <c r="DT386" s="541"/>
      <c r="DU386" s="541"/>
      <c r="DV386" s="541"/>
      <c r="DW386" s="541"/>
      <c r="DX386" s="541" t="e">
        <f>IF(#REF!=0,"","+")</f>
        <v>#REF!</v>
      </c>
      <c r="DY386" s="541" t="e">
        <f>IF(#REF!=0,"","+")</f>
        <v>#REF!</v>
      </c>
      <c r="DZ386" s="541" t="e">
        <f>IF(#REF!=0,"","+")</f>
        <v>#REF!</v>
      </c>
      <c r="EA386" s="541" t="e">
        <f>IF(#REF!=0,"","+")</f>
        <v>#REF!</v>
      </c>
      <c r="EB386" s="541" t="e">
        <f>IF(#REF!=0,"","+")</f>
        <v>#REF!</v>
      </c>
      <c r="EC386" s="89"/>
      <c r="ED386" s="89"/>
      <c r="EE386" s="268"/>
      <c r="EF386" s="141"/>
      <c r="EG386" s="141"/>
      <c r="EH386" s="141"/>
      <c r="EI386" s="141"/>
      <c r="EJ386" s="141"/>
      <c r="EK386" s="141"/>
      <c r="EL386" s="141"/>
      <c r="EM386" s="141"/>
      <c r="EN386" s="141"/>
      <c r="EO386" s="141"/>
      <c r="EP386" s="141"/>
      <c r="EQ386" s="141"/>
      <c r="ER386" s="141"/>
      <c r="ES386" s="141"/>
      <c r="ET386" s="141"/>
      <c r="EU386" s="141"/>
      <c r="EV386" s="141"/>
      <c r="EW386" s="141"/>
      <c r="EX386" s="141"/>
      <c r="EY386" s="141"/>
      <c r="EZ386" s="141"/>
      <c r="FA386" s="141"/>
      <c r="FB386" s="141"/>
      <c r="FC386" s="141"/>
      <c r="FD386" s="141"/>
      <c r="FE386" s="141"/>
      <c r="FF386" s="141"/>
      <c r="FG386" s="141"/>
      <c r="FH386" s="89"/>
      <c r="FI386" s="89"/>
      <c r="FJ386" s="306"/>
      <c r="FK386" s="306"/>
      <c r="FL386" s="300"/>
      <c r="FM386" s="300"/>
      <c r="FN386" s="300"/>
      <c r="FO386" s="108"/>
      <c r="FP386" s="108"/>
      <c r="FQ386" s="108"/>
      <c r="FR386" s="108"/>
      <c r="FS386" s="108"/>
      <c r="FT386" s="108"/>
      <c r="FU386" s="108"/>
      <c r="FV386" s="108"/>
      <c r="FW386" s="108"/>
      <c r="FX386" s="301"/>
      <c r="FY386" s="259"/>
      <c r="FZ386" s="259"/>
      <c r="GA386" s="259"/>
      <c r="GB386" s="259"/>
      <c r="GC386" s="377"/>
      <c r="GD386" s="377"/>
      <c r="GE386" s="377"/>
      <c r="GF386" s="377"/>
      <c r="GG386" s="377"/>
      <c r="GH386" s="377"/>
      <c r="GI386" s="377"/>
      <c r="GJ386" s="377"/>
      <c r="GK386" s="377"/>
      <c r="GL386" s="377"/>
      <c r="GM386" s="377"/>
      <c r="GN386" s="377"/>
      <c r="GO386" s="307"/>
      <c r="GP386" s="307"/>
      <c r="GQ386" s="307"/>
      <c r="GR386" s="307"/>
      <c r="GS386" s="307"/>
      <c r="GT386" s="307"/>
      <c r="GU386" s="307"/>
      <c r="GV386" s="307"/>
    </row>
    <row r="387" spans="1:233" ht="16.5" customHeight="1">
      <c r="A387" s="60"/>
      <c r="B387" s="69"/>
      <c r="C387" s="69"/>
      <c r="D387" s="268"/>
      <c r="E387" s="268"/>
      <c r="F387" s="268"/>
      <c r="G387" s="268"/>
      <c r="H387" s="268"/>
      <c r="I387" s="268"/>
      <c r="J387" s="268"/>
      <c r="K387" s="268"/>
      <c r="L387" s="268"/>
      <c r="M387" s="268"/>
      <c r="N387" s="268"/>
      <c r="O387" s="268"/>
      <c r="P387" s="268"/>
      <c r="Q387" s="268"/>
      <c r="R387" s="410"/>
      <c r="S387" s="410"/>
      <c r="T387" s="410"/>
      <c r="U387" s="410"/>
      <c r="V387" s="410"/>
      <c r="W387" s="410"/>
      <c r="X387" s="410"/>
      <c r="Y387" s="410"/>
      <c r="Z387" s="410"/>
      <c r="AA387" s="297"/>
      <c r="AB387" s="297"/>
      <c r="AC387" s="297"/>
      <c r="AD387" s="297"/>
      <c r="AE387" s="297"/>
      <c r="AF387" s="297"/>
      <c r="AG387" s="297"/>
      <c r="AH387" s="297"/>
      <c r="AI387" s="297"/>
      <c r="AJ387" s="297"/>
      <c r="AK387" s="297"/>
      <c r="AL387" s="297"/>
      <c r="AM387" s="297"/>
      <c r="AN387" s="297"/>
      <c r="AO387" s="297"/>
      <c r="AP387" s="297"/>
      <c r="AQ387" s="297"/>
      <c r="AR387" s="297"/>
      <c r="AS387" s="297"/>
      <c r="AT387" s="297"/>
      <c r="AU387" s="297"/>
      <c r="AV387" s="297"/>
      <c r="AW387" s="297"/>
      <c r="AX387" s="297"/>
      <c r="AY387" s="297"/>
      <c r="AZ387" s="297"/>
      <c r="BA387" s="297"/>
      <c r="BB387" s="297"/>
      <c r="BC387" s="297"/>
      <c r="BD387" s="297"/>
      <c r="BE387" s="297"/>
      <c r="BF387" s="297"/>
      <c r="BG387" s="410"/>
      <c r="BH387" s="410"/>
      <c r="BI387" s="410"/>
      <c r="BJ387" s="410"/>
      <c r="BK387" s="410"/>
      <c r="BL387" s="410"/>
      <c r="BM387" s="410"/>
      <c r="BN387" s="410"/>
      <c r="BO387" s="410"/>
      <c r="BP387" s="410"/>
      <c r="BQ387" s="410"/>
      <c r="BR387" s="410"/>
      <c r="BS387" s="410"/>
      <c r="BT387" s="410"/>
      <c r="BU387" s="410"/>
      <c r="BV387" s="410"/>
      <c r="BW387" s="410"/>
      <c r="BX387" s="410"/>
      <c r="BY387" s="410"/>
      <c r="BZ387" s="410"/>
      <c r="CA387" s="410"/>
      <c r="CB387" s="410"/>
      <c r="CC387" s="410"/>
      <c r="CD387" s="268"/>
      <c r="CE387" s="268"/>
      <c r="CF387" s="268"/>
      <c r="CG387" s="268"/>
      <c r="CH387" s="268"/>
      <c r="CI387" s="268"/>
      <c r="CJ387" s="268"/>
      <c r="CK387" s="268"/>
      <c r="CL387" s="268"/>
      <c r="CM387" s="268"/>
      <c r="CN387" s="268"/>
      <c r="CO387" s="268"/>
      <c r="CP387" s="268"/>
      <c r="CQ387" s="268"/>
      <c r="CR387" s="268"/>
      <c r="CS387" s="268"/>
      <c r="CT387" s="268"/>
      <c r="CU387" s="410"/>
      <c r="CV387" s="410"/>
      <c r="CW387" s="410"/>
      <c r="CX387" s="410"/>
      <c r="CY387" s="141"/>
      <c r="CZ387" s="141"/>
      <c r="DA387" s="141"/>
      <c r="DB387" s="302" t="str">
        <f ca="1">IF(FL1=0,"","de maximale winst is:")</f>
        <v/>
      </c>
      <c r="DC387" s="89"/>
      <c r="DD387" s="409" t="str">
        <f ca="1">IF(FL1=0,"","+")</f>
        <v/>
      </c>
      <c r="DE387" s="556"/>
      <c r="DF387" s="557"/>
      <c r="DG387" s="557"/>
      <c r="DH387" s="557"/>
      <c r="DI387" s="557"/>
      <c r="DJ387" s="557"/>
      <c r="DK387" s="557"/>
      <c r="DL387" s="557"/>
      <c r="DM387" s="557"/>
      <c r="DN387" s="557"/>
      <c r="DO387" s="557"/>
      <c r="DP387" s="557"/>
      <c r="DQ387" s="557"/>
      <c r="DR387" s="557"/>
      <c r="DS387" s="557"/>
      <c r="DT387" s="557"/>
      <c r="DU387" s="557"/>
      <c r="DV387" s="557"/>
      <c r="DW387" s="557"/>
      <c r="DX387" s="557"/>
      <c r="DY387" s="557"/>
      <c r="DZ387" s="557"/>
      <c r="EA387" s="557"/>
      <c r="EB387" s="409" t="str">
        <f ca="1">IF(FL1=0,"","+")</f>
        <v/>
      </c>
      <c r="EC387" s="304" t="s">
        <v>131</v>
      </c>
      <c r="ED387" s="141"/>
      <c r="EE387" s="298"/>
      <c r="EF387" s="410"/>
      <c r="EG387" s="89"/>
      <c r="EH387" s="89"/>
      <c r="EI387" s="89"/>
      <c r="EJ387" s="89"/>
      <c r="EK387" s="89"/>
      <c r="EL387" s="89"/>
      <c r="EM387" s="89"/>
      <c r="EN387" s="89"/>
      <c r="EO387" s="89"/>
      <c r="EP387" s="89"/>
      <c r="EQ387" s="89"/>
      <c r="ER387" s="89"/>
      <c r="ES387" s="89"/>
      <c r="ET387" s="89"/>
      <c r="EU387" s="89"/>
      <c r="EV387" s="89"/>
      <c r="EW387" s="89"/>
      <c r="EX387" s="89"/>
      <c r="EY387" s="89"/>
      <c r="EZ387" s="89"/>
      <c r="FA387" s="89"/>
      <c r="FB387" s="89"/>
      <c r="FC387" s="89"/>
      <c r="FD387" s="89"/>
      <c r="FE387" s="89"/>
      <c r="FF387" s="89"/>
      <c r="FG387" s="89"/>
      <c r="FH387" s="89"/>
      <c r="FI387" s="89"/>
      <c r="FJ387" s="96">
        <f ca="1">IF(FM387+FM379+FM383=3,1,IF(FM387+FM379+FM383=2,1/2,0))</f>
        <v>0</v>
      </c>
      <c r="FK387" s="306"/>
      <c r="FL387" s="96">
        <f ca="1">IF(programma!B1="X",1,IF(FL1=0,0,IF(FM387+FM379+FM383=3,1,0)))</f>
        <v>0</v>
      </c>
      <c r="FM387" s="96">
        <f ca="1">IF(programma!B1="X",1,IF(AND(FL1=1,DE387&gt;FN387-0.01,DE387&lt;FN387+0.01),1,0))</f>
        <v>0</v>
      </c>
      <c r="FN387" s="339">
        <f ca="1">IF(FK1=0,"",ROUND(0.5*FU371*FN379^2+FY371*FN379-0.5*FQ371*FN379^2-FR371*FN379-FS371,2))</f>
        <v>190055</v>
      </c>
      <c r="FO387" s="300"/>
      <c r="FP387" s="108"/>
      <c r="FQ387" s="108"/>
      <c r="FR387" s="108"/>
      <c r="FS387" s="108"/>
      <c r="FT387" s="108"/>
      <c r="FU387" s="108"/>
      <c r="FV387" s="108"/>
      <c r="FW387" s="108"/>
      <c r="FX387" s="301"/>
      <c r="FY387" s="259"/>
      <c r="FZ387" s="259"/>
      <c r="GA387" s="259"/>
      <c r="GB387" s="259"/>
      <c r="GC387" s="377"/>
      <c r="GD387" s="377"/>
      <c r="GE387" s="377"/>
      <c r="GF387" s="377"/>
      <c r="GG387" s="377"/>
      <c r="GH387" s="377"/>
      <c r="GI387" s="377"/>
      <c r="GJ387" s="377"/>
      <c r="GK387" s="377"/>
      <c r="GL387" s="377"/>
      <c r="GM387" s="377"/>
      <c r="GN387" s="377"/>
      <c r="GO387" s="307"/>
      <c r="GP387" s="307"/>
      <c r="GQ387" s="307"/>
      <c r="GR387" s="307"/>
      <c r="GS387" s="307"/>
      <c r="GT387" s="307"/>
      <c r="GU387" s="307"/>
      <c r="GV387" s="307"/>
    </row>
    <row r="388" spans="1:233" ht="3.6" customHeight="1">
      <c r="A388" s="60"/>
      <c r="B388" s="69"/>
      <c r="C388" s="69"/>
      <c r="D388" s="409"/>
      <c r="E388" s="409"/>
      <c r="F388" s="409"/>
      <c r="G388" s="409"/>
      <c r="H388" s="409"/>
      <c r="I388" s="409"/>
      <c r="J388" s="409"/>
      <c r="K388" s="409"/>
      <c r="L388" s="409"/>
      <c r="M388" s="409"/>
      <c r="N388" s="409"/>
      <c r="O388" s="409"/>
      <c r="P388" s="409"/>
      <c r="Q388" s="409"/>
      <c r="R388" s="409"/>
      <c r="S388" s="409"/>
      <c r="T388" s="409"/>
      <c r="U388" s="409"/>
      <c r="V388" s="409"/>
      <c r="W388" s="409"/>
      <c r="X388" s="410"/>
      <c r="Y388" s="410"/>
      <c r="Z388" s="410"/>
      <c r="AA388" s="297"/>
      <c r="AB388" s="297"/>
      <c r="AC388" s="297"/>
      <c r="AD388" s="297"/>
      <c r="AE388" s="297"/>
      <c r="AF388" s="297"/>
      <c r="AG388" s="297"/>
      <c r="AH388" s="297"/>
      <c r="AI388" s="297"/>
      <c r="AJ388" s="297"/>
      <c r="AK388" s="297"/>
      <c r="AL388" s="297"/>
      <c r="AM388" s="297"/>
      <c r="AN388" s="297"/>
      <c r="AO388" s="297"/>
      <c r="AP388" s="297"/>
      <c r="AQ388" s="297"/>
      <c r="AR388" s="297"/>
      <c r="AS388" s="297"/>
      <c r="AT388" s="297"/>
      <c r="AU388" s="297"/>
      <c r="AV388" s="297"/>
      <c r="AW388" s="297"/>
      <c r="AX388" s="297"/>
      <c r="AY388" s="297"/>
      <c r="AZ388" s="297"/>
      <c r="BA388" s="297"/>
      <c r="BB388" s="297"/>
      <c r="BC388" s="297"/>
      <c r="BD388" s="297"/>
      <c r="BE388" s="297"/>
      <c r="BF388" s="297"/>
      <c r="BG388" s="410"/>
      <c r="BH388" s="410"/>
      <c r="BI388" s="410"/>
      <c r="BJ388" s="410"/>
      <c r="BK388" s="410"/>
      <c r="BL388" s="410"/>
      <c r="BM388" s="410"/>
      <c r="BN388" s="410"/>
      <c r="BO388" s="410"/>
      <c r="BP388" s="410"/>
      <c r="BQ388" s="410"/>
      <c r="BR388" s="410"/>
      <c r="BS388" s="410"/>
      <c r="BT388" s="410"/>
      <c r="BU388" s="410"/>
      <c r="BV388" s="410"/>
      <c r="BW388" s="410"/>
      <c r="BX388" s="410"/>
      <c r="BY388" s="410"/>
      <c r="BZ388" s="410"/>
      <c r="CA388" s="410"/>
      <c r="CB388" s="410"/>
      <c r="CC388" s="410"/>
      <c r="CD388" s="268"/>
      <c r="CE388" s="268"/>
      <c r="CF388" s="268"/>
      <c r="CG388" s="268"/>
      <c r="CH388" s="268"/>
      <c r="CI388" s="268"/>
      <c r="CJ388" s="268"/>
      <c r="CK388" s="268"/>
      <c r="CL388" s="268"/>
      <c r="CM388" s="268"/>
      <c r="CN388" s="268"/>
      <c r="CO388" s="268"/>
      <c r="CP388" s="268"/>
      <c r="CQ388" s="268"/>
      <c r="CR388" s="268"/>
      <c r="CS388" s="268"/>
      <c r="CT388" s="268"/>
      <c r="CU388" s="410"/>
      <c r="CV388" s="410"/>
      <c r="CW388" s="410"/>
      <c r="CX388" s="410"/>
      <c r="CY388" s="141"/>
      <c r="CZ388" s="141"/>
      <c r="DA388" s="141"/>
      <c r="DB388" s="89"/>
      <c r="DC388" s="89"/>
      <c r="DD388" s="553" t="str">
        <f ca="1">IF(FL1=0,"","+")</f>
        <v/>
      </c>
      <c r="DE388" s="541" t="e">
        <f>IF(#REF!=0,"","+")</f>
        <v>#REF!</v>
      </c>
      <c r="DF388" s="541" t="e">
        <f>IF(#REF!=0,"","+")</f>
        <v>#REF!</v>
      </c>
      <c r="DG388" s="541" t="e">
        <f>IF(#REF!=0,"","+")</f>
        <v>#REF!</v>
      </c>
      <c r="DH388" s="541" t="e">
        <f>IF(#REF!=0,"","+")</f>
        <v>#REF!</v>
      </c>
      <c r="DI388" s="541"/>
      <c r="DJ388" s="541"/>
      <c r="DK388" s="541"/>
      <c r="DL388" s="541" t="e">
        <f>IF(#REF!=0,"","+")</f>
        <v>#REF!</v>
      </c>
      <c r="DM388" s="541" t="e">
        <f>IF(#REF!=0,"","+")</f>
        <v>#REF!</v>
      </c>
      <c r="DN388" s="541" t="e">
        <f>IF(#REF!=0,"","+")</f>
        <v>#REF!</v>
      </c>
      <c r="DO388" s="541" t="e">
        <f>IF(#REF!=0,"","+")</f>
        <v>#REF!</v>
      </c>
      <c r="DP388" s="541" t="e">
        <f>IF(#REF!=0,"","+")</f>
        <v>#REF!</v>
      </c>
      <c r="DQ388" s="541" t="e">
        <f>IF(#REF!=0,"","+")</f>
        <v>#REF!</v>
      </c>
      <c r="DR388" s="541"/>
      <c r="DS388" s="541"/>
      <c r="DT388" s="541"/>
      <c r="DU388" s="541"/>
      <c r="DV388" s="541"/>
      <c r="DW388" s="541"/>
      <c r="DX388" s="541" t="e">
        <f>IF(#REF!=0,"","+")</f>
        <v>#REF!</v>
      </c>
      <c r="DY388" s="541" t="e">
        <f>IF(#REF!=0,"","+")</f>
        <v>#REF!</v>
      </c>
      <c r="DZ388" s="541" t="e">
        <f>IF(#REF!=0,"","+")</f>
        <v>#REF!</v>
      </c>
      <c r="EA388" s="541" t="e">
        <f>IF(#REF!=0,"","+")</f>
        <v>#REF!</v>
      </c>
      <c r="EB388" s="541" t="e">
        <f>IF(#REF!=0,"","+")</f>
        <v>#REF!</v>
      </c>
      <c r="EC388" s="89"/>
      <c r="ED388" s="89"/>
      <c r="EE388" s="89"/>
      <c r="EF388" s="89"/>
      <c r="EG388" s="89"/>
      <c r="EH388" s="89"/>
      <c r="EI388" s="89"/>
      <c r="EJ388" s="89"/>
      <c r="EK388" s="89"/>
      <c r="EL388" s="89"/>
      <c r="EM388" s="89"/>
      <c r="EN388" s="89"/>
      <c r="EO388" s="89"/>
      <c r="EP388" s="89"/>
      <c r="EQ388" s="89"/>
      <c r="ER388" s="89"/>
      <c r="ES388" s="89"/>
      <c r="ET388" s="89"/>
      <c r="EU388" s="89"/>
      <c r="EV388" s="89"/>
      <c r="EW388" s="89"/>
      <c r="EX388" s="89"/>
      <c r="EY388" s="89"/>
      <c r="EZ388" s="89"/>
      <c r="FA388" s="89"/>
      <c r="FB388" s="89"/>
      <c r="FC388" s="89"/>
      <c r="FD388" s="89"/>
      <c r="FE388" s="89"/>
      <c r="FF388" s="89"/>
      <c r="FG388" s="89"/>
      <c r="FH388" s="89"/>
      <c r="FI388" s="89"/>
      <c r="FJ388" s="306"/>
      <c r="FK388" s="306"/>
      <c r="FL388" s="96"/>
      <c r="FM388" s="96"/>
      <c r="FN388" s="108"/>
      <c r="FO388" s="108"/>
      <c r="FP388" s="108"/>
      <c r="FQ388" s="108"/>
      <c r="FR388" s="108"/>
      <c r="FS388" s="108"/>
      <c r="FT388" s="108"/>
      <c r="FU388" s="108"/>
      <c r="FV388" s="108"/>
      <c r="FW388" s="108"/>
      <c r="FX388" s="301"/>
      <c r="FY388" s="259"/>
      <c r="FZ388" s="259"/>
      <c r="GA388" s="259"/>
      <c r="GB388" s="259"/>
      <c r="GC388" s="377"/>
      <c r="GD388" s="377"/>
      <c r="GE388" s="377"/>
      <c r="GF388" s="377"/>
      <c r="GG388" s="377"/>
      <c r="GH388" s="377"/>
      <c r="GI388" s="377"/>
      <c r="GJ388" s="377"/>
      <c r="GK388" s="377"/>
      <c r="GL388" s="377"/>
      <c r="GM388" s="377"/>
      <c r="GN388" s="377"/>
      <c r="GO388" s="307"/>
      <c r="GP388" s="307"/>
      <c r="GQ388" s="307"/>
      <c r="GR388" s="307"/>
      <c r="GS388" s="307"/>
      <c r="GT388" s="307"/>
      <c r="GU388" s="307"/>
      <c r="GV388" s="307"/>
    </row>
    <row r="389" spans="1:233" ht="16.95" customHeight="1">
      <c r="A389" s="60"/>
      <c r="B389" s="69"/>
      <c r="C389" s="69"/>
      <c r="D389" s="418"/>
      <c r="E389" s="409"/>
      <c r="F389" s="409"/>
      <c r="G389" s="409"/>
      <c r="H389" s="409"/>
      <c r="I389" s="409"/>
      <c r="J389" s="137"/>
      <c r="K389" s="137"/>
      <c r="L389" s="419"/>
      <c r="M389" s="420"/>
      <c r="N389" s="419"/>
      <c r="O389" s="419"/>
      <c r="P389" s="419"/>
      <c r="Q389" s="419"/>
      <c r="R389" s="419"/>
      <c r="S389" s="137"/>
      <c r="T389" s="410"/>
      <c r="U389" s="410"/>
      <c r="V389" s="410"/>
      <c r="W389" s="410"/>
      <c r="X389" s="410"/>
      <c r="Y389" s="410"/>
      <c r="Z389" s="410"/>
      <c r="AA389" s="410"/>
      <c r="AB389" s="410"/>
      <c r="AC389" s="410"/>
      <c r="AD389" s="410"/>
      <c r="AE389" s="410"/>
      <c r="AF389" s="410"/>
      <c r="AG389" s="410"/>
      <c r="AH389" s="410"/>
      <c r="AI389" s="410"/>
      <c r="AJ389" s="410"/>
      <c r="AK389" s="410"/>
      <c r="AL389" s="410"/>
      <c r="AM389" s="410"/>
      <c r="AN389" s="410"/>
      <c r="AO389" s="410"/>
      <c r="AP389" s="410"/>
      <c r="AQ389" s="410"/>
      <c r="AR389" s="410"/>
      <c r="AS389" s="410"/>
      <c r="AT389" s="410"/>
      <c r="AU389" s="410"/>
      <c r="AV389" s="410"/>
      <c r="AW389" s="297"/>
      <c r="AX389" s="297"/>
      <c r="AY389" s="297"/>
      <c r="AZ389" s="297"/>
      <c r="BA389" s="297"/>
      <c r="BB389" s="297"/>
      <c r="BC389" s="297"/>
      <c r="BD389" s="297"/>
      <c r="BE389" s="297"/>
      <c r="BF389" s="297"/>
      <c r="BG389" s="297"/>
      <c r="BH389" s="297"/>
      <c r="BI389" s="297"/>
      <c r="BJ389" s="297"/>
      <c r="BK389" s="297"/>
      <c r="BL389" s="297"/>
      <c r="BM389" s="297"/>
      <c r="BN389" s="297"/>
      <c r="BO389" s="297"/>
      <c r="BP389" s="297"/>
      <c r="BQ389" s="297"/>
      <c r="BR389" s="297"/>
      <c r="BS389" s="297"/>
      <c r="BT389" s="297"/>
      <c r="BU389" s="297"/>
      <c r="BV389" s="297"/>
      <c r="BW389" s="297"/>
      <c r="BX389" s="297"/>
      <c r="BY389" s="297"/>
      <c r="BZ389" s="297"/>
      <c r="CA389" s="297"/>
      <c r="CB389" s="297"/>
      <c r="CC389" s="297"/>
      <c r="CD389" s="297"/>
      <c r="CE389" s="297"/>
      <c r="CF389" s="297"/>
      <c r="CG389" s="297"/>
      <c r="CH389" s="297"/>
      <c r="CI389" s="297"/>
      <c r="CJ389" s="297"/>
      <c r="CK389" s="297"/>
      <c r="CL389" s="297"/>
      <c r="CM389" s="297"/>
      <c r="CN389" s="297"/>
      <c r="CO389" s="297"/>
      <c r="CP389" s="297"/>
      <c r="CQ389" s="297"/>
      <c r="CR389" s="297"/>
      <c r="CS389" s="297"/>
      <c r="CT389" s="297"/>
      <c r="CU389" s="297"/>
      <c r="CV389" s="297"/>
      <c r="CW389" s="297"/>
      <c r="CX389" s="297"/>
      <c r="CY389" s="410"/>
      <c r="CZ389" s="410"/>
      <c r="DA389" s="410"/>
      <c r="DB389" s="410"/>
      <c r="DC389" s="410"/>
      <c r="DD389" s="410"/>
      <c r="DE389" s="411"/>
      <c r="DF389" s="411"/>
      <c r="DG389" s="411"/>
      <c r="DH389" s="411"/>
      <c r="DI389" s="411"/>
      <c r="DJ389" s="411"/>
      <c r="DK389" s="411"/>
      <c r="DL389" s="424"/>
      <c r="DM389" s="141"/>
      <c r="DN389" s="141"/>
      <c r="DO389" s="141"/>
      <c r="DP389" s="141"/>
      <c r="DQ389" s="141"/>
      <c r="DR389" s="141"/>
      <c r="DS389" s="141"/>
      <c r="DT389" s="141"/>
      <c r="DU389" s="141"/>
      <c r="DV389" s="141"/>
      <c r="DW389" s="141"/>
      <c r="DX389" s="141"/>
      <c r="DY389" s="89"/>
      <c r="DZ389" s="89"/>
      <c r="EA389" s="89"/>
      <c r="EB389" s="89"/>
      <c r="EC389" s="89"/>
      <c r="ED389" s="89"/>
      <c r="EE389" s="89"/>
      <c r="EF389" s="89"/>
      <c r="EG389" s="89"/>
      <c r="EH389" s="89"/>
      <c r="EI389" s="89"/>
      <c r="EJ389" s="89"/>
      <c r="EK389" s="89"/>
      <c r="EL389" s="89"/>
      <c r="EM389" s="89"/>
      <c r="EN389" s="89"/>
      <c r="EO389" s="89"/>
      <c r="EP389" s="89"/>
      <c r="EQ389" s="89"/>
      <c r="ER389" s="89"/>
      <c r="ES389" s="89"/>
      <c r="ET389" s="89"/>
      <c r="EU389" s="89"/>
      <c r="EV389" s="89"/>
      <c r="EW389" s="89"/>
      <c r="EX389" s="89"/>
      <c r="EY389" s="89"/>
      <c r="EZ389" s="89"/>
      <c r="FA389" s="141"/>
      <c r="FB389" s="141"/>
      <c r="FC389" s="141"/>
      <c r="FD389" s="141"/>
      <c r="FE389" s="141"/>
      <c r="FF389" s="141"/>
      <c r="FG389" s="141"/>
      <c r="FH389" s="141"/>
      <c r="FI389" s="141"/>
      <c r="FJ389" s="96"/>
      <c r="FK389" s="96"/>
      <c r="FL389" s="96"/>
      <c r="FM389" s="96"/>
      <c r="FN389" s="96"/>
      <c r="FO389" s="96"/>
      <c r="FP389" s="108"/>
      <c r="FQ389" s="108"/>
      <c r="FR389" s="108"/>
      <c r="FS389" s="96"/>
      <c r="FT389" s="96"/>
      <c r="FU389" s="96"/>
      <c r="FV389" s="96"/>
      <c r="FW389" s="96"/>
      <c r="FX389" s="96"/>
      <c r="FY389" s="259"/>
      <c r="FZ389" s="259"/>
      <c r="GA389" s="259"/>
      <c r="GB389" s="259"/>
      <c r="GC389" s="259"/>
      <c r="GD389" s="259"/>
      <c r="GE389" s="259"/>
      <c r="GF389" s="259"/>
      <c r="GG389" s="259"/>
      <c r="GH389" s="259"/>
      <c r="GI389" s="259"/>
      <c r="GJ389" s="259"/>
      <c r="GK389" s="259"/>
      <c r="GL389" s="259"/>
      <c r="GM389" s="259"/>
      <c r="GN389" s="259"/>
      <c r="GO389" s="259"/>
      <c r="GP389" s="259"/>
      <c r="GQ389" s="259"/>
      <c r="GR389" s="259"/>
      <c r="GS389" s="259"/>
      <c r="GT389" s="259"/>
      <c r="GU389" s="259"/>
      <c r="GV389" s="259"/>
    </row>
    <row r="390" spans="1:233" customFormat="1" ht="16.95" customHeight="1">
      <c r="A390" s="1"/>
      <c r="B390" s="272" t="str">
        <f ca="1">IF(FL1=0,"",19)</f>
        <v/>
      </c>
      <c r="C390" s="3"/>
      <c r="D390" s="409" t="str">
        <f ca="1">IF(FL1=0,"","De monopolist van zonet slaagt erin zijn doelgroep in twee prijsgroepen in te")</f>
        <v/>
      </c>
      <c r="E390" s="414"/>
      <c r="F390" s="414"/>
      <c r="G390" s="414"/>
      <c r="H390" s="414"/>
      <c r="I390" s="414"/>
      <c r="J390" s="376"/>
      <c r="K390" s="376"/>
      <c r="L390" s="376"/>
      <c r="M390" s="376"/>
      <c r="N390" s="376"/>
      <c r="O390" s="376"/>
      <c r="P390" s="376"/>
      <c r="Q390" s="376"/>
      <c r="R390" s="376"/>
      <c r="S390" s="376"/>
      <c r="T390" s="376"/>
      <c r="U390" s="376"/>
      <c r="V390" s="43"/>
      <c r="W390" s="43"/>
      <c r="X390" s="43"/>
      <c r="Y390" s="43"/>
      <c r="Z390" s="43"/>
      <c r="AA390" s="43"/>
      <c r="AB390" s="43"/>
      <c r="AC390" s="43"/>
      <c r="AD390" s="43"/>
      <c r="AE390" s="43"/>
      <c r="AF390" s="43"/>
      <c r="AG390" s="43"/>
      <c r="AH390" s="43"/>
      <c r="AI390" s="43"/>
      <c r="AJ390" s="43"/>
      <c r="AK390" s="43"/>
      <c r="AL390" s="43"/>
      <c r="AM390" s="43"/>
      <c r="AN390" s="43"/>
      <c r="CB390" s="43"/>
      <c r="CC390" s="43"/>
      <c r="CD390" s="43"/>
      <c r="CE390" s="43"/>
      <c r="CF390" s="43"/>
      <c r="CG390" s="43"/>
      <c r="CH390" s="43"/>
      <c r="CI390" s="43"/>
      <c r="CJ390" s="43"/>
      <c r="CK390" s="43"/>
      <c r="CL390" s="43"/>
      <c r="CM390" s="43"/>
      <c r="CN390" s="43"/>
      <c r="CO390" s="43"/>
      <c r="CP390" s="376"/>
      <c r="CQ390" s="376"/>
      <c r="CR390" s="376"/>
      <c r="CS390" s="376"/>
      <c r="CT390" s="376"/>
      <c r="CU390" s="376"/>
      <c r="CV390" s="376"/>
      <c r="CW390" s="376"/>
      <c r="CX390" s="376"/>
      <c r="CY390" s="376"/>
      <c r="CZ390" s="172"/>
      <c r="DA390" s="172"/>
      <c r="DB390" s="172"/>
      <c r="DC390" s="172"/>
      <c r="DD390" s="172"/>
      <c r="DE390" s="413"/>
      <c r="DF390" s="413"/>
      <c r="DG390" s="413"/>
      <c r="DH390" s="413"/>
      <c r="DI390" s="413"/>
      <c r="DJ390" s="413"/>
      <c r="DK390" s="413"/>
      <c r="DL390" s="413"/>
      <c r="DM390" s="413"/>
      <c r="DN390" s="413"/>
      <c r="DO390" s="413"/>
      <c r="DP390" s="413"/>
      <c r="DQ390" s="413"/>
      <c r="DR390" s="413"/>
      <c r="DS390" s="413"/>
      <c r="DT390" s="413"/>
      <c r="DU390" s="413"/>
      <c r="DV390" s="413"/>
      <c r="DW390" s="413"/>
      <c r="DX390" s="413"/>
      <c r="DY390" s="413"/>
      <c r="DZ390" s="413"/>
      <c r="EA390" s="413"/>
      <c r="EB390" s="413"/>
      <c r="EC390" s="413"/>
      <c r="ED390" s="413"/>
      <c r="EE390" s="413"/>
      <c r="EF390" s="413"/>
      <c r="EG390" s="413"/>
      <c r="EH390" s="413"/>
      <c r="EI390" s="413"/>
      <c r="EJ390" s="413"/>
      <c r="EK390" s="413"/>
      <c r="EL390" s="413"/>
      <c r="EM390" s="413"/>
      <c r="EN390" s="413"/>
      <c r="EO390" s="413"/>
      <c r="EP390" s="413"/>
      <c r="EQ390" s="413"/>
      <c r="ER390" s="413"/>
      <c r="ES390" s="413"/>
      <c r="ET390" s="413"/>
      <c r="EU390" s="413"/>
      <c r="EV390" s="413"/>
      <c r="EW390" s="413"/>
      <c r="EX390" s="413"/>
      <c r="EY390" s="413"/>
      <c r="EZ390" s="413"/>
      <c r="FA390" s="413"/>
      <c r="FB390" s="413"/>
      <c r="FC390" s="413"/>
      <c r="FD390" s="413"/>
      <c r="FE390" s="413"/>
      <c r="FF390" s="107"/>
      <c r="FG390" s="107"/>
      <c r="FH390" s="107"/>
      <c r="FI390" s="107"/>
      <c r="FJ390" s="96"/>
      <c r="FK390" s="96"/>
      <c r="FL390" s="96"/>
      <c r="FM390" s="48"/>
      <c r="FN390" s="94">
        <f ca="1">50*ROUND((0.5*FU371*FO379/3+FY371)/50,0)</f>
        <v>1650</v>
      </c>
      <c r="FO390" s="339">
        <f ca="1">50*ROUND((FU371*FO379/3+FY371)/50,0)</f>
        <v>900</v>
      </c>
      <c r="FP390" s="108"/>
      <c r="FQ390" s="108"/>
      <c r="FR390" s="108"/>
      <c r="FS390" s="48"/>
      <c r="FT390" s="338"/>
      <c r="FU390" s="338"/>
      <c r="FV390" s="338"/>
      <c r="FW390" s="338"/>
      <c r="FX390" s="338"/>
      <c r="FY390" s="259"/>
      <c r="FZ390" s="259"/>
      <c r="GA390" s="259"/>
      <c r="GB390" s="259"/>
      <c r="GC390" s="183"/>
      <c r="GD390" s="183"/>
      <c r="GE390" s="183"/>
      <c r="GF390" s="183"/>
      <c r="GG390" s="183"/>
      <c r="GH390" s="183"/>
      <c r="GI390" s="183"/>
      <c r="GJ390" s="183"/>
      <c r="GK390" s="183"/>
      <c r="GL390" s="183"/>
      <c r="GM390" s="183"/>
      <c r="GN390" s="183"/>
      <c r="GO390" s="183"/>
      <c r="GP390" s="183"/>
      <c r="GQ390" s="183"/>
      <c r="GR390" s="183"/>
      <c r="GS390" s="183"/>
      <c r="GT390" s="183"/>
      <c r="GU390" s="338"/>
      <c r="GV390" s="399"/>
      <c r="GW390" s="399"/>
      <c r="GX390" s="399"/>
      <c r="GY390" s="399"/>
      <c r="GZ390" s="399"/>
      <c r="HA390" s="399"/>
      <c r="HB390" s="399"/>
      <c r="HC390" s="399"/>
      <c r="HD390" s="399"/>
      <c r="HE390" s="399"/>
      <c r="HF390" s="399"/>
      <c r="HG390" s="399"/>
      <c r="HH390" s="399"/>
      <c r="HI390" s="399"/>
      <c r="HJ390" s="399"/>
      <c r="HK390" s="399"/>
      <c r="HL390" s="399"/>
      <c r="HM390" s="399"/>
      <c r="HN390" s="399"/>
      <c r="HO390" s="399"/>
      <c r="HP390" s="399"/>
      <c r="HQ390" s="399"/>
      <c r="HR390" s="399"/>
      <c r="HS390" s="399"/>
      <c r="HT390" s="399"/>
      <c r="HU390" s="399"/>
      <c r="HV390" s="399"/>
      <c r="HW390" s="399"/>
      <c r="HX390" s="399"/>
      <c r="HY390" s="399"/>
    </row>
    <row r="391" spans="1:233" customFormat="1" ht="16.95" customHeight="1">
      <c r="A391" s="1"/>
      <c r="B391" s="3"/>
      <c r="C391" s="3"/>
      <c r="D391" s="409" t="str">
        <f ca="1">IF(FL1=0,"","delen: de kopers met de hoogste betalingsbereidheid en de rest. Omdat hij met")</f>
        <v/>
      </c>
      <c r="E391" s="414"/>
      <c r="F391" s="414"/>
      <c r="G391" s="414"/>
      <c r="H391" s="414"/>
      <c r="I391" s="414"/>
      <c r="J391" s="376"/>
      <c r="K391" s="376"/>
      <c r="L391" s="376"/>
      <c r="M391" s="376"/>
      <c r="N391" s="376"/>
      <c r="O391" s="376"/>
      <c r="P391" s="376"/>
      <c r="Q391" s="376"/>
      <c r="R391" s="376"/>
      <c r="S391" s="376"/>
      <c r="T391" s="376"/>
      <c r="U391" s="376"/>
      <c r="V391" s="43"/>
      <c r="W391" s="43"/>
      <c r="X391" s="43"/>
      <c r="Y391" s="43"/>
      <c r="Z391" s="43"/>
      <c r="AA391" s="43"/>
      <c r="AB391" s="43"/>
      <c r="AC391" s="43"/>
      <c r="AD391" s="43"/>
      <c r="AE391" s="43"/>
      <c r="AF391" s="43"/>
      <c r="AG391" s="43"/>
      <c r="AH391" s="43"/>
      <c r="AI391" s="43"/>
      <c r="AJ391" s="43"/>
      <c r="AK391" s="43"/>
      <c r="AL391" s="43"/>
      <c r="AM391" s="43"/>
      <c r="AN391" s="43"/>
      <c r="CB391" s="43"/>
      <c r="CC391" s="43"/>
      <c r="CD391" s="43"/>
      <c r="CE391" s="43"/>
      <c r="CF391" s="43"/>
      <c r="CG391" s="43"/>
      <c r="CH391" s="43"/>
      <c r="CI391" s="43"/>
      <c r="CJ391" s="43"/>
      <c r="CK391" s="43"/>
      <c r="CL391" s="43"/>
      <c r="CM391" s="43"/>
      <c r="CN391" s="43"/>
      <c r="CO391" s="43"/>
      <c r="CP391" s="376"/>
      <c r="CQ391" s="376"/>
      <c r="CR391" s="376"/>
      <c r="CS391" s="376"/>
      <c r="CT391" s="376"/>
      <c r="CU391" s="376"/>
      <c r="CV391" s="376"/>
      <c r="CW391" s="376"/>
      <c r="CX391" s="376"/>
      <c r="CY391" s="376"/>
      <c r="CZ391" s="172"/>
      <c r="DA391" s="172"/>
      <c r="DB391" s="172"/>
      <c r="DC391" s="172"/>
      <c r="DD391" s="172"/>
      <c r="DE391" s="413"/>
      <c r="DF391" s="413"/>
      <c r="DG391" s="413"/>
      <c r="DH391" s="413"/>
      <c r="DI391" s="413"/>
      <c r="DJ391" s="413"/>
      <c r="DK391" s="413"/>
      <c r="DL391" s="413"/>
      <c r="DM391" s="413"/>
      <c r="DN391" s="413"/>
      <c r="DO391" s="413"/>
      <c r="DP391" s="413"/>
      <c r="DQ391" s="413"/>
      <c r="DR391" s="413"/>
      <c r="DS391" s="413"/>
      <c r="DT391" s="413"/>
      <c r="DU391" s="413"/>
      <c r="DV391" s="413"/>
      <c r="DW391" s="413"/>
      <c r="DX391" s="413"/>
      <c r="DY391" s="413"/>
      <c r="DZ391" s="413"/>
      <c r="EA391" s="413"/>
      <c r="EB391" s="413"/>
      <c r="EC391" s="413"/>
      <c r="ED391" s="413"/>
      <c r="EE391" s="413"/>
      <c r="EF391" s="413"/>
      <c r="EG391" s="413"/>
      <c r="EH391" s="413"/>
      <c r="EI391" s="413"/>
      <c r="EJ391" s="413"/>
      <c r="EK391" s="413"/>
      <c r="EL391" s="413"/>
      <c r="EM391" s="413"/>
      <c r="EN391" s="413"/>
      <c r="EO391" s="413"/>
      <c r="EP391" s="413"/>
      <c r="EQ391" s="413"/>
      <c r="ER391" s="413"/>
      <c r="ES391" s="413"/>
      <c r="ET391" s="413"/>
      <c r="EU391" s="413"/>
      <c r="EV391" s="413"/>
      <c r="EW391" s="413"/>
      <c r="EX391" s="413"/>
      <c r="EY391" s="413"/>
      <c r="EZ391" s="413"/>
      <c r="FA391" s="413"/>
      <c r="FB391" s="413"/>
      <c r="FC391" s="413"/>
      <c r="FD391" s="413"/>
      <c r="FE391" s="413"/>
      <c r="FF391" s="107"/>
      <c r="FG391" s="107"/>
      <c r="FH391" s="107"/>
      <c r="FI391" s="107"/>
      <c r="FJ391" s="96"/>
      <c r="FK391" s="96"/>
      <c r="FL391" s="96"/>
      <c r="FM391" s="338"/>
      <c r="FN391" s="338"/>
      <c r="FO391" s="94"/>
      <c r="FP391" s="108"/>
      <c r="FQ391" s="108"/>
      <c r="FR391" s="108"/>
      <c r="FS391" s="47"/>
      <c r="FT391" s="338"/>
      <c r="FU391" s="338"/>
      <c r="FV391" s="338"/>
      <c r="FW391" s="338"/>
      <c r="FX391" s="338"/>
      <c r="FY391" s="259"/>
      <c r="FZ391" s="259"/>
      <c r="GA391" s="259"/>
      <c r="GB391" s="259"/>
      <c r="GC391" s="183"/>
      <c r="GD391" s="183"/>
      <c r="GE391" s="183"/>
      <c r="GF391" s="183"/>
      <c r="GG391" s="183"/>
      <c r="GH391" s="183"/>
      <c r="GI391" s="183"/>
      <c r="GJ391" s="183"/>
      <c r="GK391" s="183"/>
      <c r="GL391" s="183"/>
      <c r="GM391" s="183"/>
      <c r="GN391" s="183"/>
      <c r="GO391" s="183"/>
      <c r="GP391" s="183"/>
      <c r="GQ391" s="183"/>
      <c r="GR391" s="183"/>
      <c r="GS391" s="183"/>
      <c r="GT391" s="183"/>
      <c r="GU391" s="338"/>
      <c r="GV391" s="399"/>
      <c r="GW391" s="399"/>
      <c r="GX391" s="399"/>
      <c r="GY391" s="399"/>
      <c r="GZ391" s="399"/>
      <c r="HA391" s="399"/>
      <c r="HB391" s="399"/>
      <c r="HC391" s="399"/>
      <c r="HD391" s="399"/>
      <c r="HE391" s="399"/>
      <c r="HF391" s="399"/>
      <c r="HG391" s="399"/>
      <c r="HH391" s="399"/>
      <c r="HI391" s="399"/>
      <c r="HJ391" s="399"/>
      <c r="HK391" s="399"/>
      <c r="HL391" s="399"/>
      <c r="HM391" s="399"/>
      <c r="HN391" s="399"/>
      <c r="HO391" s="399"/>
      <c r="HP391" s="399"/>
      <c r="HQ391" s="399"/>
      <c r="HR391" s="399"/>
      <c r="HS391" s="399"/>
      <c r="HT391" s="399"/>
      <c r="HU391" s="399"/>
      <c r="HV391" s="399"/>
      <c r="HW391" s="399"/>
      <c r="HX391" s="399"/>
      <c r="HY391" s="399"/>
    </row>
    <row r="392" spans="1:233" customFormat="1" ht="16.95" customHeight="1">
      <c r="A392" s="1"/>
      <c r="B392" s="3"/>
      <c r="C392" s="3"/>
      <c r="D392" s="409" t="str">
        <f ca="1">IF(FL1=0,"","mooie ronde getallen wil werken vraagt hij aan de mensen uit de eerste groep")</f>
        <v/>
      </c>
      <c r="E392" s="414"/>
      <c r="F392" s="414"/>
      <c r="G392" s="414"/>
      <c r="H392" s="414"/>
      <c r="I392" s="414"/>
      <c r="J392" s="376"/>
      <c r="K392" s="376"/>
      <c r="L392" s="376"/>
      <c r="M392" s="376"/>
      <c r="N392" s="376"/>
      <c r="O392" s="376"/>
      <c r="P392" s="376"/>
      <c r="Q392" s="376"/>
      <c r="R392" s="376"/>
      <c r="S392" s="376"/>
      <c r="T392" s="376"/>
      <c r="U392" s="376"/>
      <c r="V392" s="43"/>
      <c r="W392" s="43"/>
      <c r="X392" s="43"/>
      <c r="Y392" s="43"/>
      <c r="Z392" s="43"/>
      <c r="AA392" s="43"/>
      <c r="AB392" s="43"/>
      <c r="AC392" s="43"/>
      <c r="AD392" s="43"/>
      <c r="AE392" s="43"/>
      <c r="AF392" s="43"/>
      <c r="AG392" s="43"/>
      <c r="AH392" s="43"/>
      <c r="AI392" s="43"/>
      <c r="AJ392" s="43"/>
      <c r="AK392" s="43"/>
      <c r="AL392" s="43"/>
      <c r="AM392" s="43"/>
      <c r="AN392" s="43"/>
      <c r="CB392" s="43"/>
      <c r="CC392" s="43"/>
      <c r="CD392" s="43"/>
      <c r="CE392" s="43"/>
      <c r="CF392" s="43"/>
      <c r="CG392" s="43"/>
      <c r="CH392" s="43"/>
      <c r="CI392" s="43"/>
      <c r="CJ392" s="43"/>
      <c r="CK392" s="43"/>
      <c r="CL392" s="43"/>
      <c r="CM392" s="43"/>
      <c r="CN392" s="43"/>
      <c r="CO392" s="43"/>
      <c r="CP392" s="376"/>
      <c r="CQ392" s="376"/>
      <c r="CR392" s="376"/>
      <c r="CS392" s="376"/>
      <c r="CT392" s="376"/>
      <c r="CU392" s="376"/>
      <c r="CV392" s="376"/>
      <c r="CW392" s="376"/>
      <c r="CX392" s="376"/>
      <c r="CY392" s="376"/>
      <c r="CZ392" s="172"/>
      <c r="DA392" s="172"/>
      <c r="DB392" s="172"/>
      <c r="DC392" s="172"/>
      <c r="DD392" s="172"/>
      <c r="DE392" s="413"/>
      <c r="DF392" s="413"/>
      <c r="DG392" s="413"/>
      <c r="DH392" s="413"/>
      <c r="DI392" s="413"/>
      <c r="DJ392" s="413"/>
      <c r="DK392" s="413"/>
      <c r="DL392" s="413"/>
      <c r="DM392" s="413"/>
      <c r="DN392" s="413"/>
      <c r="DO392" s="413"/>
      <c r="DP392" s="413"/>
      <c r="DQ392" s="413"/>
      <c r="DR392" s="413"/>
      <c r="DS392" s="413"/>
      <c r="DT392" s="413"/>
      <c r="DU392" s="413"/>
      <c r="DV392" s="413"/>
      <c r="DW392" s="413"/>
      <c r="DX392" s="413"/>
      <c r="DY392" s="413"/>
      <c r="DZ392" s="413"/>
      <c r="EA392" s="413"/>
      <c r="EB392" s="413"/>
      <c r="EC392" s="413"/>
      <c r="ED392" s="413"/>
      <c r="EE392" s="413"/>
      <c r="EF392" s="413"/>
      <c r="EG392" s="413"/>
      <c r="EH392" s="413"/>
      <c r="EI392" s="413"/>
      <c r="EJ392" s="413"/>
      <c r="EK392" s="413"/>
      <c r="EL392" s="413"/>
      <c r="EM392" s="413"/>
      <c r="EN392" s="413"/>
      <c r="EO392" s="413"/>
      <c r="EP392" s="413"/>
      <c r="EQ392" s="413"/>
      <c r="ER392" s="413"/>
      <c r="ES392" s="413"/>
      <c r="ET392" s="413"/>
      <c r="EU392" s="413"/>
      <c r="EV392" s="413"/>
      <c r="EW392" s="413"/>
      <c r="EX392" s="413"/>
      <c r="EY392" s="413"/>
      <c r="EZ392" s="413"/>
      <c r="FA392" s="413"/>
      <c r="FB392" s="413"/>
      <c r="FC392" s="413"/>
      <c r="FD392" s="413"/>
      <c r="FE392" s="413"/>
      <c r="FF392" s="107"/>
      <c r="FG392" s="107"/>
      <c r="FH392" s="107"/>
      <c r="FI392" s="107"/>
      <c r="FJ392" s="96"/>
      <c r="FK392" s="96"/>
      <c r="FL392" s="96"/>
      <c r="FM392" s="338"/>
      <c r="FN392" s="338"/>
      <c r="FO392" s="93"/>
      <c r="FP392" s="94"/>
      <c r="FQ392" s="48"/>
      <c r="FR392" s="47"/>
      <c r="FS392" s="47"/>
      <c r="FT392" s="338"/>
      <c r="FU392" s="338"/>
      <c r="FV392" s="338"/>
      <c r="FW392" s="338"/>
      <c r="FX392" s="338"/>
      <c r="FY392" s="259"/>
      <c r="FZ392" s="259"/>
      <c r="GA392" s="259"/>
      <c r="GB392" s="259"/>
      <c r="GC392" s="183"/>
      <c r="GD392" s="183"/>
      <c r="GE392" s="183"/>
      <c r="GF392" s="183"/>
      <c r="GG392" s="183"/>
      <c r="GH392" s="183"/>
      <c r="GI392" s="183"/>
      <c r="GJ392" s="183"/>
      <c r="GK392" s="183"/>
      <c r="GL392" s="183"/>
      <c r="GM392" s="183"/>
      <c r="GN392" s="183"/>
      <c r="GO392" s="183"/>
      <c r="GP392" s="183"/>
      <c r="GQ392" s="183"/>
      <c r="GR392" s="183"/>
      <c r="GS392" s="183"/>
      <c r="GT392" s="183"/>
      <c r="GU392" s="338"/>
      <c r="GV392" s="399"/>
      <c r="GW392" s="399"/>
      <c r="GX392" s="399"/>
      <c r="GY392" s="399"/>
      <c r="GZ392" s="399"/>
      <c r="HA392" s="399"/>
      <c r="HB392" s="399"/>
      <c r="HC392" s="399"/>
      <c r="HD392" s="399"/>
      <c r="HE392" s="399"/>
      <c r="HF392" s="399"/>
      <c r="HG392" s="399"/>
      <c r="HH392" s="399"/>
      <c r="HI392" s="399"/>
      <c r="HJ392" s="399"/>
      <c r="HK392" s="399"/>
      <c r="HL392" s="399"/>
      <c r="HM392" s="399"/>
      <c r="HN392" s="399"/>
      <c r="HO392" s="399"/>
      <c r="HP392" s="399"/>
      <c r="HQ392" s="399"/>
      <c r="HR392" s="399"/>
      <c r="HS392" s="399"/>
      <c r="HT392" s="399"/>
      <c r="HU392" s="399"/>
      <c r="HV392" s="399"/>
      <c r="HW392" s="399"/>
      <c r="HX392" s="399"/>
      <c r="HY392" s="399"/>
    </row>
    <row r="393" spans="1:233" customFormat="1" ht="16.95" customHeight="1">
      <c r="A393" s="1"/>
      <c r="B393" s="3"/>
      <c r="C393" s="3"/>
      <c r="D393" s="409" t="str">
        <f ca="1">IF(FL1=0,"","een prijs van € "&amp;FN390&amp;" en aan de rest een prijs van € "&amp;FO390&amp;".")</f>
        <v/>
      </c>
      <c r="E393" s="414"/>
      <c r="F393" s="414"/>
      <c r="G393" s="414"/>
      <c r="H393" s="414"/>
      <c r="I393" s="414"/>
      <c r="J393" s="376"/>
      <c r="K393" s="376"/>
      <c r="L393" s="376"/>
      <c r="M393" s="376"/>
      <c r="N393" s="376"/>
      <c r="O393" s="376"/>
      <c r="P393" s="376"/>
      <c r="Q393" s="376"/>
      <c r="R393" s="376"/>
      <c r="S393" s="376"/>
      <c r="T393" s="376"/>
      <c r="U393" s="376"/>
      <c r="V393" s="43"/>
      <c r="W393" s="43"/>
      <c r="X393" s="43"/>
      <c r="Y393" s="43"/>
      <c r="Z393" s="43"/>
      <c r="AA393" s="43"/>
      <c r="AB393" s="43"/>
      <c r="AC393" s="43"/>
      <c r="AD393" s="43"/>
      <c r="AE393" s="43"/>
      <c r="AF393" s="43"/>
      <c r="AG393" s="43"/>
      <c r="AH393" s="43"/>
      <c r="AI393" s="43"/>
      <c r="AJ393" s="43"/>
      <c r="AK393" s="43"/>
      <c r="AL393" s="43"/>
      <c r="AM393" s="43"/>
      <c r="AN393" s="43"/>
      <c r="CB393" s="43"/>
      <c r="CC393" s="43"/>
      <c r="CD393" s="43"/>
      <c r="CE393" s="43"/>
      <c r="CF393" s="43"/>
      <c r="CG393" s="43"/>
      <c r="CH393" s="43"/>
      <c r="CI393" s="43"/>
      <c r="CJ393" s="43"/>
      <c r="CK393" s="43"/>
      <c r="CL393" s="43"/>
      <c r="CM393" s="43"/>
      <c r="CN393" s="43"/>
      <c r="CO393" s="43"/>
      <c r="CP393" s="376"/>
      <c r="CQ393" s="376"/>
      <c r="CR393" s="376"/>
      <c r="CS393" s="376"/>
      <c r="CT393" s="376"/>
      <c r="CU393" s="376"/>
      <c r="CV393" s="376"/>
      <c r="CW393" s="376"/>
      <c r="CX393" s="376"/>
      <c r="CY393" s="376"/>
      <c r="CZ393" s="172"/>
      <c r="DA393" s="172"/>
      <c r="DB393" s="172"/>
      <c r="DC393" s="172"/>
      <c r="DD393" s="172"/>
      <c r="DE393" s="413"/>
      <c r="DF393" s="413"/>
      <c r="DG393" s="413"/>
      <c r="DH393" s="413"/>
      <c r="DI393" s="413"/>
      <c r="DJ393" s="413"/>
      <c r="DK393" s="413"/>
      <c r="DL393" s="413"/>
      <c r="DM393" s="413"/>
      <c r="DN393" s="413"/>
      <c r="DO393" s="413"/>
      <c r="DP393" s="413"/>
      <c r="DQ393" s="413"/>
      <c r="DR393" s="413"/>
      <c r="DS393" s="413"/>
      <c r="DT393" s="413"/>
      <c r="DU393" s="413"/>
      <c r="DV393" s="413"/>
      <c r="DW393" s="413"/>
      <c r="DX393" s="413"/>
      <c r="DY393" s="413"/>
      <c r="DZ393" s="413"/>
      <c r="EA393" s="413"/>
      <c r="EB393" s="413"/>
      <c r="EC393" s="413"/>
      <c r="ED393" s="413"/>
      <c r="EE393" s="413"/>
      <c r="EF393" s="413"/>
      <c r="EG393" s="413"/>
      <c r="EH393" s="413"/>
      <c r="EI393" s="413"/>
      <c r="EJ393" s="413"/>
      <c r="EK393" s="413"/>
      <c r="EL393" s="413"/>
      <c r="EM393" s="413"/>
      <c r="EN393" s="413"/>
      <c r="EO393" s="413"/>
      <c r="EP393" s="413"/>
      <c r="EQ393" s="413"/>
      <c r="ER393" s="413"/>
      <c r="ES393" s="413"/>
      <c r="ET393" s="413"/>
      <c r="EU393" s="413"/>
      <c r="EV393" s="413"/>
      <c r="EW393" s="413"/>
      <c r="EX393" s="413"/>
      <c r="EY393" s="413"/>
      <c r="EZ393" s="413"/>
      <c r="FA393" s="413"/>
      <c r="FB393" s="413"/>
      <c r="FC393" s="413"/>
      <c r="FD393" s="413"/>
      <c r="FE393" s="413"/>
      <c r="FF393" s="107"/>
      <c r="FG393" s="107"/>
      <c r="FH393" s="107"/>
      <c r="FI393" s="107"/>
      <c r="FJ393" s="96"/>
      <c r="FK393" s="96"/>
      <c r="FL393" s="96"/>
      <c r="FM393" s="338"/>
      <c r="FN393" s="338"/>
      <c r="FO393" s="48"/>
      <c r="FP393" s="94"/>
      <c r="FQ393" s="48"/>
      <c r="FR393" s="47"/>
      <c r="FS393" s="47"/>
      <c r="FT393" s="338"/>
      <c r="FU393" s="338"/>
      <c r="FV393" s="338"/>
      <c r="FW393" s="338"/>
      <c r="FX393" s="338"/>
      <c r="FY393" s="259"/>
      <c r="FZ393" s="259"/>
      <c r="GA393" s="259"/>
      <c r="GB393" s="259"/>
      <c r="GC393" s="183"/>
      <c r="GD393" s="183"/>
      <c r="GE393" s="183"/>
      <c r="GF393" s="183"/>
      <c r="GG393" s="183"/>
      <c r="GH393" s="183"/>
      <c r="GI393" s="183"/>
      <c r="GJ393" s="183"/>
      <c r="GK393" s="183"/>
      <c r="GL393" s="183"/>
      <c r="GM393" s="183"/>
      <c r="GN393" s="183"/>
      <c r="GO393" s="183"/>
      <c r="GP393" s="183"/>
      <c r="GQ393" s="183"/>
      <c r="GR393" s="183"/>
      <c r="GS393" s="183"/>
      <c r="GT393" s="183"/>
      <c r="GU393" s="338"/>
      <c r="GV393" s="399"/>
      <c r="GW393" s="399"/>
      <c r="GX393" s="399"/>
      <c r="GY393" s="399"/>
      <c r="GZ393" s="399"/>
      <c r="HA393" s="399"/>
      <c r="HB393" s="399"/>
      <c r="HC393" s="399"/>
      <c r="HD393" s="399"/>
      <c r="HE393" s="399"/>
      <c r="HF393" s="399"/>
      <c r="HG393" s="399"/>
      <c r="HH393" s="399"/>
      <c r="HI393" s="399"/>
      <c r="HJ393" s="399"/>
      <c r="HK393" s="399"/>
      <c r="HL393" s="399"/>
      <c r="HM393" s="399"/>
      <c r="HN393" s="399"/>
      <c r="HO393" s="399"/>
      <c r="HP393" s="399"/>
      <c r="HQ393" s="399"/>
      <c r="HR393" s="399"/>
      <c r="HS393" s="399"/>
      <c r="HT393" s="399"/>
      <c r="HU393" s="399"/>
      <c r="HV393" s="399"/>
      <c r="HW393" s="399"/>
      <c r="HX393" s="399"/>
      <c r="HY393" s="399"/>
    </row>
    <row r="394" spans="1:233" customFormat="1" ht="16.95" customHeight="1">
      <c r="A394" s="1"/>
      <c r="B394" s="3"/>
      <c r="C394" s="3"/>
      <c r="D394" s="409"/>
      <c r="E394" s="414"/>
      <c r="F394" s="414"/>
      <c r="G394" s="414"/>
      <c r="H394" s="414"/>
      <c r="I394" s="414"/>
      <c r="J394" s="376"/>
      <c r="K394" s="376"/>
      <c r="L394" s="376"/>
      <c r="M394" s="376"/>
      <c r="N394" s="376"/>
      <c r="O394" s="376"/>
      <c r="P394" s="376"/>
      <c r="Q394" s="376"/>
      <c r="R394" s="376"/>
      <c r="S394" s="376"/>
      <c r="T394" s="376"/>
      <c r="U394" s="376"/>
      <c r="V394" s="43"/>
      <c r="W394" s="43"/>
      <c r="X394" s="43"/>
      <c r="Y394" s="43"/>
      <c r="Z394" s="43"/>
      <c r="AA394" s="43"/>
      <c r="AB394" s="43"/>
      <c r="AC394" s="43"/>
      <c r="AD394" s="43"/>
      <c r="AE394" s="43"/>
      <c r="AF394" s="43"/>
      <c r="AG394" s="43"/>
      <c r="AH394" s="43"/>
      <c r="AI394" s="43"/>
      <c r="AJ394" s="43"/>
      <c r="AK394" s="43"/>
      <c r="AL394" s="43"/>
      <c r="AM394" s="43"/>
      <c r="AN394" s="43"/>
      <c r="CB394" s="43"/>
      <c r="CC394" s="43"/>
      <c r="CD394" s="43"/>
      <c r="CE394" s="43"/>
      <c r="CF394" s="43"/>
      <c r="CG394" s="43"/>
      <c r="CH394" s="43"/>
      <c r="CI394" s="43"/>
      <c r="CJ394" s="43"/>
      <c r="CK394" s="43"/>
      <c r="CL394" s="43"/>
      <c r="CM394" s="43"/>
      <c r="CN394" s="43"/>
      <c r="CO394" s="43"/>
      <c r="CP394" s="376"/>
      <c r="CQ394" s="376"/>
      <c r="CR394" s="376"/>
      <c r="CS394" s="376"/>
      <c r="CT394" s="376"/>
      <c r="CU394" s="376"/>
      <c r="CV394" s="376"/>
      <c r="CW394" s="376"/>
      <c r="CX394" s="376"/>
      <c r="CY394" s="376"/>
      <c r="CZ394" s="172"/>
      <c r="DA394" s="172"/>
      <c r="DB394" s="172"/>
      <c r="DC394" s="172"/>
      <c r="DD394" s="172"/>
      <c r="DE394" s="413"/>
      <c r="DF394" s="413"/>
      <c r="DG394" s="413"/>
      <c r="DH394" s="413"/>
      <c r="DI394" s="413"/>
      <c r="DJ394" s="413"/>
      <c r="DK394" s="413"/>
      <c r="DL394" s="413"/>
      <c r="DM394" s="413"/>
      <c r="DN394" s="413"/>
      <c r="DO394" s="413"/>
      <c r="DP394" s="413"/>
      <c r="DQ394" s="413"/>
      <c r="DR394" s="413"/>
      <c r="DS394" s="413"/>
      <c r="DT394" s="413"/>
      <c r="DU394" s="413"/>
      <c r="DV394" s="413"/>
      <c r="DW394" s="413"/>
      <c r="DX394" s="413"/>
      <c r="DY394" s="413"/>
      <c r="DZ394" s="413"/>
      <c r="EA394" s="413"/>
      <c r="EB394" s="413"/>
      <c r="EC394" s="413"/>
      <c r="ED394" s="413"/>
      <c r="EE394" s="413"/>
      <c r="EF394" s="413"/>
      <c r="EG394" s="413"/>
      <c r="EH394" s="413"/>
      <c r="EI394" s="413"/>
      <c r="EJ394" s="413"/>
      <c r="EK394" s="413"/>
      <c r="EL394" s="413"/>
      <c r="EM394" s="413"/>
      <c r="EN394" s="413"/>
      <c r="EO394" s="413"/>
      <c r="EP394" s="413"/>
      <c r="EQ394" s="413"/>
      <c r="ER394" s="413"/>
      <c r="ES394" s="413"/>
      <c r="ET394" s="413"/>
      <c r="EU394" s="413"/>
      <c r="EV394" s="413"/>
      <c r="EW394" s="413"/>
      <c r="EX394" s="413"/>
      <c r="EY394" s="413"/>
      <c r="EZ394" s="413"/>
      <c r="FA394" s="413"/>
      <c r="FB394" s="413"/>
      <c r="FC394" s="413"/>
      <c r="FD394" s="413"/>
      <c r="FE394" s="413"/>
      <c r="FF394" s="107"/>
      <c r="FG394" s="107"/>
      <c r="FH394" s="107"/>
      <c r="FI394" s="107"/>
      <c r="FJ394" s="96"/>
      <c r="FK394" s="96"/>
      <c r="FL394" s="96"/>
      <c r="FM394" s="338"/>
      <c r="FN394" s="338"/>
      <c r="FO394" s="48"/>
      <c r="FP394" s="94"/>
      <c r="FQ394" s="94"/>
      <c r="FR394" s="47"/>
      <c r="FS394" s="47"/>
      <c r="FT394" s="338"/>
      <c r="FU394" s="338"/>
      <c r="FV394" s="338"/>
      <c r="FW394" s="338"/>
      <c r="FX394" s="338"/>
      <c r="FY394" s="259"/>
      <c r="FZ394" s="259"/>
      <c r="GA394" s="259"/>
      <c r="GB394" s="259"/>
      <c r="GC394" s="183"/>
      <c r="GD394" s="183"/>
      <c r="GE394" s="183"/>
      <c r="GF394" s="183"/>
      <c r="GG394" s="183"/>
      <c r="GH394" s="183"/>
      <c r="GI394" s="183"/>
      <c r="GJ394" s="183"/>
      <c r="GK394" s="183"/>
      <c r="GL394" s="183"/>
      <c r="GM394" s="183"/>
      <c r="GN394" s="183"/>
      <c r="GO394" s="183"/>
      <c r="GP394" s="183"/>
      <c r="GQ394" s="183"/>
      <c r="GR394" s="183"/>
      <c r="GS394" s="183"/>
      <c r="GT394" s="183"/>
      <c r="GU394" s="338"/>
      <c r="GV394" s="399"/>
      <c r="GW394" s="399"/>
      <c r="GX394" s="399"/>
      <c r="GY394" s="399"/>
      <c r="GZ394" s="399"/>
      <c r="HA394" s="399"/>
      <c r="HB394" s="399"/>
      <c r="HC394" s="399"/>
      <c r="HD394" s="399"/>
      <c r="HE394" s="399"/>
      <c r="HF394" s="399"/>
      <c r="HG394" s="399"/>
      <c r="HH394" s="399"/>
      <c r="HI394" s="399"/>
      <c r="HJ394" s="399"/>
      <c r="HK394" s="399"/>
      <c r="HL394" s="399"/>
      <c r="HM394" s="399"/>
      <c r="HN394" s="399"/>
      <c r="HO394" s="399"/>
      <c r="HP394" s="399"/>
      <c r="HQ394" s="399"/>
      <c r="HR394" s="399"/>
      <c r="HS394" s="399"/>
      <c r="HT394" s="399"/>
      <c r="HU394" s="399"/>
      <c r="HV394" s="399"/>
      <c r="HW394" s="399"/>
      <c r="HX394" s="399"/>
      <c r="HY394" s="399"/>
    </row>
    <row r="395" spans="1:233" customFormat="1" ht="16.95" customHeight="1">
      <c r="A395" s="1"/>
      <c r="B395" s="3"/>
      <c r="C395" s="3"/>
      <c r="D395" s="409" t="str">
        <f ca="1">IF(FL1=0,"","Hoeveelheid stuks zal hij aan de kopers uit de eerste groep verkopen en hoeveel")</f>
        <v/>
      </c>
      <c r="E395" s="414"/>
      <c r="F395" s="414"/>
      <c r="G395" s="414"/>
      <c r="H395" s="414"/>
      <c r="I395" s="414"/>
      <c r="J395" s="376"/>
      <c r="K395" s="376"/>
      <c r="L395" s="376"/>
      <c r="M395" s="376"/>
      <c r="N395" s="376"/>
      <c r="O395" s="376"/>
      <c r="P395" s="376"/>
      <c r="Q395" s="376"/>
      <c r="R395" s="376"/>
      <c r="S395" s="376"/>
      <c r="T395" s="376"/>
      <c r="U395" s="376"/>
      <c r="V395" s="43"/>
      <c r="W395" s="43"/>
      <c r="X395" s="43"/>
      <c r="Y395" s="43"/>
      <c r="Z395" s="43"/>
      <c r="AA395" s="43"/>
      <c r="AB395" s="43"/>
      <c r="AC395" s="43"/>
      <c r="AD395" s="43"/>
      <c r="AE395" s="43"/>
      <c r="AF395" s="43"/>
      <c r="AG395" s="43"/>
      <c r="AH395" s="43"/>
      <c r="AI395" s="43"/>
      <c r="AJ395" s="43"/>
      <c r="AK395" s="43"/>
      <c r="AL395" s="43"/>
      <c r="AM395" s="43"/>
      <c r="AN395" s="43"/>
      <c r="CB395" s="43"/>
      <c r="CC395" s="43"/>
      <c r="CD395" s="43"/>
      <c r="CE395" s="43"/>
      <c r="CF395" s="43"/>
      <c r="CG395" s="43"/>
      <c r="CH395" s="43"/>
      <c r="CI395" s="43"/>
      <c r="CJ395" s="43"/>
      <c r="CK395" s="43"/>
      <c r="CL395" s="43"/>
      <c r="CM395" s="43"/>
      <c r="CN395" s="43"/>
      <c r="CO395" s="43"/>
      <c r="CP395" s="376"/>
      <c r="CQ395" s="376"/>
      <c r="CR395" s="376"/>
      <c r="CS395" s="376"/>
      <c r="CT395" s="376"/>
      <c r="CU395" s="376"/>
      <c r="CV395" s="376"/>
      <c r="CW395" s="376"/>
      <c r="CX395" s="376"/>
      <c r="CY395" s="376"/>
      <c r="CZ395" s="172"/>
      <c r="DA395" s="172"/>
      <c r="DB395" s="172"/>
      <c r="DC395" s="172"/>
      <c r="DD395" s="172"/>
      <c r="DE395" s="413"/>
      <c r="DF395" s="413"/>
      <c r="DG395" s="413"/>
      <c r="DH395" s="413"/>
      <c r="DI395" s="413"/>
      <c r="DJ395" s="413"/>
      <c r="DK395" s="413"/>
      <c r="DL395" s="413"/>
      <c r="DM395" s="413"/>
      <c r="DN395" s="413"/>
      <c r="DO395" s="413"/>
      <c r="DP395" s="413"/>
      <c r="DQ395" s="413"/>
      <c r="DR395" s="413"/>
      <c r="DS395" s="413"/>
      <c r="DT395" s="413"/>
      <c r="DU395" s="413"/>
      <c r="DV395" s="413"/>
      <c r="DW395" s="413"/>
      <c r="DX395" s="413"/>
      <c r="DY395" s="413"/>
      <c r="DZ395" s="413"/>
      <c r="EA395" s="413"/>
      <c r="EB395" s="413"/>
      <c r="EC395" s="413"/>
      <c r="ED395" s="413"/>
      <c r="EE395" s="413"/>
      <c r="EF395" s="413"/>
      <c r="EG395" s="413"/>
      <c r="EH395" s="413"/>
      <c r="EI395" s="413"/>
      <c r="EJ395" s="413"/>
      <c r="EK395" s="413"/>
      <c r="EL395" s="413"/>
      <c r="EM395" s="413"/>
      <c r="EN395" s="413"/>
      <c r="EO395" s="413"/>
      <c r="EP395" s="413"/>
      <c r="EQ395" s="413"/>
      <c r="ER395" s="413"/>
      <c r="ES395" s="413"/>
      <c r="ET395" s="413"/>
      <c r="EU395" s="413"/>
      <c r="EV395" s="413"/>
      <c r="EW395" s="413"/>
      <c r="EX395" s="413"/>
      <c r="EY395" s="413"/>
      <c r="EZ395" s="413"/>
      <c r="FA395" s="413"/>
      <c r="FB395" s="413"/>
      <c r="FC395" s="413"/>
      <c r="FD395" s="413"/>
      <c r="FE395" s="413"/>
      <c r="FF395" s="107"/>
      <c r="FG395" s="107"/>
      <c r="FH395" s="107"/>
      <c r="FI395" s="107"/>
      <c r="FJ395" s="96"/>
      <c r="FK395" s="96"/>
      <c r="FL395" s="96"/>
      <c r="FM395" s="338"/>
      <c r="FN395" s="338"/>
      <c r="FO395" s="48"/>
      <c r="FP395" s="94"/>
      <c r="FQ395" s="94"/>
      <c r="FR395" s="47"/>
      <c r="FS395" s="47"/>
      <c r="FT395" s="338"/>
      <c r="FU395" s="338"/>
      <c r="FV395" s="338"/>
      <c r="FW395" s="338"/>
      <c r="FX395" s="338"/>
      <c r="FY395" s="259"/>
      <c r="FZ395" s="259"/>
      <c r="GA395" s="259"/>
      <c r="GB395" s="259"/>
      <c r="GC395" s="183"/>
      <c r="GD395" s="183"/>
      <c r="GE395" s="183"/>
      <c r="GF395" s="183"/>
      <c r="GG395" s="183"/>
      <c r="GH395" s="183"/>
      <c r="GI395" s="183"/>
      <c r="GJ395" s="183"/>
      <c r="GK395" s="183"/>
      <c r="GL395" s="183"/>
      <c r="GM395" s="183"/>
      <c r="GN395" s="183"/>
      <c r="GO395" s="183"/>
      <c r="GP395" s="183"/>
      <c r="GQ395" s="183"/>
      <c r="GR395" s="183"/>
      <c r="GS395" s="183"/>
      <c r="GT395" s="183"/>
      <c r="GU395" s="338"/>
      <c r="GV395" s="399"/>
      <c r="GW395" s="399"/>
      <c r="GX395" s="399"/>
      <c r="GY395" s="399"/>
      <c r="GZ395" s="399"/>
      <c r="HA395" s="399"/>
      <c r="HB395" s="399"/>
      <c r="HC395" s="399"/>
      <c r="HD395" s="399"/>
      <c r="HE395" s="399"/>
      <c r="HF395" s="399"/>
      <c r="HG395" s="399"/>
      <c r="HH395" s="399"/>
      <c r="HI395" s="399"/>
      <c r="HJ395" s="399"/>
      <c r="HK395" s="399"/>
      <c r="HL395" s="399"/>
      <c r="HM395" s="399"/>
      <c r="HN395" s="399"/>
      <c r="HO395" s="399"/>
      <c r="HP395" s="399"/>
      <c r="HQ395" s="399"/>
      <c r="HR395" s="399"/>
      <c r="HS395" s="399"/>
      <c r="HT395" s="399"/>
      <c r="HU395" s="399"/>
      <c r="HV395" s="399"/>
      <c r="HW395" s="399"/>
      <c r="HX395" s="399"/>
      <c r="HY395" s="399"/>
    </row>
    <row r="396" spans="1:233" customFormat="1" ht="16.95" customHeight="1">
      <c r="A396" s="1"/>
      <c r="B396" s="3"/>
      <c r="C396" s="3"/>
      <c r="D396" s="409" t="str">
        <f ca="1">IF(FL1=0,"","wordt de totale omzet en hoeveel de totale winst? Rond het aantal kopers naar")</f>
        <v/>
      </c>
      <c r="E396" s="414"/>
      <c r="F396" s="414"/>
      <c r="G396" s="414"/>
      <c r="H396" s="414"/>
      <c r="I396" s="414"/>
      <c r="J396" s="376"/>
      <c r="K396" s="376"/>
      <c r="L396" s="376"/>
      <c r="M396" s="376"/>
      <c r="N396" s="376"/>
      <c r="O396" s="376"/>
      <c r="P396" s="376"/>
      <c r="Q396" s="376"/>
      <c r="R396" s="376"/>
      <c r="S396" s="376"/>
      <c r="T396" s="376"/>
      <c r="U396" s="376"/>
      <c r="V396" s="43"/>
      <c r="W396" s="43"/>
      <c r="X396" s="43"/>
      <c r="Y396" s="43"/>
      <c r="Z396" s="43"/>
      <c r="AA396" s="43"/>
      <c r="AB396" s="43"/>
      <c r="AC396" s="43"/>
      <c r="AD396" s="43"/>
      <c r="AE396" s="43"/>
      <c r="AF396" s="43"/>
      <c r="AG396" s="43"/>
      <c r="AH396" s="43"/>
      <c r="AI396" s="43"/>
      <c r="AJ396" s="43"/>
      <c r="AK396" s="43"/>
      <c r="AL396" s="43"/>
      <c r="AM396" s="43"/>
      <c r="AN396" s="43"/>
      <c r="CB396" s="43"/>
      <c r="CC396" s="43"/>
      <c r="CD396" s="43"/>
      <c r="CE396" s="43"/>
      <c r="CF396" s="43"/>
      <c r="CG396" s="43"/>
      <c r="CH396" s="43"/>
      <c r="CI396" s="43"/>
      <c r="CJ396" s="43"/>
      <c r="CK396" s="43"/>
      <c r="CL396" s="43"/>
      <c r="CM396" s="43"/>
      <c r="CN396" s="43"/>
      <c r="CO396" s="43"/>
      <c r="CP396" s="376"/>
      <c r="CQ396" s="376"/>
      <c r="CR396" s="376"/>
      <c r="CS396" s="376"/>
      <c r="CT396" s="376"/>
      <c r="CU396" s="376"/>
      <c r="CV396" s="376"/>
      <c r="CW396" s="376"/>
      <c r="CX396" s="376"/>
      <c r="CY396" s="376"/>
      <c r="CZ396" s="172"/>
      <c r="DA396" s="172"/>
      <c r="DB396" s="172"/>
      <c r="DC396" s="172"/>
      <c r="DD396" s="172"/>
      <c r="DE396" s="413"/>
      <c r="DF396" s="413"/>
      <c r="DG396" s="413"/>
      <c r="DH396" s="413"/>
      <c r="DI396" s="413"/>
      <c r="DJ396" s="413"/>
      <c r="DK396" s="413"/>
      <c r="DL396" s="413"/>
      <c r="DM396" s="413"/>
      <c r="DN396" s="413"/>
      <c r="DO396" s="413"/>
      <c r="DP396" s="413"/>
      <c r="DQ396" s="413"/>
      <c r="DR396" s="413"/>
      <c r="DS396" s="413"/>
      <c r="DT396" s="413"/>
      <c r="DU396" s="413"/>
      <c r="DV396" s="413"/>
      <c r="DW396" s="413"/>
      <c r="DX396" s="413"/>
      <c r="DY396" s="413"/>
      <c r="DZ396" s="413"/>
      <c r="EA396" s="413"/>
      <c r="EB396" s="413"/>
      <c r="EC396" s="413"/>
      <c r="ED396" s="413"/>
      <c r="EE396" s="413"/>
      <c r="EF396" s="413"/>
      <c r="EG396" s="413"/>
      <c r="EH396" s="413"/>
      <c r="EI396" s="413"/>
      <c r="EJ396" s="413"/>
      <c r="EK396" s="413"/>
      <c r="EL396" s="413"/>
      <c r="EM396" s="413"/>
      <c r="EN396" s="413"/>
      <c r="EO396" s="413"/>
      <c r="EP396" s="413"/>
      <c r="EQ396" s="413"/>
      <c r="ER396" s="413"/>
      <c r="ES396" s="413"/>
      <c r="ET396" s="413"/>
      <c r="EU396" s="413"/>
      <c r="EV396" s="413"/>
      <c r="EW396" s="413"/>
      <c r="EX396" s="413"/>
      <c r="EY396" s="413"/>
      <c r="EZ396" s="413"/>
      <c r="FA396" s="413"/>
      <c r="FB396" s="413"/>
      <c r="FC396" s="413"/>
      <c r="FD396" s="413"/>
      <c r="FE396" s="413"/>
      <c r="FF396" s="107"/>
      <c r="FG396" s="107"/>
      <c r="FH396" s="107"/>
      <c r="FI396" s="107"/>
      <c r="FJ396" s="96"/>
      <c r="FK396" s="96"/>
      <c r="FL396" s="96"/>
      <c r="FM396" s="338"/>
      <c r="FN396" s="338"/>
      <c r="FO396" s="48"/>
      <c r="FP396" s="94"/>
      <c r="FQ396" s="94"/>
      <c r="FR396" s="47"/>
      <c r="FS396" s="47"/>
      <c r="FT396" s="338"/>
      <c r="FU396" s="338"/>
      <c r="FV396" s="338"/>
      <c r="FW396" s="338"/>
      <c r="FX396" s="338"/>
      <c r="FY396" s="259"/>
      <c r="FZ396" s="259"/>
      <c r="GA396" s="259"/>
      <c r="GB396" s="259"/>
      <c r="GC396" s="183"/>
      <c r="GD396" s="183"/>
      <c r="GE396" s="183"/>
      <c r="GF396" s="183"/>
      <c r="GG396" s="183"/>
      <c r="GH396" s="183"/>
      <c r="GI396" s="183"/>
      <c r="GJ396" s="183"/>
      <c r="GK396" s="183"/>
      <c r="GL396" s="183"/>
      <c r="GM396" s="183"/>
      <c r="GN396" s="183"/>
      <c r="GO396" s="183"/>
      <c r="GP396" s="183"/>
      <c r="GQ396" s="183"/>
      <c r="GR396" s="183"/>
      <c r="GS396" s="183"/>
      <c r="GT396" s="183"/>
      <c r="GU396" s="338"/>
      <c r="GV396" s="399"/>
      <c r="GW396" s="399"/>
      <c r="GX396" s="399"/>
      <c r="GY396" s="399"/>
      <c r="GZ396" s="399"/>
      <c r="HA396" s="399"/>
      <c r="HB396" s="399"/>
      <c r="HC396" s="399"/>
      <c r="HD396" s="399"/>
      <c r="HE396" s="399"/>
      <c r="HF396" s="399"/>
      <c r="HG396" s="399"/>
      <c r="HH396" s="399"/>
      <c r="HI396" s="399"/>
      <c r="HJ396" s="399"/>
      <c r="HK396" s="399"/>
      <c r="HL396" s="399"/>
      <c r="HM396" s="399"/>
      <c r="HN396" s="399"/>
      <c r="HO396" s="399"/>
      <c r="HP396" s="399"/>
      <c r="HQ396" s="399"/>
      <c r="HR396" s="399"/>
      <c r="HS396" s="399"/>
      <c r="HT396" s="399"/>
      <c r="HU396" s="399"/>
      <c r="HV396" s="399"/>
      <c r="HW396" s="399"/>
      <c r="HX396" s="399"/>
      <c r="HY396" s="399"/>
    </row>
    <row r="397" spans="1:233" ht="16.95" customHeight="1">
      <c r="A397" s="60"/>
      <c r="B397" s="69"/>
      <c r="C397" s="69"/>
      <c r="D397" s="409" t="str">
        <f ca="1">IF(FL1=0,"","beneden (!) af en de omzet en winst op de normale manier op hele eurocenten.")</f>
        <v/>
      </c>
      <c r="E397" s="409"/>
      <c r="F397" s="89"/>
      <c r="G397" s="89"/>
      <c r="H397" s="89"/>
      <c r="I397" s="89"/>
      <c r="J397" s="89"/>
      <c r="K397" s="89"/>
      <c r="L397" s="89"/>
      <c r="M397" s="89"/>
      <c r="N397" s="89"/>
      <c r="O397" s="89"/>
      <c r="P397" s="89"/>
      <c r="Q397" s="89"/>
      <c r="R397" s="89"/>
      <c r="S397" s="89"/>
      <c r="T397" s="89"/>
      <c r="U397" s="89"/>
      <c r="V397" s="89"/>
      <c r="W397" s="89"/>
      <c r="X397" s="89"/>
      <c r="Y397" s="141"/>
      <c r="Z397" s="141"/>
      <c r="AA397" s="141"/>
      <c r="AB397" s="141"/>
      <c r="AC397" s="141"/>
      <c r="AD397" s="141"/>
      <c r="AE397" s="141"/>
      <c r="AF397" s="141"/>
      <c r="AG397" s="141"/>
      <c r="AH397" s="141"/>
      <c r="AI397" s="141"/>
      <c r="AJ397" s="141"/>
      <c r="AK397" s="141"/>
      <c r="AL397" s="141"/>
      <c r="AM397" s="141"/>
      <c r="AN397" s="141"/>
      <c r="AO397" s="141"/>
      <c r="AP397" s="141"/>
      <c r="AQ397" s="141"/>
      <c r="AR397" s="141"/>
      <c r="AS397" s="141"/>
      <c r="AT397" s="141"/>
      <c r="AU397" s="141"/>
      <c r="AV397" s="141"/>
      <c r="AW397" s="141"/>
      <c r="AX397" s="141"/>
      <c r="AY397" s="141"/>
      <c r="AZ397" s="141"/>
      <c r="BA397" s="141"/>
      <c r="BB397" s="141"/>
      <c r="BC397" s="141"/>
      <c r="BD397" s="89"/>
      <c r="BE397" s="89"/>
      <c r="BF397" s="89"/>
      <c r="BG397" s="89"/>
      <c r="BH397" s="89"/>
      <c r="BI397" s="89"/>
      <c r="BJ397" s="89"/>
      <c r="BK397" s="89"/>
      <c r="BL397" s="89"/>
      <c r="BM397" s="89"/>
      <c r="BN397" s="89"/>
      <c r="BO397" s="89"/>
      <c r="BP397" s="89"/>
      <c r="BQ397" s="89"/>
      <c r="BR397" s="89"/>
      <c r="BS397" s="89"/>
      <c r="BT397" s="89"/>
      <c r="BU397" s="89"/>
      <c r="BV397" s="89"/>
      <c r="BW397" s="89"/>
      <c r="BX397" s="89"/>
      <c r="BY397" s="89"/>
      <c r="BZ397" s="89"/>
      <c r="CA397" s="89"/>
      <c r="CB397" s="89"/>
      <c r="CC397" s="89"/>
      <c r="CD397" s="89"/>
      <c r="CE397" s="89"/>
      <c r="CF397" s="89"/>
      <c r="CG397" s="89"/>
      <c r="CH397" s="89"/>
      <c r="CI397" s="89"/>
      <c r="CJ397" s="89"/>
      <c r="CK397" s="89"/>
      <c r="CL397" s="89"/>
      <c r="CM397" s="89"/>
      <c r="CN397" s="89"/>
      <c r="CO397" s="89"/>
      <c r="CP397" s="89"/>
      <c r="CQ397" s="89"/>
      <c r="CR397" s="89"/>
      <c r="CS397" s="89"/>
      <c r="CT397" s="89"/>
      <c r="CU397" s="89"/>
      <c r="CV397" s="89"/>
      <c r="CW397" s="89"/>
      <c r="CX397" s="89"/>
      <c r="CY397" s="89"/>
      <c r="CZ397" s="89"/>
      <c r="DA397" s="89"/>
      <c r="DB397" s="89"/>
      <c r="DC397" s="89"/>
      <c r="DD397" s="89"/>
      <c r="DE397" s="89"/>
      <c r="DF397" s="89"/>
      <c r="DG397" s="89"/>
      <c r="DH397" s="89"/>
      <c r="DI397" s="89"/>
      <c r="DJ397" s="89"/>
      <c r="DK397" s="89"/>
      <c r="DL397" s="89"/>
      <c r="DM397" s="89"/>
      <c r="DN397" s="89"/>
      <c r="DO397" s="89"/>
      <c r="DP397" s="89"/>
      <c r="DQ397" s="89"/>
      <c r="DR397" s="89"/>
      <c r="DS397" s="89"/>
      <c r="DT397" s="89"/>
      <c r="DU397" s="89"/>
      <c r="DV397" s="89"/>
      <c r="DW397" s="89"/>
      <c r="DX397" s="89"/>
      <c r="DY397" s="89"/>
      <c r="DZ397" s="89"/>
      <c r="EA397" s="89"/>
      <c r="EB397" s="89"/>
      <c r="EC397" s="89"/>
      <c r="ED397" s="89"/>
      <c r="EE397" s="89"/>
      <c r="EF397" s="89"/>
      <c r="EG397" s="89"/>
      <c r="EH397" s="89"/>
      <c r="EI397" s="89"/>
      <c r="EJ397" s="89"/>
      <c r="EK397" s="89"/>
      <c r="EL397" s="89"/>
      <c r="EM397" s="89"/>
      <c r="EN397" s="89"/>
      <c r="EO397" s="89"/>
      <c r="EP397" s="89"/>
      <c r="EQ397" s="89"/>
      <c r="ER397" s="89"/>
      <c r="ES397" s="89"/>
      <c r="ET397" s="89"/>
      <c r="EU397" s="89"/>
      <c r="EV397" s="89"/>
      <c r="EW397" s="268"/>
      <c r="EX397" s="268"/>
      <c r="EY397" s="268"/>
      <c r="EZ397" s="268"/>
      <c r="FA397" s="268"/>
      <c r="FB397" s="268"/>
      <c r="FC397" s="268"/>
      <c r="FD397" s="268"/>
      <c r="FE397" s="268"/>
      <c r="FF397" s="107"/>
      <c r="FG397" s="107"/>
      <c r="FH397" s="107"/>
      <c r="FI397" s="107"/>
      <c r="FJ397" s="96"/>
      <c r="FK397" s="96"/>
      <c r="FL397" s="96"/>
      <c r="FM397" s="377"/>
      <c r="FN397" s="377"/>
      <c r="FO397" s="377"/>
      <c r="FP397" s="377"/>
      <c r="FQ397" s="108"/>
      <c r="FR397" s="108"/>
      <c r="FS397" s="108"/>
      <c r="FT397" s="108"/>
      <c r="FU397" s="377"/>
      <c r="FV397" s="377"/>
      <c r="FW397" s="377"/>
      <c r="FX397" s="377"/>
      <c r="FY397" s="259"/>
      <c r="FZ397" s="259"/>
      <c r="GA397" s="259"/>
      <c r="GB397" s="259"/>
      <c r="GC397" s="377"/>
      <c r="GD397" s="377"/>
      <c r="GE397" s="377"/>
      <c r="GF397" s="377"/>
      <c r="GG397" s="377"/>
      <c r="GH397" s="377"/>
      <c r="GI397" s="377"/>
      <c r="GJ397" s="377"/>
      <c r="GK397" s="377"/>
      <c r="GL397" s="377"/>
      <c r="GM397" s="377"/>
      <c r="GN397" s="377"/>
      <c r="GO397" s="377"/>
      <c r="GP397" s="377"/>
      <c r="GQ397" s="377"/>
      <c r="GR397" s="377"/>
      <c r="GS397" s="377"/>
      <c r="GT397" s="377"/>
      <c r="GU397" s="377"/>
      <c r="GV397" s="377"/>
    </row>
    <row r="398" spans="1:233" ht="12" customHeight="1">
      <c r="A398" s="60"/>
      <c r="B398" s="69"/>
      <c r="C398" s="69"/>
      <c r="D398" s="409"/>
      <c r="E398" s="409"/>
      <c r="F398" s="409"/>
      <c r="G398" s="409"/>
      <c r="H398" s="409"/>
      <c r="I398" s="409"/>
      <c r="J398" s="409"/>
      <c r="K398" s="409"/>
      <c r="L398" s="409"/>
      <c r="M398" s="409"/>
      <c r="N398" s="409"/>
      <c r="O398" s="409"/>
      <c r="P398" s="409"/>
      <c r="Q398" s="409"/>
      <c r="R398" s="409"/>
      <c r="S398" s="409"/>
      <c r="T398" s="409"/>
      <c r="U398" s="409"/>
      <c r="V398" s="409"/>
      <c r="W398" s="409"/>
      <c r="X398" s="409"/>
      <c r="Y398" s="409"/>
      <c r="Z398" s="409"/>
      <c r="AA398" s="409"/>
      <c r="AB398" s="409"/>
      <c r="AC398" s="409"/>
      <c r="AD398" s="409"/>
      <c r="AE398" s="409"/>
      <c r="AF398" s="409"/>
      <c r="AG398" s="409"/>
      <c r="AH398" s="409"/>
      <c r="AI398" s="89"/>
      <c r="AJ398" s="409"/>
      <c r="AK398" s="409"/>
      <c r="AL398" s="409"/>
      <c r="AM398" s="409"/>
      <c r="AN398" s="409"/>
      <c r="AO398" s="409"/>
      <c r="AP398" s="409"/>
      <c r="AQ398" s="409"/>
      <c r="AR398" s="409"/>
      <c r="AS398" s="409"/>
      <c r="AT398" s="409"/>
      <c r="AU398" s="409"/>
      <c r="AV398" s="409"/>
      <c r="AW398" s="409"/>
      <c r="AX398" s="409"/>
      <c r="AY398" s="409"/>
      <c r="AZ398" s="409"/>
      <c r="BA398" s="409"/>
      <c r="BB398" s="409"/>
      <c r="BC398" s="89"/>
      <c r="BD398" s="89"/>
      <c r="BE398" s="89"/>
      <c r="BF398" s="89"/>
      <c r="BG398" s="89"/>
      <c r="BH398" s="89"/>
      <c r="BI398" s="89"/>
      <c r="BJ398" s="89"/>
      <c r="BK398" s="89"/>
      <c r="BL398" s="89"/>
      <c r="BM398" s="89"/>
      <c r="BN398" s="89"/>
      <c r="BO398" s="89"/>
      <c r="BP398" s="89"/>
      <c r="BQ398" s="89"/>
      <c r="BR398" s="89"/>
      <c r="BS398" s="89"/>
      <c r="BT398" s="89"/>
      <c r="BU398" s="89"/>
      <c r="BV398" s="89"/>
      <c r="BW398" s="89"/>
      <c r="BX398" s="89"/>
      <c r="BY398" s="89"/>
      <c r="BZ398" s="89"/>
      <c r="CA398" s="89"/>
      <c r="CB398" s="89"/>
      <c r="CC398" s="89"/>
      <c r="CD398" s="89"/>
      <c r="CE398" s="89"/>
      <c r="CF398" s="89"/>
      <c r="CG398" s="89"/>
      <c r="CH398" s="89"/>
      <c r="CI398" s="89"/>
      <c r="CJ398" s="89"/>
      <c r="CK398" s="89"/>
      <c r="CL398" s="89"/>
      <c r="CM398" s="89"/>
      <c r="CN398" s="89"/>
      <c r="CO398" s="89"/>
      <c r="CP398" s="89"/>
      <c r="CQ398" s="89"/>
      <c r="CR398" s="89"/>
      <c r="CS398" s="89"/>
      <c r="CT398" s="89"/>
      <c r="CU398" s="89"/>
      <c r="CV398" s="89"/>
      <c r="CW398" s="89"/>
      <c r="CX398" s="89"/>
      <c r="CY398" s="268"/>
      <c r="CZ398" s="268"/>
      <c r="DA398" s="268"/>
      <c r="DB398" s="268"/>
      <c r="DC398" s="268"/>
      <c r="DD398" s="268"/>
      <c r="DE398" s="268"/>
      <c r="DF398" s="268"/>
      <c r="DG398" s="268"/>
      <c r="DH398" s="268"/>
      <c r="DI398" s="268"/>
      <c r="DJ398" s="268"/>
      <c r="DK398" s="268"/>
      <c r="DL398" s="268"/>
      <c r="DM398" s="268"/>
      <c r="DN398" s="268"/>
      <c r="DO398" s="268"/>
      <c r="DP398" s="268"/>
      <c r="DQ398" s="268"/>
      <c r="DR398" s="268"/>
      <c r="DS398" s="268"/>
      <c r="DT398" s="268"/>
      <c r="DU398" s="268"/>
      <c r="DV398" s="268"/>
      <c r="DW398" s="268"/>
      <c r="DX398" s="268"/>
      <c r="DY398" s="268"/>
      <c r="DZ398" s="268"/>
      <c r="EA398" s="268"/>
      <c r="EB398" s="268"/>
      <c r="EC398" s="89"/>
      <c r="ED398" s="89"/>
      <c r="EE398" s="89"/>
      <c r="EF398" s="89"/>
      <c r="EG398" s="89"/>
      <c r="EH398" s="89"/>
      <c r="EI398" s="89"/>
      <c r="EJ398" s="89"/>
      <c r="EK398" s="89"/>
      <c r="EL398" s="89"/>
      <c r="EM398" s="89"/>
      <c r="EN398" s="89"/>
      <c r="EO398" s="89"/>
      <c r="EP398" s="89"/>
      <c r="EQ398" s="89"/>
      <c r="ER398" s="89"/>
      <c r="ES398" s="89"/>
      <c r="ET398" s="89"/>
      <c r="EU398" s="89"/>
      <c r="EV398" s="89"/>
      <c r="EW398" s="89"/>
      <c r="EX398" s="89"/>
      <c r="EY398" s="89"/>
      <c r="EZ398" s="89"/>
      <c r="FA398" s="89"/>
      <c r="FB398" s="89"/>
      <c r="FC398" s="89"/>
      <c r="FD398" s="89"/>
      <c r="FE398" s="89"/>
      <c r="FF398" s="107"/>
      <c r="FG398" s="107"/>
      <c r="FH398" s="107"/>
      <c r="FI398" s="107"/>
      <c r="FJ398" s="96"/>
      <c r="FK398" s="96"/>
      <c r="FL398" s="96"/>
      <c r="FM398" s="300"/>
      <c r="FN398" s="108"/>
      <c r="FO398" s="108"/>
      <c r="FP398" s="108"/>
      <c r="FQ398" s="108"/>
      <c r="FR398" s="108"/>
      <c r="FS398" s="108"/>
      <c r="FT398" s="108"/>
      <c r="FU398" s="108"/>
      <c r="FV398" s="108"/>
      <c r="FW398" s="108"/>
      <c r="FX398" s="301"/>
      <c r="FY398" s="259"/>
      <c r="FZ398" s="259"/>
      <c r="GA398" s="259"/>
      <c r="GB398" s="259"/>
      <c r="GC398" s="377"/>
      <c r="GD398" s="377"/>
      <c r="GE398" s="377"/>
      <c r="GF398" s="377"/>
      <c r="GG398" s="377"/>
      <c r="GH398" s="377"/>
      <c r="GI398" s="377"/>
      <c r="GJ398" s="377"/>
      <c r="GK398" s="377"/>
      <c r="GL398" s="377"/>
      <c r="GM398" s="377"/>
      <c r="GN398" s="377"/>
      <c r="GO398" s="307"/>
      <c r="GP398" s="307"/>
      <c r="GQ398" s="307"/>
      <c r="GR398" s="307"/>
      <c r="GS398" s="307"/>
      <c r="GT398" s="307"/>
      <c r="GU398" s="307"/>
      <c r="GV398" s="307"/>
    </row>
    <row r="399" spans="1:233" ht="3.6" customHeight="1">
      <c r="A399" s="60"/>
      <c r="B399" s="69"/>
      <c r="C399" s="69"/>
      <c r="D399" s="409"/>
      <c r="E399" s="409"/>
      <c r="F399" s="409"/>
      <c r="G399" s="409"/>
      <c r="H399" s="409"/>
      <c r="I399" s="409"/>
      <c r="J399" s="409"/>
      <c r="K399" s="409"/>
      <c r="L399" s="409"/>
      <c r="M399" s="409"/>
      <c r="N399" s="409"/>
      <c r="O399" s="409"/>
      <c r="P399" s="409"/>
      <c r="Q399" s="409"/>
      <c r="R399" s="409"/>
      <c r="S399" s="409"/>
      <c r="T399" s="409"/>
      <c r="U399" s="409"/>
      <c r="V399" s="409"/>
      <c r="W399" s="409"/>
      <c r="X399" s="410"/>
      <c r="Y399" s="410"/>
      <c r="Z399" s="410"/>
      <c r="AA399" s="410"/>
      <c r="AB399" s="410"/>
      <c r="AC399" s="410"/>
      <c r="AD399" s="410"/>
      <c r="AE399" s="410"/>
      <c r="AF399" s="89"/>
      <c r="AG399" s="89"/>
      <c r="AH399" s="409"/>
      <c r="AI399" s="410"/>
      <c r="BT399" s="410"/>
      <c r="BU399" s="410"/>
      <c r="BV399" s="410"/>
      <c r="BW399" s="410"/>
      <c r="CS399" s="268"/>
      <c r="CT399" s="268"/>
      <c r="CU399" s="268"/>
      <c r="CV399" s="268"/>
      <c r="CW399" s="268"/>
      <c r="CX399" s="141"/>
      <c r="CY399" s="141"/>
      <c r="CZ399" s="141"/>
      <c r="DA399" s="89"/>
      <c r="DB399" s="89"/>
      <c r="DD399" s="553" t="str">
        <f ca="1">IF(FL1=0,"","+")</f>
        <v/>
      </c>
      <c r="DE399" s="541" t="e">
        <f>IF(#REF!=0,"","+")</f>
        <v>#REF!</v>
      </c>
      <c r="DF399" s="541" t="e">
        <f>IF(#REF!=0,"","+")</f>
        <v>#REF!</v>
      </c>
      <c r="DG399" s="541" t="e">
        <f>IF(#REF!=0,"","+")</f>
        <v>#REF!</v>
      </c>
      <c r="DH399" s="541" t="e">
        <f>IF(#REF!=0,"","+")</f>
        <v>#REF!</v>
      </c>
      <c r="DI399" s="541"/>
      <c r="DJ399" s="541"/>
      <c r="DK399" s="541"/>
      <c r="DL399" s="541" t="e">
        <f>IF(#REF!=0,"","+")</f>
        <v>#REF!</v>
      </c>
      <c r="DM399" s="541" t="e">
        <f>IF(#REF!=0,"","+")</f>
        <v>#REF!</v>
      </c>
      <c r="DN399" s="541" t="e">
        <f>IF(#REF!=0,"","+")</f>
        <v>#REF!</v>
      </c>
      <c r="DO399" s="541" t="e">
        <f>IF(#REF!=0,"","+")</f>
        <v>#REF!</v>
      </c>
      <c r="DP399" s="541" t="e">
        <f>IF(#REF!=0,"","+")</f>
        <v>#REF!</v>
      </c>
      <c r="DQ399" s="541" t="e">
        <f>IF(#REF!=0,"","+")</f>
        <v>#REF!</v>
      </c>
      <c r="DR399" s="541"/>
      <c r="DS399" s="541"/>
      <c r="DT399" s="541"/>
      <c r="DU399" s="541"/>
      <c r="DV399" s="541"/>
      <c r="DW399" s="541"/>
      <c r="DX399" s="541" t="e">
        <f>IF(#REF!=0,"","+")</f>
        <v>#REF!</v>
      </c>
      <c r="DY399" s="541" t="e">
        <f>IF(#REF!=0,"","+")</f>
        <v>#REF!</v>
      </c>
      <c r="DZ399" s="541" t="e">
        <f>IF(#REF!=0,"","+")</f>
        <v>#REF!</v>
      </c>
      <c r="EA399" s="541" t="e">
        <f>IF(#REF!=0,"","+")</f>
        <v>#REF!</v>
      </c>
      <c r="EB399" s="541" t="e">
        <f>IF(#REF!=0,"","+")</f>
        <v>#REF!</v>
      </c>
      <c r="EC399" s="89"/>
      <c r="ED399" s="268"/>
      <c r="EE399" s="268"/>
      <c r="EF399" s="268"/>
      <c r="EG399" s="268"/>
      <c r="FF399" s="107"/>
      <c r="FG399" s="107"/>
      <c r="FH399" s="107"/>
      <c r="FI399" s="107"/>
      <c r="FJ399" s="96"/>
      <c r="FK399" s="96"/>
      <c r="FL399" s="96"/>
      <c r="FM399" s="300"/>
      <c r="FN399" s="108"/>
      <c r="FO399" s="108"/>
      <c r="FP399" s="108"/>
      <c r="FQ399" s="108"/>
      <c r="FR399" s="108"/>
      <c r="FS399" s="108"/>
      <c r="FT399" s="108"/>
      <c r="FU399" s="108"/>
      <c r="FV399" s="108"/>
      <c r="FW399" s="108"/>
      <c r="FX399" s="301"/>
      <c r="FY399" s="259"/>
      <c r="FZ399" s="259"/>
      <c r="GA399" s="259"/>
      <c r="GB399" s="259"/>
      <c r="GC399" s="377"/>
      <c r="GD399" s="377"/>
      <c r="GE399" s="377"/>
      <c r="GF399" s="377"/>
      <c r="GG399" s="377"/>
      <c r="GH399" s="377"/>
      <c r="GI399" s="377"/>
      <c r="GJ399" s="377"/>
      <c r="GK399" s="377"/>
      <c r="GL399" s="377"/>
      <c r="GM399" s="377"/>
      <c r="GN399" s="377"/>
      <c r="GO399" s="307"/>
      <c r="GP399" s="307"/>
      <c r="GQ399" s="307"/>
      <c r="GR399" s="307"/>
      <c r="GS399" s="307"/>
      <c r="GT399" s="307"/>
      <c r="GU399" s="307"/>
      <c r="GV399" s="307"/>
    </row>
    <row r="400" spans="1:233" ht="16.5" customHeight="1">
      <c r="A400" s="60"/>
      <c r="B400" s="69"/>
      <c r="C400" s="69"/>
      <c r="D400" s="268"/>
      <c r="E400" s="268"/>
      <c r="F400" s="268"/>
      <c r="G400" s="268"/>
      <c r="H400" s="268"/>
      <c r="I400" s="268"/>
      <c r="J400" s="268"/>
      <c r="K400" s="268"/>
      <c r="L400" s="268"/>
      <c r="M400" s="268"/>
      <c r="N400" s="268"/>
      <c r="O400" s="268"/>
      <c r="P400" s="268"/>
      <c r="Q400" s="268"/>
      <c r="R400" s="410"/>
      <c r="S400" s="410"/>
      <c r="T400" s="410"/>
      <c r="U400" s="410"/>
      <c r="V400" s="410"/>
      <c r="W400" s="410"/>
      <c r="X400" s="410"/>
      <c r="Y400" s="410"/>
      <c r="Z400" s="410"/>
      <c r="AA400" s="410"/>
      <c r="AB400" s="410"/>
      <c r="AC400" s="410"/>
      <c r="AD400" s="410"/>
      <c r="AE400" s="410"/>
      <c r="AF400" s="302"/>
      <c r="AG400" s="89"/>
      <c r="AH400" s="409"/>
      <c r="AI400" s="325"/>
      <c r="BT400" s="410"/>
      <c r="BU400" s="410"/>
      <c r="BV400" s="410"/>
      <c r="BW400" s="410"/>
      <c r="CS400" s="268"/>
      <c r="CT400" s="268"/>
      <c r="CU400" s="268"/>
      <c r="CV400" s="268"/>
      <c r="CW400" s="268"/>
      <c r="CX400" s="141"/>
      <c r="CY400" s="141"/>
      <c r="CZ400" s="141"/>
      <c r="DB400" s="302" t="str">
        <f ca="1">IF(FL1=0,"","het aantal dat hij aan de eerste groep verkoopt is:")</f>
        <v/>
      </c>
      <c r="DD400" s="409" t="str">
        <f ca="1">IF(FL1=0,"","+")</f>
        <v/>
      </c>
      <c r="DE400" s="559"/>
      <c r="DF400" s="560"/>
      <c r="DG400" s="560"/>
      <c r="DH400" s="560"/>
      <c r="DI400" s="560"/>
      <c r="DJ400" s="560"/>
      <c r="DK400" s="560"/>
      <c r="DL400" s="560"/>
      <c r="DM400" s="560"/>
      <c r="DN400" s="560"/>
      <c r="DO400" s="560"/>
      <c r="DP400" s="560"/>
      <c r="DQ400" s="560"/>
      <c r="DR400" s="560"/>
      <c r="DS400" s="560"/>
      <c r="DT400" s="560"/>
      <c r="DU400" s="560"/>
      <c r="DV400" s="560"/>
      <c r="DW400" s="560"/>
      <c r="DX400" s="560"/>
      <c r="DY400" s="560"/>
      <c r="DZ400" s="560"/>
      <c r="EA400" s="560"/>
      <c r="EB400" s="409" t="str">
        <f ca="1">IF(FL1=0,"","+")</f>
        <v/>
      </c>
      <c r="EC400" s="384" t="s">
        <v>131</v>
      </c>
      <c r="ED400" s="298"/>
      <c r="EE400" s="268"/>
      <c r="EF400" s="268"/>
      <c r="EG400" s="268"/>
      <c r="EI400" s="89"/>
      <c r="EJ400" s="89"/>
      <c r="EK400" s="89"/>
      <c r="EL400" s="89"/>
      <c r="EM400" s="89"/>
      <c r="EN400" s="89"/>
      <c r="EO400" s="89"/>
      <c r="EP400" s="89"/>
      <c r="EQ400" s="89"/>
      <c r="ER400" s="89"/>
      <c r="ES400" s="89"/>
      <c r="ET400" s="89"/>
      <c r="EU400" s="89"/>
      <c r="EV400" s="89"/>
      <c r="EW400" s="89"/>
      <c r="EX400" s="89"/>
      <c r="EY400" s="89"/>
      <c r="EZ400" s="89"/>
      <c r="FA400" s="89"/>
      <c r="FB400" s="89"/>
      <c r="FC400" s="89"/>
      <c r="FD400" s="89"/>
      <c r="FE400" s="89"/>
      <c r="FF400" s="107"/>
      <c r="FG400" s="107"/>
      <c r="FH400" s="107"/>
      <c r="FI400" s="107"/>
      <c r="FJ400" s="96"/>
      <c r="FK400" s="96"/>
      <c r="FL400" s="96"/>
      <c r="FM400" s="300">
        <f ca="1">IF(programma!B1="X",1,IF(AND(FL1=1,DE400&gt;FN400-0.01,DE400&lt;FN400+0.01),1,0))</f>
        <v>0</v>
      </c>
      <c r="FN400" s="339">
        <f ca="1">IF(FK1=0,"",FLOOR((FY371-FN390)/(-FU371/2),1))</f>
        <v>373</v>
      </c>
      <c r="FO400" s="300"/>
      <c r="FP400" s="108"/>
      <c r="FQ400" s="108"/>
      <c r="FR400" s="108"/>
      <c r="FS400" s="108"/>
      <c r="FT400" s="108"/>
      <c r="FU400" s="108"/>
      <c r="FV400" s="108"/>
      <c r="FW400" s="108"/>
      <c r="FX400" s="301"/>
      <c r="FY400" s="259"/>
      <c r="FZ400" s="259"/>
      <c r="GA400" s="259"/>
      <c r="GB400" s="259"/>
      <c r="GC400" s="377"/>
      <c r="GD400" s="377"/>
      <c r="GE400" s="377"/>
      <c r="GF400" s="377"/>
      <c r="GG400" s="377"/>
      <c r="GH400" s="377"/>
      <c r="GI400" s="377"/>
      <c r="GJ400" s="377"/>
      <c r="GK400" s="377"/>
      <c r="GL400" s="377"/>
      <c r="GM400" s="377"/>
      <c r="GN400" s="377"/>
      <c r="GO400" s="307"/>
      <c r="GP400" s="307"/>
      <c r="GQ400" s="307"/>
      <c r="GR400" s="307"/>
      <c r="GS400" s="307"/>
      <c r="GT400" s="307"/>
      <c r="GU400" s="307"/>
      <c r="GV400" s="307"/>
    </row>
    <row r="401" spans="1:235" ht="3.6" customHeight="1">
      <c r="A401" s="60"/>
      <c r="B401" s="69"/>
      <c r="C401" s="69"/>
      <c r="D401" s="409"/>
      <c r="E401" s="409"/>
      <c r="F401" s="409"/>
      <c r="G401" s="409"/>
      <c r="H401" s="409"/>
      <c r="I401" s="409"/>
      <c r="J401" s="409"/>
      <c r="K401" s="409"/>
      <c r="L401" s="409"/>
      <c r="M401" s="409"/>
      <c r="N401" s="409"/>
      <c r="O401" s="409"/>
      <c r="P401" s="409"/>
      <c r="Q401" s="409"/>
      <c r="R401" s="409"/>
      <c r="S401" s="409"/>
      <c r="T401" s="409"/>
      <c r="U401" s="409"/>
      <c r="V401" s="409"/>
      <c r="W401" s="409"/>
      <c r="X401" s="410"/>
      <c r="Y401" s="410"/>
      <c r="Z401" s="410"/>
      <c r="AA401" s="410"/>
      <c r="AB401" s="410"/>
      <c r="AC401" s="410"/>
      <c r="AD401" s="410"/>
      <c r="AE401" s="410"/>
      <c r="AF401" s="89"/>
      <c r="AG401" s="89"/>
      <c r="AH401" s="409"/>
      <c r="AI401" s="410"/>
      <c r="BT401" s="410"/>
      <c r="BU401" s="410"/>
      <c r="BV401" s="410"/>
      <c r="BW401" s="410"/>
      <c r="CS401" s="268"/>
      <c r="CT401" s="268"/>
      <c r="CU401" s="268"/>
      <c r="CV401" s="268"/>
      <c r="CW401" s="268"/>
      <c r="CX401" s="141"/>
      <c r="CY401" s="141"/>
      <c r="CZ401" s="141"/>
      <c r="DB401" s="89"/>
      <c r="DD401" s="553" t="str">
        <f ca="1">IF(FL1=0,"","+")</f>
        <v/>
      </c>
      <c r="DE401" s="541" t="e">
        <f>IF(#REF!=0,"","+")</f>
        <v>#REF!</v>
      </c>
      <c r="DF401" s="541" t="e">
        <f>IF(#REF!=0,"","+")</f>
        <v>#REF!</v>
      </c>
      <c r="DG401" s="541" t="e">
        <f>IF(#REF!=0,"","+")</f>
        <v>#REF!</v>
      </c>
      <c r="DH401" s="541" t="e">
        <f>IF(#REF!=0,"","+")</f>
        <v>#REF!</v>
      </c>
      <c r="DI401" s="541"/>
      <c r="DJ401" s="541"/>
      <c r="DK401" s="541"/>
      <c r="DL401" s="541" t="e">
        <f>IF(#REF!=0,"","+")</f>
        <v>#REF!</v>
      </c>
      <c r="DM401" s="541" t="e">
        <f>IF(#REF!=0,"","+")</f>
        <v>#REF!</v>
      </c>
      <c r="DN401" s="541" t="e">
        <f>IF(#REF!=0,"","+")</f>
        <v>#REF!</v>
      </c>
      <c r="DO401" s="541" t="e">
        <f>IF(#REF!=0,"","+")</f>
        <v>#REF!</v>
      </c>
      <c r="DP401" s="541" t="e">
        <f>IF(#REF!=0,"","+")</f>
        <v>#REF!</v>
      </c>
      <c r="DQ401" s="541" t="e">
        <f>IF(#REF!=0,"","+")</f>
        <v>#REF!</v>
      </c>
      <c r="DR401" s="541"/>
      <c r="DS401" s="541"/>
      <c r="DT401" s="541"/>
      <c r="DU401" s="541"/>
      <c r="DV401" s="541"/>
      <c r="DW401" s="541"/>
      <c r="DX401" s="541" t="e">
        <f>IF(#REF!=0,"","+")</f>
        <v>#REF!</v>
      </c>
      <c r="DY401" s="541" t="e">
        <f>IF(#REF!=0,"","+")</f>
        <v>#REF!</v>
      </c>
      <c r="DZ401" s="541" t="e">
        <f>IF(#REF!=0,"","+")</f>
        <v>#REF!</v>
      </c>
      <c r="EA401" s="541" t="e">
        <f>IF(#REF!=0,"","+")</f>
        <v>#REF!</v>
      </c>
      <c r="EB401" s="541" t="e">
        <f>IF(#REF!=0,"","+")</f>
        <v>#REF!</v>
      </c>
      <c r="EC401" s="89"/>
      <c r="ED401" s="268"/>
      <c r="EE401" s="268"/>
      <c r="EF401" s="268"/>
      <c r="EG401" s="268"/>
      <c r="FF401" s="107"/>
      <c r="FG401" s="107"/>
      <c r="FH401" s="107"/>
      <c r="FI401" s="107"/>
      <c r="FJ401" s="96"/>
      <c r="FK401" s="96"/>
      <c r="FL401" s="96"/>
      <c r="FM401" s="300"/>
      <c r="FN401" s="300"/>
      <c r="FO401" s="108"/>
      <c r="FP401" s="108"/>
      <c r="FQ401" s="108"/>
      <c r="FR401" s="108"/>
      <c r="FS401" s="108"/>
      <c r="FT401" s="108"/>
      <c r="FU401" s="108"/>
      <c r="FV401" s="108"/>
      <c r="FW401" s="108"/>
      <c r="FX401" s="301"/>
      <c r="FY401" s="259"/>
      <c r="FZ401" s="259"/>
      <c r="GA401" s="259"/>
      <c r="GB401" s="259"/>
      <c r="GC401" s="377"/>
      <c r="GD401" s="377"/>
      <c r="GE401" s="377"/>
      <c r="GF401" s="377"/>
      <c r="GG401" s="377"/>
      <c r="GH401" s="377"/>
      <c r="GI401" s="377"/>
      <c r="GJ401" s="377"/>
      <c r="GK401" s="377"/>
      <c r="GL401" s="377"/>
      <c r="GM401" s="377"/>
      <c r="GN401" s="377"/>
      <c r="GO401" s="307"/>
      <c r="GP401" s="307"/>
      <c r="GQ401" s="307"/>
      <c r="GR401" s="307"/>
      <c r="GS401" s="307"/>
      <c r="GT401" s="307"/>
      <c r="GU401" s="307"/>
      <c r="GV401" s="307"/>
    </row>
    <row r="402" spans="1:235" ht="9" customHeight="1">
      <c r="A402" s="60"/>
      <c r="B402" s="69"/>
      <c r="C402" s="69"/>
      <c r="D402" s="409"/>
      <c r="E402" s="409"/>
      <c r="F402" s="409"/>
      <c r="G402" s="409"/>
      <c r="H402" s="409"/>
      <c r="I402" s="409"/>
      <c r="J402" s="409"/>
      <c r="K402" s="409"/>
      <c r="L402" s="409"/>
      <c r="M402" s="409"/>
      <c r="N402" s="409"/>
      <c r="O402" s="409"/>
      <c r="P402" s="409"/>
      <c r="Q402" s="409"/>
      <c r="R402" s="409"/>
      <c r="S402" s="409"/>
      <c r="T402" s="409"/>
      <c r="U402" s="409"/>
      <c r="V402" s="409"/>
      <c r="W402" s="409"/>
      <c r="X402" s="89"/>
      <c r="Y402" s="89"/>
      <c r="Z402" s="89"/>
      <c r="AA402" s="89"/>
      <c r="AB402" s="89"/>
      <c r="AC402" s="89"/>
      <c r="AD402" s="89"/>
      <c r="AE402" s="89"/>
      <c r="AF402" s="89"/>
      <c r="AG402" s="89"/>
      <c r="AH402" s="89"/>
      <c r="AI402" s="89"/>
      <c r="BT402" s="89"/>
      <c r="BU402" s="89"/>
      <c r="BV402" s="89"/>
      <c r="BW402" s="89"/>
      <c r="CZ402" s="268"/>
      <c r="DB402" s="268"/>
      <c r="DD402" s="268"/>
      <c r="DE402" s="268"/>
      <c r="DF402" s="268"/>
      <c r="DG402" s="268"/>
      <c r="DH402" s="268"/>
      <c r="DI402" s="268"/>
      <c r="DJ402" s="268"/>
      <c r="DK402" s="268"/>
      <c r="DL402" s="268"/>
      <c r="DM402" s="268"/>
      <c r="DN402" s="268"/>
      <c r="DO402" s="268"/>
      <c r="DP402" s="268"/>
      <c r="DQ402" s="268"/>
      <c r="DR402" s="268"/>
      <c r="DS402" s="268"/>
      <c r="DT402" s="268"/>
      <c r="DU402" s="268"/>
      <c r="DV402" s="268"/>
      <c r="DW402" s="268"/>
      <c r="DX402" s="268"/>
      <c r="DY402" s="268"/>
      <c r="DZ402" s="268"/>
      <c r="EA402" s="268"/>
      <c r="EB402" s="268"/>
      <c r="EC402" s="268"/>
      <c r="ED402" s="268"/>
      <c r="EE402" s="268"/>
      <c r="EF402" s="268"/>
      <c r="EG402" s="268"/>
      <c r="EI402" s="395"/>
      <c r="EJ402" s="395"/>
      <c r="EK402" s="395"/>
      <c r="EL402" s="395"/>
      <c r="EM402" s="395"/>
      <c r="EN402" s="395"/>
      <c r="EO402" s="395"/>
      <c r="EP402" s="395"/>
      <c r="EQ402" s="395"/>
      <c r="ER402" s="395"/>
      <c r="ES402" s="395"/>
      <c r="ET402" s="395"/>
      <c r="EU402" s="395"/>
      <c r="EV402" s="395"/>
      <c r="EW402" s="395"/>
      <c r="EX402" s="395"/>
      <c r="EY402" s="395"/>
      <c r="EZ402" s="395"/>
      <c r="FA402" s="395"/>
      <c r="FB402" s="395"/>
      <c r="FC402" s="395"/>
      <c r="FD402" s="395"/>
      <c r="FE402" s="395"/>
      <c r="FF402" s="107"/>
      <c r="FG402" s="107"/>
      <c r="FH402" s="107"/>
      <c r="FI402" s="107"/>
      <c r="FJ402" s="96"/>
      <c r="FK402" s="96"/>
      <c r="FL402" s="96"/>
      <c r="FM402" s="300"/>
      <c r="FN402" s="300"/>
      <c r="FO402" s="108"/>
      <c r="FP402" s="108"/>
      <c r="FQ402" s="108"/>
      <c r="FR402" s="108"/>
      <c r="FS402" s="108"/>
      <c r="FT402" s="108"/>
      <c r="FU402" s="108"/>
      <c r="FV402" s="108"/>
      <c r="FW402" s="108"/>
      <c r="FX402" s="301"/>
      <c r="FY402" s="259"/>
      <c r="FZ402" s="259"/>
      <c r="GA402" s="259"/>
      <c r="GB402" s="259"/>
      <c r="GC402" s="377"/>
      <c r="GD402" s="377"/>
      <c r="GE402" s="377"/>
      <c r="GF402" s="377"/>
      <c r="GG402" s="377"/>
      <c r="GH402" s="377"/>
      <c r="GI402" s="377"/>
      <c r="GJ402" s="377"/>
      <c r="GK402" s="377"/>
      <c r="GL402" s="377"/>
      <c r="GM402" s="377"/>
      <c r="GN402" s="377"/>
      <c r="GO402" s="307"/>
      <c r="GP402" s="307"/>
      <c r="GQ402" s="307"/>
      <c r="GR402" s="307"/>
      <c r="GS402" s="307"/>
      <c r="GT402" s="307"/>
      <c r="GU402" s="307"/>
      <c r="GV402" s="307"/>
    </row>
    <row r="403" spans="1:235" ht="3.6" customHeight="1">
      <c r="A403" s="60"/>
      <c r="B403" s="69"/>
      <c r="C403" s="69"/>
      <c r="D403" s="409"/>
      <c r="E403" s="409"/>
      <c r="F403" s="409"/>
      <c r="G403" s="409"/>
      <c r="H403" s="409"/>
      <c r="I403" s="409"/>
      <c r="J403" s="409"/>
      <c r="K403" s="409"/>
      <c r="L403" s="409"/>
      <c r="M403" s="409"/>
      <c r="N403" s="409"/>
      <c r="O403" s="409"/>
      <c r="P403" s="409"/>
      <c r="Q403" s="409"/>
      <c r="R403" s="409"/>
      <c r="S403" s="409"/>
      <c r="T403" s="409"/>
      <c r="U403" s="409"/>
      <c r="V403" s="409"/>
      <c r="W403" s="409"/>
      <c r="X403" s="410"/>
      <c r="Y403" s="410"/>
      <c r="Z403" s="410"/>
      <c r="AA403" s="410"/>
      <c r="AB403" s="410"/>
      <c r="AC403" s="410"/>
      <c r="AD403" s="410"/>
      <c r="AE403" s="410"/>
      <c r="AF403" s="89"/>
      <c r="AG403" s="89"/>
      <c r="AH403" s="409"/>
      <c r="AI403" s="410"/>
      <c r="CY403" s="268"/>
      <c r="CZ403" s="268"/>
      <c r="DB403" s="89"/>
      <c r="DD403" s="553" t="str">
        <f ca="1">IF(FL1=0,"","+")</f>
        <v/>
      </c>
      <c r="DE403" s="541" t="e">
        <f>IF(#REF!=0,"","+")</f>
        <v>#REF!</v>
      </c>
      <c r="DF403" s="541" t="e">
        <f>IF(#REF!=0,"","+")</f>
        <v>#REF!</v>
      </c>
      <c r="DG403" s="541" t="e">
        <f>IF(#REF!=0,"","+")</f>
        <v>#REF!</v>
      </c>
      <c r="DH403" s="541" t="e">
        <f>IF(#REF!=0,"","+")</f>
        <v>#REF!</v>
      </c>
      <c r="DI403" s="541"/>
      <c r="DJ403" s="541"/>
      <c r="DK403" s="541"/>
      <c r="DL403" s="541" t="e">
        <f>IF(#REF!=0,"","+")</f>
        <v>#REF!</v>
      </c>
      <c r="DM403" s="541" t="e">
        <f>IF(#REF!=0,"","+")</f>
        <v>#REF!</v>
      </c>
      <c r="DN403" s="541" t="e">
        <f>IF(#REF!=0,"","+")</f>
        <v>#REF!</v>
      </c>
      <c r="DO403" s="541" t="e">
        <f>IF(#REF!=0,"","+")</f>
        <v>#REF!</v>
      </c>
      <c r="DP403" s="541" t="e">
        <f>IF(#REF!=0,"","+")</f>
        <v>#REF!</v>
      </c>
      <c r="DQ403" s="541" t="e">
        <f>IF(#REF!=0,"","+")</f>
        <v>#REF!</v>
      </c>
      <c r="DR403" s="541"/>
      <c r="DS403" s="541"/>
      <c r="DT403" s="541"/>
      <c r="DU403" s="541"/>
      <c r="DV403" s="541"/>
      <c r="DW403" s="541"/>
      <c r="DX403" s="541" t="e">
        <f>IF(#REF!=0,"","+")</f>
        <v>#REF!</v>
      </c>
      <c r="DY403" s="541" t="e">
        <f>IF(#REF!=0,"","+")</f>
        <v>#REF!</v>
      </c>
      <c r="DZ403" s="541" t="e">
        <f>IF(#REF!=0,"","+")</f>
        <v>#REF!</v>
      </c>
      <c r="EA403" s="541" t="e">
        <f>IF(#REF!=0,"","+")</f>
        <v>#REF!</v>
      </c>
      <c r="EB403" s="541" t="e">
        <f>IF(#REF!=0,"","+")</f>
        <v>#REF!</v>
      </c>
      <c r="EC403" s="89"/>
      <c r="EE403" s="268"/>
      <c r="EF403" s="268"/>
      <c r="EG403" s="268"/>
      <c r="FF403" s="107"/>
      <c r="FG403" s="107"/>
      <c r="FH403" s="107"/>
      <c r="FI403" s="107"/>
      <c r="FJ403" s="96"/>
      <c r="FK403" s="96"/>
      <c r="FL403" s="96"/>
      <c r="FM403" s="108"/>
      <c r="FN403" s="108"/>
      <c r="FO403" s="108"/>
      <c r="FP403" s="108"/>
      <c r="FQ403" s="108"/>
      <c r="FR403" s="108"/>
      <c r="FS403" s="108"/>
      <c r="FT403" s="108"/>
      <c r="FU403" s="108"/>
      <c r="FV403" s="108"/>
      <c r="FW403" s="108"/>
      <c r="FX403" s="301"/>
      <c r="FY403" s="259"/>
      <c r="FZ403" s="259"/>
      <c r="GA403" s="259"/>
      <c r="GB403" s="259"/>
      <c r="GC403" s="377"/>
      <c r="GD403" s="377"/>
      <c r="GE403" s="377"/>
      <c r="GF403" s="377"/>
      <c r="GG403" s="377"/>
      <c r="GH403" s="377"/>
      <c r="GI403" s="377"/>
      <c r="GJ403" s="377"/>
      <c r="GK403" s="377"/>
      <c r="GL403" s="377"/>
      <c r="GM403" s="377"/>
      <c r="GN403" s="377"/>
      <c r="GO403" s="307"/>
      <c r="GP403" s="307"/>
      <c r="GQ403" s="307"/>
      <c r="GR403" s="307"/>
      <c r="GS403" s="307"/>
      <c r="GT403" s="307"/>
      <c r="GU403" s="307"/>
      <c r="GV403" s="307"/>
    </row>
    <row r="404" spans="1:235" ht="16.5" customHeight="1">
      <c r="A404" s="60"/>
      <c r="B404" s="69"/>
      <c r="C404" s="69"/>
      <c r="D404" s="268"/>
      <c r="E404" s="268"/>
      <c r="F404" s="268"/>
      <c r="G404" s="268"/>
      <c r="H404" s="268"/>
      <c r="I404" s="268"/>
      <c r="J404" s="268"/>
      <c r="K404" s="268"/>
      <c r="L404" s="268"/>
      <c r="M404" s="268"/>
      <c r="N404" s="268"/>
      <c r="O404" s="268"/>
      <c r="P404" s="268"/>
      <c r="Q404" s="268"/>
      <c r="R404" s="410"/>
      <c r="S404" s="410"/>
      <c r="T404" s="410"/>
      <c r="U404" s="410"/>
      <c r="V404" s="410"/>
      <c r="W404" s="410"/>
      <c r="X404" s="410"/>
      <c r="Y404" s="410"/>
      <c r="Z404" s="410"/>
      <c r="AA404" s="410"/>
      <c r="AB404" s="410"/>
      <c r="AC404" s="410"/>
      <c r="AD404" s="410"/>
      <c r="AE404" s="410"/>
      <c r="AF404" s="302"/>
      <c r="AG404" s="89"/>
      <c r="AH404" s="409"/>
      <c r="AI404" s="325"/>
      <c r="CY404" s="268"/>
      <c r="CZ404" s="268"/>
      <c r="DB404" s="302" t="str">
        <f ca="1">IF(FL1=0,"","het aantal dat hij aan de rest verkoopt is:")</f>
        <v/>
      </c>
      <c r="DD404" s="409" t="str">
        <f ca="1">IF(FL1=0,"","+")</f>
        <v/>
      </c>
      <c r="DE404" s="559"/>
      <c r="DF404" s="560"/>
      <c r="DG404" s="560"/>
      <c r="DH404" s="560"/>
      <c r="DI404" s="560"/>
      <c r="DJ404" s="560"/>
      <c r="DK404" s="560"/>
      <c r="DL404" s="560"/>
      <c r="DM404" s="560"/>
      <c r="DN404" s="560"/>
      <c r="DO404" s="560"/>
      <c r="DP404" s="560"/>
      <c r="DQ404" s="560"/>
      <c r="DR404" s="560"/>
      <c r="DS404" s="560"/>
      <c r="DT404" s="560"/>
      <c r="DU404" s="560"/>
      <c r="DV404" s="560"/>
      <c r="DW404" s="560"/>
      <c r="DX404" s="560"/>
      <c r="DY404" s="560"/>
      <c r="DZ404" s="560"/>
      <c r="EA404" s="560"/>
      <c r="EB404" s="409" t="str">
        <f ca="1">IF(FL1=0,"","+")</f>
        <v/>
      </c>
      <c r="EC404" s="384" t="s">
        <v>131</v>
      </c>
      <c r="EE404" s="268"/>
      <c r="EF404" s="268"/>
      <c r="EG404" s="268"/>
      <c r="EI404" s="89"/>
      <c r="EJ404" s="89"/>
      <c r="EK404" s="89"/>
      <c r="EL404" s="89"/>
      <c r="EM404" s="89"/>
      <c r="EN404" s="89"/>
      <c r="EO404" s="89"/>
      <c r="EP404" s="89"/>
      <c r="EQ404" s="89"/>
      <c r="ER404" s="89"/>
      <c r="ES404" s="89"/>
      <c r="ET404" s="89"/>
      <c r="EU404" s="89"/>
      <c r="EV404" s="89"/>
      <c r="EW404" s="89"/>
      <c r="EX404" s="89"/>
      <c r="EY404" s="89"/>
      <c r="EZ404" s="89"/>
      <c r="FA404" s="89"/>
      <c r="FB404" s="89"/>
      <c r="FC404" s="89"/>
      <c r="FD404" s="89"/>
      <c r="FE404" s="89"/>
      <c r="FF404" s="107"/>
      <c r="FG404" s="107"/>
      <c r="FH404" s="107"/>
      <c r="FI404" s="107"/>
      <c r="FJ404" s="96"/>
      <c r="FK404" s="96"/>
      <c r="FL404" s="96"/>
      <c r="FM404" s="300">
        <f ca="1">IF(programma!B1="X",1,IF(AND(FL1=1,DE404&gt;FN404-0.01,DE404&lt;FN404+0.01),1,0))</f>
        <v>0</v>
      </c>
      <c r="FN404" s="339">
        <f ca="1">IF(FK1=0,"",FO404-FN400)</f>
        <v>384</v>
      </c>
      <c r="FO404" s="300">
        <f ca="1">FLOOR((FY371-FO390)/(-FU371/2),1)</f>
        <v>757</v>
      </c>
      <c r="FP404" s="300"/>
      <c r="FQ404" s="108"/>
      <c r="FR404" s="108"/>
      <c r="FS404" s="108"/>
      <c r="FT404" s="108"/>
      <c r="FU404" s="108"/>
      <c r="FV404" s="108"/>
      <c r="FW404" s="108"/>
      <c r="FX404" s="301"/>
      <c r="FY404" s="259"/>
      <c r="FZ404" s="259"/>
      <c r="GA404" s="259"/>
      <c r="GB404" s="259"/>
      <c r="GC404" s="377"/>
      <c r="GD404" s="377"/>
      <c r="GE404" s="377"/>
      <c r="GF404" s="377"/>
      <c r="GG404" s="377"/>
      <c r="GH404" s="377"/>
      <c r="GI404" s="377"/>
      <c r="GJ404" s="377"/>
      <c r="GK404" s="377"/>
      <c r="GL404" s="377"/>
      <c r="GM404" s="377"/>
      <c r="GN404" s="377"/>
      <c r="GO404" s="307"/>
      <c r="GP404" s="307"/>
      <c r="GQ404" s="307"/>
      <c r="GR404" s="307"/>
      <c r="GS404" s="307"/>
      <c r="GT404" s="307"/>
      <c r="GU404" s="307"/>
      <c r="GV404" s="307"/>
    </row>
    <row r="405" spans="1:235" ht="3.6" customHeight="1">
      <c r="A405" s="60"/>
      <c r="B405" s="69"/>
      <c r="C405" s="69"/>
      <c r="D405" s="409"/>
      <c r="E405" s="409"/>
      <c r="F405" s="409"/>
      <c r="G405" s="409"/>
      <c r="H405" s="409"/>
      <c r="I405" s="409"/>
      <c r="J405" s="409"/>
      <c r="K405" s="409"/>
      <c r="L405" s="409"/>
      <c r="M405" s="409"/>
      <c r="N405" s="409"/>
      <c r="O405" s="409"/>
      <c r="P405" s="409"/>
      <c r="Q405" s="409"/>
      <c r="R405" s="409"/>
      <c r="S405" s="409"/>
      <c r="T405" s="409"/>
      <c r="U405" s="409"/>
      <c r="V405" s="409"/>
      <c r="W405" s="409"/>
      <c r="X405" s="410"/>
      <c r="Y405" s="410"/>
      <c r="Z405" s="410"/>
      <c r="AA405" s="410"/>
      <c r="AB405" s="410"/>
      <c r="AC405" s="410"/>
      <c r="AD405" s="410"/>
      <c r="AE405" s="410"/>
      <c r="AF405" s="89"/>
      <c r="AG405" s="89"/>
      <c r="AH405" s="409"/>
      <c r="AI405" s="410"/>
      <c r="CY405" s="268"/>
      <c r="CZ405" s="268"/>
      <c r="DB405" s="89"/>
      <c r="DD405" s="553" t="str">
        <f ca="1">IF(FL1=0,"","+")</f>
        <v/>
      </c>
      <c r="DE405" s="541" t="e">
        <f>IF(#REF!=0,"","+")</f>
        <v>#REF!</v>
      </c>
      <c r="DF405" s="541" t="e">
        <f>IF(#REF!=0,"","+")</f>
        <v>#REF!</v>
      </c>
      <c r="DG405" s="541" t="e">
        <f>IF(#REF!=0,"","+")</f>
        <v>#REF!</v>
      </c>
      <c r="DH405" s="541" t="e">
        <f>IF(#REF!=0,"","+")</f>
        <v>#REF!</v>
      </c>
      <c r="DI405" s="541"/>
      <c r="DJ405" s="541"/>
      <c r="DK405" s="541"/>
      <c r="DL405" s="541" t="e">
        <f>IF(#REF!=0,"","+")</f>
        <v>#REF!</v>
      </c>
      <c r="DM405" s="541" t="e">
        <f>IF(#REF!=0,"","+")</f>
        <v>#REF!</v>
      </c>
      <c r="DN405" s="541" t="e">
        <f>IF(#REF!=0,"","+")</f>
        <v>#REF!</v>
      </c>
      <c r="DO405" s="541" t="e">
        <f>IF(#REF!=0,"","+")</f>
        <v>#REF!</v>
      </c>
      <c r="DP405" s="541" t="e">
        <f>IF(#REF!=0,"","+")</f>
        <v>#REF!</v>
      </c>
      <c r="DQ405" s="541" t="e">
        <f>IF(#REF!=0,"","+")</f>
        <v>#REF!</v>
      </c>
      <c r="DR405" s="541"/>
      <c r="DS405" s="541"/>
      <c r="DT405" s="541"/>
      <c r="DU405" s="541"/>
      <c r="DV405" s="541"/>
      <c r="DW405" s="541"/>
      <c r="DX405" s="541" t="e">
        <f>IF(#REF!=0,"","+")</f>
        <v>#REF!</v>
      </c>
      <c r="DY405" s="541" t="e">
        <f>IF(#REF!=0,"","+")</f>
        <v>#REF!</v>
      </c>
      <c r="DZ405" s="541" t="e">
        <f>IF(#REF!=0,"","+")</f>
        <v>#REF!</v>
      </c>
      <c r="EA405" s="541" t="e">
        <f>IF(#REF!=0,"","+")</f>
        <v>#REF!</v>
      </c>
      <c r="EB405" s="541" t="e">
        <f>IF(#REF!=0,"","+")</f>
        <v>#REF!</v>
      </c>
      <c r="EC405" s="89"/>
      <c r="EE405" s="607" t="str">
        <f ca="1">IF(OR(CO461="",TODAY()&gt;=Blad1!AY3),"",IF(FL1=0,"",IF(OR(DE400="",DE404="",DE408="",DE412=""),"Deze moet je nog maken.",IF(FL412=1,"Goed!",IF(FM400+FM404+FM408+FM412=2,"Je hebt er één fout!","Je hebt er twee of meer fout!")))))</f>
        <v/>
      </c>
      <c r="EF405" s="547"/>
      <c r="EG405" s="547"/>
      <c r="EH405" s="547"/>
      <c r="EI405" s="547"/>
      <c r="EJ405" s="547"/>
      <c r="EK405" s="547"/>
      <c r="EL405" s="547"/>
      <c r="EM405" s="547"/>
      <c r="EN405" s="547"/>
      <c r="EO405" s="547"/>
      <c r="EP405" s="547"/>
      <c r="EQ405" s="547"/>
      <c r="ER405" s="547"/>
      <c r="ES405" s="547"/>
      <c r="ET405" s="547"/>
      <c r="EU405" s="547"/>
      <c r="EV405" s="547"/>
      <c r="EW405" s="547"/>
      <c r="EX405" s="547"/>
      <c r="EY405" s="547"/>
      <c r="EZ405" s="547"/>
      <c r="FA405" s="547"/>
      <c r="FB405" s="547"/>
      <c r="FC405" s="547"/>
      <c r="FD405" s="547"/>
      <c r="FE405" s="547"/>
      <c r="FF405" s="547"/>
      <c r="FG405" s="547"/>
      <c r="FH405" s="107"/>
      <c r="FI405" s="107"/>
      <c r="FJ405" s="96"/>
      <c r="FK405" s="96"/>
      <c r="FL405" s="96"/>
      <c r="FM405" s="300"/>
      <c r="FN405" s="300"/>
      <c r="FO405" s="108"/>
      <c r="FP405" s="108"/>
      <c r="FQ405" s="108"/>
      <c r="FR405" s="108"/>
      <c r="FS405" s="108"/>
      <c r="FT405" s="108"/>
      <c r="FU405" s="108"/>
      <c r="FV405" s="108"/>
      <c r="FW405" s="108"/>
      <c r="FX405" s="301"/>
      <c r="FY405" s="259"/>
      <c r="FZ405" s="259"/>
      <c r="GA405" s="259"/>
      <c r="GB405" s="259"/>
      <c r="GC405" s="377"/>
      <c r="GD405" s="377"/>
      <c r="GE405" s="377"/>
      <c r="GF405" s="377"/>
      <c r="GG405" s="377"/>
      <c r="GH405" s="377"/>
      <c r="GI405" s="377"/>
      <c r="GJ405" s="377"/>
      <c r="GK405" s="377"/>
      <c r="GL405" s="377"/>
      <c r="GM405" s="377"/>
      <c r="GN405" s="377"/>
      <c r="GO405" s="307"/>
      <c r="GP405" s="307"/>
      <c r="GQ405" s="307"/>
      <c r="GR405" s="307"/>
      <c r="GS405" s="307"/>
      <c r="GT405" s="307"/>
      <c r="GU405" s="307"/>
      <c r="GV405" s="307"/>
    </row>
    <row r="406" spans="1:235" ht="9" customHeight="1">
      <c r="A406" s="60"/>
      <c r="B406" s="69"/>
      <c r="C406" s="69"/>
      <c r="D406" s="409"/>
      <c r="E406" s="409"/>
      <c r="F406" s="409"/>
      <c r="G406" s="409"/>
      <c r="H406" s="409"/>
      <c r="I406" s="409"/>
      <c r="J406" s="409"/>
      <c r="K406" s="409"/>
      <c r="L406" s="409"/>
      <c r="M406" s="409"/>
      <c r="N406" s="409"/>
      <c r="O406" s="409"/>
      <c r="P406" s="409"/>
      <c r="Q406" s="409"/>
      <c r="R406" s="409"/>
      <c r="S406" s="409"/>
      <c r="T406" s="409"/>
      <c r="U406" s="409"/>
      <c r="V406" s="409"/>
      <c r="W406" s="409"/>
      <c r="X406" s="89"/>
      <c r="Y406" s="89"/>
      <c r="Z406" s="89"/>
      <c r="AA406" s="89"/>
      <c r="AB406" s="89"/>
      <c r="AC406" s="89"/>
      <c r="AD406" s="89"/>
      <c r="AE406" s="89"/>
      <c r="AF406" s="89"/>
      <c r="AG406" s="89"/>
      <c r="AH406" s="89"/>
      <c r="AI406" s="89"/>
      <c r="BT406" s="89"/>
      <c r="BU406" s="89"/>
      <c r="BV406" s="89"/>
      <c r="BW406" s="89"/>
      <c r="CS406" s="89"/>
      <c r="CT406" s="89"/>
      <c r="CU406" s="89"/>
      <c r="CV406" s="89"/>
      <c r="CW406" s="89"/>
      <c r="CX406" s="89"/>
      <c r="CY406" s="89"/>
      <c r="CZ406" s="89"/>
      <c r="DB406" s="89"/>
      <c r="DD406" s="89"/>
      <c r="DE406" s="89"/>
      <c r="DF406" s="89"/>
      <c r="DG406" s="89"/>
      <c r="DH406" s="89"/>
      <c r="DI406" s="89"/>
      <c r="DJ406" s="89"/>
      <c r="DK406" s="89"/>
      <c r="DL406" s="89"/>
      <c r="DM406" s="89"/>
      <c r="DN406" s="89"/>
      <c r="DO406" s="89"/>
      <c r="DP406" s="89"/>
      <c r="DQ406" s="89"/>
      <c r="DR406" s="89"/>
      <c r="DS406" s="89"/>
      <c r="DT406" s="89"/>
      <c r="DU406" s="89"/>
      <c r="DV406" s="89"/>
      <c r="DW406" s="89"/>
      <c r="DX406" s="89"/>
      <c r="DY406" s="89"/>
      <c r="DZ406" s="89"/>
      <c r="EA406" s="89"/>
      <c r="EB406" s="89"/>
      <c r="EC406" s="89"/>
      <c r="ED406" s="89"/>
      <c r="EE406" s="547"/>
      <c r="EF406" s="547"/>
      <c r="EG406" s="547"/>
      <c r="EH406" s="547"/>
      <c r="EI406" s="547"/>
      <c r="EJ406" s="547"/>
      <c r="EK406" s="547"/>
      <c r="EL406" s="547"/>
      <c r="EM406" s="547"/>
      <c r="EN406" s="547"/>
      <c r="EO406" s="547"/>
      <c r="EP406" s="547"/>
      <c r="EQ406" s="547"/>
      <c r="ER406" s="547"/>
      <c r="ES406" s="547"/>
      <c r="ET406" s="547"/>
      <c r="EU406" s="547"/>
      <c r="EV406" s="547"/>
      <c r="EW406" s="547"/>
      <c r="EX406" s="547"/>
      <c r="EY406" s="547"/>
      <c r="EZ406" s="547"/>
      <c r="FA406" s="547"/>
      <c r="FB406" s="547"/>
      <c r="FC406" s="547"/>
      <c r="FD406" s="547"/>
      <c r="FE406" s="547"/>
      <c r="FF406" s="547"/>
      <c r="FG406" s="547"/>
      <c r="FH406" s="107"/>
      <c r="FI406" s="107"/>
      <c r="FJ406" s="96"/>
      <c r="FK406" s="96"/>
      <c r="FL406" s="96"/>
      <c r="FM406" s="300"/>
      <c r="FN406" s="300"/>
      <c r="FO406" s="108"/>
      <c r="FP406" s="108"/>
      <c r="FQ406" s="108"/>
      <c r="FR406" s="108"/>
      <c r="FS406" s="108"/>
      <c r="FT406" s="108"/>
      <c r="FU406" s="108"/>
      <c r="FV406" s="108"/>
      <c r="FW406" s="108"/>
      <c r="FX406" s="301"/>
      <c r="FY406" s="259"/>
      <c r="FZ406" s="259"/>
      <c r="GA406" s="259"/>
      <c r="GB406" s="259"/>
      <c r="GC406" s="377"/>
      <c r="GD406" s="377"/>
      <c r="GE406" s="377"/>
      <c r="GF406" s="377"/>
      <c r="GG406" s="377"/>
      <c r="GH406" s="377"/>
      <c r="GI406" s="377"/>
      <c r="GJ406" s="377"/>
      <c r="GK406" s="377"/>
      <c r="GL406" s="377"/>
      <c r="GM406" s="377"/>
      <c r="GN406" s="377"/>
      <c r="GO406" s="307"/>
      <c r="GP406" s="307"/>
      <c r="GQ406" s="307"/>
      <c r="GR406" s="307"/>
      <c r="GS406" s="307"/>
      <c r="GT406" s="307"/>
      <c r="GU406" s="307"/>
      <c r="GV406" s="307"/>
    </row>
    <row r="407" spans="1:235" ht="3.6" customHeight="1">
      <c r="A407" s="60"/>
      <c r="B407" s="69"/>
      <c r="C407" s="69"/>
      <c r="D407" s="409"/>
      <c r="E407" s="409"/>
      <c r="F407" s="409"/>
      <c r="G407" s="409"/>
      <c r="H407" s="409"/>
      <c r="I407" s="409"/>
      <c r="J407" s="409"/>
      <c r="K407" s="409"/>
      <c r="L407" s="409"/>
      <c r="M407" s="409"/>
      <c r="N407" s="409"/>
      <c r="O407" s="409"/>
      <c r="P407" s="409"/>
      <c r="Q407" s="409"/>
      <c r="R407" s="409"/>
      <c r="S407" s="409"/>
      <c r="T407" s="409"/>
      <c r="U407" s="409"/>
      <c r="V407" s="409"/>
      <c r="W407" s="409"/>
      <c r="X407" s="410"/>
      <c r="Y407" s="410"/>
      <c r="BT407" s="410"/>
      <c r="BU407" s="410"/>
      <c r="BV407" s="410"/>
      <c r="BW407" s="410"/>
      <c r="CS407" s="410"/>
      <c r="CT407" s="410"/>
      <c r="CU407" s="410"/>
      <c r="CV407" s="268"/>
      <c r="CW407" s="268"/>
      <c r="CX407" s="141"/>
      <c r="CY407" s="141"/>
      <c r="CZ407" s="141"/>
      <c r="DB407" s="89"/>
      <c r="DD407" s="553" t="str">
        <f ca="1">IF(FL1=0,"","+")</f>
        <v/>
      </c>
      <c r="DE407" s="541" t="e">
        <f>IF(#REF!=0,"","+")</f>
        <v>#REF!</v>
      </c>
      <c r="DF407" s="541" t="e">
        <f>IF(#REF!=0,"","+")</f>
        <v>#REF!</v>
      </c>
      <c r="DG407" s="541" t="e">
        <f>IF(#REF!=0,"","+")</f>
        <v>#REF!</v>
      </c>
      <c r="DH407" s="541" t="e">
        <f>IF(#REF!=0,"","+")</f>
        <v>#REF!</v>
      </c>
      <c r="DI407" s="541"/>
      <c r="DJ407" s="541"/>
      <c r="DK407" s="541"/>
      <c r="DL407" s="541" t="e">
        <f>IF(#REF!=0,"","+")</f>
        <v>#REF!</v>
      </c>
      <c r="DM407" s="541" t="e">
        <f>IF(#REF!=0,"","+")</f>
        <v>#REF!</v>
      </c>
      <c r="DN407" s="541" t="e">
        <f>IF(#REF!=0,"","+")</f>
        <v>#REF!</v>
      </c>
      <c r="DO407" s="541" t="e">
        <f>IF(#REF!=0,"","+")</f>
        <v>#REF!</v>
      </c>
      <c r="DP407" s="541" t="e">
        <f>IF(#REF!=0,"","+")</f>
        <v>#REF!</v>
      </c>
      <c r="DQ407" s="541" t="e">
        <f>IF(#REF!=0,"","+")</f>
        <v>#REF!</v>
      </c>
      <c r="DR407" s="541"/>
      <c r="DS407" s="541"/>
      <c r="DT407" s="541"/>
      <c r="DU407" s="541"/>
      <c r="DV407" s="541"/>
      <c r="DW407" s="541"/>
      <c r="DX407" s="541" t="e">
        <f>IF(#REF!=0,"","+")</f>
        <v>#REF!</v>
      </c>
      <c r="DY407" s="541" t="e">
        <f>IF(#REF!=0,"","+")</f>
        <v>#REF!</v>
      </c>
      <c r="DZ407" s="541" t="e">
        <f>IF(#REF!=0,"","+")</f>
        <v>#REF!</v>
      </c>
      <c r="EA407" s="541" t="e">
        <f>IF(#REF!=0,"","+")</f>
        <v>#REF!</v>
      </c>
      <c r="EB407" s="541" t="e">
        <f>IF(#REF!=0,"","+")</f>
        <v>#REF!</v>
      </c>
      <c r="EC407" s="89"/>
      <c r="ED407" s="268"/>
      <c r="EE407" s="547"/>
      <c r="EF407" s="547"/>
      <c r="EG407" s="547"/>
      <c r="EH407" s="547"/>
      <c r="EI407" s="547"/>
      <c r="EJ407" s="547"/>
      <c r="EK407" s="547"/>
      <c r="EL407" s="547"/>
      <c r="EM407" s="547"/>
      <c r="EN407" s="547"/>
      <c r="EO407" s="547"/>
      <c r="EP407" s="547"/>
      <c r="EQ407" s="547"/>
      <c r="ER407" s="547"/>
      <c r="ES407" s="547"/>
      <c r="ET407" s="547"/>
      <c r="EU407" s="547"/>
      <c r="EV407" s="547"/>
      <c r="EW407" s="547"/>
      <c r="EX407" s="547"/>
      <c r="EY407" s="547"/>
      <c r="EZ407" s="547"/>
      <c r="FA407" s="547"/>
      <c r="FB407" s="547"/>
      <c r="FC407" s="547"/>
      <c r="FD407" s="547"/>
      <c r="FE407" s="547"/>
      <c r="FF407" s="547"/>
      <c r="FG407" s="547"/>
      <c r="FH407" s="107"/>
      <c r="FI407" s="107"/>
      <c r="FJ407" s="96"/>
      <c r="FK407" s="96"/>
      <c r="FL407" s="96"/>
      <c r="FM407" s="300"/>
      <c r="FN407" s="300"/>
      <c r="FO407" s="108"/>
      <c r="FP407" s="108"/>
      <c r="FQ407" s="108"/>
      <c r="FR407" s="108"/>
      <c r="FS407" s="108"/>
      <c r="FT407" s="108"/>
      <c r="FU407" s="108"/>
      <c r="FV407" s="108"/>
      <c r="FW407" s="108"/>
      <c r="FX407" s="301"/>
      <c r="FY407" s="259"/>
      <c r="FZ407" s="259"/>
      <c r="GA407" s="259"/>
      <c r="GB407" s="259"/>
      <c r="GC407" s="377"/>
      <c r="GD407" s="377"/>
      <c r="GE407" s="377"/>
      <c r="GF407" s="377"/>
      <c r="GG407" s="377"/>
      <c r="GH407" s="377"/>
      <c r="GI407" s="377"/>
      <c r="GJ407" s="377"/>
      <c r="GK407" s="377"/>
      <c r="GL407" s="377"/>
      <c r="GM407" s="377"/>
      <c r="GN407" s="377"/>
      <c r="GO407" s="307"/>
      <c r="GP407" s="307"/>
      <c r="GQ407" s="307"/>
      <c r="GR407" s="307"/>
      <c r="GS407" s="307"/>
      <c r="GT407" s="307"/>
      <c r="GU407" s="307"/>
      <c r="GV407" s="307"/>
    </row>
    <row r="408" spans="1:235" ht="16.5" customHeight="1">
      <c r="A408" s="60"/>
      <c r="B408" s="69"/>
      <c r="C408" s="69"/>
      <c r="D408" s="268"/>
      <c r="E408" s="268"/>
      <c r="F408" s="268"/>
      <c r="G408" s="268"/>
      <c r="H408" s="268"/>
      <c r="I408" s="268"/>
      <c r="J408" s="268"/>
      <c r="K408" s="268"/>
      <c r="L408" s="268"/>
      <c r="M408" s="268"/>
      <c r="N408" s="268"/>
      <c r="O408" s="268"/>
      <c r="P408" s="268"/>
      <c r="Q408" s="268"/>
      <c r="R408" s="410"/>
      <c r="S408" s="410"/>
      <c r="T408" s="410"/>
      <c r="U408" s="410"/>
      <c r="V408" s="410"/>
      <c r="W408" s="410"/>
      <c r="X408" s="410"/>
      <c r="Y408" s="410"/>
      <c r="BT408" s="410"/>
      <c r="BU408" s="410"/>
      <c r="BV408" s="410"/>
      <c r="BW408" s="410"/>
      <c r="CS408" s="410"/>
      <c r="CT408" s="410"/>
      <c r="CU408" s="410"/>
      <c r="CV408" s="268"/>
      <c r="CW408" s="268"/>
      <c r="CX408" s="141"/>
      <c r="CY408" s="141"/>
      <c r="CZ408" s="141"/>
      <c r="DB408" s="302" t="str">
        <f ca="1">IF(FL1=0,"","zijn totale omzet is:")</f>
        <v/>
      </c>
      <c r="DD408" s="409" t="str">
        <f ca="1">IF(FL1=0,"","+")</f>
        <v/>
      </c>
      <c r="DE408" s="556"/>
      <c r="DF408" s="557"/>
      <c r="DG408" s="557"/>
      <c r="DH408" s="557"/>
      <c r="DI408" s="557"/>
      <c r="DJ408" s="557"/>
      <c r="DK408" s="557"/>
      <c r="DL408" s="557"/>
      <c r="DM408" s="557"/>
      <c r="DN408" s="557"/>
      <c r="DO408" s="557"/>
      <c r="DP408" s="557"/>
      <c r="DQ408" s="557"/>
      <c r="DR408" s="557"/>
      <c r="DS408" s="557"/>
      <c r="DT408" s="557"/>
      <c r="DU408" s="557"/>
      <c r="DV408" s="557"/>
      <c r="DW408" s="557"/>
      <c r="DX408" s="557"/>
      <c r="DY408" s="557"/>
      <c r="DZ408" s="557"/>
      <c r="EA408" s="557"/>
      <c r="EB408" s="409" t="str">
        <f ca="1">IF(FL1=0,"","+")</f>
        <v/>
      </c>
      <c r="EC408" s="384" t="s">
        <v>131</v>
      </c>
      <c r="ED408" s="298"/>
      <c r="EE408" s="268"/>
      <c r="EF408" s="268"/>
      <c r="EG408" s="268"/>
      <c r="EI408" s="89"/>
      <c r="EJ408" s="89"/>
      <c r="EK408" s="89"/>
      <c r="EL408" s="89"/>
      <c r="EM408" s="89"/>
      <c r="EN408" s="89"/>
      <c r="EO408" s="89"/>
      <c r="EP408" s="89"/>
      <c r="EQ408" s="89"/>
      <c r="ER408" s="89"/>
      <c r="ES408" s="89"/>
      <c r="ET408" s="89"/>
      <c r="EU408" s="89"/>
      <c r="EV408" s="89"/>
      <c r="EW408" s="89"/>
      <c r="EX408" s="89"/>
      <c r="EY408" s="89"/>
      <c r="EZ408" s="89"/>
      <c r="FA408" s="89"/>
      <c r="FB408" s="89"/>
      <c r="FC408" s="89"/>
      <c r="FD408" s="89"/>
      <c r="FE408" s="89"/>
      <c r="FF408" s="107"/>
      <c r="FG408" s="107"/>
      <c r="FH408" s="107"/>
      <c r="FI408" s="107"/>
      <c r="FJ408" s="96"/>
      <c r="FK408" s="96"/>
      <c r="FL408" s="96"/>
      <c r="FM408" s="96">
        <f ca="1">IF(programma!B1="X",1,IF(AND(FL1=1,DE408&gt;FN408-0.01,DE408&lt;FN408+0.01),1,0))</f>
        <v>0</v>
      </c>
      <c r="FN408" s="339">
        <f ca="1">IF(FK1=0,"",FN400*FN390+FO390*FN404)</f>
        <v>961050</v>
      </c>
      <c r="FO408" s="300"/>
      <c r="FP408" s="108"/>
      <c r="FQ408" s="108"/>
      <c r="FR408" s="108"/>
      <c r="FS408" s="108"/>
      <c r="FT408" s="108"/>
      <c r="FU408" s="108"/>
      <c r="FV408" s="108"/>
      <c r="FW408" s="108"/>
      <c r="FX408" s="301"/>
      <c r="FY408" s="259"/>
      <c r="FZ408" s="259"/>
      <c r="GA408" s="259"/>
      <c r="GB408" s="259"/>
      <c r="GC408" s="377"/>
      <c r="GD408" s="377"/>
      <c r="GE408" s="377"/>
      <c r="GF408" s="377"/>
      <c r="GG408" s="377"/>
      <c r="GH408" s="377"/>
      <c r="GI408" s="377"/>
      <c r="GJ408" s="377"/>
      <c r="GK408" s="377"/>
      <c r="GL408" s="377"/>
      <c r="GM408" s="377"/>
      <c r="GN408" s="377"/>
      <c r="GO408" s="307"/>
      <c r="GP408" s="307"/>
      <c r="GQ408" s="307"/>
      <c r="GR408" s="307"/>
      <c r="GS408" s="307"/>
      <c r="GT408" s="307"/>
      <c r="GU408" s="307"/>
      <c r="GV408" s="307"/>
    </row>
    <row r="409" spans="1:235" ht="3.6" customHeight="1">
      <c r="A409" s="60"/>
      <c r="B409" s="69"/>
      <c r="C409" s="69"/>
      <c r="D409" s="409"/>
      <c r="E409" s="409"/>
      <c r="F409" s="409"/>
      <c r="G409" s="409"/>
      <c r="H409" s="409"/>
      <c r="I409" s="409"/>
      <c r="J409" s="409"/>
      <c r="K409" s="409"/>
      <c r="L409" s="409"/>
      <c r="M409" s="409"/>
      <c r="N409" s="409"/>
      <c r="O409" s="409"/>
      <c r="P409" s="409"/>
      <c r="Q409" s="409"/>
      <c r="R409" s="409"/>
      <c r="S409" s="409"/>
      <c r="T409" s="409"/>
      <c r="U409" s="409"/>
      <c r="V409" s="409"/>
      <c r="W409" s="409"/>
      <c r="X409" s="410"/>
      <c r="Y409" s="410"/>
      <c r="BR409" s="410"/>
      <c r="BS409" s="410"/>
      <c r="BT409" s="410"/>
      <c r="BU409" s="410"/>
      <c r="BV409" s="410"/>
      <c r="BW409" s="410"/>
      <c r="CS409" s="410"/>
      <c r="CT409" s="410"/>
      <c r="CU409" s="410"/>
      <c r="CV409" s="268"/>
      <c r="CW409" s="268"/>
      <c r="CX409" s="268"/>
      <c r="CY409" s="268"/>
      <c r="CZ409" s="268"/>
      <c r="DB409" s="268"/>
      <c r="DD409" s="553" t="str">
        <f ca="1">IF(FL1=0,"","+")</f>
        <v/>
      </c>
      <c r="DE409" s="541" t="e">
        <f>IF(#REF!=0,"","+")</f>
        <v>#REF!</v>
      </c>
      <c r="DF409" s="541" t="e">
        <f>IF(#REF!=0,"","+")</f>
        <v>#REF!</v>
      </c>
      <c r="DG409" s="541" t="e">
        <f>IF(#REF!=0,"","+")</f>
        <v>#REF!</v>
      </c>
      <c r="DH409" s="541" t="e">
        <f>IF(#REF!=0,"","+")</f>
        <v>#REF!</v>
      </c>
      <c r="DI409" s="541"/>
      <c r="DJ409" s="541"/>
      <c r="DK409" s="541"/>
      <c r="DL409" s="541" t="e">
        <f>IF(#REF!=0,"","+")</f>
        <v>#REF!</v>
      </c>
      <c r="DM409" s="541" t="e">
        <f>IF(#REF!=0,"","+")</f>
        <v>#REF!</v>
      </c>
      <c r="DN409" s="541" t="e">
        <f>IF(#REF!=0,"","+")</f>
        <v>#REF!</v>
      </c>
      <c r="DO409" s="541" t="e">
        <f>IF(#REF!=0,"","+")</f>
        <v>#REF!</v>
      </c>
      <c r="DP409" s="541" t="e">
        <f>IF(#REF!=0,"","+")</f>
        <v>#REF!</v>
      </c>
      <c r="DQ409" s="541" t="e">
        <f>IF(#REF!=0,"","+")</f>
        <v>#REF!</v>
      </c>
      <c r="DR409" s="541"/>
      <c r="DS409" s="541"/>
      <c r="DT409" s="541"/>
      <c r="DU409" s="541"/>
      <c r="DV409" s="541"/>
      <c r="DW409" s="541"/>
      <c r="DX409" s="541" t="e">
        <f>IF(#REF!=0,"","+")</f>
        <v>#REF!</v>
      </c>
      <c r="DY409" s="541" t="e">
        <f>IF(#REF!=0,"","+")</f>
        <v>#REF!</v>
      </c>
      <c r="DZ409" s="541" t="e">
        <f>IF(#REF!=0,"","+")</f>
        <v>#REF!</v>
      </c>
      <c r="EA409" s="541" t="e">
        <f>IF(#REF!=0,"","+")</f>
        <v>#REF!</v>
      </c>
      <c r="EB409" s="541" t="e">
        <f>IF(#REF!=0,"","+")</f>
        <v>#REF!</v>
      </c>
      <c r="EC409" s="268"/>
      <c r="ED409" s="268"/>
      <c r="EE409" s="89"/>
      <c r="EF409" s="89"/>
      <c r="EG409" s="89"/>
      <c r="EH409" s="89"/>
      <c r="EI409" s="89"/>
      <c r="EJ409" s="89"/>
      <c r="EK409" s="89"/>
      <c r="EL409" s="89"/>
      <c r="EM409" s="89"/>
      <c r="EN409" s="89"/>
      <c r="EO409" s="89"/>
      <c r="EP409" s="89"/>
      <c r="EQ409" s="89"/>
      <c r="ER409" s="89"/>
      <c r="ES409" s="89"/>
      <c r="ET409" s="89"/>
      <c r="EU409" s="89"/>
      <c r="EV409" s="89"/>
      <c r="EW409" s="89"/>
      <c r="EX409" s="89"/>
      <c r="EY409" s="89"/>
      <c r="EZ409" s="89"/>
      <c r="FA409" s="89"/>
      <c r="FB409" s="89"/>
      <c r="FC409" s="89"/>
      <c r="FD409" s="89"/>
      <c r="FE409" s="89"/>
      <c r="FF409" s="107"/>
      <c r="FG409" s="107"/>
      <c r="FH409" s="107"/>
      <c r="FI409" s="107"/>
      <c r="FJ409" s="96"/>
      <c r="FK409" s="96"/>
      <c r="FL409" s="96"/>
      <c r="FM409" s="96"/>
      <c r="FN409" s="108"/>
      <c r="FO409" s="108"/>
      <c r="FP409" s="108"/>
      <c r="FQ409" s="108"/>
      <c r="FR409" s="108"/>
      <c r="FS409" s="108"/>
      <c r="FT409" s="108"/>
      <c r="FU409" s="108"/>
      <c r="FV409" s="108"/>
      <c r="FW409" s="108"/>
      <c r="FX409" s="301"/>
      <c r="FY409" s="259"/>
      <c r="FZ409" s="259"/>
      <c r="GA409" s="259"/>
      <c r="GB409" s="259"/>
      <c r="GC409" s="377"/>
      <c r="GD409" s="377"/>
      <c r="GE409" s="377"/>
      <c r="GF409" s="377"/>
      <c r="GG409" s="377"/>
      <c r="GH409" s="377"/>
      <c r="GI409" s="377"/>
      <c r="GJ409" s="377"/>
      <c r="GK409" s="377"/>
      <c r="GL409" s="377"/>
      <c r="GM409" s="377"/>
      <c r="GN409" s="377"/>
      <c r="GO409" s="307"/>
      <c r="GP409" s="307"/>
      <c r="GQ409" s="307"/>
      <c r="GR409" s="307"/>
      <c r="GS409" s="307"/>
      <c r="GT409" s="307"/>
      <c r="GU409" s="307"/>
      <c r="GV409" s="307"/>
    </row>
    <row r="410" spans="1:235" ht="9" customHeight="1">
      <c r="A410" s="60"/>
      <c r="B410" s="69"/>
      <c r="C410" s="69"/>
      <c r="D410" s="409"/>
      <c r="E410" s="409"/>
      <c r="F410" s="409"/>
      <c r="G410" s="409"/>
      <c r="H410" s="409"/>
      <c r="I410" s="409"/>
      <c r="J410" s="409"/>
      <c r="K410" s="409"/>
      <c r="L410" s="409"/>
      <c r="M410" s="409"/>
      <c r="N410" s="409"/>
      <c r="O410" s="409"/>
      <c r="P410" s="409"/>
      <c r="Q410" s="409"/>
      <c r="R410" s="409"/>
      <c r="S410" s="409"/>
      <c r="T410" s="409"/>
      <c r="U410" s="409"/>
      <c r="V410" s="409"/>
      <c r="W410" s="409"/>
      <c r="X410" s="89"/>
      <c r="Y410" s="89"/>
      <c r="BT410" s="89"/>
      <c r="BU410" s="89"/>
      <c r="BV410" s="89"/>
      <c r="BW410" s="89"/>
      <c r="CS410" s="89"/>
      <c r="CT410" s="89"/>
      <c r="CU410" s="89"/>
      <c r="CV410" s="89"/>
      <c r="CW410" s="89"/>
      <c r="CX410" s="89"/>
      <c r="CY410" s="89"/>
      <c r="CZ410" s="89"/>
      <c r="DB410" s="89"/>
      <c r="DD410" s="89"/>
      <c r="DE410" s="89"/>
      <c r="DF410" s="89"/>
      <c r="DG410" s="89"/>
      <c r="DH410" s="89"/>
      <c r="DI410" s="89"/>
      <c r="DJ410" s="89"/>
      <c r="DK410" s="89"/>
      <c r="DL410" s="89"/>
      <c r="DM410" s="89"/>
      <c r="DN410" s="89"/>
      <c r="DO410" s="89"/>
      <c r="DP410" s="89"/>
      <c r="DQ410" s="89"/>
      <c r="DR410" s="89"/>
      <c r="DS410" s="89"/>
      <c r="DT410" s="89"/>
      <c r="DU410" s="89"/>
      <c r="DV410" s="89"/>
      <c r="DW410" s="89"/>
      <c r="DX410" s="89"/>
      <c r="DY410" s="89"/>
      <c r="DZ410" s="89"/>
      <c r="EA410" s="89"/>
      <c r="EB410" s="89"/>
      <c r="EC410" s="89"/>
      <c r="ED410" s="288"/>
      <c r="EE410" s="268"/>
      <c r="EF410" s="268"/>
      <c r="EG410" s="268"/>
      <c r="EI410" s="395"/>
      <c r="EJ410" s="395"/>
      <c r="EK410" s="395"/>
      <c r="EL410" s="395"/>
      <c r="EM410" s="395"/>
      <c r="EN410" s="395"/>
      <c r="EO410" s="395"/>
      <c r="EP410" s="395"/>
      <c r="EQ410" s="395"/>
      <c r="ER410" s="395"/>
      <c r="ES410" s="395"/>
      <c r="ET410" s="395"/>
      <c r="EU410" s="395"/>
      <c r="EV410" s="395"/>
      <c r="EW410" s="395"/>
      <c r="EX410" s="395"/>
      <c r="EY410" s="395"/>
      <c r="EZ410" s="395"/>
      <c r="FA410" s="395"/>
      <c r="FB410" s="395"/>
      <c r="FC410" s="395"/>
      <c r="FD410" s="395"/>
      <c r="FE410" s="395"/>
      <c r="FF410" s="107"/>
      <c r="FG410" s="107"/>
      <c r="FH410" s="107"/>
      <c r="FI410" s="107"/>
      <c r="FJ410" s="96"/>
      <c r="FK410" s="96"/>
      <c r="FL410" s="96"/>
      <c r="FM410" s="300"/>
      <c r="FN410" s="300"/>
      <c r="FO410" s="108"/>
      <c r="FP410" s="108"/>
      <c r="FQ410" s="108"/>
      <c r="FR410" s="108"/>
      <c r="FS410" s="108"/>
      <c r="FT410" s="108"/>
      <c r="FU410" s="108"/>
      <c r="FV410" s="108"/>
      <c r="FW410" s="108"/>
      <c r="FX410" s="301"/>
      <c r="FY410" s="259"/>
      <c r="FZ410" s="259"/>
      <c r="GA410" s="259"/>
      <c r="GB410" s="259"/>
      <c r="GC410" s="377"/>
      <c r="GD410" s="377"/>
      <c r="GE410" s="377"/>
      <c r="GF410" s="377"/>
      <c r="GG410" s="377"/>
      <c r="GH410" s="377"/>
      <c r="GI410" s="377"/>
      <c r="GJ410" s="377"/>
      <c r="GK410" s="377"/>
      <c r="GL410" s="377"/>
      <c r="GM410" s="377"/>
      <c r="GN410" s="377"/>
      <c r="GO410" s="307"/>
      <c r="GP410" s="307"/>
      <c r="GQ410" s="307"/>
      <c r="GR410" s="307"/>
      <c r="GS410" s="307"/>
      <c r="GT410" s="307"/>
      <c r="GU410" s="307"/>
      <c r="GV410" s="307"/>
    </row>
    <row r="411" spans="1:235" ht="3.6" customHeight="1">
      <c r="A411" s="60"/>
      <c r="B411" s="69"/>
      <c r="C411" s="69"/>
      <c r="D411" s="409"/>
      <c r="E411" s="409"/>
      <c r="F411" s="409"/>
      <c r="G411" s="409"/>
      <c r="H411" s="409"/>
      <c r="I411" s="409"/>
      <c r="J411" s="409"/>
      <c r="K411" s="409"/>
      <c r="L411" s="409"/>
      <c r="M411" s="409"/>
      <c r="N411" s="409"/>
      <c r="O411" s="409"/>
      <c r="P411" s="409"/>
      <c r="Q411" s="409"/>
      <c r="R411" s="409"/>
      <c r="S411" s="409"/>
      <c r="T411" s="409"/>
      <c r="U411" s="409"/>
      <c r="V411" s="409"/>
      <c r="W411" s="409"/>
      <c r="X411" s="410"/>
      <c r="Y411" s="410"/>
      <c r="BT411" s="410"/>
      <c r="BU411" s="410"/>
      <c r="BV411" s="410"/>
      <c r="BW411" s="410"/>
      <c r="CS411" s="410"/>
      <c r="CT411" s="410"/>
      <c r="CU411" s="410"/>
      <c r="CV411" s="268"/>
      <c r="CW411" s="268"/>
      <c r="CX411" s="141"/>
      <c r="CY411" s="141"/>
      <c r="CZ411" s="141"/>
      <c r="DB411" s="89"/>
      <c r="DD411" s="553" t="str">
        <f ca="1">IF(FL1=0,"","+")</f>
        <v/>
      </c>
      <c r="DE411" s="541" t="e">
        <f>IF(#REF!=0,"","+")</f>
        <v>#REF!</v>
      </c>
      <c r="DF411" s="541" t="e">
        <f>IF(#REF!=0,"","+")</f>
        <v>#REF!</v>
      </c>
      <c r="DG411" s="541" t="e">
        <f>IF(#REF!=0,"","+")</f>
        <v>#REF!</v>
      </c>
      <c r="DH411" s="541" t="e">
        <f>IF(#REF!=0,"","+")</f>
        <v>#REF!</v>
      </c>
      <c r="DI411" s="541"/>
      <c r="DJ411" s="541"/>
      <c r="DK411" s="541"/>
      <c r="DL411" s="541" t="e">
        <f>IF(#REF!=0,"","+")</f>
        <v>#REF!</v>
      </c>
      <c r="DM411" s="541" t="e">
        <f>IF(#REF!=0,"","+")</f>
        <v>#REF!</v>
      </c>
      <c r="DN411" s="541" t="e">
        <f>IF(#REF!=0,"","+")</f>
        <v>#REF!</v>
      </c>
      <c r="DO411" s="541" t="e">
        <f>IF(#REF!=0,"","+")</f>
        <v>#REF!</v>
      </c>
      <c r="DP411" s="541" t="e">
        <f>IF(#REF!=0,"","+")</f>
        <v>#REF!</v>
      </c>
      <c r="DQ411" s="541" t="e">
        <f>IF(#REF!=0,"","+")</f>
        <v>#REF!</v>
      </c>
      <c r="DR411" s="541"/>
      <c r="DS411" s="541"/>
      <c r="DT411" s="541"/>
      <c r="DU411" s="541"/>
      <c r="DV411" s="541"/>
      <c r="DW411" s="541"/>
      <c r="DX411" s="541" t="e">
        <f>IF(#REF!=0,"","+")</f>
        <v>#REF!</v>
      </c>
      <c r="DY411" s="541" t="e">
        <f>IF(#REF!=0,"","+")</f>
        <v>#REF!</v>
      </c>
      <c r="DZ411" s="541" t="e">
        <f>IF(#REF!=0,"","+")</f>
        <v>#REF!</v>
      </c>
      <c r="EA411" s="541" t="e">
        <f>IF(#REF!=0,"","+")</f>
        <v>#REF!</v>
      </c>
      <c r="EB411" s="541" t="e">
        <f>IF(#REF!=0,"","+")</f>
        <v>#REF!</v>
      </c>
      <c r="EC411" s="89"/>
      <c r="ED411" s="268"/>
      <c r="EE411" s="268"/>
      <c r="EF411" s="268"/>
      <c r="EG411" s="268"/>
      <c r="EI411" s="141"/>
      <c r="EJ411" s="141"/>
      <c r="EK411" s="141"/>
      <c r="EL411" s="141"/>
      <c r="EM411" s="141"/>
      <c r="EN411" s="141"/>
      <c r="EO411" s="141"/>
      <c r="EP411" s="141"/>
      <c r="EQ411" s="141"/>
      <c r="ER411" s="141"/>
      <c r="ES411" s="141"/>
      <c r="ET411" s="141"/>
      <c r="EU411" s="141"/>
      <c r="EV411" s="141"/>
      <c r="EW411" s="141"/>
      <c r="EX411" s="141"/>
      <c r="EY411" s="141"/>
      <c r="EZ411" s="141"/>
      <c r="FA411" s="141"/>
      <c r="FB411" s="141"/>
      <c r="FC411" s="141"/>
      <c r="FD411" s="141"/>
      <c r="FE411" s="141"/>
      <c r="FF411" s="107"/>
      <c r="FG411" s="107"/>
      <c r="FH411" s="107"/>
      <c r="FI411" s="107"/>
      <c r="FJ411" s="96"/>
      <c r="FK411" s="96"/>
      <c r="FL411" s="96"/>
      <c r="FM411" s="300"/>
      <c r="FN411" s="300"/>
      <c r="FO411" s="108"/>
      <c r="FP411" s="108"/>
      <c r="FQ411" s="108"/>
      <c r="FR411" s="108"/>
      <c r="FS411" s="108"/>
      <c r="FT411" s="108"/>
      <c r="FU411" s="108"/>
      <c r="FV411" s="108"/>
      <c r="FW411" s="108"/>
      <c r="FX411" s="301"/>
      <c r="FY411" s="259"/>
      <c r="FZ411" s="259"/>
      <c r="GA411" s="259"/>
      <c r="GB411" s="259"/>
      <c r="GC411" s="377"/>
      <c r="GD411" s="377"/>
      <c r="GE411" s="377"/>
      <c r="GF411" s="377"/>
      <c r="GG411" s="377"/>
      <c r="GH411" s="377"/>
      <c r="GI411" s="377"/>
      <c r="GJ411" s="377"/>
      <c r="GK411" s="377"/>
      <c r="GL411" s="377"/>
      <c r="GM411" s="377"/>
      <c r="GN411" s="377"/>
      <c r="GO411" s="307"/>
      <c r="GP411" s="307"/>
      <c r="GQ411" s="307"/>
      <c r="GR411" s="307"/>
      <c r="GS411" s="307"/>
      <c r="GT411" s="307"/>
      <c r="GU411" s="307"/>
      <c r="GV411" s="307"/>
    </row>
    <row r="412" spans="1:235" ht="16.5" customHeight="1">
      <c r="A412" s="60"/>
      <c r="B412" s="69"/>
      <c r="C412" s="69"/>
      <c r="D412" s="268"/>
      <c r="E412" s="268"/>
      <c r="F412" s="268"/>
      <c r="G412" s="268"/>
      <c r="H412" s="268"/>
      <c r="I412" s="268"/>
      <c r="J412" s="268"/>
      <c r="K412" s="268"/>
      <c r="L412" s="268"/>
      <c r="M412" s="268"/>
      <c r="N412" s="268"/>
      <c r="O412" s="268"/>
      <c r="P412" s="268"/>
      <c r="Q412" s="268"/>
      <c r="R412" s="410"/>
      <c r="S412" s="410"/>
      <c r="T412" s="410"/>
      <c r="U412" s="410"/>
      <c r="V412" s="410"/>
      <c r="W412" s="410"/>
      <c r="X412" s="410"/>
      <c r="Y412" s="410"/>
      <c r="BT412" s="410"/>
      <c r="BU412" s="410"/>
      <c r="BV412" s="410"/>
      <c r="BW412" s="410"/>
      <c r="CS412" s="410"/>
      <c r="CT412" s="410"/>
      <c r="CU412" s="410"/>
      <c r="CV412" s="268"/>
      <c r="CW412" s="268"/>
      <c r="CX412" s="141"/>
      <c r="CY412" s="141"/>
      <c r="CZ412" s="141"/>
      <c r="DB412" s="302" t="str">
        <f ca="1">IF(FL1=0,"","zijn totale winst is:")</f>
        <v/>
      </c>
      <c r="DD412" s="409" t="str">
        <f ca="1">IF(FL1=0,"","+")</f>
        <v/>
      </c>
      <c r="DE412" s="556"/>
      <c r="DF412" s="557"/>
      <c r="DG412" s="557"/>
      <c r="DH412" s="557"/>
      <c r="DI412" s="557"/>
      <c r="DJ412" s="557"/>
      <c r="DK412" s="557"/>
      <c r="DL412" s="557"/>
      <c r="DM412" s="557"/>
      <c r="DN412" s="557"/>
      <c r="DO412" s="557"/>
      <c r="DP412" s="557"/>
      <c r="DQ412" s="557"/>
      <c r="DR412" s="557"/>
      <c r="DS412" s="557"/>
      <c r="DT412" s="557"/>
      <c r="DU412" s="557"/>
      <c r="DV412" s="557"/>
      <c r="DW412" s="557"/>
      <c r="DX412" s="557"/>
      <c r="DY412" s="557"/>
      <c r="DZ412" s="557"/>
      <c r="EA412" s="557"/>
      <c r="EB412" s="409" t="str">
        <f ca="1">IF(FL1=0,"","+")</f>
        <v/>
      </c>
      <c r="EC412" s="384" t="s">
        <v>131</v>
      </c>
      <c r="ED412" s="298"/>
      <c r="EE412" s="268"/>
      <c r="EF412" s="268"/>
      <c r="EG412" s="268"/>
      <c r="EI412" s="89"/>
      <c r="EJ412" s="89"/>
      <c r="EK412" s="89"/>
      <c r="EL412" s="89"/>
      <c r="EM412" s="89"/>
      <c r="EN412" s="89"/>
      <c r="EO412" s="89"/>
      <c r="EP412" s="89"/>
      <c r="EQ412" s="89"/>
      <c r="ER412" s="89"/>
      <c r="ES412" s="89"/>
      <c r="ET412" s="89"/>
      <c r="EU412" s="89"/>
      <c r="EV412" s="89"/>
      <c r="EW412" s="89"/>
      <c r="EX412" s="89"/>
      <c r="EY412" s="89"/>
      <c r="EZ412" s="89"/>
      <c r="FA412" s="89"/>
      <c r="FB412" s="89"/>
      <c r="FC412" s="89"/>
      <c r="FD412" s="89"/>
      <c r="FE412" s="89"/>
      <c r="FF412" s="107"/>
      <c r="FG412" s="107"/>
      <c r="FH412" s="107"/>
      <c r="FI412" s="107"/>
      <c r="FJ412" s="96">
        <f ca="1">IF(FM400+FM404+FM408+FM412=4,1,IF(FM400+FM404+FM408+FM412=3,2/3,IF(FM400+FM404+FM408+FM412=2,1/3,0)))</f>
        <v>0</v>
      </c>
      <c r="FK412" s="96"/>
      <c r="FL412" s="96">
        <f ca="1">IF(programma!B1="X",1,IF(FL1=0,0,IF(FM400+FM404+FM408+FM412=4,1,0)))</f>
        <v>0</v>
      </c>
      <c r="FM412" s="96">
        <f ca="1">IF(programma!B1="X",1,IF(AND(FL1=1,DE412&gt;FN412-0.01,DE412&lt;FN412+0.01),1,0))</f>
        <v>0</v>
      </c>
      <c r="FN412" s="339">
        <f ca="1">IF(FK1=0,"",FN408-(0.5*FQ371*FO404^2+FR371*FO404+FS371))</f>
        <v>400215</v>
      </c>
      <c r="FO412" s="300"/>
      <c r="FP412" s="108"/>
      <c r="FQ412" s="108"/>
      <c r="FR412" s="108"/>
      <c r="FS412" s="108"/>
      <c r="FT412" s="108"/>
      <c r="FU412" s="108"/>
      <c r="FV412" s="108"/>
      <c r="FW412" s="108"/>
      <c r="FX412" s="301"/>
      <c r="FY412" s="259"/>
      <c r="FZ412" s="259"/>
      <c r="GA412" s="259"/>
      <c r="GB412" s="259"/>
      <c r="GC412" s="377"/>
      <c r="GD412" s="377"/>
      <c r="GE412" s="377"/>
      <c r="GF412" s="377"/>
      <c r="GG412" s="377"/>
      <c r="GH412" s="377"/>
      <c r="GI412" s="377"/>
      <c r="GJ412" s="377"/>
      <c r="GK412" s="377"/>
      <c r="GL412" s="377"/>
      <c r="GM412" s="377"/>
      <c r="GN412" s="377"/>
      <c r="GO412" s="307"/>
      <c r="GP412" s="307"/>
      <c r="GQ412" s="307"/>
      <c r="GR412" s="307"/>
      <c r="GS412" s="307"/>
      <c r="GT412" s="307"/>
      <c r="GU412" s="307"/>
      <c r="GV412" s="307"/>
    </row>
    <row r="413" spans="1:235" ht="3.6" customHeight="1">
      <c r="A413" s="60"/>
      <c r="B413" s="69"/>
      <c r="C413" s="69"/>
      <c r="D413" s="409"/>
      <c r="E413" s="409"/>
      <c r="F413" s="409"/>
      <c r="G413" s="409"/>
      <c r="H413" s="409"/>
      <c r="I413" s="409"/>
      <c r="J413" s="409"/>
      <c r="K413" s="409"/>
      <c r="L413" s="409"/>
      <c r="M413" s="409"/>
      <c r="N413" s="409"/>
      <c r="O413" s="409"/>
      <c r="P413" s="409"/>
      <c r="Q413" s="409"/>
      <c r="R413" s="409"/>
      <c r="S413" s="409"/>
      <c r="T413" s="409"/>
      <c r="U413" s="409"/>
      <c r="V413" s="409"/>
      <c r="W413" s="409"/>
      <c r="X413" s="410"/>
      <c r="Y413" s="410"/>
      <c r="BR413" s="410"/>
      <c r="BS413" s="410"/>
      <c r="BT413" s="410"/>
      <c r="BU413" s="410"/>
      <c r="BV413" s="410"/>
      <c r="BW413" s="410"/>
      <c r="CS413" s="410"/>
      <c r="CT413" s="410"/>
      <c r="CU413" s="410"/>
      <c r="CV413" s="268"/>
      <c r="CW413" s="268"/>
      <c r="CX413" s="268"/>
      <c r="CY413" s="268"/>
      <c r="CZ413" s="268"/>
      <c r="DB413" s="268"/>
      <c r="DD413" s="553" t="str">
        <f ca="1">IF(FL1=0,"","+")</f>
        <v/>
      </c>
      <c r="DE413" s="541" t="e">
        <f>IF(#REF!=0,"","+")</f>
        <v>#REF!</v>
      </c>
      <c r="DF413" s="541" t="e">
        <f>IF(#REF!=0,"","+")</f>
        <v>#REF!</v>
      </c>
      <c r="DG413" s="541" t="e">
        <f>IF(#REF!=0,"","+")</f>
        <v>#REF!</v>
      </c>
      <c r="DH413" s="541" t="e">
        <f>IF(#REF!=0,"","+")</f>
        <v>#REF!</v>
      </c>
      <c r="DI413" s="541"/>
      <c r="DJ413" s="541"/>
      <c r="DK413" s="541"/>
      <c r="DL413" s="541" t="e">
        <f>IF(#REF!=0,"","+")</f>
        <v>#REF!</v>
      </c>
      <c r="DM413" s="541" t="e">
        <f>IF(#REF!=0,"","+")</f>
        <v>#REF!</v>
      </c>
      <c r="DN413" s="541" t="e">
        <f>IF(#REF!=0,"","+")</f>
        <v>#REF!</v>
      </c>
      <c r="DO413" s="541" t="e">
        <f>IF(#REF!=0,"","+")</f>
        <v>#REF!</v>
      </c>
      <c r="DP413" s="541" t="e">
        <f>IF(#REF!=0,"","+")</f>
        <v>#REF!</v>
      </c>
      <c r="DQ413" s="541" t="e">
        <f>IF(#REF!=0,"","+")</f>
        <v>#REF!</v>
      </c>
      <c r="DR413" s="541"/>
      <c r="DS413" s="541"/>
      <c r="DT413" s="541"/>
      <c r="DU413" s="541"/>
      <c r="DV413" s="541"/>
      <c r="DW413" s="541"/>
      <c r="DX413" s="541" t="e">
        <f>IF(#REF!=0,"","+")</f>
        <v>#REF!</v>
      </c>
      <c r="DY413" s="541" t="e">
        <f>IF(#REF!=0,"","+")</f>
        <v>#REF!</v>
      </c>
      <c r="DZ413" s="541" t="e">
        <f>IF(#REF!=0,"","+")</f>
        <v>#REF!</v>
      </c>
      <c r="EA413" s="541" t="e">
        <f>IF(#REF!=0,"","+")</f>
        <v>#REF!</v>
      </c>
      <c r="EB413" s="541" t="e">
        <f>IF(#REF!=0,"","+")</f>
        <v>#REF!</v>
      </c>
      <c r="EC413" s="268"/>
      <c r="ED413" s="268"/>
      <c r="EE413" s="89"/>
      <c r="EF413" s="89"/>
      <c r="EG413" s="89"/>
      <c r="EH413" s="89"/>
      <c r="EI413" s="89"/>
      <c r="EJ413" s="89"/>
      <c r="EK413" s="89"/>
      <c r="EL413" s="89"/>
      <c r="EM413" s="89"/>
      <c r="EN413" s="89"/>
      <c r="EO413" s="89"/>
      <c r="EP413" s="89"/>
      <c r="EQ413" s="89"/>
      <c r="ER413" s="89"/>
      <c r="ES413" s="89"/>
      <c r="ET413" s="89"/>
      <c r="EU413" s="89"/>
      <c r="EV413" s="89"/>
      <c r="EW413" s="89"/>
      <c r="EX413" s="89"/>
      <c r="EY413" s="89"/>
      <c r="EZ413" s="89"/>
      <c r="FA413" s="89"/>
      <c r="FB413" s="89"/>
      <c r="FC413" s="89"/>
      <c r="FD413" s="89"/>
      <c r="FE413" s="89"/>
      <c r="FF413" s="107"/>
      <c r="FG413" s="107"/>
      <c r="FH413" s="107"/>
      <c r="FI413" s="107"/>
      <c r="FJ413" s="96"/>
      <c r="FK413" s="96"/>
      <c r="FL413" s="96"/>
      <c r="FM413" s="96"/>
      <c r="FN413" s="96"/>
      <c r="FO413" s="96"/>
      <c r="FP413" s="108"/>
      <c r="FQ413" s="108"/>
      <c r="FR413" s="108"/>
      <c r="FS413" s="108"/>
      <c r="FT413" s="108"/>
      <c r="FU413" s="108"/>
      <c r="FV413" s="108"/>
      <c r="FW413" s="108"/>
      <c r="FX413" s="301"/>
      <c r="FY413" s="259"/>
      <c r="FZ413" s="259"/>
      <c r="GA413" s="259"/>
      <c r="GB413" s="259"/>
      <c r="GC413" s="377"/>
      <c r="GD413" s="377"/>
      <c r="GE413" s="377"/>
      <c r="GF413" s="377"/>
      <c r="GG413" s="377"/>
      <c r="GH413" s="377"/>
      <c r="GI413" s="377"/>
      <c r="GJ413" s="377"/>
      <c r="GK413" s="377"/>
      <c r="GL413" s="377"/>
      <c r="GM413" s="377"/>
      <c r="GN413" s="377"/>
      <c r="GO413" s="307"/>
      <c r="GP413" s="307"/>
      <c r="GQ413" s="307"/>
      <c r="GR413" s="307"/>
      <c r="GS413" s="307"/>
      <c r="GT413" s="307"/>
      <c r="GU413" s="307"/>
      <c r="GV413" s="307"/>
    </row>
    <row r="414" spans="1:235" s="268" customFormat="1" ht="20.399999999999999" customHeight="1">
      <c r="A414" s="60"/>
      <c r="B414" s="69"/>
      <c r="C414" s="69"/>
      <c r="D414" s="409"/>
      <c r="E414" s="141"/>
      <c r="F414" s="141"/>
      <c r="G414" s="141"/>
      <c r="H414" s="141"/>
      <c r="I414" s="141"/>
      <c r="J414" s="141"/>
      <c r="K414" s="141"/>
      <c r="L414" s="141"/>
      <c r="M414" s="141"/>
      <c r="N414" s="141"/>
      <c r="O414" s="141"/>
      <c r="P414" s="141"/>
      <c r="Q414" s="141"/>
      <c r="R414" s="410"/>
      <c r="S414" s="410"/>
      <c r="T414" s="410"/>
      <c r="U414" s="410"/>
      <c r="V414" s="410"/>
      <c r="W414" s="410"/>
      <c r="X414" s="410"/>
      <c r="Y414" s="410"/>
      <c r="Z414" s="410"/>
      <c r="AA414" s="410"/>
      <c r="AB414" s="410"/>
      <c r="AC414" s="410"/>
      <c r="AD414" s="410"/>
      <c r="AE414" s="410"/>
      <c r="AF414" s="410"/>
      <c r="AG414" s="410"/>
      <c r="AH414" s="410"/>
      <c r="AI414" s="410"/>
      <c r="AJ414" s="410"/>
      <c r="AK414" s="410"/>
      <c r="AL414" s="410"/>
      <c r="AM414" s="410"/>
      <c r="AN414" s="410"/>
      <c r="AO414" s="410"/>
      <c r="AP414" s="410"/>
      <c r="AQ414" s="410"/>
      <c r="AR414" s="410"/>
      <c r="AS414" s="410"/>
      <c r="AT414" s="410"/>
      <c r="AU414" s="410"/>
      <c r="AV414" s="410"/>
      <c r="AW414" s="410"/>
      <c r="AX414" s="410"/>
      <c r="AY414" s="410"/>
      <c r="AZ414" s="410"/>
      <c r="BA414" s="410"/>
      <c r="BB414" s="410"/>
      <c r="BC414" s="409"/>
      <c r="BD414" s="409"/>
      <c r="BE414" s="409"/>
      <c r="BF414" s="409"/>
      <c r="BG414" s="409"/>
      <c r="BH414" s="409"/>
      <c r="BI414" s="409"/>
      <c r="BJ414" s="409"/>
      <c r="BK414" s="409"/>
      <c r="BL414" s="409"/>
      <c r="BM414" s="409"/>
      <c r="BN414" s="409"/>
      <c r="BO414" s="409"/>
      <c r="BP414" s="409"/>
      <c r="BQ414" s="409"/>
      <c r="BR414" s="409"/>
      <c r="BS414" s="409"/>
      <c r="BT414" s="409"/>
      <c r="BU414" s="409"/>
      <c r="BV414" s="410"/>
      <c r="BW414" s="410"/>
      <c r="BX414" s="410"/>
      <c r="BY414" s="410"/>
      <c r="BZ414" s="410"/>
      <c r="CA414" s="410"/>
      <c r="CB414" s="410"/>
      <c r="CC414" s="410"/>
      <c r="CD414" s="141"/>
      <c r="CE414" s="141"/>
      <c r="CF414" s="141"/>
      <c r="CG414" s="141"/>
      <c r="CH414" s="141"/>
      <c r="CI414" s="141"/>
      <c r="CJ414" s="141"/>
      <c r="CK414" s="141"/>
      <c r="CL414" s="141"/>
      <c r="CM414" s="141"/>
      <c r="CN414" s="141"/>
      <c r="CO414" s="141"/>
      <c r="CP414" s="141"/>
      <c r="CQ414" s="141"/>
      <c r="CR414" s="141"/>
      <c r="CS414" s="141"/>
      <c r="CT414" s="141"/>
      <c r="CU414" s="141"/>
      <c r="CV414" s="141"/>
      <c r="CW414" s="141"/>
      <c r="CX414" s="141"/>
      <c r="CY414" s="141"/>
      <c r="CZ414" s="141"/>
      <c r="DA414" s="141"/>
      <c r="DB414" s="141"/>
      <c r="DC414" s="141"/>
      <c r="DD414" s="141"/>
      <c r="DE414" s="141"/>
      <c r="DF414" s="141"/>
      <c r="DG414" s="141"/>
      <c r="DH414" s="141"/>
      <c r="DI414" s="141"/>
      <c r="DJ414" s="141"/>
      <c r="DK414" s="141"/>
      <c r="DL414" s="141"/>
      <c r="DM414" s="141"/>
      <c r="DN414" s="141"/>
      <c r="DO414" s="141"/>
      <c r="DP414" s="141"/>
      <c r="DQ414" s="141"/>
      <c r="DR414" s="141"/>
      <c r="DS414" s="141"/>
      <c r="DT414" s="141"/>
      <c r="DU414" s="141"/>
      <c r="DV414" s="141"/>
      <c r="DW414" s="141"/>
      <c r="DX414" s="141"/>
      <c r="DY414" s="141"/>
      <c r="DZ414" s="141"/>
      <c r="EA414" s="141"/>
      <c r="EB414" s="141"/>
      <c r="EC414" s="141"/>
      <c r="ED414" s="141"/>
      <c r="EE414" s="141"/>
      <c r="EF414" s="141"/>
      <c r="EG414" s="141"/>
      <c r="EH414" s="141"/>
      <c r="EI414" s="141"/>
      <c r="EJ414" s="141"/>
      <c r="EK414" s="141"/>
      <c r="EL414" s="141"/>
      <c r="EM414" s="141"/>
      <c r="EN414" s="141"/>
      <c r="EO414" s="141"/>
      <c r="EP414" s="141"/>
      <c r="EQ414" s="141"/>
      <c r="ER414" s="141"/>
      <c r="ES414" s="141"/>
      <c r="ET414" s="141"/>
      <c r="EU414" s="141"/>
      <c r="EV414" s="141"/>
      <c r="EW414" s="141"/>
      <c r="EX414" s="141"/>
      <c r="EY414" s="141"/>
      <c r="EZ414" s="141"/>
      <c r="FA414" s="141"/>
      <c r="FB414" s="141"/>
      <c r="FC414" s="141"/>
      <c r="FD414" s="141"/>
      <c r="FE414" s="141"/>
      <c r="FF414" s="141"/>
      <c r="FG414" s="141"/>
      <c r="FH414" s="141"/>
      <c r="FI414" s="141"/>
      <c r="FJ414" s="96"/>
      <c r="FK414" s="96"/>
      <c r="FL414" s="377"/>
      <c r="FM414" s="377"/>
      <c r="FN414" s="377"/>
      <c r="FO414" s="377"/>
      <c r="FP414" s="377"/>
      <c r="FQ414" s="377"/>
      <c r="FR414" s="377"/>
      <c r="FS414" s="377"/>
      <c r="FT414" s="377"/>
      <c r="FU414" s="377"/>
      <c r="FV414" s="377"/>
      <c r="FW414" s="377"/>
      <c r="FX414" s="377"/>
      <c r="FY414" s="259"/>
      <c r="FZ414" s="259"/>
      <c r="GA414" s="259"/>
      <c r="GB414" s="259"/>
      <c r="GC414" s="259"/>
      <c r="GD414" s="259"/>
      <c r="GE414" s="259"/>
      <c r="GF414" s="259"/>
      <c r="GG414" s="259"/>
      <c r="GH414" s="259"/>
      <c r="GI414" s="259"/>
      <c r="GJ414" s="259"/>
      <c r="GK414" s="377"/>
      <c r="GL414" s="377"/>
      <c r="GM414" s="377"/>
      <c r="GN414" s="377"/>
      <c r="GO414" s="377"/>
      <c r="GP414" s="377"/>
      <c r="GQ414" s="377"/>
      <c r="GR414" s="377"/>
      <c r="GS414" s="377"/>
      <c r="GT414" s="377"/>
      <c r="GU414" s="377"/>
      <c r="GV414" s="377"/>
      <c r="GW414" s="66"/>
      <c r="GX414" s="66"/>
      <c r="GY414" s="66"/>
      <c r="GZ414" s="66"/>
      <c r="HA414" s="66"/>
      <c r="HB414" s="66"/>
      <c r="HC414" s="66"/>
      <c r="HD414" s="66"/>
      <c r="HE414" s="66"/>
      <c r="HF414" s="66"/>
      <c r="HG414" s="66"/>
      <c r="HH414" s="66"/>
      <c r="HI414" s="66"/>
      <c r="HJ414" s="66"/>
      <c r="HK414" s="66"/>
      <c r="HL414" s="66"/>
      <c r="HM414" s="66"/>
      <c r="HN414" s="66"/>
      <c r="HO414" s="66"/>
      <c r="HP414" s="66"/>
      <c r="HQ414" s="66"/>
      <c r="HR414" s="66"/>
      <c r="HS414" s="66"/>
      <c r="HT414" s="66"/>
      <c r="HU414" s="66"/>
      <c r="HV414" s="66"/>
      <c r="HW414" s="66"/>
      <c r="HX414" s="66"/>
      <c r="HY414" s="66"/>
      <c r="HZ414" s="66"/>
      <c r="IA414" s="66"/>
    </row>
    <row r="415" spans="1:235" ht="18.75" customHeight="1">
      <c r="A415" s="60"/>
      <c r="B415" s="69"/>
      <c r="C415" s="69"/>
      <c r="D415" s="270" t="str">
        <f ca="1">IF(FL1=0,"","Opgaven monopolistische concurrentie op lange termijn")</f>
        <v/>
      </c>
      <c r="E415" s="264"/>
      <c r="F415" s="264"/>
      <c r="G415" s="264"/>
      <c r="H415" s="264"/>
      <c r="I415" s="264"/>
      <c r="J415" s="265"/>
      <c r="K415" s="265"/>
      <c r="L415" s="265"/>
      <c r="M415" s="265"/>
      <c r="N415" s="265"/>
      <c r="O415" s="265"/>
      <c r="P415" s="265"/>
      <c r="Q415" s="265"/>
      <c r="R415" s="265"/>
      <c r="S415" s="265"/>
      <c r="T415" s="265"/>
      <c r="U415" s="265"/>
      <c r="V415" s="265"/>
      <c r="W415" s="265"/>
      <c r="X415" s="265"/>
      <c r="Y415" s="265"/>
      <c r="Z415" s="265"/>
      <c r="AA415" s="265"/>
      <c r="AB415" s="265"/>
      <c r="AC415" s="265"/>
      <c r="AD415" s="265"/>
      <c r="AE415" s="265"/>
      <c r="AF415" s="265"/>
      <c r="AG415" s="265"/>
      <c r="AH415" s="265"/>
      <c r="AI415" s="265"/>
      <c r="AJ415" s="265"/>
      <c r="AK415" s="265"/>
      <c r="AL415" s="265"/>
      <c r="AM415" s="265"/>
      <c r="AN415" s="265"/>
      <c r="AO415" s="265"/>
      <c r="AP415" s="265"/>
      <c r="AQ415" s="265"/>
      <c r="AR415" s="265"/>
      <c r="AS415" s="265"/>
      <c r="AT415" s="265"/>
      <c r="AU415" s="265"/>
      <c r="AV415" s="265"/>
      <c r="AW415" s="265"/>
      <c r="AX415" s="265"/>
      <c r="AY415" s="265"/>
      <c r="AZ415" s="265"/>
      <c r="BA415" s="265"/>
      <c r="BB415" s="265"/>
      <c r="BC415" s="265"/>
      <c r="BD415" s="265"/>
      <c r="BE415" s="265"/>
      <c r="BF415" s="265"/>
      <c r="BG415" s="265"/>
      <c r="BH415" s="265"/>
      <c r="BI415" s="265"/>
      <c r="BJ415" s="265"/>
      <c r="BK415" s="265"/>
      <c r="BL415" s="265"/>
      <c r="BM415" s="265"/>
      <c r="BN415" s="265"/>
      <c r="BO415" s="265"/>
      <c r="BP415" s="265"/>
      <c r="BQ415" s="265"/>
      <c r="BR415" s="265"/>
      <c r="BS415" s="265"/>
      <c r="BT415" s="265"/>
      <c r="BU415" s="265"/>
      <c r="BV415" s="265"/>
      <c r="BW415" s="265"/>
      <c r="BX415" s="265"/>
      <c r="BY415" s="265"/>
      <c r="BZ415" s="265"/>
      <c r="CA415" s="265"/>
      <c r="CB415" s="265"/>
      <c r="CC415" s="265"/>
      <c r="CD415" s="265"/>
      <c r="CE415" s="265"/>
      <c r="CF415" s="265"/>
      <c r="CG415" s="265"/>
      <c r="CH415" s="265"/>
      <c r="CI415" s="265"/>
      <c r="CJ415" s="265"/>
      <c r="CK415" s="265"/>
      <c r="CL415" s="265"/>
      <c r="CM415" s="265"/>
      <c r="CN415" s="265"/>
      <c r="CO415" s="265"/>
      <c r="CP415" s="265"/>
      <c r="CQ415" s="265"/>
      <c r="CR415" s="265"/>
      <c r="CS415" s="265"/>
      <c r="CT415" s="265"/>
      <c r="CU415" s="265"/>
      <c r="CV415" s="265"/>
      <c r="CW415" s="265"/>
      <c r="CX415" s="265"/>
      <c r="CY415" s="265"/>
      <c r="CZ415" s="265"/>
      <c r="DA415" s="265"/>
      <c r="DB415" s="265"/>
      <c r="DC415" s="265"/>
      <c r="DD415" s="265"/>
      <c r="DE415" s="265"/>
      <c r="DF415" s="265"/>
      <c r="DG415" s="265"/>
      <c r="DH415" s="265"/>
      <c r="DI415" s="265"/>
      <c r="DJ415" s="265"/>
      <c r="DK415" s="265"/>
      <c r="DL415" s="268"/>
      <c r="DM415" s="268"/>
      <c r="DN415" s="268"/>
      <c r="DO415" s="268"/>
      <c r="DP415" s="268"/>
      <c r="DQ415" s="268"/>
      <c r="DR415" s="268"/>
      <c r="DS415" s="268"/>
      <c r="DT415" s="268"/>
      <c r="DU415" s="268"/>
      <c r="DV415" s="268"/>
      <c r="DW415" s="268"/>
      <c r="DX415" s="268"/>
      <c r="DY415" s="268"/>
      <c r="DZ415" s="268"/>
      <c r="EA415" s="268"/>
      <c r="EB415" s="268"/>
      <c r="EC415" s="265"/>
      <c r="ED415" s="265"/>
      <c r="EE415" s="265"/>
      <c r="EF415" s="265"/>
      <c r="EG415" s="265"/>
      <c r="EH415" s="265"/>
      <c r="EI415" s="265"/>
      <c r="EJ415" s="265"/>
      <c r="EK415" s="265"/>
      <c r="EL415" s="265"/>
      <c r="EM415" s="265"/>
      <c r="EN415" s="265"/>
      <c r="EO415" s="265"/>
      <c r="EP415" s="265"/>
      <c r="EQ415" s="265"/>
      <c r="ER415" s="265"/>
      <c r="ES415" s="265"/>
      <c r="ET415" s="265"/>
      <c r="EU415" s="265"/>
      <c r="EV415" s="265"/>
      <c r="EW415" s="265"/>
      <c r="EX415" s="265"/>
      <c r="EY415" s="265"/>
      <c r="EZ415" s="265"/>
      <c r="FA415" s="265"/>
      <c r="FB415" s="265"/>
      <c r="FC415" s="265"/>
      <c r="FD415" s="265"/>
      <c r="FE415" s="265"/>
      <c r="FF415" s="265"/>
      <c r="FG415" s="268"/>
      <c r="FH415" s="271"/>
      <c r="FI415" s="141"/>
      <c r="FJ415" s="257"/>
      <c r="FK415" s="257"/>
      <c r="FL415" s="257"/>
      <c r="FM415" s="257"/>
      <c r="FN415" s="258"/>
      <c r="FO415" s="257"/>
      <c r="FP415" s="257"/>
      <c r="FQ415" s="257"/>
      <c r="FR415" s="257"/>
      <c r="FS415" s="257"/>
      <c r="FT415" s="257"/>
      <c r="FU415" s="257"/>
      <c r="FV415" s="269"/>
      <c r="FW415" s="269"/>
      <c r="FX415" s="259"/>
      <c r="FY415" s="259"/>
      <c r="FZ415" s="259"/>
      <c r="GA415" s="259"/>
      <c r="GB415" s="259"/>
      <c r="GC415" s="259"/>
      <c r="GD415" s="259"/>
      <c r="GE415" s="259"/>
      <c r="GF415" s="259"/>
      <c r="GG415" s="259"/>
      <c r="GH415" s="259"/>
      <c r="GI415" s="259"/>
      <c r="GJ415" s="259"/>
      <c r="GK415" s="259"/>
      <c r="GL415" s="259"/>
      <c r="GM415" s="259"/>
      <c r="GN415" s="259"/>
      <c r="GO415" s="259"/>
      <c r="GP415" s="259"/>
      <c r="GQ415" s="259"/>
      <c r="GR415" s="259"/>
      <c r="GS415" s="259"/>
      <c r="GT415" s="259"/>
      <c r="GU415" s="259"/>
      <c r="GV415" s="259"/>
    </row>
    <row r="416" spans="1:235" ht="18.75" customHeight="1">
      <c r="A416" s="60"/>
      <c r="B416" s="69"/>
      <c r="C416" s="69"/>
      <c r="D416" s="267" t="s">
        <v>161</v>
      </c>
      <c r="E416" s="264"/>
      <c r="F416" s="264"/>
      <c r="G416" s="264"/>
      <c r="H416" s="264"/>
      <c r="I416" s="264"/>
      <c r="J416" s="265"/>
      <c r="K416" s="265"/>
      <c r="L416" s="265"/>
      <c r="M416" s="265"/>
      <c r="N416" s="265"/>
      <c r="O416" s="265"/>
      <c r="P416" s="265"/>
      <c r="Q416" s="265"/>
      <c r="R416" s="265"/>
      <c r="S416" s="265"/>
      <c r="T416" s="265"/>
      <c r="U416" s="265"/>
      <c r="V416" s="265"/>
      <c r="W416" s="265"/>
      <c r="X416" s="265"/>
      <c r="Y416" s="265"/>
      <c r="Z416" s="265"/>
      <c r="AA416" s="265"/>
      <c r="AB416" s="265"/>
      <c r="AC416" s="265"/>
      <c r="AD416" s="265"/>
      <c r="AE416" s="265"/>
      <c r="AF416" s="265"/>
      <c r="AG416" s="265"/>
      <c r="AH416" s="265"/>
      <c r="AI416" s="265"/>
      <c r="AJ416" s="265"/>
      <c r="AK416" s="265"/>
      <c r="AL416" s="265"/>
      <c r="AM416" s="265"/>
      <c r="AN416" s="265"/>
      <c r="AO416" s="265"/>
      <c r="AP416" s="265"/>
      <c r="AQ416" s="265"/>
      <c r="AR416" s="265"/>
      <c r="AS416" s="265"/>
      <c r="AT416" s="265"/>
      <c r="AU416" s="265"/>
      <c r="AV416" s="265"/>
      <c r="AW416" s="265"/>
      <c r="AX416" s="265"/>
      <c r="AY416" s="265"/>
      <c r="AZ416" s="265"/>
      <c r="BA416" s="265"/>
      <c r="BB416" s="265"/>
      <c r="BC416" s="265"/>
      <c r="BD416" s="265"/>
      <c r="BE416" s="265"/>
      <c r="BF416" s="265"/>
      <c r="BG416" s="265"/>
      <c r="BH416" s="265"/>
      <c r="BI416" s="265"/>
      <c r="BJ416" s="265"/>
      <c r="BK416" s="265"/>
      <c r="BL416" s="265"/>
      <c r="BM416" s="265"/>
      <c r="BN416" s="265"/>
      <c r="BO416" s="265"/>
      <c r="BP416" s="265"/>
      <c r="BQ416" s="265"/>
      <c r="BR416" s="265"/>
      <c r="BS416" s="265"/>
      <c r="BT416" s="265"/>
      <c r="BU416" s="265"/>
      <c r="BV416" s="265"/>
      <c r="BW416" s="265"/>
      <c r="BX416" s="265"/>
      <c r="BY416" s="265"/>
      <c r="BZ416" s="265"/>
      <c r="CA416" s="265"/>
      <c r="CB416" s="265"/>
      <c r="CC416" s="265"/>
      <c r="CD416" s="265"/>
      <c r="CE416" s="265"/>
      <c r="CF416" s="265"/>
      <c r="CG416" s="265"/>
      <c r="CH416" s="265"/>
      <c r="CI416" s="265"/>
      <c r="CJ416" s="265"/>
      <c r="CK416" s="265"/>
      <c r="CL416" s="265"/>
      <c r="CM416" s="265"/>
      <c r="CN416" s="265"/>
      <c r="CO416" s="265"/>
      <c r="CP416" s="265"/>
      <c r="CQ416" s="265"/>
      <c r="CR416" s="265"/>
      <c r="CS416" s="265"/>
      <c r="CT416" s="265"/>
      <c r="CU416" s="265"/>
      <c r="CV416" s="265"/>
      <c r="CW416" s="265"/>
      <c r="CX416" s="265"/>
      <c r="CY416" s="265"/>
      <c r="CZ416" s="265"/>
      <c r="DA416" s="265"/>
      <c r="DB416" s="265"/>
      <c r="DC416" s="265"/>
      <c r="DD416" s="265"/>
      <c r="DE416" s="265"/>
      <c r="DF416" s="265"/>
      <c r="DG416" s="265"/>
      <c r="DH416" s="265"/>
      <c r="DI416" s="265"/>
      <c r="DJ416" s="265"/>
      <c r="DK416" s="265"/>
      <c r="DL416" s="268"/>
      <c r="DM416" s="268"/>
      <c r="DN416" s="268"/>
      <c r="DO416" s="268"/>
      <c r="DP416" s="268"/>
      <c r="DQ416" s="268"/>
      <c r="DR416" s="268"/>
      <c r="DS416" s="268"/>
      <c r="DT416" s="268"/>
      <c r="DU416" s="268"/>
      <c r="DV416" s="268"/>
      <c r="DW416" s="268"/>
      <c r="DX416" s="268"/>
      <c r="DY416" s="268"/>
      <c r="DZ416" s="268"/>
      <c r="EA416" s="268"/>
      <c r="EB416" s="268"/>
      <c r="EC416" s="265"/>
      <c r="ED416" s="265"/>
      <c r="EE416" s="265"/>
      <c r="EF416" s="265"/>
      <c r="EG416" s="265"/>
      <c r="EH416" s="265"/>
      <c r="EI416" s="265"/>
      <c r="EJ416" s="265"/>
      <c r="EK416" s="265"/>
      <c r="EL416" s="265"/>
      <c r="EM416" s="265"/>
      <c r="EN416" s="265"/>
      <c r="EO416" s="265"/>
      <c r="EP416" s="265"/>
      <c r="EQ416" s="265"/>
      <c r="ER416" s="265"/>
      <c r="ES416" s="265"/>
      <c r="ET416" s="265"/>
      <c r="EU416" s="265"/>
      <c r="EV416" s="265"/>
      <c r="EW416" s="265"/>
      <c r="EX416" s="265"/>
      <c r="EY416" s="265"/>
      <c r="EZ416" s="265"/>
      <c r="FA416" s="265"/>
      <c r="FB416" s="265"/>
      <c r="FC416" s="265"/>
      <c r="FD416" s="265"/>
      <c r="FE416" s="265"/>
      <c r="FF416" s="265"/>
      <c r="FG416" s="265"/>
      <c r="FH416" s="141" t="s">
        <v>162</v>
      </c>
      <c r="FI416" s="141"/>
      <c r="FJ416" s="257"/>
      <c r="FK416" s="257"/>
      <c r="FL416" s="257"/>
      <c r="FM416" s="257"/>
      <c r="FN416" s="257"/>
      <c r="FO416" s="257"/>
      <c r="FP416" s="257"/>
      <c r="FQ416" s="257"/>
      <c r="FR416" s="257"/>
      <c r="FS416" s="257"/>
      <c r="FT416" s="257"/>
      <c r="FU416" s="257"/>
      <c r="FV416" s="259"/>
      <c r="FW416" s="259"/>
      <c r="FX416" s="259"/>
      <c r="FY416" s="259"/>
      <c r="FZ416" s="259"/>
      <c r="GA416" s="259"/>
      <c r="GB416" s="259"/>
      <c r="GC416" s="259"/>
      <c r="GD416" s="259"/>
      <c r="GE416" s="259"/>
      <c r="GF416" s="259"/>
      <c r="GG416" s="259"/>
      <c r="GH416" s="259"/>
      <c r="GI416" s="259"/>
      <c r="GJ416" s="259"/>
      <c r="GK416" s="259"/>
      <c r="GL416" s="259"/>
      <c r="GM416" s="259"/>
      <c r="GN416" s="259"/>
      <c r="GO416" s="259"/>
      <c r="GP416" s="259"/>
      <c r="GQ416" s="259"/>
      <c r="GR416" s="259"/>
      <c r="GS416" s="259"/>
      <c r="GT416" s="259"/>
      <c r="GU416" s="259"/>
      <c r="GV416" s="259"/>
    </row>
    <row r="417" spans="1:236" s="268" customFormat="1" ht="16.95" customHeight="1">
      <c r="A417" s="60"/>
      <c r="B417" s="272" t="str">
        <f ca="1">IF(FL1=0,"",20)</f>
        <v/>
      </c>
      <c r="C417" s="69"/>
      <c r="D417" s="262" t="str">
        <f ca="1">IF(FL1=0,"","Hieronder zijn drie situaties bij monopolistische concurrentie getekend.")</f>
        <v/>
      </c>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141"/>
      <c r="AK417" s="141"/>
      <c r="AL417" s="141"/>
      <c r="AM417" s="141"/>
      <c r="AN417" s="141"/>
      <c r="AO417" s="141"/>
      <c r="AP417" s="141"/>
      <c r="AQ417" s="141"/>
      <c r="AR417" s="141"/>
      <c r="AS417" s="141"/>
      <c r="AT417" s="141"/>
      <c r="AU417" s="141"/>
      <c r="AV417" s="141"/>
      <c r="AW417" s="141"/>
      <c r="AX417" s="141"/>
      <c r="AY417" s="141"/>
      <c r="AZ417" s="141"/>
      <c r="BA417" s="141"/>
      <c r="BB417" s="141"/>
      <c r="BC417" s="141"/>
      <c r="BD417" s="141"/>
      <c r="BE417" s="141"/>
      <c r="BF417" s="141"/>
      <c r="BG417" s="141"/>
      <c r="BH417" s="141"/>
      <c r="BI417" s="141"/>
      <c r="BJ417" s="141"/>
      <c r="BK417" s="141"/>
      <c r="BL417" s="141"/>
      <c r="BM417" s="141"/>
      <c r="BN417" s="141"/>
      <c r="BO417" s="141"/>
      <c r="BP417" s="141"/>
      <c r="BQ417" s="141"/>
      <c r="BR417" s="141"/>
      <c r="BS417" s="141"/>
      <c r="BT417" s="141"/>
      <c r="BU417" s="141"/>
      <c r="BV417" s="141"/>
      <c r="BW417" s="141"/>
      <c r="BX417" s="141"/>
      <c r="BY417" s="141"/>
      <c r="BZ417" s="141"/>
      <c r="CA417" s="141"/>
      <c r="CB417" s="141"/>
      <c r="CC417" s="141"/>
      <c r="CD417" s="141"/>
      <c r="CE417" s="141"/>
      <c r="CF417" s="141"/>
      <c r="CG417" s="141"/>
      <c r="CH417" s="141"/>
      <c r="CI417" s="141"/>
      <c r="CJ417" s="141"/>
      <c r="CK417" s="141"/>
      <c r="CL417" s="141"/>
      <c r="CM417" s="141"/>
      <c r="CN417" s="141"/>
      <c r="CO417" s="141"/>
      <c r="CP417" s="141"/>
      <c r="CQ417" s="141"/>
      <c r="CR417" s="141"/>
      <c r="CS417" s="141"/>
      <c r="CT417" s="141"/>
      <c r="CU417" s="141"/>
      <c r="CV417" s="141"/>
      <c r="CW417" s="141"/>
      <c r="CX417" s="141"/>
      <c r="CY417" s="141"/>
      <c r="CZ417" s="141"/>
      <c r="DA417" s="141"/>
      <c r="DB417" s="141"/>
      <c r="DC417" s="141"/>
      <c r="DD417" s="141"/>
      <c r="DE417" s="141"/>
      <c r="DF417" s="141"/>
      <c r="DG417" s="141"/>
      <c r="DH417" s="141"/>
      <c r="DI417" s="141"/>
      <c r="DJ417" s="141"/>
      <c r="DK417" s="141"/>
      <c r="DL417" s="141"/>
      <c r="DM417" s="141"/>
      <c r="DN417" s="141"/>
      <c r="DO417" s="141"/>
      <c r="DP417" s="141"/>
      <c r="DQ417" s="141"/>
      <c r="DR417" s="141"/>
      <c r="DS417" s="141"/>
      <c r="DT417" s="141"/>
      <c r="DU417" s="141"/>
      <c r="DV417" s="141"/>
      <c r="DW417" s="141"/>
      <c r="DX417" s="141"/>
      <c r="DY417" s="141"/>
      <c r="DZ417" s="141"/>
      <c r="EA417" s="141"/>
      <c r="EB417" s="141"/>
      <c r="EC417" s="141"/>
      <c r="ED417" s="141"/>
      <c r="EE417" s="141"/>
      <c r="EF417" s="141"/>
      <c r="EG417" s="141"/>
      <c r="EH417" s="141"/>
      <c r="EI417" s="141"/>
      <c r="EJ417" s="141"/>
      <c r="EK417" s="141"/>
      <c r="EL417" s="141"/>
      <c r="EM417" s="141"/>
      <c r="EN417" s="141"/>
      <c r="EO417" s="141"/>
      <c r="EP417" s="141"/>
      <c r="EQ417" s="141"/>
      <c r="ER417" s="141"/>
      <c r="ES417" s="141"/>
      <c r="ET417" s="141"/>
      <c r="EU417" s="141"/>
      <c r="EV417" s="141"/>
      <c r="EW417" s="141"/>
      <c r="EX417" s="141"/>
      <c r="EY417" s="141"/>
      <c r="EZ417" s="141"/>
      <c r="FA417" s="141"/>
      <c r="FB417" s="141"/>
      <c r="FC417" s="141"/>
      <c r="FD417" s="141"/>
      <c r="FE417" s="141"/>
      <c r="FF417" s="141"/>
      <c r="FG417" s="141"/>
      <c r="FH417" s="141"/>
      <c r="FI417" s="141"/>
      <c r="FJ417" s="96"/>
      <c r="FK417" s="96"/>
      <c r="FL417" s="96"/>
      <c r="FM417" s="86"/>
      <c r="FN417" s="96"/>
      <c r="FO417" s="96"/>
      <c r="FP417" s="96"/>
      <c r="FQ417" s="86"/>
      <c r="FR417" s="86"/>
      <c r="FS417" s="86"/>
      <c r="FT417" s="86"/>
      <c r="FU417" s="86"/>
      <c r="FV417" s="86"/>
      <c r="FW417" s="86"/>
      <c r="FX417" s="86"/>
      <c r="FY417" s="259"/>
      <c r="FZ417" s="259"/>
      <c r="GA417" s="259"/>
      <c r="GB417" s="259"/>
      <c r="GC417" s="86"/>
      <c r="GD417" s="86"/>
      <c r="GE417" s="86"/>
      <c r="GF417" s="86"/>
      <c r="GG417" s="86"/>
      <c r="GH417" s="86"/>
      <c r="GI417" s="86"/>
      <c r="GJ417" s="86"/>
      <c r="GK417" s="86"/>
      <c r="GL417" s="86"/>
      <c r="GM417" s="86"/>
      <c r="GN417" s="86"/>
      <c r="GO417" s="86"/>
      <c r="GP417" s="377"/>
      <c r="GQ417" s="377"/>
      <c r="GR417" s="377"/>
      <c r="GS417" s="377"/>
      <c r="GT417" s="377"/>
      <c r="GU417" s="377"/>
      <c r="GV417" s="377"/>
      <c r="GW417" s="66"/>
      <c r="GX417" s="66"/>
      <c r="GY417" s="66"/>
      <c r="GZ417" s="66"/>
      <c r="HA417" s="66"/>
      <c r="HB417" s="66"/>
      <c r="HC417" s="66"/>
      <c r="HD417" s="66"/>
      <c r="HE417" s="66"/>
      <c r="HF417" s="66"/>
      <c r="HG417" s="66"/>
      <c r="HH417" s="66"/>
      <c r="HI417" s="66"/>
      <c r="HJ417" s="66"/>
      <c r="HK417" s="66"/>
      <c r="HL417" s="66"/>
      <c r="HM417" s="66"/>
      <c r="HN417" s="66"/>
      <c r="HO417" s="66"/>
      <c r="HP417" s="66"/>
      <c r="HQ417" s="66"/>
      <c r="HR417" s="66"/>
      <c r="HS417" s="66"/>
      <c r="HT417" s="66"/>
      <c r="HU417" s="66"/>
      <c r="HV417" s="66"/>
      <c r="HW417" s="66"/>
      <c r="HX417" s="66"/>
      <c r="HY417" s="66"/>
      <c r="HZ417" s="66"/>
      <c r="IA417" s="66"/>
    </row>
    <row r="418" spans="1:236" s="268" customFormat="1" ht="16.95" customHeight="1">
      <c r="A418" s="60"/>
      <c r="B418" s="272"/>
      <c r="C418" s="69"/>
      <c r="D418" s="341" t="str">
        <f ca="1">IF(FL1=0,"","Welke grafiek geeft de situatie op lange termijn weer?")</f>
        <v/>
      </c>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c r="AA418" s="141"/>
      <c r="AB418" s="141"/>
      <c r="AC418" s="141"/>
      <c r="AD418" s="141"/>
      <c r="AE418" s="141"/>
      <c r="AF418" s="141"/>
      <c r="AG418" s="141"/>
      <c r="AH418" s="141"/>
      <c r="AI418" s="141"/>
      <c r="AJ418" s="141"/>
      <c r="AK418" s="141"/>
      <c r="AL418" s="141"/>
      <c r="AM418" s="141"/>
      <c r="AN418" s="141"/>
      <c r="AO418" s="141"/>
      <c r="AP418" s="141"/>
      <c r="AQ418" s="141"/>
      <c r="AR418" s="141"/>
      <c r="AS418" s="141"/>
      <c r="AT418" s="141"/>
      <c r="AU418" s="141"/>
      <c r="AV418" s="141"/>
      <c r="AW418" s="141"/>
      <c r="AX418" s="141"/>
      <c r="AY418" s="141"/>
      <c r="AZ418" s="141"/>
      <c r="BA418" s="141"/>
      <c r="BB418" s="141"/>
      <c r="BC418" s="141"/>
      <c r="BD418" s="141"/>
      <c r="BE418" s="141"/>
      <c r="BF418" s="141"/>
      <c r="BG418" s="141"/>
      <c r="BH418" s="141"/>
      <c r="BI418" s="141"/>
      <c r="BJ418" s="141"/>
      <c r="BK418" s="141"/>
      <c r="BL418" s="141"/>
      <c r="BM418" s="141"/>
      <c r="BN418" s="141"/>
      <c r="BO418" s="141"/>
      <c r="BP418" s="141"/>
      <c r="BQ418" s="141"/>
      <c r="BR418" s="141"/>
      <c r="BS418" s="141"/>
      <c r="BT418" s="141"/>
      <c r="BU418" s="141"/>
      <c r="BV418" s="141"/>
      <c r="BW418" s="141"/>
      <c r="BX418" s="141"/>
      <c r="BY418" s="141"/>
      <c r="BZ418" s="141"/>
      <c r="CA418" s="141"/>
      <c r="CB418" s="141"/>
      <c r="CC418" s="141"/>
      <c r="CD418" s="141"/>
      <c r="CE418" s="141"/>
      <c r="CF418" s="141"/>
      <c r="CG418" s="141"/>
      <c r="CH418" s="141"/>
      <c r="CI418" s="141"/>
      <c r="CJ418" s="141"/>
      <c r="CK418" s="141"/>
      <c r="CL418" s="141"/>
      <c r="CM418" s="141"/>
      <c r="CN418" s="141"/>
      <c r="CO418" s="141"/>
      <c r="CP418" s="141"/>
      <c r="CQ418" s="141"/>
      <c r="CR418" s="141"/>
      <c r="CS418" s="141"/>
      <c r="CT418" s="141"/>
      <c r="CU418" s="141"/>
      <c r="CV418" s="141"/>
      <c r="CW418" s="141"/>
      <c r="CX418" s="141"/>
      <c r="CY418" s="141"/>
      <c r="CZ418" s="141"/>
      <c r="DA418" s="141"/>
      <c r="DB418" s="141"/>
      <c r="DC418" s="141"/>
      <c r="DD418" s="141"/>
      <c r="DE418" s="141"/>
      <c r="DF418" s="141"/>
      <c r="DG418" s="141"/>
      <c r="DH418" s="141"/>
      <c r="DI418" s="141"/>
      <c r="DJ418" s="141"/>
      <c r="DK418" s="141"/>
      <c r="DL418" s="141"/>
      <c r="DM418" s="141"/>
      <c r="DN418" s="141"/>
      <c r="DO418" s="141"/>
      <c r="DP418" s="141"/>
      <c r="DQ418" s="141"/>
      <c r="DR418" s="141"/>
      <c r="DS418" s="141"/>
      <c r="DT418" s="141"/>
      <c r="DU418" s="141"/>
      <c r="DV418" s="141"/>
      <c r="DW418" s="141"/>
      <c r="DX418" s="141"/>
      <c r="DY418" s="141"/>
      <c r="DZ418" s="141"/>
      <c r="EA418" s="141"/>
      <c r="EB418" s="141"/>
      <c r="EC418" s="141"/>
      <c r="ED418" s="141"/>
      <c r="EE418" s="141"/>
      <c r="EF418" s="141"/>
      <c r="EG418" s="141"/>
      <c r="EH418" s="141"/>
      <c r="EI418" s="141"/>
      <c r="EJ418" s="141"/>
      <c r="EK418" s="141"/>
      <c r="EL418" s="141"/>
      <c r="EM418" s="141"/>
      <c r="EN418" s="141"/>
      <c r="EO418" s="141"/>
      <c r="EP418" s="141"/>
      <c r="EQ418" s="141"/>
      <c r="ER418" s="141"/>
      <c r="ES418" s="141"/>
      <c r="ET418" s="141"/>
      <c r="EU418" s="141"/>
      <c r="EV418" s="141"/>
      <c r="EW418" s="141"/>
      <c r="EX418" s="141"/>
      <c r="EY418" s="141"/>
      <c r="EZ418" s="141"/>
      <c r="FA418" s="141"/>
      <c r="FB418" s="141"/>
      <c r="FC418" s="141"/>
      <c r="FD418" s="141"/>
      <c r="FE418" s="141"/>
      <c r="FF418" s="141"/>
      <c r="FG418" s="141"/>
      <c r="FH418" s="141"/>
      <c r="FI418" s="141"/>
      <c r="FJ418" s="96"/>
      <c r="FK418" s="96"/>
      <c r="FL418" s="96"/>
      <c r="FM418" s="356"/>
      <c r="FN418" s="96"/>
      <c r="FO418" s="96"/>
      <c r="FP418" s="96"/>
      <c r="FQ418" s="356"/>
      <c r="FR418" s="356"/>
      <c r="FS418" s="356"/>
      <c r="FT418" s="356"/>
      <c r="FU418" s="356"/>
      <c r="FV418" s="356"/>
      <c r="FW418" s="356"/>
      <c r="FX418" s="356"/>
      <c r="FY418" s="259"/>
      <c r="FZ418" s="259"/>
      <c r="GA418" s="259"/>
      <c r="GB418" s="259"/>
      <c r="GC418" s="356"/>
      <c r="GD418" s="356"/>
      <c r="GE418" s="356"/>
      <c r="GF418" s="356"/>
      <c r="GG418" s="356"/>
      <c r="GH418" s="356"/>
      <c r="GI418" s="356"/>
      <c r="GJ418" s="356"/>
      <c r="GK418" s="356"/>
      <c r="GL418" s="356"/>
      <c r="GM418" s="356"/>
      <c r="GN418" s="356"/>
      <c r="GO418" s="356"/>
      <c r="GP418" s="377"/>
      <c r="GQ418" s="377"/>
      <c r="GR418" s="377"/>
      <c r="GS418" s="377"/>
      <c r="GT418" s="377"/>
      <c r="GU418" s="377"/>
      <c r="GV418" s="377"/>
      <c r="GW418" s="66"/>
      <c r="GX418" s="66"/>
      <c r="GY418" s="66"/>
      <c r="GZ418" s="66"/>
      <c r="HA418" s="66"/>
      <c r="HB418" s="66"/>
      <c r="HC418" s="66"/>
      <c r="HD418" s="66"/>
      <c r="HE418" s="66"/>
      <c r="HF418" s="66"/>
      <c r="HG418" s="66"/>
      <c r="HH418" s="66"/>
      <c r="HI418" s="66"/>
      <c r="HJ418" s="66"/>
      <c r="HK418" s="66"/>
      <c r="HL418" s="66"/>
      <c r="HM418" s="66"/>
      <c r="HN418" s="66"/>
      <c r="HO418" s="66"/>
      <c r="HP418" s="66"/>
      <c r="HQ418" s="66"/>
      <c r="HR418" s="66"/>
      <c r="HS418" s="66"/>
      <c r="HT418" s="66"/>
      <c r="HU418" s="66"/>
      <c r="HV418" s="66"/>
      <c r="HW418" s="66"/>
      <c r="HX418" s="66"/>
      <c r="HY418" s="66"/>
      <c r="HZ418" s="66"/>
      <c r="IA418" s="66"/>
    </row>
    <row r="419" spans="1:236" s="268" customFormat="1" ht="16.95" customHeight="1">
      <c r="A419" s="60"/>
      <c r="B419" s="69"/>
      <c r="C419" s="69"/>
      <c r="D419" s="262"/>
      <c r="E419" s="262"/>
      <c r="F419" s="89"/>
      <c r="G419" s="89"/>
      <c r="H419" s="89"/>
      <c r="I419" s="89"/>
      <c r="J419" s="89"/>
      <c r="K419" s="89"/>
      <c r="L419" s="89"/>
      <c r="M419" s="89"/>
      <c r="N419" s="89"/>
      <c r="O419" s="89"/>
      <c r="P419" s="89"/>
      <c r="Q419" s="89"/>
      <c r="R419" s="89"/>
      <c r="S419" s="89"/>
      <c r="T419" s="89"/>
      <c r="U419" s="89"/>
      <c r="V419" s="89"/>
      <c r="W419" s="89"/>
      <c r="X419" s="89"/>
      <c r="Y419" s="89"/>
      <c r="Z419" s="89"/>
      <c r="AA419" s="89"/>
      <c r="AB419" s="89"/>
      <c r="AC419" s="89"/>
      <c r="AD419" s="89"/>
      <c r="AE419" s="141"/>
      <c r="AF419" s="141"/>
      <c r="AG419" s="141"/>
      <c r="AH419" s="141"/>
      <c r="AI419" s="141"/>
      <c r="AJ419" s="141"/>
      <c r="AK419" s="141"/>
      <c r="AL419" s="141"/>
      <c r="AM419" s="141"/>
      <c r="AN419" s="141"/>
      <c r="AO419" s="141"/>
      <c r="AP419" s="141"/>
      <c r="AQ419" s="141"/>
      <c r="AR419" s="141"/>
      <c r="AS419" s="141"/>
      <c r="AT419" s="141"/>
      <c r="AU419" s="141"/>
      <c r="AV419" s="141"/>
      <c r="AW419" s="141"/>
      <c r="AX419" s="141"/>
      <c r="AY419" s="141"/>
      <c r="AZ419" s="141"/>
      <c r="BA419" s="141"/>
      <c r="BB419" s="141"/>
      <c r="BC419" s="141"/>
      <c r="BD419" s="141"/>
      <c r="BE419" s="141"/>
      <c r="BF419" s="141"/>
      <c r="BG419" s="141"/>
      <c r="BH419" s="141"/>
      <c r="BI419" s="141"/>
      <c r="BJ419" s="141"/>
      <c r="BK419" s="141"/>
      <c r="BL419" s="141"/>
      <c r="BM419" s="141"/>
      <c r="BN419" s="141"/>
      <c r="BO419" s="141"/>
      <c r="BP419" s="141"/>
      <c r="BQ419" s="141"/>
      <c r="CV419" s="89"/>
      <c r="CW419" s="89"/>
      <c r="CX419" s="89"/>
      <c r="CY419" s="89"/>
      <c r="CZ419" s="89"/>
      <c r="DA419" s="89"/>
      <c r="DB419" s="89"/>
      <c r="DC419" s="89"/>
      <c r="DD419" s="89"/>
      <c r="DE419" s="89"/>
      <c r="DF419" s="89"/>
      <c r="DG419" s="89"/>
      <c r="DH419" s="89"/>
      <c r="DI419" s="89"/>
      <c r="DJ419" s="89"/>
      <c r="DK419" s="89"/>
      <c r="DL419" s="89"/>
      <c r="DM419" s="89"/>
      <c r="DN419" s="89"/>
      <c r="DO419" s="89"/>
      <c r="FA419" s="89"/>
      <c r="FB419" s="89"/>
      <c r="FC419" s="89"/>
      <c r="FD419" s="89"/>
      <c r="FE419" s="89"/>
      <c r="FF419" s="89"/>
      <c r="FG419" s="89"/>
      <c r="FH419" s="89"/>
      <c r="FI419" s="89"/>
      <c r="FJ419" s="96"/>
      <c r="FK419" s="257"/>
      <c r="FL419" s="257"/>
      <c r="FM419" s="96"/>
      <c r="FN419" s="96"/>
      <c r="FO419" s="96"/>
      <c r="FP419" s="96"/>
      <c r="FQ419" s="96"/>
      <c r="FR419" s="93"/>
      <c r="FS419" s="93"/>
      <c r="FT419" s="93"/>
      <c r="FU419" s="257"/>
      <c r="FV419" s="86"/>
      <c r="FW419" s="86"/>
      <c r="FX419" s="86"/>
      <c r="FY419" s="259"/>
      <c r="FZ419" s="259"/>
      <c r="GA419" s="259"/>
      <c r="GB419" s="259"/>
      <c r="GC419" s="259"/>
      <c r="GD419" s="259"/>
      <c r="GE419" s="259"/>
      <c r="GF419" s="259"/>
      <c r="GG419" s="259"/>
      <c r="GH419" s="259"/>
      <c r="GI419" s="259"/>
      <c r="GJ419" s="259"/>
      <c r="GK419" s="86"/>
      <c r="GL419" s="86"/>
      <c r="GM419" s="86"/>
      <c r="GN419" s="86"/>
      <c r="GO419" s="86"/>
      <c r="GP419" s="377"/>
      <c r="GQ419" s="377"/>
      <c r="GR419" s="377"/>
      <c r="GS419" s="377"/>
      <c r="GT419" s="377"/>
      <c r="GU419" s="377"/>
      <c r="GV419" s="377"/>
      <c r="GW419" s="66"/>
      <c r="GX419" s="66"/>
      <c r="GY419" s="66"/>
      <c r="GZ419" s="66"/>
      <c r="HA419" s="66"/>
      <c r="HB419" s="66"/>
      <c r="HC419" s="66"/>
      <c r="HD419" s="66"/>
      <c r="HE419" s="66"/>
      <c r="HF419" s="66"/>
      <c r="HG419" s="66"/>
      <c r="HH419" s="66"/>
      <c r="HI419" s="66"/>
      <c r="HJ419" s="66"/>
      <c r="HK419" s="66"/>
      <c r="HL419" s="66"/>
      <c r="HM419" s="66"/>
      <c r="HN419" s="66"/>
      <c r="HO419" s="66"/>
      <c r="HP419" s="66"/>
      <c r="HQ419" s="66"/>
      <c r="HR419" s="66"/>
      <c r="HS419" s="66"/>
      <c r="HT419" s="66"/>
      <c r="HU419" s="66"/>
      <c r="HV419" s="66"/>
      <c r="HW419" s="66"/>
      <c r="HX419" s="66"/>
      <c r="HY419" s="66"/>
      <c r="HZ419" s="66"/>
      <c r="IA419" s="66"/>
    </row>
    <row r="420" spans="1:236" ht="16.95" customHeight="1">
      <c r="A420" s="60"/>
      <c r="B420" s="272"/>
      <c r="C420" s="69"/>
      <c r="D420" s="262"/>
      <c r="E420" s="262"/>
      <c r="F420" s="262"/>
      <c r="G420" s="262"/>
      <c r="H420" s="262"/>
      <c r="I420" s="262"/>
      <c r="J420" s="262"/>
      <c r="K420" s="89"/>
      <c r="L420" s="89"/>
      <c r="M420" s="89"/>
      <c r="N420" s="89"/>
      <c r="O420" s="89"/>
      <c r="P420" s="89"/>
      <c r="Q420" s="89"/>
      <c r="R420" s="89"/>
      <c r="S420" s="89"/>
      <c r="T420" s="89"/>
      <c r="U420" s="89"/>
      <c r="V420" s="89"/>
      <c r="W420" s="89"/>
      <c r="X420" s="89"/>
      <c r="Y420" s="89"/>
      <c r="Z420" s="89"/>
      <c r="AA420" s="89"/>
      <c r="AB420" s="89"/>
      <c r="AC420" s="89"/>
      <c r="AD420" s="89"/>
      <c r="AE420" s="89"/>
      <c r="AF420" s="89"/>
      <c r="AG420" s="89"/>
      <c r="AH420" s="89"/>
      <c r="AI420" s="89"/>
      <c r="AJ420" s="89"/>
      <c r="AK420" s="89"/>
      <c r="AL420" s="89"/>
      <c r="AM420" s="89"/>
      <c r="AN420" s="89"/>
      <c r="AO420" s="89"/>
      <c r="AP420" s="89"/>
      <c r="AQ420" s="89"/>
      <c r="AR420" s="89"/>
      <c r="AS420" s="89"/>
      <c r="AT420" s="89"/>
      <c r="AU420" s="89"/>
      <c r="AV420" s="89"/>
      <c r="AW420" s="89"/>
      <c r="AX420" s="89"/>
      <c r="AY420" s="89"/>
      <c r="AZ420" s="89"/>
      <c r="BA420" s="89"/>
      <c r="BB420" s="89"/>
      <c r="BC420" s="89"/>
      <c r="BD420" s="89"/>
      <c r="BE420" s="89"/>
      <c r="BF420" s="89"/>
      <c r="BG420" s="89"/>
      <c r="BH420" s="89"/>
      <c r="BI420" s="89"/>
      <c r="BJ420" s="89"/>
      <c r="BK420" s="89"/>
      <c r="BL420" s="89"/>
      <c r="BM420" s="89"/>
      <c r="BN420" s="89"/>
      <c r="BO420" s="89"/>
      <c r="BP420" s="89"/>
      <c r="BQ420" s="89"/>
      <c r="BR420" s="89"/>
      <c r="BS420" s="89"/>
      <c r="BT420" s="89"/>
      <c r="BU420" s="89"/>
      <c r="BV420" s="89"/>
      <c r="BW420" s="89"/>
      <c r="BX420" s="89"/>
      <c r="BY420" s="89"/>
      <c r="BZ420" s="89"/>
      <c r="CA420" s="89"/>
      <c r="CB420" s="89"/>
      <c r="CC420" s="89"/>
      <c r="CD420" s="89"/>
      <c r="CE420" s="89"/>
      <c r="CF420" s="89"/>
      <c r="CG420" s="89"/>
      <c r="CH420" s="89"/>
      <c r="CI420" s="89"/>
      <c r="CJ420" s="89"/>
      <c r="CK420" s="89"/>
      <c r="CL420" s="89"/>
      <c r="CM420" s="89"/>
      <c r="CN420" s="89"/>
      <c r="CO420" s="89"/>
      <c r="CP420" s="89"/>
      <c r="CQ420" s="89"/>
      <c r="CR420" s="89"/>
      <c r="CS420" s="89"/>
      <c r="CT420" s="89"/>
      <c r="CU420" s="89"/>
      <c r="CV420" s="89"/>
      <c r="CW420" s="89"/>
      <c r="CX420" s="89"/>
      <c r="CY420" s="89"/>
      <c r="CZ420" s="89"/>
      <c r="DA420" s="89"/>
      <c r="DB420" s="89"/>
      <c r="DC420" s="89"/>
      <c r="DD420" s="89"/>
      <c r="DE420" s="89"/>
      <c r="DF420" s="89"/>
      <c r="DG420" s="89"/>
      <c r="DH420" s="89"/>
      <c r="DI420" s="89"/>
      <c r="DJ420" s="89"/>
      <c r="DK420" s="89"/>
      <c r="DL420" s="89"/>
      <c r="DM420" s="89"/>
      <c r="DN420" s="89"/>
      <c r="DO420" s="89"/>
      <c r="DP420" s="89"/>
      <c r="DQ420" s="89"/>
      <c r="DR420" s="89"/>
      <c r="DS420" s="89"/>
      <c r="DT420" s="89"/>
      <c r="DU420" s="141"/>
      <c r="DV420" s="141"/>
      <c r="DW420" s="141"/>
      <c r="DX420" s="141"/>
      <c r="DY420" s="141"/>
      <c r="DZ420" s="141"/>
      <c r="EA420" s="141"/>
      <c r="EB420" s="89"/>
      <c r="EC420" s="89"/>
      <c r="ED420" s="89"/>
      <c r="EE420" s="89"/>
      <c r="EF420" s="89"/>
      <c r="EG420" s="89"/>
      <c r="EH420" s="89"/>
      <c r="EI420" s="89"/>
      <c r="EJ420" s="89"/>
      <c r="EK420" s="89"/>
      <c r="EL420" s="89"/>
      <c r="EM420" s="89"/>
      <c r="EN420" s="89"/>
      <c r="EO420" s="89"/>
      <c r="EP420" s="89"/>
      <c r="EQ420" s="89"/>
      <c r="ER420" s="89"/>
      <c r="ES420" s="89"/>
      <c r="ET420" s="89"/>
      <c r="EU420" s="89"/>
      <c r="EV420" s="89"/>
      <c r="EW420" s="89"/>
      <c r="EX420" s="89"/>
      <c r="EY420" s="89"/>
      <c r="EZ420" s="89"/>
      <c r="FA420" s="89"/>
      <c r="FB420" s="89"/>
      <c r="FC420" s="89"/>
      <c r="FD420" s="89"/>
      <c r="FE420" s="89"/>
      <c r="FF420" s="89"/>
      <c r="FG420" s="89"/>
      <c r="FH420" s="89"/>
      <c r="FI420" s="89"/>
      <c r="FJ420" s="96"/>
      <c r="FK420" s="96"/>
      <c r="FL420" s="96"/>
      <c r="FM420" s="96"/>
      <c r="FN420" s="96"/>
      <c r="FO420" s="300"/>
      <c r="FP420" s="300"/>
      <c r="FQ420" s="300"/>
      <c r="FR420" s="300"/>
      <c r="FS420" s="300"/>
      <c r="FT420" s="300"/>
      <c r="FU420" s="300"/>
      <c r="FV420" s="108"/>
      <c r="FW420" s="108"/>
      <c r="FX420" s="301"/>
      <c r="FY420" s="259"/>
      <c r="FZ420" s="259"/>
      <c r="GA420" s="259"/>
      <c r="GB420" s="259"/>
      <c r="GC420" s="301"/>
      <c r="GD420" s="301"/>
      <c r="GE420" s="301"/>
      <c r="GF420" s="301"/>
      <c r="GG420" s="301"/>
      <c r="GH420" s="301"/>
      <c r="GI420" s="301"/>
      <c r="GJ420" s="301"/>
      <c r="GK420" s="301"/>
      <c r="GL420" s="301"/>
      <c r="GM420" s="301"/>
      <c r="GN420" s="301"/>
      <c r="GO420" s="301"/>
      <c r="GP420" s="301"/>
      <c r="GQ420" s="301"/>
      <c r="GR420" s="301"/>
      <c r="GS420" s="301"/>
      <c r="GT420" s="301"/>
      <c r="GU420" s="301"/>
      <c r="GV420" s="301"/>
      <c r="IB420" s="65"/>
    </row>
    <row r="421" spans="1:236" ht="16.95" customHeight="1">
      <c r="A421" s="60"/>
      <c r="B421" s="69"/>
      <c r="C421" s="69"/>
      <c r="D421" s="262"/>
      <c r="E421" s="262"/>
      <c r="F421" s="262"/>
      <c r="G421" s="262"/>
      <c r="H421" s="262"/>
      <c r="I421" s="262"/>
      <c r="J421" s="262"/>
      <c r="K421" s="89"/>
      <c r="L421" s="89"/>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89"/>
      <c r="AL421" s="89"/>
      <c r="AM421" s="89"/>
      <c r="AN421" s="89"/>
      <c r="AO421" s="89"/>
      <c r="AP421" s="89"/>
      <c r="AQ421" s="89"/>
      <c r="AR421" s="89"/>
      <c r="AS421" s="89"/>
      <c r="AT421" s="89"/>
      <c r="AU421" s="89"/>
      <c r="AV421" s="89"/>
      <c r="AW421" s="89"/>
      <c r="AX421" s="89"/>
      <c r="AY421" s="89"/>
      <c r="AZ421" s="89"/>
      <c r="BA421" s="89"/>
      <c r="BB421" s="89"/>
      <c r="BC421" s="89"/>
      <c r="BD421" s="89"/>
      <c r="BE421" s="89"/>
      <c r="BF421" s="89"/>
      <c r="BG421" s="89"/>
      <c r="BH421" s="89"/>
      <c r="BI421" s="89"/>
      <c r="BJ421" s="89"/>
      <c r="BK421" s="89"/>
      <c r="BL421" s="89"/>
      <c r="BM421" s="89"/>
      <c r="BN421" s="89"/>
      <c r="BO421" s="89"/>
      <c r="BP421" s="89"/>
      <c r="BQ421" s="89"/>
      <c r="BR421" s="89"/>
      <c r="BS421" s="89"/>
      <c r="BT421" s="89"/>
      <c r="BU421" s="89"/>
      <c r="BV421" s="89"/>
      <c r="BW421" s="89"/>
      <c r="BX421" s="89"/>
      <c r="BY421" s="89"/>
      <c r="BZ421" s="89"/>
      <c r="CA421" s="89"/>
      <c r="CB421" s="89"/>
      <c r="CC421" s="89"/>
      <c r="CD421" s="89"/>
      <c r="CE421" s="89"/>
      <c r="CF421" s="89"/>
      <c r="CG421" s="89"/>
      <c r="CH421" s="89"/>
      <c r="CI421" s="89"/>
      <c r="CJ421" s="89"/>
      <c r="CK421" s="89"/>
      <c r="CL421" s="89"/>
      <c r="CM421" s="89"/>
      <c r="CN421" s="89"/>
      <c r="CO421" s="89"/>
      <c r="CP421" s="89"/>
      <c r="CQ421" s="89"/>
      <c r="CR421" s="89"/>
      <c r="CS421" s="89"/>
      <c r="CT421" s="89"/>
      <c r="CU421" s="89"/>
      <c r="CV421" s="89"/>
      <c r="CW421" s="89"/>
      <c r="CX421" s="89"/>
      <c r="CY421" s="89"/>
      <c r="CZ421" s="89"/>
      <c r="DA421" s="89"/>
      <c r="DB421" s="89"/>
      <c r="DC421" s="89"/>
      <c r="DD421" s="89"/>
      <c r="DE421" s="89"/>
      <c r="DF421" s="89"/>
      <c r="DG421" s="89"/>
      <c r="DH421" s="89"/>
      <c r="DI421" s="89"/>
      <c r="DJ421" s="89"/>
      <c r="DK421" s="89"/>
      <c r="DL421" s="89"/>
      <c r="DM421" s="89"/>
      <c r="DN421" s="89"/>
      <c r="DO421" s="89"/>
      <c r="DP421" s="89"/>
      <c r="DQ421" s="89"/>
      <c r="DR421" s="89"/>
      <c r="DS421" s="89"/>
      <c r="DT421" s="89"/>
      <c r="DU421" s="141"/>
      <c r="DV421" s="141"/>
      <c r="DW421" s="141"/>
      <c r="DX421" s="141"/>
      <c r="DY421" s="141"/>
      <c r="DZ421" s="141"/>
      <c r="EA421" s="141"/>
      <c r="EB421" s="89"/>
      <c r="EC421" s="89"/>
      <c r="ED421" s="89"/>
      <c r="EE421" s="89"/>
      <c r="EF421" s="89"/>
      <c r="EG421" s="89"/>
      <c r="EH421" s="89"/>
      <c r="EI421" s="89"/>
      <c r="EJ421" s="89"/>
      <c r="EK421" s="89"/>
      <c r="EL421" s="89"/>
      <c r="EM421" s="89"/>
      <c r="EN421" s="89"/>
      <c r="EO421" s="89"/>
      <c r="EP421" s="89"/>
      <c r="EQ421" s="89"/>
      <c r="ER421" s="89"/>
      <c r="ES421" s="89"/>
      <c r="ET421" s="89"/>
      <c r="EU421" s="89"/>
      <c r="EV421" s="89"/>
      <c r="EW421" s="89"/>
      <c r="EX421" s="89"/>
      <c r="EY421" s="89"/>
      <c r="EZ421" s="89"/>
      <c r="FA421" s="89"/>
      <c r="FB421" s="89"/>
      <c r="FC421" s="89"/>
      <c r="FD421" s="89"/>
      <c r="FE421" s="89"/>
      <c r="FF421" s="89"/>
      <c r="FG421" s="89"/>
      <c r="FH421" s="89"/>
      <c r="FI421" s="89"/>
      <c r="FJ421" s="96"/>
      <c r="FK421" s="96"/>
      <c r="FL421" s="96"/>
      <c r="FM421" s="96"/>
      <c r="FN421" s="96"/>
      <c r="FO421" s="108"/>
      <c r="FP421" s="108"/>
      <c r="FQ421" s="108"/>
      <c r="FR421" s="108"/>
      <c r="FS421" s="108"/>
      <c r="FT421" s="108"/>
      <c r="FU421" s="108"/>
      <c r="FV421" s="108"/>
      <c r="FW421" s="108"/>
      <c r="FX421" s="301"/>
      <c r="FY421" s="259"/>
      <c r="FZ421" s="259"/>
      <c r="GA421" s="259"/>
      <c r="GB421" s="259"/>
      <c r="GC421" s="301"/>
      <c r="GD421" s="301"/>
      <c r="GE421" s="301"/>
      <c r="GF421" s="301"/>
      <c r="GG421" s="301"/>
      <c r="GH421" s="301"/>
      <c r="GI421" s="301"/>
      <c r="GJ421" s="301"/>
      <c r="GK421" s="301"/>
      <c r="GL421" s="301"/>
      <c r="GM421" s="301"/>
      <c r="GN421" s="301"/>
      <c r="GO421" s="301"/>
      <c r="GP421" s="301"/>
      <c r="GQ421" s="301"/>
      <c r="GR421" s="301"/>
      <c r="GS421" s="301"/>
      <c r="GT421" s="301"/>
      <c r="GU421" s="301"/>
      <c r="GV421" s="301"/>
      <c r="IB421" s="65"/>
    </row>
    <row r="422" spans="1:236" ht="16.95" customHeight="1">
      <c r="A422" s="60"/>
      <c r="B422" s="69"/>
      <c r="C422" s="69"/>
      <c r="D422" s="262"/>
      <c r="E422" s="262"/>
      <c r="F422" s="262"/>
      <c r="G422" s="262"/>
      <c r="H422" s="262"/>
      <c r="I422" s="262"/>
      <c r="J422" s="262"/>
      <c r="K422" s="89"/>
      <c r="L422" s="89"/>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89"/>
      <c r="AL422" s="89"/>
      <c r="AM422" s="89"/>
      <c r="AN422" s="89"/>
      <c r="AO422" s="89"/>
      <c r="AP422" s="89"/>
      <c r="AQ422" s="89"/>
      <c r="AR422" s="89"/>
      <c r="AS422" s="89"/>
      <c r="AT422" s="89"/>
      <c r="AU422" s="89"/>
      <c r="AV422" s="89"/>
      <c r="AW422" s="89"/>
      <c r="AX422" s="89"/>
      <c r="AY422" s="89"/>
      <c r="AZ422" s="89"/>
      <c r="BA422" s="89"/>
      <c r="BB422" s="89"/>
      <c r="BC422" s="89"/>
      <c r="BD422" s="89"/>
      <c r="BE422" s="89"/>
      <c r="BF422" s="89"/>
      <c r="BG422" s="89"/>
      <c r="BH422" s="89"/>
      <c r="BI422" s="89"/>
      <c r="BJ422" s="89"/>
      <c r="BK422" s="89"/>
      <c r="BL422" s="89"/>
      <c r="BM422" s="89"/>
      <c r="BN422" s="89"/>
      <c r="BO422" s="89"/>
      <c r="BP422" s="89"/>
      <c r="BQ422" s="89"/>
      <c r="BR422" s="89"/>
      <c r="BS422" s="89"/>
      <c r="BT422" s="89"/>
      <c r="BU422" s="89"/>
      <c r="BV422" s="89"/>
      <c r="BW422" s="89"/>
      <c r="BX422" s="89"/>
      <c r="BY422" s="89"/>
      <c r="BZ422" s="89"/>
      <c r="CA422" s="89"/>
      <c r="CB422" s="89"/>
      <c r="CC422" s="89"/>
      <c r="CD422" s="89"/>
      <c r="CE422" s="89"/>
      <c r="CF422" s="89"/>
      <c r="CG422" s="89"/>
      <c r="CH422" s="89"/>
      <c r="CI422" s="89"/>
      <c r="CJ422" s="89"/>
      <c r="CK422" s="89"/>
      <c r="CL422" s="89"/>
      <c r="CM422" s="89"/>
      <c r="CN422" s="89"/>
      <c r="CO422" s="89"/>
      <c r="CP422" s="89"/>
      <c r="CQ422" s="89"/>
      <c r="CR422" s="89"/>
      <c r="CS422" s="89"/>
      <c r="CT422" s="89"/>
      <c r="CU422" s="89"/>
      <c r="CV422" s="89"/>
      <c r="CW422" s="89"/>
      <c r="CX422" s="89"/>
      <c r="CY422" s="89"/>
      <c r="CZ422" s="89"/>
      <c r="DA422" s="89"/>
      <c r="DB422" s="89"/>
      <c r="DC422" s="89"/>
      <c r="DD422" s="89"/>
      <c r="DE422" s="89"/>
      <c r="DF422" s="89"/>
      <c r="DG422" s="89"/>
      <c r="DH422" s="89"/>
      <c r="DI422" s="89"/>
      <c r="DJ422" s="89"/>
      <c r="DK422" s="89"/>
      <c r="DL422" s="89"/>
      <c r="DM422" s="89"/>
      <c r="DN422" s="89"/>
      <c r="DO422" s="89"/>
      <c r="DP422" s="89"/>
      <c r="DQ422" s="89"/>
      <c r="DR422" s="89"/>
      <c r="DS422" s="89"/>
      <c r="DT422" s="89"/>
      <c r="DU422" s="141"/>
      <c r="DV422" s="141"/>
      <c r="DW422" s="141"/>
      <c r="DX422" s="141"/>
      <c r="DY422" s="141"/>
      <c r="DZ422" s="141"/>
      <c r="EA422" s="141"/>
      <c r="EB422" s="89"/>
      <c r="EC422" s="89"/>
      <c r="ED422" s="89"/>
      <c r="EE422" s="89"/>
      <c r="EF422" s="89"/>
      <c r="EG422" s="89"/>
      <c r="EH422" s="89"/>
      <c r="EI422" s="89"/>
      <c r="EJ422" s="89"/>
      <c r="EK422" s="89"/>
      <c r="EL422" s="89"/>
      <c r="EM422" s="89"/>
      <c r="EN422" s="89"/>
      <c r="EO422" s="89"/>
      <c r="EP422" s="89"/>
      <c r="EQ422" s="89"/>
      <c r="ER422" s="89"/>
      <c r="ES422" s="89"/>
      <c r="ET422" s="89"/>
      <c r="EU422" s="89"/>
      <c r="EV422" s="89"/>
      <c r="EW422" s="89"/>
      <c r="EX422" s="89"/>
      <c r="EY422" s="89"/>
      <c r="EZ422" s="89"/>
      <c r="FA422" s="89"/>
      <c r="FB422" s="89"/>
      <c r="FC422" s="89"/>
      <c r="FD422" s="89"/>
      <c r="FE422" s="89"/>
      <c r="FF422" s="89"/>
      <c r="FG422" s="89"/>
      <c r="FH422" s="89"/>
      <c r="FI422" s="89"/>
      <c r="FJ422" s="300"/>
      <c r="FK422" s="300"/>
      <c r="FL422" s="300"/>
      <c r="FM422" s="300"/>
      <c r="FN422" s="300"/>
      <c r="FO422" s="108"/>
      <c r="FP422" s="108"/>
      <c r="FQ422" s="108"/>
      <c r="FR422" s="108"/>
      <c r="FS422" s="108"/>
      <c r="FT422" s="108"/>
      <c r="FU422" s="108"/>
      <c r="FV422" s="108"/>
      <c r="FW422" s="108"/>
      <c r="FX422" s="301"/>
      <c r="FY422" s="259"/>
      <c r="FZ422" s="259"/>
      <c r="GA422" s="259"/>
      <c r="GB422" s="259"/>
      <c r="GC422" s="301"/>
      <c r="GD422" s="301"/>
      <c r="GE422" s="301"/>
      <c r="GF422" s="301"/>
      <c r="GG422" s="301"/>
      <c r="GH422" s="301"/>
      <c r="GI422" s="301"/>
      <c r="GJ422" s="301"/>
      <c r="GK422" s="301"/>
      <c r="GL422" s="301"/>
      <c r="GM422" s="301"/>
      <c r="GN422" s="301"/>
      <c r="GO422" s="301"/>
      <c r="GP422" s="301"/>
      <c r="GQ422" s="301"/>
      <c r="GR422" s="301"/>
      <c r="GS422" s="301"/>
      <c r="GT422" s="301"/>
      <c r="GU422" s="301"/>
      <c r="GV422" s="301"/>
      <c r="IB422" s="65"/>
    </row>
    <row r="423" spans="1:236" ht="16.95" customHeight="1">
      <c r="A423" s="60"/>
      <c r="B423" s="69"/>
      <c r="C423" s="69"/>
      <c r="D423" s="262"/>
      <c r="E423" s="262"/>
      <c r="F423" s="262"/>
      <c r="G423" s="262"/>
      <c r="H423" s="262"/>
      <c r="I423" s="262"/>
      <c r="J423" s="262"/>
      <c r="K423" s="89"/>
      <c r="L423" s="89"/>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89"/>
      <c r="AL423" s="89"/>
      <c r="AM423" s="89"/>
      <c r="AN423" s="89"/>
      <c r="AO423" s="89"/>
      <c r="AP423" s="89"/>
      <c r="AQ423" s="89"/>
      <c r="AR423" s="89"/>
      <c r="AS423" s="89"/>
      <c r="AT423" s="89"/>
      <c r="AU423" s="89"/>
      <c r="AV423" s="89"/>
      <c r="AW423" s="89"/>
      <c r="AX423" s="89"/>
      <c r="AY423" s="89"/>
      <c r="AZ423" s="89"/>
      <c r="BA423" s="89"/>
      <c r="BB423" s="89"/>
      <c r="BC423" s="89"/>
      <c r="BD423" s="89"/>
      <c r="BE423" s="89"/>
      <c r="BF423" s="89"/>
      <c r="BG423" s="89"/>
      <c r="BH423" s="89"/>
      <c r="BI423" s="89"/>
      <c r="BJ423" s="89"/>
      <c r="BK423" s="89"/>
      <c r="BL423" s="89"/>
      <c r="BM423" s="89"/>
      <c r="BN423" s="89"/>
      <c r="BO423" s="89"/>
      <c r="BP423" s="89"/>
      <c r="BQ423" s="89"/>
      <c r="BR423" s="89"/>
      <c r="BS423" s="89"/>
      <c r="BT423" s="89"/>
      <c r="BU423" s="89"/>
      <c r="BV423" s="89"/>
      <c r="BW423" s="89"/>
      <c r="BX423" s="89"/>
      <c r="BY423" s="89"/>
      <c r="BZ423" s="89"/>
      <c r="CA423" s="89"/>
      <c r="CB423" s="89"/>
      <c r="CC423" s="89"/>
      <c r="CD423" s="89"/>
      <c r="CE423" s="89"/>
      <c r="CF423" s="89"/>
      <c r="CG423" s="89"/>
      <c r="CH423" s="89"/>
      <c r="CI423" s="89"/>
      <c r="CJ423" s="89"/>
      <c r="CK423" s="89"/>
      <c r="CL423" s="89"/>
      <c r="CM423" s="89"/>
      <c r="CN423" s="89"/>
      <c r="CO423" s="89"/>
      <c r="CP423" s="89"/>
      <c r="CQ423" s="89"/>
      <c r="CR423" s="89"/>
      <c r="CS423" s="89"/>
      <c r="CT423" s="89"/>
      <c r="CU423" s="89"/>
      <c r="CV423" s="89"/>
      <c r="CW423" s="89"/>
      <c r="CX423" s="89"/>
      <c r="CY423" s="89"/>
      <c r="CZ423" s="89"/>
      <c r="DA423" s="89"/>
      <c r="DB423" s="89"/>
      <c r="DC423" s="89"/>
      <c r="DD423" s="89"/>
      <c r="DE423" s="89"/>
      <c r="DF423" s="89"/>
      <c r="DG423" s="89"/>
      <c r="DH423" s="89"/>
      <c r="DI423" s="89"/>
      <c r="DJ423" s="89"/>
      <c r="DK423" s="89"/>
      <c r="DL423" s="89"/>
      <c r="DM423" s="89"/>
      <c r="DN423" s="89"/>
      <c r="DO423" s="89"/>
      <c r="DP423" s="89"/>
      <c r="DQ423" s="89"/>
      <c r="DR423" s="89"/>
      <c r="DS423" s="89"/>
      <c r="DT423" s="89"/>
      <c r="DU423" s="141"/>
      <c r="DV423" s="141"/>
      <c r="DW423" s="141"/>
      <c r="DX423" s="141"/>
      <c r="DY423" s="141"/>
      <c r="DZ423" s="141"/>
      <c r="EA423" s="141"/>
      <c r="EB423" s="89"/>
      <c r="EC423" s="89"/>
      <c r="ED423" s="89"/>
      <c r="EE423" s="89"/>
      <c r="EF423" s="89"/>
      <c r="EG423" s="89"/>
      <c r="EH423" s="89"/>
      <c r="EI423" s="89"/>
      <c r="EJ423" s="89"/>
      <c r="EK423" s="89"/>
      <c r="EL423" s="89"/>
      <c r="EM423" s="89"/>
      <c r="EN423" s="89"/>
      <c r="EO423" s="89"/>
      <c r="EP423" s="89"/>
      <c r="EQ423" s="89"/>
      <c r="ER423" s="89"/>
      <c r="ES423" s="89"/>
      <c r="ET423" s="89"/>
      <c r="EU423" s="89"/>
      <c r="EV423" s="89"/>
      <c r="EW423" s="89"/>
      <c r="EX423" s="89"/>
      <c r="EY423" s="89"/>
      <c r="EZ423" s="89"/>
      <c r="FA423" s="89"/>
      <c r="FB423" s="89"/>
      <c r="FC423" s="89"/>
      <c r="FD423" s="89"/>
      <c r="FE423" s="89"/>
      <c r="FF423" s="89"/>
      <c r="FG423" s="89"/>
      <c r="FH423" s="89"/>
      <c r="FI423" s="89"/>
      <c r="FJ423" s="300"/>
      <c r="FK423" s="300"/>
      <c r="FL423" s="300"/>
      <c r="FM423" s="300"/>
      <c r="FN423" s="300"/>
      <c r="FO423" s="108"/>
      <c r="FP423" s="108"/>
      <c r="FQ423" s="108"/>
      <c r="FR423" s="108"/>
      <c r="FS423" s="108"/>
      <c r="FT423" s="108"/>
      <c r="FU423" s="108"/>
      <c r="FV423" s="108"/>
      <c r="FW423" s="108"/>
      <c r="FX423" s="301"/>
      <c r="FY423" s="259"/>
      <c r="FZ423" s="259"/>
      <c r="GA423" s="259"/>
      <c r="GB423" s="259"/>
      <c r="GC423" s="301"/>
      <c r="GD423" s="301"/>
      <c r="GE423" s="301"/>
      <c r="GF423" s="301"/>
      <c r="GG423" s="301"/>
      <c r="GH423" s="301"/>
      <c r="GI423" s="301"/>
      <c r="GJ423" s="301"/>
      <c r="GK423" s="301"/>
      <c r="GL423" s="301"/>
      <c r="GM423" s="301"/>
      <c r="GN423" s="301"/>
      <c r="GO423" s="301"/>
      <c r="GP423" s="301"/>
      <c r="GQ423" s="301"/>
      <c r="GR423" s="301"/>
      <c r="GS423" s="301"/>
      <c r="GT423" s="301"/>
      <c r="GU423" s="301"/>
      <c r="GV423" s="301"/>
      <c r="IB423" s="65"/>
    </row>
    <row r="424" spans="1:236" ht="16.95" customHeight="1">
      <c r="A424" s="60"/>
      <c r="B424" s="69"/>
      <c r="C424" s="69"/>
      <c r="D424" s="262"/>
      <c r="E424" s="262"/>
      <c r="F424" s="262"/>
      <c r="G424" s="262"/>
      <c r="H424" s="262"/>
      <c r="I424" s="262"/>
      <c r="J424" s="262"/>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89"/>
      <c r="AL424" s="89"/>
      <c r="AM424" s="89"/>
      <c r="AN424" s="89"/>
      <c r="AO424" s="89"/>
      <c r="AP424" s="89"/>
      <c r="AQ424" s="89"/>
      <c r="AR424" s="89"/>
      <c r="AS424" s="89"/>
      <c r="AT424" s="89"/>
      <c r="AU424" s="89"/>
      <c r="AV424" s="89"/>
      <c r="AW424" s="89"/>
      <c r="AX424" s="89"/>
      <c r="AY424" s="89"/>
      <c r="AZ424" s="89"/>
      <c r="BA424" s="89"/>
      <c r="BB424" s="89"/>
      <c r="BC424" s="89"/>
      <c r="BD424" s="89"/>
      <c r="BE424" s="89"/>
      <c r="BF424" s="89"/>
      <c r="BG424" s="89"/>
      <c r="BH424" s="89"/>
      <c r="BI424" s="89"/>
      <c r="BJ424" s="89"/>
      <c r="BK424" s="89"/>
      <c r="BL424" s="89"/>
      <c r="BM424" s="89"/>
      <c r="BN424" s="89"/>
      <c r="BO424" s="89"/>
      <c r="BP424" s="89"/>
      <c r="BQ424" s="89"/>
      <c r="BR424" s="89"/>
      <c r="BS424" s="89"/>
      <c r="BT424" s="89"/>
      <c r="BU424" s="89"/>
      <c r="BV424" s="89"/>
      <c r="BW424" s="89"/>
      <c r="BX424" s="89"/>
      <c r="BY424" s="89"/>
      <c r="BZ424" s="89"/>
      <c r="CA424" s="89"/>
      <c r="CB424" s="89"/>
      <c r="CC424" s="89"/>
      <c r="CD424" s="89"/>
      <c r="CE424" s="89"/>
      <c r="CF424" s="89"/>
      <c r="CG424" s="89"/>
      <c r="CH424" s="89"/>
      <c r="CI424" s="89"/>
      <c r="CJ424" s="89"/>
      <c r="CK424" s="89"/>
      <c r="CL424" s="89"/>
      <c r="CM424" s="89"/>
      <c r="CN424" s="89"/>
      <c r="CO424" s="89"/>
      <c r="CP424" s="89"/>
      <c r="CQ424" s="89"/>
      <c r="CR424" s="89"/>
      <c r="CS424" s="89"/>
      <c r="CT424" s="89"/>
      <c r="CU424" s="89"/>
      <c r="CV424" s="89"/>
      <c r="CW424" s="89"/>
      <c r="CX424" s="89"/>
      <c r="CY424" s="89"/>
      <c r="CZ424" s="89"/>
      <c r="DA424" s="89"/>
      <c r="DB424" s="89"/>
      <c r="DC424" s="89"/>
      <c r="DD424" s="89"/>
      <c r="DE424" s="89"/>
      <c r="DF424" s="89"/>
      <c r="DG424" s="89"/>
      <c r="DH424" s="89"/>
      <c r="DI424" s="89"/>
      <c r="DJ424" s="89"/>
      <c r="DK424" s="89"/>
      <c r="DL424" s="89"/>
      <c r="DM424" s="89"/>
      <c r="DN424" s="89"/>
      <c r="DO424" s="89"/>
      <c r="DP424" s="89"/>
      <c r="DQ424" s="89"/>
      <c r="DR424" s="89"/>
      <c r="DS424" s="89"/>
      <c r="DT424" s="89"/>
      <c r="DU424" s="141"/>
      <c r="DV424" s="141"/>
      <c r="DW424" s="141"/>
      <c r="DX424" s="141"/>
      <c r="DY424" s="141"/>
      <c r="DZ424" s="141"/>
      <c r="EA424" s="141"/>
      <c r="EB424" s="89"/>
      <c r="EC424" s="89"/>
      <c r="ED424" s="89"/>
      <c r="EE424" s="89"/>
      <c r="EF424" s="89"/>
      <c r="EG424" s="89"/>
      <c r="EH424" s="89"/>
      <c r="EI424" s="89"/>
      <c r="EJ424" s="89"/>
      <c r="EK424" s="89"/>
      <c r="EL424" s="89"/>
      <c r="EM424" s="89"/>
      <c r="EN424" s="89"/>
      <c r="EO424" s="89"/>
      <c r="EP424" s="89"/>
      <c r="EQ424" s="89"/>
      <c r="ER424" s="89"/>
      <c r="ES424" s="89"/>
      <c r="ET424" s="89"/>
      <c r="EU424" s="89"/>
      <c r="EV424" s="89"/>
      <c r="EW424" s="89"/>
      <c r="EX424" s="89"/>
      <c r="EY424" s="89"/>
      <c r="EZ424" s="89"/>
      <c r="FA424" s="89"/>
      <c r="FB424" s="89"/>
      <c r="FC424" s="89"/>
      <c r="FD424" s="89"/>
      <c r="FE424" s="89"/>
      <c r="FF424" s="89"/>
      <c r="FG424" s="89"/>
      <c r="FH424" s="89"/>
      <c r="FI424" s="89"/>
      <c r="FJ424" s="300"/>
      <c r="FK424" s="300"/>
      <c r="FL424" s="300"/>
      <c r="FM424" s="300"/>
      <c r="FN424" s="300"/>
      <c r="FO424" s="108"/>
      <c r="FP424" s="108"/>
      <c r="FQ424" s="108"/>
      <c r="FR424" s="108"/>
      <c r="FS424" s="108"/>
      <c r="FT424" s="108"/>
      <c r="FU424" s="108"/>
      <c r="FV424" s="108"/>
      <c r="FW424" s="108"/>
      <c r="FX424" s="301"/>
      <c r="FY424" s="259"/>
      <c r="FZ424" s="259"/>
      <c r="GA424" s="259"/>
      <c r="GB424" s="259"/>
      <c r="GC424" s="301"/>
      <c r="GD424" s="301"/>
      <c r="GE424" s="301"/>
      <c r="GF424" s="301"/>
      <c r="GG424" s="301"/>
      <c r="GH424" s="301"/>
      <c r="GI424" s="301"/>
      <c r="GJ424" s="301"/>
      <c r="GK424" s="301"/>
      <c r="GL424" s="301"/>
      <c r="GM424" s="301"/>
      <c r="GN424" s="301"/>
      <c r="GO424" s="301"/>
      <c r="GP424" s="301"/>
      <c r="GQ424" s="301"/>
      <c r="GR424" s="301"/>
      <c r="GS424" s="301"/>
      <c r="GT424" s="301"/>
      <c r="GU424" s="301"/>
      <c r="GV424" s="301"/>
      <c r="IB424" s="65"/>
    </row>
    <row r="425" spans="1:236" ht="16.95" customHeight="1">
      <c r="A425" s="60"/>
      <c r="B425" s="69"/>
      <c r="C425" s="69"/>
      <c r="D425" s="262"/>
      <c r="E425" s="262"/>
      <c r="F425" s="262"/>
      <c r="G425" s="262"/>
      <c r="H425" s="262"/>
      <c r="I425" s="262"/>
      <c r="J425" s="262"/>
      <c r="K425" s="89"/>
      <c r="L425" s="89"/>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89"/>
      <c r="AN425" s="89"/>
      <c r="AO425" s="89"/>
      <c r="AP425" s="89"/>
      <c r="AQ425" s="89"/>
      <c r="AR425" s="89"/>
      <c r="AS425" s="89"/>
      <c r="AT425" s="89"/>
      <c r="AU425" s="89"/>
      <c r="AV425" s="89"/>
      <c r="AW425" s="89"/>
      <c r="AX425" s="89"/>
      <c r="AY425" s="89"/>
      <c r="AZ425" s="89"/>
      <c r="BA425" s="89"/>
      <c r="BB425" s="89"/>
      <c r="BC425" s="89"/>
      <c r="BD425" s="89"/>
      <c r="BE425" s="89"/>
      <c r="BF425" s="89"/>
      <c r="BG425" s="89"/>
      <c r="BH425" s="89"/>
      <c r="BI425" s="89"/>
      <c r="BJ425" s="89"/>
      <c r="BK425" s="89"/>
      <c r="BL425" s="89"/>
      <c r="BM425" s="89"/>
      <c r="BN425" s="89"/>
      <c r="BO425" s="89"/>
      <c r="BP425" s="89"/>
      <c r="BQ425" s="89"/>
      <c r="BR425" s="89"/>
      <c r="BS425" s="89"/>
      <c r="BT425" s="89"/>
      <c r="BU425" s="89"/>
      <c r="BV425" s="89"/>
      <c r="BW425" s="89"/>
      <c r="BX425" s="89"/>
      <c r="BY425" s="89"/>
      <c r="BZ425" s="89"/>
      <c r="CA425" s="89"/>
      <c r="CB425" s="89"/>
      <c r="CC425" s="89"/>
      <c r="CD425" s="89"/>
      <c r="CE425" s="89"/>
      <c r="CF425" s="89"/>
      <c r="CG425" s="89"/>
      <c r="CH425" s="89"/>
      <c r="CI425" s="89"/>
      <c r="CJ425" s="89"/>
      <c r="CK425" s="89"/>
      <c r="CL425" s="89"/>
      <c r="CM425" s="89"/>
      <c r="CN425" s="89"/>
      <c r="CO425" s="89"/>
      <c r="CP425" s="89"/>
      <c r="CQ425" s="89"/>
      <c r="CR425" s="89"/>
      <c r="CS425" s="89"/>
      <c r="CT425" s="89"/>
      <c r="CU425" s="89"/>
      <c r="CV425" s="89"/>
      <c r="CW425" s="89"/>
      <c r="CX425" s="89"/>
      <c r="CY425" s="89"/>
      <c r="CZ425" s="89"/>
      <c r="DA425" s="89"/>
      <c r="DB425" s="89"/>
      <c r="DC425" s="89"/>
      <c r="DD425" s="89"/>
      <c r="DE425" s="89"/>
      <c r="DF425" s="89"/>
      <c r="DG425" s="89"/>
      <c r="DH425" s="89"/>
      <c r="DI425" s="89"/>
      <c r="DJ425" s="89"/>
      <c r="DK425" s="89"/>
      <c r="DL425" s="89"/>
      <c r="DM425" s="89"/>
      <c r="DN425" s="89"/>
      <c r="DO425" s="89"/>
      <c r="DP425" s="89"/>
      <c r="DQ425" s="89"/>
      <c r="DR425" s="89"/>
      <c r="DS425" s="89"/>
      <c r="DT425" s="89"/>
      <c r="DU425" s="141"/>
      <c r="DV425" s="141"/>
      <c r="DW425" s="141"/>
      <c r="DX425" s="141"/>
      <c r="DY425" s="141"/>
      <c r="DZ425" s="141"/>
      <c r="EA425" s="141"/>
      <c r="EB425" s="89"/>
      <c r="EC425" s="89"/>
      <c r="ED425" s="89"/>
      <c r="EE425" s="89"/>
      <c r="EF425" s="89"/>
      <c r="EG425" s="89"/>
      <c r="EH425" s="89"/>
      <c r="EI425" s="89"/>
      <c r="EJ425" s="89"/>
      <c r="EK425" s="89"/>
      <c r="EL425" s="89"/>
      <c r="EM425" s="89"/>
      <c r="EN425" s="89"/>
      <c r="EO425" s="89"/>
      <c r="EP425" s="89"/>
      <c r="EQ425" s="89"/>
      <c r="ER425" s="89"/>
      <c r="ES425" s="89"/>
      <c r="ET425" s="89"/>
      <c r="EU425" s="89"/>
      <c r="EV425" s="89"/>
      <c r="EW425" s="89"/>
      <c r="EX425" s="89"/>
      <c r="EY425" s="89"/>
      <c r="EZ425" s="89"/>
      <c r="FA425" s="89"/>
      <c r="FB425" s="89"/>
      <c r="FC425" s="89"/>
      <c r="FD425" s="89"/>
      <c r="FE425" s="89"/>
      <c r="FF425" s="89"/>
      <c r="FG425" s="89"/>
      <c r="FH425" s="89"/>
      <c r="FI425" s="89"/>
      <c r="FJ425" s="300"/>
      <c r="FK425" s="300"/>
      <c r="FL425" s="300"/>
      <c r="FM425" s="300"/>
      <c r="FN425" s="300"/>
      <c r="FO425" s="108"/>
      <c r="FP425" s="108"/>
      <c r="FQ425" s="108"/>
      <c r="FR425" s="108"/>
      <c r="FS425" s="108"/>
      <c r="FT425" s="108"/>
      <c r="FU425" s="108"/>
      <c r="FV425" s="108"/>
      <c r="FW425" s="108"/>
      <c r="FX425" s="301"/>
      <c r="FY425" s="259"/>
      <c r="FZ425" s="259"/>
      <c r="GA425" s="259"/>
      <c r="GB425" s="259"/>
      <c r="GC425" s="301"/>
      <c r="GD425" s="301"/>
      <c r="GE425" s="301"/>
      <c r="GF425" s="301"/>
      <c r="GG425" s="301"/>
      <c r="GH425" s="301"/>
      <c r="GI425" s="301"/>
      <c r="GJ425" s="301"/>
      <c r="GK425" s="301"/>
      <c r="GL425" s="301"/>
      <c r="GM425" s="301"/>
      <c r="GN425" s="301"/>
      <c r="GO425" s="301"/>
      <c r="GP425" s="301"/>
      <c r="GQ425" s="301"/>
      <c r="GR425" s="301"/>
      <c r="GS425" s="301"/>
      <c r="GT425" s="301"/>
      <c r="GU425" s="301"/>
      <c r="GV425" s="301"/>
      <c r="IB425" s="65"/>
    </row>
    <row r="426" spans="1:236" ht="16.95" customHeight="1">
      <c r="A426" s="60"/>
      <c r="B426" s="69"/>
      <c r="C426" s="69"/>
      <c r="D426" s="262"/>
      <c r="E426" s="262"/>
      <c r="F426" s="262"/>
      <c r="G426" s="262"/>
      <c r="H426" s="262"/>
      <c r="I426" s="262"/>
      <c r="J426" s="262"/>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89"/>
      <c r="BB426" s="89"/>
      <c r="BC426" s="89"/>
      <c r="BD426" s="89"/>
      <c r="BE426" s="89"/>
      <c r="BF426" s="89"/>
      <c r="BG426" s="89"/>
      <c r="BH426" s="89"/>
      <c r="BI426" s="89"/>
      <c r="BJ426" s="89"/>
      <c r="BK426" s="89"/>
      <c r="BL426" s="89"/>
      <c r="BM426" s="89"/>
      <c r="BN426" s="89"/>
      <c r="BO426" s="89"/>
      <c r="BP426" s="89"/>
      <c r="BQ426" s="89"/>
      <c r="BR426" s="89"/>
      <c r="BS426" s="89"/>
      <c r="BT426" s="89"/>
      <c r="BU426" s="89"/>
      <c r="BV426" s="89"/>
      <c r="BW426" s="89"/>
      <c r="BX426" s="89"/>
      <c r="BY426" s="89"/>
      <c r="BZ426" s="89"/>
      <c r="CA426" s="89"/>
      <c r="CB426" s="89"/>
      <c r="CC426" s="89"/>
      <c r="CD426" s="89"/>
      <c r="CE426" s="89"/>
      <c r="CF426" s="89"/>
      <c r="CG426" s="89"/>
      <c r="CH426" s="89"/>
      <c r="CI426" s="89"/>
      <c r="CJ426" s="89"/>
      <c r="CK426" s="89"/>
      <c r="CL426" s="89"/>
      <c r="CM426" s="89"/>
      <c r="CN426" s="89"/>
      <c r="CO426" s="89"/>
      <c r="CP426" s="89"/>
      <c r="CQ426" s="89"/>
      <c r="CR426" s="89"/>
      <c r="CS426" s="89"/>
      <c r="CT426" s="89"/>
      <c r="CU426" s="89"/>
      <c r="CV426" s="89"/>
      <c r="CW426" s="89"/>
      <c r="CX426" s="89"/>
      <c r="CY426" s="89"/>
      <c r="CZ426" s="89"/>
      <c r="DA426" s="89"/>
      <c r="DB426" s="89"/>
      <c r="DC426" s="89"/>
      <c r="DD426" s="89"/>
      <c r="DE426" s="89"/>
      <c r="DF426" s="89"/>
      <c r="DG426" s="89"/>
      <c r="DH426" s="89"/>
      <c r="DI426" s="89"/>
      <c r="DJ426" s="89"/>
      <c r="DK426" s="89"/>
      <c r="DL426" s="89"/>
      <c r="DM426" s="89"/>
      <c r="DN426" s="89"/>
      <c r="DO426" s="89"/>
      <c r="DP426" s="89"/>
      <c r="DQ426" s="89"/>
      <c r="DR426" s="89"/>
      <c r="DS426" s="89"/>
      <c r="DT426" s="89"/>
      <c r="DU426" s="141"/>
      <c r="DV426" s="141"/>
      <c r="DW426" s="141"/>
      <c r="DX426" s="141"/>
      <c r="DY426" s="141"/>
      <c r="DZ426" s="141"/>
      <c r="EA426" s="141"/>
      <c r="EB426" s="89"/>
      <c r="EC426" s="89"/>
      <c r="ED426" s="89"/>
      <c r="EE426" s="89"/>
      <c r="EF426" s="89"/>
      <c r="EG426" s="89"/>
      <c r="EH426" s="89"/>
      <c r="EI426" s="89"/>
      <c r="EJ426" s="89"/>
      <c r="EK426" s="89"/>
      <c r="EL426" s="89"/>
      <c r="EM426" s="89"/>
      <c r="EN426" s="89"/>
      <c r="EO426" s="89"/>
      <c r="EP426" s="89"/>
      <c r="EQ426" s="89"/>
      <c r="ER426" s="89"/>
      <c r="ES426" s="89"/>
      <c r="ET426" s="89"/>
      <c r="EU426" s="89"/>
      <c r="EV426" s="89"/>
      <c r="EW426" s="89"/>
      <c r="EX426" s="89"/>
      <c r="EY426" s="89"/>
      <c r="EZ426" s="89"/>
      <c r="FA426" s="89"/>
      <c r="FB426" s="89"/>
      <c r="FC426" s="89"/>
      <c r="FD426" s="89"/>
      <c r="FE426" s="89"/>
      <c r="FF426" s="89"/>
      <c r="FG426" s="89"/>
      <c r="FH426" s="89"/>
      <c r="FI426" s="89"/>
      <c r="FJ426" s="300"/>
      <c r="FK426" s="300"/>
      <c r="FL426" s="300"/>
      <c r="FM426" s="300"/>
      <c r="FN426" s="300"/>
      <c r="FO426" s="108"/>
      <c r="FP426" s="108"/>
      <c r="FQ426" s="108"/>
      <c r="FR426" s="108"/>
      <c r="FS426" s="108"/>
      <c r="FT426" s="108"/>
      <c r="FU426" s="108"/>
      <c r="FV426" s="108"/>
      <c r="FW426" s="108"/>
      <c r="FX426" s="301"/>
      <c r="FY426" s="259"/>
      <c r="FZ426" s="259"/>
      <c r="GA426" s="259"/>
      <c r="GB426" s="259"/>
      <c r="GC426" s="301"/>
      <c r="GD426" s="301"/>
      <c r="GE426" s="301"/>
      <c r="GF426" s="301"/>
      <c r="GG426" s="301"/>
      <c r="GH426" s="301"/>
      <c r="GI426" s="301"/>
      <c r="GJ426" s="301"/>
      <c r="GK426" s="301"/>
      <c r="GL426" s="301"/>
      <c r="GM426" s="301"/>
      <c r="GN426" s="301"/>
      <c r="GO426" s="301"/>
      <c r="GP426" s="301"/>
      <c r="GQ426" s="301"/>
      <c r="GR426" s="301"/>
      <c r="GS426" s="301"/>
      <c r="GT426" s="301"/>
      <c r="GU426" s="301"/>
      <c r="GV426" s="301"/>
      <c r="IB426" s="65"/>
    </row>
    <row r="427" spans="1:236" ht="16.95" customHeight="1">
      <c r="A427" s="60"/>
      <c r="B427" s="69"/>
      <c r="C427" s="69"/>
      <c r="D427" s="262"/>
      <c r="E427" s="262"/>
      <c r="F427" s="262"/>
      <c r="G427" s="262"/>
      <c r="H427" s="262"/>
      <c r="I427" s="262"/>
      <c r="J427" s="262"/>
      <c r="K427" s="89"/>
      <c r="L427" s="89"/>
      <c r="M427" s="89"/>
      <c r="N427" s="89"/>
      <c r="O427" s="89"/>
      <c r="P427" s="89"/>
      <c r="Q427" s="89"/>
      <c r="R427" s="89"/>
      <c r="S427" s="89"/>
      <c r="T427" s="89"/>
      <c r="U427" s="89"/>
      <c r="V427" s="89"/>
      <c r="W427" s="89"/>
      <c r="X427" s="89"/>
      <c r="Y427" s="89"/>
      <c r="Z427" s="89"/>
      <c r="AA427" s="89"/>
      <c r="AB427" s="89"/>
      <c r="AC427" s="89"/>
      <c r="AD427" s="89"/>
      <c r="AE427" s="89"/>
      <c r="AF427" s="89"/>
      <c r="AG427" s="89"/>
      <c r="AH427" s="89"/>
      <c r="AI427" s="89"/>
      <c r="AJ427" s="89"/>
      <c r="AK427" s="89"/>
      <c r="AL427" s="89"/>
      <c r="AM427" s="89"/>
      <c r="AN427" s="89"/>
      <c r="AO427" s="89"/>
      <c r="AP427" s="89"/>
      <c r="AQ427" s="89"/>
      <c r="AR427" s="89"/>
      <c r="AS427" s="89"/>
      <c r="AT427" s="89"/>
      <c r="AU427" s="89"/>
      <c r="AV427" s="89"/>
      <c r="AW427" s="89"/>
      <c r="AX427" s="89"/>
      <c r="AY427" s="89"/>
      <c r="AZ427" s="89"/>
      <c r="BA427" s="89"/>
      <c r="BB427" s="89"/>
      <c r="BC427" s="89"/>
      <c r="BD427" s="89"/>
      <c r="BE427" s="89"/>
      <c r="BF427" s="89"/>
      <c r="BG427" s="89"/>
      <c r="BH427" s="89"/>
      <c r="BI427" s="89"/>
      <c r="BJ427" s="89"/>
      <c r="BK427" s="89"/>
      <c r="BL427" s="89"/>
      <c r="BM427" s="89"/>
      <c r="BN427" s="89"/>
      <c r="BO427" s="89"/>
      <c r="BP427" s="89"/>
      <c r="BQ427" s="89"/>
      <c r="BR427" s="89"/>
      <c r="BS427" s="89"/>
      <c r="BT427" s="89"/>
      <c r="BU427" s="89"/>
      <c r="BV427" s="89"/>
      <c r="BW427" s="89"/>
      <c r="BX427" s="89"/>
      <c r="BY427" s="89"/>
      <c r="BZ427" s="89"/>
      <c r="CA427" s="89"/>
      <c r="CB427" s="89"/>
      <c r="CC427" s="89"/>
      <c r="CD427" s="89"/>
      <c r="CE427" s="89"/>
      <c r="CF427" s="89"/>
      <c r="CG427" s="89"/>
      <c r="CH427" s="89"/>
      <c r="CI427" s="89"/>
      <c r="CJ427" s="89"/>
      <c r="CK427" s="89"/>
      <c r="CL427" s="89"/>
      <c r="CM427" s="89"/>
      <c r="CN427" s="89"/>
      <c r="CO427" s="89"/>
      <c r="CP427" s="89"/>
      <c r="CQ427" s="89"/>
      <c r="CR427" s="89"/>
      <c r="CS427" s="89"/>
      <c r="CT427" s="89"/>
      <c r="CU427" s="89"/>
      <c r="CV427" s="89"/>
      <c r="CW427" s="89"/>
      <c r="CX427" s="89"/>
      <c r="CY427" s="89"/>
      <c r="CZ427" s="89"/>
      <c r="DA427" s="89"/>
      <c r="DB427" s="89"/>
      <c r="DC427" s="89"/>
      <c r="DD427" s="89"/>
      <c r="DE427" s="89"/>
      <c r="DF427" s="89"/>
      <c r="DG427" s="89"/>
      <c r="DH427" s="89"/>
      <c r="DI427" s="89"/>
      <c r="DJ427" s="89"/>
      <c r="DK427" s="89"/>
      <c r="DL427" s="89"/>
      <c r="DM427" s="89"/>
      <c r="DN427" s="89"/>
      <c r="DO427" s="89"/>
      <c r="DP427" s="89"/>
      <c r="DQ427" s="89"/>
      <c r="DR427" s="89"/>
      <c r="DS427" s="89"/>
      <c r="DT427" s="89"/>
      <c r="DU427" s="141"/>
      <c r="DV427" s="141"/>
      <c r="DW427" s="141"/>
      <c r="DX427" s="141"/>
      <c r="DY427" s="141"/>
      <c r="DZ427" s="141"/>
      <c r="EA427" s="141"/>
      <c r="EB427" s="89"/>
      <c r="EC427" s="89"/>
      <c r="ED427" s="89"/>
      <c r="EE427" s="89"/>
      <c r="EF427" s="89"/>
      <c r="EG427" s="89"/>
      <c r="EH427" s="89"/>
      <c r="EI427" s="89"/>
      <c r="EJ427" s="89"/>
      <c r="EK427" s="89"/>
      <c r="EL427" s="89"/>
      <c r="EM427" s="89"/>
      <c r="EN427" s="89"/>
      <c r="EO427" s="89"/>
      <c r="EP427" s="89"/>
      <c r="EQ427" s="89"/>
      <c r="ER427" s="89"/>
      <c r="ES427" s="89"/>
      <c r="ET427" s="89"/>
      <c r="EU427" s="89"/>
      <c r="EV427" s="89"/>
      <c r="EW427" s="89"/>
      <c r="EX427" s="89"/>
      <c r="EY427" s="89"/>
      <c r="EZ427" s="89"/>
      <c r="FA427" s="89"/>
      <c r="FB427" s="89"/>
      <c r="FC427" s="89"/>
      <c r="FD427" s="89"/>
      <c r="FE427" s="89"/>
      <c r="FF427" s="89"/>
      <c r="FG427" s="89"/>
      <c r="FH427" s="89"/>
      <c r="FI427" s="89"/>
      <c r="FJ427" s="300"/>
      <c r="FK427" s="300"/>
      <c r="FL427" s="300"/>
      <c r="FM427" s="300"/>
      <c r="FN427" s="300"/>
      <c r="FO427" s="108"/>
      <c r="FP427" s="108"/>
      <c r="FQ427" s="108"/>
      <c r="FR427" s="108"/>
      <c r="FS427" s="108"/>
      <c r="FT427" s="108"/>
      <c r="FU427" s="108"/>
      <c r="FV427" s="108"/>
      <c r="FW427" s="108"/>
      <c r="FX427" s="301"/>
      <c r="FY427" s="259"/>
      <c r="FZ427" s="259"/>
      <c r="GA427" s="259"/>
      <c r="GB427" s="259"/>
      <c r="GC427" s="301"/>
      <c r="GD427" s="301"/>
      <c r="GE427" s="301"/>
      <c r="GF427" s="301"/>
      <c r="GG427" s="301"/>
      <c r="GH427" s="301"/>
      <c r="GI427" s="301"/>
      <c r="GJ427" s="301"/>
      <c r="GK427" s="301"/>
      <c r="GL427" s="301"/>
      <c r="GM427" s="301"/>
      <c r="GN427" s="301"/>
      <c r="GO427" s="301"/>
      <c r="GP427" s="301"/>
      <c r="GQ427" s="301"/>
      <c r="GR427" s="301"/>
      <c r="GS427" s="301"/>
      <c r="GT427" s="301"/>
      <c r="GU427" s="301"/>
      <c r="GV427" s="301"/>
      <c r="IB427" s="65"/>
    </row>
    <row r="428" spans="1:236" ht="16.95" customHeight="1">
      <c r="A428" s="60"/>
      <c r="B428" s="69"/>
      <c r="C428" s="69"/>
      <c r="D428" s="262"/>
      <c r="E428" s="262"/>
      <c r="F428" s="262"/>
      <c r="G428" s="262"/>
      <c r="H428" s="262"/>
      <c r="I428" s="262"/>
      <c r="J428" s="262"/>
      <c r="K428" s="89"/>
      <c r="L428" s="89"/>
      <c r="M428" s="89"/>
      <c r="N428" s="89"/>
      <c r="O428" s="89"/>
      <c r="P428" s="89"/>
      <c r="Q428" s="89"/>
      <c r="R428" s="89"/>
      <c r="S428" s="89"/>
      <c r="T428" s="89"/>
      <c r="U428" s="89"/>
      <c r="V428" s="89"/>
      <c r="W428" s="89"/>
      <c r="X428" s="89"/>
      <c r="Y428" s="89"/>
      <c r="Z428" s="89"/>
      <c r="AA428" s="89"/>
      <c r="AB428" s="89"/>
      <c r="AC428" s="89"/>
      <c r="AD428" s="89"/>
      <c r="AE428" s="89"/>
      <c r="AF428" s="89"/>
      <c r="AG428" s="89"/>
      <c r="AH428" s="89"/>
      <c r="AI428" s="89"/>
      <c r="AJ428" s="89"/>
      <c r="AK428" s="89"/>
      <c r="AL428" s="89"/>
      <c r="AM428" s="89"/>
      <c r="AN428" s="89"/>
      <c r="AO428" s="89"/>
      <c r="AP428" s="89"/>
      <c r="AQ428" s="89"/>
      <c r="AR428" s="89"/>
      <c r="AS428" s="89"/>
      <c r="AT428" s="89"/>
      <c r="AU428" s="89"/>
      <c r="AV428" s="89"/>
      <c r="AW428" s="89"/>
      <c r="AX428" s="89"/>
      <c r="AY428" s="89"/>
      <c r="AZ428" s="89"/>
      <c r="BA428" s="89"/>
      <c r="BB428" s="89"/>
      <c r="BC428" s="89"/>
      <c r="BD428" s="89"/>
      <c r="BE428" s="89"/>
      <c r="BF428" s="89"/>
      <c r="BG428" s="89"/>
      <c r="BH428" s="89"/>
      <c r="BI428" s="89"/>
      <c r="BJ428" s="89"/>
      <c r="BK428" s="89"/>
      <c r="BL428" s="89"/>
      <c r="BM428" s="89"/>
      <c r="BN428" s="89"/>
      <c r="BO428" s="89"/>
      <c r="BP428" s="89"/>
      <c r="BQ428" s="89"/>
      <c r="BR428" s="89"/>
      <c r="BS428" s="89"/>
      <c r="BT428" s="89"/>
      <c r="BU428" s="89"/>
      <c r="BV428" s="89"/>
      <c r="BW428" s="89"/>
      <c r="BX428" s="89"/>
      <c r="BY428" s="89"/>
      <c r="BZ428" s="89"/>
      <c r="CA428" s="89"/>
      <c r="CB428" s="89"/>
      <c r="CC428" s="89"/>
      <c r="CD428" s="89"/>
      <c r="CE428" s="89"/>
      <c r="CF428" s="89"/>
      <c r="CG428" s="89"/>
      <c r="CH428" s="89"/>
      <c r="CI428" s="89"/>
      <c r="CJ428" s="89"/>
      <c r="CK428" s="89"/>
      <c r="CL428" s="89"/>
      <c r="CM428" s="89"/>
      <c r="CN428" s="89"/>
      <c r="CO428" s="89"/>
      <c r="CP428" s="89"/>
      <c r="CQ428" s="89"/>
      <c r="CR428" s="89"/>
      <c r="CS428" s="89"/>
      <c r="CT428" s="89"/>
      <c r="CU428" s="89"/>
      <c r="CV428" s="89"/>
      <c r="CW428" s="89"/>
      <c r="CX428" s="89"/>
      <c r="CY428" s="89"/>
      <c r="CZ428" s="89"/>
      <c r="DA428" s="89"/>
      <c r="DB428" s="89"/>
      <c r="DC428" s="89"/>
      <c r="DD428" s="89"/>
      <c r="DE428" s="89"/>
      <c r="DF428" s="89"/>
      <c r="DG428" s="89"/>
      <c r="DH428" s="89"/>
      <c r="DI428" s="89"/>
      <c r="DJ428" s="89"/>
      <c r="DK428" s="89"/>
      <c r="DL428" s="89"/>
      <c r="DM428" s="89"/>
      <c r="DN428" s="89"/>
      <c r="DO428" s="89"/>
      <c r="DP428" s="89"/>
      <c r="DQ428" s="89"/>
      <c r="DR428" s="89"/>
      <c r="DS428" s="89"/>
      <c r="DT428" s="89"/>
      <c r="DU428" s="141"/>
      <c r="DV428" s="141"/>
      <c r="DW428" s="141"/>
      <c r="DX428" s="141"/>
      <c r="DY428" s="141"/>
      <c r="DZ428" s="141"/>
      <c r="EA428" s="141"/>
      <c r="EB428" s="89"/>
      <c r="EC428" s="89"/>
      <c r="ED428" s="89"/>
      <c r="EE428" s="89"/>
      <c r="EF428" s="89"/>
      <c r="EG428" s="89"/>
      <c r="EH428" s="89"/>
      <c r="EI428" s="89"/>
      <c r="EJ428" s="89"/>
      <c r="EK428" s="89"/>
      <c r="EL428" s="89"/>
      <c r="EM428" s="89"/>
      <c r="EN428" s="89"/>
      <c r="EO428" s="89"/>
      <c r="EP428" s="89"/>
      <c r="EQ428" s="89"/>
      <c r="ER428" s="89"/>
      <c r="ES428" s="89"/>
      <c r="ET428" s="89"/>
      <c r="EU428" s="89"/>
      <c r="EV428" s="89"/>
      <c r="EW428" s="89"/>
      <c r="EX428" s="89"/>
      <c r="EY428" s="89"/>
      <c r="EZ428" s="89"/>
      <c r="FA428" s="89"/>
      <c r="FB428" s="89"/>
      <c r="FC428" s="89"/>
      <c r="FD428" s="89"/>
      <c r="FE428" s="89"/>
      <c r="FF428" s="89"/>
      <c r="FG428" s="89"/>
      <c r="FH428" s="89"/>
      <c r="FI428" s="89"/>
      <c r="FJ428" s="300"/>
      <c r="FK428" s="300"/>
      <c r="FL428" s="300"/>
      <c r="FM428" s="300"/>
      <c r="FN428" s="300"/>
      <c r="FO428" s="108"/>
      <c r="FP428" s="108"/>
      <c r="FQ428" s="108"/>
      <c r="FR428" s="108"/>
      <c r="FS428" s="108"/>
      <c r="FT428" s="108"/>
      <c r="FU428" s="108"/>
      <c r="FV428" s="108"/>
      <c r="FW428" s="108"/>
      <c r="FX428" s="301"/>
      <c r="FY428" s="259"/>
      <c r="FZ428" s="259"/>
      <c r="GA428" s="259"/>
      <c r="GB428" s="259"/>
      <c r="GC428" s="301"/>
      <c r="GD428" s="301"/>
      <c r="GE428" s="301"/>
      <c r="GF428" s="301"/>
      <c r="GG428" s="301"/>
      <c r="GH428" s="301"/>
      <c r="GI428" s="301"/>
      <c r="GJ428" s="301"/>
      <c r="GK428" s="301"/>
      <c r="GL428" s="301"/>
      <c r="GM428" s="301"/>
      <c r="GN428" s="301"/>
      <c r="GO428" s="301"/>
      <c r="GP428" s="301"/>
      <c r="GQ428" s="301"/>
      <c r="GR428" s="301"/>
      <c r="GS428" s="301"/>
      <c r="GT428" s="301"/>
      <c r="GU428" s="301"/>
      <c r="GV428" s="301"/>
      <c r="IB428" s="65"/>
    </row>
    <row r="429" spans="1:236" ht="16.95" customHeight="1">
      <c r="A429" s="60"/>
      <c r="B429" s="69"/>
      <c r="C429" s="69"/>
      <c r="D429" s="262"/>
      <c r="E429" s="262"/>
      <c r="F429" s="262"/>
      <c r="G429" s="262"/>
      <c r="H429" s="262"/>
      <c r="I429" s="262"/>
      <c r="J429" s="262"/>
      <c r="K429" s="89"/>
      <c r="L429" s="89"/>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AN429" s="89"/>
      <c r="AO429" s="89"/>
      <c r="AP429" s="89"/>
      <c r="AQ429" s="89"/>
      <c r="AR429" s="89"/>
      <c r="AS429" s="89"/>
      <c r="AT429" s="89"/>
      <c r="AU429" s="89"/>
      <c r="AV429" s="89"/>
      <c r="AW429" s="89"/>
      <c r="AX429" s="89"/>
      <c r="AY429" s="89"/>
      <c r="AZ429" s="89"/>
      <c r="BA429" s="89"/>
      <c r="BB429" s="89"/>
      <c r="BC429" s="89"/>
      <c r="BD429" s="89"/>
      <c r="BE429" s="89"/>
      <c r="BF429" s="89"/>
      <c r="BG429" s="89"/>
      <c r="BH429" s="89"/>
      <c r="BI429" s="89"/>
      <c r="BJ429" s="89"/>
      <c r="BK429" s="89"/>
      <c r="BL429" s="89"/>
      <c r="BM429" s="89"/>
      <c r="BN429" s="89"/>
      <c r="BO429" s="89"/>
      <c r="BP429" s="89"/>
      <c r="BQ429" s="89"/>
      <c r="BR429" s="89"/>
      <c r="BS429" s="89"/>
      <c r="BT429" s="89"/>
      <c r="BU429" s="89"/>
      <c r="BV429" s="89"/>
      <c r="BW429" s="89"/>
      <c r="BX429" s="89"/>
      <c r="BY429" s="89"/>
      <c r="BZ429" s="89"/>
      <c r="CA429" s="89"/>
      <c r="CB429" s="89"/>
      <c r="CC429" s="89"/>
      <c r="CD429" s="89"/>
      <c r="CE429" s="89"/>
      <c r="CF429" s="89"/>
      <c r="CG429" s="89"/>
      <c r="CH429" s="89"/>
      <c r="CI429" s="89"/>
      <c r="CJ429" s="89"/>
      <c r="CK429" s="89"/>
      <c r="CL429" s="89"/>
      <c r="CM429" s="89"/>
      <c r="CN429" s="89"/>
      <c r="CO429" s="89"/>
      <c r="CP429" s="89"/>
      <c r="CQ429" s="89"/>
      <c r="CR429" s="89"/>
      <c r="CS429" s="89"/>
      <c r="CT429" s="89"/>
      <c r="CU429" s="89"/>
      <c r="CV429" s="89"/>
      <c r="CW429" s="89"/>
      <c r="CX429" s="89"/>
      <c r="CY429" s="89"/>
      <c r="CZ429" s="89"/>
      <c r="DA429" s="89"/>
      <c r="DB429" s="89"/>
      <c r="DC429" s="89"/>
      <c r="DD429" s="89"/>
      <c r="DE429" s="89"/>
      <c r="DF429" s="89"/>
      <c r="DG429" s="89"/>
      <c r="DH429" s="89"/>
      <c r="DI429" s="89"/>
      <c r="DJ429" s="89"/>
      <c r="DK429" s="89"/>
      <c r="DL429" s="89"/>
      <c r="DM429" s="89"/>
      <c r="DN429" s="89"/>
      <c r="DO429" s="89"/>
      <c r="DP429" s="89"/>
      <c r="DQ429" s="89"/>
      <c r="DR429" s="89"/>
      <c r="DS429" s="89"/>
      <c r="DT429" s="89"/>
      <c r="DU429" s="141"/>
      <c r="DV429" s="141"/>
      <c r="DW429" s="141"/>
      <c r="DX429" s="141"/>
      <c r="DY429" s="141"/>
      <c r="DZ429" s="141"/>
      <c r="EA429" s="141"/>
      <c r="EB429" s="89"/>
      <c r="EC429" s="89"/>
      <c r="ED429" s="89"/>
      <c r="EE429" s="89"/>
      <c r="EF429" s="89"/>
      <c r="EG429" s="89"/>
      <c r="EH429" s="89"/>
      <c r="EI429" s="89"/>
      <c r="EJ429" s="89"/>
      <c r="EK429" s="89"/>
      <c r="EL429" s="89"/>
      <c r="EM429" s="89"/>
      <c r="EN429" s="89"/>
      <c r="EO429" s="89"/>
      <c r="EP429" s="89"/>
      <c r="EQ429" s="89"/>
      <c r="ER429" s="89"/>
      <c r="ES429" s="89"/>
      <c r="ET429" s="89"/>
      <c r="EU429" s="89"/>
      <c r="EV429" s="89"/>
      <c r="EW429" s="89"/>
      <c r="EX429" s="89"/>
      <c r="EY429" s="89"/>
      <c r="EZ429" s="89"/>
      <c r="FA429" s="89"/>
      <c r="FB429" s="89"/>
      <c r="FC429" s="89"/>
      <c r="FD429" s="89"/>
      <c r="FE429" s="89"/>
      <c r="FF429" s="89"/>
      <c r="FG429" s="89"/>
      <c r="FH429" s="89"/>
      <c r="FI429" s="89"/>
      <c r="FJ429" s="300"/>
      <c r="FK429" s="300"/>
      <c r="FL429" s="300"/>
      <c r="FM429" s="300"/>
      <c r="FN429" s="300"/>
      <c r="FO429" s="108"/>
      <c r="FP429" s="108"/>
      <c r="FQ429" s="108"/>
      <c r="FR429" s="108"/>
      <c r="FS429" s="108"/>
      <c r="FT429" s="108"/>
      <c r="FU429" s="108"/>
      <c r="FV429" s="108"/>
      <c r="FW429" s="108"/>
      <c r="FX429" s="301"/>
      <c r="FY429" s="259"/>
      <c r="FZ429" s="259"/>
      <c r="GA429" s="259"/>
      <c r="GB429" s="259"/>
      <c r="GC429" s="301"/>
      <c r="GD429" s="301"/>
      <c r="GE429" s="301"/>
      <c r="GF429" s="301"/>
      <c r="GG429" s="301"/>
      <c r="GH429" s="301"/>
      <c r="GI429" s="301"/>
      <c r="GJ429" s="301"/>
      <c r="GK429" s="301"/>
      <c r="GL429" s="301"/>
      <c r="GM429" s="301"/>
      <c r="GN429" s="301"/>
      <c r="GO429" s="301"/>
      <c r="GP429" s="301"/>
      <c r="GQ429" s="301"/>
      <c r="GR429" s="301"/>
      <c r="GS429" s="301"/>
      <c r="GT429" s="301"/>
      <c r="GU429" s="301"/>
      <c r="GV429" s="301"/>
      <c r="IB429" s="65"/>
    </row>
    <row r="430" spans="1:236" ht="16.95" customHeight="1">
      <c r="A430" s="60"/>
      <c r="B430" s="69"/>
      <c r="C430" s="69"/>
      <c r="D430" s="341"/>
      <c r="E430" s="341"/>
      <c r="F430" s="341"/>
      <c r="G430" s="341"/>
      <c r="H430" s="341"/>
      <c r="I430" s="341"/>
      <c r="J430" s="341"/>
      <c r="K430" s="89"/>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AN430" s="89"/>
      <c r="AO430" s="89"/>
      <c r="AP430" s="89"/>
      <c r="AQ430" s="89"/>
      <c r="AR430" s="89"/>
      <c r="AS430" s="89"/>
      <c r="AT430" s="89"/>
      <c r="AU430" s="89"/>
      <c r="AV430" s="89"/>
      <c r="AW430" s="89"/>
      <c r="AX430" s="89"/>
      <c r="AY430" s="89"/>
      <c r="AZ430" s="89"/>
      <c r="BA430" s="89"/>
      <c r="BB430" s="89"/>
      <c r="BC430" s="89"/>
      <c r="BD430" s="89"/>
      <c r="BE430" s="89"/>
      <c r="BF430" s="89"/>
      <c r="BG430" s="89"/>
      <c r="BH430" s="89"/>
      <c r="BI430" s="89"/>
      <c r="BJ430" s="89"/>
      <c r="BK430" s="89"/>
      <c r="BL430" s="89"/>
      <c r="BM430" s="89"/>
      <c r="BN430" s="89"/>
      <c r="BO430" s="89"/>
      <c r="BP430" s="89"/>
      <c r="BQ430" s="89"/>
      <c r="BR430" s="89"/>
      <c r="BS430" s="89"/>
      <c r="BT430" s="89"/>
      <c r="BU430" s="89"/>
      <c r="BV430" s="89"/>
      <c r="BW430" s="89"/>
      <c r="BX430" s="89"/>
      <c r="BY430" s="89"/>
      <c r="BZ430" s="89"/>
      <c r="CA430" s="89"/>
      <c r="CB430" s="89"/>
      <c r="CC430" s="89"/>
      <c r="CD430" s="89"/>
      <c r="CE430" s="89"/>
      <c r="CF430" s="89"/>
      <c r="CG430" s="89"/>
      <c r="CH430" s="89"/>
      <c r="CI430" s="89"/>
      <c r="CJ430" s="89"/>
      <c r="CK430" s="89"/>
      <c r="CL430" s="89"/>
      <c r="CM430" s="89"/>
      <c r="CN430" s="89"/>
      <c r="CO430" s="89"/>
      <c r="CP430" s="89"/>
      <c r="CQ430" s="89"/>
      <c r="CR430" s="89"/>
      <c r="CS430" s="89"/>
      <c r="CT430" s="89"/>
      <c r="CU430" s="89"/>
      <c r="CV430" s="89"/>
      <c r="CW430" s="89"/>
      <c r="CX430" s="89"/>
      <c r="CY430" s="89"/>
      <c r="CZ430" s="89"/>
      <c r="DA430" s="89"/>
      <c r="DB430" s="89"/>
      <c r="DC430" s="89"/>
      <c r="DD430" s="89"/>
      <c r="DE430" s="89"/>
      <c r="DF430" s="89"/>
      <c r="DG430" s="89"/>
      <c r="DH430" s="89"/>
      <c r="DI430" s="89"/>
      <c r="DJ430" s="89"/>
      <c r="DK430" s="89"/>
      <c r="DL430" s="89"/>
      <c r="DM430" s="89"/>
      <c r="DN430" s="89"/>
      <c r="DO430" s="89"/>
      <c r="DP430" s="89"/>
      <c r="DQ430" s="89"/>
      <c r="DR430" s="89"/>
      <c r="DS430" s="89"/>
      <c r="DT430" s="89"/>
      <c r="DU430" s="141"/>
      <c r="DV430" s="141"/>
      <c r="DW430" s="141"/>
      <c r="DX430" s="141"/>
      <c r="DY430" s="141"/>
      <c r="DZ430" s="141"/>
      <c r="EA430" s="141"/>
      <c r="EB430" s="89"/>
      <c r="EC430" s="89"/>
      <c r="ED430" s="89"/>
      <c r="EE430" s="89"/>
      <c r="EF430" s="89"/>
      <c r="EG430" s="89"/>
      <c r="EH430" s="89"/>
      <c r="EI430" s="89"/>
      <c r="EJ430" s="89"/>
      <c r="EK430" s="89"/>
      <c r="EL430" s="89"/>
      <c r="EM430" s="89"/>
      <c r="EN430" s="89"/>
      <c r="EO430" s="89"/>
      <c r="EP430" s="89"/>
      <c r="EQ430" s="89"/>
      <c r="ER430" s="89"/>
      <c r="ES430" s="89"/>
      <c r="ET430" s="89"/>
      <c r="EU430" s="89"/>
      <c r="EV430" s="89"/>
      <c r="EW430" s="89"/>
      <c r="EX430" s="89"/>
      <c r="EY430" s="89"/>
      <c r="EZ430" s="89"/>
      <c r="FA430" s="89"/>
      <c r="FB430" s="89"/>
      <c r="FC430" s="89"/>
      <c r="FD430" s="89"/>
      <c r="FE430" s="89"/>
      <c r="FF430" s="89"/>
      <c r="FG430" s="89"/>
      <c r="FH430" s="89"/>
      <c r="FI430" s="89"/>
      <c r="FJ430" s="300"/>
      <c r="FK430" s="300"/>
      <c r="FL430" s="300"/>
      <c r="FM430" s="300"/>
      <c r="FN430" s="300"/>
      <c r="FO430" s="300"/>
      <c r="FP430" s="300"/>
      <c r="FQ430" s="108"/>
      <c r="FR430" s="108"/>
      <c r="FS430" s="108"/>
      <c r="FT430" s="108"/>
      <c r="FU430" s="108"/>
      <c r="FV430" s="108"/>
      <c r="FW430" s="108"/>
      <c r="FX430" s="301"/>
      <c r="FY430" s="259"/>
      <c r="FZ430" s="259"/>
      <c r="GA430" s="259"/>
      <c r="GB430" s="259"/>
      <c r="GC430" s="301"/>
      <c r="GD430" s="301"/>
      <c r="GE430" s="301"/>
      <c r="GF430" s="301"/>
      <c r="GG430" s="301"/>
      <c r="GH430" s="301"/>
      <c r="GI430" s="301"/>
      <c r="GJ430" s="301"/>
      <c r="GK430" s="301"/>
      <c r="GL430" s="301"/>
      <c r="GM430" s="301"/>
      <c r="GN430" s="301"/>
      <c r="GO430" s="301"/>
      <c r="GP430" s="301"/>
      <c r="GQ430" s="301"/>
      <c r="GR430" s="301"/>
      <c r="GS430" s="301"/>
      <c r="GT430" s="301"/>
      <c r="GU430" s="301"/>
      <c r="GV430" s="301"/>
      <c r="IB430" s="65"/>
    </row>
    <row r="431" spans="1:236" customFormat="1" ht="3.75" customHeight="1">
      <c r="A431" s="1"/>
      <c r="B431" s="3"/>
      <c r="C431" s="3"/>
      <c r="D431" s="124"/>
      <c r="E431" s="346"/>
      <c r="F431" s="346"/>
      <c r="G431" s="346"/>
      <c r="H431" s="346"/>
      <c r="I431" s="346"/>
      <c r="J431" s="79"/>
      <c r="K431" s="79"/>
      <c r="L431" s="41"/>
      <c r="M431" s="42"/>
      <c r="N431" s="41"/>
      <c r="O431" s="41"/>
      <c r="P431" s="41"/>
      <c r="Q431" s="41"/>
      <c r="R431" s="41"/>
      <c r="S431" s="79"/>
      <c r="T431" s="344"/>
      <c r="U431" s="344"/>
      <c r="V431" s="344"/>
      <c r="W431" s="344"/>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c r="AS431" s="344"/>
      <c r="AT431" s="344"/>
      <c r="AU431" s="344"/>
      <c r="AV431" s="344"/>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c r="BZ431" s="39"/>
      <c r="CA431" s="39"/>
      <c r="CB431" s="39"/>
      <c r="CC431" s="39"/>
      <c r="CD431" s="39"/>
      <c r="CE431" s="39"/>
      <c r="CF431" s="39"/>
      <c r="CG431" s="39"/>
      <c r="CH431" s="39"/>
      <c r="CI431" s="39"/>
      <c r="CJ431" s="39"/>
      <c r="CK431" s="39"/>
      <c r="CL431" s="39"/>
      <c r="CM431" s="39"/>
      <c r="CN431" s="39"/>
      <c r="CO431" s="39"/>
      <c r="CP431" s="39"/>
      <c r="CQ431" s="39"/>
      <c r="CR431" s="39"/>
      <c r="CS431" s="39"/>
      <c r="CT431" s="39"/>
      <c r="CU431" s="39"/>
      <c r="CV431" s="39"/>
      <c r="CW431" s="39"/>
      <c r="CX431" s="39"/>
      <c r="CY431" s="344"/>
      <c r="CZ431" s="344"/>
      <c r="DA431" s="344"/>
      <c r="DB431" s="344"/>
      <c r="DC431" s="344"/>
      <c r="DD431" s="344"/>
      <c r="DE431" s="536" t="str">
        <f ca="1">IF(FL1=0,"","+")</f>
        <v/>
      </c>
      <c r="DF431" s="536"/>
      <c r="DG431" s="536"/>
      <c r="DH431" s="536"/>
      <c r="DI431" s="536"/>
      <c r="DJ431" s="536"/>
      <c r="DK431" s="536"/>
      <c r="DL431" s="43"/>
      <c r="DM431" s="43"/>
      <c r="DN431" s="43"/>
      <c r="DO431" s="43"/>
      <c r="DP431" s="43"/>
      <c r="DQ431" s="43"/>
      <c r="DR431" s="43"/>
      <c r="DS431" s="43"/>
      <c r="DT431" s="43"/>
      <c r="DU431" s="43"/>
      <c r="DV431" s="43"/>
      <c r="DW431" s="43"/>
      <c r="DX431" s="43"/>
      <c r="DY431" s="357"/>
      <c r="DZ431" s="357"/>
      <c r="EA431" s="357"/>
      <c r="EB431" s="357"/>
      <c r="EC431" s="357"/>
      <c r="ED431" s="357"/>
      <c r="EE431" s="357"/>
      <c r="EF431" s="357"/>
      <c r="EG431" s="357"/>
      <c r="EH431" s="357"/>
      <c r="EI431" s="357"/>
      <c r="EJ431" s="357"/>
      <c r="EK431" s="357"/>
      <c r="EL431" s="357"/>
      <c r="EM431" s="357"/>
      <c r="EN431" s="357"/>
      <c r="EO431" s="357"/>
      <c r="EP431" s="357"/>
      <c r="EQ431" s="357"/>
      <c r="ER431" s="357"/>
      <c r="ES431" s="357"/>
      <c r="ET431" s="357"/>
      <c r="EU431" s="357"/>
      <c r="EV431" s="357"/>
      <c r="EW431" s="357"/>
      <c r="EX431" s="357"/>
      <c r="EY431" s="357"/>
      <c r="EZ431" s="357"/>
      <c r="FA431" s="43"/>
      <c r="FB431" s="43"/>
      <c r="FC431" s="43"/>
      <c r="FD431" s="43"/>
      <c r="FE431" s="43"/>
      <c r="FF431" s="43"/>
      <c r="FG431" s="43"/>
      <c r="FH431" s="43"/>
      <c r="FI431" s="43"/>
      <c r="FJ431" s="96"/>
      <c r="FK431" s="96"/>
      <c r="FL431" s="96"/>
      <c r="FM431" s="338"/>
      <c r="FN431" s="338"/>
      <c r="FO431" s="338"/>
      <c r="FP431" s="93"/>
      <c r="FQ431" s="93"/>
      <c r="FR431" s="93"/>
      <c r="FS431" s="93"/>
      <c r="FT431" s="93"/>
      <c r="FU431" s="93"/>
      <c r="FV431" s="93"/>
      <c r="FW431" s="93"/>
      <c r="FX431" s="93"/>
      <c r="FY431" s="259"/>
      <c r="FZ431" s="259"/>
      <c r="GA431" s="259"/>
      <c r="GB431" s="259"/>
      <c r="GC431" s="49"/>
      <c r="GD431" s="49"/>
      <c r="GE431" s="49"/>
      <c r="GF431" s="49"/>
      <c r="GG431" s="49"/>
      <c r="GH431" s="49"/>
      <c r="GI431" s="49"/>
      <c r="GJ431" s="49"/>
      <c r="GK431" s="49"/>
      <c r="GL431" s="49"/>
      <c r="GM431" s="49"/>
      <c r="GN431" s="49"/>
      <c r="GO431" s="49"/>
      <c r="GP431" s="49"/>
      <c r="GQ431" s="49"/>
      <c r="GR431" s="49"/>
      <c r="GS431" s="49"/>
      <c r="GT431" s="49"/>
      <c r="GU431" s="49"/>
      <c r="GV431" s="49"/>
      <c r="GW431" s="66"/>
      <c r="GX431" s="66"/>
      <c r="GY431" s="66"/>
      <c r="GZ431" s="66"/>
      <c r="HA431" s="66"/>
      <c r="HB431" s="66"/>
      <c r="HC431" s="66"/>
      <c r="HD431" s="66"/>
      <c r="HE431" s="66"/>
      <c r="HF431" s="66"/>
      <c r="HG431" s="66"/>
      <c r="HH431" s="66"/>
      <c r="HI431" s="66"/>
      <c r="HJ431" s="66"/>
      <c r="HK431" s="66"/>
      <c r="HL431" s="66"/>
      <c r="HM431" s="66"/>
      <c r="HN431" s="66"/>
      <c r="HO431" s="66"/>
      <c r="HP431" s="66"/>
      <c r="HQ431" s="66"/>
      <c r="HR431" s="66"/>
      <c r="HS431" s="66"/>
      <c r="HT431" s="66"/>
      <c r="HU431" s="66"/>
      <c r="HV431" s="66"/>
      <c r="HW431" s="66"/>
      <c r="HX431" s="66"/>
      <c r="HY431" s="66"/>
      <c r="HZ431" s="66"/>
      <c r="IA431" s="66"/>
    </row>
    <row r="432" spans="1:236" customFormat="1" ht="16.5" customHeight="1">
      <c r="A432" s="1"/>
      <c r="B432" s="3"/>
      <c r="C432" s="3"/>
      <c r="D432" s="124"/>
      <c r="E432" s="346"/>
      <c r="F432" s="346"/>
      <c r="G432" s="346"/>
      <c r="H432" s="346"/>
      <c r="I432" s="346"/>
      <c r="J432" s="79"/>
      <c r="K432" s="79"/>
      <c r="L432" s="41"/>
      <c r="M432" s="42"/>
      <c r="N432" s="41"/>
      <c r="O432" s="41"/>
      <c r="P432" s="41"/>
      <c r="Q432" s="79"/>
      <c r="R432" s="41"/>
      <c r="S432" s="79"/>
      <c r="T432" s="180"/>
      <c r="U432" s="347"/>
      <c r="V432" s="347"/>
      <c r="W432" s="347"/>
      <c r="X432" s="347"/>
      <c r="Y432" s="347"/>
      <c r="Z432" s="347"/>
      <c r="AA432" s="347"/>
      <c r="AB432" s="347"/>
      <c r="AC432" s="347"/>
      <c r="AD432" s="347"/>
      <c r="AE432" s="347"/>
      <c r="AF432" s="347"/>
      <c r="AG432" s="347"/>
      <c r="AH432" s="347"/>
      <c r="AI432" s="347"/>
      <c r="AJ432" s="347"/>
      <c r="AK432" s="347"/>
      <c r="AL432" s="347"/>
      <c r="AM432" s="347"/>
      <c r="AN432" s="347"/>
      <c r="AO432" s="347"/>
      <c r="AP432" s="181"/>
      <c r="AQ432" s="181"/>
      <c r="AR432" s="181"/>
      <c r="AS432" s="181"/>
      <c r="AT432" s="181"/>
      <c r="AU432" s="181"/>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c r="BZ432" s="39"/>
      <c r="CA432" s="39"/>
      <c r="CB432" s="39"/>
      <c r="CC432" s="39"/>
      <c r="CD432" s="39"/>
      <c r="CE432" s="39"/>
      <c r="CF432" s="39"/>
      <c r="CG432" s="39"/>
      <c r="CH432" s="39"/>
      <c r="CI432" s="39"/>
      <c r="CJ432" s="39"/>
      <c r="CK432" s="39"/>
      <c r="CL432" s="39"/>
      <c r="CM432" s="39"/>
      <c r="CN432" s="39"/>
      <c r="CO432" s="39"/>
      <c r="CP432" s="39"/>
      <c r="CQ432" s="39"/>
      <c r="CR432" s="39"/>
      <c r="CS432" s="39"/>
      <c r="CT432" s="39"/>
      <c r="CU432" s="39"/>
      <c r="CV432" s="39"/>
      <c r="CW432" s="39"/>
      <c r="CX432" s="39"/>
      <c r="CY432" s="344"/>
      <c r="CZ432" s="344"/>
      <c r="DA432" s="344"/>
      <c r="DB432" s="153" t="str">
        <f ca="1">IF(FL1=0,"","De situatie op lange termijn wordt weergegeven in grafiek:")</f>
        <v/>
      </c>
      <c r="DC432" s="344"/>
      <c r="DD432" s="344"/>
      <c r="DE432" s="343" t="str">
        <f ca="1">IF(FL1=0,"","+")</f>
        <v/>
      </c>
      <c r="DF432" s="537"/>
      <c r="DG432" s="537"/>
      <c r="DH432" s="537"/>
      <c r="DI432" s="537"/>
      <c r="DJ432" s="537"/>
      <c r="DK432" s="343" t="str">
        <f ca="1">IF(FL1=0,"","+")</f>
        <v/>
      </c>
      <c r="DL432" s="165" t="s">
        <v>131</v>
      </c>
      <c r="DM432" s="43"/>
      <c r="DN432" s="43"/>
      <c r="DO432" s="43"/>
      <c r="DP432" s="43"/>
      <c r="DQ432" s="43"/>
      <c r="DR432" s="43"/>
      <c r="DS432" s="43"/>
      <c r="DT432" s="43"/>
      <c r="DU432" s="43"/>
      <c r="DV432" s="43"/>
      <c r="DW432" s="43"/>
      <c r="DX432" s="43"/>
      <c r="DY432" s="357"/>
      <c r="DZ432" s="357"/>
      <c r="EA432" s="357"/>
      <c r="EB432" s="357"/>
      <c r="EC432" s="357"/>
      <c r="ED432" s="357"/>
      <c r="EE432" s="345" t="str">
        <f ca="1">IF(OR(CO461="",TODAY()&gt;=Blad1!AY3),"",IF(FL1=0,"",IF(DF432="","Deze moet je nog (af-) maken.",IF(FL432=1,"Goed!","Fout!"))))</f>
        <v/>
      </c>
      <c r="EF432" s="357"/>
      <c r="EG432" s="357"/>
      <c r="EH432" s="357"/>
      <c r="EI432" s="357"/>
      <c r="EJ432" s="357"/>
      <c r="EK432" s="357"/>
      <c r="EL432" s="357"/>
      <c r="EM432" s="357"/>
      <c r="EN432" s="357"/>
      <c r="EO432" s="357"/>
      <c r="EP432" s="357"/>
      <c r="EQ432" s="357"/>
      <c r="ER432" s="357"/>
      <c r="ES432" s="357"/>
      <c r="ET432" s="357"/>
      <c r="EU432" s="357"/>
      <c r="EV432" s="357"/>
      <c r="EW432" s="357"/>
      <c r="EX432" s="357"/>
      <c r="EY432" s="357"/>
      <c r="EZ432" s="357"/>
      <c r="FA432" s="43"/>
      <c r="FB432" s="43"/>
      <c r="FC432" s="43"/>
      <c r="FD432" s="43"/>
      <c r="FE432" s="43"/>
      <c r="FF432" s="43"/>
      <c r="FG432" s="43"/>
      <c r="FH432" s="43"/>
      <c r="FI432" s="43"/>
      <c r="FJ432" s="96"/>
      <c r="FK432" s="96"/>
      <c r="FL432" s="93">
        <f ca="1">IF(programma!B1="X",1,IF(FL1=0,0,IF(DF432=FQ240,1,0)))</f>
        <v>0</v>
      </c>
      <c r="FM432" s="338"/>
      <c r="FN432" s="338"/>
      <c r="FO432" s="93"/>
      <c r="FP432" s="93"/>
      <c r="FQ432" s="93"/>
      <c r="FR432" s="93"/>
      <c r="FS432" s="93"/>
      <c r="FT432" s="93"/>
      <c r="FU432" s="93"/>
      <c r="FV432" s="93"/>
      <c r="FW432" s="93"/>
      <c r="FX432" s="93"/>
      <c r="FY432" s="259"/>
      <c r="FZ432" s="259"/>
      <c r="GA432" s="259"/>
      <c r="GB432" s="259"/>
      <c r="GC432" s="49"/>
      <c r="GD432" s="49"/>
      <c r="GE432" s="49"/>
      <c r="GF432" s="49"/>
      <c r="GG432" s="49"/>
      <c r="GH432" s="49"/>
      <c r="GI432" s="49"/>
      <c r="GJ432" s="49"/>
      <c r="GK432" s="49"/>
      <c r="GL432" s="49"/>
      <c r="GM432" s="49"/>
      <c r="GN432" s="49"/>
      <c r="GO432" s="49"/>
      <c r="GP432" s="49"/>
      <c r="GQ432" s="49"/>
      <c r="GR432" s="49"/>
      <c r="GS432" s="49"/>
      <c r="GT432" s="49"/>
      <c r="GU432" s="49"/>
      <c r="GV432" s="49"/>
      <c r="GW432" s="66"/>
      <c r="GX432" s="66"/>
      <c r="GY432" s="66"/>
      <c r="GZ432" s="66"/>
      <c r="HA432" s="66"/>
      <c r="HB432" s="66"/>
      <c r="HC432" s="66"/>
      <c r="HD432" s="66"/>
      <c r="HE432" s="66"/>
      <c r="HF432" s="66"/>
      <c r="HG432" s="66"/>
      <c r="HH432" s="66"/>
      <c r="HI432" s="66"/>
      <c r="HJ432" s="66"/>
      <c r="HK432" s="66"/>
      <c r="HL432" s="66"/>
      <c r="HM432" s="66"/>
      <c r="HN432" s="66"/>
      <c r="HO432" s="66"/>
      <c r="HP432" s="66"/>
      <c r="HQ432" s="66"/>
      <c r="HR432" s="66"/>
      <c r="HS432" s="66"/>
      <c r="HT432" s="66"/>
      <c r="HU432" s="66"/>
      <c r="HV432" s="66"/>
      <c r="HW432" s="66"/>
      <c r="HX432" s="66"/>
      <c r="HY432" s="66"/>
      <c r="HZ432" s="66"/>
      <c r="IA432" s="66"/>
    </row>
    <row r="433" spans="1:236" customFormat="1" ht="3.75" customHeight="1">
      <c r="A433" s="1"/>
      <c r="B433" s="3"/>
      <c r="C433" s="3"/>
      <c r="D433" s="124"/>
      <c r="E433" s="346"/>
      <c r="F433" s="346"/>
      <c r="G433" s="346"/>
      <c r="H433" s="346"/>
      <c r="I433" s="346"/>
      <c r="J433" s="79"/>
      <c r="K433" s="79"/>
      <c r="L433" s="41"/>
      <c r="M433" s="42"/>
      <c r="N433" s="41"/>
      <c r="O433" s="41"/>
      <c r="P433" s="41"/>
      <c r="Q433" s="41"/>
      <c r="R433" s="41"/>
      <c r="S433" s="79"/>
      <c r="T433" s="344"/>
      <c r="U433" s="344"/>
      <c r="V433" s="344"/>
      <c r="W433" s="344"/>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c r="AS433" s="344"/>
      <c r="AT433" s="344"/>
      <c r="AU433" s="344"/>
      <c r="AV433" s="344"/>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44"/>
      <c r="CZ433" s="344"/>
      <c r="DA433" s="344"/>
      <c r="DB433" s="344"/>
      <c r="DC433" s="344"/>
      <c r="DD433" s="344"/>
      <c r="DE433" s="536" t="str">
        <f ca="1">IF(FL1=0,"","+")</f>
        <v/>
      </c>
      <c r="DF433" s="536"/>
      <c r="DG433" s="536"/>
      <c r="DH433" s="536"/>
      <c r="DI433" s="536"/>
      <c r="DJ433" s="536"/>
      <c r="DK433" s="536"/>
      <c r="DL433" s="43"/>
      <c r="DM433" s="43"/>
      <c r="DN433" s="43"/>
      <c r="DO433" s="43"/>
      <c r="DP433" s="43"/>
      <c r="DQ433" s="43"/>
      <c r="DR433" s="43"/>
      <c r="DS433" s="43"/>
      <c r="DT433" s="43"/>
      <c r="DU433" s="43"/>
      <c r="DV433" s="43"/>
      <c r="DW433" s="43"/>
      <c r="DX433" s="43"/>
      <c r="DY433" s="357"/>
      <c r="DZ433" s="357"/>
      <c r="EA433" s="357"/>
      <c r="EB433" s="357"/>
      <c r="EC433" s="357"/>
      <c r="ED433" s="357"/>
      <c r="EE433" s="357"/>
      <c r="EF433" s="357"/>
      <c r="EG433" s="357"/>
      <c r="EH433" s="357"/>
      <c r="EI433" s="357"/>
      <c r="EJ433" s="357"/>
      <c r="EK433" s="357"/>
      <c r="EL433" s="357"/>
      <c r="EM433" s="357"/>
      <c r="EN433" s="357"/>
      <c r="EO433" s="357"/>
      <c r="EP433" s="357"/>
      <c r="EQ433" s="357"/>
      <c r="ER433" s="357"/>
      <c r="ES433" s="357"/>
      <c r="ET433" s="357"/>
      <c r="EU433" s="357"/>
      <c r="EV433" s="357"/>
      <c r="EW433" s="357"/>
      <c r="EX433" s="357"/>
      <c r="EY433" s="357"/>
      <c r="EZ433" s="357"/>
      <c r="FA433" s="43"/>
      <c r="FB433" s="43"/>
      <c r="FC433" s="43"/>
      <c r="FD433" s="43"/>
      <c r="FE433" s="43"/>
      <c r="FF433" s="43"/>
      <c r="FG433" s="43"/>
      <c r="FH433" s="43"/>
      <c r="FI433" s="43"/>
      <c r="FJ433" s="96"/>
      <c r="FK433" s="96"/>
      <c r="FL433" s="96"/>
      <c r="FM433" s="338"/>
      <c r="FN433" s="93"/>
      <c r="FO433" s="93"/>
      <c r="FP433" s="93"/>
      <c r="FQ433" s="93"/>
      <c r="FR433" s="93"/>
      <c r="FS433" s="93"/>
      <c r="FT433" s="93"/>
      <c r="FU433" s="93"/>
      <c r="FV433" s="93"/>
      <c r="FW433" s="93"/>
      <c r="FX433" s="93"/>
      <c r="FY433" s="259"/>
      <c r="FZ433" s="259"/>
      <c r="GA433" s="259"/>
      <c r="GB433" s="259"/>
      <c r="GC433" s="49"/>
      <c r="GD433" s="49"/>
      <c r="GE433" s="49"/>
      <c r="GF433" s="49"/>
      <c r="GG433" s="49"/>
      <c r="GH433" s="49"/>
      <c r="GI433" s="49"/>
      <c r="GJ433" s="49"/>
      <c r="GK433" s="49"/>
      <c r="GL433" s="49"/>
      <c r="GM433" s="49"/>
      <c r="GN433" s="49"/>
      <c r="GO433" s="49"/>
      <c r="GP433" s="49"/>
      <c r="GQ433" s="49"/>
      <c r="GR433" s="49"/>
      <c r="GS433" s="49"/>
      <c r="GT433" s="49"/>
      <c r="GU433" s="49"/>
      <c r="GV433" s="49"/>
      <c r="GW433" s="66"/>
      <c r="GX433" s="66"/>
      <c r="GY433" s="66"/>
      <c r="GZ433" s="66"/>
      <c r="HA433" s="66"/>
      <c r="HB433" s="66"/>
      <c r="HC433" s="66"/>
      <c r="HD433" s="66"/>
      <c r="HE433" s="66"/>
      <c r="HF433" s="66"/>
      <c r="HG433" s="66"/>
      <c r="HH433" s="66"/>
      <c r="HI433" s="66"/>
      <c r="HJ433" s="66"/>
      <c r="HK433" s="66"/>
      <c r="HL433" s="66"/>
      <c r="HM433" s="66"/>
      <c r="HN433" s="66"/>
      <c r="HO433" s="66"/>
      <c r="HP433" s="66"/>
      <c r="HQ433" s="66"/>
      <c r="HR433" s="66"/>
      <c r="HS433" s="66"/>
      <c r="HT433" s="66"/>
      <c r="HU433" s="66"/>
      <c r="HV433" s="66"/>
      <c r="HW433" s="66"/>
      <c r="HX433" s="66"/>
      <c r="HY433" s="66"/>
      <c r="HZ433" s="66"/>
      <c r="IA433" s="66"/>
    </row>
    <row r="434" spans="1:236" s="268" customFormat="1" ht="16.95" customHeight="1">
      <c r="A434" s="60"/>
      <c r="B434" s="69"/>
      <c r="C434" s="69"/>
      <c r="D434" s="341"/>
      <c r="E434" s="341"/>
      <c r="F434" s="89"/>
      <c r="G434" s="89"/>
      <c r="H434" s="89"/>
      <c r="I434" s="89"/>
      <c r="J434" s="89"/>
      <c r="K434" s="89"/>
      <c r="L434" s="89"/>
      <c r="M434" s="89"/>
      <c r="N434" s="89"/>
      <c r="O434" s="89"/>
      <c r="P434" s="89"/>
      <c r="Q434" s="89"/>
      <c r="R434" s="89"/>
      <c r="S434" s="89"/>
      <c r="T434" s="89"/>
      <c r="U434" s="89"/>
      <c r="V434" s="89"/>
      <c r="W434" s="89"/>
      <c r="X434" s="89"/>
      <c r="Y434" s="89"/>
      <c r="Z434" s="89"/>
      <c r="AA434" s="89"/>
      <c r="AB434" s="89"/>
      <c r="AC434" s="89"/>
      <c r="AD434" s="89"/>
      <c r="AE434" s="141"/>
      <c r="AF434" s="141"/>
      <c r="AG434" s="141"/>
      <c r="AH434" s="141"/>
      <c r="AI434" s="141"/>
      <c r="AJ434" s="141"/>
      <c r="AK434" s="141"/>
      <c r="AL434" s="141"/>
      <c r="AM434" s="141"/>
      <c r="AN434" s="141"/>
      <c r="AO434" s="141"/>
      <c r="AP434" s="141"/>
      <c r="AQ434" s="141"/>
      <c r="AR434" s="141"/>
      <c r="AS434" s="141"/>
      <c r="AT434" s="141"/>
      <c r="AU434" s="141"/>
      <c r="AV434" s="141"/>
      <c r="AW434" s="141"/>
      <c r="AX434" s="141"/>
      <c r="AY434" s="141"/>
      <c r="AZ434" s="141"/>
      <c r="BA434" s="141"/>
      <c r="BB434" s="141"/>
      <c r="BC434" s="141"/>
      <c r="BD434" s="141"/>
      <c r="BE434" s="141"/>
      <c r="BF434" s="141"/>
      <c r="BG434" s="141"/>
      <c r="BH434" s="141"/>
      <c r="BI434" s="141"/>
      <c r="BJ434" s="141"/>
      <c r="BK434" s="141"/>
      <c r="BL434" s="141"/>
      <c r="BM434" s="141"/>
      <c r="BN434" s="141"/>
      <c r="BO434" s="141"/>
      <c r="BP434" s="141"/>
      <c r="BQ434" s="141"/>
      <c r="CV434" s="89"/>
      <c r="CW434" s="89"/>
      <c r="CX434" s="89"/>
      <c r="CY434" s="89"/>
      <c r="CZ434" s="89"/>
      <c r="DA434" s="89"/>
      <c r="DB434" s="89"/>
      <c r="DC434" s="89"/>
      <c r="DD434" s="89"/>
      <c r="DE434" s="89"/>
      <c r="DF434" s="89"/>
      <c r="DG434" s="89"/>
      <c r="DH434" s="89"/>
      <c r="DI434" s="89"/>
      <c r="DJ434" s="89"/>
      <c r="DK434" s="89"/>
      <c r="DL434" s="89"/>
      <c r="DM434" s="89"/>
      <c r="DN434" s="89"/>
      <c r="DO434" s="89"/>
      <c r="FA434" s="89"/>
      <c r="FB434" s="89"/>
      <c r="FC434" s="89"/>
      <c r="FD434" s="89"/>
      <c r="FE434" s="89"/>
      <c r="FF434" s="89"/>
      <c r="FG434" s="89"/>
      <c r="FH434" s="89"/>
      <c r="FI434" s="89"/>
      <c r="FJ434" s="96"/>
      <c r="FK434" s="257"/>
      <c r="FL434" s="257"/>
      <c r="FM434" s="96"/>
      <c r="FN434" s="96"/>
      <c r="FO434" s="96"/>
      <c r="FP434" s="96"/>
      <c r="FQ434" s="96"/>
      <c r="FR434" s="93"/>
      <c r="FS434" s="93"/>
      <c r="FT434" s="93"/>
      <c r="FU434" s="257"/>
      <c r="FV434" s="356"/>
      <c r="FW434" s="356"/>
      <c r="FX434" s="356"/>
      <c r="FY434" s="259"/>
      <c r="FZ434" s="259"/>
      <c r="GA434" s="259"/>
      <c r="GB434" s="259"/>
      <c r="GC434" s="259"/>
      <c r="GD434" s="259"/>
      <c r="GE434" s="259"/>
      <c r="GF434" s="259"/>
      <c r="GG434" s="259"/>
      <c r="GH434" s="259"/>
      <c r="GI434" s="259"/>
      <c r="GJ434" s="259"/>
      <c r="GK434" s="356"/>
      <c r="GL434" s="356"/>
      <c r="GM434" s="356"/>
      <c r="GN434" s="356"/>
      <c r="GO434" s="356"/>
      <c r="GP434" s="377"/>
      <c r="GQ434" s="377"/>
      <c r="GR434" s="377"/>
      <c r="GS434" s="377"/>
      <c r="GT434" s="377"/>
      <c r="GU434" s="377"/>
      <c r="GV434" s="377"/>
      <c r="GW434" s="66"/>
      <c r="GX434" s="66"/>
      <c r="GY434" s="66"/>
      <c r="GZ434" s="66"/>
      <c r="HA434" s="66"/>
      <c r="HB434" s="66"/>
      <c r="HC434" s="66"/>
      <c r="HD434" s="66"/>
      <c r="HE434" s="66"/>
      <c r="HF434" s="66"/>
      <c r="HG434" s="66"/>
      <c r="HH434" s="66"/>
      <c r="HI434" s="66"/>
      <c r="HJ434" s="66"/>
      <c r="HK434" s="66"/>
      <c r="HL434" s="66"/>
      <c r="HM434" s="66"/>
      <c r="HN434" s="66"/>
      <c r="HO434" s="66"/>
      <c r="HP434" s="66"/>
      <c r="HQ434" s="66"/>
      <c r="HR434" s="66"/>
      <c r="HS434" s="66"/>
      <c r="HT434" s="66"/>
      <c r="HU434" s="66"/>
      <c r="HV434" s="66"/>
      <c r="HW434" s="66"/>
      <c r="HX434" s="66"/>
      <c r="HY434" s="66"/>
      <c r="HZ434" s="66"/>
      <c r="IA434" s="66"/>
    </row>
    <row r="435" spans="1:236" ht="16.95" customHeight="1">
      <c r="A435" s="60"/>
      <c r="B435" s="69"/>
      <c r="C435" s="69"/>
      <c r="D435" s="268"/>
      <c r="E435" s="341"/>
      <c r="F435" s="341"/>
      <c r="G435" s="341"/>
      <c r="H435" s="341"/>
      <c r="I435" s="341"/>
      <c r="J435" s="341"/>
      <c r="K435" s="89"/>
      <c r="L435" s="89"/>
      <c r="M435" s="89"/>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c r="AK435" s="89"/>
      <c r="AL435" s="89"/>
      <c r="AM435" s="89"/>
      <c r="AN435" s="89"/>
      <c r="AO435" s="89"/>
      <c r="AP435" s="89"/>
      <c r="AQ435" s="89"/>
      <c r="AR435" s="89"/>
      <c r="AS435" s="89"/>
      <c r="AT435" s="89"/>
      <c r="AU435" s="89"/>
      <c r="AV435" s="89"/>
      <c r="AW435" s="89"/>
      <c r="AX435" s="89"/>
      <c r="AY435" s="89"/>
      <c r="AZ435" s="89"/>
      <c r="BA435" s="89"/>
      <c r="BB435" s="89"/>
      <c r="BC435" s="89"/>
      <c r="BD435" s="89"/>
      <c r="BE435" s="89"/>
      <c r="BF435" s="89"/>
      <c r="BG435" s="89"/>
      <c r="BH435" s="89"/>
      <c r="BI435" s="89"/>
      <c r="BJ435" s="89"/>
      <c r="BK435" s="89"/>
      <c r="BL435" s="89"/>
      <c r="BM435" s="89"/>
      <c r="BN435" s="89"/>
      <c r="BO435" s="89"/>
      <c r="BP435" s="89"/>
      <c r="BQ435" s="89"/>
      <c r="BR435" s="89"/>
      <c r="BS435" s="89"/>
      <c r="BT435" s="89"/>
      <c r="BU435" s="89"/>
      <c r="BV435" s="89"/>
      <c r="BW435" s="89"/>
      <c r="BX435" s="89"/>
      <c r="BY435" s="89"/>
      <c r="BZ435" s="89"/>
      <c r="CA435" s="89"/>
      <c r="CB435" s="89"/>
      <c r="CC435" s="89"/>
      <c r="CD435" s="89"/>
      <c r="CE435" s="89"/>
      <c r="CF435" s="89"/>
      <c r="CG435" s="89"/>
      <c r="CH435" s="89"/>
      <c r="CI435" s="89"/>
      <c r="CJ435" s="89"/>
      <c r="CK435" s="89"/>
      <c r="CL435" s="89"/>
      <c r="CM435" s="89"/>
      <c r="CN435" s="89"/>
      <c r="CO435" s="89"/>
      <c r="CP435" s="89"/>
      <c r="CQ435" s="89"/>
      <c r="CR435" s="89"/>
      <c r="CS435" s="89"/>
      <c r="CT435" s="89"/>
      <c r="CU435" s="89"/>
      <c r="CV435" s="89"/>
      <c r="CW435" s="89"/>
      <c r="CX435" s="89"/>
      <c r="CY435" s="89"/>
      <c r="CZ435" s="89"/>
      <c r="DA435" s="89"/>
      <c r="DB435" s="89"/>
      <c r="DC435" s="89"/>
      <c r="DD435" s="89"/>
      <c r="DE435" s="89"/>
      <c r="DF435" s="89"/>
      <c r="DG435" s="89"/>
      <c r="DH435" s="89"/>
      <c r="DI435" s="89"/>
      <c r="DJ435" s="89"/>
      <c r="DK435" s="89"/>
      <c r="DL435" s="89"/>
      <c r="DM435" s="89"/>
      <c r="DN435" s="89"/>
      <c r="DO435" s="89"/>
      <c r="DP435" s="89"/>
      <c r="DQ435" s="89"/>
      <c r="DR435" s="89"/>
      <c r="DS435" s="89"/>
      <c r="DT435" s="89"/>
      <c r="DU435" s="141"/>
      <c r="DV435" s="141"/>
      <c r="DW435" s="141"/>
      <c r="DX435" s="141"/>
      <c r="DY435" s="141"/>
      <c r="DZ435" s="141"/>
      <c r="EA435" s="141"/>
      <c r="EB435" s="89"/>
      <c r="EC435" s="89"/>
      <c r="ED435" s="89"/>
      <c r="EE435" s="89"/>
      <c r="EF435" s="89"/>
      <c r="EG435" s="89"/>
      <c r="EH435" s="89"/>
      <c r="EI435" s="89"/>
      <c r="EJ435" s="89"/>
      <c r="EK435" s="89"/>
      <c r="EL435" s="89"/>
      <c r="EM435" s="89"/>
      <c r="EN435" s="89"/>
      <c r="EO435" s="89"/>
      <c r="EP435" s="89"/>
      <c r="EQ435" s="89"/>
      <c r="ER435" s="89"/>
      <c r="ES435" s="89"/>
      <c r="ET435" s="89"/>
      <c r="EU435" s="89"/>
      <c r="EV435" s="89"/>
      <c r="EW435" s="89"/>
      <c r="EX435" s="89"/>
      <c r="EY435" s="89"/>
      <c r="EZ435" s="89"/>
      <c r="FA435" s="89"/>
      <c r="FB435" s="89"/>
      <c r="FC435" s="89"/>
      <c r="FD435" s="89"/>
      <c r="FE435" s="89"/>
      <c r="FF435" s="89"/>
      <c r="FG435" s="89"/>
      <c r="FH435" s="89"/>
      <c r="FI435" s="89"/>
      <c r="FJ435" s="96"/>
      <c r="FK435" s="96"/>
      <c r="FL435" s="96"/>
      <c r="FM435" s="96"/>
      <c r="FN435" s="96"/>
      <c r="FO435" s="300"/>
      <c r="FP435" s="300"/>
      <c r="FQ435" s="300"/>
      <c r="FR435" s="300"/>
      <c r="FS435" s="300"/>
      <c r="FT435" s="300"/>
      <c r="FU435" s="300"/>
      <c r="FV435" s="108"/>
      <c r="FW435" s="108"/>
      <c r="FX435" s="301"/>
      <c r="FY435" s="259"/>
      <c r="FZ435" s="259"/>
      <c r="GA435" s="259"/>
      <c r="GB435" s="259"/>
      <c r="GC435" s="301"/>
      <c r="GD435" s="301"/>
      <c r="GE435" s="301"/>
      <c r="GF435" s="301"/>
      <c r="GG435" s="301"/>
      <c r="GH435" s="301"/>
      <c r="GI435" s="301"/>
      <c r="GJ435" s="301"/>
      <c r="GK435" s="301"/>
      <c r="GL435" s="301"/>
      <c r="GM435" s="301"/>
      <c r="GN435" s="301"/>
      <c r="GO435" s="301"/>
      <c r="GP435" s="301"/>
      <c r="GQ435" s="301"/>
      <c r="GR435" s="301"/>
      <c r="GS435" s="301"/>
      <c r="GT435" s="301"/>
      <c r="GU435" s="301"/>
      <c r="GV435" s="301"/>
      <c r="IB435" s="65"/>
    </row>
    <row r="436" spans="1:236" ht="16.95" customHeight="1">
      <c r="A436" s="60"/>
      <c r="B436" s="311" t="str">
        <f ca="1">IF(FL1=0,"",21)</f>
        <v/>
      </c>
      <c r="C436" s="69"/>
      <c r="D436" s="341" t="str">
        <f ca="1">IF(FL1=0,"","In de grafiek hiernaast zijn de functies van")</f>
        <v/>
      </c>
      <c r="E436" s="341"/>
      <c r="F436" s="341"/>
      <c r="G436" s="341"/>
      <c r="H436" s="341"/>
      <c r="I436" s="341"/>
      <c r="J436" s="341"/>
      <c r="K436" s="89"/>
      <c r="L436" s="89"/>
      <c r="M436" s="89"/>
      <c r="N436" s="89"/>
      <c r="O436" s="89"/>
      <c r="P436" s="89"/>
      <c r="Q436" s="89"/>
      <c r="R436" s="89"/>
      <c r="S436" s="89"/>
      <c r="T436" s="89"/>
      <c r="U436" s="89"/>
      <c r="V436" s="89"/>
      <c r="W436" s="89"/>
      <c r="X436" s="89"/>
      <c r="Y436" s="89"/>
      <c r="Z436" s="89"/>
      <c r="AA436" s="89"/>
      <c r="AB436" s="89"/>
      <c r="AC436" s="89"/>
      <c r="AD436" s="89"/>
      <c r="AE436" s="89"/>
      <c r="AF436" s="89"/>
      <c r="AG436" s="89"/>
      <c r="AH436" s="89"/>
      <c r="AI436" s="89"/>
      <c r="AJ436" s="89"/>
      <c r="AK436" s="89"/>
      <c r="AL436" s="89"/>
      <c r="AM436" s="89"/>
      <c r="AN436" s="89"/>
      <c r="AO436" s="89"/>
      <c r="AP436" s="89"/>
      <c r="AQ436" s="89"/>
      <c r="AR436" s="89"/>
      <c r="AS436" s="89"/>
      <c r="AT436" s="89"/>
      <c r="AU436" s="89"/>
      <c r="AV436" s="89"/>
      <c r="AW436" s="89"/>
      <c r="AX436" s="89"/>
      <c r="AY436" s="89"/>
      <c r="AZ436" s="89"/>
      <c r="BA436" s="89"/>
      <c r="BB436" s="89"/>
      <c r="BC436" s="89"/>
      <c r="BD436" s="89"/>
      <c r="BE436" s="89"/>
      <c r="BF436" s="89"/>
      <c r="BG436" s="89"/>
      <c r="BH436" s="89"/>
      <c r="BI436" s="89"/>
      <c r="BJ436" s="89"/>
      <c r="BK436" s="89"/>
      <c r="BL436" s="89"/>
      <c r="BM436" s="89"/>
      <c r="BN436" s="89"/>
      <c r="BO436" s="89"/>
      <c r="BP436" s="89"/>
      <c r="BQ436" s="89"/>
      <c r="BR436" s="89"/>
      <c r="BS436" s="89"/>
      <c r="BT436" s="89"/>
      <c r="BU436" s="89"/>
      <c r="BV436" s="89"/>
      <c r="BW436" s="89"/>
      <c r="BX436" s="89"/>
      <c r="BY436" s="89"/>
      <c r="BZ436" s="89"/>
      <c r="CA436" s="89"/>
      <c r="CB436" s="89"/>
      <c r="CC436" s="89"/>
      <c r="CD436" s="89"/>
      <c r="CE436" s="89"/>
      <c r="CF436" s="89"/>
      <c r="CG436" s="89"/>
      <c r="CH436" s="89"/>
      <c r="CI436" s="89"/>
      <c r="CJ436" s="89"/>
      <c r="CK436" s="89"/>
      <c r="CL436" s="89"/>
      <c r="CM436" s="89"/>
      <c r="CN436" s="89"/>
      <c r="CO436" s="89"/>
      <c r="CP436" s="89"/>
      <c r="CQ436" s="89"/>
      <c r="CR436" s="89"/>
      <c r="CS436" s="89"/>
      <c r="CT436" s="89"/>
      <c r="CU436" s="89"/>
      <c r="CV436" s="89"/>
      <c r="CW436" s="89"/>
      <c r="CX436" s="89"/>
      <c r="CY436" s="89"/>
      <c r="CZ436" s="89"/>
      <c r="DA436" s="89"/>
      <c r="DB436" s="89"/>
      <c r="DC436" s="89"/>
      <c r="DD436" s="89"/>
      <c r="DE436" s="89"/>
      <c r="DF436" s="89"/>
      <c r="DG436" s="89"/>
      <c r="DH436" s="89"/>
      <c r="DI436" s="89"/>
      <c r="DJ436" s="89"/>
      <c r="DK436" s="89"/>
      <c r="DL436" s="89"/>
      <c r="DM436" s="89"/>
      <c r="DN436" s="89"/>
      <c r="DO436" s="89"/>
      <c r="DP436" s="89"/>
      <c r="DQ436" s="89"/>
      <c r="DR436" s="89"/>
      <c r="DS436" s="89"/>
      <c r="DT436" s="89"/>
      <c r="DU436" s="141"/>
      <c r="DV436" s="141"/>
      <c r="DW436" s="141"/>
      <c r="DX436" s="141"/>
      <c r="DY436" s="141"/>
      <c r="DZ436" s="141"/>
      <c r="EA436" s="141"/>
      <c r="EB436" s="89"/>
      <c r="EC436" s="89"/>
      <c r="ED436" s="89"/>
      <c r="EE436" s="89"/>
      <c r="EF436" s="89"/>
      <c r="EG436" s="89"/>
      <c r="EH436" s="89"/>
      <c r="EI436" s="89"/>
      <c r="EJ436" s="89"/>
      <c r="EK436" s="89"/>
      <c r="EL436" s="89"/>
      <c r="EM436" s="89"/>
      <c r="EN436" s="89"/>
      <c r="EO436" s="89"/>
      <c r="EP436" s="89"/>
      <c r="EQ436" s="89"/>
      <c r="ER436" s="89"/>
      <c r="ES436" s="89"/>
      <c r="ET436" s="89"/>
      <c r="EU436" s="89"/>
      <c r="EV436" s="89"/>
      <c r="EW436" s="89"/>
      <c r="EX436" s="89"/>
      <c r="EY436" s="89"/>
      <c r="EZ436" s="89"/>
      <c r="FA436" s="89"/>
      <c r="FB436" s="89"/>
      <c r="FC436" s="89"/>
      <c r="FD436" s="89"/>
      <c r="FE436" s="89"/>
      <c r="FF436" s="89"/>
      <c r="FG436" s="89"/>
      <c r="FH436" s="89"/>
      <c r="FI436" s="89"/>
      <c r="FJ436" s="96"/>
      <c r="FK436" s="96"/>
      <c r="FL436" s="96"/>
      <c r="FM436" s="96"/>
      <c r="FN436" s="96"/>
      <c r="FO436" s="108"/>
      <c r="FP436" s="108"/>
      <c r="FQ436" s="108"/>
      <c r="FR436" s="108"/>
      <c r="FS436" s="108"/>
      <c r="FT436" s="108"/>
      <c r="FU436" s="108"/>
      <c r="FV436" s="108"/>
      <c r="FW436" s="108"/>
      <c r="FX436" s="301"/>
      <c r="FY436" s="259"/>
      <c r="FZ436" s="259"/>
      <c r="GA436" s="259"/>
      <c r="GB436" s="259"/>
      <c r="GC436" s="301"/>
      <c r="GD436" s="301"/>
      <c r="GE436" s="301"/>
      <c r="GF436" s="301"/>
      <c r="GG436" s="301"/>
      <c r="GH436" s="301"/>
      <c r="GI436" s="301"/>
      <c r="GJ436" s="301"/>
      <c r="GK436" s="301"/>
      <c r="GL436" s="301"/>
      <c r="GM436" s="301"/>
      <c r="GN436" s="301"/>
      <c r="GO436" s="301"/>
      <c r="GP436" s="301"/>
      <c r="GQ436" s="301"/>
      <c r="GR436" s="301"/>
      <c r="GS436" s="301"/>
      <c r="GT436" s="301"/>
      <c r="GU436" s="301"/>
      <c r="GV436" s="301"/>
      <c r="IB436" s="65"/>
    </row>
    <row r="437" spans="1:236" ht="16.95" customHeight="1">
      <c r="A437" s="60"/>
      <c r="B437" s="69"/>
      <c r="C437" s="69"/>
      <c r="D437" s="341" t="str">
        <f ca="1">IF(FL1=0,"","de gemiddelde totale kosten (GTK), de")</f>
        <v/>
      </c>
      <c r="E437" s="341"/>
      <c r="F437" s="341"/>
      <c r="G437" s="341"/>
      <c r="H437" s="341"/>
      <c r="I437" s="341"/>
      <c r="J437" s="341"/>
      <c r="K437" s="89"/>
      <c r="L437" s="89"/>
      <c r="M437" s="89"/>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c r="AK437" s="89"/>
      <c r="AL437" s="89"/>
      <c r="AM437" s="89"/>
      <c r="AN437" s="89"/>
      <c r="AO437" s="89"/>
      <c r="AP437" s="89"/>
      <c r="AQ437" s="89"/>
      <c r="AR437" s="89"/>
      <c r="AS437" s="89"/>
      <c r="AT437" s="89"/>
      <c r="AU437" s="89"/>
      <c r="AV437" s="89"/>
      <c r="AW437" s="89"/>
      <c r="AX437" s="89"/>
      <c r="AY437" s="89"/>
      <c r="AZ437" s="89"/>
      <c r="BA437" s="89"/>
      <c r="BB437" s="89"/>
      <c r="BC437" s="89"/>
      <c r="BD437" s="89"/>
      <c r="BE437" s="89"/>
      <c r="BF437" s="89"/>
      <c r="BG437" s="89"/>
      <c r="BH437" s="89"/>
      <c r="BI437" s="89"/>
      <c r="BJ437" s="89"/>
      <c r="BK437" s="89"/>
      <c r="BL437" s="89"/>
      <c r="BM437" s="89"/>
      <c r="BN437" s="89"/>
      <c r="BO437" s="89"/>
      <c r="BP437" s="89"/>
      <c r="BQ437" s="89"/>
      <c r="BR437" s="89"/>
      <c r="BS437" s="89"/>
      <c r="BT437" s="89"/>
      <c r="BU437" s="89"/>
      <c r="BV437" s="89"/>
      <c r="BW437" s="89"/>
      <c r="BX437" s="89"/>
      <c r="BY437" s="89"/>
      <c r="BZ437" s="89"/>
      <c r="CA437" s="89"/>
      <c r="CB437" s="89"/>
      <c r="CC437" s="89"/>
      <c r="CD437" s="89"/>
      <c r="CE437" s="89"/>
      <c r="CF437" s="89"/>
      <c r="CG437" s="89"/>
      <c r="CH437" s="89"/>
      <c r="CI437" s="89"/>
      <c r="CJ437" s="89"/>
      <c r="CK437" s="89"/>
      <c r="CL437" s="89"/>
      <c r="CM437" s="89"/>
      <c r="CN437" s="89"/>
      <c r="CO437" s="89"/>
      <c r="CP437" s="89"/>
      <c r="CQ437" s="89"/>
      <c r="CR437" s="89"/>
      <c r="CS437" s="89"/>
      <c r="CT437" s="89"/>
      <c r="CU437" s="89"/>
      <c r="CV437" s="89"/>
      <c r="CW437" s="89"/>
      <c r="CX437" s="89"/>
      <c r="CY437" s="89"/>
      <c r="CZ437" s="89"/>
      <c r="DA437" s="89"/>
      <c r="DB437" s="89"/>
      <c r="DC437" s="89"/>
      <c r="DD437" s="89"/>
      <c r="DE437" s="89"/>
      <c r="DF437" s="89"/>
      <c r="DG437" s="89"/>
      <c r="DH437" s="89"/>
      <c r="DI437" s="89"/>
      <c r="DJ437" s="89"/>
      <c r="DK437" s="89"/>
      <c r="DL437" s="89"/>
      <c r="DM437" s="89"/>
      <c r="DN437" s="89"/>
      <c r="DO437" s="89"/>
      <c r="DP437" s="89"/>
      <c r="DQ437" s="89"/>
      <c r="DR437" s="89"/>
      <c r="DS437" s="89"/>
      <c r="DT437" s="89"/>
      <c r="DU437" s="141"/>
      <c r="DV437" s="141"/>
      <c r="DW437" s="141"/>
      <c r="DX437" s="141"/>
      <c r="DY437" s="141"/>
      <c r="DZ437" s="141"/>
      <c r="EA437" s="141"/>
      <c r="EB437" s="89"/>
      <c r="EC437" s="89"/>
      <c r="ED437" s="89"/>
      <c r="EE437" s="89"/>
      <c r="EF437" s="89"/>
      <c r="EG437" s="89"/>
      <c r="EH437" s="89"/>
      <c r="EI437" s="89"/>
      <c r="EJ437" s="89"/>
      <c r="EK437" s="89"/>
      <c r="EL437" s="89"/>
      <c r="EM437" s="89"/>
      <c r="EN437" s="89"/>
      <c r="EO437" s="89"/>
      <c r="EP437" s="89"/>
      <c r="EQ437" s="89"/>
      <c r="ER437" s="89"/>
      <c r="ES437" s="89"/>
      <c r="ET437" s="89"/>
      <c r="EU437" s="89"/>
      <c r="EV437" s="89"/>
      <c r="EW437" s="89"/>
      <c r="EX437" s="89"/>
      <c r="EY437" s="89"/>
      <c r="EZ437" s="89"/>
      <c r="FA437" s="89"/>
      <c r="FB437" s="89"/>
      <c r="FC437" s="89"/>
      <c r="FD437" s="89"/>
      <c r="FE437" s="89"/>
      <c r="FF437" s="89"/>
      <c r="FG437" s="89"/>
      <c r="FH437" s="89"/>
      <c r="FI437" s="89"/>
      <c r="FJ437" s="300"/>
      <c r="FK437" s="300"/>
      <c r="FL437" s="300"/>
      <c r="FM437" s="300"/>
      <c r="FN437" s="300"/>
      <c r="FO437" s="108"/>
      <c r="FP437" s="108"/>
      <c r="FQ437" s="108"/>
      <c r="FR437" s="108"/>
      <c r="FS437" s="108"/>
      <c r="FT437" s="108"/>
      <c r="FU437" s="108"/>
      <c r="FV437" s="108"/>
      <c r="FW437" s="108"/>
      <c r="FX437" s="301"/>
      <c r="FY437" s="259"/>
      <c r="FZ437" s="259"/>
      <c r="GA437" s="259"/>
      <c r="GB437" s="259"/>
      <c r="GC437" s="301"/>
      <c r="GD437" s="301"/>
      <c r="GE437" s="301"/>
      <c r="GF437" s="301"/>
      <c r="GG437" s="301"/>
      <c r="GH437" s="301"/>
      <c r="GI437" s="301"/>
      <c r="GJ437" s="301"/>
      <c r="GK437" s="301"/>
      <c r="GL437" s="301"/>
      <c r="GM437" s="301"/>
      <c r="GN437" s="301"/>
      <c r="GO437" s="301"/>
      <c r="GP437" s="301"/>
      <c r="GQ437" s="301"/>
      <c r="GR437" s="301"/>
      <c r="GS437" s="301"/>
      <c r="GT437" s="301"/>
      <c r="GU437" s="301"/>
      <c r="GV437" s="301"/>
      <c r="IB437" s="65"/>
    </row>
    <row r="438" spans="1:236" ht="16.95" customHeight="1">
      <c r="A438" s="60"/>
      <c r="B438" s="69"/>
      <c r="C438" s="69"/>
      <c r="D438" s="341" t="str">
        <f ca="1">IF(FL1=0,"","marginale kosten (MK), de prijsafzetlijn (P)")</f>
        <v/>
      </c>
      <c r="E438" s="341"/>
      <c r="F438" s="341"/>
      <c r="G438" s="341"/>
      <c r="H438" s="341"/>
      <c r="I438" s="341"/>
      <c r="J438" s="341"/>
      <c r="K438" s="89"/>
      <c r="L438" s="89"/>
      <c r="M438" s="89"/>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c r="AK438" s="89"/>
      <c r="AL438" s="89"/>
      <c r="AM438" s="89"/>
      <c r="AN438" s="89"/>
      <c r="AO438" s="89"/>
      <c r="AP438" s="89"/>
      <c r="AQ438" s="89"/>
      <c r="AR438" s="89"/>
      <c r="AS438" s="89"/>
      <c r="AT438" s="89"/>
      <c r="AU438" s="89"/>
      <c r="AV438" s="89"/>
      <c r="AW438" s="89"/>
      <c r="AX438" s="89"/>
      <c r="AY438" s="89"/>
      <c r="AZ438" s="89"/>
      <c r="BA438" s="89"/>
      <c r="BB438" s="89"/>
      <c r="BC438" s="89"/>
      <c r="BD438" s="89"/>
      <c r="BE438" s="89"/>
      <c r="BF438" s="89"/>
      <c r="BG438" s="89"/>
      <c r="BH438" s="89"/>
      <c r="BI438" s="89"/>
      <c r="BJ438" s="89"/>
      <c r="BK438" s="89"/>
      <c r="BL438" s="89"/>
      <c r="BM438" s="89"/>
      <c r="BN438" s="89"/>
      <c r="BO438" s="89"/>
      <c r="BP438" s="89"/>
      <c r="BQ438" s="89"/>
      <c r="BR438" s="89"/>
      <c r="BS438" s="89"/>
      <c r="BT438" s="89"/>
      <c r="BU438" s="89"/>
      <c r="BV438" s="89"/>
      <c r="BW438" s="89"/>
      <c r="BX438" s="89"/>
      <c r="BY438" s="89"/>
      <c r="BZ438" s="89"/>
      <c r="CA438" s="89"/>
      <c r="CB438" s="89"/>
      <c r="CC438" s="89"/>
      <c r="CD438" s="89"/>
      <c r="CE438" s="89"/>
      <c r="CF438" s="89"/>
      <c r="CG438" s="89"/>
      <c r="CH438" s="89"/>
      <c r="CI438" s="89"/>
      <c r="CJ438" s="89"/>
      <c r="CK438" s="89"/>
      <c r="CL438" s="89"/>
      <c r="CM438" s="89"/>
      <c r="CN438" s="89"/>
      <c r="CO438" s="89"/>
      <c r="CP438" s="89"/>
      <c r="CQ438" s="89"/>
      <c r="CR438" s="89"/>
      <c r="CS438" s="89"/>
      <c r="CT438" s="89"/>
      <c r="CU438" s="89"/>
      <c r="CV438" s="89"/>
      <c r="CW438" s="89"/>
      <c r="CX438" s="89"/>
      <c r="CY438" s="89"/>
      <c r="CZ438" s="89"/>
      <c r="DA438" s="89"/>
      <c r="DB438" s="89"/>
      <c r="DC438" s="89"/>
      <c r="DD438" s="89"/>
      <c r="DE438" s="89"/>
      <c r="DF438" s="89"/>
      <c r="DG438" s="89"/>
      <c r="DH438" s="89"/>
      <c r="DI438" s="89"/>
      <c r="DJ438" s="89"/>
      <c r="DK438" s="89"/>
      <c r="DL438" s="89"/>
      <c r="DM438" s="89"/>
      <c r="DN438" s="89"/>
      <c r="DO438" s="89"/>
      <c r="DP438" s="89"/>
      <c r="DQ438" s="89"/>
      <c r="DR438" s="89"/>
      <c r="DS438" s="89"/>
      <c r="DT438" s="89"/>
      <c r="DU438" s="141"/>
      <c r="DV438" s="141"/>
      <c r="DW438" s="141"/>
      <c r="DX438" s="141"/>
      <c r="DY438" s="141"/>
      <c r="DZ438" s="141"/>
      <c r="EA438" s="141"/>
      <c r="EB438" s="89"/>
      <c r="EC438" s="89"/>
      <c r="ED438" s="89"/>
      <c r="EE438" s="89"/>
      <c r="EF438" s="89"/>
      <c r="EG438" s="89"/>
      <c r="EH438" s="89"/>
      <c r="EI438" s="89"/>
      <c r="EJ438" s="89"/>
      <c r="EK438" s="89"/>
      <c r="EL438" s="89"/>
      <c r="EM438" s="89"/>
      <c r="EN438" s="89"/>
      <c r="EO438" s="89"/>
      <c r="EP438" s="89"/>
      <c r="EQ438" s="89"/>
      <c r="ER438" s="89"/>
      <c r="ES438" s="89"/>
      <c r="ET438" s="89"/>
      <c r="EU438" s="89"/>
      <c r="EV438" s="89"/>
      <c r="EW438" s="89"/>
      <c r="EX438" s="89"/>
      <c r="EY438" s="89"/>
      <c r="EZ438" s="89"/>
      <c r="FA438" s="89"/>
      <c r="FB438" s="89"/>
      <c r="FC438" s="89"/>
      <c r="FD438" s="89"/>
      <c r="FE438" s="89"/>
      <c r="FF438" s="89"/>
      <c r="FG438" s="89"/>
      <c r="FH438" s="89"/>
      <c r="FI438" s="89"/>
      <c r="FJ438" s="300"/>
      <c r="FK438" s="300"/>
      <c r="FL438" s="300"/>
      <c r="FM438" s="300"/>
      <c r="FN438" s="300"/>
      <c r="FO438" s="108"/>
      <c r="FP438" s="108"/>
      <c r="FQ438" s="108"/>
      <c r="FR438" s="108"/>
      <c r="FS438" s="108"/>
      <c r="FT438" s="108"/>
      <c r="FU438" s="108"/>
      <c r="FV438" s="108"/>
      <c r="FW438" s="108"/>
      <c r="FX438" s="301"/>
      <c r="FY438" s="259"/>
      <c r="FZ438" s="259"/>
      <c r="GA438" s="259"/>
      <c r="GB438" s="259"/>
      <c r="GC438" s="301"/>
      <c r="GD438" s="301"/>
      <c r="GE438" s="301"/>
      <c r="GF438" s="301"/>
      <c r="GG438" s="301"/>
      <c r="GH438" s="301"/>
      <c r="GI438" s="301"/>
      <c r="GJ438" s="301"/>
      <c r="GK438" s="301"/>
      <c r="GL438" s="301"/>
      <c r="GM438" s="301"/>
      <c r="GN438" s="301"/>
      <c r="GO438" s="301"/>
      <c r="GP438" s="301"/>
      <c r="GQ438" s="301"/>
      <c r="GR438" s="301"/>
      <c r="GS438" s="301"/>
      <c r="GT438" s="301"/>
      <c r="GU438" s="301"/>
      <c r="GV438" s="301"/>
      <c r="IB438" s="65"/>
    </row>
    <row r="439" spans="1:236" ht="16.95" customHeight="1">
      <c r="A439" s="60"/>
      <c r="B439" s="69"/>
      <c r="C439" s="69"/>
      <c r="D439" s="341" t="str">
        <f ca="1">IF(FL1=0,"","en de MO-lijn ingetekend. Zoals je ziet")</f>
        <v/>
      </c>
      <c r="E439" s="341"/>
      <c r="F439" s="341"/>
      <c r="G439" s="341"/>
      <c r="H439" s="341"/>
      <c r="I439" s="341"/>
      <c r="J439" s="341"/>
      <c r="K439" s="89"/>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K439" s="89"/>
      <c r="AL439" s="89"/>
      <c r="AM439" s="89"/>
      <c r="AN439" s="89"/>
      <c r="AO439" s="89"/>
      <c r="AP439" s="89"/>
      <c r="AQ439" s="89"/>
      <c r="AR439" s="89"/>
      <c r="AS439" s="89"/>
      <c r="AT439" s="89"/>
      <c r="AU439" s="89"/>
      <c r="AV439" s="89"/>
      <c r="AW439" s="89"/>
      <c r="AX439" s="89"/>
      <c r="AY439" s="89"/>
      <c r="AZ439" s="89"/>
      <c r="BA439" s="89"/>
      <c r="BB439" s="89"/>
      <c r="BC439" s="89"/>
      <c r="BD439" s="89"/>
      <c r="BE439" s="89"/>
      <c r="BF439" s="89"/>
      <c r="BG439" s="89"/>
      <c r="BH439" s="89"/>
      <c r="BI439" s="89"/>
      <c r="BJ439" s="89"/>
      <c r="BK439" s="89"/>
      <c r="BL439" s="89"/>
      <c r="BM439" s="89"/>
      <c r="BN439" s="89"/>
      <c r="BO439" s="89"/>
      <c r="BP439" s="89"/>
      <c r="BQ439" s="89"/>
      <c r="BR439" s="89"/>
      <c r="BS439" s="89"/>
      <c r="BT439" s="89"/>
      <c r="BU439" s="89"/>
      <c r="BV439" s="89"/>
      <c r="BW439" s="89"/>
      <c r="BX439" s="89"/>
      <c r="BY439" s="89"/>
      <c r="BZ439" s="89"/>
      <c r="CA439" s="89"/>
      <c r="CB439" s="89"/>
      <c r="CC439" s="89"/>
      <c r="CD439" s="89"/>
      <c r="CE439" s="89"/>
      <c r="CF439" s="89"/>
      <c r="CG439" s="89"/>
      <c r="CH439" s="89"/>
      <c r="CI439" s="89"/>
      <c r="CJ439" s="89"/>
      <c r="CK439" s="89"/>
      <c r="CL439" s="89"/>
      <c r="CM439" s="89"/>
      <c r="CN439" s="89"/>
      <c r="CO439" s="89"/>
      <c r="CP439" s="89"/>
      <c r="CQ439" s="89"/>
      <c r="CR439" s="89"/>
      <c r="CS439" s="89"/>
      <c r="CT439" s="89"/>
      <c r="CU439" s="89"/>
      <c r="CV439" s="89"/>
      <c r="CW439" s="89"/>
      <c r="CX439" s="89"/>
      <c r="CY439" s="89"/>
      <c r="CZ439" s="89"/>
      <c r="DA439" s="89"/>
      <c r="DB439" s="89"/>
      <c r="DC439" s="89"/>
      <c r="DD439" s="89"/>
      <c r="DE439" s="89"/>
      <c r="DF439" s="89"/>
      <c r="DG439" s="89"/>
      <c r="DH439" s="89"/>
      <c r="DI439" s="89"/>
      <c r="DJ439" s="89"/>
      <c r="DK439" s="89"/>
      <c r="DL439" s="89"/>
      <c r="DM439" s="89"/>
      <c r="DN439" s="89"/>
      <c r="DO439" s="89"/>
      <c r="DP439" s="89"/>
      <c r="DQ439" s="89"/>
      <c r="DR439" s="89"/>
      <c r="DS439" s="89"/>
      <c r="DT439" s="89"/>
      <c r="DU439" s="141"/>
      <c r="DV439" s="141"/>
      <c r="DW439" s="141"/>
      <c r="DX439" s="141"/>
      <c r="DY439" s="141"/>
      <c r="DZ439" s="141"/>
      <c r="EA439" s="141"/>
      <c r="EB439" s="89"/>
      <c r="EC439" s="89"/>
      <c r="ED439" s="89"/>
      <c r="EE439" s="89"/>
      <c r="EF439" s="89"/>
      <c r="EG439" s="89"/>
      <c r="EH439" s="89"/>
      <c r="EI439" s="89"/>
      <c r="EJ439" s="89"/>
      <c r="EK439" s="89"/>
      <c r="EL439" s="89"/>
      <c r="EM439" s="89"/>
      <c r="EN439" s="89"/>
      <c r="EO439" s="89"/>
      <c r="EP439" s="89"/>
      <c r="EQ439" s="89"/>
      <c r="ER439" s="89"/>
      <c r="ES439" s="89"/>
      <c r="ET439" s="89"/>
      <c r="EU439" s="89"/>
      <c r="EV439" s="89"/>
      <c r="EW439" s="89"/>
      <c r="EX439" s="89"/>
      <c r="EY439" s="89"/>
      <c r="EZ439" s="89"/>
      <c r="FA439" s="89"/>
      <c r="FB439" s="89"/>
      <c r="FC439" s="89"/>
      <c r="FD439" s="89"/>
      <c r="FE439" s="89"/>
      <c r="FF439" s="89"/>
      <c r="FG439" s="89"/>
      <c r="FH439" s="89"/>
      <c r="FI439" s="89"/>
      <c r="FJ439" s="300"/>
      <c r="FK439" s="300"/>
      <c r="FL439" s="300"/>
      <c r="FM439" s="300"/>
      <c r="FN439" s="300"/>
      <c r="FO439" s="108"/>
      <c r="FP439" s="108"/>
      <c r="FQ439" s="108"/>
      <c r="FR439" s="108"/>
      <c r="FS439" s="108"/>
      <c r="FT439" s="108"/>
      <c r="FU439" s="108"/>
      <c r="FV439" s="108"/>
      <c r="FW439" s="108"/>
      <c r="FX439" s="301"/>
      <c r="FY439" s="259"/>
      <c r="FZ439" s="259"/>
      <c r="GA439" s="259"/>
      <c r="GB439" s="259"/>
      <c r="GC439" s="301"/>
      <c r="GD439" s="301"/>
      <c r="GE439" s="301"/>
      <c r="GF439" s="301"/>
      <c r="GG439" s="301"/>
      <c r="GH439" s="301"/>
      <c r="GI439" s="301"/>
      <c r="GJ439" s="301"/>
      <c r="GK439" s="301"/>
      <c r="GL439" s="301"/>
      <c r="GM439" s="301"/>
      <c r="GN439" s="301"/>
      <c r="GO439" s="301"/>
      <c r="GP439" s="301"/>
      <c r="GQ439" s="301"/>
      <c r="GR439" s="301"/>
      <c r="GS439" s="301"/>
      <c r="GT439" s="301"/>
      <c r="GU439" s="301"/>
      <c r="GV439" s="301"/>
      <c r="IB439" s="65"/>
    </row>
    <row r="440" spans="1:236" ht="16.95" customHeight="1">
      <c r="A440" s="60"/>
      <c r="B440" s="69"/>
      <c r="C440" s="69"/>
      <c r="D440" s="341" t="str">
        <f ca="1">IF(FL1=0,"","is dit er niet bij gezet. Hoeveel bedragen")</f>
        <v/>
      </c>
      <c r="E440" s="341"/>
      <c r="F440" s="341"/>
      <c r="G440" s="341"/>
      <c r="H440" s="341"/>
      <c r="I440" s="341"/>
      <c r="J440" s="341"/>
      <c r="K440" s="89"/>
      <c r="L440" s="89"/>
      <c r="M440" s="89"/>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c r="AK440" s="89"/>
      <c r="AL440" s="89"/>
      <c r="AM440" s="89"/>
      <c r="AN440" s="89"/>
      <c r="AO440" s="89"/>
      <c r="AP440" s="89"/>
      <c r="AQ440" s="89"/>
      <c r="AR440" s="89"/>
      <c r="AS440" s="89"/>
      <c r="AT440" s="89"/>
      <c r="AU440" s="89"/>
      <c r="AV440" s="89"/>
      <c r="AW440" s="89"/>
      <c r="AX440" s="89"/>
      <c r="AY440" s="89"/>
      <c r="AZ440" s="89"/>
      <c r="BA440" s="89"/>
      <c r="BB440" s="89"/>
      <c r="BC440" s="89"/>
      <c r="BD440" s="89"/>
      <c r="BE440" s="89"/>
      <c r="BF440" s="89"/>
      <c r="BG440" s="89"/>
      <c r="BH440" s="89"/>
      <c r="BI440" s="89"/>
      <c r="BJ440" s="89"/>
      <c r="BK440" s="89"/>
      <c r="BL440" s="89"/>
      <c r="BM440" s="89"/>
      <c r="BN440" s="89"/>
      <c r="BO440" s="89"/>
      <c r="BP440" s="89"/>
      <c r="BQ440" s="89"/>
      <c r="BR440" s="89"/>
      <c r="BS440" s="89"/>
      <c r="BT440" s="89"/>
      <c r="BU440" s="89"/>
      <c r="BV440" s="89"/>
      <c r="BW440" s="89"/>
      <c r="BX440" s="89"/>
      <c r="BY440" s="89"/>
      <c r="BZ440" s="89"/>
      <c r="CA440" s="89"/>
      <c r="CB440" s="89"/>
      <c r="CC440" s="89"/>
      <c r="CD440" s="89"/>
      <c r="CE440" s="89"/>
      <c r="CF440" s="89"/>
      <c r="CG440" s="89"/>
      <c r="CH440" s="89"/>
      <c r="CI440" s="89"/>
      <c r="CJ440" s="89"/>
      <c r="CK440" s="89"/>
      <c r="CL440" s="89"/>
      <c r="CM440" s="89"/>
      <c r="CN440" s="89"/>
      <c r="CO440" s="89"/>
      <c r="CP440" s="89"/>
      <c r="CQ440" s="89"/>
      <c r="CR440" s="89"/>
      <c r="CS440" s="89"/>
      <c r="CT440" s="89"/>
      <c r="CU440" s="89"/>
      <c r="CV440" s="89"/>
      <c r="CW440" s="89"/>
      <c r="CX440" s="89"/>
      <c r="CY440" s="89"/>
      <c r="CZ440" s="89"/>
      <c r="DA440" s="89"/>
      <c r="DB440" s="89"/>
      <c r="DC440" s="89"/>
      <c r="DD440" s="89"/>
      <c r="DE440" s="89"/>
      <c r="DF440" s="89"/>
      <c r="DG440" s="89"/>
      <c r="DH440" s="89"/>
      <c r="DI440" s="89"/>
      <c r="DJ440" s="89"/>
      <c r="DK440" s="89"/>
      <c r="DL440" s="89"/>
      <c r="DM440" s="89"/>
      <c r="DN440" s="89"/>
      <c r="DO440" s="89"/>
      <c r="DP440" s="89"/>
      <c r="DQ440" s="89"/>
      <c r="DR440" s="89"/>
      <c r="DS440" s="89"/>
      <c r="DT440" s="89"/>
      <c r="DU440" s="141"/>
      <c r="DV440" s="141"/>
      <c r="DW440" s="141"/>
      <c r="DX440" s="141"/>
      <c r="DY440" s="141"/>
      <c r="DZ440" s="141"/>
      <c r="EA440" s="141"/>
      <c r="EB440" s="89"/>
      <c r="EC440" s="89"/>
      <c r="ED440" s="89"/>
      <c r="EE440" s="89"/>
      <c r="EF440" s="89"/>
      <c r="EG440" s="89"/>
      <c r="EH440" s="89"/>
      <c r="EI440" s="89"/>
      <c r="EJ440" s="89"/>
      <c r="EK440" s="89"/>
      <c r="EL440" s="89"/>
      <c r="EM440" s="89"/>
      <c r="EN440" s="89"/>
      <c r="EO440" s="89"/>
      <c r="EP440" s="89"/>
      <c r="EQ440" s="89"/>
      <c r="ER440" s="89"/>
      <c r="ES440" s="89"/>
      <c r="ET440" s="89"/>
      <c r="EU440" s="89"/>
      <c r="EV440" s="89"/>
      <c r="EW440" s="89"/>
      <c r="EX440" s="89"/>
      <c r="EY440" s="89"/>
      <c r="EZ440" s="89"/>
      <c r="FA440" s="89"/>
      <c r="FB440" s="89"/>
      <c r="FC440" s="89"/>
      <c r="FD440" s="89"/>
      <c r="FE440" s="89"/>
      <c r="FF440" s="89"/>
      <c r="FG440" s="89"/>
      <c r="FH440" s="89"/>
      <c r="FI440" s="89"/>
      <c r="FJ440" s="300"/>
      <c r="FK440" s="300"/>
      <c r="FL440" s="300"/>
      <c r="FM440" s="300"/>
      <c r="FN440" s="300"/>
      <c r="FO440" s="108"/>
      <c r="FP440" s="108"/>
      <c r="FQ440" s="108"/>
      <c r="FR440" s="108"/>
      <c r="FS440" s="108"/>
      <c r="FT440" s="108"/>
      <c r="FU440" s="108"/>
      <c r="FV440" s="108"/>
      <c r="FW440" s="108"/>
      <c r="FX440" s="301"/>
      <c r="FY440" s="259"/>
      <c r="FZ440" s="259"/>
      <c r="GA440" s="259"/>
      <c r="GB440" s="259"/>
      <c r="GC440" s="301"/>
      <c r="GD440" s="301"/>
      <c r="GE440" s="301"/>
      <c r="GF440" s="301"/>
      <c r="GG440" s="301"/>
      <c r="GH440" s="301"/>
      <c r="GI440" s="301"/>
      <c r="GJ440" s="301"/>
      <c r="GK440" s="301"/>
      <c r="GL440" s="301"/>
      <c r="GM440" s="301"/>
      <c r="GN440" s="301"/>
      <c r="GO440" s="301"/>
      <c r="GP440" s="301"/>
      <c r="GQ440" s="301"/>
      <c r="GR440" s="301"/>
      <c r="GS440" s="301"/>
      <c r="GT440" s="301"/>
      <c r="GU440" s="301"/>
      <c r="GV440" s="301"/>
      <c r="IB440" s="65"/>
    </row>
    <row r="441" spans="1:236" ht="16.95" customHeight="1">
      <c r="A441" s="60"/>
      <c r="B441" s="69"/>
      <c r="C441" s="69"/>
      <c r="D441" s="341" t="str">
        <f ca="1">IF(FL1=0,"","bij de aangegeven afzet de totale constante")</f>
        <v/>
      </c>
      <c r="E441" s="341"/>
      <c r="F441" s="341"/>
      <c r="G441" s="341"/>
      <c r="H441" s="341"/>
      <c r="I441" s="341"/>
      <c r="J441" s="341"/>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89"/>
      <c r="AL441" s="89"/>
      <c r="AM441" s="89"/>
      <c r="AN441" s="89"/>
      <c r="AO441" s="89"/>
      <c r="AP441" s="89"/>
      <c r="AQ441" s="89"/>
      <c r="AR441" s="89"/>
      <c r="AS441" s="89"/>
      <c r="AT441" s="89"/>
      <c r="AU441" s="89"/>
      <c r="AV441" s="89"/>
      <c r="AW441" s="89"/>
      <c r="AX441" s="89"/>
      <c r="AY441" s="89"/>
      <c r="AZ441" s="89"/>
      <c r="BA441" s="89"/>
      <c r="BB441" s="89"/>
      <c r="BC441" s="89"/>
      <c r="BD441" s="89"/>
      <c r="BE441" s="89"/>
      <c r="BF441" s="89"/>
      <c r="BG441" s="89"/>
      <c r="BH441" s="89"/>
      <c r="BI441" s="89"/>
      <c r="BJ441" s="89"/>
      <c r="BK441" s="89"/>
      <c r="BL441" s="89"/>
      <c r="BM441" s="89"/>
      <c r="BN441" s="89"/>
      <c r="BO441" s="89"/>
      <c r="BP441" s="89"/>
      <c r="BQ441" s="89"/>
      <c r="BR441" s="89"/>
      <c r="BS441" s="89"/>
      <c r="BT441" s="89"/>
      <c r="BU441" s="89"/>
      <c r="BV441" s="89"/>
      <c r="BW441" s="89"/>
      <c r="BX441" s="89"/>
      <c r="BY441" s="89"/>
      <c r="BZ441" s="89"/>
      <c r="CA441" s="89"/>
      <c r="CB441" s="348" t="str">
        <f ca="1">IF(FL1=0,"",""&amp;FN446&amp;"")</f>
        <v/>
      </c>
      <c r="CC441" s="89"/>
      <c r="CD441" s="89"/>
      <c r="CE441" s="89"/>
      <c r="CF441" s="89"/>
      <c r="CG441" s="89"/>
      <c r="CH441" s="89"/>
      <c r="CI441" s="89"/>
      <c r="CJ441" s="89"/>
      <c r="CK441" s="89"/>
      <c r="CL441" s="89"/>
      <c r="CM441" s="89"/>
      <c r="CN441" s="89"/>
      <c r="CO441" s="89"/>
      <c r="CP441" s="89"/>
      <c r="CQ441" s="89"/>
      <c r="CR441" s="89"/>
      <c r="CS441" s="89"/>
      <c r="CT441" s="89"/>
      <c r="CU441" s="89"/>
      <c r="CV441" s="89"/>
      <c r="CW441" s="89"/>
      <c r="CX441" s="89"/>
      <c r="CY441" s="89"/>
      <c r="CZ441" s="89"/>
      <c r="DA441" s="89"/>
      <c r="DB441" s="89"/>
      <c r="DC441" s="89"/>
      <c r="DD441" s="89"/>
      <c r="DE441" s="89"/>
      <c r="DF441" s="89"/>
      <c r="DG441" s="89"/>
      <c r="DH441" s="89"/>
      <c r="DI441" s="89"/>
      <c r="DJ441" s="89"/>
      <c r="DK441" s="89"/>
      <c r="DL441" s="89"/>
      <c r="DM441" s="89"/>
      <c r="DN441" s="89"/>
      <c r="DO441" s="89"/>
      <c r="DP441" s="89"/>
      <c r="DQ441" s="89"/>
      <c r="DR441" s="89"/>
      <c r="DS441" s="89"/>
      <c r="DT441" s="89"/>
      <c r="DU441" s="141"/>
      <c r="DV441" s="141"/>
      <c r="DW441" s="141"/>
      <c r="DX441" s="141"/>
      <c r="DY441" s="141"/>
      <c r="DZ441" s="141"/>
      <c r="EA441" s="141"/>
      <c r="EB441" s="89"/>
      <c r="EC441" s="89"/>
      <c r="ED441" s="89"/>
      <c r="EE441" s="89"/>
      <c r="EF441" s="89"/>
      <c r="EG441" s="89"/>
      <c r="EH441" s="89"/>
      <c r="EI441" s="89"/>
      <c r="EJ441" s="89"/>
      <c r="EK441" s="89"/>
      <c r="EL441" s="89"/>
      <c r="EM441" s="89"/>
      <c r="EN441" s="89"/>
      <c r="EO441" s="89"/>
      <c r="EP441" s="89"/>
      <c r="EQ441" s="89"/>
      <c r="ER441" s="89"/>
      <c r="ES441" s="89"/>
      <c r="ET441" s="89"/>
      <c r="EU441" s="89"/>
      <c r="EV441" s="89"/>
      <c r="EW441" s="89"/>
      <c r="EX441" s="89"/>
      <c r="EY441" s="89"/>
      <c r="EZ441" s="89"/>
      <c r="FA441" s="89"/>
      <c r="FB441" s="89"/>
      <c r="FC441" s="89"/>
      <c r="FD441" s="89"/>
      <c r="FE441" s="89"/>
      <c r="FF441" s="89"/>
      <c r="FG441" s="89"/>
      <c r="FH441" s="89"/>
      <c r="FI441" s="89"/>
      <c r="FJ441" s="300"/>
      <c r="FK441" s="300"/>
      <c r="FL441" s="300"/>
      <c r="FM441" s="300"/>
      <c r="FN441" s="300"/>
      <c r="FO441" s="108"/>
      <c r="FP441" s="108"/>
      <c r="FQ441" s="108"/>
      <c r="FR441" s="108"/>
      <c r="FS441" s="108"/>
      <c r="FT441" s="108"/>
      <c r="FU441" s="108"/>
      <c r="FV441" s="108"/>
      <c r="FW441" s="108"/>
      <c r="FX441" s="301"/>
      <c r="FY441" s="259"/>
      <c r="FZ441" s="259"/>
      <c r="GA441" s="259"/>
      <c r="GB441" s="259"/>
      <c r="GC441" s="301"/>
      <c r="GD441" s="301"/>
      <c r="GE441" s="301"/>
      <c r="GF441" s="301"/>
      <c r="GG441" s="301"/>
      <c r="GH441" s="301"/>
      <c r="GI441" s="301"/>
      <c r="GJ441" s="301"/>
      <c r="GK441" s="301"/>
      <c r="GL441" s="301"/>
      <c r="GM441" s="301"/>
      <c r="GN441" s="301"/>
      <c r="GO441" s="301"/>
      <c r="GP441" s="301"/>
      <c r="GQ441" s="301"/>
      <c r="GR441" s="301"/>
      <c r="GS441" s="301"/>
      <c r="GT441" s="301"/>
      <c r="GU441" s="301"/>
      <c r="GV441" s="301"/>
      <c r="IB441" s="65"/>
    </row>
    <row r="442" spans="1:236" ht="16.95" customHeight="1">
      <c r="A442" s="60"/>
      <c r="B442" s="69"/>
      <c r="C442" s="69"/>
      <c r="D442" s="341" t="str">
        <f ca="1">IF(FL1=0,"","kosten, de totale winst en het producenten-")</f>
        <v/>
      </c>
      <c r="E442" s="341"/>
      <c r="F442" s="341"/>
      <c r="G442" s="341"/>
      <c r="H442" s="341"/>
      <c r="I442" s="341"/>
      <c r="J442" s="341"/>
      <c r="K442" s="89"/>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K442" s="89"/>
      <c r="AL442" s="89"/>
      <c r="AM442" s="89"/>
      <c r="AN442" s="89"/>
      <c r="AO442" s="89"/>
      <c r="AP442" s="89"/>
      <c r="AQ442" s="89"/>
      <c r="AR442" s="89"/>
      <c r="AS442" s="89"/>
      <c r="AT442" s="89"/>
      <c r="AU442" s="89"/>
      <c r="AV442" s="89"/>
      <c r="AW442" s="89"/>
      <c r="AX442" s="89"/>
      <c r="AY442" s="89"/>
      <c r="AZ442" s="89"/>
      <c r="BA442" s="89"/>
      <c r="BB442" s="89"/>
      <c r="BC442" s="89"/>
      <c r="BD442" s="89"/>
      <c r="BE442" s="89"/>
      <c r="BF442" s="89"/>
      <c r="BG442" s="89"/>
      <c r="BH442" s="89"/>
      <c r="BI442" s="89"/>
      <c r="BJ442" s="89"/>
      <c r="BK442" s="89"/>
      <c r="BL442" s="89"/>
      <c r="BM442" s="89"/>
      <c r="BN442" s="89"/>
      <c r="BO442" s="89"/>
      <c r="BP442" s="89"/>
      <c r="BQ442" s="89"/>
      <c r="BR442" s="89"/>
      <c r="BS442" s="89"/>
      <c r="BT442" s="89"/>
      <c r="BU442" s="89"/>
      <c r="BV442" s="89"/>
      <c r="BW442" s="89"/>
      <c r="BX442" s="89"/>
      <c r="BY442" s="89"/>
      <c r="BZ442" s="89"/>
      <c r="CA442" s="89"/>
      <c r="CB442" s="349"/>
      <c r="CC442" s="89"/>
      <c r="CD442" s="89"/>
      <c r="CE442" s="89"/>
      <c r="CF442" s="89"/>
      <c r="CG442" s="89"/>
      <c r="CH442" s="89"/>
      <c r="CI442" s="89"/>
      <c r="CJ442" s="89"/>
      <c r="CK442" s="89"/>
      <c r="CL442" s="89"/>
      <c r="CM442" s="89"/>
      <c r="CN442" s="89"/>
      <c r="CO442" s="89"/>
      <c r="CP442" s="89"/>
      <c r="CQ442" s="89"/>
      <c r="CR442" s="89"/>
      <c r="CS442" s="89"/>
      <c r="CT442" s="89"/>
      <c r="CU442" s="89"/>
      <c r="CV442" s="89"/>
      <c r="CW442" s="89"/>
      <c r="CX442" s="89"/>
      <c r="CY442" s="89"/>
      <c r="CZ442" s="89"/>
      <c r="DA442" s="89"/>
      <c r="DB442" s="89"/>
      <c r="DC442" s="89"/>
      <c r="DD442" s="89"/>
      <c r="DE442" s="89"/>
      <c r="DF442" s="89"/>
      <c r="DG442" s="89"/>
      <c r="DH442" s="89"/>
      <c r="DI442" s="89"/>
      <c r="DJ442" s="89"/>
      <c r="DK442" s="89"/>
      <c r="DL442" s="89"/>
      <c r="DM442" s="89"/>
      <c r="DN442" s="89"/>
      <c r="DO442" s="89"/>
      <c r="DP442" s="89"/>
      <c r="DQ442" s="89"/>
      <c r="DR442" s="89"/>
      <c r="DS442" s="89"/>
      <c r="DT442" s="89"/>
      <c r="DU442" s="141"/>
      <c r="DV442" s="141"/>
      <c r="DW442" s="141"/>
      <c r="DX442" s="141"/>
      <c r="DY442" s="141"/>
      <c r="DZ442" s="141"/>
      <c r="EA442" s="141"/>
      <c r="EB442" s="89"/>
      <c r="EC442" s="89"/>
      <c r="ED442" s="89"/>
      <c r="EE442" s="89"/>
      <c r="EF442" s="89"/>
      <c r="EG442" s="89"/>
      <c r="EH442" s="89"/>
      <c r="EI442" s="89"/>
      <c r="EJ442" s="89"/>
      <c r="EK442" s="89"/>
      <c r="EL442" s="89"/>
      <c r="EM442" s="89"/>
      <c r="EN442" s="89"/>
      <c r="EO442" s="89"/>
      <c r="EP442" s="89"/>
      <c r="EQ442" s="89"/>
      <c r="ER442" s="89"/>
      <c r="ES442" s="89"/>
      <c r="ET442" s="89"/>
      <c r="EU442" s="89"/>
      <c r="EV442" s="89"/>
      <c r="EW442" s="89"/>
      <c r="EX442" s="89"/>
      <c r="EY442" s="89"/>
      <c r="EZ442" s="89"/>
      <c r="FA442" s="89"/>
      <c r="FB442" s="89"/>
      <c r="FC442" s="89"/>
      <c r="FD442" s="89"/>
      <c r="FE442" s="89"/>
      <c r="FF442" s="89"/>
      <c r="FG442" s="89"/>
      <c r="FH442" s="89"/>
      <c r="FI442" s="89"/>
      <c r="FJ442" s="300"/>
      <c r="FK442" s="300"/>
      <c r="FL442" s="300"/>
      <c r="FM442" s="300"/>
      <c r="FN442" s="300"/>
      <c r="FO442" s="108"/>
      <c r="FP442" s="108"/>
      <c r="FQ442" s="108"/>
      <c r="FR442" s="108"/>
      <c r="FS442" s="108"/>
      <c r="FT442" s="108"/>
      <c r="FU442" s="108"/>
      <c r="FV442" s="108"/>
      <c r="FW442" s="108"/>
      <c r="FX442" s="301"/>
      <c r="FY442" s="259"/>
      <c r="FZ442" s="259"/>
      <c r="GA442" s="259"/>
      <c r="GB442" s="259"/>
      <c r="GC442" s="301"/>
      <c r="GD442" s="301"/>
      <c r="GE442" s="301"/>
      <c r="GF442" s="301"/>
      <c r="GG442" s="301"/>
      <c r="GH442" s="301"/>
      <c r="GI442" s="301"/>
      <c r="GJ442" s="301"/>
      <c r="GK442" s="301"/>
      <c r="GL442" s="301"/>
      <c r="GM442" s="301"/>
      <c r="GN442" s="301"/>
      <c r="GO442" s="301"/>
      <c r="GP442" s="301"/>
      <c r="GQ442" s="301"/>
      <c r="GR442" s="301"/>
      <c r="GS442" s="301"/>
      <c r="GT442" s="301"/>
      <c r="GU442" s="301"/>
      <c r="GV442" s="301"/>
      <c r="IB442" s="65"/>
    </row>
    <row r="443" spans="1:236" ht="16.95" customHeight="1">
      <c r="A443" s="69"/>
      <c r="B443" s="69"/>
      <c r="C443" s="69"/>
      <c r="D443" s="341" t="str">
        <f ca="1">IF(FL1=0,"","surplus?")</f>
        <v/>
      </c>
      <c r="E443" s="341"/>
      <c r="F443" s="341"/>
      <c r="G443" s="341"/>
      <c r="H443" s="341"/>
      <c r="I443" s="341"/>
      <c r="J443" s="341"/>
      <c r="K443" s="89"/>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c r="AK443" s="89"/>
      <c r="AL443" s="89"/>
      <c r="AM443" s="89"/>
      <c r="AN443" s="89"/>
      <c r="AO443" s="89"/>
      <c r="AP443" s="89"/>
      <c r="AQ443" s="89"/>
      <c r="AR443" s="89"/>
      <c r="AS443" s="89"/>
      <c r="AT443" s="89"/>
      <c r="AU443" s="89"/>
      <c r="AV443" s="89"/>
      <c r="AW443" s="89"/>
      <c r="AX443" s="89"/>
      <c r="AY443" s="89"/>
      <c r="AZ443" s="89"/>
      <c r="BA443" s="89"/>
      <c r="BB443" s="89"/>
      <c r="BC443" s="89"/>
      <c r="BD443" s="89"/>
      <c r="BE443" s="89"/>
      <c r="BF443" s="89"/>
      <c r="BG443" s="89"/>
      <c r="BH443" s="89"/>
      <c r="BI443" s="89"/>
      <c r="BJ443" s="89"/>
      <c r="BK443" s="89"/>
      <c r="BL443" s="89"/>
      <c r="BM443" s="89"/>
      <c r="BN443" s="89"/>
      <c r="BO443" s="89"/>
      <c r="BP443" s="89"/>
      <c r="BQ443" s="89"/>
      <c r="BR443" s="89"/>
      <c r="BS443" s="89"/>
      <c r="BT443" s="89"/>
      <c r="BU443" s="89"/>
      <c r="BV443" s="89"/>
      <c r="BW443" s="89"/>
      <c r="BX443" s="89"/>
      <c r="BY443" s="89"/>
      <c r="BZ443" s="89"/>
      <c r="CA443" s="89"/>
      <c r="CB443" s="348" t="str">
        <f ca="1">IF(FL1=0,"",""&amp;FP446&amp;"")</f>
        <v/>
      </c>
      <c r="CC443" s="89"/>
      <c r="CD443" s="89"/>
      <c r="CE443" s="89"/>
      <c r="CF443" s="89"/>
      <c r="CG443" s="89"/>
      <c r="CH443" s="89"/>
      <c r="CI443" s="89"/>
      <c r="CJ443" s="89"/>
      <c r="CK443" s="89"/>
      <c r="CL443" s="89"/>
      <c r="CM443" s="89"/>
      <c r="CN443" s="89"/>
      <c r="CO443" s="89"/>
      <c r="CP443" s="89"/>
      <c r="CQ443" s="89"/>
      <c r="CR443" s="89"/>
      <c r="CS443" s="89"/>
      <c r="CT443" s="89"/>
      <c r="CU443" s="89"/>
      <c r="CV443" s="89"/>
      <c r="CW443" s="89"/>
      <c r="CX443" s="89"/>
      <c r="CY443" s="89"/>
      <c r="CZ443" s="89"/>
      <c r="DA443" s="89"/>
      <c r="DB443" s="89"/>
      <c r="DC443" s="89"/>
      <c r="DD443" s="89"/>
      <c r="DE443" s="89"/>
      <c r="DF443" s="89"/>
      <c r="DG443" s="89"/>
      <c r="DH443" s="89"/>
      <c r="DI443" s="89"/>
      <c r="DJ443" s="89"/>
      <c r="DK443" s="89"/>
      <c r="DL443" s="89"/>
      <c r="DM443" s="89"/>
      <c r="DN443" s="89"/>
      <c r="DO443" s="89"/>
      <c r="DP443" s="89"/>
      <c r="DQ443" s="89"/>
      <c r="DR443" s="89"/>
      <c r="DS443" s="89"/>
      <c r="DT443" s="89"/>
      <c r="DU443" s="141"/>
      <c r="DV443" s="141"/>
      <c r="DW443" s="141"/>
      <c r="DX443" s="141"/>
      <c r="DY443" s="141"/>
      <c r="DZ443" s="141"/>
      <c r="EA443" s="141"/>
      <c r="EB443" s="89"/>
      <c r="EC443" s="89"/>
      <c r="ED443" s="89"/>
      <c r="EE443" s="89"/>
      <c r="EF443" s="89"/>
      <c r="EG443" s="89"/>
      <c r="EH443" s="89"/>
      <c r="EI443" s="89"/>
      <c r="EJ443" s="89"/>
      <c r="EK443" s="89"/>
      <c r="EL443" s="89"/>
      <c r="EM443" s="89"/>
      <c r="EN443" s="89"/>
      <c r="EO443" s="89"/>
      <c r="EP443" s="89"/>
      <c r="EQ443" s="89"/>
      <c r="ER443" s="89"/>
      <c r="ES443" s="89"/>
      <c r="ET443" s="89"/>
      <c r="EU443" s="89"/>
      <c r="EV443" s="89"/>
      <c r="EW443" s="89"/>
      <c r="EX443" s="89"/>
      <c r="EY443" s="89"/>
      <c r="EZ443" s="89"/>
      <c r="FA443" s="89"/>
      <c r="FB443" s="89"/>
      <c r="FC443" s="89"/>
      <c r="FD443" s="89"/>
      <c r="FE443" s="89"/>
      <c r="FF443" s="89"/>
      <c r="FG443" s="89"/>
      <c r="FH443" s="89"/>
      <c r="FI443" s="89"/>
      <c r="FJ443" s="300"/>
      <c r="FK443" s="300"/>
      <c r="FL443" s="300"/>
      <c r="FM443" s="300"/>
      <c r="FN443" s="300"/>
      <c r="FO443" s="108"/>
      <c r="FP443" s="108"/>
      <c r="FQ443" s="108"/>
      <c r="FR443" s="108"/>
      <c r="FS443" s="108"/>
      <c r="FT443" s="108"/>
      <c r="FU443" s="108"/>
      <c r="FV443" s="108"/>
      <c r="FW443" s="108"/>
      <c r="FX443" s="301"/>
      <c r="FY443" s="259"/>
      <c r="FZ443" s="259"/>
      <c r="GA443" s="259"/>
      <c r="GB443" s="259"/>
      <c r="GC443" s="301"/>
      <c r="GD443" s="301"/>
      <c r="GE443" s="301"/>
      <c r="GF443" s="301"/>
      <c r="GG443" s="301"/>
      <c r="GH443" s="301"/>
      <c r="GI443" s="301"/>
      <c r="GJ443" s="301"/>
      <c r="GK443" s="301"/>
      <c r="GL443" s="301"/>
      <c r="GM443" s="301"/>
      <c r="GN443" s="301"/>
      <c r="GO443" s="301"/>
      <c r="GP443" s="301"/>
      <c r="GQ443" s="301"/>
      <c r="GR443" s="301"/>
      <c r="GS443" s="301"/>
      <c r="GT443" s="301"/>
      <c r="GU443" s="301"/>
      <c r="GV443" s="301"/>
      <c r="IB443" s="65"/>
    </row>
    <row r="444" spans="1:236" ht="16.95" customHeight="1">
      <c r="A444" s="69"/>
      <c r="B444" s="69"/>
      <c r="C444" s="69"/>
      <c r="D444" s="268"/>
      <c r="G444" s="341"/>
      <c r="H444" s="341"/>
      <c r="I444" s="341"/>
      <c r="J444" s="341"/>
      <c r="K444" s="89"/>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c r="AK444" s="89"/>
      <c r="AL444" s="89"/>
      <c r="AM444" s="89"/>
      <c r="AN444" s="89"/>
      <c r="AO444" s="89"/>
      <c r="AP444" s="89"/>
      <c r="AQ444" s="89"/>
      <c r="AR444" s="89"/>
      <c r="AS444" s="89"/>
      <c r="AT444" s="89"/>
      <c r="AU444" s="89"/>
      <c r="AV444" s="89"/>
      <c r="AW444" s="89"/>
      <c r="AX444" s="89"/>
      <c r="AY444" s="89"/>
      <c r="AZ444" s="89"/>
      <c r="BA444" s="89"/>
      <c r="BB444" s="89"/>
      <c r="BC444" s="89"/>
      <c r="BD444" s="89"/>
      <c r="BE444" s="89"/>
      <c r="BF444" s="89"/>
      <c r="BG444" s="89"/>
      <c r="BH444" s="89"/>
      <c r="BI444" s="89"/>
      <c r="BJ444" s="89"/>
      <c r="BK444" s="89"/>
      <c r="BL444" s="89"/>
      <c r="BM444" s="89"/>
      <c r="BN444" s="89"/>
      <c r="BO444" s="89"/>
      <c r="BP444" s="89"/>
      <c r="BQ444" s="89"/>
      <c r="BR444" s="89"/>
      <c r="BS444" s="89"/>
      <c r="BT444" s="89"/>
      <c r="BU444" s="89"/>
      <c r="BV444" s="89"/>
      <c r="BW444" s="89"/>
      <c r="BX444" s="89"/>
      <c r="BY444" s="89"/>
      <c r="BZ444" s="89"/>
      <c r="CA444" s="89"/>
      <c r="CB444" s="89"/>
      <c r="CC444" s="89"/>
      <c r="CD444" s="89"/>
      <c r="CE444" s="89"/>
      <c r="CF444" s="89"/>
      <c r="CG444" s="89"/>
      <c r="CH444" s="89"/>
      <c r="CI444" s="89"/>
      <c r="CJ444" s="89"/>
      <c r="CK444" s="89"/>
      <c r="CL444" s="89"/>
      <c r="CM444" s="89"/>
      <c r="CN444" s="89"/>
      <c r="CO444" s="89"/>
      <c r="CP444" s="89"/>
      <c r="CQ444" s="89"/>
      <c r="CR444" s="89"/>
      <c r="CS444" s="89"/>
      <c r="CT444" s="89"/>
      <c r="CU444" s="89"/>
      <c r="CV444" s="89"/>
      <c r="CW444" s="89"/>
      <c r="CX444" s="89"/>
      <c r="CY444" s="89"/>
      <c r="CZ444" s="89"/>
      <c r="DA444" s="89"/>
      <c r="DB444" s="89"/>
      <c r="DC444" s="89"/>
      <c r="DD444" s="89"/>
      <c r="DE444" s="89"/>
      <c r="DF444" s="89"/>
      <c r="DG444" s="89"/>
      <c r="DH444" s="89"/>
      <c r="DI444" s="89"/>
      <c r="DJ444" s="89"/>
      <c r="DK444" s="89"/>
      <c r="DL444" s="89"/>
      <c r="DM444" s="89"/>
      <c r="DN444" s="89"/>
      <c r="DO444" s="89"/>
      <c r="DP444" s="89"/>
      <c r="DQ444" s="89"/>
      <c r="DR444" s="89"/>
      <c r="DS444" s="89"/>
      <c r="DT444" s="89"/>
      <c r="DU444" s="141"/>
      <c r="DV444" s="141"/>
      <c r="DW444" s="141"/>
      <c r="DX444" s="141"/>
      <c r="DY444" s="141"/>
      <c r="DZ444" s="141"/>
      <c r="EA444" s="141"/>
      <c r="EB444" s="89"/>
      <c r="EC444" s="89"/>
      <c r="ED444" s="89"/>
      <c r="EE444" s="89"/>
      <c r="EF444" s="89"/>
      <c r="EG444" s="89"/>
      <c r="EH444" s="89"/>
      <c r="EI444" s="89"/>
      <c r="EJ444" s="89"/>
      <c r="EK444" s="89"/>
      <c r="EL444" s="89"/>
      <c r="EM444" s="89"/>
      <c r="EN444" s="89"/>
      <c r="EO444" s="89"/>
      <c r="EP444" s="89"/>
      <c r="EQ444" s="89"/>
      <c r="ER444" s="89"/>
      <c r="ES444" s="89"/>
      <c r="ET444" s="89"/>
      <c r="EU444" s="89"/>
      <c r="EV444" s="89"/>
      <c r="EW444" s="89"/>
      <c r="EX444" s="89"/>
      <c r="EY444" s="89"/>
      <c r="EZ444" s="89"/>
      <c r="FA444" s="89"/>
      <c r="FB444" s="89"/>
      <c r="FC444" s="89"/>
      <c r="FD444" s="89"/>
      <c r="FE444" s="89"/>
      <c r="FF444" s="89"/>
      <c r="FG444" s="89"/>
      <c r="FH444" s="89"/>
      <c r="FI444" s="89"/>
      <c r="FJ444" s="300"/>
      <c r="FK444" s="300"/>
      <c r="FL444" s="300"/>
      <c r="FM444" s="300"/>
      <c r="FN444" s="300"/>
      <c r="FO444" s="108"/>
      <c r="FP444" s="108"/>
      <c r="FQ444" s="108"/>
      <c r="FR444" s="108"/>
      <c r="FS444" s="108"/>
      <c r="FT444" s="108"/>
      <c r="FU444" s="108"/>
      <c r="FV444" s="108"/>
      <c r="FW444" s="108"/>
      <c r="FX444" s="301"/>
      <c r="FY444" s="259"/>
      <c r="FZ444" s="259"/>
      <c r="GA444" s="259"/>
      <c r="GB444" s="259"/>
      <c r="GC444" s="301"/>
      <c r="GD444" s="301"/>
      <c r="GE444" s="301"/>
      <c r="GF444" s="301"/>
      <c r="GG444" s="301"/>
      <c r="GH444" s="301"/>
      <c r="GI444" s="301"/>
      <c r="GJ444" s="301"/>
      <c r="GK444" s="301"/>
      <c r="GL444" s="301"/>
      <c r="GM444" s="301"/>
      <c r="GN444" s="301"/>
      <c r="GO444" s="301"/>
      <c r="GP444" s="301"/>
      <c r="GQ444" s="301"/>
      <c r="GR444" s="301"/>
      <c r="GS444" s="301"/>
      <c r="GT444" s="301"/>
      <c r="GU444" s="301"/>
      <c r="GV444" s="301"/>
      <c r="IB444" s="65"/>
    </row>
    <row r="445" spans="1:236" ht="16.95" customHeight="1">
      <c r="A445" s="69"/>
      <c r="B445" s="69"/>
      <c r="C445" s="69"/>
      <c r="D445" s="268"/>
      <c r="G445" s="341"/>
      <c r="H445" s="341"/>
      <c r="I445" s="341"/>
      <c r="J445" s="341"/>
      <c r="K445" s="89"/>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K445" s="89"/>
      <c r="AL445" s="89"/>
      <c r="AM445" s="89"/>
      <c r="AN445" s="89"/>
      <c r="AO445" s="89"/>
      <c r="AP445" s="89"/>
      <c r="AQ445" s="89"/>
      <c r="AR445" s="89"/>
      <c r="AS445" s="89"/>
      <c r="AT445" s="89"/>
      <c r="AU445" s="89"/>
      <c r="AV445" s="89"/>
      <c r="AW445" s="89"/>
      <c r="AX445" s="89"/>
      <c r="AY445" s="89"/>
      <c r="AZ445" s="89"/>
      <c r="BA445" s="89"/>
      <c r="BB445" s="89"/>
      <c r="BC445" s="89"/>
      <c r="BD445" s="89"/>
      <c r="BE445" s="89"/>
      <c r="BF445" s="89"/>
      <c r="BG445" s="89"/>
      <c r="BH445" s="89"/>
      <c r="BI445" s="89"/>
      <c r="BJ445" s="89"/>
      <c r="BK445" s="89"/>
      <c r="BL445" s="89"/>
      <c r="BM445" s="89"/>
      <c r="BN445" s="89"/>
      <c r="BO445" s="89"/>
      <c r="BP445" s="89"/>
      <c r="BQ445" s="89"/>
      <c r="BR445" s="89"/>
      <c r="BS445" s="89"/>
      <c r="BT445" s="89"/>
      <c r="BU445" s="89"/>
      <c r="BV445" s="89"/>
      <c r="BW445" s="89"/>
      <c r="BX445" s="89"/>
      <c r="BY445" s="89"/>
      <c r="BZ445" s="89"/>
      <c r="CA445" s="89"/>
      <c r="CB445" s="89"/>
      <c r="CC445" s="89"/>
      <c r="CD445" s="89"/>
      <c r="CE445" s="89"/>
      <c r="CF445" s="89"/>
      <c r="CG445" s="89"/>
      <c r="CH445" s="89"/>
      <c r="CI445" s="89"/>
      <c r="CJ445" s="89"/>
      <c r="CK445" s="89"/>
      <c r="CL445" s="89"/>
      <c r="CM445" s="552" t="str">
        <f ca="1">IF(FL1=0,"",""&amp;FQ446&amp;"")</f>
        <v/>
      </c>
      <c r="CN445" s="552"/>
      <c r="CO445" s="552"/>
      <c r="CP445" s="552"/>
      <c r="CQ445" s="552"/>
      <c r="CR445" s="552"/>
      <c r="CS445" s="552"/>
      <c r="CT445" s="552"/>
      <c r="CU445" s="552"/>
      <c r="CV445" s="89"/>
      <c r="DF445" s="350"/>
      <c r="DG445" s="89"/>
      <c r="DH445" s="89"/>
      <c r="DI445" s="89"/>
      <c r="DJ445" s="89"/>
      <c r="DK445" s="89"/>
      <c r="DL445" s="89"/>
      <c r="DM445" s="89"/>
      <c r="DN445" s="89"/>
      <c r="DO445" s="89"/>
      <c r="DP445" s="89"/>
      <c r="DQ445" s="89"/>
      <c r="DR445" s="89"/>
      <c r="DS445" s="89"/>
      <c r="DT445" s="89"/>
      <c r="DU445" s="141"/>
      <c r="DV445" s="141"/>
      <c r="DW445" s="141"/>
      <c r="DX445" s="141"/>
      <c r="DY445" s="141"/>
      <c r="DZ445" s="141"/>
      <c r="EA445" s="141"/>
      <c r="EB445" s="89"/>
      <c r="EC445" s="89"/>
      <c r="ED445" s="89"/>
      <c r="EE445" s="89"/>
      <c r="EF445" s="89"/>
      <c r="EG445" s="89"/>
      <c r="EH445" s="89"/>
      <c r="EI445" s="89"/>
      <c r="EJ445" s="89"/>
      <c r="EK445" s="89"/>
      <c r="EL445" s="89"/>
      <c r="EM445" s="89"/>
      <c r="EN445" s="89"/>
      <c r="EO445" s="89"/>
      <c r="EP445" s="89"/>
      <c r="EQ445" s="89"/>
      <c r="ER445" s="89"/>
      <c r="ES445" s="89"/>
      <c r="ET445" s="89"/>
      <c r="EU445" s="89"/>
      <c r="EV445" s="89"/>
      <c r="EW445" s="89"/>
      <c r="EX445" s="89"/>
      <c r="EY445" s="89"/>
      <c r="EZ445" s="89"/>
      <c r="FA445" s="89"/>
      <c r="FB445" s="89"/>
      <c r="FC445" s="89"/>
      <c r="FD445" s="89"/>
      <c r="FE445" s="89"/>
      <c r="FF445" s="89"/>
      <c r="FG445" s="89"/>
      <c r="FH445" s="89"/>
      <c r="FI445" s="89"/>
      <c r="FJ445" s="300"/>
      <c r="FK445" s="300"/>
      <c r="FL445" s="300"/>
      <c r="FM445" s="300"/>
      <c r="FN445" s="300"/>
      <c r="FO445" s="108"/>
      <c r="FP445" s="108"/>
      <c r="FQ445" s="108"/>
      <c r="FR445" s="108"/>
      <c r="FS445" s="108"/>
      <c r="FT445" s="108"/>
      <c r="FU445" s="108"/>
      <c r="FV445" s="108"/>
      <c r="FW445" s="108"/>
      <c r="FX445" s="301"/>
      <c r="FY445" s="259"/>
      <c r="FZ445" s="259"/>
      <c r="GA445" s="259"/>
      <c r="GB445" s="259"/>
      <c r="GC445" s="301"/>
      <c r="GD445" s="301"/>
      <c r="GE445" s="301"/>
      <c r="GF445" s="301"/>
      <c r="GG445" s="301"/>
      <c r="GH445" s="301"/>
      <c r="GI445" s="301"/>
      <c r="GJ445" s="301"/>
      <c r="GK445" s="301"/>
      <c r="GL445" s="301"/>
      <c r="GM445" s="301"/>
      <c r="GN445" s="301"/>
      <c r="GO445" s="301"/>
      <c r="GP445" s="301"/>
      <c r="GQ445" s="301"/>
      <c r="GR445" s="301"/>
      <c r="GS445" s="301"/>
      <c r="GT445" s="301"/>
      <c r="GU445" s="301"/>
      <c r="GV445" s="301"/>
      <c r="IB445" s="65"/>
    </row>
    <row r="446" spans="1:236" ht="16.95" customHeight="1">
      <c r="A446" s="69"/>
      <c r="B446" s="69"/>
      <c r="C446" s="69"/>
      <c r="D446" s="341"/>
      <c r="E446" s="341"/>
      <c r="F446" s="341"/>
      <c r="G446" s="341"/>
      <c r="H446" s="341"/>
      <c r="I446" s="341"/>
      <c r="J446" s="341"/>
      <c r="K446" s="89"/>
      <c r="L446" s="89"/>
      <c r="M446" s="89"/>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c r="AK446" s="89"/>
      <c r="AL446" s="89"/>
      <c r="AM446" s="89"/>
      <c r="AN446" s="89"/>
      <c r="AO446" s="89"/>
      <c r="AP446" s="89"/>
      <c r="AQ446" s="89"/>
      <c r="AR446" s="89"/>
      <c r="AS446" s="89"/>
      <c r="AT446" s="89"/>
      <c r="AU446" s="89"/>
      <c r="AV446" s="89"/>
      <c r="AW446" s="89"/>
      <c r="AX446" s="89"/>
      <c r="AY446" s="89"/>
      <c r="AZ446" s="89"/>
      <c r="BA446" s="89"/>
      <c r="BB446" s="89"/>
      <c r="BC446" s="89"/>
      <c r="BD446" s="89"/>
      <c r="BE446" s="89"/>
      <c r="BF446" s="89"/>
      <c r="BG446" s="89"/>
      <c r="BH446" s="89"/>
      <c r="BI446" s="89"/>
      <c r="BJ446" s="89"/>
      <c r="BK446" s="89"/>
      <c r="BL446" s="89"/>
      <c r="BM446" s="89"/>
      <c r="BN446" s="89"/>
      <c r="BO446" s="89"/>
      <c r="BP446" s="89"/>
      <c r="BQ446" s="89"/>
      <c r="BR446" s="89"/>
      <c r="BS446" s="89"/>
      <c r="BT446" s="89"/>
      <c r="BU446" s="89"/>
      <c r="BV446" s="89"/>
      <c r="BW446" s="89"/>
      <c r="BX446" s="89"/>
      <c r="BY446" s="89"/>
      <c r="BZ446" s="89"/>
      <c r="CA446" s="89"/>
      <c r="CB446" s="89"/>
      <c r="CC446" s="89"/>
      <c r="CD446" s="89"/>
      <c r="CE446" s="89"/>
      <c r="CF446" s="89"/>
      <c r="CG446" s="89"/>
      <c r="CH446" s="89"/>
      <c r="CI446" s="89"/>
      <c r="CJ446" s="89"/>
      <c r="CK446" s="89"/>
      <c r="CL446" s="89"/>
      <c r="CM446" s="89"/>
      <c r="CN446" s="89"/>
      <c r="CO446" s="89"/>
      <c r="CP446" s="89"/>
      <c r="CQ446" s="89"/>
      <c r="CR446" s="89"/>
      <c r="CS446" s="89"/>
      <c r="CT446" s="89"/>
      <c r="CU446" s="89"/>
      <c r="CV446" s="89"/>
      <c r="CW446" s="89"/>
      <c r="CX446" s="89"/>
      <c r="CY446" s="89"/>
      <c r="CZ446" s="89"/>
      <c r="DA446" s="89"/>
      <c r="DB446" s="89"/>
      <c r="DC446" s="89"/>
      <c r="DD446" s="89"/>
      <c r="DE446" s="89"/>
      <c r="DF446" s="89"/>
      <c r="DG446" s="89"/>
      <c r="DH446" s="89"/>
      <c r="DI446" s="89"/>
      <c r="DJ446" s="89"/>
      <c r="DK446" s="89"/>
      <c r="DL446" s="89"/>
      <c r="DM446" s="89"/>
      <c r="DN446" s="89"/>
      <c r="DO446" s="89"/>
      <c r="DP446" s="89"/>
      <c r="DQ446" s="89"/>
      <c r="DR446" s="89"/>
      <c r="DS446" s="89"/>
      <c r="DT446" s="89"/>
      <c r="DU446" s="141"/>
      <c r="DV446" s="141"/>
      <c r="DW446" s="141"/>
      <c r="DX446" s="141"/>
      <c r="DY446" s="141"/>
      <c r="DZ446" s="141"/>
      <c r="EA446" s="141"/>
      <c r="EB446" s="89"/>
      <c r="EC446" s="89"/>
      <c r="ED446" s="89"/>
      <c r="EE446" s="89"/>
      <c r="EF446" s="89"/>
      <c r="EG446" s="89"/>
      <c r="EH446" s="89"/>
      <c r="EI446" s="89"/>
      <c r="EJ446" s="89"/>
      <c r="EK446" s="89"/>
      <c r="EL446" s="89"/>
      <c r="EM446" s="89"/>
      <c r="EN446" s="89"/>
      <c r="EO446" s="89"/>
      <c r="EP446" s="89"/>
      <c r="EQ446" s="89"/>
      <c r="ER446" s="89"/>
      <c r="ES446" s="89"/>
      <c r="ET446" s="89"/>
      <c r="EU446" s="89"/>
      <c r="EV446" s="89"/>
      <c r="EW446" s="89"/>
      <c r="EX446" s="89"/>
      <c r="EY446" s="89"/>
      <c r="EZ446" s="89"/>
      <c r="FA446" s="89"/>
      <c r="FB446" s="89"/>
      <c r="FC446" s="89"/>
      <c r="FD446" s="89"/>
      <c r="FE446" s="89"/>
      <c r="FF446" s="89"/>
      <c r="FG446" s="89"/>
      <c r="FH446" s="89"/>
      <c r="FI446" s="89"/>
      <c r="FJ446" s="300"/>
      <c r="FK446" s="300"/>
      <c r="FL446" s="300"/>
      <c r="FM446" s="188">
        <f ca="1">100*(FN446-FO446)*FQ446</f>
        <v>589000</v>
      </c>
      <c r="FN446" s="96">
        <f ca="1">ROUND(2.5*FQ446,0)</f>
        <v>238</v>
      </c>
      <c r="FO446" s="66">
        <f ca="1">ROUND(0.74*FN446,0)</f>
        <v>176</v>
      </c>
      <c r="FP446" s="66">
        <f ca="1">ROUND(0.47*FN446,0)</f>
        <v>112</v>
      </c>
      <c r="FQ446" s="103">
        <f ca="1">ROUND(120-13/Blad1!Z24^0.5-Blad1!AA5,0)</f>
        <v>95</v>
      </c>
      <c r="FR446" s="300"/>
      <c r="FS446" s="108"/>
      <c r="FT446" s="108"/>
      <c r="FU446" s="108"/>
      <c r="FV446" s="108"/>
      <c r="FW446" s="108"/>
      <c r="FX446" s="301"/>
      <c r="FY446" s="259"/>
      <c r="FZ446" s="259"/>
      <c r="GA446" s="259"/>
      <c r="GB446" s="259"/>
      <c r="GC446" s="301"/>
      <c r="GD446" s="301"/>
      <c r="GE446" s="301"/>
      <c r="GF446" s="301"/>
      <c r="GG446" s="301"/>
      <c r="GH446" s="301"/>
      <c r="GI446" s="301"/>
      <c r="GJ446" s="301"/>
      <c r="GK446" s="301"/>
      <c r="GL446" s="301"/>
      <c r="GM446" s="301"/>
      <c r="GN446" s="301"/>
      <c r="GO446" s="301"/>
      <c r="GP446" s="301"/>
      <c r="GQ446" s="301"/>
      <c r="GR446" s="301"/>
      <c r="GS446" s="301"/>
      <c r="GT446" s="301"/>
      <c r="GU446" s="301"/>
      <c r="GV446" s="301"/>
      <c r="IB446" s="65"/>
    </row>
    <row r="447" spans="1:236" ht="10.95" customHeight="1">
      <c r="A447" s="69"/>
      <c r="B447" s="69"/>
      <c r="C447" s="69"/>
      <c r="D447" s="341"/>
      <c r="E447" s="341"/>
      <c r="F447" s="341"/>
      <c r="G447" s="341"/>
      <c r="H447" s="341"/>
      <c r="I447" s="341"/>
      <c r="J447" s="341"/>
      <c r="K447" s="341"/>
      <c r="L447" s="341"/>
      <c r="M447" s="341"/>
      <c r="N447" s="341"/>
      <c r="O447" s="341"/>
      <c r="P447" s="341"/>
      <c r="Q447" s="341"/>
      <c r="R447" s="341"/>
      <c r="S447" s="341"/>
      <c r="T447" s="341"/>
      <c r="U447" s="341"/>
      <c r="V447" s="341"/>
      <c r="W447" s="341"/>
      <c r="X447" s="341"/>
      <c r="Y447" s="341"/>
      <c r="Z447" s="341"/>
      <c r="AA447" s="341"/>
      <c r="AB447" s="341"/>
      <c r="AC447" s="341"/>
      <c r="AD447" s="341"/>
      <c r="AE447" s="341"/>
      <c r="AF447" s="341"/>
      <c r="AG447" s="341"/>
      <c r="AH447" s="341"/>
      <c r="AI447" s="89"/>
      <c r="AJ447" s="341"/>
      <c r="AK447" s="341"/>
      <c r="AL447" s="341"/>
      <c r="AM447" s="341"/>
      <c r="AN447" s="341"/>
      <c r="AO447" s="341"/>
      <c r="AP447" s="341"/>
      <c r="AQ447" s="341"/>
      <c r="AR447" s="341"/>
      <c r="AS447" s="341"/>
      <c r="AT447" s="341"/>
      <c r="AU447" s="341"/>
      <c r="AV447" s="341"/>
      <c r="AW447" s="341"/>
      <c r="AX447" s="341"/>
      <c r="AY447" s="341"/>
      <c r="AZ447" s="341"/>
      <c r="BA447" s="341"/>
      <c r="BB447" s="341"/>
      <c r="BC447" s="89"/>
      <c r="BD447" s="89"/>
      <c r="BE447" s="89"/>
      <c r="BF447" s="89"/>
      <c r="BG447" s="89"/>
      <c r="BH447" s="89"/>
      <c r="BI447" s="89"/>
      <c r="BJ447" s="89"/>
      <c r="BK447" s="89"/>
      <c r="BL447" s="89"/>
      <c r="BM447" s="89"/>
      <c r="BN447" s="89"/>
      <c r="BO447" s="89"/>
      <c r="BP447" s="89"/>
      <c r="BQ447" s="89"/>
      <c r="BR447" s="89"/>
      <c r="BS447" s="89"/>
      <c r="BT447" s="89"/>
      <c r="BU447" s="89"/>
      <c r="BV447" s="89"/>
      <c r="BW447" s="89"/>
      <c r="BX447" s="89"/>
      <c r="BY447" s="89"/>
      <c r="BZ447" s="89"/>
      <c r="CA447" s="89"/>
      <c r="CB447" s="89"/>
      <c r="CC447" s="89"/>
      <c r="CD447" s="89"/>
      <c r="CE447" s="89"/>
      <c r="CF447" s="89"/>
      <c r="CG447" s="89"/>
      <c r="CH447" s="89"/>
      <c r="CI447" s="89"/>
      <c r="CJ447" s="89"/>
      <c r="CK447" s="89"/>
      <c r="CL447" s="89"/>
      <c r="CM447" s="89"/>
      <c r="CN447" s="89"/>
      <c r="CO447" s="89"/>
      <c r="CP447" s="89"/>
      <c r="CQ447" s="89"/>
      <c r="CR447" s="89"/>
      <c r="CS447" s="89"/>
      <c r="CT447" s="89"/>
      <c r="CU447" s="89"/>
      <c r="CV447" s="89"/>
      <c r="CW447" s="89"/>
      <c r="CX447" s="89"/>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s="89"/>
      <c r="ED447" s="89"/>
      <c r="EE447" s="89"/>
      <c r="EF447" s="89"/>
      <c r="EG447" s="89"/>
      <c r="EH447" s="89"/>
      <c r="EI447" s="89"/>
      <c r="EJ447" s="89"/>
      <c r="EK447" s="89"/>
      <c r="EL447" s="89"/>
      <c r="EM447" s="89"/>
      <c r="EN447" s="89"/>
      <c r="EO447" s="89"/>
      <c r="EP447" s="89"/>
      <c r="EQ447" s="89"/>
      <c r="ER447" s="89"/>
      <c r="ES447" s="89"/>
      <c r="ET447" s="89"/>
      <c r="EU447" s="89"/>
      <c r="EV447" s="89"/>
      <c r="EW447" s="89"/>
      <c r="EX447" s="89"/>
      <c r="EY447" s="89"/>
      <c r="EZ447" s="89"/>
      <c r="FA447" s="89"/>
      <c r="FB447" s="89"/>
      <c r="FC447" s="89"/>
      <c r="FD447" s="89"/>
      <c r="FE447" s="89"/>
      <c r="FF447" s="89"/>
      <c r="FG447" s="89"/>
      <c r="FH447" s="89"/>
      <c r="FI447" s="89"/>
      <c r="FJ447" s="306"/>
      <c r="FK447" s="306"/>
      <c r="FL447" s="300"/>
      <c r="FM447" s="300"/>
      <c r="FN447" s="108"/>
      <c r="FO447" s="108"/>
      <c r="FP447" s="108"/>
      <c r="FQ447" s="108"/>
      <c r="FR447" s="108"/>
      <c r="FS447" s="108"/>
      <c r="FT447" s="108"/>
      <c r="FU447" s="108"/>
      <c r="FV447" s="108"/>
      <c r="FW447" s="108"/>
      <c r="FX447" s="301"/>
      <c r="FY447" s="259"/>
      <c r="FZ447" s="259"/>
      <c r="GA447" s="259"/>
      <c r="GB447" s="259"/>
      <c r="GC447" s="301"/>
      <c r="GD447" s="301"/>
      <c r="GE447" s="301"/>
      <c r="GF447" s="301"/>
      <c r="GG447" s="301"/>
      <c r="GH447" s="301"/>
      <c r="GI447" s="307"/>
      <c r="GJ447" s="307"/>
      <c r="GK447" s="307"/>
      <c r="GL447" s="307"/>
      <c r="GM447" s="307"/>
      <c r="GN447" s="307"/>
      <c r="GO447" s="307"/>
      <c r="GP447" s="307"/>
      <c r="GQ447" s="307"/>
      <c r="GR447" s="307"/>
      <c r="GS447" s="307"/>
      <c r="GT447" s="307"/>
      <c r="GU447" s="307"/>
      <c r="GV447" s="307"/>
    </row>
    <row r="448" spans="1:236" ht="3.6" customHeight="1">
      <c r="A448" s="60"/>
      <c r="B448" s="69"/>
      <c r="C448" s="69"/>
      <c r="D448" s="341"/>
      <c r="E448" s="341"/>
      <c r="F448" s="341"/>
      <c r="G448" s="341"/>
      <c r="H448" s="341"/>
      <c r="I448" s="341"/>
      <c r="J448" s="341"/>
      <c r="K448" s="341"/>
      <c r="L448" s="341"/>
      <c r="M448" s="341"/>
      <c r="N448" s="341"/>
      <c r="O448" s="341"/>
      <c r="P448" s="341"/>
      <c r="Q448" s="341"/>
      <c r="R448" s="341"/>
      <c r="S448" s="341"/>
      <c r="T448" s="341"/>
      <c r="U448" s="341"/>
      <c r="V448" s="341"/>
      <c r="W448" s="341"/>
      <c r="X448" s="342"/>
      <c r="Y448" s="342"/>
      <c r="Z448" s="342"/>
      <c r="AA448" s="342"/>
      <c r="AB448" s="342"/>
      <c r="AC448" s="342"/>
      <c r="AD448" s="342"/>
      <c r="AE448" s="342"/>
      <c r="AF448" s="89"/>
      <c r="AG448" s="89"/>
      <c r="AH448" s="341"/>
      <c r="AI448" s="342"/>
      <c r="AJ448" s="342"/>
      <c r="AK448" s="342"/>
      <c r="AL448" s="342"/>
      <c r="AM448" s="342"/>
      <c r="AN448" s="342"/>
      <c r="AO448" s="342"/>
      <c r="AP448" s="342"/>
      <c r="AQ448" s="342"/>
      <c r="AR448" s="342"/>
      <c r="AS448" s="342"/>
      <c r="AT448" s="342"/>
      <c r="AU448" s="342"/>
      <c r="AV448" s="342"/>
      <c r="AW448" s="342"/>
      <c r="AX448" s="342"/>
      <c r="AY448" s="342"/>
      <c r="AZ448" s="342"/>
      <c r="BA448" s="342"/>
      <c r="BB448" s="342"/>
      <c r="BC448" s="342"/>
      <c r="BD448" s="89"/>
      <c r="BE448" s="342"/>
      <c r="BF448" s="342"/>
      <c r="BG448" s="342"/>
      <c r="BH448" s="342"/>
      <c r="BI448" s="342"/>
      <c r="BJ448" s="342"/>
      <c r="BK448" s="342"/>
      <c r="BL448" s="342"/>
      <c r="BM448" s="342"/>
      <c r="BN448" s="342"/>
      <c r="BO448" s="342"/>
      <c r="BP448" s="342"/>
      <c r="BQ448" s="342"/>
      <c r="BR448" s="342"/>
      <c r="BS448" s="342"/>
      <c r="BT448" s="342"/>
      <c r="BU448" s="342"/>
      <c r="BV448" s="342"/>
      <c r="BW448" s="342"/>
      <c r="BX448" s="342"/>
      <c r="BY448" s="342"/>
      <c r="BZ448" s="342"/>
      <c r="CA448" s="342"/>
      <c r="CB448" s="342"/>
      <c r="CC448" s="342"/>
      <c r="CD448" s="268"/>
      <c r="CE448" s="268"/>
      <c r="CF448" s="268"/>
      <c r="CG448" s="268"/>
      <c r="CH448" s="268"/>
      <c r="CI448" s="268"/>
      <c r="CJ448" s="268"/>
      <c r="CK448" s="268"/>
      <c r="CL448" s="268"/>
      <c r="CM448" s="268"/>
      <c r="CN448" s="268"/>
      <c r="CO448" s="268"/>
      <c r="CP448" s="268"/>
      <c r="CQ448" s="268"/>
      <c r="CR448" s="268"/>
      <c r="CS448" s="268"/>
      <c r="CT448" s="268"/>
      <c r="CU448" s="342"/>
      <c r="CV448" s="342"/>
      <c r="CW448" s="342"/>
      <c r="CX448" s="342"/>
      <c r="CY448" s="141"/>
      <c r="CZ448" s="141"/>
      <c r="DA448" s="141"/>
      <c r="DB448" s="89"/>
      <c r="DC448" s="89"/>
      <c r="DD448" s="553" t="str">
        <f ca="1">IF(FL1=0,"","+")</f>
        <v/>
      </c>
      <c r="DE448" s="541" t="e">
        <f>IF(#REF!=0,"","+")</f>
        <v>#REF!</v>
      </c>
      <c r="DF448" s="541" t="e">
        <f>IF(#REF!=0,"","+")</f>
        <v>#REF!</v>
      </c>
      <c r="DG448" s="541" t="e">
        <f>IF(#REF!=0,"","+")</f>
        <v>#REF!</v>
      </c>
      <c r="DH448" s="541" t="e">
        <f>IF(#REF!=0,"","+")</f>
        <v>#REF!</v>
      </c>
      <c r="DI448" s="541"/>
      <c r="DJ448" s="541"/>
      <c r="DK448" s="541"/>
      <c r="DL448" s="541" t="e">
        <f>IF(#REF!=0,"","+")</f>
        <v>#REF!</v>
      </c>
      <c r="DM448" s="541" t="e">
        <f>IF(#REF!=0,"","+")</f>
        <v>#REF!</v>
      </c>
      <c r="DN448" s="541" t="e">
        <f>IF(#REF!=0,"","+")</f>
        <v>#REF!</v>
      </c>
      <c r="DO448" s="541" t="e">
        <f>IF(#REF!=0,"","+")</f>
        <v>#REF!</v>
      </c>
      <c r="DP448" s="541" t="e">
        <f>IF(#REF!=0,"","+")</f>
        <v>#REF!</v>
      </c>
      <c r="DQ448" s="541" t="e">
        <f>IF(#REF!=0,"","+")</f>
        <v>#REF!</v>
      </c>
      <c r="DR448" s="541"/>
      <c r="DS448" s="541"/>
      <c r="DT448" s="541"/>
      <c r="DU448" s="541"/>
      <c r="DV448" s="541"/>
      <c r="DW448" s="541"/>
      <c r="DX448" s="541" t="e">
        <f>IF(#REF!=0,"","+")</f>
        <v>#REF!</v>
      </c>
      <c r="DY448" s="541" t="e">
        <f>IF(#REF!=0,"","+")</f>
        <v>#REF!</v>
      </c>
      <c r="DZ448" s="541" t="e">
        <f>IF(#REF!=0,"","+")</f>
        <v>#REF!</v>
      </c>
      <c r="EA448" s="541" t="e">
        <f>IF(#REF!=0,"","+")</f>
        <v>#REF!</v>
      </c>
      <c r="EB448" s="541" t="e">
        <f>IF(#REF!=0,"","+")</f>
        <v>#REF!</v>
      </c>
      <c r="EC448" s="89"/>
      <c r="ED448" s="89"/>
      <c r="FH448" s="89"/>
      <c r="FI448" s="89"/>
      <c r="FJ448" s="306"/>
      <c r="FK448" s="306"/>
      <c r="FL448" s="300"/>
      <c r="FM448" s="300"/>
      <c r="FN448" s="108"/>
      <c r="FO448" s="108"/>
      <c r="FP448" s="108"/>
      <c r="FQ448" s="108"/>
      <c r="FR448" s="108"/>
      <c r="FS448" s="108"/>
      <c r="FT448" s="108"/>
      <c r="FU448" s="108"/>
      <c r="FV448" s="108"/>
      <c r="FW448" s="108"/>
      <c r="FX448" s="301"/>
      <c r="FY448" s="259"/>
      <c r="FZ448" s="259"/>
      <c r="GA448" s="259"/>
      <c r="GB448" s="259"/>
      <c r="GC448" s="301"/>
      <c r="GD448" s="301"/>
      <c r="GE448" s="301"/>
      <c r="GF448" s="301"/>
      <c r="GG448" s="301"/>
      <c r="GH448" s="301"/>
      <c r="GI448" s="307"/>
      <c r="GJ448" s="307"/>
      <c r="GK448" s="307"/>
      <c r="GL448" s="307"/>
      <c r="GM448" s="307"/>
      <c r="GN448" s="307"/>
      <c r="GO448" s="307"/>
      <c r="GP448" s="307"/>
      <c r="GQ448" s="307"/>
      <c r="GR448" s="307"/>
      <c r="GS448" s="307"/>
      <c r="GT448" s="307"/>
      <c r="GU448" s="307"/>
      <c r="GV448" s="307"/>
    </row>
    <row r="449" spans="1:204" ht="16.5" customHeight="1">
      <c r="A449" s="60"/>
      <c r="B449" s="69"/>
      <c r="C449" s="69"/>
      <c r="D449" s="268"/>
      <c r="E449" s="268"/>
      <c r="F449" s="268"/>
      <c r="G449" s="268"/>
      <c r="H449" s="268"/>
      <c r="I449" s="268"/>
      <c r="J449" s="268"/>
      <c r="K449" s="268"/>
      <c r="L449" s="268"/>
      <c r="M449" s="268"/>
      <c r="N449" s="268"/>
      <c r="O449" s="268"/>
      <c r="P449" s="268"/>
      <c r="Q449" s="268"/>
      <c r="R449" s="342"/>
      <c r="S449" s="342"/>
      <c r="T449" s="342"/>
      <c r="U449" s="342"/>
      <c r="V449" s="342"/>
      <c r="W449" s="342"/>
      <c r="X449" s="342"/>
      <c r="Y449" s="342"/>
      <c r="Z449" s="342"/>
      <c r="AA449" s="342"/>
      <c r="AB449" s="342"/>
      <c r="AC449" s="342"/>
      <c r="AD449" s="342"/>
      <c r="AE449" s="342"/>
      <c r="AF449" s="302"/>
      <c r="AG449" s="89"/>
      <c r="AH449" s="341"/>
      <c r="AI449" s="325"/>
      <c r="AJ449" s="326"/>
      <c r="AK449" s="326"/>
      <c r="AL449" s="326"/>
      <c r="AM449" s="326"/>
      <c r="AN449" s="326"/>
      <c r="AO449" s="326"/>
      <c r="AP449" s="326"/>
      <c r="AQ449" s="326"/>
      <c r="AR449" s="326"/>
      <c r="AS449" s="326"/>
      <c r="AT449" s="326"/>
      <c r="AU449" s="326"/>
      <c r="AV449" s="326"/>
      <c r="AW449" s="326"/>
      <c r="AX449" s="326"/>
      <c r="AY449" s="326"/>
      <c r="AZ449" s="326"/>
      <c r="BA449" s="326"/>
      <c r="BB449" s="326"/>
      <c r="BC449" s="341"/>
      <c r="BD449" s="304"/>
      <c r="BE449" s="342"/>
      <c r="BF449" s="342"/>
      <c r="BG449" s="342"/>
      <c r="BH449" s="342"/>
      <c r="BI449" s="342"/>
      <c r="BJ449" s="342"/>
      <c r="BK449" s="342"/>
      <c r="BL449" s="342"/>
      <c r="BM449" s="342"/>
      <c r="BN449" s="342"/>
      <c r="BO449" s="342"/>
      <c r="BP449" s="342"/>
      <c r="BQ449" s="342"/>
      <c r="BR449" s="342"/>
      <c r="BS449" s="342"/>
      <c r="BT449" s="342"/>
      <c r="BU449" s="342"/>
      <c r="BV449" s="342"/>
      <c r="BW449" s="342"/>
      <c r="BX449" s="342"/>
      <c r="BY449" s="342"/>
      <c r="BZ449" s="342"/>
      <c r="CA449" s="342"/>
      <c r="CB449" s="342"/>
      <c r="CC449" s="342"/>
      <c r="CD449" s="268"/>
      <c r="CE449" s="268"/>
      <c r="CF449" s="268"/>
      <c r="CG449" s="268"/>
      <c r="CH449" s="268"/>
      <c r="CI449" s="268"/>
      <c r="CJ449" s="268"/>
      <c r="CK449" s="268"/>
      <c r="CL449" s="268"/>
      <c r="CM449" s="268"/>
      <c r="CN449" s="268"/>
      <c r="CO449" s="268"/>
      <c r="CP449" s="268"/>
      <c r="CQ449" s="268"/>
      <c r="CR449" s="268"/>
      <c r="CS449" s="268"/>
      <c r="CT449" s="268"/>
      <c r="CU449" s="342"/>
      <c r="CV449" s="342"/>
      <c r="CW449" s="342"/>
      <c r="CX449" s="342"/>
      <c r="CY449" s="141"/>
      <c r="CZ449" s="141"/>
      <c r="DA449" s="141"/>
      <c r="DB449" s="302" t="str">
        <f ca="1">IF(FL1=0,"","de totale constante kosten bij de aangegeven afzet zijn:")</f>
        <v/>
      </c>
      <c r="DC449" s="89"/>
      <c r="DD449" s="341" t="str">
        <f ca="1">IF(FL1=0,"","+")</f>
        <v/>
      </c>
      <c r="DE449" s="556"/>
      <c r="DF449" s="557"/>
      <c r="DG449" s="557"/>
      <c r="DH449" s="557"/>
      <c r="DI449" s="557"/>
      <c r="DJ449" s="557"/>
      <c r="DK449" s="557"/>
      <c r="DL449" s="557"/>
      <c r="DM449" s="557"/>
      <c r="DN449" s="557"/>
      <c r="DO449" s="557"/>
      <c r="DP449" s="557"/>
      <c r="DQ449" s="557"/>
      <c r="DR449" s="557"/>
      <c r="DS449" s="557"/>
      <c r="DT449" s="557"/>
      <c r="DU449" s="557"/>
      <c r="DV449" s="557"/>
      <c r="DW449" s="557"/>
      <c r="DX449" s="557"/>
      <c r="DY449" s="557"/>
      <c r="DZ449" s="557"/>
      <c r="EA449" s="557"/>
      <c r="EB449" s="341" t="str">
        <f ca="1">IF(FL1=0,"","+")</f>
        <v/>
      </c>
      <c r="EC449" s="304" t="s">
        <v>131</v>
      </c>
      <c r="ED449" s="141"/>
      <c r="EE449" s="298"/>
      <c r="EF449" s="342"/>
      <c r="EG449" s="89"/>
      <c r="EH449" s="89"/>
      <c r="EI449" s="89"/>
      <c r="EJ449" s="89"/>
      <c r="EK449" s="89"/>
      <c r="EL449" s="89"/>
      <c r="EM449" s="89"/>
      <c r="EN449" s="89"/>
      <c r="EO449" s="89"/>
      <c r="EP449" s="89"/>
      <c r="EQ449" s="89"/>
      <c r="ER449" s="89"/>
      <c r="ES449" s="89"/>
      <c r="ET449" s="89"/>
      <c r="EU449" s="89"/>
      <c r="EV449" s="89"/>
      <c r="EW449" s="89"/>
      <c r="EX449" s="89"/>
      <c r="EY449" s="89"/>
      <c r="EZ449" s="89"/>
      <c r="FA449" s="89"/>
      <c r="FB449" s="89"/>
      <c r="FC449" s="89"/>
      <c r="FD449" s="89"/>
      <c r="FE449" s="89"/>
      <c r="FF449" s="89"/>
      <c r="FG449" s="89"/>
      <c r="FH449" s="89"/>
      <c r="FI449" s="89"/>
      <c r="FJ449" s="306"/>
      <c r="FK449" s="306"/>
      <c r="FL449" s="300"/>
      <c r="FM449" s="300">
        <f ca="1">IF(programma!B1="X",1,IF(AND(FL1=1,DE449&gt;FN449-0.01,DE449&lt;FN449+0.01),1,0))</f>
        <v>0</v>
      </c>
      <c r="FN449" s="339">
        <f ca="1">IF(FK1=0,"",(FN446-FP446)*FQ446)</f>
        <v>11970</v>
      </c>
      <c r="FO449" s="300"/>
      <c r="FP449" s="108"/>
      <c r="FQ449" s="108"/>
      <c r="FR449" s="108"/>
      <c r="FS449" s="108"/>
      <c r="FT449" s="108"/>
      <c r="FU449" s="108"/>
      <c r="FV449" s="108"/>
      <c r="FW449" s="108"/>
      <c r="FX449" s="301"/>
      <c r="FY449" s="259"/>
      <c r="FZ449" s="259"/>
      <c r="GA449" s="259"/>
      <c r="GB449" s="259"/>
      <c r="GC449" s="301"/>
      <c r="GD449" s="301"/>
      <c r="GE449" s="301"/>
      <c r="GF449" s="301"/>
      <c r="GG449" s="301"/>
      <c r="GH449" s="301"/>
      <c r="GI449" s="307"/>
      <c r="GJ449" s="307"/>
      <c r="GK449" s="307"/>
      <c r="GL449" s="307"/>
      <c r="GM449" s="307"/>
      <c r="GN449" s="307"/>
      <c r="GO449" s="307"/>
      <c r="GP449" s="307"/>
      <c r="GQ449" s="307"/>
      <c r="GR449" s="307"/>
      <c r="GS449" s="307"/>
      <c r="GT449" s="307"/>
      <c r="GU449" s="307"/>
      <c r="GV449" s="307"/>
    </row>
    <row r="450" spans="1:204" ht="3.6" customHeight="1">
      <c r="A450" s="60"/>
      <c r="B450" s="69"/>
      <c r="C450" s="69"/>
      <c r="D450" s="341"/>
      <c r="E450" s="341"/>
      <c r="F450" s="341"/>
      <c r="G450" s="341"/>
      <c r="H450" s="341"/>
      <c r="I450" s="341"/>
      <c r="J450" s="341"/>
      <c r="K450" s="341"/>
      <c r="L450" s="341"/>
      <c r="M450" s="341"/>
      <c r="N450" s="341"/>
      <c r="O450" s="341"/>
      <c r="P450" s="341"/>
      <c r="Q450" s="341"/>
      <c r="R450" s="341"/>
      <c r="S450" s="341"/>
      <c r="T450" s="341"/>
      <c r="U450" s="341"/>
      <c r="V450" s="341"/>
      <c r="W450" s="341"/>
      <c r="X450" s="342"/>
      <c r="Y450" s="342"/>
      <c r="Z450" s="342"/>
      <c r="AA450" s="342"/>
      <c r="AB450" s="342"/>
      <c r="AC450" s="342"/>
      <c r="AD450" s="342"/>
      <c r="AE450" s="342"/>
      <c r="AF450" s="89"/>
      <c r="AG450" s="89"/>
      <c r="AH450" s="341"/>
      <c r="AI450" s="342"/>
      <c r="AJ450" s="342"/>
      <c r="AK450" s="342"/>
      <c r="AL450" s="342"/>
      <c r="AM450" s="342"/>
      <c r="AN450" s="342"/>
      <c r="AO450" s="342"/>
      <c r="AP450" s="342"/>
      <c r="AQ450" s="342"/>
      <c r="AR450" s="342"/>
      <c r="AS450" s="342"/>
      <c r="AT450" s="342"/>
      <c r="AU450" s="342"/>
      <c r="AV450" s="342"/>
      <c r="AW450" s="342"/>
      <c r="AX450" s="342"/>
      <c r="AY450" s="342"/>
      <c r="AZ450" s="342"/>
      <c r="BA450" s="342"/>
      <c r="BB450" s="342"/>
      <c r="BC450" s="342"/>
      <c r="BD450" s="89"/>
      <c r="BE450" s="342"/>
      <c r="BF450" s="342"/>
      <c r="BG450" s="342"/>
      <c r="BH450" s="342"/>
      <c r="BI450" s="342"/>
      <c r="BJ450" s="342"/>
      <c r="BK450" s="342"/>
      <c r="BL450" s="342"/>
      <c r="BM450" s="342"/>
      <c r="BN450" s="342"/>
      <c r="BO450" s="342"/>
      <c r="BP450" s="342"/>
      <c r="BQ450" s="342"/>
      <c r="BR450" s="342"/>
      <c r="BS450" s="342"/>
      <c r="BT450" s="342"/>
      <c r="BU450" s="342"/>
      <c r="BV450" s="342"/>
      <c r="BW450" s="342"/>
      <c r="BX450" s="342"/>
      <c r="BY450" s="342"/>
      <c r="BZ450" s="342"/>
      <c r="CA450" s="342"/>
      <c r="CB450" s="342"/>
      <c r="CC450" s="342"/>
      <c r="CD450" s="268"/>
      <c r="CE450" s="268"/>
      <c r="CF450" s="268"/>
      <c r="CG450" s="268"/>
      <c r="CH450" s="268"/>
      <c r="CI450" s="268"/>
      <c r="CJ450" s="268"/>
      <c r="CK450" s="268"/>
      <c r="CL450" s="268"/>
      <c r="CM450" s="268"/>
      <c r="CN450" s="268"/>
      <c r="CO450" s="268"/>
      <c r="CP450" s="268"/>
      <c r="CQ450" s="268"/>
      <c r="CR450" s="268"/>
      <c r="CS450" s="268"/>
      <c r="CT450" s="268"/>
      <c r="CU450" s="342"/>
      <c r="CV450" s="342"/>
      <c r="CW450" s="342"/>
      <c r="CX450" s="342"/>
      <c r="CY450" s="141"/>
      <c r="CZ450" s="141"/>
      <c r="DA450" s="141"/>
      <c r="DB450" s="89"/>
      <c r="DC450" s="89"/>
      <c r="DD450" s="553" t="str">
        <f ca="1">IF(FL1=0,"","+")</f>
        <v/>
      </c>
      <c r="DE450" s="541" t="e">
        <f>IF(#REF!=0,"","+")</f>
        <v>#REF!</v>
      </c>
      <c r="DF450" s="541" t="e">
        <f>IF(#REF!=0,"","+")</f>
        <v>#REF!</v>
      </c>
      <c r="DG450" s="541" t="e">
        <f>IF(#REF!=0,"","+")</f>
        <v>#REF!</v>
      </c>
      <c r="DH450" s="541" t="e">
        <f>IF(#REF!=0,"","+")</f>
        <v>#REF!</v>
      </c>
      <c r="DI450" s="541"/>
      <c r="DJ450" s="541"/>
      <c r="DK450" s="541"/>
      <c r="DL450" s="541" t="e">
        <f>IF(#REF!=0,"","+")</f>
        <v>#REF!</v>
      </c>
      <c r="DM450" s="541" t="e">
        <f>IF(#REF!=0,"","+")</f>
        <v>#REF!</v>
      </c>
      <c r="DN450" s="541" t="e">
        <f>IF(#REF!=0,"","+")</f>
        <v>#REF!</v>
      </c>
      <c r="DO450" s="541" t="e">
        <f>IF(#REF!=0,"","+")</f>
        <v>#REF!</v>
      </c>
      <c r="DP450" s="541" t="e">
        <f>IF(#REF!=0,"","+")</f>
        <v>#REF!</v>
      </c>
      <c r="DQ450" s="541" t="e">
        <f>IF(#REF!=0,"","+")</f>
        <v>#REF!</v>
      </c>
      <c r="DR450" s="541"/>
      <c r="DS450" s="541"/>
      <c r="DT450" s="541"/>
      <c r="DU450" s="541"/>
      <c r="DV450" s="541"/>
      <c r="DW450" s="541"/>
      <c r="DX450" s="541" t="e">
        <f>IF(#REF!=0,"","+")</f>
        <v>#REF!</v>
      </c>
      <c r="DY450" s="541" t="e">
        <f>IF(#REF!=0,"","+")</f>
        <v>#REF!</v>
      </c>
      <c r="DZ450" s="541" t="e">
        <f>IF(#REF!=0,"","+")</f>
        <v>#REF!</v>
      </c>
      <c r="EA450" s="541" t="e">
        <f>IF(#REF!=0,"","+")</f>
        <v>#REF!</v>
      </c>
      <c r="EB450" s="541" t="e">
        <f>IF(#REF!=0,"","+")</f>
        <v>#REF!</v>
      </c>
      <c r="EC450" s="89"/>
      <c r="ED450" s="89"/>
      <c r="FH450" s="89"/>
      <c r="FI450" s="89"/>
      <c r="FJ450" s="306"/>
      <c r="FK450" s="306"/>
      <c r="FL450" s="300"/>
      <c r="FM450" s="300"/>
      <c r="FN450" s="300"/>
      <c r="FO450" s="108"/>
      <c r="FP450" s="108"/>
      <c r="FQ450" s="108"/>
      <c r="FR450" s="108"/>
      <c r="FS450" s="108"/>
      <c r="FT450" s="108"/>
      <c r="FU450" s="108"/>
      <c r="FV450" s="108"/>
      <c r="FW450" s="108"/>
      <c r="FX450" s="301"/>
      <c r="FY450" s="259"/>
      <c r="FZ450" s="259"/>
      <c r="GA450" s="259"/>
      <c r="GB450" s="259"/>
      <c r="GC450" s="301"/>
      <c r="GD450" s="301"/>
      <c r="GE450" s="301"/>
      <c r="GF450" s="301"/>
      <c r="GG450" s="301"/>
      <c r="GH450" s="301"/>
      <c r="GI450" s="307"/>
      <c r="GJ450" s="307"/>
      <c r="GK450" s="307"/>
      <c r="GL450" s="307"/>
      <c r="GM450" s="307"/>
      <c r="GN450" s="307"/>
      <c r="GO450" s="307"/>
      <c r="GP450" s="307"/>
      <c r="GQ450" s="307"/>
      <c r="GR450" s="307"/>
      <c r="GS450" s="307"/>
      <c r="GT450" s="307"/>
      <c r="GU450" s="307"/>
      <c r="GV450" s="307"/>
    </row>
    <row r="451" spans="1:204" ht="9" customHeight="1">
      <c r="A451" s="60"/>
      <c r="B451" s="69"/>
      <c r="C451" s="69"/>
      <c r="D451" s="341"/>
      <c r="E451" s="341"/>
      <c r="F451" s="341"/>
      <c r="G451" s="341"/>
      <c r="H451" s="341"/>
      <c r="I451" s="341"/>
      <c r="J451" s="341"/>
      <c r="K451" s="341"/>
      <c r="L451" s="341"/>
      <c r="M451" s="341"/>
      <c r="N451" s="341"/>
      <c r="O451" s="341"/>
      <c r="P451" s="341"/>
      <c r="Q451" s="341"/>
      <c r="R451" s="341"/>
      <c r="S451" s="341"/>
      <c r="T451" s="341"/>
      <c r="U451" s="341"/>
      <c r="V451" s="341"/>
      <c r="W451" s="341"/>
      <c r="X451" s="89"/>
      <c r="Y451" s="89"/>
      <c r="Z451" s="89"/>
      <c r="AA451" s="89"/>
      <c r="AB451" s="89"/>
      <c r="AC451" s="89"/>
      <c r="AD451" s="89"/>
      <c r="AE451" s="89"/>
      <c r="AF451" s="89"/>
      <c r="AG451" s="89"/>
      <c r="AH451" s="89"/>
      <c r="AI451" s="89"/>
      <c r="AJ451" s="89"/>
      <c r="AK451" s="89"/>
      <c r="AL451" s="89"/>
      <c r="AM451" s="89"/>
      <c r="AN451" s="89"/>
      <c r="AO451" s="89"/>
      <c r="AP451" s="89"/>
      <c r="AQ451" s="89"/>
      <c r="AR451" s="89"/>
      <c r="AS451" s="89"/>
      <c r="AT451" s="89"/>
      <c r="AU451" s="89"/>
      <c r="AV451" s="89"/>
      <c r="AW451" s="89"/>
      <c r="AX451" s="89"/>
      <c r="AY451" s="89"/>
      <c r="AZ451" s="89"/>
      <c r="BA451" s="89"/>
      <c r="BB451" s="89"/>
      <c r="BC451" s="89"/>
      <c r="BD451" s="89"/>
      <c r="BE451" s="89"/>
      <c r="BF451" s="89"/>
      <c r="BG451" s="89"/>
      <c r="BH451" s="89"/>
      <c r="BI451" s="89"/>
      <c r="BJ451" s="89"/>
      <c r="BK451" s="89"/>
      <c r="BL451" s="89"/>
      <c r="BM451" s="89"/>
      <c r="BN451" s="89"/>
      <c r="BO451" s="89"/>
      <c r="BP451" s="89"/>
      <c r="BQ451" s="89"/>
      <c r="BR451" s="89"/>
      <c r="BS451" s="89"/>
      <c r="BT451" s="89"/>
      <c r="BU451" s="89"/>
      <c r="BV451" s="89"/>
      <c r="BW451" s="89"/>
      <c r="BX451" s="89"/>
      <c r="BY451" s="89"/>
      <c r="BZ451" s="89"/>
      <c r="CA451" s="89"/>
      <c r="CB451" s="89"/>
      <c r="CC451" s="89"/>
      <c r="CD451" s="89"/>
      <c r="CE451" s="89"/>
      <c r="CF451" s="89"/>
      <c r="CG451" s="89"/>
      <c r="CH451" s="89"/>
      <c r="CI451" s="89"/>
      <c r="CJ451" s="89"/>
      <c r="CK451" s="89"/>
      <c r="CL451" s="89"/>
      <c r="CM451" s="89"/>
      <c r="CN451" s="89"/>
      <c r="CO451" s="89"/>
      <c r="CP451" s="89"/>
      <c r="CQ451" s="89"/>
      <c r="CR451" s="89"/>
      <c r="CS451" s="89"/>
      <c r="CT451" s="89"/>
      <c r="CU451" s="89"/>
      <c r="CV451" s="89"/>
      <c r="CW451" s="89"/>
      <c r="CX451" s="89"/>
      <c r="CY451" s="89"/>
      <c r="CZ451" s="89"/>
      <c r="DA451" s="89"/>
      <c r="DB451" s="89"/>
      <c r="DC451" s="89"/>
      <c r="DD451" s="89"/>
      <c r="DE451" s="89"/>
      <c r="DF451" s="89"/>
      <c r="DG451" s="89"/>
      <c r="DH451" s="89"/>
      <c r="DI451" s="89"/>
      <c r="DJ451" s="89"/>
      <c r="DK451" s="89"/>
      <c r="DL451" s="89"/>
      <c r="DM451" s="89"/>
      <c r="DN451" s="89"/>
      <c r="DO451" s="89"/>
      <c r="DP451" s="89"/>
      <c r="DQ451" s="89"/>
      <c r="DR451" s="89"/>
      <c r="DS451" s="89"/>
      <c r="DT451" s="89"/>
      <c r="DU451" s="89"/>
      <c r="DV451" s="89"/>
      <c r="DW451" s="89"/>
      <c r="DX451" s="89"/>
      <c r="DY451" s="89"/>
      <c r="DZ451" s="89"/>
      <c r="EA451" s="89"/>
      <c r="EB451" s="89"/>
      <c r="EC451" s="89"/>
      <c r="ED451" s="89"/>
      <c r="FH451" s="89"/>
      <c r="FI451" s="89"/>
      <c r="FJ451" s="306"/>
      <c r="FK451" s="306"/>
      <c r="FL451" s="300"/>
      <c r="FM451" s="300"/>
      <c r="FN451" s="300"/>
      <c r="FO451" s="108"/>
      <c r="FP451" s="108"/>
      <c r="FQ451" s="108"/>
      <c r="FR451" s="108"/>
      <c r="FS451" s="108"/>
      <c r="FT451" s="108"/>
      <c r="FU451" s="108"/>
      <c r="FV451" s="108"/>
      <c r="FW451" s="108"/>
      <c r="FX451" s="301"/>
      <c r="FY451" s="259"/>
      <c r="FZ451" s="259"/>
      <c r="GA451" s="259"/>
      <c r="GB451" s="259"/>
      <c r="GC451" s="301"/>
      <c r="GD451" s="301"/>
      <c r="GE451" s="301"/>
      <c r="GF451" s="301"/>
      <c r="GG451" s="301"/>
      <c r="GH451" s="301"/>
      <c r="GI451" s="307"/>
      <c r="GJ451" s="307"/>
      <c r="GK451" s="307"/>
      <c r="GL451" s="307"/>
      <c r="GM451" s="307"/>
      <c r="GN451" s="307"/>
      <c r="GO451" s="307"/>
      <c r="GP451" s="307"/>
      <c r="GQ451" s="307"/>
      <c r="GR451" s="307"/>
      <c r="GS451" s="307"/>
      <c r="GT451" s="307"/>
      <c r="GU451" s="307"/>
      <c r="GV451" s="307"/>
    </row>
    <row r="452" spans="1:204" ht="3.6" customHeight="1">
      <c r="A452" s="60"/>
      <c r="B452" s="69"/>
      <c r="C452" s="69"/>
      <c r="D452" s="341"/>
      <c r="E452" s="341"/>
      <c r="F452" s="341"/>
      <c r="G452" s="341"/>
      <c r="H452" s="341"/>
      <c r="I452" s="341"/>
      <c r="J452" s="341"/>
      <c r="K452" s="341"/>
      <c r="L452" s="341"/>
      <c r="M452" s="341"/>
      <c r="N452" s="341"/>
      <c r="O452" s="341"/>
      <c r="P452" s="341"/>
      <c r="Q452" s="341"/>
      <c r="R452" s="341"/>
      <c r="S452" s="341"/>
      <c r="T452" s="341"/>
      <c r="U452" s="341"/>
      <c r="V452" s="341"/>
      <c r="W452" s="341"/>
      <c r="X452" s="342"/>
      <c r="Y452" s="342"/>
      <c r="Z452" s="342"/>
      <c r="AA452" s="297"/>
      <c r="AB452" s="297"/>
      <c r="AC452" s="297"/>
      <c r="AD452" s="297"/>
      <c r="AE452" s="297"/>
      <c r="AF452" s="297"/>
      <c r="AG452" s="297"/>
      <c r="AH452" s="297"/>
      <c r="AI452" s="297"/>
      <c r="AJ452" s="297"/>
      <c r="AK452" s="297"/>
      <c r="AL452" s="297"/>
      <c r="AM452" s="297"/>
      <c r="AN452" s="297"/>
      <c r="AO452" s="297"/>
      <c r="AP452" s="297"/>
      <c r="AQ452" s="297"/>
      <c r="AR452" s="297"/>
      <c r="AS452" s="297"/>
      <c r="AT452" s="297"/>
      <c r="AU452" s="297"/>
      <c r="AV452" s="297"/>
      <c r="AW452" s="297"/>
      <c r="AX452" s="297"/>
      <c r="AY452" s="297"/>
      <c r="AZ452" s="297"/>
      <c r="BA452" s="297"/>
      <c r="BB452" s="297"/>
      <c r="BC452" s="297"/>
      <c r="BD452" s="297"/>
      <c r="BE452" s="297"/>
      <c r="BF452" s="297"/>
      <c r="BG452" s="342"/>
      <c r="BH452" s="342"/>
      <c r="BI452" s="342"/>
      <c r="BJ452" s="342"/>
      <c r="BK452" s="342"/>
      <c r="BL452" s="342"/>
      <c r="BM452" s="342"/>
      <c r="BN452" s="342"/>
      <c r="BO452" s="342"/>
      <c r="BP452" s="342"/>
      <c r="BQ452" s="342"/>
      <c r="BR452" s="342"/>
      <c r="BS452" s="342"/>
      <c r="BT452" s="342"/>
      <c r="BU452" s="342"/>
      <c r="BV452" s="342"/>
      <c r="BW452" s="342"/>
      <c r="BX452" s="342"/>
      <c r="BY452" s="342"/>
      <c r="BZ452" s="342"/>
      <c r="CA452" s="342"/>
      <c r="CB452" s="342"/>
      <c r="CC452" s="342"/>
      <c r="CD452" s="268"/>
      <c r="CE452" s="268"/>
      <c r="CF452" s="268"/>
      <c r="CG452" s="268"/>
      <c r="CH452" s="268"/>
      <c r="CI452" s="268"/>
      <c r="CJ452" s="268"/>
      <c r="CK452" s="268"/>
      <c r="CL452" s="268"/>
      <c r="CM452" s="268"/>
      <c r="CN452" s="268"/>
      <c r="CO452" s="268"/>
      <c r="CP452" s="268"/>
      <c r="CQ452" s="268"/>
      <c r="CR452" s="268"/>
      <c r="CS452" s="268"/>
      <c r="CT452" s="268"/>
      <c r="CU452" s="342"/>
      <c r="CV452" s="342"/>
      <c r="CW452" s="342"/>
      <c r="CX452" s="342"/>
      <c r="CY452" s="141"/>
      <c r="CZ452" s="141"/>
      <c r="DA452" s="141"/>
      <c r="DB452" s="89"/>
      <c r="DC452" s="89"/>
      <c r="DD452" s="553" t="str">
        <f ca="1">IF(FL1=0,"","+")</f>
        <v/>
      </c>
      <c r="DE452" s="541" t="e">
        <f>IF(#REF!=0,"","+")</f>
        <v>#REF!</v>
      </c>
      <c r="DF452" s="541" t="e">
        <f>IF(#REF!=0,"","+")</f>
        <v>#REF!</v>
      </c>
      <c r="DG452" s="541" t="e">
        <f>IF(#REF!=0,"","+")</f>
        <v>#REF!</v>
      </c>
      <c r="DH452" s="541" t="e">
        <f>IF(#REF!=0,"","+")</f>
        <v>#REF!</v>
      </c>
      <c r="DI452" s="541"/>
      <c r="DJ452" s="541"/>
      <c r="DK452" s="541"/>
      <c r="DL452" s="541" t="e">
        <f>IF(#REF!=0,"","+")</f>
        <v>#REF!</v>
      </c>
      <c r="DM452" s="541" t="e">
        <f>IF(#REF!=0,"","+")</f>
        <v>#REF!</v>
      </c>
      <c r="DN452" s="541" t="e">
        <f>IF(#REF!=0,"","+")</f>
        <v>#REF!</v>
      </c>
      <c r="DO452" s="541" t="e">
        <f>IF(#REF!=0,"","+")</f>
        <v>#REF!</v>
      </c>
      <c r="DP452" s="541" t="e">
        <f>IF(#REF!=0,"","+")</f>
        <v>#REF!</v>
      </c>
      <c r="DQ452" s="541" t="e">
        <f>IF(#REF!=0,"","+")</f>
        <v>#REF!</v>
      </c>
      <c r="DR452" s="541"/>
      <c r="DS452" s="541"/>
      <c r="DT452" s="541"/>
      <c r="DU452" s="541"/>
      <c r="DV452" s="541"/>
      <c r="DW452" s="541"/>
      <c r="DX452" s="541" t="e">
        <f>IF(#REF!=0,"","+")</f>
        <v>#REF!</v>
      </c>
      <c r="DY452" s="541" t="e">
        <f>IF(#REF!=0,"","+")</f>
        <v>#REF!</v>
      </c>
      <c r="DZ452" s="541" t="e">
        <f>IF(#REF!=0,"","+")</f>
        <v>#REF!</v>
      </c>
      <c r="EA452" s="541" t="e">
        <f>IF(#REF!=0,"","+")</f>
        <v>#REF!</v>
      </c>
      <c r="EB452" s="541" t="e">
        <f>IF(#REF!=0,"","+")</f>
        <v>#REF!</v>
      </c>
      <c r="EC452" s="89"/>
      <c r="ED452" s="89"/>
      <c r="FH452" s="89"/>
      <c r="FI452" s="89"/>
      <c r="FJ452" s="306"/>
      <c r="FK452" s="306"/>
      <c r="FL452" s="300"/>
      <c r="FM452" s="300"/>
      <c r="FN452" s="300"/>
      <c r="FO452" s="108"/>
      <c r="FP452" s="108"/>
      <c r="FQ452" s="108"/>
      <c r="FR452" s="108"/>
      <c r="FS452" s="108"/>
      <c r="FT452" s="108"/>
      <c r="FU452" s="108"/>
      <c r="FV452" s="108"/>
      <c r="FW452" s="108"/>
      <c r="FX452" s="301"/>
      <c r="FY452" s="259"/>
      <c r="FZ452" s="259"/>
      <c r="GA452" s="259"/>
      <c r="GB452" s="259"/>
      <c r="GC452" s="301"/>
      <c r="GD452" s="301"/>
      <c r="GE452" s="301"/>
      <c r="GF452" s="301"/>
      <c r="GG452" s="301"/>
      <c r="GH452" s="301"/>
      <c r="GI452" s="307"/>
      <c r="GJ452" s="307"/>
      <c r="GK452" s="307"/>
      <c r="GL452" s="307"/>
      <c r="GM452" s="307"/>
      <c r="GN452" s="307"/>
      <c r="GO452" s="307"/>
      <c r="GP452" s="307"/>
      <c r="GQ452" s="307"/>
      <c r="GR452" s="307"/>
      <c r="GS452" s="307"/>
      <c r="GT452" s="307"/>
      <c r="GU452" s="307"/>
      <c r="GV452" s="307"/>
    </row>
    <row r="453" spans="1:204" ht="16.5" customHeight="1">
      <c r="A453" s="60"/>
      <c r="B453" s="69"/>
      <c r="C453" s="69"/>
      <c r="D453" s="268"/>
      <c r="E453" s="268"/>
      <c r="F453" s="268"/>
      <c r="G453" s="268"/>
      <c r="H453" s="268"/>
      <c r="I453" s="268"/>
      <c r="J453" s="268"/>
      <c r="K453" s="268"/>
      <c r="L453" s="268"/>
      <c r="M453" s="268"/>
      <c r="N453" s="268"/>
      <c r="O453" s="268"/>
      <c r="P453" s="268"/>
      <c r="Q453" s="268"/>
      <c r="R453" s="342"/>
      <c r="S453" s="342"/>
      <c r="T453" s="342"/>
      <c r="U453" s="342"/>
      <c r="V453" s="342"/>
      <c r="W453" s="342"/>
      <c r="X453" s="342"/>
      <c r="Y453" s="342"/>
      <c r="Z453" s="342"/>
      <c r="AA453" s="297"/>
      <c r="AB453" s="297"/>
      <c r="AC453" s="297"/>
      <c r="AD453" s="297"/>
      <c r="AE453" s="297"/>
      <c r="AF453" s="297"/>
      <c r="AG453" s="297"/>
      <c r="AH453" s="297"/>
      <c r="AI453" s="297"/>
      <c r="AJ453" s="297"/>
      <c r="AK453" s="297"/>
      <c r="AL453" s="297"/>
      <c r="AM453" s="297"/>
      <c r="AN453" s="297"/>
      <c r="AO453" s="297"/>
      <c r="AP453" s="297"/>
      <c r="AQ453" s="297"/>
      <c r="AR453" s="297"/>
      <c r="AS453" s="297"/>
      <c r="AT453" s="297"/>
      <c r="AU453" s="297"/>
      <c r="AV453" s="297"/>
      <c r="AW453" s="297"/>
      <c r="AX453" s="297"/>
      <c r="AY453" s="297"/>
      <c r="AZ453" s="297"/>
      <c r="BA453" s="297"/>
      <c r="BB453" s="297"/>
      <c r="BC453" s="297"/>
      <c r="BD453" s="297"/>
      <c r="BE453" s="297"/>
      <c r="BF453" s="297"/>
      <c r="BG453" s="342"/>
      <c r="BH453" s="342"/>
      <c r="BI453" s="342"/>
      <c r="BJ453" s="342"/>
      <c r="BK453" s="342"/>
      <c r="BL453" s="342"/>
      <c r="BM453" s="342"/>
      <c r="BN453" s="342"/>
      <c r="BO453" s="342"/>
      <c r="BP453" s="342"/>
      <c r="BQ453" s="342"/>
      <c r="BR453" s="342"/>
      <c r="BS453" s="342"/>
      <c r="BT453" s="342"/>
      <c r="BU453" s="342"/>
      <c r="BV453" s="342"/>
      <c r="BW453" s="342"/>
      <c r="BX453" s="342"/>
      <c r="BY453" s="342"/>
      <c r="BZ453" s="342"/>
      <c r="CA453" s="342"/>
      <c r="CB453" s="342"/>
      <c r="CC453" s="342"/>
      <c r="CD453" s="268"/>
      <c r="CE453" s="268"/>
      <c r="CF453" s="268"/>
      <c r="CG453" s="268"/>
      <c r="CH453" s="268"/>
      <c r="CI453" s="268"/>
      <c r="CJ453" s="268"/>
      <c r="CK453" s="268"/>
      <c r="CL453" s="268"/>
      <c r="CM453" s="268"/>
      <c r="CN453" s="268"/>
      <c r="CO453" s="268"/>
      <c r="CP453" s="268"/>
      <c r="CQ453" s="268"/>
      <c r="CR453" s="268"/>
      <c r="CS453" s="268"/>
      <c r="CT453" s="268"/>
      <c r="CU453" s="342"/>
      <c r="CV453" s="342"/>
      <c r="CW453" s="342"/>
      <c r="CX453" s="342"/>
      <c r="CY453" s="141"/>
      <c r="CZ453" s="141"/>
      <c r="DA453" s="141"/>
      <c r="DB453" s="302" t="str">
        <f ca="1">IF(FL1=0,"","de totale winst bij de aangegeven afzet is:")</f>
        <v/>
      </c>
      <c r="DC453" s="89"/>
      <c r="DD453" s="341" t="str">
        <f ca="1">IF(FL1=0,"","+")</f>
        <v/>
      </c>
      <c r="DE453" s="556"/>
      <c r="DF453" s="557"/>
      <c r="DG453" s="557"/>
      <c r="DH453" s="557"/>
      <c r="DI453" s="557"/>
      <c r="DJ453" s="557"/>
      <c r="DK453" s="557"/>
      <c r="DL453" s="557"/>
      <c r="DM453" s="557"/>
      <c r="DN453" s="557"/>
      <c r="DO453" s="557"/>
      <c r="DP453" s="557"/>
      <c r="DQ453" s="557"/>
      <c r="DR453" s="557"/>
      <c r="DS453" s="557"/>
      <c r="DT453" s="557"/>
      <c r="DU453" s="557"/>
      <c r="DV453" s="557"/>
      <c r="DW453" s="557"/>
      <c r="DX453" s="557"/>
      <c r="DY453" s="557"/>
      <c r="DZ453" s="557"/>
      <c r="EA453" s="557"/>
      <c r="EB453" s="341" t="str">
        <f ca="1">IF(FL1=0,"","+")</f>
        <v/>
      </c>
      <c r="EC453" s="304" t="s">
        <v>131</v>
      </c>
      <c r="ED453" s="141"/>
      <c r="EE453" s="345" t="str">
        <f ca="1">IF(OR(CO461="",TODAY()&gt;=Blad1!AY3),"",IF(FL1=0,"",IF(OR(DE457="",DE449="",DE453=""),"Deze moet je nog (af-) maken.",IF(FL457=1,"Goed!",IF(FM457+FM449+FM453=2,"Je hebt er één fout!","Je hebt er twee of meer fout!")))))</f>
        <v/>
      </c>
      <c r="EF453" s="315"/>
      <c r="EG453" s="315"/>
      <c r="EH453" s="315"/>
      <c r="EI453" s="315"/>
      <c r="EJ453" s="315"/>
      <c r="EK453" s="315"/>
      <c r="EL453" s="315"/>
      <c r="EM453" s="315"/>
      <c r="EN453" s="315"/>
      <c r="EO453" s="315"/>
      <c r="EP453" s="315"/>
      <c r="EQ453" s="315"/>
      <c r="ER453" s="315"/>
      <c r="ES453" s="315"/>
      <c r="ET453" s="315"/>
      <c r="EU453" s="315"/>
      <c r="EV453" s="315"/>
      <c r="EW453" s="315"/>
      <c r="EX453" s="315"/>
      <c r="EY453" s="315"/>
      <c r="EZ453" s="315"/>
      <c r="FA453" s="315"/>
      <c r="FB453" s="315"/>
      <c r="FC453" s="315"/>
      <c r="FD453" s="315"/>
      <c r="FE453" s="315"/>
      <c r="FF453" s="315"/>
      <c r="FG453" s="315"/>
      <c r="FH453" s="89"/>
      <c r="FI453" s="89"/>
      <c r="FJ453" s="306"/>
      <c r="FK453" s="306"/>
      <c r="FL453" s="300"/>
      <c r="FM453" s="96">
        <f ca="1">IF(programma!B1="X",1,IF(AND(FL1=1,DE453&gt;FN453-0.01,DE453&lt;FN453+0.01),1,0))</f>
        <v>0</v>
      </c>
      <c r="FN453" s="339">
        <f ca="1">IF(FK1=0,"",0)</f>
        <v>0</v>
      </c>
      <c r="FO453" s="300"/>
      <c r="FP453" s="108"/>
      <c r="FQ453" s="108"/>
      <c r="FR453" s="108"/>
      <c r="FS453" s="108"/>
      <c r="FT453" s="108"/>
      <c r="FU453" s="108"/>
      <c r="FV453" s="108"/>
      <c r="FW453" s="108"/>
      <c r="FX453" s="301"/>
      <c r="FY453" s="259"/>
      <c r="FZ453" s="259"/>
      <c r="GA453" s="259"/>
      <c r="GB453" s="259"/>
      <c r="GC453" s="301"/>
      <c r="GD453" s="301"/>
      <c r="GE453" s="301"/>
      <c r="GF453" s="301"/>
      <c r="GG453" s="301"/>
      <c r="GH453" s="301"/>
      <c r="GI453" s="307"/>
      <c r="GJ453" s="307"/>
      <c r="GK453" s="307"/>
      <c r="GL453" s="307"/>
      <c r="GM453" s="307"/>
      <c r="GN453" s="307"/>
      <c r="GO453" s="307"/>
      <c r="GP453" s="307"/>
      <c r="GQ453" s="307"/>
      <c r="GR453" s="307"/>
      <c r="GS453" s="307"/>
      <c r="GT453" s="307"/>
      <c r="GU453" s="307"/>
      <c r="GV453" s="307"/>
    </row>
    <row r="454" spans="1:204" ht="3.6" customHeight="1">
      <c r="A454" s="60"/>
      <c r="B454" s="69"/>
      <c r="C454" s="69"/>
      <c r="D454" s="341"/>
      <c r="E454" s="341"/>
      <c r="F454" s="341"/>
      <c r="G454" s="341"/>
      <c r="H454" s="341"/>
      <c r="I454" s="341"/>
      <c r="J454" s="341"/>
      <c r="K454" s="341"/>
      <c r="L454" s="341"/>
      <c r="M454" s="341"/>
      <c r="N454" s="341"/>
      <c r="O454" s="341"/>
      <c r="P454" s="341"/>
      <c r="Q454" s="341"/>
      <c r="R454" s="341"/>
      <c r="S454" s="341"/>
      <c r="T454" s="341"/>
      <c r="U454" s="341"/>
      <c r="V454" s="341"/>
      <c r="W454" s="341"/>
      <c r="X454" s="342"/>
      <c r="Y454" s="342"/>
      <c r="Z454" s="342"/>
      <c r="AA454" s="297"/>
      <c r="AB454" s="297"/>
      <c r="AC454" s="297"/>
      <c r="AD454" s="297"/>
      <c r="AE454" s="297"/>
      <c r="AF454" s="297"/>
      <c r="AG454" s="297"/>
      <c r="AH454" s="297"/>
      <c r="AI454" s="297"/>
      <c r="AJ454" s="297"/>
      <c r="AK454" s="297"/>
      <c r="AL454" s="297"/>
      <c r="AM454" s="297"/>
      <c r="AN454" s="297"/>
      <c r="AO454" s="297"/>
      <c r="AP454" s="297"/>
      <c r="AQ454" s="297"/>
      <c r="AR454" s="297"/>
      <c r="AS454" s="297"/>
      <c r="AT454" s="297"/>
      <c r="AU454" s="297"/>
      <c r="AV454" s="297"/>
      <c r="AW454" s="297"/>
      <c r="AX454" s="297"/>
      <c r="AY454" s="297"/>
      <c r="AZ454" s="297"/>
      <c r="BA454" s="297"/>
      <c r="BB454" s="297"/>
      <c r="BC454" s="297"/>
      <c r="BD454" s="297"/>
      <c r="BE454" s="297"/>
      <c r="BF454" s="297"/>
      <c r="BG454" s="342"/>
      <c r="BH454" s="342"/>
      <c r="BI454" s="342"/>
      <c r="BJ454" s="342"/>
      <c r="BK454" s="342"/>
      <c r="BL454" s="342"/>
      <c r="BM454" s="342"/>
      <c r="BN454" s="342"/>
      <c r="BO454" s="342"/>
      <c r="BP454" s="342"/>
      <c r="BQ454" s="342"/>
      <c r="BR454" s="342"/>
      <c r="BS454" s="342"/>
      <c r="BT454" s="342"/>
      <c r="BU454" s="342"/>
      <c r="BV454" s="342"/>
      <c r="BW454" s="342"/>
      <c r="BX454" s="342"/>
      <c r="BY454" s="342"/>
      <c r="BZ454" s="342"/>
      <c r="CA454" s="342"/>
      <c r="CB454" s="342"/>
      <c r="CC454" s="342"/>
      <c r="CD454" s="268"/>
      <c r="CE454" s="268"/>
      <c r="CF454" s="268"/>
      <c r="CG454" s="268"/>
      <c r="CH454" s="268"/>
      <c r="CI454" s="268"/>
      <c r="CJ454" s="268"/>
      <c r="CK454" s="268"/>
      <c r="CL454" s="268"/>
      <c r="CM454" s="268"/>
      <c r="CN454" s="268"/>
      <c r="CO454" s="268"/>
      <c r="CP454" s="268"/>
      <c r="CQ454" s="268"/>
      <c r="CR454" s="268"/>
      <c r="CS454" s="268"/>
      <c r="CT454" s="268"/>
      <c r="CU454" s="342"/>
      <c r="CV454" s="342"/>
      <c r="CW454" s="342"/>
      <c r="CX454" s="342"/>
      <c r="CY454" s="141"/>
      <c r="CZ454" s="141"/>
      <c r="DA454" s="141"/>
      <c r="DB454" s="89"/>
      <c r="DC454" s="89"/>
      <c r="DD454" s="553" t="str">
        <f ca="1">IF(FL1=0,"","+")</f>
        <v/>
      </c>
      <c r="DE454" s="541" t="e">
        <f>IF(#REF!=0,"","+")</f>
        <v>#REF!</v>
      </c>
      <c r="DF454" s="541" t="e">
        <f>IF(#REF!=0,"","+")</f>
        <v>#REF!</v>
      </c>
      <c r="DG454" s="541" t="e">
        <f>IF(#REF!=0,"","+")</f>
        <v>#REF!</v>
      </c>
      <c r="DH454" s="541" t="e">
        <f>IF(#REF!=0,"","+")</f>
        <v>#REF!</v>
      </c>
      <c r="DI454" s="541"/>
      <c r="DJ454" s="541"/>
      <c r="DK454" s="541"/>
      <c r="DL454" s="541" t="e">
        <f>IF(#REF!=0,"","+")</f>
        <v>#REF!</v>
      </c>
      <c r="DM454" s="541" t="e">
        <f>IF(#REF!=0,"","+")</f>
        <v>#REF!</v>
      </c>
      <c r="DN454" s="541" t="e">
        <f>IF(#REF!=0,"","+")</f>
        <v>#REF!</v>
      </c>
      <c r="DO454" s="541" t="e">
        <f>IF(#REF!=0,"","+")</f>
        <v>#REF!</v>
      </c>
      <c r="DP454" s="541" t="e">
        <f>IF(#REF!=0,"","+")</f>
        <v>#REF!</v>
      </c>
      <c r="DQ454" s="541" t="e">
        <f>IF(#REF!=0,"","+")</f>
        <v>#REF!</v>
      </c>
      <c r="DR454" s="541"/>
      <c r="DS454" s="541"/>
      <c r="DT454" s="541"/>
      <c r="DU454" s="541"/>
      <c r="DV454" s="541"/>
      <c r="DW454" s="541"/>
      <c r="DX454" s="541" t="e">
        <f>IF(#REF!=0,"","+")</f>
        <v>#REF!</v>
      </c>
      <c r="DY454" s="541" t="e">
        <f>IF(#REF!=0,"","+")</f>
        <v>#REF!</v>
      </c>
      <c r="DZ454" s="541" t="e">
        <f>IF(#REF!=0,"","+")</f>
        <v>#REF!</v>
      </c>
      <c r="EA454" s="541" t="e">
        <f>IF(#REF!=0,"","+")</f>
        <v>#REF!</v>
      </c>
      <c r="EB454" s="541" t="e">
        <f>IF(#REF!=0,"","+")</f>
        <v>#REF!</v>
      </c>
      <c r="EC454" s="89"/>
      <c r="ED454" s="89"/>
      <c r="EE454" s="315"/>
      <c r="EF454" s="315"/>
      <c r="EG454" s="315"/>
      <c r="EH454" s="315"/>
      <c r="EI454" s="315"/>
      <c r="EJ454" s="315"/>
      <c r="EK454" s="315"/>
      <c r="EL454" s="315"/>
      <c r="EM454" s="315"/>
      <c r="EN454" s="315"/>
      <c r="EO454" s="315"/>
      <c r="EP454" s="315"/>
      <c r="EQ454" s="315"/>
      <c r="ER454" s="315"/>
      <c r="ES454" s="315"/>
      <c r="ET454" s="315"/>
      <c r="EU454" s="315"/>
      <c r="EV454" s="315"/>
      <c r="EW454" s="315"/>
      <c r="EX454" s="315"/>
      <c r="EY454" s="315"/>
      <c r="EZ454" s="315"/>
      <c r="FA454" s="315"/>
      <c r="FB454" s="315"/>
      <c r="FC454" s="315"/>
      <c r="FD454" s="315"/>
      <c r="FE454" s="315"/>
      <c r="FF454" s="315"/>
      <c r="FG454" s="315"/>
      <c r="FH454" s="89"/>
      <c r="FI454" s="89"/>
      <c r="FJ454" s="306"/>
      <c r="FK454" s="306"/>
      <c r="FL454" s="96"/>
      <c r="FM454" s="96"/>
      <c r="FN454" s="108"/>
      <c r="FO454" s="108"/>
      <c r="FP454" s="108"/>
      <c r="FQ454" s="108"/>
      <c r="FR454" s="108"/>
      <c r="FS454" s="108"/>
      <c r="FT454" s="108"/>
      <c r="FU454" s="108"/>
      <c r="FV454" s="108"/>
      <c r="FW454" s="108"/>
      <c r="FX454" s="301"/>
      <c r="FY454" s="259"/>
      <c r="FZ454" s="259"/>
      <c r="GA454" s="259"/>
      <c r="GB454" s="259"/>
      <c r="GC454" s="301"/>
      <c r="GD454" s="301"/>
      <c r="GE454" s="301"/>
      <c r="GF454" s="301"/>
      <c r="GG454" s="301"/>
      <c r="GH454" s="301"/>
      <c r="GI454" s="307"/>
      <c r="GJ454" s="307"/>
      <c r="GK454" s="307"/>
      <c r="GL454" s="307"/>
      <c r="GM454" s="307"/>
      <c r="GN454" s="307"/>
      <c r="GO454" s="307"/>
      <c r="GP454" s="307"/>
      <c r="GQ454" s="307"/>
      <c r="GR454" s="307"/>
      <c r="GS454" s="307"/>
      <c r="GT454" s="307"/>
      <c r="GU454" s="307"/>
      <c r="GV454" s="307"/>
    </row>
    <row r="455" spans="1:204" ht="9" customHeight="1">
      <c r="A455" s="60"/>
      <c r="B455" s="69"/>
      <c r="C455" s="69"/>
      <c r="D455" s="341"/>
      <c r="E455" s="341"/>
      <c r="F455" s="341"/>
      <c r="G455" s="341"/>
      <c r="H455" s="341"/>
      <c r="I455" s="341"/>
      <c r="J455" s="341"/>
      <c r="K455" s="341"/>
      <c r="L455" s="341"/>
      <c r="M455" s="341"/>
      <c r="N455" s="341"/>
      <c r="O455" s="341"/>
      <c r="P455" s="341"/>
      <c r="Q455" s="341"/>
      <c r="R455" s="341"/>
      <c r="S455" s="341"/>
      <c r="T455" s="341"/>
      <c r="U455" s="341"/>
      <c r="V455" s="341"/>
      <c r="W455" s="341"/>
      <c r="X455" s="89"/>
      <c r="Y455" s="89"/>
      <c r="Z455" s="89"/>
      <c r="AA455" s="89"/>
      <c r="AB455" s="89"/>
      <c r="AC455" s="89"/>
      <c r="AD455" s="89"/>
      <c r="AE455" s="89"/>
      <c r="AF455" s="89"/>
      <c r="AG455" s="89"/>
      <c r="AH455" s="89"/>
      <c r="AI455" s="89"/>
      <c r="AJ455" s="89"/>
      <c r="AK455" s="89"/>
      <c r="AL455" s="89"/>
      <c r="AM455" s="89"/>
      <c r="AN455" s="89"/>
      <c r="AO455" s="89"/>
      <c r="AP455" s="89"/>
      <c r="AQ455" s="89"/>
      <c r="AR455" s="89"/>
      <c r="AS455" s="89"/>
      <c r="AT455" s="89"/>
      <c r="AU455" s="89"/>
      <c r="AV455" s="89"/>
      <c r="AW455" s="89"/>
      <c r="AX455" s="89"/>
      <c r="AY455" s="89"/>
      <c r="AZ455" s="89"/>
      <c r="BA455" s="89"/>
      <c r="BB455" s="89"/>
      <c r="BC455" s="89"/>
      <c r="BD455" s="89"/>
      <c r="BE455" s="89"/>
      <c r="BF455" s="89"/>
      <c r="BG455" s="89"/>
      <c r="BH455" s="89"/>
      <c r="BI455" s="89"/>
      <c r="BJ455" s="89"/>
      <c r="BK455" s="89"/>
      <c r="BL455" s="89"/>
      <c r="BM455" s="89"/>
      <c r="BN455" s="89"/>
      <c r="BO455" s="89"/>
      <c r="BP455" s="89"/>
      <c r="BQ455" s="89"/>
      <c r="BR455" s="89"/>
      <c r="BS455" s="89"/>
      <c r="BT455" s="89"/>
      <c r="BU455" s="89"/>
      <c r="BV455" s="89"/>
      <c r="BW455" s="89"/>
      <c r="BX455" s="89"/>
      <c r="BY455" s="89"/>
      <c r="BZ455" s="89"/>
      <c r="CA455" s="89"/>
      <c r="CB455" s="89"/>
      <c r="CC455" s="89"/>
      <c r="CD455" s="89"/>
      <c r="CE455" s="89"/>
      <c r="CF455" s="89"/>
      <c r="CG455" s="89"/>
      <c r="CH455" s="89"/>
      <c r="CI455" s="89"/>
      <c r="CJ455" s="89"/>
      <c r="CK455" s="89"/>
      <c r="CL455" s="89"/>
      <c r="CM455" s="89"/>
      <c r="CN455" s="89"/>
      <c r="CO455" s="89"/>
      <c r="CP455" s="89"/>
      <c r="CQ455" s="89"/>
      <c r="CR455" s="89"/>
      <c r="CS455" s="89"/>
      <c r="CT455" s="89"/>
      <c r="CU455" s="89"/>
      <c r="CV455" s="89"/>
      <c r="CW455" s="89"/>
      <c r="CX455" s="89"/>
      <c r="CY455" s="89"/>
      <c r="CZ455" s="89"/>
      <c r="DA455" s="89"/>
      <c r="DB455" s="89"/>
      <c r="DC455" s="89"/>
      <c r="DD455" s="89"/>
      <c r="DE455" s="89"/>
      <c r="DF455" s="89"/>
      <c r="DG455" s="89"/>
      <c r="DH455" s="89"/>
      <c r="DI455" s="89"/>
      <c r="DJ455" s="89"/>
      <c r="DK455" s="89"/>
      <c r="DL455" s="89"/>
      <c r="DM455" s="89"/>
      <c r="DN455" s="89"/>
      <c r="DO455" s="89"/>
      <c r="DP455" s="89"/>
      <c r="DQ455" s="89"/>
      <c r="DR455" s="89"/>
      <c r="DS455" s="89"/>
      <c r="DT455" s="89"/>
      <c r="DU455" s="89"/>
      <c r="DV455" s="89"/>
      <c r="DW455" s="89"/>
      <c r="DX455" s="89"/>
      <c r="DY455" s="89"/>
      <c r="DZ455" s="89"/>
      <c r="EA455" s="89"/>
      <c r="EB455" s="89"/>
      <c r="EC455" s="89"/>
      <c r="ED455" s="89"/>
      <c r="EE455" s="315"/>
      <c r="EF455" s="315"/>
      <c r="EG455" s="315"/>
      <c r="EH455" s="315"/>
      <c r="EI455" s="315"/>
      <c r="EJ455" s="315"/>
      <c r="EK455" s="315"/>
      <c r="EL455" s="315"/>
      <c r="EM455" s="315"/>
      <c r="EN455" s="315"/>
      <c r="EO455" s="315"/>
      <c r="EP455" s="315"/>
      <c r="EQ455" s="315"/>
      <c r="ER455" s="315"/>
      <c r="ES455" s="315"/>
      <c r="ET455" s="315"/>
      <c r="EU455" s="315"/>
      <c r="EV455" s="315"/>
      <c r="EW455" s="315"/>
      <c r="EX455" s="315"/>
      <c r="EY455" s="315"/>
      <c r="EZ455" s="315"/>
      <c r="FA455" s="315"/>
      <c r="FB455" s="315"/>
      <c r="FC455" s="315"/>
      <c r="FD455" s="315"/>
      <c r="FE455" s="315"/>
      <c r="FF455" s="315"/>
      <c r="FG455" s="315"/>
      <c r="FH455" s="89"/>
      <c r="FI455" s="89"/>
      <c r="FJ455" s="306"/>
      <c r="FK455" s="306"/>
      <c r="FL455" s="300"/>
      <c r="FM455" s="300"/>
      <c r="FN455" s="300"/>
      <c r="FO455" s="108"/>
      <c r="FP455" s="108"/>
      <c r="FQ455" s="108"/>
      <c r="FR455" s="108"/>
      <c r="FS455" s="108"/>
      <c r="FT455" s="108"/>
      <c r="FU455" s="108"/>
      <c r="FV455" s="108"/>
      <c r="FW455" s="108"/>
      <c r="FX455" s="301"/>
      <c r="FY455" s="259"/>
      <c r="FZ455" s="259"/>
      <c r="GA455" s="259"/>
      <c r="GB455" s="259"/>
      <c r="GC455" s="301"/>
      <c r="GD455" s="301"/>
      <c r="GE455" s="301"/>
      <c r="GF455" s="301"/>
      <c r="GG455" s="301"/>
      <c r="GH455" s="301"/>
      <c r="GI455" s="307"/>
      <c r="GJ455" s="307"/>
      <c r="GK455" s="307"/>
      <c r="GL455" s="307"/>
      <c r="GM455" s="307"/>
      <c r="GN455" s="307"/>
      <c r="GO455" s="307"/>
      <c r="GP455" s="307"/>
      <c r="GQ455" s="307"/>
      <c r="GR455" s="307"/>
      <c r="GS455" s="307"/>
      <c r="GT455" s="307"/>
      <c r="GU455" s="307"/>
      <c r="GV455" s="307"/>
    </row>
    <row r="456" spans="1:204" ht="3.6" customHeight="1">
      <c r="A456" s="60"/>
      <c r="B456" s="69"/>
      <c r="C456" s="69"/>
      <c r="D456" s="341"/>
      <c r="E456" s="341"/>
      <c r="F456" s="341"/>
      <c r="G456" s="341"/>
      <c r="H456" s="341"/>
      <c r="I456" s="341"/>
      <c r="J456" s="341"/>
      <c r="K456" s="341"/>
      <c r="L456" s="341"/>
      <c r="M456" s="341"/>
      <c r="N456" s="341"/>
      <c r="O456" s="341"/>
      <c r="P456" s="341"/>
      <c r="Q456" s="341"/>
      <c r="R456" s="341"/>
      <c r="S456" s="341"/>
      <c r="T456" s="341"/>
      <c r="U456" s="341"/>
      <c r="V456" s="341"/>
      <c r="W456" s="341"/>
      <c r="X456" s="342"/>
      <c r="Y456" s="342"/>
      <c r="Z456" s="342"/>
      <c r="AA456" s="297"/>
      <c r="AB456" s="297"/>
      <c r="AC456" s="297"/>
      <c r="AD456" s="297"/>
      <c r="AE456" s="297"/>
      <c r="AF456" s="297"/>
      <c r="AG456" s="297"/>
      <c r="AH456" s="297"/>
      <c r="AI456" s="297"/>
      <c r="AJ456" s="297"/>
      <c r="AK456" s="297"/>
      <c r="AL456" s="297"/>
      <c r="AM456" s="297"/>
      <c r="AN456" s="297"/>
      <c r="AO456" s="297"/>
      <c r="AP456" s="297"/>
      <c r="AQ456" s="297"/>
      <c r="AR456" s="297"/>
      <c r="AS456" s="297"/>
      <c r="AT456" s="297"/>
      <c r="AU456" s="297"/>
      <c r="AV456" s="297"/>
      <c r="AW456" s="297"/>
      <c r="AX456" s="297"/>
      <c r="AY456" s="297"/>
      <c r="AZ456" s="297"/>
      <c r="BA456" s="297"/>
      <c r="BB456" s="297"/>
      <c r="BC456" s="297"/>
      <c r="BD456" s="297"/>
      <c r="BE456" s="297"/>
      <c r="BF456" s="297"/>
      <c r="BG456" s="342"/>
      <c r="BH456" s="342"/>
      <c r="BI456" s="342"/>
      <c r="BJ456" s="342"/>
      <c r="BK456" s="342"/>
      <c r="BL456" s="342"/>
      <c r="BM456" s="342"/>
      <c r="BN456" s="342"/>
      <c r="BO456" s="342"/>
      <c r="BP456" s="342"/>
      <c r="BQ456" s="342"/>
      <c r="BR456" s="342"/>
      <c r="BS456" s="342"/>
      <c r="BT456" s="342"/>
      <c r="BU456" s="342"/>
      <c r="BV456" s="342"/>
      <c r="BW456" s="342"/>
      <c r="BX456" s="342"/>
      <c r="BY456" s="342"/>
      <c r="BZ456" s="342"/>
      <c r="CA456" s="342"/>
      <c r="CB456" s="342"/>
      <c r="CC456" s="342"/>
      <c r="CD456" s="268"/>
      <c r="CE456" s="268"/>
      <c r="CF456" s="268"/>
      <c r="CG456" s="268"/>
      <c r="CH456" s="268"/>
      <c r="CI456" s="268"/>
      <c r="CJ456" s="268"/>
      <c r="CK456" s="268"/>
      <c r="CL456" s="268"/>
      <c r="CM456" s="268"/>
      <c r="CN456" s="268"/>
      <c r="CO456" s="268"/>
      <c r="CP456" s="268"/>
      <c r="CQ456" s="268"/>
      <c r="CR456" s="268"/>
      <c r="CS456" s="268"/>
      <c r="CT456" s="268"/>
      <c r="CU456" s="342"/>
      <c r="CV456" s="342"/>
      <c r="CW456" s="342"/>
      <c r="CX456" s="342"/>
      <c r="CY456" s="141"/>
      <c r="CZ456" s="141"/>
      <c r="DA456" s="141"/>
      <c r="DB456" s="89"/>
      <c r="DC456" s="89"/>
      <c r="DD456" s="553" t="str">
        <f ca="1">IF(FL1=0,"","+")</f>
        <v/>
      </c>
      <c r="DE456" s="541" t="e">
        <f>IF(#REF!=0,"","+")</f>
        <v>#REF!</v>
      </c>
      <c r="DF456" s="541" t="e">
        <f>IF(#REF!=0,"","+")</f>
        <v>#REF!</v>
      </c>
      <c r="DG456" s="541" t="e">
        <f>IF(#REF!=0,"","+")</f>
        <v>#REF!</v>
      </c>
      <c r="DH456" s="541" t="e">
        <f>IF(#REF!=0,"","+")</f>
        <v>#REF!</v>
      </c>
      <c r="DI456" s="541"/>
      <c r="DJ456" s="541"/>
      <c r="DK456" s="541"/>
      <c r="DL456" s="541" t="e">
        <f>IF(#REF!=0,"","+")</f>
        <v>#REF!</v>
      </c>
      <c r="DM456" s="541" t="e">
        <f>IF(#REF!=0,"","+")</f>
        <v>#REF!</v>
      </c>
      <c r="DN456" s="541" t="e">
        <f>IF(#REF!=0,"","+")</f>
        <v>#REF!</v>
      </c>
      <c r="DO456" s="541" t="e">
        <f>IF(#REF!=0,"","+")</f>
        <v>#REF!</v>
      </c>
      <c r="DP456" s="541" t="e">
        <f>IF(#REF!=0,"","+")</f>
        <v>#REF!</v>
      </c>
      <c r="DQ456" s="541" t="e">
        <f>IF(#REF!=0,"","+")</f>
        <v>#REF!</v>
      </c>
      <c r="DR456" s="541"/>
      <c r="DS456" s="541"/>
      <c r="DT456" s="541"/>
      <c r="DU456" s="541"/>
      <c r="DV456" s="541"/>
      <c r="DW456" s="541"/>
      <c r="DX456" s="541" t="e">
        <f>IF(#REF!=0,"","+")</f>
        <v>#REF!</v>
      </c>
      <c r="DY456" s="541" t="e">
        <f>IF(#REF!=0,"","+")</f>
        <v>#REF!</v>
      </c>
      <c r="DZ456" s="541" t="e">
        <f>IF(#REF!=0,"","+")</f>
        <v>#REF!</v>
      </c>
      <c r="EA456" s="541" t="e">
        <f>IF(#REF!=0,"","+")</f>
        <v>#REF!</v>
      </c>
      <c r="EB456" s="541" t="e">
        <f>IF(#REF!=0,"","+")</f>
        <v>#REF!</v>
      </c>
      <c r="EC456" s="89"/>
      <c r="ED456" s="89"/>
      <c r="EE456" s="268"/>
      <c r="EF456" s="141"/>
      <c r="EG456" s="141"/>
      <c r="EH456" s="141"/>
      <c r="EI456" s="141"/>
      <c r="EJ456" s="141"/>
      <c r="EK456" s="141"/>
      <c r="EL456" s="141"/>
      <c r="EM456" s="141"/>
      <c r="EN456" s="141"/>
      <c r="EO456" s="141"/>
      <c r="EP456" s="141"/>
      <c r="EQ456" s="141"/>
      <c r="ER456" s="141"/>
      <c r="ES456" s="141"/>
      <c r="ET456" s="141"/>
      <c r="EU456" s="141"/>
      <c r="EV456" s="141"/>
      <c r="EW456" s="141"/>
      <c r="EX456" s="141"/>
      <c r="EY456" s="141"/>
      <c r="EZ456" s="141"/>
      <c r="FA456" s="141"/>
      <c r="FB456" s="141"/>
      <c r="FC456" s="141"/>
      <c r="FD456" s="141"/>
      <c r="FE456" s="141"/>
      <c r="FF456" s="141"/>
      <c r="FG456" s="141"/>
      <c r="FH456" s="89"/>
      <c r="FI456" s="89"/>
      <c r="FJ456" s="306"/>
      <c r="FK456" s="306"/>
      <c r="FL456" s="300"/>
      <c r="FM456" s="300"/>
      <c r="FN456" s="300"/>
      <c r="FO456" s="108"/>
      <c r="FP456" s="108"/>
      <c r="FQ456" s="108"/>
      <c r="FR456" s="108"/>
      <c r="FS456" s="108"/>
      <c r="FT456" s="108"/>
      <c r="FU456" s="108"/>
      <c r="FV456" s="108"/>
      <c r="FW456" s="108"/>
      <c r="FX456" s="301"/>
      <c r="FY456" s="259"/>
      <c r="FZ456" s="259"/>
      <c r="GA456" s="259"/>
      <c r="GB456" s="259"/>
      <c r="GC456" s="301"/>
      <c r="GD456" s="301"/>
      <c r="GE456" s="301"/>
      <c r="GF456" s="301"/>
      <c r="GG456" s="301"/>
      <c r="GH456" s="301"/>
      <c r="GI456" s="307"/>
      <c r="GJ456" s="307"/>
      <c r="GK456" s="307"/>
      <c r="GL456" s="307"/>
      <c r="GM456" s="307"/>
      <c r="GN456" s="307"/>
      <c r="GO456" s="307"/>
      <c r="GP456" s="307"/>
      <c r="GQ456" s="307"/>
      <c r="GR456" s="307"/>
      <c r="GS456" s="307"/>
      <c r="GT456" s="307"/>
      <c r="GU456" s="307"/>
      <c r="GV456" s="307"/>
    </row>
    <row r="457" spans="1:204" ht="16.5" customHeight="1">
      <c r="A457" s="60"/>
      <c r="B457" s="69"/>
      <c r="C457" s="69"/>
      <c r="D457" s="268"/>
      <c r="E457" s="268"/>
      <c r="F457" s="268"/>
      <c r="G457" s="268"/>
      <c r="H457" s="268"/>
      <c r="I457" s="268"/>
      <c r="J457" s="268"/>
      <c r="K457" s="268"/>
      <c r="L457" s="268"/>
      <c r="M457" s="268"/>
      <c r="N457" s="268"/>
      <c r="O457" s="268"/>
      <c r="P457" s="268"/>
      <c r="Q457" s="268"/>
      <c r="R457" s="342"/>
      <c r="S457" s="342"/>
      <c r="T457" s="342"/>
      <c r="U457" s="342"/>
      <c r="V457" s="342"/>
      <c r="W457" s="342"/>
      <c r="X457" s="342"/>
      <c r="Y457" s="342"/>
      <c r="Z457" s="342"/>
      <c r="AA457" s="297"/>
      <c r="AB457" s="297"/>
      <c r="AC457" s="297"/>
      <c r="AD457" s="297"/>
      <c r="AE457" s="297"/>
      <c r="AF457" s="297"/>
      <c r="AG457" s="297"/>
      <c r="AH457" s="297"/>
      <c r="AI457" s="297"/>
      <c r="AJ457" s="297"/>
      <c r="AK457" s="297"/>
      <c r="AL457" s="297"/>
      <c r="AM457" s="297"/>
      <c r="AN457" s="297"/>
      <c r="AO457" s="297"/>
      <c r="AP457" s="297"/>
      <c r="AQ457" s="297"/>
      <c r="AR457" s="297"/>
      <c r="AS457" s="297"/>
      <c r="AT457" s="297"/>
      <c r="AU457" s="297"/>
      <c r="AV457" s="297"/>
      <c r="AW457" s="297"/>
      <c r="AX457" s="297"/>
      <c r="AY457" s="297"/>
      <c r="AZ457" s="297"/>
      <c r="BA457" s="297"/>
      <c r="BB457" s="297"/>
      <c r="BC457" s="297"/>
      <c r="BD457" s="297"/>
      <c r="BE457" s="297"/>
      <c r="BF457" s="297"/>
      <c r="BG457" s="342"/>
      <c r="BH457" s="342"/>
      <c r="BI457" s="342"/>
      <c r="BJ457" s="342"/>
      <c r="BK457" s="342"/>
      <c r="BL457" s="342"/>
      <c r="BM457" s="342"/>
      <c r="BN457" s="342"/>
      <c r="BO457" s="342"/>
      <c r="BP457" s="342"/>
      <c r="BQ457" s="342"/>
      <c r="BR457" s="342"/>
      <c r="BS457" s="342"/>
      <c r="BT457" s="342"/>
      <c r="BU457" s="342"/>
      <c r="BV457" s="342"/>
      <c r="BW457" s="342"/>
      <c r="BX457" s="342"/>
      <c r="BY457" s="342"/>
      <c r="BZ457" s="342"/>
      <c r="CA457" s="342"/>
      <c r="CB457" s="342"/>
      <c r="CC457" s="342"/>
      <c r="CD457" s="268"/>
      <c r="CE457" s="268"/>
      <c r="CF457" s="268"/>
      <c r="CG457" s="268"/>
      <c r="CH457" s="268"/>
      <c r="CI457" s="268"/>
      <c r="CJ457" s="268"/>
      <c r="CK457" s="268"/>
      <c r="CL457" s="268"/>
      <c r="CM457" s="268"/>
      <c r="CN457" s="268"/>
      <c r="CO457" s="268"/>
      <c r="CP457" s="268"/>
      <c r="CQ457" s="268"/>
      <c r="CR457" s="268"/>
      <c r="CS457" s="268"/>
      <c r="CT457" s="268"/>
      <c r="CU457" s="342"/>
      <c r="CV457" s="342"/>
      <c r="CW457" s="342"/>
      <c r="CX457" s="342"/>
      <c r="CY457" s="141"/>
      <c r="CZ457" s="141"/>
      <c r="DA457" s="141"/>
      <c r="DB457" s="302" t="str">
        <f ca="1">IF(FL1=0,"","het producentensurplus bij de aangegeven afzet is:")</f>
        <v/>
      </c>
      <c r="DC457" s="89"/>
      <c r="DD457" s="341" t="str">
        <f ca="1">IF(FL1=0,"","+")</f>
        <v/>
      </c>
      <c r="DE457" s="556"/>
      <c r="DF457" s="557"/>
      <c r="DG457" s="557"/>
      <c r="DH457" s="557"/>
      <c r="DI457" s="557"/>
      <c r="DJ457" s="557"/>
      <c r="DK457" s="557"/>
      <c r="DL457" s="557"/>
      <c r="DM457" s="557"/>
      <c r="DN457" s="557"/>
      <c r="DO457" s="557"/>
      <c r="DP457" s="557"/>
      <c r="DQ457" s="557"/>
      <c r="DR457" s="557"/>
      <c r="DS457" s="557"/>
      <c r="DT457" s="557"/>
      <c r="DU457" s="557"/>
      <c r="DV457" s="557"/>
      <c r="DW457" s="557"/>
      <c r="DX457" s="557"/>
      <c r="DY457" s="557"/>
      <c r="DZ457" s="557"/>
      <c r="EA457" s="557"/>
      <c r="EB457" s="341" t="str">
        <f ca="1">IF(FL1=0,"","+")</f>
        <v/>
      </c>
      <c r="EC457" s="304" t="s">
        <v>131</v>
      </c>
      <c r="ED457" s="141"/>
      <c r="EE457" s="298"/>
      <c r="EF457" s="342"/>
      <c r="EG457" s="89"/>
      <c r="EH457" s="89"/>
      <c r="EI457" s="89"/>
      <c r="EJ457" s="89"/>
      <c r="EK457" s="89"/>
      <c r="EL457" s="89"/>
      <c r="EM457" s="89"/>
      <c r="EN457" s="89"/>
      <c r="EO457" s="89"/>
      <c r="EP457" s="89"/>
      <c r="EQ457" s="89"/>
      <c r="ER457" s="89"/>
      <c r="ES457" s="89"/>
      <c r="ET457" s="89"/>
      <c r="EU457" s="89"/>
      <c r="EV457" s="89"/>
      <c r="EW457" s="89"/>
      <c r="EX457" s="89"/>
      <c r="EY457" s="89"/>
      <c r="EZ457" s="89"/>
      <c r="FA457" s="89"/>
      <c r="FB457" s="89"/>
      <c r="FC457" s="89"/>
      <c r="FD457" s="89"/>
      <c r="FE457" s="89"/>
      <c r="FF457" s="89"/>
      <c r="FG457" s="89"/>
      <c r="FH457" s="89"/>
      <c r="FI457" s="89"/>
      <c r="FJ457" s="96">
        <f ca="1">IF(FM457+FM449+FM453=3,1,IF(FM457+FM449+FM453=2,1/2,0))</f>
        <v>0</v>
      </c>
      <c r="FK457" s="306"/>
      <c r="FL457" s="96">
        <f ca="1">IF(programma!B1="X",1,IF(FL151=0,0,IF(FM457+FM449+FM453=3,1,0)))</f>
        <v>0</v>
      </c>
      <c r="FM457" s="96">
        <f ca="1">IF(programma!B1="X",1,IF(AND(FL1=1,DE457&gt;FN457-0.01,DE457&lt;FN457+0.01),1,0))</f>
        <v>0</v>
      </c>
      <c r="FN457" s="339">
        <f ca="1">IF(FK1=0,"",(FN446-FP446)*FQ446)</f>
        <v>11970</v>
      </c>
      <c r="FO457" s="300"/>
      <c r="FP457" s="108"/>
      <c r="FQ457" s="108"/>
      <c r="FR457" s="108"/>
      <c r="FS457" s="108"/>
      <c r="FT457" s="108"/>
      <c r="FU457" s="108"/>
      <c r="FV457" s="108"/>
      <c r="FW457" s="108"/>
      <c r="FX457" s="301"/>
      <c r="FY457" s="259"/>
      <c r="FZ457" s="259"/>
      <c r="GA457" s="259"/>
      <c r="GB457" s="259"/>
      <c r="GC457" s="301"/>
      <c r="GD457" s="301"/>
      <c r="GE457" s="301"/>
      <c r="GF457" s="301"/>
      <c r="GG457" s="301"/>
      <c r="GH457" s="301"/>
      <c r="GI457" s="307"/>
      <c r="GJ457" s="307"/>
      <c r="GK457" s="307"/>
      <c r="GL457" s="307"/>
      <c r="GM457" s="307"/>
      <c r="GN457" s="307"/>
      <c r="GO457" s="307"/>
      <c r="GP457" s="307"/>
      <c r="GQ457" s="307"/>
      <c r="GR457" s="307"/>
      <c r="GS457" s="307"/>
      <c r="GT457" s="307"/>
      <c r="GU457" s="307"/>
      <c r="GV457" s="307"/>
    </row>
    <row r="458" spans="1:204" ht="3.6" customHeight="1">
      <c r="A458" s="60"/>
      <c r="B458" s="69"/>
      <c r="C458" s="69"/>
      <c r="D458" s="341"/>
      <c r="E458" s="341"/>
      <c r="F458" s="341"/>
      <c r="G458" s="341"/>
      <c r="H458" s="341"/>
      <c r="I458" s="341"/>
      <c r="J458" s="341"/>
      <c r="K458" s="341"/>
      <c r="L458" s="341"/>
      <c r="M458" s="341"/>
      <c r="N458" s="341"/>
      <c r="O458" s="341"/>
      <c r="P458" s="341"/>
      <c r="Q458" s="341"/>
      <c r="R458" s="341"/>
      <c r="S458" s="341"/>
      <c r="T458" s="341"/>
      <c r="U458" s="341"/>
      <c r="V458" s="341"/>
      <c r="W458" s="341"/>
      <c r="X458" s="342"/>
      <c r="Y458" s="342"/>
      <c r="Z458" s="342"/>
      <c r="AA458" s="297"/>
      <c r="AB458" s="297"/>
      <c r="AC458" s="297"/>
      <c r="AD458" s="297"/>
      <c r="AE458" s="297"/>
      <c r="AF458" s="297"/>
      <c r="AG458" s="297"/>
      <c r="AH458" s="297"/>
      <c r="AI458" s="297"/>
      <c r="AJ458" s="297"/>
      <c r="AK458" s="297"/>
      <c r="AL458" s="297"/>
      <c r="AM458" s="297"/>
      <c r="AN458" s="297"/>
      <c r="AO458" s="297"/>
      <c r="AP458" s="297"/>
      <c r="AQ458" s="297"/>
      <c r="AR458" s="297"/>
      <c r="AS458" s="297"/>
      <c r="AT458" s="297"/>
      <c r="AU458" s="297"/>
      <c r="AV458" s="297"/>
      <c r="AW458" s="297"/>
      <c r="AX458" s="297"/>
      <c r="AY458" s="297"/>
      <c r="AZ458" s="297"/>
      <c r="BA458" s="297"/>
      <c r="BB458" s="297"/>
      <c r="BC458" s="297"/>
      <c r="BD458" s="297"/>
      <c r="BE458" s="297"/>
      <c r="BF458" s="297"/>
      <c r="BG458" s="342"/>
      <c r="BH458" s="342"/>
      <c r="BI458" s="342"/>
      <c r="BJ458" s="342"/>
      <c r="BK458" s="342"/>
      <c r="BL458" s="342"/>
      <c r="BM458" s="342"/>
      <c r="BN458" s="342"/>
      <c r="BO458" s="342"/>
      <c r="BP458" s="342"/>
      <c r="BQ458" s="342"/>
      <c r="BR458" s="342"/>
      <c r="BS458" s="342"/>
      <c r="BT458" s="342"/>
      <c r="BU458" s="342"/>
      <c r="BV458" s="342"/>
      <c r="BW458" s="342"/>
      <c r="BX458" s="342"/>
      <c r="BY458" s="342"/>
      <c r="BZ458" s="342"/>
      <c r="CA458" s="342"/>
      <c r="CB458" s="342"/>
      <c r="CC458" s="342"/>
      <c r="CD458" s="268"/>
      <c r="CE458" s="268"/>
      <c r="CF458" s="268"/>
      <c r="CG458" s="268"/>
      <c r="CH458" s="268"/>
      <c r="CI458" s="268"/>
      <c r="CJ458" s="268"/>
      <c r="CK458" s="268"/>
      <c r="CL458" s="268"/>
      <c r="CM458" s="268"/>
      <c r="CN458" s="268"/>
      <c r="CO458" s="268"/>
      <c r="CP458" s="268"/>
      <c r="CQ458" s="268"/>
      <c r="CR458" s="268"/>
      <c r="CS458" s="268"/>
      <c r="CT458" s="268"/>
      <c r="CU458" s="342"/>
      <c r="CV458" s="342"/>
      <c r="CW458" s="342"/>
      <c r="CX458" s="342"/>
      <c r="CY458" s="141"/>
      <c r="CZ458" s="141"/>
      <c r="DA458" s="141"/>
      <c r="DB458" s="89"/>
      <c r="DC458" s="89"/>
      <c r="DD458" s="553" t="str">
        <f ca="1">IF(FL1=0,"","+")</f>
        <v/>
      </c>
      <c r="DE458" s="541" t="e">
        <f>IF(#REF!=0,"","+")</f>
        <v>#REF!</v>
      </c>
      <c r="DF458" s="541" t="e">
        <f>IF(#REF!=0,"","+")</f>
        <v>#REF!</v>
      </c>
      <c r="DG458" s="541" t="e">
        <f>IF(#REF!=0,"","+")</f>
        <v>#REF!</v>
      </c>
      <c r="DH458" s="541" t="e">
        <f>IF(#REF!=0,"","+")</f>
        <v>#REF!</v>
      </c>
      <c r="DI458" s="541"/>
      <c r="DJ458" s="541"/>
      <c r="DK458" s="541"/>
      <c r="DL458" s="541" t="e">
        <f>IF(#REF!=0,"","+")</f>
        <v>#REF!</v>
      </c>
      <c r="DM458" s="541" t="e">
        <f>IF(#REF!=0,"","+")</f>
        <v>#REF!</v>
      </c>
      <c r="DN458" s="541" t="e">
        <f>IF(#REF!=0,"","+")</f>
        <v>#REF!</v>
      </c>
      <c r="DO458" s="541" t="e">
        <f>IF(#REF!=0,"","+")</f>
        <v>#REF!</v>
      </c>
      <c r="DP458" s="541" t="e">
        <f>IF(#REF!=0,"","+")</f>
        <v>#REF!</v>
      </c>
      <c r="DQ458" s="541" t="e">
        <f>IF(#REF!=0,"","+")</f>
        <v>#REF!</v>
      </c>
      <c r="DR458" s="541"/>
      <c r="DS458" s="541"/>
      <c r="DT458" s="541"/>
      <c r="DU458" s="541"/>
      <c r="DV458" s="541"/>
      <c r="DW458" s="541"/>
      <c r="DX458" s="541" t="e">
        <f>IF(#REF!=0,"","+")</f>
        <v>#REF!</v>
      </c>
      <c r="DY458" s="541" t="e">
        <f>IF(#REF!=0,"","+")</f>
        <v>#REF!</v>
      </c>
      <c r="DZ458" s="541" t="e">
        <f>IF(#REF!=0,"","+")</f>
        <v>#REF!</v>
      </c>
      <c r="EA458" s="541" t="e">
        <f>IF(#REF!=0,"","+")</f>
        <v>#REF!</v>
      </c>
      <c r="EB458" s="541" t="e">
        <f>IF(#REF!=0,"","+")</f>
        <v>#REF!</v>
      </c>
      <c r="EC458" s="89"/>
      <c r="ED458" s="89"/>
      <c r="EE458" s="89"/>
      <c r="EF458" s="89"/>
      <c r="EG458" s="89"/>
      <c r="EH458" s="89"/>
      <c r="EI458" s="89"/>
      <c r="EJ458" s="89"/>
      <c r="EK458" s="89"/>
      <c r="EL458" s="89"/>
      <c r="EM458" s="89"/>
      <c r="EN458" s="89"/>
      <c r="EO458" s="89"/>
      <c r="EP458" s="89"/>
      <c r="EQ458" s="89"/>
      <c r="ER458" s="89"/>
      <c r="ES458" s="89"/>
      <c r="ET458" s="89"/>
      <c r="EU458" s="89"/>
      <c r="EV458" s="89"/>
      <c r="EW458" s="89"/>
      <c r="EX458" s="89"/>
      <c r="EY458" s="89"/>
      <c r="EZ458" s="89"/>
      <c r="FA458" s="89"/>
      <c r="FB458" s="89"/>
      <c r="FC458" s="89"/>
      <c r="FD458" s="89"/>
      <c r="FE458" s="89"/>
      <c r="FF458" s="89"/>
      <c r="FG458" s="89"/>
      <c r="FH458" s="89"/>
      <c r="FI458" s="89"/>
      <c r="FJ458" s="306"/>
      <c r="FK458" s="306"/>
      <c r="FL458" s="96"/>
      <c r="FM458" s="96"/>
      <c r="FN458" s="96"/>
      <c r="FO458" s="96"/>
      <c r="FP458" s="108"/>
      <c r="FQ458" s="108"/>
      <c r="FR458" s="108"/>
      <c r="FS458" s="108"/>
      <c r="FT458" s="108"/>
      <c r="FU458" s="108"/>
      <c r="FV458" s="108"/>
      <c r="FW458" s="108"/>
      <c r="FX458" s="301"/>
      <c r="FY458" s="259"/>
      <c r="FZ458" s="259"/>
      <c r="GA458" s="259"/>
      <c r="GB458" s="259"/>
      <c r="GC458" s="301"/>
      <c r="GD458" s="301"/>
      <c r="GE458" s="301"/>
      <c r="GF458" s="301"/>
      <c r="GG458" s="301"/>
      <c r="GH458" s="301"/>
      <c r="GI458" s="307"/>
      <c r="GJ458" s="307"/>
      <c r="GK458" s="307"/>
      <c r="GL458" s="307"/>
      <c r="GM458" s="307"/>
      <c r="GN458" s="307"/>
      <c r="GO458" s="307"/>
      <c r="GP458" s="307"/>
      <c r="GQ458" s="307"/>
      <c r="GR458" s="307"/>
      <c r="GS458" s="307"/>
      <c r="GT458" s="307"/>
      <c r="GU458" s="307"/>
      <c r="GV458" s="307"/>
    </row>
    <row r="459" spans="1:204" ht="21" customHeight="1">
      <c r="A459" s="60"/>
      <c r="B459" s="69"/>
      <c r="C459" s="69"/>
      <c r="D459" s="280"/>
      <c r="E459" s="409"/>
      <c r="F459" s="409"/>
      <c r="G459" s="409"/>
      <c r="H459" s="409"/>
      <c r="I459" s="409"/>
      <c r="J459" s="89"/>
      <c r="K459" s="89"/>
      <c r="L459" s="89"/>
      <c r="M459" s="141"/>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141"/>
      <c r="AK459" s="141"/>
      <c r="AL459" s="141"/>
      <c r="AM459" s="141"/>
      <c r="AN459" s="141"/>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BP459" s="141"/>
      <c r="BQ459" s="141"/>
      <c r="BR459" s="141"/>
      <c r="BS459" s="141"/>
      <c r="BT459" s="141"/>
      <c r="BU459" s="141"/>
      <c r="BV459" s="141"/>
      <c r="BW459" s="141"/>
      <c r="BX459" s="141"/>
      <c r="BY459" s="141"/>
      <c r="BZ459" s="141"/>
      <c r="CA459" s="141"/>
      <c r="CB459" s="141"/>
      <c r="CC459" s="141"/>
      <c r="CD459" s="141"/>
      <c r="CE459" s="141"/>
      <c r="CF459" s="141"/>
      <c r="CG459" s="141"/>
      <c r="CH459" s="141"/>
      <c r="CI459" s="141"/>
      <c r="CJ459" s="141"/>
      <c r="CK459" s="141"/>
      <c r="CL459" s="141"/>
      <c r="CM459" s="141"/>
      <c r="CN459" s="141"/>
      <c r="CO459" s="141"/>
      <c r="CP459" s="141"/>
      <c r="CQ459" s="141"/>
      <c r="CR459" s="141"/>
      <c r="CS459" s="141"/>
      <c r="CT459" s="141"/>
      <c r="CU459" s="141"/>
      <c r="CV459" s="141"/>
      <c r="CW459" s="141"/>
      <c r="CX459" s="141"/>
      <c r="CY459" s="141"/>
      <c r="CZ459" s="141"/>
      <c r="DA459" s="141"/>
      <c r="DB459" s="141"/>
      <c r="DC459" s="141"/>
      <c r="DD459" s="141"/>
      <c r="DE459" s="141"/>
      <c r="DF459" s="141"/>
      <c r="DG459" s="141"/>
      <c r="DH459" s="141"/>
      <c r="DI459" s="141"/>
      <c r="DJ459" s="141"/>
      <c r="DK459" s="141"/>
      <c r="DL459" s="141"/>
      <c r="DM459" s="141"/>
      <c r="DN459" s="141"/>
      <c r="DO459" s="141"/>
      <c r="DP459" s="141"/>
      <c r="DQ459" s="141"/>
      <c r="DR459" s="141"/>
      <c r="DS459" s="141"/>
      <c r="DT459" s="141"/>
      <c r="DU459" s="141"/>
      <c r="DV459" s="141"/>
      <c r="DW459" s="141"/>
      <c r="DX459" s="141"/>
      <c r="DY459" s="141"/>
      <c r="DZ459" s="141"/>
      <c r="EA459" s="141"/>
      <c r="EB459" s="141"/>
      <c r="EC459" s="141"/>
      <c r="ED459" s="141"/>
      <c r="EE459" s="141"/>
      <c r="EF459" s="141"/>
      <c r="EG459" s="141"/>
      <c r="EH459" s="141"/>
      <c r="EI459" s="141"/>
      <c r="EJ459" s="141"/>
      <c r="EK459" s="89"/>
      <c r="EL459" s="89"/>
      <c r="EM459" s="89"/>
      <c r="EN459" s="89"/>
      <c r="EO459" s="89"/>
      <c r="EP459" s="89"/>
      <c r="EQ459" s="89"/>
      <c r="ER459" s="89"/>
      <c r="ES459" s="89"/>
      <c r="ET459" s="89"/>
      <c r="EU459" s="89"/>
      <c r="EV459" s="89"/>
      <c r="EW459" s="89"/>
      <c r="EX459" s="89"/>
      <c r="EY459" s="89"/>
      <c r="EZ459" s="89"/>
      <c r="FA459" s="89"/>
      <c r="FB459" s="89"/>
      <c r="FC459" s="89"/>
      <c r="FD459" s="89"/>
      <c r="FE459" s="89"/>
      <c r="FF459" s="89"/>
      <c r="FG459" s="271"/>
      <c r="FH459" s="141"/>
      <c r="FI459" s="141"/>
      <c r="FJ459" s="281"/>
      <c r="FK459" s="281"/>
      <c r="FL459" s="281"/>
      <c r="FM459" s="281"/>
      <c r="FN459" s="281"/>
      <c r="FO459" s="281"/>
      <c r="FP459" s="281"/>
      <c r="FQ459" s="281"/>
      <c r="FR459" s="281"/>
      <c r="FS459" s="377"/>
      <c r="FT459" s="377"/>
      <c r="FU459" s="377"/>
      <c r="FV459" s="377"/>
      <c r="FW459" s="377"/>
      <c r="FX459" s="377"/>
      <c r="FY459" s="259"/>
      <c r="FZ459" s="259"/>
      <c r="GA459" s="259"/>
      <c r="GB459" s="259"/>
      <c r="GC459" s="259"/>
      <c r="GD459" s="259"/>
      <c r="GE459" s="259"/>
      <c r="GF459" s="259"/>
      <c r="GG459" s="259"/>
      <c r="GH459" s="259"/>
      <c r="GI459" s="259"/>
      <c r="GJ459" s="259"/>
      <c r="GK459" s="259"/>
      <c r="GL459" s="259"/>
      <c r="GM459" s="259"/>
      <c r="GN459" s="259"/>
      <c r="GO459" s="259"/>
      <c r="GP459" s="259"/>
      <c r="GQ459" s="259"/>
      <c r="GR459" s="259"/>
      <c r="GS459" s="259"/>
      <c r="GT459" s="259"/>
      <c r="GU459" s="259"/>
      <c r="GV459" s="259"/>
    </row>
    <row r="460" spans="1:204" ht="3.6" customHeight="1">
      <c r="A460" s="60"/>
      <c r="B460" s="69"/>
      <c r="C460" s="69"/>
      <c r="D460" s="280"/>
      <c r="E460" s="262"/>
      <c r="F460" s="262"/>
      <c r="G460" s="262"/>
      <c r="H460" s="262"/>
      <c r="I460" s="262"/>
      <c r="J460" s="89"/>
      <c r="K460" s="89"/>
      <c r="L460" s="89"/>
      <c r="M460" s="141"/>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141"/>
      <c r="AK460" s="141"/>
      <c r="AL460" s="141"/>
      <c r="AM460" s="141"/>
      <c r="AN460" s="141"/>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BP460" s="141"/>
      <c r="BQ460" s="141"/>
      <c r="BR460" s="141"/>
      <c r="BS460" s="141"/>
      <c r="BT460" s="141"/>
      <c r="BU460" s="141"/>
      <c r="BV460" s="141"/>
      <c r="BW460" s="141"/>
      <c r="BX460" s="141"/>
      <c r="BY460" s="141"/>
      <c r="BZ460" s="141"/>
      <c r="CA460" s="141"/>
      <c r="CB460" s="141"/>
      <c r="CC460" s="141"/>
      <c r="CD460" s="141"/>
      <c r="CE460" s="141"/>
      <c r="CF460" s="141"/>
      <c r="CG460" s="141"/>
      <c r="CH460" s="141"/>
      <c r="CI460" s="141"/>
      <c r="CJ460" s="141"/>
      <c r="CK460" s="141"/>
      <c r="CL460" s="141"/>
      <c r="CM460" s="141"/>
      <c r="CN460" s="538" t="str">
        <f ca="1">IF(FL1=0,"",".")</f>
        <v/>
      </c>
      <c r="CO460" s="538"/>
      <c r="CP460" s="538"/>
      <c r="CQ460" s="538"/>
      <c r="CR460" s="538"/>
      <c r="CS460" s="538"/>
      <c r="CT460" s="538"/>
      <c r="CU460" s="538"/>
      <c r="CV460" s="538"/>
      <c r="CW460" s="538"/>
      <c r="CX460" s="538"/>
      <c r="CY460" s="538"/>
      <c r="CZ460" s="538"/>
      <c r="DA460" s="538"/>
      <c r="DB460" s="538"/>
      <c r="DC460" s="141"/>
      <c r="DD460" s="141"/>
      <c r="DE460" s="141"/>
      <c r="DF460" s="141"/>
      <c r="DG460" s="141"/>
      <c r="DH460" s="141"/>
      <c r="DI460" s="141"/>
      <c r="DJ460" s="141"/>
      <c r="DK460" s="141"/>
      <c r="DL460" s="141"/>
      <c r="DM460" s="141"/>
      <c r="DN460" s="141"/>
      <c r="DO460" s="141"/>
      <c r="DP460" s="141"/>
      <c r="DQ460" s="141"/>
      <c r="DR460" s="141"/>
      <c r="DS460" s="141"/>
      <c r="DT460" s="141"/>
      <c r="DU460" s="141"/>
      <c r="DV460" s="141"/>
      <c r="DW460" s="141"/>
      <c r="DX460" s="141"/>
      <c r="DY460" s="141"/>
      <c r="DZ460" s="141"/>
      <c r="EA460" s="141"/>
      <c r="EB460" s="141"/>
      <c r="EC460" s="141"/>
      <c r="ED460" s="141"/>
      <c r="EE460" s="141"/>
      <c r="EF460" s="141"/>
      <c r="EG460" s="141"/>
      <c r="EH460" s="141"/>
      <c r="EI460" s="141"/>
      <c r="EJ460" s="141"/>
      <c r="EK460" s="89"/>
      <c r="EL460" s="89"/>
      <c r="EM460" s="89"/>
      <c r="EN460" s="89"/>
      <c r="EO460" s="89"/>
      <c r="EP460" s="89"/>
      <c r="EQ460" s="89"/>
      <c r="ER460" s="89"/>
      <c r="ES460" s="89"/>
      <c r="ET460" s="89"/>
      <c r="EU460" s="89"/>
      <c r="EV460" s="89"/>
      <c r="EW460" s="89"/>
      <c r="EX460" s="89"/>
      <c r="EY460" s="89"/>
      <c r="EZ460" s="89"/>
      <c r="FA460" s="89"/>
      <c r="FB460" s="89"/>
      <c r="FC460" s="89"/>
      <c r="FD460" s="89"/>
      <c r="FE460" s="89"/>
      <c r="FF460" s="89"/>
      <c r="FG460" s="89"/>
      <c r="FH460" s="141"/>
      <c r="FI460" s="141"/>
      <c r="FJ460" s="281"/>
      <c r="FK460" s="281"/>
      <c r="FL460" s="281"/>
      <c r="FM460" s="281"/>
      <c r="FN460" s="281"/>
      <c r="FO460" s="281"/>
      <c r="FP460" s="281"/>
      <c r="FQ460" s="281"/>
      <c r="FR460" s="281"/>
      <c r="FS460" s="86"/>
      <c r="FT460" s="86"/>
      <c r="FU460" s="86"/>
      <c r="FV460" s="86"/>
      <c r="FW460" s="86"/>
      <c r="FX460" s="86"/>
      <c r="FY460" s="259"/>
      <c r="FZ460" s="259"/>
      <c r="GA460" s="259"/>
      <c r="GB460" s="259"/>
      <c r="GC460" s="259"/>
      <c r="GD460" s="259"/>
      <c r="GE460" s="259"/>
      <c r="GF460" s="259"/>
      <c r="GG460" s="259"/>
      <c r="GH460" s="259"/>
      <c r="GI460" s="259"/>
      <c r="GJ460" s="259"/>
      <c r="GK460" s="259"/>
      <c r="GL460" s="259"/>
      <c r="GM460" s="259"/>
      <c r="GN460" s="259"/>
      <c r="GO460" s="259"/>
      <c r="GP460" s="259"/>
      <c r="GQ460" s="259"/>
      <c r="GR460" s="259"/>
      <c r="GS460" s="259"/>
      <c r="GT460" s="259"/>
      <c r="GU460" s="259"/>
      <c r="GV460" s="259"/>
    </row>
    <row r="461" spans="1:204" ht="16.5" customHeight="1">
      <c r="A461" s="60"/>
      <c r="B461" s="69"/>
      <c r="C461" s="69"/>
      <c r="D461" s="280" t="str">
        <f ca="1">IF(FL1=0,"","Kies hiernaast voor klaar als je de toets af hebt.")</f>
        <v/>
      </c>
      <c r="E461" s="262"/>
      <c r="F461" s="262"/>
      <c r="G461" s="262"/>
      <c r="H461" s="262"/>
      <c r="I461" s="262"/>
      <c r="J461" s="89"/>
      <c r="K461" s="89"/>
      <c r="L461" s="89"/>
      <c r="M461" s="141"/>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141"/>
      <c r="AK461" s="141"/>
      <c r="AL461" s="141"/>
      <c r="AM461" s="141"/>
      <c r="AN461" s="141"/>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BP461" s="141"/>
      <c r="BQ461" s="141"/>
      <c r="BR461" s="141"/>
      <c r="BS461" s="141"/>
      <c r="BT461" s="141"/>
      <c r="BU461" s="141"/>
      <c r="BV461" s="141"/>
      <c r="BW461" s="141"/>
      <c r="BX461" s="141"/>
      <c r="BY461" s="141"/>
      <c r="BZ461" s="141"/>
      <c r="CA461" s="141"/>
      <c r="CB461" s="141"/>
      <c r="CC461" s="141"/>
      <c r="CD461" s="141"/>
      <c r="CE461" s="141"/>
      <c r="CF461" s="141"/>
      <c r="CG461" s="141"/>
      <c r="CH461" s="141"/>
      <c r="CI461" s="141"/>
      <c r="CJ461" s="141"/>
      <c r="CK461" s="141"/>
      <c r="CL461" s="141"/>
      <c r="CM461" s="141"/>
      <c r="CN461" s="253" t="str">
        <f ca="1">IF(FL1=0,"",".")</f>
        <v/>
      </c>
      <c r="CO461" s="580"/>
      <c r="CP461" s="580"/>
      <c r="CQ461" s="580"/>
      <c r="CR461" s="580"/>
      <c r="CS461" s="580"/>
      <c r="CT461" s="580"/>
      <c r="CU461" s="580"/>
      <c r="CV461" s="580"/>
      <c r="CW461" s="580"/>
      <c r="CX461" s="580"/>
      <c r="CY461" s="580"/>
      <c r="CZ461" s="580"/>
      <c r="DA461" s="580"/>
      <c r="DB461" s="253" t="str">
        <f ca="1">IF(FL1=0,"",".")</f>
        <v/>
      </c>
      <c r="DC461" s="282" t="s">
        <v>131</v>
      </c>
      <c r="DD461" s="141"/>
      <c r="DE461" s="141"/>
      <c r="DF461" s="141"/>
      <c r="DG461" s="141"/>
      <c r="DH461" s="141"/>
      <c r="DI461" s="141"/>
      <c r="DJ461" s="141"/>
      <c r="DK461" s="141"/>
      <c r="DL461" s="141"/>
      <c r="DM461" s="141"/>
      <c r="DN461" s="141"/>
      <c r="DO461" s="141"/>
      <c r="DP461" s="141"/>
      <c r="DQ461" s="141"/>
      <c r="DR461" s="141"/>
      <c r="DS461" s="141"/>
      <c r="DT461" s="141"/>
      <c r="DU461" s="141"/>
      <c r="DV461" s="141"/>
      <c r="DW461" s="141"/>
      <c r="DX461" s="141"/>
      <c r="DY461" s="141"/>
      <c r="DZ461" s="141"/>
      <c r="EA461" s="141"/>
      <c r="EB461" s="141"/>
      <c r="EC461" s="141"/>
      <c r="ED461" s="141"/>
      <c r="EE461" s="141"/>
      <c r="EF461" s="141"/>
      <c r="EG461" s="141"/>
      <c r="EH461" s="141"/>
      <c r="EI461" s="141"/>
      <c r="EJ461" s="141"/>
      <c r="EK461" s="89"/>
      <c r="EL461" s="89"/>
      <c r="EM461" s="89"/>
      <c r="EN461" s="89"/>
      <c r="EO461" s="89"/>
      <c r="EP461" s="89"/>
      <c r="EQ461" s="89"/>
      <c r="ER461" s="89"/>
      <c r="ES461" s="89"/>
      <c r="ET461" s="89"/>
      <c r="EU461" s="89"/>
      <c r="EV461" s="89"/>
      <c r="EW461" s="89"/>
      <c r="EX461" s="89"/>
      <c r="EY461" s="89"/>
      <c r="EZ461" s="89"/>
      <c r="FA461" s="89"/>
      <c r="FB461" s="89"/>
      <c r="FC461" s="89"/>
      <c r="FD461" s="89"/>
      <c r="FE461" s="89"/>
      <c r="FF461" s="89"/>
      <c r="FG461" s="89"/>
      <c r="FH461" s="141"/>
      <c r="FI461" s="141"/>
      <c r="FJ461" s="283" t="s">
        <v>137</v>
      </c>
      <c r="FK461" s="281"/>
      <c r="FL461" s="283">
        <f ca="1">IF(FL1=0,0,FL52+FL68+FL76+FL85+FL103+FL122+FL129+FL151+FL169+FL186+FL204+FL221+FL255+FL272+FL307+FL334++FL368+FL387+FL412+FL432+FL457)</f>
        <v>0</v>
      </c>
      <c r="FM461" s="283">
        <f ca="1">ROUND(FL461/21,2)</f>
        <v>0</v>
      </c>
      <c r="FN461" s="281"/>
      <c r="FO461" s="281"/>
      <c r="FP461" s="281"/>
      <c r="FQ461" s="281"/>
      <c r="FR461" s="281"/>
      <c r="FS461" s="86"/>
      <c r="FT461" s="86"/>
      <c r="FU461" s="86"/>
      <c r="FV461" s="86"/>
      <c r="FW461" s="86"/>
      <c r="FX461" s="86"/>
      <c r="FY461" s="259"/>
      <c r="FZ461" s="259"/>
      <c r="GA461" s="259"/>
      <c r="GB461" s="259"/>
      <c r="GC461" s="259"/>
      <c r="GD461" s="259"/>
      <c r="GE461" s="259"/>
      <c r="GF461" s="259"/>
      <c r="GG461" s="259"/>
      <c r="GH461" s="259"/>
      <c r="GI461" s="259"/>
      <c r="GJ461" s="259"/>
      <c r="GK461" s="259"/>
      <c r="GL461" s="259"/>
      <c r="GM461" s="259"/>
      <c r="GN461" s="259"/>
      <c r="GO461" s="259"/>
      <c r="GP461" s="259"/>
      <c r="GQ461" s="259"/>
      <c r="GR461" s="259"/>
      <c r="GS461" s="259"/>
      <c r="GT461" s="259"/>
      <c r="GU461" s="259"/>
      <c r="GV461" s="259"/>
    </row>
    <row r="462" spans="1:204" ht="3.6" customHeight="1">
      <c r="A462" s="60"/>
      <c r="B462" s="69"/>
      <c r="C462" s="69"/>
      <c r="D462" s="280"/>
      <c r="E462" s="262"/>
      <c r="F462" s="262"/>
      <c r="G462" s="262"/>
      <c r="H462" s="262"/>
      <c r="I462" s="262"/>
      <c r="J462" s="89"/>
      <c r="K462" s="89"/>
      <c r="L462" s="89"/>
      <c r="M462" s="141"/>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141"/>
      <c r="AK462" s="141"/>
      <c r="AL462" s="141"/>
      <c r="AM462" s="141"/>
      <c r="AN462" s="141"/>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BP462" s="141"/>
      <c r="BQ462" s="141"/>
      <c r="BR462" s="141"/>
      <c r="BS462" s="141"/>
      <c r="BT462" s="141"/>
      <c r="BU462" s="141"/>
      <c r="BV462" s="141"/>
      <c r="BW462" s="141"/>
      <c r="BX462" s="141"/>
      <c r="BY462" s="141"/>
      <c r="BZ462" s="141"/>
      <c r="CA462" s="141"/>
      <c r="CB462" s="141"/>
      <c r="CC462" s="141"/>
      <c r="CD462" s="141"/>
      <c r="CE462" s="141"/>
      <c r="CF462" s="141"/>
      <c r="CG462" s="141"/>
      <c r="CH462" s="141"/>
      <c r="CI462" s="141"/>
      <c r="CJ462" s="141"/>
      <c r="CK462" s="141"/>
      <c r="CL462" s="141"/>
      <c r="CM462" s="141"/>
      <c r="CN462" s="538" t="str">
        <f ca="1">IF(FL1=0,"",".")</f>
        <v/>
      </c>
      <c r="CO462" s="538"/>
      <c r="CP462" s="538"/>
      <c r="CQ462" s="538"/>
      <c r="CR462" s="538"/>
      <c r="CS462" s="538"/>
      <c r="CT462" s="538"/>
      <c r="CU462" s="538"/>
      <c r="CV462" s="538"/>
      <c r="CW462" s="538"/>
      <c r="CX462" s="538"/>
      <c r="CY462" s="538"/>
      <c r="CZ462" s="538"/>
      <c r="DA462" s="538"/>
      <c r="DB462" s="538"/>
      <c r="DC462" s="141"/>
      <c r="DD462" s="141"/>
      <c r="DE462" s="141"/>
      <c r="DF462" s="141"/>
      <c r="DG462" s="141"/>
      <c r="DH462" s="141"/>
      <c r="DI462" s="141"/>
      <c r="DJ462" s="141"/>
      <c r="DK462" s="141"/>
      <c r="DL462" s="141"/>
      <c r="DM462" s="141"/>
      <c r="DN462" s="141"/>
      <c r="DO462" s="141"/>
      <c r="DP462" s="141"/>
      <c r="DQ462" s="141"/>
      <c r="DR462" s="141"/>
      <c r="DS462" s="141"/>
      <c r="DT462" s="141"/>
      <c r="DU462" s="141"/>
      <c r="DV462" s="141"/>
      <c r="DW462" s="141"/>
      <c r="DX462" s="141"/>
      <c r="DY462" s="141"/>
      <c r="DZ462" s="141"/>
      <c r="EA462" s="141"/>
      <c r="EB462" s="141"/>
      <c r="EC462" s="141"/>
      <c r="ED462" s="141"/>
      <c r="EE462" s="141"/>
      <c r="EF462" s="141"/>
      <c r="EG462" s="141"/>
      <c r="EH462" s="141"/>
      <c r="EI462" s="141"/>
      <c r="EJ462" s="141"/>
      <c r="EK462" s="89"/>
      <c r="EL462" s="89"/>
      <c r="EM462" s="89"/>
      <c r="EN462" s="89"/>
      <c r="EO462" s="89"/>
      <c r="EP462" s="89"/>
      <c r="EQ462" s="89"/>
      <c r="ER462" s="89"/>
      <c r="ES462" s="89"/>
      <c r="ET462" s="89"/>
      <c r="EU462" s="89"/>
      <c r="EV462" s="89"/>
      <c r="EW462" s="89"/>
      <c r="EX462" s="89"/>
      <c r="EY462" s="89"/>
      <c r="EZ462" s="89"/>
      <c r="FA462" s="89"/>
      <c r="FB462" s="89"/>
      <c r="FC462" s="89"/>
      <c r="FD462" s="89"/>
      <c r="FE462" s="89"/>
      <c r="FF462" s="89"/>
      <c r="FG462" s="89"/>
      <c r="FH462" s="141"/>
      <c r="FI462" s="141"/>
      <c r="FJ462" s="281"/>
      <c r="FK462" s="281"/>
      <c r="FL462" s="281"/>
      <c r="FM462" s="281"/>
      <c r="FN462" s="281"/>
      <c r="FO462" s="281"/>
      <c r="FP462" s="281"/>
      <c r="FQ462" s="281"/>
      <c r="FR462" s="281"/>
      <c r="FS462" s="86"/>
      <c r="FT462" s="86"/>
      <c r="FU462" s="86"/>
      <c r="FV462" s="86"/>
      <c r="FW462" s="86"/>
      <c r="FX462" s="86"/>
      <c r="FY462" s="259"/>
      <c r="FZ462" s="259"/>
      <c r="GA462" s="259"/>
      <c r="GB462" s="259"/>
      <c r="GC462" s="259"/>
      <c r="GD462" s="259"/>
      <c r="GE462" s="259"/>
      <c r="GF462" s="259"/>
      <c r="GG462" s="259"/>
      <c r="GH462" s="259"/>
      <c r="GI462" s="259"/>
      <c r="GJ462" s="259"/>
      <c r="GK462" s="259"/>
      <c r="GL462" s="259"/>
      <c r="GM462" s="259"/>
      <c r="GN462" s="259"/>
      <c r="GO462" s="259"/>
      <c r="GP462" s="259"/>
      <c r="GQ462" s="259"/>
      <c r="GR462" s="259"/>
      <c r="GS462" s="259"/>
      <c r="GT462" s="259"/>
      <c r="GU462" s="259"/>
      <c r="GV462" s="259"/>
    </row>
    <row r="463" spans="1:204" ht="16.5" customHeight="1">
      <c r="A463" s="60"/>
      <c r="B463" s="69"/>
      <c r="C463" s="69"/>
      <c r="D463" s="280"/>
      <c r="E463" s="262"/>
      <c r="F463" s="262"/>
      <c r="G463" s="262"/>
      <c r="H463" s="262"/>
      <c r="I463" s="262"/>
      <c r="J463" s="89"/>
      <c r="K463" s="89"/>
      <c r="L463" s="89"/>
      <c r="M463" s="141"/>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141"/>
      <c r="AK463" s="141"/>
      <c r="AL463" s="141"/>
      <c r="AM463" s="141"/>
      <c r="AN463" s="141"/>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BP463" s="141"/>
      <c r="BQ463" s="141"/>
      <c r="BR463" s="141"/>
      <c r="BS463" s="141"/>
      <c r="BT463" s="141"/>
      <c r="BU463" s="141"/>
      <c r="BV463" s="141"/>
      <c r="BW463" s="141"/>
      <c r="BX463" s="141"/>
      <c r="BY463" s="141"/>
      <c r="BZ463" s="141"/>
      <c r="CA463" s="141"/>
      <c r="CB463" s="141"/>
      <c r="CC463" s="141"/>
      <c r="CD463" s="141"/>
      <c r="CE463" s="141"/>
      <c r="CF463" s="141"/>
      <c r="CG463" s="141"/>
      <c r="CH463" s="141"/>
      <c r="CI463" s="141"/>
      <c r="CJ463" s="141"/>
      <c r="CK463" s="141"/>
      <c r="CL463" s="141"/>
      <c r="CM463" s="141"/>
      <c r="CN463" s="141"/>
      <c r="CO463" s="141"/>
      <c r="CP463" s="141"/>
      <c r="CQ463" s="141"/>
      <c r="CR463" s="141"/>
      <c r="CS463" s="141"/>
      <c r="CT463" s="141"/>
      <c r="CU463" s="141"/>
      <c r="CV463" s="141"/>
      <c r="CW463" s="141"/>
      <c r="CX463" s="141"/>
      <c r="CY463" s="141"/>
      <c r="CZ463" s="141"/>
      <c r="DA463" s="141"/>
      <c r="DB463" s="141"/>
      <c r="DC463" s="141"/>
      <c r="DD463" s="141"/>
      <c r="DE463" s="141"/>
      <c r="DF463" s="141"/>
      <c r="DG463" s="141"/>
      <c r="DH463" s="141"/>
      <c r="DI463" s="141"/>
      <c r="DJ463" s="141"/>
      <c r="DK463" s="141"/>
      <c r="DL463" s="141"/>
      <c r="DM463" s="141"/>
      <c r="DN463" s="141"/>
      <c r="DO463" s="141"/>
      <c r="DP463" s="141"/>
      <c r="DQ463" s="141"/>
      <c r="DR463" s="141"/>
      <c r="DS463" s="141"/>
      <c r="DT463" s="141"/>
      <c r="DU463" s="141"/>
      <c r="DV463" s="141"/>
      <c r="DW463" s="141"/>
      <c r="DX463" s="141"/>
      <c r="DY463" s="141"/>
      <c r="DZ463" s="141"/>
      <c r="EA463" s="141"/>
      <c r="EB463" s="141"/>
      <c r="EC463" s="141"/>
      <c r="ED463" s="141"/>
      <c r="EE463" s="141"/>
      <c r="EF463" s="141"/>
      <c r="EG463" s="141"/>
      <c r="EH463" s="141"/>
      <c r="EI463" s="141"/>
      <c r="EJ463" s="141"/>
      <c r="EK463" s="89"/>
      <c r="EL463" s="89"/>
      <c r="EM463" s="89"/>
      <c r="EN463" s="89"/>
      <c r="EO463" s="89"/>
      <c r="EP463" s="89"/>
      <c r="EQ463" s="89"/>
      <c r="ER463" s="89"/>
      <c r="ES463" s="89"/>
      <c r="ET463" s="89"/>
      <c r="EU463" s="89"/>
      <c r="EV463" s="89"/>
      <c r="EW463" s="89"/>
      <c r="EX463" s="89"/>
      <c r="EY463" s="89"/>
      <c r="EZ463" s="89"/>
      <c r="FA463" s="89"/>
      <c r="FB463" s="89"/>
      <c r="FC463" s="89"/>
      <c r="FD463" s="89"/>
      <c r="FE463" s="89"/>
      <c r="FF463" s="89"/>
      <c r="FG463" s="89"/>
      <c r="FH463" s="141"/>
      <c r="FI463" s="141"/>
      <c r="FJ463" s="281"/>
      <c r="FK463" s="281"/>
      <c r="FL463" s="283"/>
      <c r="FM463" s="281"/>
      <c r="FN463" s="281"/>
      <c r="FO463" s="281"/>
      <c r="FP463" s="281"/>
      <c r="FQ463" s="281"/>
      <c r="FR463" s="281"/>
      <c r="FS463" s="86"/>
      <c r="FT463" s="86"/>
      <c r="FU463" s="86"/>
      <c r="FV463" s="86"/>
      <c r="FW463" s="86"/>
      <c r="FX463" s="86"/>
      <c r="FY463" s="259"/>
      <c r="FZ463" s="259"/>
      <c r="GA463" s="259"/>
      <c r="GB463" s="259"/>
      <c r="GC463" s="259"/>
      <c r="GD463" s="259"/>
      <c r="GE463" s="259"/>
      <c r="GF463" s="259"/>
      <c r="GG463" s="259"/>
      <c r="GH463" s="259"/>
      <c r="GI463" s="259"/>
      <c r="GJ463" s="259"/>
      <c r="GK463" s="259"/>
      <c r="GL463" s="259"/>
      <c r="GM463" s="259"/>
      <c r="GN463" s="259"/>
      <c r="GO463" s="259"/>
      <c r="GP463" s="259"/>
      <c r="GQ463" s="259"/>
      <c r="GR463" s="259"/>
      <c r="GS463" s="259"/>
      <c r="GT463" s="259"/>
      <c r="GU463" s="259"/>
      <c r="GV463" s="259"/>
    </row>
    <row r="464" spans="1:204" ht="16.5" customHeight="1">
      <c r="A464" s="60"/>
      <c r="B464" s="69"/>
      <c r="C464" s="69"/>
      <c r="D464" s="280" t="str">
        <f ca="1">IF(FL1=0,"",IF(CO461="","","Dit is hoe je op de verschillende onderdelen gescoord hebt (V = alles goed; X = één of meer fout):"))</f>
        <v/>
      </c>
      <c r="E464" s="262"/>
      <c r="F464" s="262"/>
      <c r="G464" s="262"/>
      <c r="H464" s="262"/>
      <c r="I464" s="262"/>
      <c r="J464" s="89"/>
      <c r="K464" s="89"/>
      <c r="L464" s="89"/>
      <c r="M464" s="141"/>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141"/>
      <c r="AK464" s="141"/>
      <c r="AL464" s="141"/>
      <c r="AM464" s="141"/>
      <c r="AN464" s="141"/>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BP464" s="141"/>
      <c r="BQ464" s="141"/>
      <c r="BR464" s="141"/>
      <c r="BS464" s="141"/>
      <c r="BT464" s="141"/>
      <c r="BU464" s="141"/>
      <c r="BV464" s="141"/>
      <c r="BW464" s="141"/>
      <c r="BX464" s="141"/>
      <c r="BY464" s="141"/>
      <c r="BZ464" s="141"/>
      <c r="CA464" s="141"/>
      <c r="CB464" s="141"/>
      <c r="CC464" s="141"/>
      <c r="CD464" s="141"/>
      <c r="CE464" s="141"/>
      <c r="CF464" s="141"/>
      <c r="CG464" s="141"/>
      <c r="CH464" s="141"/>
      <c r="CI464" s="141"/>
      <c r="CJ464" s="141"/>
      <c r="CK464" s="141"/>
      <c r="CL464" s="141"/>
      <c r="CM464" s="141"/>
      <c r="CN464" s="141"/>
      <c r="CO464" s="141"/>
      <c r="CP464" s="141"/>
      <c r="CQ464" s="141"/>
      <c r="CR464" s="141"/>
      <c r="CS464" s="141"/>
      <c r="CT464" s="141"/>
      <c r="CU464" s="141"/>
      <c r="CV464" s="141"/>
      <c r="CW464" s="141"/>
      <c r="CX464" s="141"/>
      <c r="CY464" s="141"/>
      <c r="CZ464" s="141"/>
      <c r="DA464" s="141"/>
      <c r="DB464" s="141"/>
      <c r="DC464" s="141"/>
      <c r="DD464" s="141"/>
      <c r="DE464" s="141"/>
      <c r="DF464" s="141"/>
      <c r="DG464" s="141"/>
      <c r="DH464" s="141"/>
      <c r="DI464" s="141"/>
      <c r="DJ464" s="141"/>
      <c r="DK464" s="141"/>
      <c r="DL464" s="141"/>
      <c r="DM464" s="141"/>
      <c r="DN464" s="141"/>
      <c r="DO464" s="141"/>
      <c r="DP464" s="141"/>
      <c r="DQ464" s="141"/>
      <c r="DR464" s="141"/>
      <c r="DS464" s="141"/>
      <c r="DT464" s="141"/>
      <c r="DU464" s="141"/>
      <c r="DV464" s="141"/>
      <c r="DW464" s="141"/>
      <c r="DX464" s="141"/>
      <c r="DY464" s="141"/>
      <c r="DZ464" s="141"/>
      <c r="EA464" s="141"/>
      <c r="EB464" s="141"/>
      <c r="EC464" s="141"/>
      <c r="ED464" s="141"/>
      <c r="EE464" s="141"/>
      <c r="EF464" s="141"/>
      <c r="EG464" s="141"/>
      <c r="EH464" s="141"/>
      <c r="EI464" s="141"/>
      <c r="EJ464" s="141"/>
      <c r="EK464" s="89"/>
      <c r="EL464" s="89"/>
      <c r="EM464" s="89"/>
      <c r="EN464" s="89"/>
      <c r="EO464" s="89"/>
      <c r="EP464" s="89"/>
      <c r="EQ464" s="89"/>
      <c r="ER464" s="89"/>
      <c r="ES464" s="89"/>
      <c r="ET464" s="89"/>
      <c r="EU464" s="89"/>
      <c r="EV464" s="89"/>
      <c r="EW464" s="89"/>
      <c r="EX464" s="89"/>
      <c r="EY464" s="89"/>
      <c r="EZ464" s="89"/>
      <c r="FA464" s="89"/>
      <c r="FB464" s="89"/>
      <c r="FC464" s="89"/>
      <c r="FD464" s="89"/>
      <c r="FE464" s="89"/>
      <c r="FF464" s="89"/>
      <c r="FG464" s="89"/>
      <c r="FH464" s="141"/>
      <c r="FI464" s="141"/>
      <c r="FJ464" s="281"/>
      <c r="FK464" s="281"/>
      <c r="FL464" s="281"/>
      <c r="FM464" s="281"/>
      <c r="FN464" s="281"/>
      <c r="FO464" s="281"/>
      <c r="FP464" s="281"/>
      <c r="FQ464" s="281"/>
      <c r="FR464" s="281"/>
      <c r="FS464" s="86"/>
      <c r="FT464" s="86"/>
      <c r="FU464" s="86"/>
      <c r="FV464" s="86"/>
      <c r="FW464" s="86"/>
      <c r="FX464" s="86"/>
      <c r="FY464" s="259"/>
      <c r="FZ464" s="259"/>
      <c r="GA464" s="259"/>
      <c r="GB464" s="259"/>
      <c r="GC464" s="259"/>
      <c r="GD464" s="259"/>
      <c r="GE464" s="259"/>
      <c r="GF464" s="259"/>
      <c r="GG464" s="259"/>
      <c r="GH464" s="259"/>
      <c r="GI464" s="259"/>
      <c r="GJ464" s="259"/>
      <c r="GK464" s="259"/>
      <c r="GL464" s="259"/>
      <c r="GM464" s="259"/>
      <c r="GN464" s="259"/>
      <c r="GO464" s="259"/>
      <c r="GP464" s="259"/>
      <c r="GQ464" s="259"/>
      <c r="GR464" s="259"/>
      <c r="GS464" s="259"/>
      <c r="GT464" s="259"/>
      <c r="GU464" s="259"/>
      <c r="GV464" s="259"/>
    </row>
    <row r="465" spans="1:204" ht="16.5" customHeight="1">
      <c r="A465" s="60"/>
      <c r="B465" s="69"/>
      <c r="C465" s="69"/>
      <c r="D465" s="280"/>
      <c r="E465" s="262"/>
      <c r="F465" s="262"/>
      <c r="G465" s="262"/>
      <c r="H465" s="262"/>
      <c r="I465" s="262"/>
      <c r="J465" s="89"/>
      <c r="K465" s="89"/>
      <c r="L465" s="89"/>
      <c r="M465" s="141"/>
      <c r="N465" s="141"/>
      <c r="O465" s="141"/>
      <c r="P465" s="141"/>
      <c r="Q465" s="141"/>
      <c r="R465" s="141"/>
      <c r="S465" s="141"/>
      <c r="T465" s="141"/>
      <c r="U465" s="141"/>
      <c r="V465" s="141"/>
      <c r="W465" s="141"/>
      <c r="X465" s="141"/>
      <c r="Y465" s="141"/>
      <c r="Z465" s="141"/>
      <c r="AA465" s="141"/>
      <c r="AB465" s="141"/>
      <c r="AC465" s="141"/>
      <c r="AD465" s="141"/>
      <c r="AE465" s="141"/>
      <c r="AF465" s="141"/>
      <c r="AG465" s="141"/>
      <c r="AH465" s="268"/>
      <c r="AI465" s="268"/>
      <c r="AJ465" s="141"/>
      <c r="AK465" s="141"/>
      <c r="AL465" s="141"/>
      <c r="AM465" s="141"/>
      <c r="AN465" s="141"/>
      <c r="AO465" s="141"/>
      <c r="AP465" s="141"/>
      <c r="AQ465" s="268"/>
      <c r="AR465" s="268"/>
      <c r="AS465" s="141"/>
      <c r="AT465" s="141"/>
      <c r="AU465" s="141"/>
      <c r="AV465" s="141"/>
      <c r="AW465" s="141"/>
      <c r="AX465" s="268"/>
      <c r="AY465" s="268"/>
      <c r="AZ465" s="268"/>
      <c r="BA465" s="268"/>
      <c r="BB465" s="268"/>
      <c r="BC465" s="141"/>
      <c r="BD465" s="141"/>
      <c r="BE465" s="141"/>
      <c r="BF465" s="141"/>
      <c r="BG465" s="141"/>
      <c r="BH465" s="141"/>
      <c r="BI465" s="141"/>
      <c r="BJ465" s="141"/>
      <c r="BK465" s="141"/>
      <c r="BL465" s="141"/>
      <c r="BM465" s="141"/>
      <c r="BN465" s="268"/>
      <c r="BO465" s="268"/>
      <c r="BP465" s="268"/>
      <c r="BQ465" s="268"/>
      <c r="BR465" s="268"/>
      <c r="BS465" s="268"/>
      <c r="BT465" s="268"/>
      <c r="BU465" s="268"/>
      <c r="BV465" s="268"/>
      <c r="BW465" s="268"/>
      <c r="BX465" s="268"/>
      <c r="BY465" s="268"/>
      <c r="BZ465" s="268"/>
      <c r="CA465" s="268"/>
      <c r="CB465" s="268"/>
      <c r="CC465" s="268"/>
      <c r="CD465" s="268"/>
      <c r="CE465" s="268"/>
      <c r="CF465" s="268"/>
      <c r="CG465" s="268"/>
      <c r="CH465" s="268"/>
      <c r="CI465" s="268"/>
      <c r="CJ465" s="268"/>
      <c r="CK465" s="268"/>
      <c r="CL465" s="268"/>
      <c r="CM465" s="268"/>
      <c r="CN465" s="268"/>
      <c r="CO465" s="284"/>
      <c r="CP465" s="284"/>
      <c r="CQ465" s="284"/>
      <c r="CR465" s="268"/>
      <c r="CS465" s="268"/>
      <c r="CT465" s="268"/>
      <c r="CU465" s="285"/>
      <c r="CV465" s="284"/>
      <c r="CW465" s="284"/>
      <c r="CX465" s="268"/>
      <c r="CY465" s="268"/>
      <c r="CZ465" s="268"/>
      <c r="DA465" s="268"/>
      <c r="DB465" s="268"/>
      <c r="DC465" s="268"/>
      <c r="DD465" s="268"/>
      <c r="DE465" s="268"/>
      <c r="DF465" s="268"/>
      <c r="DG465" s="268"/>
      <c r="DH465" s="268"/>
      <c r="DI465" s="268"/>
      <c r="DJ465" s="268"/>
      <c r="DK465" s="268"/>
      <c r="DL465" s="268"/>
      <c r="DM465" s="268"/>
      <c r="DN465" s="268"/>
      <c r="DO465" s="268"/>
      <c r="DP465" s="268"/>
      <c r="DQ465" s="268"/>
      <c r="DR465" s="268"/>
      <c r="DS465" s="268"/>
      <c r="DT465" s="268"/>
      <c r="DU465" s="268"/>
      <c r="DV465" s="268"/>
      <c r="DW465" s="268"/>
      <c r="DX465" s="268"/>
      <c r="DY465" s="268"/>
      <c r="DZ465" s="268"/>
      <c r="EA465" s="268"/>
      <c r="EB465" s="268"/>
      <c r="EC465" s="268"/>
      <c r="ED465" s="268"/>
      <c r="EE465" s="268"/>
      <c r="EF465" s="268"/>
      <c r="EG465" s="268"/>
      <c r="EH465" s="268"/>
      <c r="EI465" s="268"/>
      <c r="EJ465" s="268"/>
      <c r="EK465" s="268"/>
      <c r="EL465" s="268"/>
      <c r="EM465" s="268"/>
      <c r="EN465" s="268"/>
      <c r="EO465" s="268"/>
      <c r="EP465" s="268"/>
      <c r="EQ465" s="268"/>
      <c r="ER465" s="268"/>
      <c r="ES465" s="268"/>
      <c r="ET465" s="268"/>
      <c r="EU465" s="268"/>
      <c r="EV465" s="268"/>
      <c r="EW465" s="268"/>
      <c r="EX465" s="268"/>
      <c r="EY465" s="268"/>
      <c r="EZ465" s="268"/>
      <c r="FA465" s="268"/>
      <c r="FB465" s="268"/>
      <c r="FC465" s="268"/>
      <c r="FD465" s="268"/>
      <c r="FE465" s="268"/>
      <c r="FF465" s="268"/>
      <c r="FG465" s="268"/>
      <c r="FH465" s="268"/>
      <c r="FI465" s="286"/>
      <c r="FJ465" s="281"/>
      <c r="FK465" s="281"/>
      <c r="FL465" s="281"/>
      <c r="FM465" s="281"/>
      <c r="FN465" s="281"/>
      <c r="FO465" s="281"/>
      <c r="FP465" s="281"/>
      <c r="FQ465" s="281"/>
      <c r="FR465" s="281"/>
      <c r="FS465" s="281"/>
      <c r="FT465" s="281"/>
      <c r="FU465" s="281"/>
      <c r="FV465" s="281"/>
      <c r="FW465" s="281"/>
      <c r="FX465" s="281"/>
      <c r="FY465" s="259"/>
      <c r="FZ465" s="259"/>
      <c r="GA465" s="259"/>
      <c r="GB465" s="259"/>
      <c r="GC465" s="259"/>
      <c r="GD465" s="259"/>
      <c r="GE465" s="259"/>
      <c r="GF465" s="259"/>
      <c r="GG465" s="259"/>
      <c r="GH465" s="259"/>
      <c r="GI465" s="259"/>
      <c r="GJ465" s="259"/>
      <c r="GK465" s="259"/>
      <c r="GL465" s="259"/>
      <c r="GM465" s="259"/>
      <c r="GN465" s="259"/>
      <c r="GO465" s="259"/>
      <c r="GP465" s="259"/>
      <c r="GQ465" s="259"/>
      <c r="GR465" s="259"/>
      <c r="GS465" s="259"/>
      <c r="GT465" s="259"/>
      <c r="GU465" s="259"/>
      <c r="GV465" s="259"/>
    </row>
    <row r="466" spans="1:204" s="727" customFormat="1" ht="21" customHeight="1">
      <c r="A466" s="722"/>
      <c r="B466" s="723"/>
      <c r="C466" s="723"/>
      <c r="D466" s="280"/>
      <c r="E466" s="509"/>
      <c r="F466" s="509"/>
      <c r="G466" s="509"/>
      <c r="H466" s="509"/>
      <c r="I466" s="509"/>
      <c r="J466" s="89"/>
      <c r="K466" s="89"/>
      <c r="L466" s="89"/>
      <c r="M466" s="724"/>
      <c r="N466" s="724"/>
      <c r="O466" s="724"/>
      <c r="P466" s="724"/>
      <c r="Q466" s="724"/>
      <c r="R466" s="724"/>
      <c r="S466" s="724"/>
      <c r="T466" s="724"/>
      <c r="U466" s="724"/>
      <c r="V466" s="724"/>
      <c r="W466" s="724"/>
      <c r="X466" s="724"/>
      <c r="Y466" s="724"/>
      <c r="Z466" s="724"/>
      <c r="AA466" s="724"/>
      <c r="AB466" s="724"/>
      <c r="AC466" s="724"/>
      <c r="AD466" s="724"/>
      <c r="AE466" s="724"/>
      <c r="AF466" s="724"/>
      <c r="AG466" s="724"/>
      <c r="AH466" s="725"/>
      <c r="AI466" s="725"/>
      <c r="AJ466" s="724"/>
      <c r="AK466" s="724"/>
      <c r="AL466" s="724"/>
      <c r="AM466" s="724"/>
      <c r="AN466" s="724"/>
      <c r="AO466" s="724"/>
      <c r="AP466" s="724"/>
      <c r="AQ466" s="725"/>
      <c r="AR466" s="725"/>
      <c r="AS466" s="724"/>
      <c r="AT466" s="724"/>
      <c r="AU466" s="724"/>
      <c r="AV466" s="724"/>
      <c r="AW466" s="724"/>
      <c r="AX466" s="725"/>
      <c r="AY466" s="725"/>
      <c r="AZ466" s="725"/>
      <c r="BA466" s="725"/>
      <c r="BB466" s="725"/>
      <c r="BC466" s="724"/>
      <c r="BD466" s="724"/>
      <c r="BE466" s="724"/>
      <c r="BF466" s="724"/>
      <c r="BG466" s="724"/>
      <c r="BH466" s="724"/>
      <c r="BI466" s="724"/>
      <c r="BJ466" s="724"/>
      <c r="BK466" s="724"/>
      <c r="BL466" s="724"/>
      <c r="BM466" s="724"/>
      <c r="BN466" s="725"/>
      <c r="BO466" s="725"/>
      <c r="BP466" s="725"/>
      <c r="BQ466" s="725"/>
      <c r="BR466" s="725"/>
      <c r="BS466" s="725"/>
      <c r="BT466" s="725"/>
      <c r="BU466" s="725"/>
      <c r="BV466" s="725"/>
      <c r="BW466" s="725"/>
      <c r="BX466" s="725"/>
      <c r="BY466" s="725"/>
      <c r="BZ466" s="725"/>
      <c r="CA466" s="725"/>
      <c r="CB466" s="725"/>
      <c r="CC466" s="725"/>
      <c r="CD466" s="725"/>
      <c r="CE466" s="725"/>
      <c r="CF466" s="725"/>
      <c r="CG466" s="725"/>
      <c r="CH466" s="285" t="str">
        <f ca="1">IF(FL1=0,"",IF(CO461="","","TO, TK en TW:"))</f>
        <v/>
      </c>
      <c r="CI466" s="284" t="str">
        <f ca="1">IF(FL1=0,"",IF(CO461="","",IF(AND(programma!A$300&lt;&gt;"goltsteindocentversie",Blad1!AY3=0),"",IF(AND(FL52=1,FL85=1,FL76=1,FL85=1,FL103),"V","X"))))</f>
        <v/>
      </c>
      <c r="CJ466" s="284"/>
      <c r="CK466" s="726"/>
      <c r="CL466" s="726"/>
      <c r="CM466" s="726"/>
      <c r="CN466" s="287" t="str">
        <f ca="1">IF($FL$1=0,"",IF($CO$461="","",IF(AND(programma!A$300&lt;&gt;"goltsteindocentversie",Blad1!AY$3=0),"",IF(FL466=10,"Je scoort op dit onderwerp een "&amp;FL466&amp;" !",IF(AND(FL466&lt;5.5,FM466=1),"Je scoort maar een "&amp;FL466&amp;". Neem de les nog eens door en verbeter wat fout is.",IF(AND(FL466&lt;5.5,FM466=0),"Je scoort maar een "&amp;FL466&amp;". Maak de les (af) en verbeter wat fout is.",IF(FM466=1,"Je scoort een "&amp;FL466&amp;". Verbeter wat fout is.","Je scoort maar een "&amp;FL466&amp;". Maak de les (af) en verbeter wat fout is.")))))))</f>
        <v/>
      </c>
      <c r="CO466" s="725"/>
      <c r="CP466" s="725"/>
      <c r="CQ466" s="725"/>
      <c r="CR466" s="725"/>
      <c r="CS466" s="725"/>
      <c r="CT466" s="725"/>
      <c r="DG466" s="725"/>
      <c r="DH466" s="725"/>
      <c r="DI466" s="725"/>
      <c r="DJ466" s="725"/>
      <c r="DK466" s="725"/>
      <c r="DL466" s="725"/>
      <c r="DM466" s="725"/>
      <c r="DN466" s="725"/>
      <c r="DO466" s="725"/>
      <c r="DP466" s="725"/>
      <c r="DQ466" s="725"/>
      <c r="DR466" s="725"/>
      <c r="DS466" s="725"/>
      <c r="DT466" s="725"/>
      <c r="DU466" s="725"/>
      <c r="DV466" s="725"/>
      <c r="DW466" s="725"/>
      <c r="DX466" s="725"/>
      <c r="DY466" s="725"/>
      <c r="DZ466" s="725"/>
      <c r="EA466" s="725"/>
      <c r="EB466" s="725"/>
      <c r="EC466" s="725"/>
      <c r="ED466" s="725"/>
      <c r="EE466" s="725"/>
      <c r="EF466" s="725"/>
      <c r="EG466" s="725"/>
      <c r="EH466" s="725"/>
      <c r="EI466" s="725"/>
      <c r="EJ466" s="725"/>
      <c r="EK466" s="725"/>
      <c r="EL466" s="725"/>
      <c r="EM466" s="725"/>
      <c r="EN466" s="725"/>
      <c r="EO466" s="725"/>
      <c r="EP466" s="725"/>
      <c r="EQ466" s="725"/>
      <c r="ER466" s="725"/>
      <c r="ES466" s="725"/>
      <c r="ET466" s="725"/>
      <c r="EU466" s="725"/>
      <c r="EV466" s="725"/>
      <c r="EW466" s="725"/>
      <c r="EX466" s="725"/>
      <c r="EY466" s="725"/>
      <c r="EZ466" s="725"/>
      <c r="FA466" s="725"/>
      <c r="FB466" s="725"/>
      <c r="FC466" s="725"/>
      <c r="FD466" s="725"/>
      <c r="FE466" s="725"/>
      <c r="FF466" s="725"/>
      <c r="FG466" s="725"/>
      <c r="FH466" s="725"/>
      <c r="FI466" s="286"/>
      <c r="FJ466" s="281"/>
      <c r="FK466" s="433">
        <f ca="1">FL52+FL68+FL76+FL85+FL103</f>
        <v>0</v>
      </c>
      <c r="FL466" s="435">
        <f t="shared" ref="FL466:FL471" ca="1" si="0">IF(9*FK466/FP466+1-FLOOR(9*FK466/FP466+1,0.5)&gt;=0.5,CEILING(9*FK466/FP466+1,0.5),FLOOR(9*FK466/FP466+1,0.5))</f>
        <v>1</v>
      </c>
      <c r="FM466" s="283">
        <f ca="1">IF('TO, TK en TW'!FO365=0,0,1)</f>
        <v>0</v>
      </c>
      <c r="FN466" s="283">
        <f ca="1">IF(AND(FL52=1,FL85=1,FL76=1,FL85=1,FL103),1,0)</f>
        <v>0</v>
      </c>
      <c r="FO466" s="283">
        <f t="shared" ref="FO466:FO471" ca="1" si="1">IF(AND(FM466=1,FN466=0),1,IF(AND(FM466=0,FN466=0),2,0))</f>
        <v>2</v>
      </c>
      <c r="FP466" s="283">
        <v>5</v>
      </c>
      <c r="FQ466" s="281"/>
      <c r="FR466" s="281"/>
      <c r="FS466" s="281"/>
      <c r="FT466" s="281"/>
      <c r="FU466" s="281"/>
      <c r="FV466" s="281"/>
      <c r="FW466" s="281"/>
      <c r="FX466" s="281"/>
      <c r="FY466" s="259"/>
      <c r="FZ466" s="259"/>
      <c r="GA466" s="259"/>
      <c r="GB466" s="259"/>
      <c r="GC466" s="259"/>
      <c r="GD466" s="259"/>
      <c r="GE466" s="259"/>
      <c r="GF466" s="259"/>
      <c r="GG466" s="259"/>
      <c r="GH466" s="259"/>
      <c r="GI466" s="259"/>
      <c r="GJ466" s="259"/>
      <c r="GK466" s="259"/>
      <c r="GL466" s="259"/>
      <c r="GM466" s="259"/>
      <c r="GN466" s="259"/>
      <c r="GO466" s="259"/>
      <c r="GP466" s="259"/>
      <c r="GQ466" s="259"/>
      <c r="GR466" s="259"/>
      <c r="GS466" s="259"/>
      <c r="GT466" s="259"/>
      <c r="GU466" s="259"/>
      <c r="GV466" s="259"/>
    </row>
    <row r="467" spans="1:204" s="727" customFormat="1" ht="21" customHeight="1">
      <c r="A467" s="722"/>
      <c r="B467" s="723"/>
      <c r="C467" s="723"/>
      <c r="D467" s="280"/>
      <c r="E467" s="509"/>
      <c r="F467" s="509"/>
      <c r="G467" s="509"/>
      <c r="H467" s="509"/>
      <c r="I467" s="509"/>
      <c r="J467" s="89"/>
      <c r="K467" s="89"/>
      <c r="L467" s="89"/>
      <c r="M467" s="724"/>
      <c r="N467" s="724"/>
      <c r="O467" s="724"/>
      <c r="P467" s="724"/>
      <c r="Q467" s="724"/>
      <c r="R467" s="724"/>
      <c r="S467" s="724"/>
      <c r="T467" s="724"/>
      <c r="U467" s="724"/>
      <c r="V467" s="724"/>
      <c r="W467" s="724"/>
      <c r="X467" s="724"/>
      <c r="Y467" s="724"/>
      <c r="Z467" s="724"/>
      <c r="AA467" s="724"/>
      <c r="AB467" s="724"/>
      <c r="AC467" s="724"/>
      <c r="AD467" s="724"/>
      <c r="AE467" s="724"/>
      <c r="AF467" s="724"/>
      <c r="AG467" s="724"/>
      <c r="AH467" s="725"/>
      <c r="AI467" s="725"/>
      <c r="AJ467" s="724"/>
      <c r="AK467" s="724"/>
      <c r="AL467" s="724"/>
      <c r="AM467" s="724"/>
      <c r="AN467" s="724"/>
      <c r="AO467" s="724"/>
      <c r="AP467" s="724"/>
      <c r="AQ467" s="725"/>
      <c r="AR467" s="725"/>
      <c r="AS467" s="724"/>
      <c r="AT467" s="724"/>
      <c r="AU467" s="724"/>
      <c r="AV467" s="724"/>
      <c r="AW467" s="724"/>
      <c r="AX467" s="725"/>
      <c r="AY467" s="725"/>
      <c r="AZ467" s="725"/>
      <c r="BA467" s="725"/>
      <c r="BB467" s="725"/>
      <c r="BC467" s="724"/>
      <c r="BD467" s="724"/>
      <c r="BE467" s="724"/>
      <c r="BF467" s="724"/>
      <c r="BG467" s="724"/>
      <c r="BH467" s="724"/>
      <c r="BI467" s="724"/>
      <c r="BJ467" s="724"/>
      <c r="BK467" s="724"/>
      <c r="BL467" s="724"/>
      <c r="BM467" s="724"/>
      <c r="BN467" s="725"/>
      <c r="BO467" s="725"/>
      <c r="BP467" s="725"/>
      <c r="BQ467" s="725"/>
      <c r="BR467" s="725"/>
      <c r="BS467" s="725"/>
      <c r="BT467" s="725"/>
      <c r="BU467" s="725"/>
      <c r="BV467" s="725"/>
      <c r="BW467" s="725"/>
      <c r="BX467" s="725"/>
      <c r="BY467" s="725"/>
      <c r="BZ467" s="725"/>
      <c r="CA467" s="725"/>
      <c r="CB467" s="725"/>
      <c r="CC467" s="725"/>
      <c r="CD467" s="725"/>
      <c r="CE467" s="725"/>
      <c r="CF467" s="725"/>
      <c r="CG467" s="725"/>
      <c r="CH467" s="285" t="str">
        <f ca="1">IF(FL1=0,"",IF(CO461="","","Gemiddeld en marginaal:"))</f>
        <v/>
      </c>
      <c r="CI467" s="284" t="str">
        <f ca="1">IF(FL1=0,"",IF(CO461="","",IF(AND(programma!A$300&lt;&gt;"goltsteindocentversie",Blad1!AY3=0),"",IF(AND(FL122=1,FL129=1),"V","X"))))</f>
        <v/>
      </c>
      <c r="CJ467" s="284"/>
      <c r="CK467" s="726"/>
      <c r="CL467" s="726"/>
      <c r="CM467" s="726"/>
      <c r="CN467" s="287" t="str">
        <f ca="1">IF($FL$1=0,"",IF($CO$461="","",IF(AND(programma!A$300&lt;&gt;"goltsteindocentversie",Blad1!AY$3=0),"",IF(FL467=10,"Je scoort op dit onderwerp een "&amp;FL467&amp;" !",IF(AND(FL467&lt;5.5,FM467=1),"Je scoort maar een "&amp;FL467&amp;". Neem de les nog eens door en verbeter wat fout is.",IF(AND(FL467&lt;5.5,FM467=0),"Je scoort maar een "&amp;FL467&amp;". Maak de les (af) en verbeter wat fout is.",IF(FM467=1,"Je scoort een "&amp;FL467&amp;". Verbeter wat fout is.","Je scoort maar een "&amp;FL467&amp;". Maak de les (af) en verbeter wat fout is.")))))))</f>
        <v/>
      </c>
      <c r="CO467" s="725"/>
      <c r="CP467" s="725"/>
      <c r="CQ467" s="725"/>
      <c r="CR467" s="725"/>
      <c r="CS467" s="725"/>
      <c r="CT467" s="725"/>
      <c r="DG467" s="725"/>
      <c r="DH467" s="725"/>
      <c r="DI467" s="725"/>
      <c r="DJ467" s="725"/>
      <c r="DK467" s="725"/>
      <c r="DL467" s="725"/>
      <c r="DM467" s="725"/>
      <c r="DN467" s="725"/>
      <c r="DO467" s="725"/>
      <c r="DP467" s="725"/>
      <c r="DQ467" s="725"/>
      <c r="DR467" s="725"/>
      <c r="DS467" s="725"/>
      <c r="DT467" s="725"/>
      <c r="DU467" s="725"/>
      <c r="DV467" s="725"/>
      <c r="DW467" s="725"/>
      <c r="DX467" s="725"/>
      <c r="DY467" s="725"/>
      <c r="DZ467" s="725"/>
      <c r="EA467" s="725"/>
      <c r="EB467" s="725"/>
      <c r="EC467" s="725"/>
      <c r="ED467" s="725"/>
      <c r="EE467" s="725"/>
      <c r="EF467" s="725"/>
      <c r="EG467" s="725"/>
      <c r="EH467" s="725"/>
      <c r="EI467" s="725"/>
      <c r="EJ467" s="725"/>
      <c r="EK467" s="725"/>
      <c r="EL467" s="725"/>
      <c r="EM467" s="725"/>
      <c r="EN467" s="725"/>
      <c r="EO467" s="725"/>
      <c r="EP467" s="725"/>
      <c r="EQ467" s="725"/>
      <c r="ER467" s="725"/>
      <c r="ES467" s="725"/>
      <c r="ET467" s="725"/>
      <c r="EU467" s="725"/>
      <c r="EV467" s="725"/>
      <c r="EW467" s="725"/>
      <c r="EX467" s="725"/>
      <c r="EY467" s="725"/>
      <c r="EZ467" s="725"/>
      <c r="FA467" s="725"/>
      <c r="FB467" s="725"/>
      <c r="FC467" s="725"/>
      <c r="FD467" s="725"/>
      <c r="FE467" s="725"/>
      <c r="FF467" s="725"/>
      <c r="FG467" s="725"/>
      <c r="FH467" s="725"/>
      <c r="FI467" s="286"/>
      <c r="FJ467" s="281"/>
      <c r="FK467" s="433">
        <f ca="1">FL122+FL129</f>
        <v>0</v>
      </c>
      <c r="FL467" s="435">
        <f t="shared" ca="1" si="0"/>
        <v>1</v>
      </c>
      <c r="FM467" s="283">
        <f ca="1">IF('Gemiddeld en marginaal'!FN395=0,0,1)</f>
        <v>0</v>
      </c>
      <c r="FN467" s="283">
        <f ca="1">IF(AND(FL122=1,FL129=1),1,0)</f>
        <v>0</v>
      </c>
      <c r="FO467" s="283">
        <f t="shared" ca="1" si="1"/>
        <v>2</v>
      </c>
      <c r="FP467" s="283">
        <v>2</v>
      </c>
      <c r="FQ467" s="281"/>
      <c r="FR467" s="281"/>
      <c r="FS467" s="281"/>
      <c r="FT467" s="281"/>
      <c r="FU467" s="281"/>
      <c r="FV467" s="281"/>
      <c r="FW467" s="281"/>
      <c r="FX467" s="281"/>
      <c r="FY467" s="259"/>
      <c r="FZ467" s="259"/>
      <c r="GA467" s="259"/>
      <c r="GB467" s="259"/>
      <c r="GC467" s="259"/>
      <c r="GD467" s="259"/>
      <c r="GE467" s="259"/>
      <c r="GF467" s="259"/>
      <c r="GG467" s="259"/>
      <c r="GH467" s="259"/>
      <c r="GI467" s="259"/>
      <c r="GJ467" s="259"/>
      <c r="GK467" s="259"/>
      <c r="GL467" s="259"/>
      <c r="GM467" s="259"/>
      <c r="GN467" s="259"/>
      <c r="GO467" s="259"/>
      <c r="GP467" s="259"/>
      <c r="GQ467" s="259"/>
      <c r="GR467" s="259"/>
      <c r="GS467" s="259"/>
      <c r="GT467" s="259"/>
      <c r="GU467" s="259"/>
      <c r="GV467" s="259"/>
    </row>
    <row r="468" spans="1:204" s="727" customFormat="1" ht="21" customHeight="1">
      <c r="A468" s="722"/>
      <c r="B468" s="723"/>
      <c r="C468" s="723"/>
      <c r="D468" s="280"/>
      <c r="E468" s="509"/>
      <c r="F468" s="509"/>
      <c r="G468" s="509"/>
      <c r="H468" s="509"/>
      <c r="I468" s="509"/>
      <c r="J468" s="89"/>
      <c r="K468" s="89"/>
      <c r="L468" s="89"/>
      <c r="M468" s="724"/>
      <c r="N468" s="724"/>
      <c r="O468" s="724"/>
      <c r="P468" s="724"/>
      <c r="Q468" s="724"/>
      <c r="R468" s="724"/>
      <c r="S468" s="724"/>
      <c r="T468" s="724"/>
      <c r="U468" s="724"/>
      <c r="V468" s="724"/>
      <c r="W468" s="724"/>
      <c r="X468" s="724"/>
      <c r="Y468" s="724"/>
      <c r="Z468" s="724"/>
      <c r="AA468" s="724"/>
      <c r="AB468" s="724"/>
      <c r="AC468" s="724"/>
      <c r="AD468" s="724"/>
      <c r="AE468" s="724"/>
      <c r="AF468" s="724"/>
      <c r="AG468" s="724"/>
      <c r="AH468" s="725"/>
      <c r="AI468" s="725"/>
      <c r="AJ468" s="724"/>
      <c r="AK468" s="724"/>
      <c r="AL468" s="724"/>
      <c r="AM468" s="724"/>
      <c r="AN468" s="724"/>
      <c r="AO468" s="724"/>
      <c r="AP468" s="724"/>
      <c r="AQ468" s="725"/>
      <c r="AR468" s="725"/>
      <c r="AS468" s="724"/>
      <c r="AT468" s="724"/>
      <c r="AU468" s="724"/>
      <c r="AV468" s="724"/>
      <c r="AW468" s="724"/>
      <c r="AX468" s="725"/>
      <c r="AY468" s="725"/>
      <c r="AZ468" s="725"/>
      <c r="BA468" s="725"/>
      <c r="BB468" s="725"/>
      <c r="BC468" s="724"/>
      <c r="BD468" s="724"/>
      <c r="BE468" s="724"/>
      <c r="BF468" s="724"/>
      <c r="BG468" s="724"/>
      <c r="BH468" s="724"/>
      <c r="BI468" s="724"/>
      <c r="BJ468" s="724"/>
      <c r="BK468" s="724"/>
      <c r="BL468" s="724"/>
      <c r="BM468" s="724"/>
      <c r="BN468" s="725"/>
      <c r="BO468" s="725"/>
      <c r="BP468" s="725"/>
      <c r="BQ468" s="725"/>
      <c r="BR468" s="725"/>
      <c r="BS468" s="725"/>
      <c r="BT468" s="725"/>
      <c r="BU468" s="725"/>
      <c r="BV468" s="725"/>
      <c r="BW468" s="725"/>
      <c r="BX468" s="725"/>
      <c r="BY468" s="725"/>
      <c r="BZ468" s="725"/>
      <c r="CA468" s="725"/>
      <c r="CB468" s="725"/>
      <c r="CC468" s="725"/>
      <c r="CD468" s="725"/>
      <c r="CE468" s="725"/>
      <c r="CF468" s="725"/>
      <c r="CG468" s="725"/>
      <c r="CH468" s="285" t="str">
        <f ca="1">IF(FL1=0,"",IF(CO461="","","TVK, TCK, GVK en GCK:"))</f>
        <v/>
      </c>
      <c r="CI468" s="284" t="str">
        <f ca="1">IF(FL1=0,"",IF(CO461="","",IF(AND(programma!A$300&lt;&gt;"goltsteindocentversie",Blad1!AY3=0),"",IF(AND(FL151=1,FL169=1),"V","X"))))</f>
        <v/>
      </c>
      <c r="CJ468" s="284"/>
      <c r="CK468" s="726"/>
      <c r="CL468" s="726"/>
      <c r="CM468" s="726"/>
      <c r="CN468" s="287" t="str">
        <f ca="1">IF($FL$1=0,"",IF($CO$461="","",IF(AND(programma!A$300&lt;&gt;"goltsteindocentversie",Blad1!AY$3=0),"",IF(FL468=10,"Je scoort op dit onderwerp een "&amp;FL468&amp;" !",IF(AND(FL468&lt;5.5,FM468=1),"Je scoort maar een "&amp;FL468&amp;". Neem de les nog eens door en verbeter wat fout is.",IF(AND(FL468&lt;5.5,FM468=0),"Je scoort maar een "&amp;FL468&amp;". Maak de les (af) en verbeter wat fout is.",IF(FM468=1,"Je scoort een "&amp;FL468&amp;". Verbeter wat fout is.","Je scoort maar een "&amp;FL468&amp;". Maak de les (af) en verbeter wat fout is.")))))))</f>
        <v/>
      </c>
      <c r="CO468" s="725"/>
      <c r="CP468" s="725"/>
      <c r="CQ468" s="725"/>
      <c r="CR468" s="725"/>
      <c r="CS468" s="725"/>
      <c r="CT468" s="725"/>
      <c r="DG468" s="725"/>
      <c r="DH468" s="725"/>
      <c r="DI468" s="725"/>
      <c r="DJ468" s="725"/>
      <c r="DK468" s="725"/>
      <c r="DL468" s="725"/>
      <c r="DM468" s="725"/>
      <c r="DN468" s="725"/>
      <c r="DO468" s="725"/>
      <c r="DP468" s="725"/>
      <c r="DQ468" s="725"/>
      <c r="DR468" s="725"/>
      <c r="DS468" s="725"/>
      <c r="DT468" s="725"/>
      <c r="DU468" s="725"/>
      <c r="DV468" s="725"/>
      <c r="DW468" s="725"/>
      <c r="DX468" s="725"/>
      <c r="DY468" s="725"/>
      <c r="DZ468" s="725"/>
      <c r="EA468" s="725"/>
      <c r="EB468" s="725"/>
      <c r="EC468" s="725"/>
      <c r="ED468" s="725"/>
      <c r="EE468" s="725"/>
      <c r="EF468" s="725"/>
      <c r="EG468" s="725"/>
      <c r="EH468" s="725"/>
      <c r="EI468" s="725"/>
      <c r="EJ468" s="725"/>
      <c r="EK468" s="725"/>
      <c r="EL468" s="725"/>
      <c r="EM468" s="725"/>
      <c r="EN468" s="725"/>
      <c r="EO468" s="725"/>
      <c r="EP468" s="725"/>
      <c r="EQ468" s="725"/>
      <c r="ER468" s="725"/>
      <c r="ES468" s="725"/>
      <c r="ET468" s="725"/>
      <c r="EU468" s="725"/>
      <c r="EV468" s="725"/>
      <c r="EW468" s="725"/>
      <c r="EX468" s="725"/>
      <c r="EY468" s="725"/>
      <c r="EZ468" s="725"/>
      <c r="FA468" s="725"/>
      <c r="FB468" s="725"/>
      <c r="FC468" s="725"/>
      <c r="FD468" s="725"/>
      <c r="FE468" s="725"/>
      <c r="FF468" s="725"/>
      <c r="FG468" s="725"/>
      <c r="FH468" s="725"/>
      <c r="FI468" s="286"/>
      <c r="FJ468" s="281"/>
      <c r="FK468" s="433">
        <f ca="1">3*FJ151+3*FL169</f>
        <v>0</v>
      </c>
      <c r="FL468" s="435">
        <f t="shared" ca="1" si="0"/>
        <v>1</v>
      </c>
      <c r="FM468" s="283">
        <f>IF('TVK, TCK, GVK en GCK'!FN117=0,0,1)</f>
        <v>0</v>
      </c>
      <c r="FN468" s="283">
        <f ca="1">IF(AND(FL151=1,FL169=1),1,0)</f>
        <v>0</v>
      </c>
      <c r="FO468" s="283">
        <f t="shared" ca="1" si="1"/>
        <v>2</v>
      </c>
      <c r="FP468" s="283">
        <v>6</v>
      </c>
      <c r="FQ468" s="281"/>
      <c r="FR468" s="281"/>
      <c r="FS468" s="281"/>
      <c r="FT468" s="281"/>
      <c r="FU468" s="281"/>
      <c r="FV468" s="281"/>
      <c r="FW468" s="281"/>
      <c r="FX468" s="281"/>
      <c r="FY468" s="259"/>
      <c r="FZ468" s="259"/>
      <c r="GA468" s="259"/>
      <c r="GB468" s="259"/>
      <c r="GC468" s="259"/>
      <c r="GD468" s="259"/>
      <c r="GE468" s="259"/>
      <c r="GF468" s="259"/>
      <c r="GG468" s="259"/>
      <c r="GH468" s="259"/>
      <c r="GI468" s="259"/>
      <c r="GJ468" s="259"/>
      <c r="GK468" s="259"/>
      <c r="GL468" s="259"/>
      <c r="GM468" s="259"/>
      <c r="GN468" s="259"/>
      <c r="GO468" s="259"/>
      <c r="GP468" s="259"/>
      <c r="GQ468" s="259"/>
      <c r="GR468" s="259"/>
      <c r="GS468" s="259"/>
      <c r="GT468" s="259"/>
      <c r="GU468" s="259"/>
      <c r="GV468" s="259"/>
    </row>
    <row r="469" spans="1:204" s="727" customFormat="1" ht="21" customHeight="1">
      <c r="A469" s="722"/>
      <c r="B469" s="723"/>
      <c r="C469" s="723"/>
      <c r="D469" s="280"/>
      <c r="E469" s="509"/>
      <c r="F469" s="509"/>
      <c r="G469" s="509"/>
      <c r="H469" s="509"/>
      <c r="I469" s="509"/>
      <c r="J469" s="89"/>
      <c r="K469" s="89"/>
      <c r="L469" s="89"/>
      <c r="M469" s="724"/>
      <c r="N469" s="724"/>
      <c r="O469" s="724"/>
      <c r="P469" s="724"/>
      <c r="Q469" s="724"/>
      <c r="R469" s="724"/>
      <c r="S469" s="724"/>
      <c r="T469" s="724"/>
      <c r="U469" s="724"/>
      <c r="V469" s="724"/>
      <c r="W469" s="724"/>
      <c r="X469" s="724"/>
      <c r="Y469" s="724"/>
      <c r="Z469" s="724"/>
      <c r="AA469" s="724"/>
      <c r="AB469" s="724"/>
      <c r="AC469" s="724"/>
      <c r="AD469" s="724"/>
      <c r="AE469" s="724"/>
      <c r="AF469" s="724"/>
      <c r="AG469" s="724"/>
      <c r="AH469" s="725"/>
      <c r="AI469" s="725"/>
      <c r="AJ469" s="724"/>
      <c r="AK469" s="724"/>
      <c r="AL469" s="724"/>
      <c r="AM469" s="724"/>
      <c r="AN469" s="724"/>
      <c r="AO469" s="724"/>
      <c r="AP469" s="724"/>
      <c r="AQ469" s="725"/>
      <c r="AR469" s="725"/>
      <c r="AS469" s="724"/>
      <c r="AT469" s="724"/>
      <c r="AU469" s="724"/>
      <c r="AV469" s="724"/>
      <c r="AW469" s="724"/>
      <c r="AX469" s="725"/>
      <c r="AY469" s="725"/>
      <c r="AZ469" s="725"/>
      <c r="BA469" s="725"/>
      <c r="BB469" s="725"/>
      <c r="BC469" s="724"/>
      <c r="BD469" s="724"/>
      <c r="BE469" s="724"/>
      <c r="BF469" s="724"/>
      <c r="BG469" s="724"/>
      <c r="BH469" s="724"/>
      <c r="BI469" s="724"/>
      <c r="BJ469" s="724"/>
      <c r="BK469" s="724"/>
      <c r="BL469" s="724"/>
      <c r="BM469" s="724"/>
      <c r="BN469" s="725"/>
      <c r="BO469" s="725"/>
      <c r="BP469" s="725"/>
      <c r="BQ469" s="725"/>
      <c r="BR469" s="725"/>
      <c r="BS469" s="725"/>
      <c r="BT469" s="725"/>
      <c r="BU469" s="725"/>
      <c r="BV469" s="725"/>
      <c r="BW469" s="725"/>
      <c r="BX469" s="725"/>
      <c r="BY469" s="725"/>
      <c r="BZ469" s="725"/>
      <c r="CA469" s="725"/>
      <c r="CB469" s="725"/>
      <c r="CC469" s="725"/>
      <c r="CD469" s="725"/>
      <c r="CE469" s="725"/>
      <c r="CF469" s="725"/>
      <c r="CG469" s="725"/>
      <c r="CH469" s="285" t="str">
        <f ca="1">IF(FL1=0,"",IF(CO461="","","Berekening maximale winst:"))</f>
        <v/>
      </c>
      <c r="CI469" s="284" t="str">
        <f ca="1">IF(FL1=0,"",IF(CO461="","",IF(AND(programma!A$300&lt;&gt;"goltsteindocentversie",Blad1!AY3=0),"",IF(AND(FL186=1,FL204=1,FL221=1,FL255=1,FL272=1),"V","X"))))</f>
        <v/>
      </c>
      <c r="CJ469" s="284"/>
      <c r="CK469" s="726"/>
      <c r="CL469" s="726"/>
      <c r="CM469" s="726"/>
      <c r="CN469" s="287" t="str">
        <f ca="1">IF($FL$1=0,"",IF($CO$461="","",IF(AND(programma!A$300&lt;&gt;"goltsteindocentversie",Blad1!AY$3=0),"",IF(FL469=10,"Je scoort op dit onderwerp een "&amp;FL469&amp;" !",IF(AND(FL469&lt;5.5,FM469=1),"Je scoort maar een "&amp;FL469&amp;". Neem de les nog eens door en verbeter wat fout is.",IF(AND(FL469&lt;5.5,FM469=0),"Je scoort maar een "&amp;FL469&amp;". Maak de les (af) en verbeter wat fout is.",IF(FM469=1,"Je scoort een "&amp;FL469&amp;". Verbeter wat fout is.","Je scoort maar een "&amp;FL469&amp;". Maak de les (af) en verbeter wat fout is.")))))))</f>
        <v/>
      </c>
      <c r="CO469" s="725"/>
      <c r="CP469" s="725"/>
      <c r="CQ469" s="725"/>
      <c r="CR469" s="725"/>
      <c r="CS469" s="725"/>
      <c r="CT469" s="725"/>
      <c r="DG469" s="725"/>
      <c r="DH469" s="725"/>
      <c r="DI469" s="725"/>
      <c r="DJ469" s="725"/>
      <c r="DK469" s="725"/>
      <c r="DL469" s="725"/>
      <c r="DM469" s="725"/>
      <c r="DN469" s="725"/>
      <c r="DO469" s="725"/>
      <c r="DP469" s="725"/>
      <c r="DQ469" s="725"/>
      <c r="DR469" s="725"/>
      <c r="DS469" s="725"/>
      <c r="DT469" s="725"/>
      <c r="DU469" s="725"/>
      <c r="DV469" s="725"/>
      <c r="DW469" s="725"/>
      <c r="DX469" s="725"/>
      <c r="DY469" s="725"/>
      <c r="DZ469" s="725"/>
      <c r="EA469" s="725"/>
      <c r="EB469" s="725"/>
      <c r="EC469" s="725"/>
      <c r="ED469" s="725"/>
      <c r="EE469" s="725"/>
      <c r="EF469" s="725"/>
      <c r="EG469" s="725"/>
      <c r="EH469" s="725"/>
      <c r="EI469" s="725"/>
      <c r="EJ469" s="725"/>
      <c r="EK469" s="725"/>
      <c r="EL469" s="725"/>
      <c r="EM469" s="725"/>
      <c r="EN469" s="725"/>
      <c r="EO469" s="725"/>
      <c r="EP469" s="725"/>
      <c r="EQ469" s="725"/>
      <c r="ER469" s="725"/>
      <c r="ES469" s="725"/>
      <c r="ET469" s="725"/>
      <c r="EU469" s="725"/>
      <c r="EV469" s="725"/>
      <c r="EW469" s="725"/>
      <c r="EX469" s="725"/>
      <c r="EY469" s="725"/>
      <c r="EZ469" s="725"/>
      <c r="FA469" s="725"/>
      <c r="FB469" s="725"/>
      <c r="FC469" s="725"/>
      <c r="FD469" s="725"/>
      <c r="FE469" s="725"/>
      <c r="FF469" s="725"/>
      <c r="FG469" s="725"/>
      <c r="FH469" s="725"/>
      <c r="FI469" s="286"/>
      <c r="FJ469" s="281"/>
      <c r="FK469" s="433">
        <f ca="1">5*FJ186+2*FJ204+2*FJ221+2*FJ255+FL272</f>
        <v>0</v>
      </c>
      <c r="FL469" s="435">
        <f t="shared" ca="1" si="0"/>
        <v>1</v>
      </c>
      <c r="FM469" s="283">
        <f ca="1">IF('Berekening maximale winst'!FN334=0,0,1)</f>
        <v>0</v>
      </c>
      <c r="FN469" s="283">
        <f ca="1">IF(AND(FL186=1,FL204=1,FL221=1,FL255=1,FL272=1),1,0)</f>
        <v>0</v>
      </c>
      <c r="FO469" s="283">
        <f t="shared" ca="1" si="1"/>
        <v>2</v>
      </c>
      <c r="FP469" s="283">
        <v>12</v>
      </c>
      <c r="FQ469" s="281"/>
      <c r="FR469" s="281"/>
      <c r="FS469" s="281"/>
      <c r="FT469" s="281"/>
      <c r="FU469" s="281"/>
      <c r="FV469" s="281"/>
      <c r="FW469" s="281"/>
      <c r="FX469" s="281"/>
      <c r="FY469" s="259"/>
      <c r="FZ469" s="259"/>
      <c r="GA469" s="259"/>
      <c r="GB469" s="259"/>
      <c r="GC469" s="259"/>
      <c r="GD469" s="259"/>
      <c r="GE469" s="259"/>
      <c r="GF469" s="259"/>
      <c r="GG469" s="259"/>
      <c r="GH469" s="259"/>
      <c r="GI469" s="259"/>
      <c r="GJ469" s="259"/>
      <c r="GK469" s="259"/>
      <c r="GL469" s="259"/>
      <c r="GM469" s="259"/>
      <c r="GN469" s="259"/>
      <c r="GO469" s="259"/>
      <c r="GP469" s="259"/>
      <c r="GQ469" s="259"/>
      <c r="GR469" s="259"/>
      <c r="GS469" s="259"/>
      <c r="GT469" s="259"/>
      <c r="GU469" s="259"/>
      <c r="GV469" s="259"/>
    </row>
    <row r="470" spans="1:204" s="727" customFormat="1" ht="21" customHeight="1">
      <c r="A470" s="722"/>
      <c r="B470" s="723"/>
      <c r="C470" s="723"/>
      <c r="D470" s="280"/>
      <c r="E470" s="509"/>
      <c r="F470" s="509"/>
      <c r="G470" s="509"/>
      <c r="H470" s="509"/>
      <c r="I470" s="509"/>
      <c r="J470" s="89"/>
      <c r="K470" s="89"/>
      <c r="L470" s="89"/>
      <c r="M470" s="724"/>
      <c r="N470" s="724"/>
      <c r="O470" s="724"/>
      <c r="P470" s="724"/>
      <c r="Q470" s="724"/>
      <c r="R470" s="724"/>
      <c r="S470" s="724"/>
      <c r="T470" s="724"/>
      <c r="U470" s="724"/>
      <c r="V470" s="724"/>
      <c r="W470" s="724"/>
      <c r="X470" s="724"/>
      <c r="Y470" s="724"/>
      <c r="Z470" s="724"/>
      <c r="AA470" s="724"/>
      <c r="AB470" s="724"/>
      <c r="AC470" s="724"/>
      <c r="AD470" s="724"/>
      <c r="AE470" s="724"/>
      <c r="AF470" s="724"/>
      <c r="AG470" s="724"/>
      <c r="AH470" s="725"/>
      <c r="AI470" s="725"/>
      <c r="AJ470" s="724"/>
      <c r="AK470" s="724"/>
      <c r="AL470" s="724"/>
      <c r="AM470" s="724"/>
      <c r="AN470" s="724"/>
      <c r="AO470" s="724"/>
      <c r="AP470" s="724"/>
      <c r="AQ470" s="725"/>
      <c r="AR470" s="725"/>
      <c r="AS470" s="724"/>
      <c r="AT470" s="724"/>
      <c r="AU470" s="724"/>
      <c r="AV470" s="724"/>
      <c r="AW470" s="724"/>
      <c r="AX470" s="725"/>
      <c r="AY470" s="725"/>
      <c r="AZ470" s="725"/>
      <c r="BA470" s="725"/>
      <c r="BB470" s="725"/>
      <c r="BC470" s="724"/>
      <c r="BD470" s="724"/>
      <c r="BE470" s="724"/>
      <c r="BF470" s="724"/>
      <c r="BG470" s="724"/>
      <c r="BH470" s="724"/>
      <c r="BI470" s="724"/>
      <c r="BJ470" s="724"/>
      <c r="BK470" s="724"/>
      <c r="BL470" s="724"/>
      <c r="BM470" s="724"/>
      <c r="BN470" s="725"/>
      <c r="BO470" s="725"/>
      <c r="BP470" s="725"/>
      <c r="BQ470" s="725"/>
      <c r="BR470" s="725"/>
      <c r="BS470" s="725"/>
      <c r="BT470" s="725"/>
      <c r="BU470" s="725"/>
      <c r="BV470" s="725"/>
      <c r="BW470" s="725"/>
      <c r="BX470" s="725"/>
      <c r="BY470" s="725"/>
      <c r="BZ470" s="725"/>
      <c r="CA470" s="725"/>
      <c r="CB470" s="725"/>
      <c r="CC470" s="725"/>
      <c r="CD470" s="725"/>
      <c r="CE470" s="725"/>
      <c r="CF470" s="725"/>
      <c r="CG470" s="725"/>
      <c r="CH470" s="285" t="str">
        <f ca="1">IF(FL1=0,"",IF(CO461="","","Welvaartseffect van prijszetting:"))</f>
        <v/>
      </c>
      <c r="CI470" s="284" t="str">
        <f ca="1">IF(FL1=0,"",IF(CO461="","",IF(AND(programma!A$300&lt;&gt;"goltsteindocentversie",Blad1!AY3=0),"",IF(AND(FL307=1,FL334=1,FL368=1,FL387=1,FL412=1),"V","X"))))</f>
        <v/>
      </c>
      <c r="CJ470" s="284"/>
      <c r="CK470" s="726"/>
      <c r="CL470" s="726"/>
      <c r="CM470" s="726"/>
      <c r="CN470" s="287" t="str">
        <f ca="1">IF($FL$1=0,"",IF($CO$461="","",IF(AND(programma!A$300&lt;&gt;"goltsteindocentversie",Blad1!AY$3=0),"",IF(FL470=10,"Je scoort op dit onderwerp een "&amp;FL470&amp;" !",IF(AND(FL470&lt;5.5,FM470=1),"Je scoort maar een "&amp;FL470&amp;". Neem de les nog eens door en verbeter wat fout is.",IF(AND(FL470&lt;5.5,FM470=0),"Je scoort maar een "&amp;FL470&amp;". Maak de les (af) en verbeter wat fout is.",IF(FM470=1,"Je scoort een "&amp;FL470&amp;". Verbeter wat fout is.","Je scoort maar een "&amp;FL470&amp;". Maak de les (af) en verbeter wat fout is.")))))))</f>
        <v/>
      </c>
      <c r="CO470" s="725"/>
      <c r="CP470" s="725"/>
      <c r="CQ470" s="725"/>
      <c r="CR470" s="725"/>
      <c r="CS470" s="725"/>
      <c r="CT470" s="725"/>
      <c r="DG470" s="725"/>
      <c r="DH470" s="725"/>
      <c r="DI470" s="725"/>
      <c r="DJ470" s="725"/>
      <c r="DK470" s="725"/>
      <c r="DL470" s="725"/>
      <c r="DM470" s="725"/>
      <c r="DN470" s="725"/>
      <c r="DO470" s="725"/>
      <c r="DP470" s="725"/>
      <c r="DQ470" s="725"/>
      <c r="DR470" s="725"/>
      <c r="DS470" s="725"/>
      <c r="DT470" s="725"/>
      <c r="DU470" s="725"/>
      <c r="DV470" s="725"/>
      <c r="DW470" s="725"/>
      <c r="DX470" s="725"/>
      <c r="DY470" s="725"/>
      <c r="DZ470" s="725"/>
      <c r="EA470" s="725"/>
      <c r="EB470" s="725"/>
      <c r="EC470" s="725"/>
      <c r="ED470" s="725"/>
      <c r="EE470" s="725"/>
      <c r="EF470" s="725"/>
      <c r="EG470" s="725"/>
      <c r="EH470" s="725"/>
      <c r="EI470" s="725"/>
      <c r="EJ470" s="725"/>
      <c r="EK470" s="725"/>
      <c r="EL470" s="725"/>
      <c r="EM470" s="725"/>
      <c r="EN470" s="725"/>
      <c r="EO470" s="725"/>
      <c r="EP470" s="725"/>
      <c r="EQ470" s="725"/>
      <c r="ER470" s="725"/>
      <c r="ES470" s="725"/>
      <c r="ET470" s="725"/>
      <c r="EU470" s="725"/>
      <c r="EV470" s="725"/>
      <c r="EW470" s="725"/>
      <c r="EX470" s="725"/>
      <c r="EY470" s="725"/>
      <c r="EZ470" s="725"/>
      <c r="FA470" s="725"/>
      <c r="FB470" s="725"/>
      <c r="FC470" s="725"/>
      <c r="FD470" s="725"/>
      <c r="FE470" s="725"/>
      <c r="FF470" s="725"/>
      <c r="FG470" s="725"/>
      <c r="FH470" s="725"/>
      <c r="FI470" s="286"/>
      <c r="FJ470" s="281"/>
      <c r="FK470" s="433">
        <f ca="1">2*FJ307+2*FJ334+3*FJ368+2*FJ387+3*FJ412</f>
        <v>0</v>
      </c>
      <c r="FL470" s="435">
        <f t="shared" ca="1" si="0"/>
        <v>1</v>
      </c>
      <c r="FM470" s="283">
        <f ca="1">IF(Welvaartseffect!FO462=0,0,1)</f>
        <v>0</v>
      </c>
      <c r="FN470" s="283">
        <f ca="1">IF(AND(FL307=1,FL334=1,FL368=1,FL387=1,FL412=1),1,0)</f>
        <v>0</v>
      </c>
      <c r="FO470" s="283">
        <f t="shared" ca="1" si="1"/>
        <v>2</v>
      </c>
      <c r="FP470" s="283">
        <v>12</v>
      </c>
      <c r="FQ470" s="281"/>
      <c r="FR470" s="281"/>
      <c r="FS470" s="281"/>
      <c r="FT470" s="281"/>
      <c r="FU470" s="281"/>
      <c r="FV470" s="281"/>
      <c r="FW470" s="281"/>
      <c r="FX470" s="281"/>
      <c r="FY470" s="259"/>
      <c r="FZ470" s="259"/>
      <c r="GA470" s="259"/>
      <c r="GB470" s="259"/>
      <c r="GC470" s="259"/>
      <c r="GD470" s="259"/>
      <c r="GE470" s="259"/>
      <c r="GF470" s="259"/>
      <c r="GG470" s="259"/>
      <c r="GH470" s="259"/>
      <c r="GI470" s="259"/>
      <c r="GJ470" s="259"/>
      <c r="GK470" s="259"/>
      <c r="GL470" s="259"/>
      <c r="GM470" s="259"/>
      <c r="GN470" s="259"/>
      <c r="GO470" s="259"/>
      <c r="GP470" s="259"/>
      <c r="GQ470" s="259"/>
      <c r="GR470" s="259"/>
      <c r="GS470" s="259"/>
      <c r="GT470" s="259"/>
      <c r="GU470" s="259"/>
      <c r="GV470" s="259"/>
    </row>
    <row r="471" spans="1:204" s="727" customFormat="1" ht="21" customHeight="1">
      <c r="A471" s="722"/>
      <c r="B471" s="723"/>
      <c r="C471" s="723"/>
      <c r="D471" s="280"/>
      <c r="E471" s="509"/>
      <c r="F471" s="509"/>
      <c r="G471" s="509"/>
      <c r="H471" s="509"/>
      <c r="I471" s="509"/>
      <c r="J471" s="89"/>
      <c r="K471" s="89"/>
      <c r="L471" s="89"/>
      <c r="M471" s="724"/>
      <c r="N471" s="724"/>
      <c r="O471" s="724"/>
      <c r="P471" s="724"/>
      <c r="Q471" s="724"/>
      <c r="R471" s="724"/>
      <c r="S471" s="724"/>
      <c r="T471" s="724"/>
      <c r="U471" s="724"/>
      <c r="V471" s="724"/>
      <c r="W471" s="724"/>
      <c r="X471" s="724"/>
      <c r="Y471" s="724"/>
      <c r="Z471" s="724"/>
      <c r="AA471" s="724"/>
      <c r="AB471" s="724"/>
      <c r="AC471" s="724"/>
      <c r="AD471" s="724"/>
      <c r="AE471" s="724"/>
      <c r="AF471" s="724"/>
      <c r="AG471" s="724"/>
      <c r="AH471" s="725"/>
      <c r="AI471" s="725"/>
      <c r="AJ471" s="724"/>
      <c r="AK471" s="724"/>
      <c r="AL471" s="724"/>
      <c r="AM471" s="724"/>
      <c r="AN471" s="724"/>
      <c r="AO471" s="724"/>
      <c r="AP471" s="724"/>
      <c r="AQ471" s="725"/>
      <c r="AR471" s="725"/>
      <c r="AS471" s="724"/>
      <c r="AT471" s="724"/>
      <c r="AU471" s="724"/>
      <c r="AV471" s="724"/>
      <c r="AW471" s="724"/>
      <c r="AX471" s="725"/>
      <c r="AY471" s="725"/>
      <c r="AZ471" s="725"/>
      <c r="BA471" s="725"/>
      <c r="BB471" s="725"/>
      <c r="BC471" s="724"/>
      <c r="BD471" s="724"/>
      <c r="BE471" s="724"/>
      <c r="BF471" s="724"/>
      <c r="BG471" s="724"/>
      <c r="BH471" s="724"/>
      <c r="BI471" s="724"/>
      <c r="BJ471" s="724"/>
      <c r="BK471" s="724"/>
      <c r="BL471" s="724"/>
      <c r="BM471" s="724"/>
      <c r="BN471" s="725"/>
      <c r="BO471" s="725"/>
      <c r="BP471" s="725"/>
      <c r="BQ471" s="725"/>
      <c r="BR471" s="725"/>
      <c r="BS471" s="725"/>
      <c r="BT471" s="725"/>
      <c r="BU471" s="725"/>
      <c r="BV471" s="725"/>
      <c r="BW471" s="725"/>
      <c r="BX471" s="725"/>
      <c r="BY471" s="725"/>
      <c r="BZ471" s="725"/>
      <c r="CA471" s="725"/>
      <c r="CB471" s="725"/>
      <c r="CC471" s="725"/>
      <c r="CD471" s="725"/>
      <c r="CE471" s="725"/>
      <c r="CF471" s="725"/>
      <c r="CG471" s="725"/>
      <c r="CH471" s="285" t="str">
        <f ca="1">IF(FL1=0,"",IF(CO461="","","Monopolistische concurrentie op lange termijn:"))</f>
        <v/>
      </c>
      <c r="CI471" s="284" t="str">
        <f ca="1">IF(FL1=0,"",IF(CO461="","",IF(AND(programma!A$300&lt;&gt;"goltsteindocentversie",Blad1!AY3=0),"",IF(AND(FL432=1,FL457=1),"V","X"))))</f>
        <v/>
      </c>
      <c r="CJ471" s="284"/>
      <c r="CK471" s="726"/>
      <c r="CL471" s="726"/>
      <c r="CM471" s="726"/>
      <c r="CN471" s="287" t="str">
        <f ca="1">IF($FL$1=0,"",IF($CO$461="","",IF(AND(programma!A$300&lt;&gt;"goltsteindocentversie",Blad1!AY$3=0),"",IF(FL471=10,"Je scoort op dit onderwerp een "&amp;FL471&amp;" !",IF(AND(FL471&lt;5.5,FM471=1),"Je scoort maar een "&amp;FL471&amp;". Neem de les nog eens door en verbeter wat fout is.",IF(AND(FL471&lt;5.5,FM471=0),"Je scoort maar een "&amp;FL471&amp;". Maak de les (af) en verbeter wat fout is.",IF(FM471=1,"Je scoort een "&amp;FL471&amp;". Verbeter wat fout is.","Je scoort maar een "&amp;FL471&amp;". Maak de les (af) en verbeter wat fout is.")))))))</f>
        <v/>
      </c>
      <c r="CO471" s="725"/>
      <c r="CP471" s="725"/>
      <c r="CQ471" s="725"/>
      <c r="CR471" s="725"/>
      <c r="CS471" s="725"/>
      <c r="CT471" s="725"/>
      <c r="DG471" s="725"/>
      <c r="DH471" s="725"/>
      <c r="DI471" s="725"/>
      <c r="DJ471" s="725"/>
      <c r="DK471" s="725"/>
      <c r="DL471" s="725"/>
      <c r="DM471" s="725"/>
      <c r="DN471" s="725"/>
      <c r="DO471" s="725"/>
      <c r="DP471" s="725"/>
      <c r="DQ471" s="725"/>
      <c r="DR471" s="725"/>
      <c r="DS471" s="725"/>
      <c r="DT471" s="725"/>
      <c r="DU471" s="725"/>
      <c r="DV471" s="725"/>
      <c r="DW471" s="725"/>
      <c r="DX471" s="725"/>
      <c r="DY471" s="725"/>
      <c r="DZ471" s="725"/>
      <c r="EA471" s="725"/>
      <c r="EB471" s="725"/>
      <c r="EC471" s="725"/>
      <c r="ED471" s="725"/>
      <c r="EE471" s="725"/>
      <c r="EF471" s="725"/>
      <c r="EG471" s="725"/>
      <c r="EH471" s="725"/>
      <c r="EI471" s="725"/>
      <c r="EJ471" s="725"/>
      <c r="EK471" s="725"/>
      <c r="EL471" s="725"/>
      <c r="EM471" s="725"/>
      <c r="EN471" s="725"/>
      <c r="EO471" s="725"/>
      <c r="EP471" s="725"/>
      <c r="EQ471" s="725"/>
      <c r="ER471" s="725"/>
      <c r="ES471" s="725"/>
      <c r="ET471" s="725"/>
      <c r="EU471" s="725"/>
      <c r="EV471" s="725"/>
      <c r="EW471" s="725"/>
      <c r="EX471" s="725"/>
      <c r="EY471" s="725"/>
      <c r="EZ471" s="725"/>
      <c r="FA471" s="725"/>
      <c r="FB471" s="725"/>
      <c r="FC471" s="725"/>
      <c r="FD471" s="725"/>
      <c r="FE471" s="725"/>
      <c r="FF471" s="725"/>
      <c r="FG471" s="725"/>
      <c r="FH471" s="725"/>
      <c r="FI471" s="286"/>
      <c r="FJ471" s="281"/>
      <c r="FK471" s="433">
        <f ca="1">FL432+2*FJ457</f>
        <v>0</v>
      </c>
      <c r="FL471" s="435">
        <f t="shared" ca="1" si="0"/>
        <v>1</v>
      </c>
      <c r="FM471" s="283">
        <f ca="1">IF('Mon. Conc. lange termijn'!FN67=0,0,1)</f>
        <v>0</v>
      </c>
      <c r="FN471" s="283">
        <f ca="1">IF(AND(FL432=1,FL457=1),1,0)</f>
        <v>0</v>
      </c>
      <c r="FO471" s="283">
        <f t="shared" ca="1" si="1"/>
        <v>2</v>
      </c>
      <c r="FP471" s="283">
        <v>3</v>
      </c>
      <c r="FQ471" s="281"/>
      <c r="FR471" s="281"/>
      <c r="FS471" s="281"/>
      <c r="FT471" s="281"/>
      <c r="FU471" s="281"/>
      <c r="FV471" s="281"/>
      <c r="FW471" s="281"/>
      <c r="FX471" s="281"/>
      <c r="FY471" s="259"/>
      <c r="FZ471" s="259"/>
      <c r="GA471" s="259"/>
      <c r="GB471" s="259"/>
      <c r="GC471" s="259"/>
      <c r="GD471" s="259"/>
      <c r="GE471" s="259"/>
      <c r="GF471" s="259"/>
      <c r="GG471" s="259"/>
      <c r="GH471" s="259"/>
      <c r="GI471" s="259"/>
      <c r="GJ471" s="259"/>
      <c r="GK471" s="259"/>
      <c r="GL471" s="259"/>
      <c r="GM471" s="259"/>
      <c r="GN471" s="259"/>
      <c r="GO471" s="259"/>
      <c r="GP471" s="259"/>
      <c r="GQ471" s="259"/>
      <c r="GR471" s="259"/>
      <c r="GS471" s="259"/>
      <c r="GT471" s="259"/>
      <c r="GU471" s="259"/>
      <c r="GV471" s="259"/>
    </row>
    <row r="472" spans="1:204" s="727" customFormat="1" ht="21" customHeight="1">
      <c r="A472" s="722"/>
      <c r="B472" s="723"/>
      <c r="C472" s="723"/>
      <c r="D472" s="280"/>
      <c r="E472" s="509"/>
      <c r="F472" s="509"/>
      <c r="G472" s="509"/>
      <c r="H472" s="509"/>
      <c r="I472" s="509"/>
      <c r="J472" s="89"/>
      <c r="K472" s="89"/>
      <c r="L472" s="89"/>
      <c r="M472" s="724"/>
      <c r="N472" s="724"/>
      <c r="O472" s="724"/>
      <c r="P472" s="724"/>
      <c r="Q472" s="724"/>
      <c r="R472" s="724"/>
      <c r="S472" s="724"/>
      <c r="T472" s="724"/>
      <c r="U472" s="724"/>
      <c r="V472" s="724"/>
      <c r="W472" s="724"/>
      <c r="X472" s="724"/>
      <c r="Y472" s="724"/>
      <c r="Z472" s="724"/>
      <c r="AA472" s="724"/>
      <c r="AB472" s="724"/>
      <c r="AC472" s="724"/>
      <c r="AD472" s="724"/>
      <c r="AE472" s="724"/>
      <c r="AF472" s="724"/>
      <c r="AG472" s="724"/>
      <c r="AH472" s="725"/>
      <c r="AI472" s="725"/>
      <c r="AJ472" s="724"/>
      <c r="AK472" s="724"/>
      <c r="AL472" s="724"/>
      <c r="AM472" s="724"/>
      <c r="AN472" s="724"/>
      <c r="AO472" s="724"/>
      <c r="AP472" s="724"/>
      <c r="AQ472" s="725"/>
      <c r="AR472" s="725"/>
      <c r="AS472" s="724"/>
      <c r="AT472" s="724"/>
      <c r="AU472" s="724"/>
      <c r="AV472" s="724"/>
      <c r="AW472" s="724"/>
      <c r="AX472" s="725"/>
      <c r="AY472" s="725"/>
      <c r="AZ472" s="725"/>
      <c r="BA472" s="725"/>
      <c r="BB472" s="725"/>
      <c r="BC472" s="724"/>
      <c r="BD472" s="724"/>
      <c r="BE472" s="724"/>
      <c r="BF472" s="724"/>
      <c r="BG472" s="724"/>
      <c r="BH472" s="724"/>
      <c r="BI472" s="724"/>
      <c r="BJ472" s="724"/>
      <c r="BK472" s="724"/>
      <c r="BL472" s="724"/>
      <c r="BM472" s="724"/>
      <c r="BN472" s="286"/>
      <c r="BO472" s="286"/>
      <c r="BP472" s="286"/>
      <c r="BQ472" s="286"/>
      <c r="BR472" s="286"/>
      <c r="BS472" s="286"/>
      <c r="BT472" s="286"/>
      <c r="BU472" s="286"/>
      <c r="BV472" s="286"/>
      <c r="BW472" s="286"/>
      <c r="BX472" s="286"/>
      <c r="BY472" s="286"/>
      <c r="BZ472" s="286"/>
      <c r="CA472" s="286"/>
      <c r="CB472" s="725"/>
      <c r="CC472" s="725"/>
      <c r="CD472" s="725"/>
      <c r="CE472" s="725"/>
      <c r="CF472" s="725"/>
      <c r="CG472" s="286"/>
      <c r="CH472" s="286"/>
      <c r="CI472" s="286"/>
      <c r="CJ472" s="286"/>
      <c r="CK472" s="286"/>
      <c r="CL472" s="725"/>
      <c r="CM472" s="725"/>
      <c r="CN472" s="725"/>
      <c r="CO472" s="284"/>
      <c r="CP472" s="284"/>
      <c r="CQ472" s="284"/>
      <c r="CR472" s="286"/>
      <c r="CS472" s="286"/>
      <c r="CT472" s="286"/>
      <c r="CU472" s="285"/>
      <c r="CV472" s="284"/>
      <c r="CW472" s="284"/>
      <c r="CX472" s="286"/>
      <c r="CY472" s="286"/>
      <c r="CZ472" s="286"/>
      <c r="DA472" s="725"/>
      <c r="DB472" s="725"/>
      <c r="DC472" s="725"/>
      <c r="DD472" s="725"/>
      <c r="DE472" s="725"/>
      <c r="DF472" s="725"/>
      <c r="DG472" s="725"/>
      <c r="DH472" s="725"/>
      <c r="DI472" s="725"/>
      <c r="DJ472" s="725"/>
      <c r="DK472" s="725"/>
      <c r="DL472" s="725"/>
      <c r="DM472" s="725"/>
      <c r="DN472" s="725"/>
      <c r="DO472" s="725"/>
      <c r="DP472" s="725"/>
      <c r="DQ472" s="725"/>
      <c r="DR472" s="725"/>
      <c r="DS472" s="725"/>
      <c r="DT472" s="725"/>
      <c r="DU472" s="725"/>
      <c r="DV472" s="725"/>
      <c r="DW472" s="725"/>
      <c r="DX472" s="725"/>
      <c r="DY472" s="725"/>
      <c r="DZ472" s="725"/>
      <c r="EA472" s="725"/>
      <c r="EB472" s="725"/>
      <c r="EC472" s="725"/>
      <c r="ED472" s="725"/>
      <c r="EE472" s="725"/>
      <c r="EF472" s="725"/>
      <c r="EG472" s="725"/>
      <c r="EH472" s="725"/>
      <c r="EI472" s="725"/>
      <c r="EJ472" s="725"/>
      <c r="EK472" s="725"/>
      <c r="EL472" s="725"/>
      <c r="EM472" s="725"/>
      <c r="EN472" s="725"/>
      <c r="EO472" s="725"/>
      <c r="EP472" s="725"/>
      <c r="EQ472" s="725"/>
      <c r="ER472" s="725"/>
      <c r="ES472" s="725"/>
      <c r="ET472" s="725"/>
      <c r="EU472" s="725"/>
      <c r="EV472" s="725"/>
      <c r="EW472" s="725"/>
      <c r="EX472" s="725"/>
      <c r="EY472" s="725"/>
      <c r="EZ472" s="725"/>
      <c r="FA472" s="725"/>
      <c r="FB472" s="725"/>
      <c r="FC472" s="725"/>
      <c r="FD472" s="725"/>
      <c r="FE472" s="725"/>
      <c r="FF472" s="725"/>
      <c r="FG472" s="725"/>
      <c r="FH472" s="725"/>
      <c r="FI472" s="724"/>
      <c r="FJ472" s="281"/>
      <c r="FK472" s="281"/>
      <c r="FL472" s="281"/>
      <c r="FM472" s="281"/>
      <c r="FN472" s="281"/>
      <c r="FO472" s="281"/>
      <c r="FP472" s="281"/>
      <c r="FQ472" s="281"/>
      <c r="FR472" s="281"/>
      <c r="FS472" s="281"/>
      <c r="FT472" s="377"/>
      <c r="FU472" s="377"/>
      <c r="FV472" s="377"/>
      <c r="FW472" s="377"/>
      <c r="FX472" s="377"/>
      <c r="FY472" s="259"/>
      <c r="FZ472" s="259"/>
      <c r="GA472" s="259"/>
      <c r="GB472" s="259"/>
      <c r="GC472" s="259"/>
      <c r="GD472" s="259"/>
      <c r="GE472" s="259"/>
      <c r="GF472" s="259"/>
      <c r="GG472" s="259"/>
      <c r="GH472" s="259"/>
      <c r="GI472" s="259"/>
      <c r="GJ472" s="259"/>
      <c r="GK472" s="259"/>
      <c r="GL472" s="259"/>
      <c r="GM472" s="259"/>
      <c r="GN472" s="259"/>
      <c r="GO472" s="259"/>
      <c r="GP472" s="259"/>
      <c r="GQ472" s="259"/>
      <c r="GR472" s="259"/>
      <c r="GS472" s="259"/>
      <c r="GT472" s="259"/>
      <c r="GU472" s="259"/>
      <c r="GV472" s="259"/>
    </row>
    <row r="473" spans="1:204" s="743" customFormat="1" ht="22.8">
      <c r="A473" s="728"/>
      <c r="B473" s="729"/>
      <c r="C473" s="729"/>
      <c r="D473" s="730"/>
      <c r="E473" s="731"/>
      <c r="F473" s="731"/>
      <c r="G473" s="731"/>
      <c r="H473" s="731"/>
      <c r="I473" s="731"/>
      <c r="J473" s="732"/>
      <c r="K473" s="732"/>
      <c r="L473" s="732"/>
      <c r="M473" s="733"/>
      <c r="N473" s="733"/>
      <c r="O473" s="733"/>
      <c r="P473" s="733"/>
      <c r="Q473" s="733"/>
      <c r="R473" s="733"/>
      <c r="S473" s="733"/>
      <c r="T473" s="733"/>
      <c r="U473" s="733"/>
      <c r="V473" s="733"/>
      <c r="W473" s="733"/>
      <c r="X473" s="733"/>
      <c r="Y473" s="733"/>
      <c r="Z473" s="733"/>
      <c r="AA473" s="733"/>
      <c r="AB473" s="733"/>
      <c r="AC473" s="733"/>
      <c r="AD473" s="733"/>
      <c r="AE473" s="733"/>
      <c r="AF473" s="733"/>
      <c r="AG473" s="733"/>
      <c r="AH473" s="733"/>
      <c r="AI473" s="733"/>
      <c r="AJ473" s="733"/>
      <c r="AK473" s="733"/>
      <c r="AL473" s="733"/>
      <c r="AM473" s="733"/>
      <c r="AN473" s="733"/>
      <c r="AO473" s="733"/>
      <c r="AP473" s="733"/>
      <c r="AQ473" s="733"/>
      <c r="AR473" s="733"/>
      <c r="AS473" s="733"/>
      <c r="AT473" s="733"/>
      <c r="AU473" s="733"/>
      <c r="AV473" s="733"/>
      <c r="AW473" s="733"/>
      <c r="AX473" s="733"/>
      <c r="AY473" s="733"/>
      <c r="AZ473" s="733"/>
      <c r="BA473" s="733"/>
      <c r="BB473" s="733"/>
      <c r="BC473" s="733"/>
      <c r="BD473" s="733"/>
      <c r="BE473" s="733"/>
      <c r="BF473" s="733"/>
      <c r="BG473" s="733"/>
      <c r="BH473" s="733"/>
      <c r="BI473" s="733"/>
      <c r="BJ473" s="733"/>
      <c r="BK473" s="733"/>
      <c r="BL473" s="733"/>
      <c r="BM473" s="733"/>
      <c r="BN473" s="734"/>
      <c r="BO473" s="734"/>
      <c r="BP473" s="734"/>
      <c r="BQ473" s="734"/>
      <c r="BR473" s="734"/>
      <c r="BS473" s="734"/>
      <c r="BT473" s="734"/>
      <c r="BU473" s="734"/>
      <c r="BV473" s="734"/>
      <c r="BW473" s="734"/>
      <c r="BX473" s="734"/>
      <c r="BY473" s="734"/>
      <c r="BZ473" s="734"/>
      <c r="CA473" s="734"/>
      <c r="CB473" s="733"/>
      <c r="CC473" s="733"/>
      <c r="CD473" s="733"/>
      <c r="CE473" s="733"/>
      <c r="CF473" s="733"/>
      <c r="CG473" s="734"/>
      <c r="CH473" s="734"/>
      <c r="CI473" s="734"/>
      <c r="CJ473" s="734"/>
      <c r="CK473" s="734"/>
      <c r="CL473" s="733"/>
      <c r="CM473" s="733"/>
      <c r="CN473" s="733"/>
      <c r="CO473" s="735"/>
      <c r="CP473" s="735"/>
      <c r="CQ473" s="735"/>
      <c r="CR473" s="734"/>
      <c r="CS473" s="734"/>
      <c r="CT473" s="734"/>
      <c r="CU473" s="736"/>
      <c r="CV473" s="735"/>
      <c r="CW473" s="737" t="str">
        <f ca="1">IF(FL$1=0,"",IF(CO461="","",IF(programma!A$300="goltsteindocentversie","",IF(Blad1!AY$3=0,"Wil je de feedback zien dan moet je eerst via je docent een proefabonnement aanvragen.",IF(AND(FN466+FN467+FN468+FN469+FN470+FN471=6,FM461=1),"Proficiat! Je hebt de stof onder controle en bent klaar met deze presentatie.",IF(FM461=1,"Proficiat! Je hebt de stof onder controle.",""))))))</f>
        <v/>
      </c>
      <c r="CX473" s="734"/>
      <c r="CY473" s="734"/>
      <c r="CZ473" s="734"/>
      <c r="DA473" s="738"/>
      <c r="DB473" s="739"/>
      <c r="DC473" s="739"/>
      <c r="DD473" s="739"/>
      <c r="DE473" s="739"/>
      <c r="DF473" s="739"/>
      <c r="DG473" s="739"/>
      <c r="DH473" s="739"/>
      <c r="DI473" s="739"/>
      <c r="DJ473" s="739"/>
      <c r="DK473" s="739"/>
      <c r="DL473" s="739"/>
      <c r="DM473" s="739"/>
      <c r="DN473" s="739"/>
      <c r="DO473" s="739"/>
      <c r="DP473" s="739"/>
      <c r="DQ473" s="739"/>
      <c r="DR473" s="739"/>
      <c r="DS473" s="739"/>
      <c r="DT473" s="739"/>
      <c r="DU473" s="739"/>
      <c r="DV473" s="739"/>
      <c r="DW473" s="739"/>
      <c r="DX473" s="739"/>
      <c r="DY473" s="739"/>
      <c r="DZ473" s="739"/>
      <c r="EA473" s="739"/>
      <c r="EB473" s="739"/>
      <c r="EC473" s="739"/>
      <c r="ED473" s="739"/>
      <c r="EE473" s="739"/>
      <c r="EF473" s="739"/>
      <c r="EG473" s="739"/>
      <c r="EH473" s="739"/>
      <c r="EI473" s="739"/>
      <c r="EJ473" s="739"/>
      <c r="EK473" s="739"/>
      <c r="EL473" s="739"/>
      <c r="EM473" s="739"/>
      <c r="EN473" s="739"/>
      <c r="EO473" s="739"/>
      <c r="EP473" s="739"/>
      <c r="EQ473" s="739"/>
      <c r="ER473" s="739"/>
      <c r="ES473" s="739"/>
      <c r="ET473" s="739"/>
      <c r="EU473" s="739"/>
      <c r="EV473" s="739"/>
      <c r="EW473" s="739"/>
      <c r="EX473" s="739"/>
      <c r="EY473" s="739"/>
      <c r="EZ473" s="739"/>
      <c r="FA473" s="739"/>
      <c r="FB473" s="739"/>
      <c r="FC473" s="739"/>
      <c r="FD473" s="739"/>
      <c r="FE473" s="739"/>
      <c r="FF473" s="739"/>
      <c r="FG473" s="739"/>
      <c r="FH473" s="739"/>
      <c r="FI473" s="733"/>
      <c r="FJ473" s="740"/>
      <c r="FK473" s="740"/>
      <c r="FL473" s="740"/>
      <c r="FM473" s="740"/>
      <c r="FN473" s="741"/>
      <c r="FO473" s="741"/>
      <c r="FP473" s="741"/>
      <c r="FQ473" s="741"/>
      <c r="FR473" s="741"/>
      <c r="FS473" s="741"/>
      <c r="FT473" s="741"/>
      <c r="FU473" s="741"/>
      <c r="FV473" s="741"/>
      <c r="FW473" s="741"/>
      <c r="FX473" s="741"/>
      <c r="FY473" s="741"/>
      <c r="FZ473" s="741"/>
      <c r="GA473" s="742"/>
      <c r="GB473" s="742"/>
      <c r="GC473" s="742"/>
      <c r="GD473" s="742"/>
      <c r="GE473" s="742"/>
      <c r="GF473" s="742"/>
      <c r="GG473" s="742"/>
      <c r="GH473" s="742"/>
      <c r="GI473" s="742"/>
      <c r="GJ473" s="742"/>
      <c r="GK473" s="742"/>
      <c r="GL473" s="742"/>
      <c r="GM473" s="742"/>
      <c r="GN473" s="742"/>
      <c r="GO473" s="742"/>
      <c r="GP473" s="742"/>
      <c r="GQ473" s="259"/>
      <c r="GR473" s="259"/>
      <c r="GS473" s="259"/>
      <c r="GT473" s="259"/>
      <c r="GU473" s="259"/>
      <c r="GV473" s="259"/>
    </row>
    <row r="474" spans="1:204" s="743" customFormat="1" ht="22.8">
      <c r="A474" s="728"/>
      <c r="B474" s="729"/>
      <c r="C474" s="729"/>
      <c r="D474" s="730"/>
      <c r="E474" s="731"/>
      <c r="F474" s="731"/>
      <c r="G474" s="731"/>
      <c r="H474" s="731"/>
      <c r="I474" s="731"/>
      <c r="J474" s="732"/>
      <c r="K474" s="732"/>
      <c r="L474" s="732"/>
      <c r="M474" s="733"/>
      <c r="N474" s="733"/>
      <c r="O474" s="733"/>
      <c r="P474" s="733"/>
      <c r="Q474" s="733"/>
      <c r="R474" s="733"/>
      <c r="S474" s="733"/>
      <c r="T474" s="733"/>
      <c r="U474" s="733"/>
      <c r="V474" s="733"/>
      <c r="W474" s="733"/>
      <c r="X474" s="733"/>
      <c r="Y474" s="733"/>
      <c r="Z474" s="733"/>
      <c r="AA474" s="733"/>
      <c r="AB474" s="733"/>
      <c r="AC474" s="733"/>
      <c r="AD474" s="733"/>
      <c r="AE474" s="733"/>
      <c r="AF474" s="733"/>
      <c r="AG474" s="733"/>
      <c r="AH474" s="733"/>
      <c r="AI474" s="733"/>
      <c r="AJ474" s="733"/>
      <c r="AK474" s="733"/>
      <c r="AL474" s="733"/>
      <c r="AM474" s="733"/>
      <c r="AN474" s="733"/>
      <c r="AO474" s="733"/>
      <c r="AP474" s="733"/>
      <c r="AQ474" s="733"/>
      <c r="AR474" s="733"/>
      <c r="AS474" s="733"/>
      <c r="AT474" s="733"/>
      <c r="AU474" s="733"/>
      <c r="AV474" s="733"/>
      <c r="AW474" s="733"/>
      <c r="AX474" s="733"/>
      <c r="AY474" s="733"/>
      <c r="AZ474" s="733"/>
      <c r="BA474" s="733"/>
      <c r="BB474" s="733"/>
      <c r="BC474" s="733"/>
      <c r="BD474" s="733"/>
      <c r="BE474" s="733"/>
      <c r="BF474" s="733"/>
      <c r="BG474" s="733"/>
      <c r="BH474" s="733"/>
      <c r="BI474" s="733"/>
      <c r="BJ474" s="733"/>
      <c r="BK474" s="733"/>
      <c r="BL474" s="733"/>
      <c r="BM474" s="733"/>
      <c r="BN474" s="734"/>
      <c r="BO474" s="734"/>
      <c r="BP474" s="734"/>
      <c r="BQ474" s="734"/>
      <c r="BR474" s="734"/>
      <c r="BS474" s="734"/>
      <c r="BT474" s="734"/>
      <c r="BU474" s="734"/>
      <c r="BV474" s="734"/>
      <c r="BW474" s="734"/>
      <c r="BX474" s="734"/>
      <c r="BY474" s="734"/>
      <c r="BZ474" s="734"/>
      <c r="CA474" s="734"/>
      <c r="CB474" s="733"/>
      <c r="CC474" s="733"/>
      <c r="CD474" s="733"/>
      <c r="CE474" s="733"/>
      <c r="CF474" s="733"/>
      <c r="CG474" s="734"/>
      <c r="CH474" s="734"/>
      <c r="CI474" s="734"/>
      <c r="CJ474" s="734"/>
      <c r="CK474" s="734"/>
      <c r="CL474" s="733"/>
      <c r="CM474" s="733"/>
      <c r="CN474" s="733"/>
      <c r="CO474" s="735"/>
      <c r="CP474" s="735"/>
      <c r="CQ474" s="735"/>
      <c r="CR474" s="734"/>
      <c r="CS474" s="734"/>
      <c r="CT474" s="734"/>
      <c r="CU474" s="736"/>
      <c r="CV474" s="735"/>
      <c r="CW474" s="737" t="str">
        <f ca="1">IF(FL$1=0,"",IF(CO461="","",IF(programma!A$300="goltsteindocentversie","",IF(Blad1!AY$3=0,"Je moet vervolgens vóór het invoeren van het licentienummer en de toegangscode in het vak",IF(AND(FO466+FO467+FO468+FO469+FO470+FO471&lt;6,FN466+FN467+FN468+FN469+FN470+FN471&lt;6),"Je krijgt pas te zien welke vraag fout is beantwoord, als je de betreffende les helemaal af hebt gemaakt.","")))))</f>
        <v/>
      </c>
      <c r="CX474" s="734"/>
      <c r="CY474" s="734"/>
      <c r="CZ474" s="734"/>
      <c r="DA474" s="738"/>
      <c r="DB474" s="739"/>
      <c r="DC474" s="739"/>
      <c r="DD474" s="739"/>
      <c r="DE474" s="739"/>
      <c r="DF474" s="739"/>
      <c r="DG474" s="739"/>
      <c r="DH474" s="739"/>
      <c r="DI474" s="739"/>
      <c r="DJ474" s="739"/>
      <c r="DK474" s="739"/>
      <c r="DL474" s="739"/>
      <c r="DM474" s="739"/>
      <c r="DN474" s="739"/>
      <c r="DO474" s="739"/>
      <c r="DP474" s="739"/>
      <c r="DQ474" s="739"/>
      <c r="DR474" s="739"/>
      <c r="DS474" s="739"/>
      <c r="DT474" s="739"/>
      <c r="DU474" s="739"/>
      <c r="DV474" s="739"/>
      <c r="DW474" s="739"/>
      <c r="DX474" s="739"/>
      <c r="DY474" s="739"/>
      <c r="DZ474" s="739"/>
      <c r="EA474" s="739"/>
      <c r="EB474" s="739"/>
      <c r="EC474" s="739"/>
      <c r="ED474" s="739"/>
      <c r="EE474" s="739"/>
      <c r="EF474" s="739"/>
      <c r="EG474" s="739"/>
      <c r="EH474" s="739"/>
      <c r="EI474" s="739"/>
      <c r="EJ474" s="739"/>
      <c r="EK474" s="739"/>
      <c r="EL474" s="739"/>
      <c r="EM474" s="739"/>
      <c r="EN474" s="739"/>
      <c r="EO474" s="739"/>
      <c r="EP474" s="739"/>
      <c r="EQ474" s="739"/>
      <c r="ER474" s="739"/>
      <c r="ES474" s="739"/>
      <c r="ET474" s="739"/>
      <c r="EU474" s="739"/>
      <c r="EV474" s="739"/>
      <c r="EW474" s="739"/>
      <c r="EX474" s="739"/>
      <c r="EY474" s="739"/>
      <c r="EZ474" s="739"/>
      <c r="FA474" s="739"/>
      <c r="FB474" s="739"/>
      <c r="FC474" s="739"/>
      <c r="FD474" s="739"/>
      <c r="FE474" s="739"/>
      <c r="FF474" s="739"/>
      <c r="FG474" s="739"/>
      <c r="FH474" s="739"/>
      <c r="FI474" s="733"/>
      <c r="FJ474" s="740"/>
      <c r="FK474" s="740"/>
      <c r="FL474" s="740"/>
      <c r="FM474" s="740"/>
      <c r="FN474" s="741"/>
      <c r="FO474" s="741"/>
      <c r="FP474" s="741"/>
      <c r="FQ474" s="741"/>
      <c r="FR474" s="741"/>
      <c r="FS474" s="741"/>
      <c r="FT474" s="741"/>
      <c r="FU474" s="741"/>
      <c r="FV474" s="741"/>
      <c r="FW474" s="741"/>
      <c r="FX474" s="741"/>
      <c r="FY474" s="741"/>
      <c r="FZ474" s="741"/>
      <c r="GA474" s="742"/>
      <c r="GB474" s="742"/>
      <c r="GC474" s="742"/>
      <c r="GD474" s="742"/>
      <c r="GE474" s="742"/>
      <c r="GF474" s="742"/>
      <c r="GG474" s="742"/>
      <c r="GH474" s="742"/>
      <c r="GI474" s="742"/>
      <c r="GJ474" s="742"/>
      <c r="GK474" s="742"/>
      <c r="GL474" s="742"/>
      <c r="GM474" s="742"/>
      <c r="GN474" s="742"/>
      <c r="GO474" s="742"/>
      <c r="GP474" s="742"/>
      <c r="GQ474" s="259"/>
      <c r="GR474" s="259"/>
      <c r="GS474" s="259"/>
      <c r="GT474" s="259"/>
      <c r="GU474" s="259"/>
      <c r="GV474" s="259"/>
    </row>
    <row r="475" spans="1:204" s="743" customFormat="1" ht="22.8">
      <c r="A475" s="728"/>
      <c r="B475" s="729"/>
      <c r="C475" s="729"/>
      <c r="D475" s="730"/>
      <c r="E475" s="731"/>
      <c r="F475" s="731"/>
      <c r="G475" s="731"/>
      <c r="H475" s="731"/>
      <c r="I475" s="731"/>
      <c r="J475" s="732"/>
      <c r="K475" s="732"/>
      <c r="L475" s="732"/>
      <c r="M475" s="733"/>
      <c r="N475" s="733"/>
      <c r="O475" s="733"/>
      <c r="P475" s="733"/>
      <c r="Q475" s="733"/>
      <c r="R475" s="733"/>
      <c r="S475" s="733"/>
      <c r="T475" s="733"/>
      <c r="U475" s="733"/>
      <c r="V475" s="733"/>
      <c r="W475" s="733"/>
      <c r="X475" s="733"/>
      <c r="Y475" s="733"/>
      <c r="Z475" s="733"/>
      <c r="AA475" s="733"/>
      <c r="AB475" s="733"/>
      <c r="AC475" s="733"/>
      <c r="AD475" s="733"/>
      <c r="AE475" s="733"/>
      <c r="AF475" s="733"/>
      <c r="AG475" s="733"/>
      <c r="AH475" s="733"/>
      <c r="AI475" s="733"/>
      <c r="AJ475" s="733"/>
      <c r="AK475" s="733"/>
      <c r="AL475" s="733"/>
      <c r="AM475" s="733"/>
      <c r="AN475" s="733"/>
      <c r="AO475" s="733"/>
      <c r="AP475" s="733"/>
      <c r="AQ475" s="733"/>
      <c r="AR475" s="733"/>
      <c r="AS475" s="733"/>
      <c r="AT475" s="733"/>
      <c r="AU475" s="733"/>
      <c r="AV475" s="733"/>
      <c r="AW475" s="733"/>
      <c r="AX475" s="733"/>
      <c r="AY475" s="733"/>
      <c r="AZ475" s="733"/>
      <c r="BA475" s="733"/>
      <c r="BB475" s="733"/>
      <c r="BC475" s="733"/>
      <c r="BD475" s="733"/>
      <c r="BE475" s="733"/>
      <c r="BF475" s="733"/>
      <c r="BG475" s="733"/>
      <c r="BH475" s="733"/>
      <c r="BI475" s="733"/>
      <c r="BJ475" s="733"/>
      <c r="BK475" s="733"/>
      <c r="BL475" s="733"/>
      <c r="BM475" s="733"/>
      <c r="BN475" s="734"/>
      <c r="BO475" s="734"/>
      <c r="BP475" s="734"/>
      <c r="BQ475" s="734"/>
      <c r="BR475" s="734"/>
      <c r="BS475" s="734"/>
      <c r="BT475" s="734"/>
      <c r="BU475" s="734"/>
      <c r="BV475" s="734"/>
      <c r="BW475" s="734"/>
      <c r="BX475" s="734"/>
      <c r="BY475" s="734"/>
      <c r="BZ475" s="734"/>
      <c r="CA475" s="734"/>
      <c r="CB475" s="733"/>
      <c r="CC475" s="733"/>
      <c r="CD475" s="733"/>
      <c r="CE475" s="733"/>
      <c r="CF475" s="733"/>
      <c r="CG475" s="734"/>
      <c r="CH475" s="734"/>
      <c r="CI475" s="734"/>
      <c r="CJ475" s="734"/>
      <c r="CK475" s="734"/>
      <c r="CL475" s="733"/>
      <c r="CM475" s="733"/>
      <c r="CN475" s="733"/>
      <c r="CO475" s="735"/>
      <c r="CP475" s="735"/>
      <c r="CQ475" s="735"/>
      <c r="CR475" s="734"/>
      <c r="CS475" s="734"/>
      <c r="CT475" s="734"/>
      <c r="CU475" s="736"/>
      <c r="CV475" s="735"/>
      <c r="CW475" s="737" t="str">
        <f ca="1">IF(FL$1=0,"",IF(CO461="","",IF(programma!A$300="goltsteindocentversie",FL478,IF(AND(Blad1!AY$3&gt;0,CR478="X"),"Als je de ''X'' hieronder weghaalt, veranderen de getallen in de opgaven en kun je opnieuw beginnen.",IF(Blad1!AY$3=0,"hieronder een X zetten, anders past het programma de getallen aan, waardoor veel fout is.","")))))</f>
        <v/>
      </c>
      <c r="CX475" s="734"/>
      <c r="CY475" s="734"/>
      <c r="CZ475" s="734"/>
      <c r="DA475" s="738"/>
      <c r="DB475" s="739"/>
      <c r="DC475" s="739"/>
      <c r="DD475" s="739"/>
      <c r="DE475" s="739"/>
      <c r="DF475" s="739"/>
      <c r="DG475" s="739"/>
      <c r="DH475" s="739"/>
      <c r="DI475" s="739"/>
      <c r="DJ475" s="739"/>
      <c r="DK475" s="739"/>
      <c r="DL475" s="739"/>
      <c r="DM475" s="739"/>
      <c r="DN475" s="739"/>
      <c r="DO475" s="739"/>
      <c r="DP475" s="739"/>
      <c r="DQ475" s="739"/>
      <c r="DR475" s="739"/>
      <c r="DS475" s="739"/>
      <c r="DT475" s="739"/>
      <c r="DU475" s="739"/>
      <c r="DV475" s="739"/>
      <c r="DW475" s="739"/>
      <c r="DX475" s="739"/>
      <c r="DY475" s="739"/>
      <c r="DZ475" s="739"/>
      <c r="EA475" s="739"/>
      <c r="EB475" s="739"/>
      <c r="EC475" s="739"/>
      <c r="ED475" s="739"/>
      <c r="EE475" s="739"/>
      <c r="EF475" s="739"/>
      <c r="EG475" s="739"/>
      <c r="EH475" s="739"/>
      <c r="EI475" s="739"/>
      <c r="EJ475" s="739"/>
      <c r="EK475" s="739"/>
      <c r="EL475" s="739"/>
      <c r="EM475" s="739"/>
      <c r="EN475" s="739"/>
      <c r="EO475" s="739"/>
      <c r="EP475" s="739"/>
      <c r="EQ475" s="739"/>
      <c r="ER475" s="739"/>
      <c r="ES475" s="739"/>
      <c r="ET475" s="739"/>
      <c r="EU475" s="739"/>
      <c r="EV475" s="739"/>
      <c r="EW475" s="739"/>
      <c r="EX475" s="739"/>
      <c r="EY475" s="739"/>
      <c r="EZ475" s="739"/>
      <c r="FA475" s="739"/>
      <c r="FB475" s="739"/>
      <c r="FC475" s="739"/>
      <c r="FD475" s="739"/>
      <c r="FE475" s="739"/>
      <c r="FF475" s="739"/>
      <c r="FG475" s="739"/>
      <c r="FH475" s="739"/>
      <c r="FI475" s="733"/>
      <c r="FJ475" s="740"/>
      <c r="FK475" s="740"/>
      <c r="FL475" s="740"/>
      <c r="FM475" s="740"/>
      <c r="FN475" s="741"/>
      <c r="FO475" s="741"/>
      <c r="FP475" s="741"/>
      <c r="FQ475" s="741"/>
      <c r="FR475" s="741"/>
      <c r="FS475" s="741"/>
      <c r="FT475" s="741"/>
      <c r="FU475" s="741"/>
      <c r="FV475" s="741"/>
      <c r="FW475" s="741"/>
      <c r="FX475" s="741"/>
      <c r="FY475" s="741"/>
      <c r="FZ475" s="741"/>
      <c r="GA475" s="742"/>
      <c r="GB475" s="742"/>
      <c r="GC475" s="742"/>
      <c r="GD475" s="742"/>
      <c r="GE475" s="742"/>
      <c r="GF475" s="742"/>
      <c r="GG475" s="742"/>
      <c r="GH475" s="742"/>
      <c r="GI475" s="742"/>
      <c r="GJ475" s="742"/>
      <c r="GK475" s="742"/>
      <c r="GL475" s="742"/>
      <c r="GM475" s="742"/>
      <c r="GN475" s="742"/>
      <c r="GO475" s="742"/>
      <c r="GP475" s="742"/>
      <c r="GQ475" s="259"/>
      <c r="GR475" s="259"/>
      <c r="GS475" s="259"/>
      <c r="GT475" s="259"/>
      <c r="GU475" s="259"/>
      <c r="GV475" s="259"/>
    </row>
    <row r="476" spans="1:204" s="743" customFormat="1" ht="9" customHeight="1">
      <c r="A476" s="728"/>
      <c r="B476" s="729"/>
      <c r="C476" s="729"/>
      <c r="D476" s="730"/>
      <c r="E476" s="731"/>
      <c r="F476" s="731"/>
      <c r="G476" s="731"/>
      <c r="H476" s="731"/>
      <c r="I476" s="731"/>
      <c r="J476" s="732"/>
      <c r="K476" s="732"/>
      <c r="L476" s="732"/>
      <c r="M476" s="733"/>
      <c r="N476" s="733"/>
      <c r="O476" s="733"/>
      <c r="P476" s="733"/>
      <c r="Q476" s="733"/>
      <c r="R476" s="733"/>
      <c r="S476" s="733"/>
      <c r="T476" s="733"/>
      <c r="U476" s="733"/>
      <c r="V476" s="733"/>
      <c r="W476" s="733"/>
      <c r="X476" s="733"/>
      <c r="Y476" s="733"/>
      <c r="Z476" s="733"/>
      <c r="AA476" s="733"/>
      <c r="AB476" s="733"/>
      <c r="AC476" s="733"/>
      <c r="AD476" s="733"/>
      <c r="AE476" s="733"/>
      <c r="AF476" s="733"/>
      <c r="AG476" s="733"/>
      <c r="AH476" s="744"/>
      <c r="AI476" s="744"/>
      <c r="AJ476" s="733"/>
      <c r="AK476" s="733"/>
      <c r="AL476" s="733"/>
      <c r="AM476" s="733"/>
      <c r="AN476" s="733"/>
      <c r="AO476" s="733"/>
      <c r="AP476" s="733"/>
      <c r="AQ476" s="744"/>
      <c r="AR476" s="744"/>
      <c r="AS476" s="733"/>
      <c r="AT476" s="733"/>
      <c r="AU476" s="733"/>
      <c r="AV476" s="733"/>
      <c r="AW476" s="733"/>
      <c r="AX476" s="744"/>
      <c r="AY476" s="744"/>
      <c r="AZ476" s="744"/>
      <c r="BA476" s="744"/>
      <c r="BB476" s="744"/>
      <c r="BC476" s="733"/>
      <c r="BD476" s="733"/>
      <c r="BE476" s="733"/>
      <c r="BF476" s="733"/>
      <c r="BG476" s="733"/>
      <c r="BH476" s="733"/>
      <c r="BI476" s="733"/>
      <c r="BJ476" s="733"/>
      <c r="BK476" s="733"/>
      <c r="BL476" s="733"/>
      <c r="BM476" s="733"/>
      <c r="BN476" s="745"/>
      <c r="BO476" s="745"/>
      <c r="BP476" s="745"/>
      <c r="BQ476" s="745"/>
      <c r="BR476" s="745"/>
      <c r="BS476" s="745"/>
      <c r="BT476" s="745"/>
      <c r="BU476" s="745"/>
      <c r="BV476" s="745"/>
      <c r="BW476" s="745"/>
      <c r="BX476" s="745"/>
      <c r="BY476" s="745"/>
      <c r="BZ476" s="745"/>
      <c r="CA476" s="745"/>
      <c r="CB476" s="744"/>
      <c r="CC476" s="744"/>
      <c r="CD476" s="744"/>
      <c r="CE476" s="744"/>
      <c r="CF476" s="744"/>
      <c r="CG476" s="745"/>
      <c r="CH476" s="745"/>
      <c r="CI476" s="745"/>
      <c r="CJ476" s="745"/>
      <c r="CK476" s="745"/>
      <c r="CL476" s="744"/>
      <c r="CM476" s="744"/>
      <c r="CN476" s="744"/>
      <c r="CO476" s="735"/>
      <c r="CP476" s="735"/>
      <c r="CQ476" s="735"/>
      <c r="CR476" s="745"/>
      <c r="CS476" s="745"/>
      <c r="CT476" s="745"/>
      <c r="CU476" s="736"/>
      <c r="CV476" s="735"/>
      <c r="CW476" s="737"/>
      <c r="CX476" s="745"/>
      <c r="CY476" s="745"/>
      <c r="CZ476" s="745"/>
      <c r="DA476" s="738"/>
      <c r="DB476" s="746"/>
      <c r="DC476" s="746"/>
      <c r="DD476" s="746"/>
      <c r="DE476" s="746"/>
      <c r="DF476" s="746"/>
      <c r="DG476" s="746"/>
      <c r="DH476" s="746"/>
      <c r="DI476" s="746"/>
      <c r="DJ476" s="746"/>
      <c r="DK476" s="746"/>
      <c r="DL476" s="746"/>
      <c r="DM476" s="746"/>
      <c r="DN476" s="746"/>
      <c r="DO476" s="746"/>
      <c r="DP476" s="746"/>
      <c r="DQ476" s="746"/>
      <c r="DR476" s="746"/>
      <c r="DS476" s="746"/>
      <c r="DT476" s="746"/>
      <c r="DU476" s="746"/>
      <c r="DV476" s="746"/>
      <c r="DW476" s="746"/>
      <c r="DX476" s="746"/>
      <c r="DY476" s="746"/>
      <c r="DZ476" s="746"/>
      <c r="EA476" s="746"/>
      <c r="EB476" s="746"/>
      <c r="EC476" s="746"/>
      <c r="ED476" s="746"/>
      <c r="EE476" s="746"/>
      <c r="EF476" s="746"/>
      <c r="EG476" s="746"/>
      <c r="EH476" s="746"/>
      <c r="EI476" s="746"/>
      <c r="EJ476" s="746"/>
      <c r="EK476" s="746"/>
      <c r="EL476" s="746"/>
      <c r="EM476" s="746"/>
      <c r="EN476" s="746"/>
      <c r="EO476" s="746"/>
      <c r="EP476" s="746"/>
      <c r="EQ476" s="746"/>
      <c r="ER476" s="746"/>
      <c r="ES476" s="746"/>
      <c r="ET476" s="746"/>
      <c r="EU476" s="746"/>
      <c r="EV476" s="746"/>
      <c r="EW476" s="746"/>
      <c r="EX476" s="746"/>
      <c r="EY476" s="746"/>
      <c r="EZ476" s="746"/>
      <c r="FA476" s="746"/>
      <c r="FB476" s="746"/>
      <c r="FC476" s="746"/>
      <c r="FD476" s="746"/>
      <c r="FE476" s="746"/>
      <c r="FF476" s="746"/>
      <c r="FG476" s="746"/>
      <c r="FH476" s="746"/>
      <c r="FI476" s="733"/>
      <c r="FJ476" s="740"/>
      <c r="FK476" s="740"/>
      <c r="FL476" s="740"/>
      <c r="FM476" s="740"/>
      <c r="FN476" s="741"/>
      <c r="FO476" s="741"/>
      <c r="FP476" s="741"/>
      <c r="FQ476" s="741"/>
      <c r="FR476" s="741"/>
      <c r="FS476" s="741"/>
      <c r="FT476" s="741"/>
      <c r="FU476" s="741"/>
      <c r="FV476" s="741"/>
      <c r="FW476" s="741"/>
      <c r="FX476" s="741"/>
      <c r="FY476" s="741"/>
      <c r="FZ476" s="741"/>
      <c r="GA476" s="742"/>
      <c r="GB476" s="742"/>
      <c r="GC476" s="742"/>
      <c r="GD476" s="742"/>
      <c r="GE476" s="742"/>
      <c r="GF476" s="742"/>
      <c r="GG476" s="742"/>
      <c r="GH476" s="742"/>
      <c r="GI476" s="742"/>
      <c r="GJ476" s="742"/>
      <c r="GK476" s="742"/>
      <c r="GL476" s="742"/>
      <c r="GM476" s="742"/>
      <c r="GN476" s="742"/>
      <c r="GO476" s="742"/>
      <c r="GP476" s="742"/>
      <c r="GQ476" s="259"/>
      <c r="GR476" s="259"/>
      <c r="GS476" s="259"/>
      <c r="GT476" s="259"/>
      <c r="GU476" s="259"/>
      <c r="GV476" s="259"/>
    </row>
    <row r="477" spans="1:204" s="743" customFormat="1" ht="3.6" customHeight="1">
      <c r="A477" s="728"/>
      <c r="B477" s="729"/>
      <c r="C477" s="729"/>
      <c r="D477" s="730"/>
      <c r="E477" s="731"/>
      <c r="F477" s="731"/>
      <c r="G477" s="731"/>
      <c r="H477" s="731"/>
      <c r="I477" s="731"/>
      <c r="J477" s="732"/>
      <c r="K477" s="732"/>
      <c r="L477" s="732"/>
      <c r="M477" s="733"/>
      <c r="N477" s="733"/>
      <c r="O477" s="733"/>
      <c r="P477" s="733"/>
      <c r="Q477" s="733"/>
      <c r="R477" s="733"/>
      <c r="S477" s="733"/>
      <c r="T477" s="733"/>
      <c r="U477" s="733"/>
      <c r="V477" s="733"/>
      <c r="W477" s="733"/>
      <c r="X477" s="733"/>
      <c r="Y477" s="733"/>
      <c r="Z477" s="733"/>
      <c r="AA477" s="733"/>
      <c r="AB477" s="733"/>
      <c r="AC477" s="733"/>
      <c r="AD477" s="733"/>
      <c r="AE477" s="733"/>
      <c r="AF477" s="733"/>
      <c r="AG477" s="733"/>
      <c r="AH477" s="744"/>
      <c r="AI477" s="744"/>
      <c r="AJ477" s="733"/>
      <c r="AK477" s="733"/>
      <c r="AL477" s="733"/>
      <c r="AM477" s="733"/>
      <c r="AN477" s="733"/>
      <c r="AO477" s="733"/>
      <c r="AP477" s="733"/>
      <c r="AQ477" s="744"/>
      <c r="AR477" s="744"/>
      <c r="AS477" s="733"/>
      <c r="AT477" s="733"/>
      <c r="AU477" s="733"/>
      <c r="AV477" s="733"/>
      <c r="AW477" s="733"/>
      <c r="AX477" s="744"/>
      <c r="AY477" s="744"/>
      <c r="AZ477" s="744"/>
      <c r="BA477" s="744"/>
      <c r="BB477" s="744"/>
      <c r="BC477" s="733"/>
      <c r="BD477" s="733"/>
      <c r="BE477" s="733"/>
      <c r="BF477" s="733"/>
      <c r="BG477" s="733"/>
      <c r="BH477" s="733"/>
      <c r="BI477" s="733"/>
      <c r="BJ477" s="733"/>
      <c r="BK477" s="733"/>
      <c r="BL477" s="733"/>
      <c r="BM477" s="733"/>
      <c r="BN477" s="745"/>
      <c r="BO477" s="745"/>
      <c r="BP477" s="745"/>
      <c r="BQ477" s="745"/>
      <c r="BR477" s="745"/>
      <c r="BS477" s="745"/>
      <c r="BT477" s="745"/>
      <c r="BU477" s="745"/>
      <c r="BV477" s="745"/>
      <c r="BW477" s="745"/>
      <c r="BX477" s="745"/>
      <c r="BY477" s="745"/>
      <c r="BZ477" s="745"/>
      <c r="CA477" s="745"/>
      <c r="CB477" s="744"/>
      <c r="CC477" s="744"/>
      <c r="CD477" s="744"/>
      <c r="CE477" s="744"/>
      <c r="CF477" s="744"/>
      <c r="CG477" s="745"/>
      <c r="CH477" s="745"/>
      <c r="CI477" s="745"/>
      <c r="CJ477" s="745"/>
      <c r="CK477" s="745"/>
      <c r="CL477" s="744"/>
      <c r="CM477" s="744"/>
      <c r="CN477" s="744"/>
      <c r="CO477" s="735"/>
      <c r="CP477" s="735"/>
      <c r="CQ477" s="747" t="str">
        <f ca="1">IF(FL$1=0,"",IF(CR478="X",":",IF(programma!A$300="goltsteindocentversie",":",IF(programma!B$5=2,":",IF(CO461="","",IF(Blad1!AY$3=0,".",""))))))</f>
        <v/>
      </c>
      <c r="CR477" s="748"/>
      <c r="CS477" s="748"/>
      <c r="CT477" s="748"/>
      <c r="CU477" s="748"/>
      <c r="CV477" s="748"/>
      <c r="CW477" s="748"/>
      <c r="CX477" s="748"/>
      <c r="CY477" s="748"/>
      <c r="CZ477" s="749"/>
      <c r="DA477" s="744"/>
      <c r="DB477" s="744"/>
      <c r="DC477" s="744"/>
      <c r="DD477" s="746"/>
      <c r="DE477" s="746"/>
      <c r="DF477" s="746"/>
      <c r="DG477" s="746"/>
      <c r="DH477" s="746"/>
      <c r="DI477" s="746"/>
      <c r="DJ477" s="746"/>
      <c r="DK477" s="746"/>
      <c r="DL477" s="746"/>
      <c r="DM477" s="746"/>
      <c r="DN477" s="746"/>
      <c r="DO477" s="746"/>
      <c r="DP477" s="746"/>
      <c r="DQ477" s="746"/>
      <c r="DR477" s="746"/>
      <c r="DS477" s="746"/>
      <c r="DT477" s="746"/>
      <c r="DU477" s="746"/>
      <c r="DV477" s="746"/>
      <c r="DW477" s="746"/>
      <c r="DX477" s="746"/>
      <c r="DY477" s="746"/>
      <c r="DZ477" s="746"/>
      <c r="EA477" s="746"/>
      <c r="EB477" s="746"/>
      <c r="EC477" s="746"/>
      <c r="ED477" s="746"/>
      <c r="EE477" s="746"/>
      <c r="EF477" s="746"/>
      <c r="EG477" s="746"/>
      <c r="EH477" s="746"/>
      <c r="EI477" s="746"/>
      <c r="EJ477" s="746"/>
      <c r="EK477" s="746"/>
      <c r="EL477" s="746"/>
      <c r="EM477" s="746"/>
      <c r="EN477" s="746"/>
      <c r="EO477" s="746"/>
      <c r="EP477" s="746"/>
      <c r="EQ477" s="746"/>
      <c r="ER477" s="746"/>
      <c r="ES477" s="746"/>
      <c r="ET477" s="746"/>
      <c r="EU477" s="746"/>
      <c r="EV477" s="746"/>
      <c r="EW477" s="746"/>
      <c r="EX477" s="746"/>
      <c r="EY477" s="746"/>
      <c r="EZ477" s="746"/>
      <c r="FA477" s="746"/>
      <c r="FB477" s="746"/>
      <c r="FC477" s="746"/>
      <c r="FD477" s="746"/>
      <c r="FE477" s="746"/>
      <c r="FF477" s="746"/>
      <c r="FG477" s="746"/>
      <c r="FH477" s="746"/>
      <c r="FI477" s="733"/>
      <c r="FJ477" s="740"/>
      <c r="FK477" s="740"/>
      <c r="FL477" s="740"/>
      <c r="FM477" s="740"/>
      <c r="FN477" s="741"/>
      <c r="FO477" s="741"/>
      <c r="FP477" s="741"/>
      <c r="FQ477" s="741"/>
      <c r="FR477" s="741"/>
      <c r="FS477" s="741"/>
      <c r="FT477" s="741"/>
      <c r="FU477" s="741"/>
      <c r="FV477" s="741"/>
      <c r="FW477" s="741"/>
      <c r="FX477" s="741"/>
      <c r="FY477" s="741"/>
      <c r="FZ477" s="741"/>
      <c r="GA477" s="742"/>
      <c r="GB477" s="742"/>
      <c r="GC477" s="742"/>
      <c r="GD477" s="742"/>
      <c r="GE477" s="742"/>
      <c r="GF477" s="742"/>
      <c r="GG477" s="742"/>
      <c r="GH477" s="742"/>
      <c r="GI477" s="742"/>
      <c r="GJ477" s="742"/>
      <c r="GK477" s="742"/>
      <c r="GL477" s="742"/>
      <c r="GM477" s="742"/>
      <c r="GN477" s="742"/>
      <c r="GO477" s="742"/>
      <c r="GP477" s="742"/>
      <c r="GQ477" s="259"/>
      <c r="GR477" s="259"/>
      <c r="GS477" s="259"/>
      <c r="GT477" s="259"/>
      <c r="GU477" s="259"/>
      <c r="GV477" s="259"/>
    </row>
    <row r="478" spans="1:204" s="743" customFormat="1" ht="22.8">
      <c r="A478" s="728"/>
      <c r="B478" s="729"/>
      <c r="C478" s="729"/>
      <c r="D478" s="730"/>
      <c r="E478" s="731"/>
      <c r="F478" s="731"/>
      <c r="G478" s="731"/>
      <c r="H478" s="731"/>
      <c r="I478" s="731"/>
      <c r="J478" s="732"/>
      <c r="K478" s="732"/>
      <c r="L478" s="732"/>
      <c r="M478" s="733"/>
      <c r="N478" s="733"/>
      <c r="O478" s="733"/>
      <c r="P478" s="733"/>
      <c r="Q478" s="733"/>
      <c r="R478" s="733"/>
      <c r="S478" s="733"/>
      <c r="T478" s="733"/>
      <c r="U478" s="733"/>
      <c r="V478" s="733"/>
      <c r="W478" s="733"/>
      <c r="X478" s="733"/>
      <c r="Y478" s="733"/>
      <c r="Z478" s="733"/>
      <c r="AA478" s="733"/>
      <c r="AB478" s="733"/>
      <c r="AC478" s="733"/>
      <c r="AD478" s="733"/>
      <c r="AE478" s="733"/>
      <c r="AF478" s="733"/>
      <c r="AG478" s="733"/>
      <c r="AH478" s="744"/>
      <c r="AI478" s="744"/>
      <c r="AJ478" s="733"/>
      <c r="AK478" s="733"/>
      <c r="AL478" s="733"/>
      <c r="AM478" s="733"/>
      <c r="AN478" s="733"/>
      <c r="AO478" s="733"/>
      <c r="AP478" s="733"/>
      <c r="AQ478" s="744"/>
      <c r="AR478" s="744"/>
      <c r="AS478" s="733"/>
      <c r="AT478" s="733"/>
      <c r="AU478" s="733"/>
      <c r="AV478" s="733"/>
      <c r="AW478" s="733"/>
      <c r="AX478" s="744"/>
      <c r="AY478" s="744"/>
      <c r="AZ478" s="744"/>
      <c r="BA478" s="744"/>
      <c r="BB478" s="744"/>
      <c r="BC478" s="733"/>
      <c r="BD478" s="733"/>
      <c r="BE478" s="733"/>
      <c r="BF478" s="733"/>
      <c r="BG478" s="733"/>
      <c r="BH478" s="733"/>
      <c r="BI478" s="733"/>
      <c r="BJ478" s="733"/>
      <c r="BK478" s="733"/>
      <c r="BL478" s="733"/>
      <c r="BM478" s="733"/>
      <c r="BN478" s="745"/>
      <c r="BO478" s="745"/>
      <c r="BP478" s="745"/>
      <c r="BQ478" s="745"/>
      <c r="BR478" s="745"/>
      <c r="BS478" s="745"/>
      <c r="BT478" s="745"/>
      <c r="BU478" s="745"/>
      <c r="BV478" s="745"/>
      <c r="BW478" s="745"/>
      <c r="BX478" s="745"/>
      <c r="BY478" s="745"/>
      <c r="BZ478" s="745"/>
      <c r="CA478" s="745"/>
      <c r="CB478" s="744"/>
      <c r="CC478" s="744"/>
      <c r="CD478" s="744"/>
      <c r="CE478" s="744"/>
      <c r="CF478" s="744"/>
      <c r="CG478" s="745"/>
      <c r="CH478" s="745"/>
      <c r="CI478" s="745"/>
      <c r="CJ478" s="745"/>
      <c r="CK478" s="745"/>
      <c r="CL478" s="744"/>
      <c r="CM478" s="744"/>
      <c r="CN478" s="744"/>
      <c r="CO478" s="735"/>
      <c r="CP478" s="735"/>
      <c r="CQ478" s="745" t="str">
        <f ca="1">IF(FL$1=0,"",IF(CR478="X",":",IF(programma!A$300="goltsteindocentversie",":",IF(programma!B$5=2,":",IF(CO461="","",IF(Blad1!AY$3=0,".",""))))))</f>
        <v/>
      </c>
      <c r="CR478" s="750"/>
      <c r="CS478" s="551"/>
      <c r="CT478" s="551"/>
      <c r="CU478" s="551"/>
      <c r="CV478" s="551"/>
      <c r="CW478" s="551"/>
      <c r="CX478" s="551"/>
      <c r="CY478" s="751" t="str">
        <f ca="1">IF(FL$1=0,"",IF(CR478="X",":",IF(programma!A$300="goltsteindocentversie",":",IF(programma!B$5=2,":",IF(CO461="","",IF(Blad1!AY$3=0,".",""))))))</f>
        <v/>
      </c>
      <c r="CZ478" s="744"/>
      <c r="DA478" s="744"/>
      <c r="DB478" s="744"/>
      <c r="DC478" s="744"/>
      <c r="DD478" s="746"/>
      <c r="DE478" s="746"/>
      <c r="DF478" s="746"/>
      <c r="DG478" s="746"/>
      <c r="DH478" s="746"/>
      <c r="DI478" s="746"/>
      <c r="DJ478" s="746"/>
      <c r="DK478" s="746"/>
      <c r="DL478" s="746"/>
      <c r="DM478" s="746"/>
      <c r="DN478" s="746"/>
      <c r="DO478" s="746"/>
      <c r="DP478" s="746"/>
      <c r="DQ478" s="746"/>
      <c r="DR478" s="746"/>
      <c r="DS478" s="746"/>
      <c r="DT478" s="746"/>
      <c r="DU478" s="746"/>
      <c r="DV478" s="746"/>
      <c r="DW478" s="746"/>
      <c r="DX478" s="746"/>
      <c r="DY478" s="746"/>
      <c r="DZ478" s="746"/>
      <c r="EA478" s="746"/>
      <c r="EB478" s="746"/>
      <c r="EC478" s="746"/>
      <c r="ED478" s="746"/>
      <c r="EE478" s="746"/>
      <c r="EF478" s="746"/>
      <c r="EG478" s="746"/>
      <c r="EH478" s="746"/>
      <c r="EI478" s="746"/>
      <c r="EJ478" s="746"/>
      <c r="EK478" s="746"/>
      <c r="EL478" s="746"/>
      <c r="EM478" s="746"/>
      <c r="EN478" s="746"/>
      <c r="EO478" s="746"/>
      <c r="EP478" s="746"/>
      <c r="EQ478" s="746"/>
      <c r="ER478" s="746"/>
      <c r="ES478" s="746"/>
      <c r="ET478" s="746"/>
      <c r="EU478" s="746"/>
      <c r="EV478" s="746"/>
      <c r="EW478" s="746"/>
      <c r="EX478" s="746"/>
      <c r="EY478" s="746"/>
      <c r="EZ478" s="746"/>
      <c r="FA478" s="746"/>
      <c r="FB478" s="746"/>
      <c r="FC478" s="746"/>
      <c r="FD478" s="746"/>
      <c r="FE478" s="746"/>
      <c r="FF478" s="746"/>
      <c r="FG478" s="746"/>
      <c r="FH478" s="746"/>
      <c r="FI478" s="733"/>
      <c r="FJ478" s="740"/>
      <c r="FK478" s="752" t="str">
        <f ca="1">IF(FL$1=0,"",IF(CO461="","",IF(Blad1!AY$3=0,"X",IF(programma!B$5=2,"X",IF(programma!A$300="goltsteindocentversie","X","")))))</f>
        <v/>
      </c>
      <c r="FL478" s="752" t="str">
        <f>"Vul hieronder in het blauwomrande vak een ''X'' in om de versie zonder licentienummer te zien."</f>
        <v>Vul hieronder in het blauwomrande vak een ''X'' in om de versie zonder licentienummer te zien.</v>
      </c>
      <c r="FM478" s="740"/>
      <c r="FN478" s="741"/>
      <c r="FO478" s="741"/>
      <c r="FP478" s="741"/>
      <c r="FQ478" s="741"/>
      <c r="FR478" s="741"/>
      <c r="FS478" s="741"/>
      <c r="FT478" s="741"/>
      <c r="FU478" s="741"/>
      <c r="FV478" s="741"/>
      <c r="FW478" s="741"/>
      <c r="FX478" s="741"/>
      <c r="FY478" s="741"/>
      <c r="FZ478" s="741"/>
      <c r="GA478" s="742"/>
      <c r="GB478" s="742"/>
      <c r="GC478" s="742"/>
      <c r="GD478" s="742"/>
      <c r="GE478" s="742"/>
      <c r="GF478" s="742"/>
      <c r="GG478" s="742"/>
      <c r="GH478" s="742"/>
      <c r="GI478" s="742"/>
      <c r="GJ478" s="742"/>
      <c r="GK478" s="742"/>
      <c r="GL478" s="742"/>
      <c r="GM478" s="742"/>
      <c r="GN478" s="742"/>
      <c r="GO478" s="742"/>
      <c r="GP478" s="742"/>
      <c r="GQ478" s="259"/>
      <c r="GR478" s="259"/>
      <c r="GS478" s="259"/>
      <c r="GT478" s="259"/>
      <c r="GU478" s="259"/>
      <c r="GV478" s="259"/>
    </row>
    <row r="479" spans="1:204" s="743" customFormat="1" ht="3.6" customHeight="1">
      <c r="A479" s="728"/>
      <c r="B479" s="729"/>
      <c r="C479" s="729"/>
      <c r="D479" s="730"/>
      <c r="E479" s="731"/>
      <c r="F479" s="731"/>
      <c r="G479" s="731"/>
      <c r="H479" s="731"/>
      <c r="I479" s="731"/>
      <c r="J479" s="732"/>
      <c r="K479" s="732"/>
      <c r="L479" s="732"/>
      <c r="M479" s="733"/>
      <c r="N479" s="733"/>
      <c r="O479" s="733"/>
      <c r="P479" s="733"/>
      <c r="Q479" s="733"/>
      <c r="R479" s="733"/>
      <c r="S479" s="733"/>
      <c r="T479" s="733"/>
      <c r="U479" s="733"/>
      <c r="V479" s="733"/>
      <c r="W479" s="733"/>
      <c r="X479" s="733"/>
      <c r="Y479" s="733"/>
      <c r="Z479" s="733"/>
      <c r="AA479" s="733"/>
      <c r="AB479" s="733"/>
      <c r="AC479" s="733"/>
      <c r="AD479" s="733"/>
      <c r="AE479" s="733"/>
      <c r="AF479" s="733"/>
      <c r="AG479" s="733"/>
      <c r="AH479" s="744"/>
      <c r="AI479" s="744"/>
      <c r="AJ479" s="733"/>
      <c r="AK479" s="733"/>
      <c r="AL479" s="733"/>
      <c r="AM479" s="733"/>
      <c r="AN479" s="733"/>
      <c r="AO479" s="733"/>
      <c r="AP479" s="733"/>
      <c r="AQ479" s="744"/>
      <c r="AR479" s="744"/>
      <c r="AS479" s="733"/>
      <c r="AT479" s="733"/>
      <c r="AU479" s="733"/>
      <c r="AV479" s="733"/>
      <c r="AW479" s="733"/>
      <c r="AX479" s="744"/>
      <c r="AY479" s="744"/>
      <c r="AZ479" s="744"/>
      <c r="BA479" s="744"/>
      <c r="BB479" s="744"/>
      <c r="BC479" s="733"/>
      <c r="BD479" s="733"/>
      <c r="BE479" s="733"/>
      <c r="BF479" s="733"/>
      <c r="BG479" s="733"/>
      <c r="BH479" s="733"/>
      <c r="BI479" s="733"/>
      <c r="BJ479" s="733"/>
      <c r="BK479" s="733"/>
      <c r="BL479" s="733"/>
      <c r="BM479" s="733"/>
      <c r="BN479" s="745"/>
      <c r="BO479" s="745"/>
      <c r="BP479" s="745"/>
      <c r="BQ479" s="745"/>
      <c r="BR479" s="745"/>
      <c r="BS479" s="745"/>
      <c r="BT479" s="745"/>
      <c r="BU479" s="745"/>
      <c r="BV479" s="745"/>
      <c r="BW479" s="745"/>
      <c r="BX479" s="745"/>
      <c r="BY479" s="745"/>
      <c r="BZ479" s="745"/>
      <c r="CA479" s="745"/>
      <c r="CB479" s="744"/>
      <c r="CC479" s="744"/>
      <c r="CD479" s="744"/>
      <c r="CE479" s="744"/>
      <c r="CF479" s="744"/>
      <c r="CG479" s="745"/>
      <c r="CH479" s="745"/>
      <c r="CI479" s="745"/>
      <c r="CJ479" s="745"/>
      <c r="CK479" s="745"/>
      <c r="CL479" s="744"/>
      <c r="CM479" s="744"/>
      <c r="CN479" s="744"/>
      <c r="CO479" s="735"/>
      <c r="CP479" s="735"/>
      <c r="CQ479" s="747" t="str">
        <f ca="1">IF(FL$1=0,"",IF(CR478="X",":",IF(programma!A$300="goltsteindocentversie",":",IF(programma!B$5=2,":",IF(CO461="","",IF(Blad1!AY$3=0,".",""))))))</f>
        <v/>
      </c>
      <c r="CR479" s="748"/>
      <c r="CS479" s="748"/>
      <c r="CT479" s="748"/>
      <c r="CU479" s="748"/>
      <c r="CV479" s="748"/>
      <c r="CW479" s="748"/>
      <c r="CX479" s="748"/>
      <c r="CY479" s="748"/>
      <c r="CZ479" s="749"/>
      <c r="DA479" s="744"/>
      <c r="DB479" s="744"/>
      <c r="DC479" s="744"/>
      <c r="DD479" s="746"/>
      <c r="DE479" s="746"/>
      <c r="DF479" s="746"/>
      <c r="DG479" s="746"/>
      <c r="DH479" s="746"/>
      <c r="DI479" s="746"/>
      <c r="DJ479" s="746"/>
      <c r="DK479" s="746"/>
      <c r="DL479" s="746"/>
      <c r="DM479" s="746"/>
      <c r="DN479" s="746"/>
      <c r="DO479" s="746"/>
      <c r="DP479" s="746"/>
      <c r="DQ479" s="746"/>
      <c r="DR479" s="746"/>
      <c r="DS479" s="746"/>
      <c r="DT479" s="746"/>
      <c r="DU479" s="746"/>
      <c r="DV479" s="746"/>
      <c r="DW479" s="746"/>
      <c r="DX479" s="746"/>
      <c r="DY479" s="746"/>
      <c r="DZ479" s="746"/>
      <c r="EA479" s="746"/>
      <c r="EB479" s="746"/>
      <c r="EC479" s="746"/>
      <c r="ED479" s="746"/>
      <c r="EE479" s="746"/>
      <c r="EF479" s="746"/>
      <c r="EG479" s="746"/>
      <c r="EH479" s="746"/>
      <c r="EI479" s="746"/>
      <c r="EJ479" s="746"/>
      <c r="EK479" s="746"/>
      <c r="EL479" s="746"/>
      <c r="EM479" s="746"/>
      <c r="EN479" s="746"/>
      <c r="EO479" s="746"/>
      <c r="EP479" s="746"/>
      <c r="EQ479" s="746"/>
      <c r="ER479" s="746"/>
      <c r="ES479" s="746"/>
      <c r="ET479" s="746"/>
      <c r="EU479" s="746"/>
      <c r="EV479" s="746"/>
      <c r="EW479" s="746"/>
      <c r="EX479" s="746"/>
      <c r="EY479" s="746"/>
      <c r="EZ479" s="746"/>
      <c r="FA479" s="746"/>
      <c r="FB479" s="746"/>
      <c r="FC479" s="746"/>
      <c r="FD479" s="746"/>
      <c r="FE479" s="746"/>
      <c r="FF479" s="746"/>
      <c r="FG479" s="746"/>
      <c r="FH479" s="746"/>
      <c r="FI479" s="733"/>
      <c r="FJ479" s="740"/>
      <c r="FK479" s="740"/>
      <c r="FL479" s="740"/>
      <c r="FM479" s="740"/>
      <c r="FN479" s="741"/>
      <c r="FO479" s="741"/>
      <c r="FP479" s="741"/>
      <c r="FQ479" s="741"/>
      <c r="FR479" s="741"/>
      <c r="FS479" s="741"/>
      <c r="FT479" s="741"/>
      <c r="FU479" s="741"/>
      <c r="FV479" s="741"/>
      <c r="FW479" s="741"/>
      <c r="FX479" s="741"/>
      <c r="FY479" s="741"/>
      <c r="FZ479" s="741"/>
      <c r="GA479" s="742"/>
      <c r="GB479" s="742"/>
      <c r="GC479" s="742"/>
      <c r="GD479" s="742"/>
      <c r="GE479" s="742"/>
      <c r="GF479" s="742"/>
      <c r="GG479" s="742"/>
      <c r="GH479" s="742"/>
      <c r="GI479" s="742"/>
      <c r="GJ479" s="742"/>
      <c r="GK479" s="742"/>
      <c r="GL479" s="742"/>
      <c r="GM479" s="742"/>
      <c r="GN479" s="742"/>
      <c r="GO479" s="742"/>
      <c r="GP479" s="742"/>
      <c r="GQ479" s="259"/>
      <c r="GR479" s="259"/>
      <c r="GS479" s="259"/>
      <c r="GT479" s="259"/>
      <c r="GU479" s="259"/>
      <c r="GV479" s="259"/>
    </row>
    <row r="480" spans="1:204" s="743" customFormat="1" ht="15" customHeight="1">
      <c r="A480" s="728"/>
      <c r="B480" s="729"/>
      <c r="C480" s="729"/>
      <c r="D480" s="731"/>
      <c r="E480" s="731"/>
      <c r="F480" s="731"/>
      <c r="G480" s="731"/>
      <c r="H480" s="731"/>
      <c r="I480" s="731"/>
      <c r="J480" s="732"/>
      <c r="K480" s="732"/>
      <c r="L480" s="732"/>
      <c r="M480" s="733"/>
      <c r="N480" s="733"/>
      <c r="O480" s="733"/>
      <c r="P480" s="733"/>
      <c r="Q480" s="733"/>
      <c r="R480" s="733"/>
      <c r="S480" s="733"/>
      <c r="T480" s="733"/>
      <c r="U480" s="733"/>
      <c r="V480" s="733"/>
      <c r="W480" s="733"/>
      <c r="X480" s="733"/>
      <c r="Y480" s="733"/>
      <c r="Z480" s="733"/>
      <c r="AA480" s="733"/>
      <c r="AB480" s="733"/>
      <c r="AC480" s="733"/>
      <c r="AD480" s="733"/>
      <c r="AE480" s="733"/>
      <c r="AF480" s="733"/>
      <c r="AG480" s="733"/>
      <c r="AH480" s="733"/>
      <c r="AI480" s="733"/>
      <c r="AJ480" s="733"/>
      <c r="AK480" s="733"/>
      <c r="AL480" s="733"/>
      <c r="AM480" s="733"/>
      <c r="AN480" s="733"/>
      <c r="AO480" s="733"/>
      <c r="AP480" s="733"/>
      <c r="AQ480" s="733"/>
      <c r="AR480" s="733"/>
      <c r="AS480" s="733"/>
      <c r="AT480" s="733"/>
      <c r="AU480" s="733"/>
      <c r="AV480" s="733"/>
      <c r="AW480" s="733"/>
      <c r="AX480" s="733"/>
      <c r="AY480" s="733"/>
      <c r="AZ480" s="733"/>
      <c r="BA480" s="733"/>
      <c r="BB480" s="733"/>
      <c r="BC480" s="733"/>
      <c r="BD480" s="733"/>
      <c r="BE480" s="733"/>
      <c r="BF480" s="733"/>
      <c r="BG480" s="733"/>
      <c r="BH480" s="733"/>
      <c r="BI480" s="733"/>
      <c r="BJ480" s="733"/>
      <c r="BK480" s="733"/>
      <c r="BL480" s="733"/>
      <c r="BM480" s="733"/>
      <c r="BN480" s="733"/>
      <c r="BO480" s="733"/>
      <c r="BP480" s="733"/>
      <c r="BQ480" s="733"/>
      <c r="BR480" s="733"/>
      <c r="BS480" s="733"/>
      <c r="BT480" s="733"/>
      <c r="BU480" s="733"/>
      <c r="BV480" s="733"/>
      <c r="BW480" s="733"/>
      <c r="BX480" s="733"/>
      <c r="BY480" s="733"/>
      <c r="BZ480" s="733"/>
      <c r="CA480" s="733"/>
      <c r="CB480" s="733"/>
      <c r="CC480" s="733"/>
      <c r="CD480" s="733"/>
      <c r="CE480" s="733"/>
      <c r="CF480" s="733"/>
      <c r="CG480" s="733"/>
      <c r="CH480" s="733"/>
      <c r="CI480" s="733"/>
      <c r="CJ480" s="733"/>
      <c r="CK480" s="733"/>
      <c r="CL480" s="733"/>
      <c r="CM480" s="733"/>
      <c r="CN480" s="733"/>
      <c r="CO480" s="733"/>
      <c r="CP480" s="733"/>
      <c r="CQ480" s="733"/>
      <c r="CR480" s="733"/>
      <c r="CS480" s="733"/>
      <c r="CT480" s="733"/>
      <c r="CU480" s="733"/>
      <c r="CV480" s="733"/>
      <c r="CW480" s="733"/>
      <c r="CX480" s="733"/>
      <c r="CY480" s="733"/>
      <c r="CZ480" s="733"/>
      <c r="DA480" s="733"/>
      <c r="DB480" s="733"/>
      <c r="DC480" s="733"/>
      <c r="DD480" s="733"/>
      <c r="DE480" s="733"/>
      <c r="DF480" s="733"/>
      <c r="DG480" s="733"/>
      <c r="DH480" s="733"/>
      <c r="DI480" s="733"/>
      <c r="DJ480" s="733"/>
      <c r="DK480" s="733"/>
      <c r="DL480" s="733"/>
      <c r="DM480" s="733"/>
      <c r="DN480" s="733"/>
      <c r="DO480" s="733"/>
      <c r="DP480" s="733"/>
      <c r="DQ480" s="733"/>
      <c r="DR480" s="733"/>
      <c r="DS480" s="733"/>
      <c r="DT480" s="733"/>
      <c r="DU480" s="733"/>
      <c r="DV480" s="733"/>
      <c r="DW480" s="733"/>
      <c r="DX480" s="733"/>
      <c r="DY480" s="733"/>
      <c r="DZ480" s="733"/>
      <c r="EA480" s="733"/>
      <c r="EB480" s="733"/>
      <c r="EC480" s="733"/>
      <c r="ED480" s="733"/>
      <c r="EE480" s="733"/>
      <c r="EF480" s="733"/>
      <c r="EG480" s="733"/>
      <c r="EH480" s="733"/>
      <c r="EI480" s="733"/>
      <c r="EJ480" s="733"/>
      <c r="EK480" s="732"/>
      <c r="EL480" s="732"/>
      <c r="EM480" s="732"/>
      <c r="EN480" s="732"/>
      <c r="EO480" s="732"/>
      <c r="EP480" s="732"/>
      <c r="EQ480" s="732"/>
      <c r="ER480" s="732"/>
      <c r="ES480" s="732"/>
      <c r="ET480" s="732"/>
      <c r="EU480" s="732"/>
      <c r="EV480" s="732"/>
      <c r="EW480" s="732"/>
      <c r="EX480" s="732"/>
      <c r="EY480" s="732"/>
      <c r="EZ480" s="732"/>
      <c r="FA480" s="732"/>
      <c r="FB480" s="732"/>
      <c r="FC480" s="732"/>
      <c r="FD480" s="732"/>
      <c r="FE480" s="732"/>
      <c r="FF480" s="732"/>
      <c r="FG480" s="732"/>
      <c r="FH480" s="733"/>
      <c r="FI480" s="733"/>
      <c r="FJ480" s="740"/>
      <c r="FK480" s="740"/>
      <c r="FL480" s="740"/>
      <c r="FM480" s="740"/>
      <c r="FN480" s="741"/>
      <c r="FO480" s="741"/>
      <c r="FP480" s="741"/>
      <c r="FQ480" s="741"/>
      <c r="FR480" s="741"/>
      <c r="FS480" s="741"/>
      <c r="FT480" s="741"/>
      <c r="FU480" s="741"/>
      <c r="FV480" s="741"/>
      <c r="FW480" s="741"/>
      <c r="FX480" s="741"/>
      <c r="FY480" s="741"/>
      <c r="FZ480" s="741"/>
      <c r="GA480" s="742"/>
      <c r="GB480" s="742"/>
      <c r="GC480" s="742"/>
      <c r="GD480" s="742"/>
      <c r="GE480" s="742"/>
      <c r="GF480" s="742"/>
      <c r="GG480" s="742"/>
      <c r="GH480" s="742"/>
      <c r="GI480" s="742"/>
      <c r="GJ480" s="742"/>
      <c r="GK480" s="742"/>
      <c r="GL480" s="742"/>
      <c r="GM480" s="742"/>
      <c r="GN480" s="742"/>
      <c r="GO480" s="742"/>
      <c r="GP480" s="742"/>
      <c r="GQ480" s="259"/>
      <c r="GR480" s="259"/>
      <c r="GS480" s="259"/>
      <c r="GT480" s="259"/>
      <c r="GU480" s="259"/>
      <c r="GV480" s="259"/>
    </row>
    <row r="481" spans="1:204" s="727" customFormat="1" ht="13.8" customHeight="1">
      <c r="A481" s="722"/>
      <c r="B481" s="723"/>
      <c r="C481" s="723"/>
      <c r="D481" s="509"/>
      <c r="E481" s="509"/>
      <c r="F481" s="509"/>
      <c r="G481" s="509"/>
      <c r="H481" s="509"/>
      <c r="I481" s="509"/>
      <c r="J481" s="89"/>
      <c r="K481" s="89"/>
      <c r="L481" s="89"/>
      <c r="M481" s="724"/>
      <c r="N481" s="724"/>
      <c r="O481" s="724"/>
      <c r="P481" s="724"/>
      <c r="Q481" s="724"/>
      <c r="R481" s="724"/>
      <c r="S481" s="724"/>
      <c r="T481" s="724"/>
      <c r="U481" s="724"/>
      <c r="V481" s="724"/>
      <c r="W481" s="724"/>
      <c r="X481" s="724"/>
      <c r="Y481" s="724"/>
      <c r="Z481" s="724"/>
      <c r="AA481" s="724"/>
      <c r="AB481" s="724"/>
      <c r="AC481" s="724"/>
      <c r="AD481" s="724"/>
      <c r="AE481" s="724"/>
      <c r="AF481" s="724"/>
      <c r="AG481" s="724"/>
      <c r="AH481" s="724"/>
      <c r="AI481" s="724"/>
      <c r="AJ481" s="724"/>
      <c r="AK481" s="724"/>
      <c r="AL481" s="724"/>
      <c r="AM481" s="724"/>
      <c r="AN481" s="724"/>
      <c r="AO481" s="724"/>
      <c r="AP481" s="724"/>
      <c r="AQ481" s="724"/>
      <c r="AR481" s="724"/>
      <c r="AS481" s="724"/>
      <c r="AT481" s="724"/>
      <c r="AU481" s="724"/>
      <c r="AV481" s="724"/>
      <c r="AW481" s="724"/>
      <c r="AX481" s="724"/>
      <c r="AY481" s="724"/>
      <c r="AZ481" s="724"/>
      <c r="BA481" s="724"/>
      <c r="BB481" s="724"/>
      <c r="BC481" s="724"/>
      <c r="BD481" s="724"/>
      <c r="BE481" s="724"/>
      <c r="BF481" s="724"/>
      <c r="BG481" s="724"/>
      <c r="BH481" s="724"/>
      <c r="BI481" s="724"/>
      <c r="BJ481" s="724"/>
      <c r="BK481" s="724"/>
      <c r="BL481" s="724"/>
      <c r="BM481" s="724"/>
      <c r="BN481" s="724"/>
      <c r="BO481" s="724"/>
      <c r="BP481" s="724"/>
      <c r="BQ481" s="724"/>
      <c r="BR481" s="724"/>
      <c r="BS481" s="724"/>
      <c r="BT481" s="724"/>
      <c r="BU481" s="724"/>
      <c r="BV481" s="724"/>
      <c r="BW481" s="724"/>
      <c r="BX481" s="724"/>
      <c r="BY481" s="724"/>
      <c r="BZ481" s="724"/>
      <c r="CA481" s="724"/>
      <c r="CB481" s="724"/>
      <c r="CC481" s="724"/>
      <c r="CD481" s="724"/>
      <c r="CE481" s="724"/>
      <c r="CF481" s="724"/>
      <c r="CG481" s="724"/>
      <c r="CH481" s="724"/>
      <c r="CI481" s="724"/>
      <c r="CJ481" s="724"/>
      <c r="CK481" s="724"/>
      <c r="CL481" s="724"/>
      <c r="CM481" s="724"/>
      <c r="CN481" s="724"/>
      <c r="CO481" s="724"/>
      <c r="CP481" s="724"/>
      <c r="CQ481" s="724"/>
      <c r="CR481" s="724"/>
      <c r="CS481" s="724"/>
      <c r="CT481" s="724"/>
      <c r="CU481" s="724"/>
      <c r="CV481" s="724"/>
      <c r="CW481" s="724"/>
      <c r="CX481" s="724"/>
      <c r="CY481" s="724"/>
      <c r="CZ481" s="724"/>
      <c r="DA481" s="724"/>
      <c r="DB481" s="724"/>
      <c r="DC481" s="724"/>
      <c r="DD481" s="724"/>
      <c r="DE481" s="724"/>
      <c r="DF481" s="724"/>
      <c r="DG481" s="724"/>
      <c r="DH481" s="724"/>
      <c r="DI481" s="724"/>
      <c r="DJ481" s="724"/>
      <c r="DK481" s="724"/>
      <c r="DL481" s="724"/>
      <c r="DM481" s="724"/>
      <c r="DN481" s="724"/>
      <c r="DO481" s="724"/>
      <c r="DP481" s="724"/>
      <c r="DQ481" s="724"/>
      <c r="DR481" s="724"/>
      <c r="DS481" s="724"/>
      <c r="DT481" s="724"/>
      <c r="DU481" s="724"/>
      <c r="DV481" s="724"/>
      <c r="DW481" s="724"/>
      <c r="DX481" s="724"/>
      <c r="DY481" s="724"/>
      <c r="DZ481" s="724"/>
      <c r="EA481" s="724"/>
      <c r="EB481" s="724"/>
      <c r="EC481" s="724"/>
      <c r="ED481" s="724"/>
      <c r="EE481" s="724"/>
      <c r="EF481" s="724"/>
      <c r="EG481" s="724"/>
      <c r="EH481" s="724"/>
      <c r="EI481" s="724"/>
      <c r="EJ481" s="724"/>
      <c r="EK481" s="89"/>
      <c r="EL481" s="89"/>
      <c r="EM481" s="89"/>
      <c r="EN481" s="89"/>
      <c r="EO481" s="89"/>
      <c r="EP481" s="89"/>
      <c r="EQ481" s="89"/>
      <c r="ER481" s="89"/>
      <c r="ES481" s="89"/>
      <c r="ET481" s="89"/>
      <c r="EU481" s="89"/>
      <c r="EV481" s="89"/>
      <c r="EW481" s="89"/>
      <c r="EX481" s="89"/>
      <c r="EY481" s="89"/>
      <c r="EZ481" s="89"/>
      <c r="FA481" s="89"/>
      <c r="FB481" s="89"/>
      <c r="FC481" s="89"/>
      <c r="FD481" s="89"/>
      <c r="FE481" s="89"/>
      <c r="FF481" s="89"/>
      <c r="FG481" s="89"/>
      <c r="FH481" s="724"/>
      <c r="FI481" s="724"/>
      <c r="FJ481" s="281"/>
      <c r="FK481" s="281"/>
      <c r="FL481" s="281"/>
      <c r="FM481" s="281"/>
      <c r="FN481" s="281"/>
      <c r="FO481" s="281"/>
      <c r="FP481" s="281"/>
      <c r="FQ481" s="281"/>
      <c r="FR481" s="281"/>
      <c r="FS481" s="377"/>
      <c r="FT481" s="377"/>
      <c r="FU481" s="377"/>
      <c r="FV481" s="377"/>
      <c r="FW481" s="377"/>
      <c r="FX481" s="377"/>
      <c r="FY481" s="259"/>
      <c r="FZ481" s="259"/>
      <c r="GA481" s="259"/>
      <c r="GB481" s="259"/>
      <c r="GC481" s="259"/>
      <c r="GD481" s="259"/>
      <c r="GE481" s="259"/>
      <c r="GF481" s="259"/>
      <c r="GG481" s="259"/>
      <c r="GH481" s="259"/>
      <c r="GI481" s="259"/>
      <c r="GJ481" s="259"/>
      <c r="GK481" s="259"/>
      <c r="GL481" s="259"/>
      <c r="GM481" s="259"/>
      <c r="GN481" s="259"/>
      <c r="GO481" s="259"/>
      <c r="GP481" s="259"/>
      <c r="GQ481" s="259"/>
      <c r="GR481" s="259"/>
      <c r="GS481" s="259"/>
      <c r="GT481" s="259"/>
      <c r="GU481" s="259"/>
      <c r="GV481" s="259"/>
    </row>
    <row r="482" spans="1:204" ht="16.5" customHeight="1">
      <c r="A482" s="60"/>
      <c r="B482" s="69"/>
      <c r="C482" s="69"/>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6"/>
      <c r="FI482" s="290"/>
      <c r="FJ482" s="281"/>
      <c r="FK482" s="281"/>
      <c r="FL482" s="281"/>
      <c r="FM482" s="281"/>
      <c r="FN482" s="281"/>
      <c r="FO482" s="281"/>
      <c r="FP482" s="281"/>
      <c r="FQ482" s="281"/>
      <c r="FR482" s="281"/>
      <c r="FS482" s="86"/>
      <c r="FT482" s="86"/>
      <c r="FU482" s="86"/>
      <c r="FV482" s="86"/>
      <c r="FW482" s="86"/>
      <c r="FX482" s="86"/>
      <c r="FY482" s="259"/>
      <c r="FZ482" s="259"/>
      <c r="GA482" s="259"/>
      <c r="GB482" s="259"/>
      <c r="GC482" s="259"/>
      <c r="GD482" s="259"/>
      <c r="GE482" s="259"/>
      <c r="GF482" s="259"/>
      <c r="GG482" s="259"/>
      <c r="GH482" s="259"/>
      <c r="GI482" s="259"/>
      <c r="GJ482" s="259"/>
      <c r="GK482" s="259"/>
      <c r="GL482" s="259"/>
      <c r="GM482" s="259"/>
      <c r="GN482" s="259"/>
      <c r="GO482" s="259"/>
      <c r="GP482" s="259"/>
      <c r="GQ482" s="259"/>
      <c r="GR482" s="259"/>
      <c r="GS482" s="259"/>
      <c r="GT482" s="259"/>
      <c r="GU482" s="259"/>
      <c r="GV482" s="259"/>
    </row>
    <row r="483" spans="1:204" ht="16.5" customHeight="1">
      <c r="A483" s="60"/>
      <c r="B483" s="69"/>
      <c r="C483" s="69"/>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5"/>
      <c r="AN483" s="75"/>
      <c r="AO483" s="75"/>
      <c r="AP483" s="75"/>
      <c r="AQ483" s="75"/>
      <c r="AR483" s="75"/>
      <c r="AS483" s="75"/>
      <c r="AT483" s="75"/>
      <c r="AU483" s="75"/>
      <c r="AV483" s="75"/>
      <c r="AW483" s="7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6"/>
      <c r="FI483" s="290"/>
      <c r="FJ483" s="281"/>
      <c r="FK483" s="281"/>
      <c r="FL483" s="281"/>
      <c r="FM483" s="281"/>
      <c r="FN483" s="281"/>
      <c r="FO483" s="281"/>
      <c r="FP483" s="281"/>
      <c r="FQ483" s="281"/>
      <c r="FR483" s="281"/>
      <c r="FS483" s="86"/>
      <c r="FT483" s="86"/>
      <c r="FU483" s="86"/>
      <c r="FV483" s="86"/>
      <c r="FW483" s="86"/>
      <c r="FX483" s="86"/>
      <c r="FY483" s="259"/>
      <c r="FZ483" s="259"/>
      <c r="GA483" s="259"/>
      <c r="GB483" s="259"/>
      <c r="GC483" s="259"/>
      <c r="GD483" s="259"/>
      <c r="GE483" s="259"/>
      <c r="GF483" s="259"/>
      <c r="GG483" s="259"/>
      <c r="GH483" s="259"/>
      <c r="GI483" s="259"/>
      <c r="GJ483" s="259"/>
      <c r="GK483" s="259"/>
      <c r="GL483" s="259"/>
      <c r="GM483" s="259"/>
      <c r="GN483" s="259"/>
      <c r="GO483" s="259"/>
      <c r="GP483" s="259"/>
      <c r="GQ483" s="259"/>
      <c r="GR483" s="259"/>
      <c r="GS483" s="259"/>
      <c r="GT483" s="259"/>
      <c r="GU483" s="259"/>
      <c r="GV483" s="259"/>
    </row>
    <row r="484" spans="1:204" ht="16.5" customHeight="1">
      <c r="A484" s="60"/>
      <c r="B484" s="69"/>
      <c r="C484" s="69"/>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6"/>
      <c r="FI484" s="290"/>
      <c r="FJ484" s="281"/>
      <c r="FK484" s="281"/>
      <c r="FL484" s="281"/>
      <c r="FM484" s="281"/>
      <c r="FN484" s="281"/>
      <c r="FO484" s="281"/>
      <c r="FP484" s="281"/>
      <c r="FQ484" s="281"/>
      <c r="FR484" s="281"/>
      <c r="FS484" s="86"/>
      <c r="FT484" s="86"/>
      <c r="FU484" s="86"/>
      <c r="FV484" s="86"/>
      <c r="FW484" s="86"/>
      <c r="FX484" s="86"/>
      <c r="FY484" s="259"/>
      <c r="FZ484" s="259"/>
      <c r="GA484" s="259"/>
      <c r="GB484" s="259"/>
      <c r="GC484" s="259"/>
      <c r="GD484" s="259"/>
      <c r="GE484" s="259"/>
      <c r="GF484" s="259"/>
      <c r="GG484" s="259"/>
      <c r="GH484" s="259"/>
      <c r="GI484" s="259"/>
      <c r="GJ484" s="259"/>
      <c r="GK484" s="259"/>
      <c r="GL484" s="259"/>
      <c r="GM484" s="259"/>
      <c r="GN484" s="259"/>
      <c r="GO484" s="259"/>
      <c r="GP484" s="259"/>
      <c r="GQ484" s="259"/>
      <c r="GR484" s="259"/>
      <c r="GS484" s="259"/>
      <c r="GT484" s="259"/>
      <c r="GU484" s="259"/>
      <c r="GV484" s="259"/>
    </row>
    <row r="485" spans="1:204" ht="16.5" customHeight="1">
      <c r="A485" s="60"/>
      <c r="B485" s="69"/>
      <c r="C485" s="69"/>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6"/>
      <c r="FI485" s="290"/>
      <c r="FJ485" s="281"/>
      <c r="FK485" s="281"/>
      <c r="FL485" s="281"/>
      <c r="FM485" s="281"/>
      <c r="FN485" s="281"/>
      <c r="FO485" s="281"/>
      <c r="FP485" s="281"/>
      <c r="FQ485" s="281"/>
      <c r="FR485" s="281"/>
      <c r="FS485" s="86"/>
      <c r="FT485" s="86"/>
      <c r="FU485" s="86"/>
      <c r="FV485" s="86"/>
      <c r="FW485" s="86"/>
      <c r="FX485" s="86"/>
      <c r="FY485" s="259"/>
      <c r="FZ485" s="259"/>
      <c r="GA485" s="259"/>
      <c r="GB485" s="259"/>
      <c r="GC485" s="259"/>
      <c r="GD485" s="259"/>
      <c r="GE485" s="259"/>
      <c r="GF485" s="259"/>
      <c r="GG485" s="259"/>
      <c r="GH485" s="259"/>
      <c r="GI485" s="259"/>
      <c r="GJ485" s="259"/>
      <c r="GK485" s="259"/>
      <c r="GL485" s="259"/>
      <c r="GM485" s="259"/>
      <c r="GN485" s="259"/>
      <c r="GO485" s="259"/>
      <c r="GP485" s="259"/>
      <c r="GQ485" s="259"/>
      <c r="GR485" s="259"/>
      <c r="GS485" s="259"/>
      <c r="GT485" s="259"/>
      <c r="GU485" s="259"/>
      <c r="GV485" s="259"/>
    </row>
    <row r="486" spans="1:204" ht="16.5" customHeight="1">
      <c r="A486" s="60"/>
      <c r="B486" s="69"/>
      <c r="C486" s="69"/>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5"/>
      <c r="AN486" s="75"/>
      <c r="AO486" s="75"/>
      <c r="AP486" s="75"/>
      <c r="AQ486" s="75"/>
      <c r="AR486" s="75"/>
      <c r="AS486" s="75"/>
      <c r="AT486" s="75"/>
      <c r="AU486" s="75"/>
      <c r="AV486" s="75"/>
      <c r="AW486" s="75"/>
      <c r="AX486" s="75"/>
      <c r="AY486" s="75"/>
      <c r="AZ486" s="75"/>
      <c r="BA486" s="75"/>
      <c r="BB486" s="75"/>
      <c r="BC486" s="75"/>
      <c r="BD486" s="75"/>
      <c r="BE486" s="75"/>
      <c r="BF486" s="75"/>
      <c r="BG486" s="75"/>
      <c r="BH486" s="75"/>
      <c r="BI486" s="75"/>
      <c r="BJ486" s="75"/>
      <c r="BK486" s="75"/>
      <c r="BL486" s="75"/>
      <c r="BM486" s="75"/>
      <c r="BN486" s="75"/>
      <c r="BO486" s="75"/>
      <c r="BP486" s="75"/>
      <c r="BQ486" s="75"/>
      <c r="BR486" s="75"/>
      <c r="BS486" s="75"/>
      <c r="BT486" s="75"/>
      <c r="BU486" s="75"/>
      <c r="BV486" s="75"/>
      <c r="BW486" s="75"/>
      <c r="BX486" s="75"/>
      <c r="BY486" s="75"/>
      <c r="BZ486" s="75"/>
      <c r="CA486" s="75"/>
      <c r="CB486" s="75"/>
      <c r="CC486" s="75"/>
      <c r="CD486" s="75"/>
      <c r="CE486" s="75"/>
      <c r="CF486" s="75"/>
      <c r="CG486" s="75"/>
      <c r="CH486" s="75"/>
      <c r="CI486" s="75"/>
      <c r="CJ486" s="75"/>
      <c r="CK486" s="75"/>
      <c r="CL486" s="75"/>
      <c r="CM486" s="75"/>
      <c r="CN486" s="75"/>
      <c r="CO486" s="75"/>
      <c r="CP486" s="75"/>
      <c r="CQ486" s="75"/>
      <c r="CR486" s="75"/>
      <c r="CS486" s="75"/>
      <c r="CT486" s="75"/>
      <c r="CU486" s="75"/>
      <c r="CV486" s="75"/>
      <c r="CW486" s="75"/>
      <c r="CX486" s="75"/>
      <c r="CY486" s="75"/>
      <c r="CZ486" s="75"/>
      <c r="DA486" s="75"/>
      <c r="DB486" s="75"/>
      <c r="DC486" s="75"/>
      <c r="DD486" s="75"/>
      <c r="DE486" s="75"/>
      <c r="DF486" s="75"/>
      <c r="DG486" s="75"/>
      <c r="DH486" s="75"/>
      <c r="DI486" s="75"/>
      <c r="DJ486" s="75"/>
      <c r="DK486" s="75"/>
      <c r="DL486" s="75"/>
      <c r="DM486" s="75"/>
      <c r="DN486" s="75"/>
      <c r="DO486" s="75"/>
      <c r="DP486" s="75"/>
      <c r="DQ486" s="75"/>
      <c r="DR486" s="75"/>
      <c r="DS486" s="75"/>
      <c r="DT486" s="75"/>
      <c r="DU486" s="75"/>
      <c r="DV486" s="75"/>
      <c r="DW486" s="75"/>
      <c r="DX486" s="75"/>
      <c r="DY486" s="75"/>
      <c r="DZ486" s="75"/>
      <c r="EA486" s="75"/>
      <c r="EB486" s="75"/>
      <c r="EC486" s="75"/>
      <c r="ED486" s="75"/>
      <c r="EE486" s="75"/>
      <c r="EF486" s="75"/>
      <c r="EG486" s="75"/>
      <c r="EH486" s="75"/>
      <c r="EI486" s="75"/>
      <c r="EJ486" s="75"/>
      <c r="EK486" s="75"/>
      <c r="EL486" s="75"/>
      <c r="EM486" s="75"/>
      <c r="EN486" s="75"/>
      <c r="EO486" s="75"/>
      <c r="EP486" s="75"/>
      <c r="EQ486" s="75"/>
      <c r="ER486" s="75"/>
      <c r="ES486" s="75"/>
      <c r="ET486" s="75"/>
      <c r="EU486" s="75"/>
      <c r="EV486" s="75"/>
      <c r="EW486" s="75"/>
      <c r="EX486" s="75"/>
      <c r="EY486" s="75"/>
      <c r="EZ486" s="75"/>
      <c r="FA486" s="75"/>
      <c r="FB486" s="75"/>
      <c r="FC486" s="75"/>
      <c r="FD486" s="75"/>
      <c r="FE486" s="75"/>
      <c r="FF486" s="75"/>
      <c r="FG486" s="75"/>
      <c r="FH486" s="76"/>
      <c r="FI486" s="290"/>
      <c r="FJ486" s="281"/>
      <c r="FK486" s="281"/>
      <c r="FL486" s="281"/>
      <c r="FM486" s="281"/>
      <c r="FN486" s="281"/>
      <c r="FO486" s="281"/>
      <c r="FP486" s="281"/>
      <c r="FQ486" s="281"/>
      <c r="FR486" s="281"/>
      <c r="FS486" s="86"/>
      <c r="FT486" s="86"/>
      <c r="FU486" s="86"/>
      <c r="FV486" s="86"/>
      <c r="FW486" s="86"/>
      <c r="FX486" s="86"/>
      <c r="FY486" s="259"/>
      <c r="FZ486" s="259"/>
      <c r="GA486" s="259"/>
      <c r="GB486" s="259"/>
      <c r="GC486" s="259"/>
      <c r="GD486" s="259"/>
      <c r="GE486" s="259"/>
      <c r="GF486" s="259"/>
      <c r="GG486" s="259"/>
      <c r="GH486" s="259"/>
      <c r="GI486" s="259"/>
      <c r="GJ486" s="259"/>
      <c r="GK486" s="259"/>
      <c r="GL486" s="259"/>
      <c r="GM486" s="259"/>
      <c r="GN486" s="259"/>
      <c r="GO486" s="259"/>
      <c r="GP486" s="259"/>
      <c r="GQ486" s="259"/>
      <c r="GR486" s="259"/>
      <c r="GS486" s="259"/>
      <c r="GT486" s="259"/>
      <c r="GU486" s="259"/>
      <c r="GV486" s="259"/>
    </row>
    <row r="487" spans="1:204" ht="16.5" customHeight="1">
      <c r="A487" s="60"/>
      <c r="B487" s="69"/>
      <c r="C487" s="69"/>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5"/>
      <c r="AN487" s="75"/>
      <c r="AO487" s="75"/>
      <c r="AP487" s="75"/>
      <c r="AQ487" s="75"/>
      <c r="AR487" s="75"/>
      <c r="AS487" s="75"/>
      <c r="AT487" s="75"/>
      <c r="AU487" s="75"/>
      <c r="AV487" s="75"/>
      <c r="AW487" s="75"/>
      <c r="AX487" s="75"/>
      <c r="AY487" s="75"/>
      <c r="AZ487" s="75"/>
      <c r="BA487" s="75"/>
      <c r="BB487" s="75"/>
      <c r="BC487" s="75"/>
      <c r="BD487" s="75"/>
      <c r="BE487" s="75"/>
      <c r="BF487" s="75"/>
      <c r="BG487" s="75"/>
      <c r="BH487" s="75"/>
      <c r="BI487" s="75"/>
      <c r="BJ487" s="75"/>
      <c r="BK487" s="75"/>
      <c r="BL487" s="75"/>
      <c r="BM487" s="75"/>
      <c r="BN487" s="75"/>
      <c r="BO487" s="75"/>
      <c r="BP487" s="75"/>
      <c r="BQ487" s="75"/>
      <c r="BR487" s="75"/>
      <c r="BS487" s="75"/>
      <c r="BT487" s="75"/>
      <c r="BU487" s="75"/>
      <c r="BV487" s="75"/>
      <c r="BW487" s="75"/>
      <c r="BX487" s="75"/>
      <c r="BY487" s="75"/>
      <c r="BZ487" s="75"/>
      <c r="CA487" s="75"/>
      <c r="CB487" s="75"/>
      <c r="CC487" s="75"/>
      <c r="CD487" s="75"/>
      <c r="CE487" s="75"/>
      <c r="CF487" s="75"/>
      <c r="CG487" s="75"/>
      <c r="CH487" s="75"/>
      <c r="CI487" s="75"/>
      <c r="CJ487" s="75"/>
      <c r="CK487" s="75"/>
      <c r="CL487" s="75"/>
      <c r="CM487" s="75"/>
      <c r="CN487" s="75"/>
      <c r="CO487" s="75"/>
      <c r="CP487" s="75"/>
      <c r="CQ487" s="75"/>
      <c r="CR487" s="75"/>
      <c r="CS487" s="75"/>
      <c r="CT487" s="75"/>
      <c r="CU487" s="75"/>
      <c r="CV487" s="75"/>
      <c r="CW487" s="75"/>
      <c r="CX487" s="75"/>
      <c r="CY487" s="75"/>
      <c r="CZ487" s="75"/>
      <c r="DA487" s="75"/>
      <c r="DB487" s="75"/>
      <c r="DC487" s="75"/>
      <c r="DD487" s="75"/>
      <c r="DE487" s="75"/>
      <c r="DF487" s="75"/>
      <c r="DG487" s="75"/>
      <c r="DH487" s="75"/>
      <c r="DI487" s="75"/>
      <c r="DJ487" s="75"/>
      <c r="DK487" s="75"/>
      <c r="DL487" s="75"/>
      <c r="DM487" s="75"/>
      <c r="DN487" s="75"/>
      <c r="DO487" s="75"/>
      <c r="DP487" s="75"/>
      <c r="DQ487" s="75"/>
      <c r="DR487" s="75"/>
      <c r="DS487" s="75"/>
      <c r="DT487" s="75"/>
      <c r="DU487" s="75"/>
      <c r="DV487" s="75"/>
      <c r="DW487" s="75"/>
      <c r="DX487" s="75"/>
      <c r="DY487" s="75"/>
      <c r="DZ487" s="75"/>
      <c r="EA487" s="75"/>
      <c r="EB487" s="75"/>
      <c r="EC487" s="75"/>
      <c r="ED487" s="75"/>
      <c r="EE487" s="75"/>
      <c r="EF487" s="75"/>
      <c r="EG487" s="75"/>
      <c r="EH487" s="75"/>
      <c r="EI487" s="75"/>
      <c r="EJ487" s="75"/>
      <c r="EK487" s="75"/>
      <c r="EL487" s="75"/>
      <c r="EM487" s="75"/>
      <c r="EN487" s="75"/>
      <c r="EO487" s="75"/>
      <c r="EP487" s="75"/>
      <c r="EQ487" s="75"/>
      <c r="ER487" s="75"/>
      <c r="ES487" s="75"/>
      <c r="ET487" s="75"/>
      <c r="EU487" s="75"/>
      <c r="EV487" s="75"/>
      <c r="EW487" s="75"/>
      <c r="EX487" s="75"/>
      <c r="EY487" s="75"/>
      <c r="EZ487" s="75"/>
      <c r="FA487" s="75"/>
      <c r="FB487" s="75"/>
      <c r="FC487" s="75"/>
      <c r="FD487" s="75"/>
      <c r="FE487" s="75"/>
      <c r="FF487" s="75"/>
      <c r="FG487" s="75"/>
      <c r="FH487" s="76"/>
      <c r="FI487" s="290"/>
      <c r="FJ487" s="281"/>
      <c r="FK487" s="281"/>
      <c r="FL487" s="281"/>
      <c r="FM487" s="281"/>
      <c r="FN487" s="281"/>
      <c r="FO487" s="281"/>
      <c r="FP487" s="281"/>
      <c r="FQ487" s="281"/>
      <c r="FR487" s="281"/>
      <c r="FS487" s="86"/>
      <c r="FT487" s="86"/>
      <c r="FU487" s="86"/>
      <c r="FV487" s="86"/>
      <c r="FW487" s="86"/>
      <c r="FX487" s="86"/>
      <c r="FY487" s="259"/>
      <c r="FZ487" s="259"/>
      <c r="GA487" s="259"/>
      <c r="GB487" s="259"/>
      <c r="GC487" s="259"/>
      <c r="GD487" s="259"/>
      <c r="GE487" s="259"/>
      <c r="GF487" s="259"/>
      <c r="GG487" s="259"/>
      <c r="GH487" s="259"/>
      <c r="GI487" s="259"/>
      <c r="GJ487" s="259"/>
      <c r="GK487" s="259"/>
      <c r="GL487" s="259"/>
      <c r="GM487" s="259"/>
      <c r="GN487" s="259"/>
      <c r="GO487" s="259"/>
      <c r="GP487" s="259"/>
      <c r="GQ487" s="259"/>
      <c r="GR487" s="259"/>
      <c r="GS487" s="259"/>
      <c r="GT487" s="259"/>
      <c r="GU487" s="259"/>
      <c r="GV487" s="259"/>
    </row>
    <row r="488" spans="1:204" ht="16.5" customHeight="1">
      <c r="A488" s="60"/>
      <c r="B488" s="69"/>
      <c r="C488" s="69"/>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6"/>
      <c r="FI488" s="290"/>
      <c r="FJ488" s="281"/>
      <c r="FK488" s="281"/>
      <c r="FL488" s="281"/>
      <c r="FM488" s="281"/>
      <c r="FN488" s="281"/>
      <c r="FO488" s="281"/>
      <c r="FP488" s="281"/>
      <c r="FQ488" s="281"/>
      <c r="FR488" s="281"/>
      <c r="FS488" s="86"/>
      <c r="FT488" s="86"/>
      <c r="FU488" s="86"/>
      <c r="FV488" s="86"/>
      <c r="FW488" s="86"/>
      <c r="FX488" s="86"/>
      <c r="FY488" s="259"/>
      <c r="FZ488" s="259"/>
      <c r="GA488" s="259"/>
      <c r="GB488" s="259"/>
      <c r="GC488" s="259"/>
      <c r="GD488" s="259"/>
      <c r="GE488" s="259"/>
      <c r="GF488" s="259"/>
      <c r="GG488" s="259"/>
      <c r="GH488" s="259"/>
      <c r="GI488" s="259"/>
      <c r="GJ488" s="259"/>
      <c r="GK488" s="259"/>
      <c r="GL488" s="259"/>
      <c r="GM488" s="259"/>
      <c r="GN488" s="259"/>
      <c r="GO488" s="259"/>
      <c r="GP488" s="259"/>
      <c r="GQ488" s="259"/>
      <c r="GR488" s="259"/>
      <c r="GS488" s="259"/>
      <c r="GT488" s="259"/>
      <c r="GU488" s="259"/>
      <c r="GV488" s="259"/>
    </row>
    <row r="489" spans="1:204" ht="16.5" customHeight="1">
      <c r="A489" s="60"/>
      <c r="B489" s="69"/>
      <c r="C489" s="69"/>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5"/>
      <c r="AN489" s="75"/>
      <c r="AO489" s="75"/>
      <c r="AP489" s="75"/>
      <c r="AQ489" s="75"/>
      <c r="AR489" s="75"/>
      <c r="AS489" s="75"/>
      <c r="AT489" s="75"/>
      <c r="AU489" s="75"/>
      <c r="AV489" s="75"/>
      <c r="AW489" s="7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6"/>
      <c r="FI489" s="290"/>
      <c r="FJ489" s="281"/>
      <c r="FK489" s="281"/>
      <c r="FL489" s="281"/>
      <c r="FM489" s="281"/>
      <c r="FN489" s="281"/>
      <c r="FO489" s="281"/>
      <c r="FP489" s="281"/>
      <c r="FQ489" s="281"/>
      <c r="FR489" s="281"/>
      <c r="FS489" s="86"/>
      <c r="FT489" s="86"/>
      <c r="FU489" s="86"/>
      <c r="FV489" s="86"/>
      <c r="FW489" s="86"/>
      <c r="FX489" s="86"/>
      <c r="FY489" s="259"/>
      <c r="FZ489" s="259"/>
      <c r="GA489" s="259"/>
      <c r="GB489" s="259"/>
      <c r="GC489" s="259"/>
      <c r="GD489" s="259"/>
      <c r="GE489" s="259"/>
      <c r="GF489" s="259"/>
      <c r="GG489" s="259"/>
      <c r="GH489" s="259"/>
      <c r="GI489" s="259"/>
      <c r="GJ489" s="259"/>
      <c r="GK489" s="259"/>
      <c r="GL489" s="259"/>
      <c r="GM489" s="259"/>
      <c r="GN489" s="259"/>
      <c r="GO489" s="259"/>
      <c r="GP489" s="259"/>
      <c r="GQ489" s="259"/>
      <c r="GR489" s="259"/>
      <c r="GS489" s="259"/>
      <c r="GT489" s="259"/>
      <c r="GU489" s="259"/>
      <c r="GV489" s="259"/>
    </row>
    <row r="490" spans="1:204" ht="16.5" customHeight="1">
      <c r="A490" s="60"/>
      <c r="B490" s="69"/>
      <c r="C490" s="69"/>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5"/>
      <c r="AN490" s="75"/>
      <c r="AO490" s="75"/>
      <c r="AP490" s="75"/>
      <c r="AQ490" s="75"/>
      <c r="AR490" s="75"/>
      <c r="AS490" s="75"/>
      <c r="AT490" s="75"/>
      <c r="AU490" s="75"/>
      <c r="AV490" s="75"/>
      <c r="AW490" s="75"/>
      <c r="AX490" s="75"/>
      <c r="AY490" s="75"/>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75"/>
      <c r="CI490" s="75"/>
      <c r="CJ490" s="75"/>
      <c r="CK490" s="75"/>
      <c r="CL490" s="75"/>
      <c r="CM490" s="75"/>
      <c r="CN490" s="75"/>
      <c r="CO490" s="75"/>
      <c r="CP490" s="75"/>
      <c r="CQ490" s="75"/>
      <c r="CR490" s="75"/>
      <c r="CS490" s="75"/>
      <c r="CT490" s="75"/>
      <c r="CU490" s="75"/>
      <c r="CV490" s="75"/>
      <c r="CW490" s="75"/>
      <c r="CX490" s="75"/>
      <c r="CY490" s="75"/>
      <c r="CZ490" s="75"/>
      <c r="DA490" s="75"/>
      <c r="DB490" s="75"/>
      <c r="DC490" s="75"/>
      <c r="DD490" s="75"/>
      <c r="DE490" s="75"/>
      <c r="DF490" s="75"/>
      <c r="DG490" s="75"/>
      <c r="DH490" s="75"/>
      <c r="DI490" s="75"/>
      <c r="DJ490" s="75"/>
      <c r="DK490" s="75"/>
      <c r="DL490" s="75"/>
      <c r="DM490" s="75"/>
      <c r="DN490" s="75"/>
      <c r="DO490" s="75"/>
      <c r="DP490" s="75"/>
      <c r="DQ490" s="75"/>
      <c r="DR490" s="75"/>
      <c r="DS490" s="75"/>
      <c r="DT490" s="75"/>
      <c r="DU490" s="75"/>
      <c r="DV490" s="75"/>
      <c r="DW490" s="75"/>
      <c r="DX490" s="75"/>
      <c r="DY490" s="75"/>
      <c r="DZ490" s="75"/>
      <c r="EA490" s="75"/>
      <c r="EB490" s="75"/>
      <c r="EC490" s="75"/>
      <c r="ED490" s="75"/>
      <c r="EE490" s="75"/>
      <c r="EF490" s="75"/>
      <c r="EG490" s="75"/>
      <c r="EH490" s="75"/>
      <c r="EI490" s="75"/>
      <c r="EJ490" s="75"/>
      <c r="EK490" s="75"/>
      <c r="EL490" s="75"/>
      <c r="EM490" s="75"/>
      <c r="EN490" s="75"/>
      <c r="EO490" s="75"/>
      <c r="EP490" s="75"/>
      <c r="EQ490" s="75"/>
      <c r="ER490" s="75"/>
      <c r="ES490" s="75"/>
      <c r="ET490" s="75"/>
      <c r="EU490" s="75"/>
      <c r="EV490" s="75"/>
      <c r="EW490" s="75"/>
      <c r="EX490" s="75"/>
      <c r="EY490" s="75"/>
      <c r="EZ490" s="75"/>
      <c r="FA490" s="75"/>
      <c r="FB490" s="75"/>
      <c r="FC490" s="75"/>
      <c r="FD490" s="75"/>
      <c r="FE490" s="75"/>
      <c r="FF490" s="75"/>
      <c r="FG490" s="75"/>
      <c r="FH490" s="76"/>
      <c r="FI490" s="290"/>
      <c r="FJ490" s="281"/>
      <c r="FK490" s="281"/>
      <c r="FL490" s="281"/>
      <c r="FM490" s="281"/>
      <c r="FN490" s="281"/>
      <c r="FO490" s="281"/>
      <c r="FP490" s="281"/>
      <c r="FQ490" s="281"/>
      <c r="FR490" s="281"/>
      <c r="FS490" s="86"/>
      <c r="FT490" s="86"/>
      <c r="FU490" s="86"/>
      <c r="FV490" s="86"/>
      <c r="FW490" s="86"/>
      <c r="FX490" s="86"/>
      <c r="FY490" s="259"/>
      <c r="FZ490" s="259"/>
      <c r="GA490" s="259"/>
      <c r="GB490" s="259"/>
      <c r="GC490" s="259"/>
      <c r="GD490" s="259"/>
      <c r="GE490" s="259"/>
      <c r="GF490" s="259"/>
      <c r="GG490" s="259"/>
      <c r="GH490" s="259"/>
      <c r="GI490" s="259"/>
      <c r="GJ490" s="259"/>
      <c r="GK490" s="259"/>
      <c r="GL490" s="259"/>
      <c r="GM490" s="259"/>
      <c r="GN490" s="259"/>
      <c r="GO490" s="259"/>
      <c r="GP490" s="259"/>
      <c r="GQ490" s="259"/>
      <c r="GR490" s="259"/>
      <c r="GS490" s="259"/>
      <c r="GT490" s="259"/>
      <c r="GU490" s="259"/>
      <c r="GV490" s="259"/>
    </row>
    <row r="491" spans="1:204" ht="16.5" customHeight="1">
      <c r="A491" s="60"/>
      <c r="B491" s="69"/>
      <c r="C491" s="69"/>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5"/>
      <c r="AN491" s="75"/>
      <c r="AO491" s="75"/>
      <c r="AP491" s="75"/>
      <c r="AQ491" s="75"/>
      <c r="AR491" s="75"/>
      <c r="AS491" s="75"/>
      <c r="AT491" s="75"/>
      <c r="AU491" s="75"/>
      <c r="AV491" s="75"/>
      <c r="AW491" s="75"/>
      <c r="AX491" s="75"/>
      <c r="AY491" s="75"/>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75"/>
      <c r="CI491" s="75"/>
      <c r="CJ491" s="75"/>
      <c r="CK491" s="75"/>
      <c r="CL491" s="75"/>
      <c r="CM491" s="75"/>
      <c r="CN491" s="75"/>
      <c r="CO491" s="75"/>
      <c r="CP491" s="75"/>
      <c r="CQ491" s="75"/>
      <c r="CR491" s="75"/>
      <c r="CS491" s="75"/>
      <c r="CT491" s="75"/>
      <c r="CU491" s="75"/>
      <c r="CV491" s="75"/>
      <c r="CW491" s="75"/>
      <c r="CX491" s="75"/>
      <c r="CY491" s="75"/>
      <c r="CZ491" s="75"/>
      <c r="DA491" s="75"/>
      <c r="DB491" s="75"/>
      <c r="DC491" s="75"/>
      <c r="DD491" s="75"/>
      <c r="DE491" s="75"/>
      <c r="DF491" s="75"/>
      <c r="DG491" s="75"/>
      <c r="DH491" s="75"/>
      <c r="DI491" s="75"/>
      <c r="DJ491" s="75"/>
      <c r="DK491" s="75"/>
      <c r="DL491" s="75"/>
      <c r="DM491" s="75"/>
      <c r="DN491" s="75"/>
      <c r="DO491" s="75"/>
      <c r="DP491" s="75"/>
      <c r="DQ491" s="75"/>
      <c r="DR491" s="75"/>
      <c r="DS491" s="75"/>
      <c r="DT491" s="75"/>
      <c r="DU491" s="75"/>
      <c r="DV491" s="75"/>
      <c r="DW491" s="75"/>
      <c r="DX491" s="75"/>
      <c r="DY491" s="75"/>
      <c r="DZ491" s="75"/>
      <c r="EA491" s="75"/>
      <c r="EB491" s="75"/>
      <c r="EC491" s="75"/>
      <c r="ED491" s="75"/>
      <c r="EE491" s="75"/>
      <c r="EF491" s="75"/>
      <c r="EG491" s="75"/>
      <c r="EH491" s="75"/>
      <c r="EI491" s="75"/>
      <c r="EJ491" s="75"/>
      <c r="EK491" s="75"/>
      <c r="EL491" s="75"/>
      <c r="EM491" s="75"/>
      <c r="EN491" s="75"/>
      <c r="EO491" s="75"/>
      <c r="EP491" s="75"/>
      <c r="EQ491" s="75"/>
      <c r="ER491" s="75"/>
      <c r="ES491" s="75"/>
      <c r="ET491" s="75"/>
      <c r="EU491" s="75"/>
      <c r="EV491" s="75"/>
      <c r="EW491" s="75"/>
      <c r="EX491" s="75"/>
      <c r="EY491" s="75"/>
      <c r="EZ491" s="75"/>
      <c r="FA491" s="75"/>
      <c r="FB491" s="75"/>
      <c r="FC491" s="75"/>
      <c r="FD491" s="75"/>
      <c r="FE491" s="75"/>
      <c r="FF491" s="75"/>
      <c r="FG491" s="75"/>
      <c r="FH491" s="76"/>
      <c r="FI491" s="290"/>
      <c r="FJ491" s="281"/>
      <c r="FK491" s="281"/>
      <c r="FL491" s="281"/>
      <c r="FM491" s="281"/>
      <c r="FN491" s="281"/>
      <c r="FO491" s="281"/>
      <c r="FP491" s="281"/>
      <c r="FQ491" s="281"/>
      <c r="FR491" s="281"/>
      <c r="FS491" s="86"/>
      <c r="FT491" s="86"/>
      <c r="FU491" s="86"/>
      <c r="FV491" s="86"/>
      <c r="FW491" s="86"/>
      <c r="FX491" s="86"/>
      <c r="FY491" s="259"/>
      <c r="FZ491" s="259"/>
      <c r="GA491" s="259"/>
      <c r="GB491" s="259"/>
      <c r="GC491" s="259"/>
      <c r="GD491" s="259"/>
      <c r="GE491" s="259"/>
      <c r="GF491" s="259"/>
      <c r="GG491" s="259"/>
      <c r="GH491" s="259"/>
      <c r="GI491" s="259"/>
      <c r="GJ491" s="259"/>
      <c r="GK491" s="259"/>
      <c r="GL491" s="259"/>
      <c r="GM491" s="259"/>
      <c r="GN491" s="259"/>
      <c r="GO491" s="259"/>
      <c r="GP491" s="259"/>
      <c r="GQ491" s="259"/>
      <c r="GR491" s="259"/>
      <c r="GS491" s="259"/>
      <c r="GT491" s="259"/>
      <c r="GU491" s="259"/>
      <c r="GV491" s="259"/>
    </row>
    <row r="492" spans="1:204" ht="16.5" customHeight="1">
      <c r="A492" s="60"/>
      <c r="B492" s="69"/>
      <c r="C492" s="69"/>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5"/>
      <c r="AN492" s="75"/>
      <c r="AO492" s="75"/>
      <c r="AP492" s="75"/>
      <c r="AQ492" s="75"/>
      <c r="AR492" s="75"/>
      <c r="AS492" s="75"/>
      <c r="AT492" s="75"/>
      <c r="AU492" s="75"/>
      <c r="AV492" s="75"/>
      <c r="AW492" s="75"/>
      <c r="AX492" s="75"/>
      <c r="AY492" s="75"/>
      <c r="AZ492" s="75"/>
      <c r="BA492" s="75"/>
      <c r="BB492" s="75"/>
      <c r="BC492" s="75"/>
      <c r="BD492" s="75"/>
      <c r="BE492" s="75"/>
      <c r="BF492" s="75"/>
      <c r="BG492" s="75"/>
      <c r="BH492" s="75"/>
      <c r="BI492" s="75"/>
      <c r="BJ492" s="75"/>
      <c r="BK492" s="75"/>
      <c r="BL492" s="75"/>
      <c r="BM492" s="75"/>
      <c r="BN492" s="75"/>
      <c r="BO492" s="75"/>
      <c r="BP492" s="75"/>
      <c r="BQ492" s="75"/>
      <c r="BR492" s="75"/>
      <c r="BS492" s="75"/>
      <c r="BT492" s="75"/>
      <c r="BU492" s="75"/>
      <c r="BV492" s="75"/>
      <c r="BW492" s="75"/>
      <c r="BX492" s="75"/>
      <c r="BY492" s="75"/>
      <c r="BZ492" s="75"/>
      <c r="CA492" s="75"/>
      <c r="CB492" s="75"/>
      <c r="CC492" s="75"/>
      <c r="CD492" s="75"/>
      <c r="CE492" s="75"/>
      <c r="CF492" s="75"/>
      <c r="CG492" s="75"/>
      <c r="CH492" s="75"/>
      <c r="CI492" s="75"/>
      <c r="CJ492" s="75"/>
      <c r="CK492" s="75"/>
      <c r="CL492" s="75"/>
      <c r="CM492" s="75"/>
      <c r="CN492" s="75"/>
      <c r="CO492" s="75"/>
      <c r="CP492" s="75"/>
      <c r="CQ492" s="75"/>
      <c r="CR492" s="75"/>
      <c r="CS492" s="75"/>
      <c r="CT492" s="75"/>
      <c r="CU492" s="75"/>
      <c r="CV492" s="75"/>
      <c r="CW492" s="75"/>
      <c r="CX492" s="75"/>
      <c r="CY492" s="75"/>
      <c r="CZ492" s="75"/>
      <c r="DA492" s="75"/>
      <c r="DB492" s="75"/>
      <c r="DC492" s="75"/>
      <c r="DD492" s="75"/>
      <c r="DE492" s="75"/>
      <c r="DF492" s="75"/>
      <c r="DG492" s="75"/>
      <c r="DH492" s="75"/>
      <c r="DI492" s="75"/>
      <c r="DJ492" s="75"/>
      <c r="DK492" s="75"/>
      <c r="DL492" s="75"/>
      <c r="DM492" s="75"/>
      <c r="DN492" s="75"/>
      <c r="DO492" s="75"/>
      <c r="DP492" s="75"/>
      <c r="DQ492" s="75"/>
      <c r="DR492" s="75"/>
      <c r="DS492" s="75"/>
      <c r="DT492" s="75"/>
      <c r="DU492" s="75"/>
      <c r="DV492" s="75"/>
      <c r="DW492" s="75"/>
      <c r="DX492" s="75"/>
      <c r="DY492" s="75"/>
      <c r="DZ492" s="75"/>
      <c r="EA492" s="75"/>
      <c r="EB492" s="75"/>
      <c r="EC492" s="75"/>
      <c r="ED492" s="75"/>
      <c r="EE492" s="75"/>
      <c r="EF492" s="75"/>
      <c r="EG492" s="75"/>
      <c r="EH492" s="75"/>
      <c r="EI492" s="75"/>
      <c r="EJ492" s="75"/>
      <c r="EK492" s="75"/>
      <c r="EL492" s="75"/>
      <c r="EM492" s="75"/>
      <c r="EN492" s="75"/>
      <c r="EO492" s="75"/>
      <c r="EP492" s="75"/>
      <c r="EQ492" s="75"/>
      <c r="ER492" s="75"/>
      <c r="ES492" s="75"/>
      <c r="ET492" s="75"/>
      <c r="EU492" s="75"/>
      <c r="EV492" s="75"/>
      <c r="EW492" s="75"/>
      <c r="EX492" s="75"/>
      <c r="EY492" s="75"/>
      <c r="EZ492" s="75"/>
      <c r="FA492" s="75"/>
      <c r="FB492" s="75"/>
      <c r="FC492" s="75"/>
      <c r="FD492" s="75"/>
      <c r="FE492" s="75"/>
      <c r="FF492" s="75"/>
      <c r="FG492" s="75"/>
      <c r="FH492" s="76"/>
      <c r="FI492" s="290"/>
      <c r="FJ492" s="281"/>
      <c r="FK492" s="281"/>
      <c r="FL492" s="281"/>
      <c r="FM492" s="281"/>
      <c r="FN492" s="281"/>
      <c r="FO492" s="281"/>
      <c r="FP492" s="281"/>
      <c r="FQ492" s="281"/>
      <c r="FR492" s="281"/>
      <c r="FS492" s="86"/>
      <c r="FT492" s="86"/>
      <c r="FU492" s="86"/>
      <c r="FV492" s="86"/>
      <c r="FW492" s="86"/>
      <c r="FX492" s="86"/>
      <c r="FY492" s="259"/>
      <c r="FZ492" s="259"/>
      <c r="GA492" s="259"/>
      <c r="GB492" s="259"/>
      <c r="GC492" s="259"/>
      <c r="GD492" s="259"/>
      <c r="GE492" s="259"/>
      <c r="GF492" s="259"/>
      <c r="GG492" s="259"/>
      <c r="GH492" s="259"/>
      <c r="GI492" s="259"/>
      <c r="GJ492" s="259"/>
      <c r="GK492" s="259"/>
      <c r="GL492" s="259"/>
      <c r="GM492" s="259"/>
      <c r="GN492" s="259"/>
      <c r="GO492" s="259"/>
      <c r="GP492" s="259"/>
      <c r="GQ492" s="259"/>
      <c r="GR492" s="259"/>
      <c r="GS492" s="259"/>
      <c r="GT492" s="259"/>
      <c r="GU492" s="259"/>
      <c r="GV492" s="259"/>
    </row>
    <row r="493" spans="1:204" ht="16.5" customHeight="1">
      <c r="A493" s="60"/>
      <c r="B493" s="69"/>
      <c r="C493" s="69"/>
      <c r="D493" s="603"/>
      <c r="E493" s="604"/>
      <c r="F493" s="604"/>
      <c r="G493" s="604"/>
      <c r="H493" s="604"/>
      <c r="I493" s="604"/>
      <c r="J493" s="604"/>
      <c r="K493" s="604"/>
      <c r="L493" s="604"/>
      <c r="M493" s="604"/>
      <c r="N493" s="604"/>
      <c r="O493" s="604"/>
      <c r="P493" s="604"/>
      <c r="Q493" s="604"/>
      <c r="R493" s="604"/>
      <c r="S493" s="604"/>
      <c r="T493" s="604"/>
      <c r="U493" s="604"/>
      <c r="V493" s="604"/>
      <c r="W493" s="604"/>
      <c r="X493" s="604"/>
      <c r="Y493" s="604"/>
      <c r="Z493" s="604"/>
      <c r="AA493" s="604"/>
      <c r="AB493" s="604"/>
      <c r="AC493" s="604"/>
      <c r="AD493" s="604"/>
      <c r="AE493" s="604"/>
      <c r="AF493" s="604"/>
      <c r="AG493" s="604"/>
      <c r="AH493" s="604"/>
      <c r="AI493" s="604"/>
      <c r="AJ493" s="604"/>
      <c r="AK493" s="604"/>
      <c r="AL493" s="604"/>
      <c r="AM493" s="604"/>
      <c r="AN493" s="604"/>
      <c r="AO493" s="604"/>
      <c r="AP493" s="604"/>
      <c r="AQ493" s="604"/>
      <c r="AR493" s="604"/>
      <c r="AS493" s="604"/>
      <c r="AT493" s="604"/>
      <c r="AU493" s="604"/>
      <c r="AV493" s="604"/>
      <c r="AW493" s="604"/>
      <c r="AX493" s="604"/>
      <c r="AY493" s="604"/>
      <c r="AZ493" s="604"/>
      <c r="BA493" s="604"/>
      <c r="BB493" s="604"/>
      <c r="BC493" s="604"/>
      <c r="BD493" s="604"/>
      <c r="BE493" s="604"/>
      <c r="BF493" s="604"/>
      <c r="BG493" s="604"/>
      <c r="BH493" s="604"/>
      <c r="BI493" s="604"/>
      <c r="BJ493" s="604"/>
      <c r="BK493" s="604"/>
      <c r="BL493" s="604"/>
      <c r="BM493" s="604"/>
      <c r="BN493" s="604"/>
      <c r="BO493" s="604"/>
      <c r="BP493" s="604"/>
      <c r="BQ493" s="604"/>
      <c r="BR493" s="604"/>
      <c r="BS493" s="604"/>
      <c r="BT493" s="604"/>
      <c r="BU493" s="604"/>
      <c r="BV493" s="604"/>
      <c r="BW493" s="604"/>
      <c r="BX493" s="604"/>
      <c r="BY493" s="604"/>
      <c r="BZ493" s="604"/>
      <c r="CA493" s="604"/>
      <c r="CB493" s="604"/>
      <c r="CC493" s="604"/>
      <c r="CD493" s="604"/>
      <c r="CE493" s="604"/>
      <c r="CF493" s="604"/>
      <c r="CG493" s="604"/>
      <c r="CH493" s="604"/>
      <c r="CI493" s="604"/>
      <c r="CJ493" s="604"/>
      <c r="CK493" s="604"/>
      <c r="CL493" s="604"/>
      <c r="CM493" s="604"/>
      <c r="CN493" s="604"/>
      <c r="CO493" s="604"/>
      <c r="CP493" s="604"/>
      <c r="CQ493" s="604"/>
      <c r="CR493" s="604"/>
      <c r="CS493" s="604"/>
      <c r="CT493" s="604"/>
      <c r="CU493" s="604"/>
      <c r="CV493" s="604"/>
      <c r="CW493" s="604"/>
      <c r="CX493" s="604"/>
      <c r="CY493" s="604"/>
      <c r="CZ493" s="604"/>
      <c r="DA493" s="604"/>
      <c r="DB493" s="604"/>
      <c r="DC493" s="604"/>
      <c r="DD493" s="604"/>
      <c r="DE493" s="604"/>
      <c r="DF493" s="604"/>
      <c r="DG493" s="604"/>
      <c r="DH493" s="604"/>
      <c r="DI493" s="604"/>
      <c r="DJ493" s="604"/>
      <c r="DK493" s="604"/>
      <c r="DL493" s="604"/>
      <c r="DM493" s="604"/>
      <c r="DN493" s="604"/>
      <c r="DO493" s="604"/>
      <c r="DP493" s="604"/>
      <c r="DQ493" s="604"/>
      <c r="DR493" s="604"/>
      <c r="DS493" s="604"/>
      <c r="DT493" s="604"/>
      <c r="DU493" s="604"/>
      <c r="DV493" s="604"/>
      <c r="DW493" s="604"/>
      <c r="DX493" s="604"/>
      <c r="DY493" s="604"/>
      <c r="DZ493" s="604"/>
      <c r="EA493" s="604"/>
      <c r="EB493" s="604"/>
      <c r="EC493" s="604"/>
      <c r="ED493" s="604"/>
      <c r="EE493" s="604"/>
      <c r="EF493" s="604"/>
      <c r="EG493" s="604"/>
      <c r="EH493" s="604"/>
      <c r="EI493" s="604"/>
      <c r="EJ493" s="604"/>
      <c r="EK493" s="604"/>
      <c r="EL493" s="604"/>
      <c r="EM493" s="604"/>
      <c r="EN493" s="604"/>
      <c r="EO493" s="604"/>
      <c r="EP493" s="604"/>
      <c r="EQ493" s="604"/>
      <c r="ER493" s="604"/>
      <c r="ES493" s="604"/>
      <c r="ET493" s="604"/>
      <c r="EU493" s="604"/>
      <c r="EV493" s="604"/>
      <c r="EW493" s="604"/>
      <c r="EX493" s="604"/>
      <c r="EY493" s="604"/>
      <c r="EZ493" s="604"/>
      <c r="FA493" s="604"/>
      <c r="FB493" s="604"/>
      <c r="FC493" s="604"/>
      <c r="FD493" s="604"/>
      <c r="FE493" s="604"/>
      <c r="FF493" s="604"/>
      <c r="FG493" s="604"/>
      <c r="FH493" s="604"/>
      <c r="FI493" s="604"/>
      <c r="FJ493" s="281"/>
      <c r="FK493" s="281"/>
      <c r="FL493" s="281"/>
      <c r="FM493" s="281"/>
      <c r="FN493" s="281"/>
      <c r="FO493" s="281"/>
      <c r="FP493" s="281"/>
      <c r="FQ493" s="281"/>
      <c r="FR493" s="281"/>
      <c r="FS493" s="86"/>
      <c r="FT493" s="86"/>
      <c r="FU493" s="86"/>
      <c r="FV493" s="86"/>
      <c r="FW493" s="86"/>
      <c r="FX493" s="86"/>
      <c r="FY493" s="259"/>
      <c r="FZ493" s="259"/>
      <c r="GA493" s="259"/>
      <c r="GB493" s="259"/>
      <c r="GC493" s="259"/>
      <c r="GD493" s="259"/>
      <c r="GE493" s="259"/>
      <c r="GF493" s="259"/>
      <c r="GG493" s="259"/>
      <c r="GH493" s="259"/>
      <c r="GI493" s="259"/>
      <c r="GJ493" s="259"/>
      <c r="GK493" s="259"/>
      <c r="GL493" s="259"/>
      <c r="GM493" s="259"/>
      <c r="GN493" s="259"/>
      <c r="GO493" s="259"/>
      <c r="GP493" s="259"/>
      <c r="GQ493" s="259"/>
      <c r="GR493" s="259"/>
      <c r="GS493" s="259"/>
      <c r="GT493" s="259"/>
      <c r="GU493" s="259"/>
      <c r="GV493" s="259"/>
    </row>
    <row r="494" spans="1:204" ht="22.8">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108"/>
      <c r="EA494" s="108"/>
      <c r="EB494" s="108"/>
      <c r="EC494" s="108"/>
      <c r="ED494" s="108"/>
      <c r="EE494" s="108"/>
      <c r="EF494" s="108"/>
      <c r="EG494" s="108"/>
      <c r="EH494" s="108"/>
      <c r="EI494" s="108"/>
      <c r="EJ494" s="108"/>
      <c r="EK494" s="108"/>
      <c r="EL494" s="108"/>
      <c r="EM494" s="108"/>
      <c r="EN494" s="108"/>
      <c r="EO494" s="108"/>
      <c r="EP494" s="108"/>
      <c r="EQ494" s="108"/>
      <c r="ER494" s="108"/>
      <c r="ES494" s="108"/>
      <c r="ET494" s="108"/>
      <c r="EU494" s="108"/>
      <c r="EV494" s="108"/>
      <c r="EW494" s="108"/>
      <c r="EX494" s="108"/>
      <c r="EY494" s="108"/>
      <c r="EZ494" s="108"/>
      <c r="FA494" s="108"/>
      <c r="FB494" s="108"/>
      <c r="FC494" s="108"/>
      <c r="FD494" s="108"/>
      <c r="FE494" s="108"/>
      <c r="FF494" s="108"/>
      <c r="FG494" s="108"/>
      <c r="FH494" s="108"/>
      <c r="FI494" s="108"/>
      <c r="FJ494" s="281"/>
      <c r="FK494" s="281"/>
      <c r="FL494" s="281"/>
      <c r="FM494" s="281"/>
      <c r="FN494" s="281"/>
      <c r="FO494" s="281"/>
      <c r="FP494" s="281"/>
      <c r="FQ494" s="281"/>
      <c r="FR494" s="281"/>
      <c r="FS494" s="86"/>
      <c r="FT494" s="86"/>
      <c r="FU494" s="86"/>
      <c r="FV494" s="86"/>
      <c r="FW494" s="86"/>
      <c r="FX494" s="86"/>
      <c r="FY494" s="259"/>
      <c r="FZ494" s="259"/>
      <c r="GA494" s="259"/>
      <c r="GB494" s="259"/>
      <c r="GC494" s="259"/>
      <c r="GD494" s="259"/>
      <c r="GE494" s="259"/>
      <c r="GF494" s="259"/>
      <c r="GG494" s="259"/>
      <c r="GH494" s="259"/>
      <c r="GI494" s="259"/>
      <c r="GJ494" s="259"/>
      <c r="GK494" s="259"/>
      <c r="GL494" s="259"/>
      <c r="GM494" s="259"/>
      <c r="GN494" s="259"/>
      <c r="GO494" s="259"/>
      <c r="GP494" s="259"/>
      <c r="GQ494" s="259"/>
      <c r="GR494" s="259"/>
      <c r="GS494" s="259"/>
      <c r="GT494" s="259"/>
      <c r="GU494" s="259"/>
      <c r="GV494" s="259"/>
    </row>
    <row r="495" spans="1:204" ht="22.8">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108"/>
      <c r="EA495" s="108"/>
      <c r="EB495" s="108"/>
      <c r="EC495" s="108"/>
      <c r="ED495" s="108"/>
      <c r="EE495" s="108"/>
      <c r="EF495" s="108"/>
      <c r="EG495" s="108"/>
      <c r="EH495" s="108"/>
      <c r="EI495" s="108"/>
      <c r="EJ495" s="108"/>
      <c r="EK495" s="108"/>
      <c r="EL495" s="108"/>
      <c r="EM495" s="108"/>
      <c r="EN495" s="108"/>
      <c r="EO495" s="108"/>
      <c r="EP495" s="108"/>
      <c r="EQ495" s="108"/>
      <c r="ER495" s="108"/>
      <c r="ES495" s="108"/>
      <c r="ET495" s="108"/>
      <c r="EU495" s="108"/>
      <c r="EV495" s="108"/>
      <c r="EW495" s="108"/>
      <c r="EX495" s="108"/>
      <c r="EY495" s="108"/>
      <c r="EZ495" s="108"/>
      <c r="FA495" s="108"/>
      <c r="FB495" s="108"/>
      <c r="FC495" s="108"/>
      <c r="FD495" s="108"/>
      <c r="FE495" s="108"/>
      <c r="FF495" s="108"/>
      <c r="FG495" s="108"/>
      <c r="FH495" s="108"/>
      <c r="FI495" s="108"/>
      <c r="FJ495" s="281"/>
      <c r="FK495" s="281"/>
      <c r="FL495" s="281"/>
      <c r="FM495" s="281"/>
      <c r="FN495" s="281"/>
      <c r="FO495" s="281"/>
      <c r="FP495" s="281"/>
      <c r="FQ495" s="281"/>
      <c r="FR495" s="281"/>
      <c r="FS495" s="86"/>
      <c r="FT495" s="86"/>
      <c r="FU495" s="86"/>
      <c r="FV495" s="86"/>
      <c r="FW495" s="86"/>
      <c r="FX495" s="86"/>
      <c r="FY495" s="259"/>
      <c r="FZ495" s="259"/>
      <c r="GA495" s="259"/>
      <c r="GB495" s="259"/>
      <c r="GC495" s="259"/>
      <c r="GD495" s="259"/>
      <c r="GE495" s="259"/>
      <c r="GF495" s="259"/>
      <c r="GG495" s="259"/>
      <c r="GH495" s="259"/>
      <c r="GI495" s="259"/>
      <c r="GJ495" s="259"/>
      <c r="GK495" s="259"/>
      <c r="GL495" s="259"/>
      <c r="GM495" s="259"/>
      <c r="GN495" s="259"/>
      <c r="GO495" s="259"/>
      <c r="GP495" s="259"/>
      <c r="GQ495" s="259"/>
      <c r="GR495" s="259"/>
      <c r="GS495" s="259"/>
      <c r="GT495" s="259"/>
      <c r="GU495" s="259"/>
      <c r="GV495" s="259"/>
    </row>
    <row r="496" spans="1:204" ht="22.8">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108"/>
      <c r="EA496" s="108"/>
      <c r="EB496" s="108"/>
      <c r="EC496" s="108"/>
      <c r="ED496" s="108"/>
      <c r="EE496" s="108"/>
      <c r="EF496" s="108"/>
      <c r="EG496" s="108"/>
      <c r="EH496" s="108"/>
      <c r="EI496" s="108"/>
      <c r="EJ496" s="108"/>
      <c r="EK496" s="108"/>
      <c r="EL496" s="108"/>
      <c r="EM496" s="108"/>
      <c r="EN496" s="108"/>
      <c r="EO496" s="108"/>
      <c r="EP496" s="108"/>
      <c r="EQ496" s="108"/>
      <c r="ER496" s="108"/>
      <c r="ES496" s="108"/>
      <c r="ET496" s="108"/>
      <c r="EU496" s="108"/>
      <c r="EV496" s="108"/>
      <c r="EW496" s="108"/>
      <c r="EX496" s="108"/>
      <c r="EY496" s="108"/>
      <c r="EZ496" s="108"/>
      <c r="FA496" s="108"/>
      <c r="FB496" s="108"/>
      <c r="FC496" s="108"/>
      <c r="FD496" s="108"/>
      <c r="FE496" s="108"/>
      <c r="FF496" s="108"/>
      <c r="FG496" s="108"/>
      <c r="FH496" s="108"/>
      <c r="FI496" s="108"/>
      <c r="FJ496" s="281"/>
      <c r="FK496" s="281"/>
      <c r="FL496" s="281"/>
      <c r="FM496" s="281"/>
      <c r="FN496" s="281"/>
      <c r="FO496" s="281"/>
      <c r="FP496" s="281"/>
      <c r="FQ496" s="281"/>
      <c r="FR496" s="281"/>
      <c r="FS496" s="86"/>
      <c r="FT496" s="86"/>
      <c r="FU496" s="86"/>
      <c r="FV496" s="86"/>
      <c r="FW496" s="86"/>
      <c r="FX496" s="86"/>
      <c r="FY496" s="259"/>
      <c r="FZ496" s="259"/>
      <c r="GA496" s="259"/>
      <c r="GB496" s="259"/>
      <c r="GC496" s="259"/>
      <c r="GD496" s="259"/>
      <c r="GE496" s="259"/>
      <c r="GF496" s="259"/>
      <c r="GG496" s="259"/>
      <c r="GH496" s="259"/>
      <c r="GI496" s="259"/>
      <c r="GJ496" s="259"/>
      <c r="GK496" s="259"/>
      <c r="GL496" s="259"/>
      <c r="GM496" s="259"/>
      <c r="GN496" s="259"/>
      <c r="GO496" s="259"/>
      <c r="GP496" s="259"/>
      <c r="GQ496" s="259"/>
      <c r="GR496" s="259"/>
      <c r="GS496" s="259"/>
      <c r="GT496" s="259"/>
      <c r="GU496" s="259"/>
      <c r="GV496" s="259"/>
    </row>
    <row r="497" spans="1:204" ht="22.8">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108"/>
      <c r="EA497" s="108"/>
      <c r="EB497" s="108"/>
      <c r="EC497" s="108"/>
      <c r="ED497" s="108"/>
      <c r="EE497" s="108"/>
      <c r="EF497" s="108"/>
      <c r="EG497" s="108"/>
      <c r="EH497" s="108"/>
      <c r="EI497" s="108"/>
      <c r="EJ497" s="108"/>
      <c r="EK497" s="108"/>
      <c r="EL497" s="108"/>
      <c r="EM497" s="108"/>
      <c r="EN497" s="108"/>
      <c r="EO497" s="108"/>
      <c r="EP497" s="108"/>
      <c r="EQ497" s="108"/>
      <c r="ER497" s="108"/>
      <c r="ES497" s="108"/>
      <c r="ET497" s="108"/>
      <c r="EU497" s="108"/>
      <c r="EV497" s="108"/>
      <c r="EW497" s="108"/>
      <c r="EX497" s="108"/>
      <c r="EY497" s="108"/>
      <c r="EZ497" s="108"/>
      <c r="FA497" s="108"/>
      <c r="FB497" s="108"/>
      <c r="FC497" s="108"/>
      <c r="FD497" s="108"/>
      <c r="FE497" s="108"/>
      <c r="FF497" s="108"/>
      <c r="FG497" s="108"/>
      <c r="FH497" s="108"/>
      <c r="FI497" s="108"/>
      <c r="FJ497" s="281"/>
      <c r="FK497" s="281"/>
      <c r="FL497" s="281"/>
      <c r="FM497" s="281"/>
      <c r="FN497" s="281"/>
      <c r="FO497" s="281"/>
      <c r="FP497" s="281"/>
      <c r="FQ497" s="281"/>
      <c r="FR497" s="281"/>
      <c r="FS497" s="86"/>
      <c r="FT497" s="86"/>
      <c r="FU497" s="86"/>
      <c r="FV497" s="86"/>
      <c r="FW497" s="86"/>
      <c r="FX497" s="86"/>
      <c r="FY497" s="259"/>
      <c r="FZ497" s="259"/>
      <c r="GA497" s="259"/>
      <c r="GB497" s="259"/>
      <c r="GC497" s="259"/>
      <c r="GD497" s="259"/>
      <c r="GE497" s="259"/>
      <c r="GF497" s="259"/>
      <c r="GG497" s="259"/>
      <c r="GH497" s="259"/>
      <c r="GI497" s="259"/>
      <c r="GJ497" s="259"/>
      <c r="GK497" s="259"/>
      <c r="GL497" s="259"/>
      <c r="GM497" s="259"/>
      <c r="GN497" s="259"/>
      <c r="GO497" s="259"/>
      <c r="GP497" s="259"/>
      <c r="GQ497" s="259"/>
      <c r="GR497" s="259"/>
      <c r="GS497" s="259"/>
      <c r="GT497" s="259"/>
      <c r="GU497" s="259"/>
      <c r="GV497" s="259"/>
    </row>
    <row r="498" spans="1:204" ht="22.8">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108"/>
      <c r="EA498" s="108"/>
      <c r="EB498" s="108"/>
      <c r="EC498" s="108"/>
      <c r="ED498" s="108"/>
      <c r="EE498" s="108"/>
      <c r="EF498" s="108"/>
      <c r="EG498" s="108"/>
      <c r="EH498" s="108"/>
      <c r="EI498" s="108"/>
      <c r="EJ498" s="108"/>
      <c r="EK498" s="108"/>
      <c r="EL498" s="108"/>
      <c r="EM498" s="108"/>
      <c r="EN498" s="108"/>
      <c r="EO498" s="108"/>
      <c r="EP498" s="108"/>
      <c r="EQ498" s="108"/>
      <c r="ER498" s="108"/>
      <c r="ES498" s="108"/>
      <c r="ET498" s="108"/>
      <c r="EU498" s="108"/>
      <c r="EV498" s="108"/>
      <c r="EW498" s="108"/>
      <c r="EX498" s="108"/>
      <c r="EY498" s="108"/>
      <c r="EZ498" s="108"/>
      <c r="FA498" s="108"/>
      <c r="FB498" s="108"/>
      <c r="FC498" s="108"/>
      <c r="FD498" s="108"/>
      <c r="FE498" s="108"/>
      <c r="FF498" s="108"/>
      <c r="FG498" s="108"/>
      <c r="FH498" s="108"/>
      <c r="FI498" s="108"/>
      <c r="FJ498" s="281"/>
      <c r="FK498" s="281"/>
      <c r="FL498" s="281"/>
      <c r="FM498" s="281"/>
      <c r="FN498" s="281"/>
      <c r="FO498" s="281"/>
      <c r="FP498" s="281"/>
      <c r="FQ498" s="281"/>
      <c r="FR498" s="281"/>
      <c r="FS498" s="86"/>
      <c r="FT498" s="86"/>
      <c r="FU498" s="86"/>
      <c r="FV498" s="86"/>
      <c r="FW498" s="86"/>
      <c r="FX498" s="86"/>
      <c r="FY498" s="259"/>
      <c r="FZ498" s="259"/>
      <c r="GA498" s="259"/>
      <c r="GB498" s="259"/>
      <c r="GC498" s="259"/>
      <c r="GD498" s="259"/>
      <c r="GE498" s="259"/>
      <c r="GF498" s="259"/>
      <c r="GG498" s="259"/>
      <c r="GH498" s="259"/>
      <c r="GI498" s="259"/>
      <c r="GJ498" s="259"/>
      <c r="GK498" s="259"/>
      <c r="GL498" s="259"/>
      <c r="GM498" s="259"/>
      <c r="GN498" s="259"/>
      <c r="GO498" s="259"/>
      <c r="GP498" s="259"/>
      <c r="GQ498" s="259"/>
      <c r="GR498" s="259"/>
      <c r="GS498" s="259"/>
      <c r="GT498" s="259"/>
      <c r="GU498" s="259"/>
      <c r="GV498" s="259"/>
    </row>
    <row r="499" spans="1:204" ht="22.8">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c r="EA499" s="108"/>
      <c r="EB499" s="108"/>
      <c r="EC499" s="108"/>
      <c r="ED499" s="108"/>
      <c r="EE499" s="108"/>
      <c r="EF499" s="108"/>
      <c r="EG499" s="108"/>
      <c r="EH499" s="108"/>
      <c r="EI499" s="108"/>
      <c r="EJ499" s="108"/>
      <c r="EK499" s="108"/>
      <c r="EL499" s="108"/>
      <c r="EM499" s="108"/>
      <c r="EN499" s="108"/>
      <c r="EO499" s="108"/>
      <c r="EP499" s="108"/>
      <c r="EQ499" s="108"/>
      <c r="ER499" s="108"/>
      <c r="ES499" s="108"/>
      <c r="ET499" s="108"/>
      <c r="EU499" s="108"/>
      <c r="EV499" s="108"/>
      <c r="EW499" s="108"/>
      <c r="EX499" s="108"/>
      <c r="EY499" s="108"/>
      <c r="EZ499" s="108"/>
      <c r="FA499" s="108"/>
      <c r="FB499" s="108"/>
      <c r="FC499" s="108"/>
      <c r="FD499" s="108"/>
      <c r="FE499" s="108"/>
      <c r="FF499" s="108"/>
      <c r="FG499" s="108"/>
      <c r="FH499" s="108"/>
      <c r="FI499" s="108"/>
      <c r="FJ499" s="281"/>
      <c r="FK499" s="281"/>
      <c r="FL499" s="281"/>
      <c r="FM499" s="281"/>
      <c r="FN499" s="281"/>
      <c r="FO499" s="281"/>
      <c r="FP499" s="281"/>
      <c r="FQ499" s="281"/>
      <c r="FR499" s="281"/>
      <c r="FS499" s="86"/>
      <c r="FT499" s="86"/>
      <c r="FU499" s="86"/>
      <c r="FV499" s="86"/>
      <c r="FW499" s="86"/>
      <c r="FX499" s="86"/>
      <c r="FY499" s="259"/>
      <c r="FZ499" s="259"/>
      <c r="GA499" s="259"/>
      <c r="GB499" s="259"/>
      <c r="GC499" s="259"/>
      <c r="GD499" s="259"/>
      <c r="GE499" s="259"/>
      <c r="GF499" s="259"/>
      <c r="GG499" s="259"/>
      <c r="GH499" s="259"/>
      <c r="GI499" s="259"/>
      <c r="GJ499" s="259"/>
      <c r="GK499" s="259"/>
      <c r="GL499" s="259"/>
      <c r="GM499" s="259"/>
      <c r="GN499" s="259"/>
      <c r="GO499" s="259"/>
      <c r="GP499" s="259"/>
      <c r="GQ499" s="259"/>
      <c r="GR499" s="259"/>
      <c r="GS499" s="259"/>
      <c r="GT499" s="259"/>
      <c r="GU499" s="259"/>
      <c r="GV499" s="259"/>
    </row>
    <row r="500" spans="1:204" ht="22.8">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108"/>
      <c r="EA500" s="108"/>
      <c r="EB500" s="108"/>
      <c r="EC500" s="108"/>
      <c r="ED500" s="108"/>
      <c r="EE500" s="108"/>
      <c r="EF500" s="108"/>
      <c r="EG500" s="108"/>
      <c r="EH500" s="108"/>
      <c r="EI500" s="108"/>
      <c r="EJ500" s="108"/>
      <c r="EK500" s="108"/>
      <c r="EL500" s="108"/>
      <c r="EM500" s="108"/>
      <c r="EN500" s="108"/>
      <c r="EO500" s="108"/>
      <c r="EP500" s="108"/>
      <c r="EQ500" s="108"/>
      <c r="ER500" s="108"/>
      <c r="ES500" s="108"/>
      <c r="ET500" s="108"/>
      <c r="EU500" s="108"/>
      <c r="EV500" s="108"/>
      <c r="EW500" s="108"/>
      <c r="EX500" s="108"/>
      <c r="EY500" s="108"/>
      <c r="EZ500" s="108"/>
      <c r="FA500" s="108"/>
      <c r="FB500" s="108"/>
      <c r="FC500" s="108"/>
      <c r="FD500" s="108"/>
      <c r="FE500" s="108"/>
      <c r="FF500" s="108"/>
      <c r="FG500" s="108"/>
      <c r="FH500" s="108"/>
      <c r="FI500" s="108"/>
      <c r="FJ500" s="86"/>
      <c r="FK500" s="86"/>
      <c r="FL500" s="86"/>
      <c r="FM500" s="86"/>
      <c r="FN500" s="86"/>
      <c r="FO500" s="86"/>
      <c r="FP500" s="86"/>
      <c r="FQ500" s="86"/>
      <c r="FR500" s="86"/>
      <c r="FS500" s="86"/>
      <c r="FT500" s="86"/>
      <c r="FU500" s="86"/>
      <c r="FV500" s="86"/>
      <c r="FW500" s="86"/>
      <c r="FX500" s="86"/>
      <c r="FY500" s="259"/>
      <c r="FZ500" s="259"/>
      <c r="GA500" s="259"/>
      <c r="GB500" s="259"/>
      <c r="GC500" s="259"/>
      <c r="GD500" s="259"/>
      <c r="GE500" s="259"/>
      <c r="GF500" s="259"/>
      <c r="GG500" s="259"/>
      <c r="GH500" s="259"/>
      <c r="GI500" s="259"/>
      <c r="GJ500" s="259"/>
      <c r="GK500" s="259"/>
      <c r="GL500" s="259"/>
      <c r="GM500" s="259"/>
      <c r="GN500" s="259"/>
      <c r="GO500" s="259"/>
      <c r="GP500" s="259"/>
      <c r="GQ500" s="259"/>
      <c r="GR500" s="259"/>
      <c r="GS500" s="259"/>
      <c r="GT500" s="259"/>
      <c r="GU500" s="259"/>
      <c r="GV500" s="259"/>
    </row>
    <row r="501" spans="1:204" ht="22.8">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c r="DE501" s="108"/>
      <c r="DF501" s="108"/>
      <c r="DG501" s="108"/>
      <c r="DH501" s="108"/>
      <c r="DI501" s="108"/>
      <c r="DJ501" s="108"/>
      <c r="DK501" s="108"/>
      <c r="DL501" s="108"/>
      <c r="DM501" s="108"/>
      <c r="DN501" s="108"/>
      <c r="DO501" s="108"/>
      <c r="DP501" s="108"/>
      <c r="DQ501" s="108"/>
      <c r="DR501" s="108"/>
      <c r="DS501" s="108"/>
      <c r="DT501" s="108"/>
      <c r="DU501" s="108"/>
      <c r="DV501" s="108"/>
      <c r="DW501" s="108"/>
      <c r="DX501" s="108"/>
      <c r="DY501" s="108"/>
      <c r="DZ501" s="108"/>
      <c r="EA501" s="108"/>
      <c r="EB501" s="108"/>
      <c r="EC501" s="108"/>
      <c r="ED501" s="108"/>
      <c r="EE501" s="108"/>
      <c r="EF501" s="108"/>
      <c r="EG501" s="108"/>
      <c r="EH501" s="108"/>
      <c r="EI501" s="108"/>
      <c r="EJ501" s="108"/>
      <c r="EK501" s="108"/>
      <c r="EL501" s="108"/>
      <c r="EM501" s="108"/>
      <c r="EN501" s="108"/>
      <c r="EO501" s="108"/>
      <c r="EP501" s="108"/>
      <c r="EQ501" s="108"/>
      <c r="ER501" s="108"/>
      <c r="ES501" s="108"/>
      <c r="ET501" s="108"/>
      <c r="EU501" s="108"/>
      <c r="EV501" s="108"/>
      <c r="EW501" s="108"/>
      <c r="EX501" s="108"/>
      <c r="EY501" s="108"/>
      <c r="EZ501" s="108"/>
      <c r="FA501" s="108"/>
      <c r="FB501" s="108"/>
      <c r="FC501" s="108"/>
      <c r="FD501" s="108"/>
      <c r="FE501" s="108"/>
      <c r="FF501" s="108"/>
      <c r="FG501" s="108"/>
      <c r="FH501" s="108"/>
      <c r="FI501" s="108"/>
      <c r="FJ501" s="86"/>
      <c r="FK501" s="86"/>
      <c r="FL501" s="86"/>
      <c r="FM501" s="86"/>
      <c r="FN501" s="86"/>
      <c r="FO501" s="86"/>
      <c r="FP501" s="86"/>
      <c r="FQ501" s="86"/>
      <c r="FR501" s="86"/>
      <c r="FS501" s="86"/>
      <c r="FT501" s="86"/>
      <c r="FU501" s="86"/>
      <c r="FV501" s="86"/>
      <c r="FW501" s="86"/>
      <c r="FX501" s="86"/>
      <c r="FY501" s="259"/>
      <c r="FZ501" s="259"/>
      <c r="GA501" s="259"/>
      <c r="GB501" s="259"/>
      <c r="GC501" s="259"/>
      <c r="GD501" s="259"/>
      <c r="GE501" s="259"/>
      <c r="GF501" s="259"/>
      <c r="GG501" s="259"/>
      <c r="GH501" s="259"/>
      <c r="GI501" s="259"/>
      <c r="GJ501" s="259"/>
      <c r="GK501" s="259"/>
      <c r="GL501" s="259"/>
      <c r="GM501" s="259"/>
      <c r="GN501" s="259"/>
      <c r="GO501" s="259"/>
      <c r="GP501" s="259"/>
      <c r="GQ501" s="259"/>
      <c r="GR501" s="259"/>
      <c r="GS501" s="259"/>
      <c r="GT501" s="259"/>
      <c r="GU501" s="259"/>
      <c r="GV501" s="259"/>
    </row>
    <row r="502" spans="1:204" ht="22.8">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c r="DE502" s="108"/>
      <c r="DF502" s="108"/>
      <c r="DG502" s="108"/>
      <c r="DH502" s="108"/>
      <c r="DI502" s="108"/>
      <c r="DJ502" s="108"/>
      <c r="DK502" s="108"/>
      <c r="DL502" s="108"/>
      <c r="DM502" s="108"/>
      <c r="DN502" s="108"/>
      <c r="DO502" s="108"/>
      <c r="DP502" s="108"/>
      <c r="DQ502" s="108"/>
      <c r="DR502" s="108"/>
      <c r="DS502" s="108"/>
      <c r="DT502" s="108"/>
      <c r="DU502" s="108"/>
      <c r="DV502" s="108"/>
      <c r="DW502" s="108"/>
      <c r="DX502" s="108"/>
      <c r="DY502" s="108"/>
      <c r="DZ502" s="108"/>
      <c r="EA502" s="108"/>
      <c r="EB502" s="108"/>
      <c r="EC502" s="108"/>
      <c r="ED502" s="108"/>
      <c r="EE502" s="108"/>
      <c r="EF502" s="108"/>
      <c r="EG502" s="108"/>
      <c r="EH502" s="108"/>
      <c r="EI502" s="108"/>
      <c r="EJ502" s="108"/>
      <c r="EK502" s="108"/>
      <c r="EL502" s="108"/>
      <c r="EM502" s="108"/>
      <c r="EN502" s="108"/>
      <c r="EO502" s="108"/>
      <c r="EP502" s="108"/>
      <c r="EQ502" s="108"/>
      <c r="ER502" s="108"/>
      <c r="ES502" s="108"/>
      <c r="ET502" s="108"/>
      <c r="EU502" s="108"/>
      <c r="EV502" s="108"/>
      <c r="EW502" s="108"/>
      <c r="EX502" s="108"/>
      <c r="EY502" s="108"/>
      <c r="EZ502" s="108"/>
      <c r="FA502" s="108"/>
      <c r="FB502" s="108"/>
      <c r="FC502" s="108"/>
      <c r="FD502" s="108"/>
      <c r="FE502" s="108"/>
      <c r="FF502" s="108"/>
      <c r="FG502" s="108"/>
      <c r="FH502" s="108"/>
      <c r="FI502" s="108"/>
      <c r="FJ502" s="86"/>
      <c r="FK502" s="86"/>
      <c r="FL502" s="86"/>
      <c r="FM502" s="86"/>
      <c r="FN502" s="86"/>
      <c r="FO502" s="86"/>
      <c r="FP502" s="86"/>
      <c r="FQ502" s="86"/>
      <c r="FR502" s="86"/>
      <c r="FS502" s="86"/>
      <c r="FT502" s="86"/>
      <c r="FU502" s="86"/>
      <c r="FV502" s="86"/>
      <c r="FW502" s="86"/>
      <c r="FX502" s="86"/>
      <c r="FY502" s="259"/>
      <c r="FZ502" s="259"/>
      <c r="GA502" s="259"/>
      <c r="GB502" s="259"/>
      <c r="GC502" s="259"/>
      <c r="GD502" s="259"/>
      <c r="GE502" s="259"/>
      <c r="GF502" s="259"/>
      <c r="GG502" s="259"/>
      <c r="GH502" s="259"/>
      <c r="GI502" s="259"/>
      <c r="GJ502" s="259"/>
      <c r="GK502" s="259"/>
      <c r="GL502" s="259"/>
      <c r="GM502" s="259"/>
      <c r="GN502" s="259"/>
      <c r="GO502" s="259"/>
      <c r="GP502" s="259"/>
      <c r="GQ502" s="259"/>
      <c r="GR502" s="259"/>
      <c r="GS502" s="259"/>
      <c r="GT502" s="259"/>
      <c r="GU502" s="259"/>
      <c r="GV502" s="259"/>
    </row>
    <row r="503" spans="1:204" ht="22.8">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c r="DH503" s="108"/>
      <c r="DI503" s="108"/>
      <c r="DJ503" s="108"/>
      <c r="DK503" s="108"/>
      <c r="DL503" s="108"/>
      <c r="DM503" s="108"/>
      <c r="DN503" s="108"/>
      <c r="DO503" s="108"/>
      <c r="DP503" s="108"/>
      <c r="DQ503" s="108"/>
      <c r="DR503" s="108"/>
      <c r="DS503" s="108"/>
      <c r="DT503" s="108"/>
      <c r="DU503" s="108"/>
      <c r="DV503" s="108"/>
      <c r="DW503" s="108"/>
      <c r="DX503" s="108"/>
      <c r="DY503" s="108"/>
      <c r="DZ503" s="108"/>
      <c r="EA503" s="108"/>
      <c r="EB503" s="108"/>
      <c r="EC503" s="108"/>
      <c r="ED503" s="108"/>
      <c r="EE503" s="108"/>
      <c r="EF503" s="108"/>
      <c r="EG503" s="108"/>
      <c r="EH503" s="108"/>
      <c r="EI503" s="108"/>
      <c r="EJ503" s="108"/>
      <c r="EK503" s="108"/>
      <c r="EL503" s="108"/>
      <c r="EM503" s="108"/>
      <c r="EN503" s="108"/>
      <c r="EO503" s="108"/>
      <c r="EP503" s="108"/>
      <c r="EQ503" s="108"/>
      <c r="ER503" s="108"/>
      <c r="ES503" s="108"/>
      <c r="ET503" s="108"/>
      <c r="EU503" s="108"/>
      <c r="EV503" s="108"/>
      <c r="EW503" s="108"/>
      <c r="EX503" s="108"/>
      <c r="EY503" s="108"/>
      <c r="EZ503" s="108"/>
      <c r="FA503" s="108"/>
      <c r="FB503" s="108"/>
      <c r="FC503" s="108"/>
      <c r="FD503" s="108"/>
      <c r="FE503" s="108"/>
      <c r="FF503" s="108"/>
      <c r="FG503" s="108"/>
      <c r="FH503" s="108"/>
      <c r="FI503" s="108"/>
      <c r="FJ503" s="86"/>
      <c r="FK503" s="86"/>
      <c r="FL503" s="86"/>
      <c r="FM503" s="86"/>
      <c r="FN503" s="86"/>
      <c r="FO503" s="86"/>
      <c r="FP503" s="86"/>
      <c r="FQ503" s="86"/>
      <c r="FR503" s="86"/>
      <c r="FS503" s="86"/>
      <c r="FT503" s="86"/>
      <c r="FU503" s="86"/>
      <c r="FV503" s="86"/>
      <c r="FW503" s="86"/>
      <c r="FX503" s="86"/>
      <c r="FY503" s="259"/>
      <c r="FZ503" s="259"/>
      <c r="GA503" s="259"/>
      <c r="GB503" s="259"/>
      <c r="GC503" s="259"/>
      <c r="GD503" s="259"/>
      <c r="GE503" s="259"/>
      <c r="GF503" s="259"/>
      <c r="GG503" s="259"/>
      <c r="GH503" s="259"/>
      <c r="GI503" s="259"/>
      <c r="GJ503" s="259"/>
      <c r="GK503" s="259"/>
      <c r="GL503" s="259"/>
      <c r="GM503" s="259"/>
      <c r="GN503" s="259"/>
      <c r="GO503" s="259"/>
      <c r="GP503" s="259"/>
      <c r="GQ503" s="259"/>
      <c r="GR503" s="259"/>
      <c r="GS503" s="259"/>
      <c r="GT503" s="259"/>
      <c r="GU503" s="259"/>
      <c r="GV503" s="259"/>
    </row>
    <row r="504" spans="1:204" ht="22.8">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108"/>
      <c r="ES504" s="108"/>
      <c r="ET504" s="108"/>
      <c r="EU504" s="108"/>
      <c r="EV504" s="108"/>
      <c r="EW504" s="108"/>
      <c r="EX504" s="108"/>
      <c r="EY504" s="108"/>
      <c r="EZ504" s="108"/>
      <c r="FA504" s="108"/>
      <c r="FB504" s="108"/>
      <c r="FC504" s="108"/>
      <c r="FD504" s="108"/>
      <c r="FE504" s="108"/>
      <c r="FF504" s="108"/>
      <c r="FG504" s="108"/>
      <c r="FH504" s="108"/>
      <c r="FI504" s="108"/>
      <c r="FJ504" s="86"/>
      <c r="FK504" s="86"/>
      <c r="FL504" s="86"/>
      <c r="FM504" s="86"/>
      <c r="FN504" s="86"/>
      <c r="FO504" s="86"/>
      <c r="FP504" s="86"/>
      <c r="FQ504" s="86"/>
      <c r="FR504" s="86"/>
      <c r="FS504" s="86"/>
      <c r="FT504" s="86"/>
      <c r="FU504" s="86"/>
      <c r="FV504" s="86"/>
      <c r="FW504" s="86"/>
      <c r="FX504" s="86"/>
      <c r="FY504" s="259"/>
      <c r="FZ504" s="259"/>
      <c r="GA504" s="259"/>
      <c r="GB504" s="259"/>
      <c r="GC504" s="259"/>
      <c r="GD504" s="259"/>
      <c r="GE504" s="259"/>
      <c r="GF504" s="259"/>
      <c r="GG504" s="259"/>
      <c r="GH504" s="259"/>
      <c r="GI504" s="259"/>
      <c r="GJ504" s="259"/>
      <c r="GK504" s="259"/>
      <c r="GL504" s="259"/>
      <c r="GM504" s="259"/>
      <c r="GN504" s="259"/>
      <c r="GO504" s="259"/>
      <c r="GP504" s="259"/>
      <c r="GQ504" s="259"/>
      <c r="GR504" s="259"/>
      <c r="GS504" s="259"/>
      <c r="GT504" s="259"/>
      <c r="GU504" s="259"/>
      <c r="GV504" s="259"/>
    </row>
    <row r="505" spans="1:204" ht="22.8">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108"/>
      <c r="ES505" s="108"/>
      <c r="ET505" s="108"/>
      <c r="EU505" s="108"/>
      <c r="EV505" s="108"/>
      <c r="EW505" s="108"/>
      <c r="EX505" s="108"/>
      <c r="EY505" s="108"/>
      <c r="EZ505" s="108"/>
      <c r="FA505" s="108"/>
      <c r="FB505" s="108"/>
      <c r="FC505" s="108"/>
      <c r="FD505" s="108"/>
      <c r="FE505" s="108"/>
      <c r="FF505" s="108"/>
      <c r="FG505" s="108"/>
      <c r="FH505" s="108"/>
      <c r="FI505" s="108"/>
      <c r="FJ505" s="86"/>
      <c r="FK505" s="86"/>
      <c r="FL505" s="86"/>
      <c r="FM505" s="86"/>
      <c r="FN505" s="86"/>
      <c r="FO505" s="86"/>
      <c r="FP505" s="86"/>
      <c r="FQ505" s="86"/>
      <c r="FR505" s="86"/>
      <c r="FS505" s="86"/>
      <c r="FT505" s="86"/>
      <c r="FU505" s="86"/>
      <c r="FV505" s="86"/>
      <c r="FW505" s="86"/>
      <c r="FX505" s="86"/>
      <c r="FY505" s="259"/>
      <c r="FZ505" s="259"/>
      <c r="GA505" s="259"/>
      <c r="GB505" s="259"/>
      <c r="GC505" s="259"/>
      <c r="GD505" s="259"/>
      <c r="GE505" s="259"/>
      <c r="GF505" s="259"/>
      <c r="GG505" s="259"/>
      <c r="GH505" s="259"/>
      <c r="GI505" s="259"/>
      <c r="GJ505" s="259"/>
      <c r="GK505" s="259"/>
      <c r="GL505" s="259"/>
      <c r="GM505" s="259"/>
      <c r="GN505" s="259"/>
      <c r="GO505" s="259"/>
      <c r="GP505" s="259"/>
      <c r="GQ505" s="259"/>
      <c r="GR505" s="259"/>
      <c r="GS505" s="259"/>
      <c r="GT505" s="259"/>
      <c r="GU505" s="259"/>
      <c r="GV505" s="259"/>
    </row>
    <row r="506" spans="1:204" ht="22.8">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108"/>
      <c r="ES506" s="108"/>
      <c r="ET506" s="108"/>
      <c r="EU506" s="108"/>
      <c r="EV506" s="108"/>
      <c r="EW506" s="108"/>
      <c r="EX506" s="108"/>
      <c r="EY506" s="108"/>
      <c r="EZ506" s="108"/>
      <c r="FA506" s="108"/>
      <c r="FB506" s="108"/>
      <c r="FC506" s="108"/>
      <c r="FD506" s="108"/>
      <c r="FE506" s="108"/>
      <c r="FF506" s="108"/>
      <c r="FG506" s="108"/>
      <c r="FH506" s="108"/>
      <c r="FI506" s="108"/>
      <c r="FJ506" s="86"/>
      <c r="FK506" s="86"/>
      <c r="FL506" s="86"/>
      <c r="FM506" s="86"/>
      <c r="FN506" s="86"/>
      <c r="FO506" s="86"/>
      <c r="FP506" s="86"/>
      <c r="FQ506" s="86"/>
      <c r="FR506" s="86"/>
      <c r="FS506" s="86"/>
      <c r="FT506" s="86"/>
      <c r="FU506" s="86"/>
      <c r="FV506" s="86"/>
      <c r="FW506" s="86"/>
      <c r="FX506" s="86"/>
      <c r="FY506" s="259"/>
      <c r="FZ506" s="259"/>
      <c r="GA506" s="259"/>
      <c r="GB506" s="259"/>
      <c r="GC506" s="259"/>
      <c r="GD506" s="259"/>
      <c r="GE506" s="259"/>
      <c r="GF506" s="259"/>
      <c r="GG506" s="259"/>
      <c r="GH506" s="259"/>
      <c r="GI506" s="259"/>
      <c r="GJ506" s="259"/>
      <c r="GK506" s="259"/>
      <c r="GL506" s="259"/>
      <c r="GM506" s="259"/>
      <c r="GN506" s="259"/>
      <c r="GO506" s="259"/>
      <c r="GP506" s="259"/>
      <c r="GQ506" s="259"/>
      <c r="GR506" s="259"/>
      <c r="GS506" s="259"/>
      <c r="GT506" s="259"/>
      <c r="GU506" s="259"/>
      <c r="GV506" s="259"/>
    </row>
    <row r="507" spans="1:204" ht="22.8">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108"/>
      <c r="ES507" s="108"/>
      <c r="ET507" s="108"/>
      <c r="EU507" s="108"/>
      <c r="EV507" s="108"/>
      <c r="EW507" s="108"/>
      <c r="EX507" s="108"/>
      <c r="EY507" s="108"/>
      <c r="EZ507" s="108"/>
      <c r="FA507" s="108"/>
      <c r="FB507" s="108"/>
      <c r="FC507" s="108"/>
      <c r="FD507" s="108"/>
      <c r="FE507" s="108"/>
      <c r="FF507" s="108"/>
      <c r="FG507" s="108"/>
      <c r="FH507" s="108"/>
      <c r="FI507" s="108"/>
      <c r="FJ507" s="86"/>
      <c r="FK507" s="86"/>
      <c r="FL507" s="86"/>
      <c r="FM507" s="86"/>
      <c r="FN507" s="86"/>
      <c r="FO507" s="86"/>
      <c r="FP507" s="86"/>
      <c r="FQ507" s="86"/>
      <c r="FR507" s="86"/>
      <c r="FS507" s="86"/>
      <c r="FT507" s="86"/>
      <c r="FU507" s="86"/>
      <c r="FV507" s="86"/>
      <c r="FW507" s="86"/>
      <c r="FX507" s="86"/>
      <c r="FY507" s="259"/>
      <c r="FZ507" s="259"/>
      <c r="GA507" s="259"/>
      <c r="GB507" s="259"/>
      <c r="GC507" s="259"/>
      <c r="GD507" s="259"/>
      <c r="GE507" s="259"/>
      <c r="GF507" s="259"/>
      <c r="GG507" s="259"/>
      <c r="GH507" s="259"/>
      <c r="GI507" s="259"/>
      <c r="GJ507" s="259"/>
      <c r="GK507" s="259"/>
      <c r="GL507" s="259"/>
      <c r="GM507" s="259"/>
      <c r="GN507" s="259"/>
      <c r="GO507" s="259"/>
      <c r="GP507" s="259"/>
      <c r="GQ507" s="259"/>
      <c r="GR507" s="259"/>
      <c r="GS507" s="259"/>
      <c r="GT507" s="259"/>
      <c r="GU507" s="259"/>
      <c r="GV507" s="259"/>
    </row>
    <row r="508" spans="1:204" ht="22.8">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108"/>
      <c r="ES508" s="108"/>
      <c r="ET508" s="108"/>
      <c r="EU508" s="108"/>
      <c r="EV508" s="108"/>
      <c r="EW508" s="108"/>
      <c r="EX508" s="108"/>
      <c r="EY508" s="108"/>
      <c r="EZ508" s="108"/>
      <c r="FA508" s="108"/>
      <c r="FB508" s="108"/>
      <c r="FC508" s="108"/>
      <c r="FD508" s="108"/>
      <c r="FE508" s="108"/>
      <c r="FF508" s="108"/>
      <c r="FG508" s="108"/>
      <c r="FH508" s="108"/>
      <c r="FI508" s="108"/>
      <c r="FJ508" s="86"/>
      <c r="FK508" s="86"/>
      <c r="FL508" s="86"/>
      <c r="FM508" s="86"/>
      <c r="FN508" s="86"/>
      <c r="FO508" s="86"/>
      <c r="FP508" s="86"/>
      <c r="FQ508" s="86"/>
      <c r="FR508" s="86"/>
      <c r="FS508" s="86"/>
      <c r="FT508" s="86"/>
      <c r="FU508" s="86"/>
      <c r="FV508" s="86"/>
      <c r="FW508" s="86"/>
      <c r="FX508" s="86"/>
      <c r="FY508" s="259"/>
      <c r="FZ508" s="259"/>
      <c r="GA508" s="259"/>
      <c r="GB508" s="259"/>
      <c r="GC508" s="259"/>
      <c r="GD508" s="259"/>
      <c r="GE508" s="259"/>
      <c r="GF508" s="259"/>
      <c r="GG508" s="259"/>
      <c r="GH508" s="259"/>
      <c r="GI508" s="259"/>
      <c r="GJ508" s="259"/>
      <c r="GK508" s="259"/>
      <c r="GL508" s="259"/>
      <c r="GM508" s="259"/>
      <c r="GN508" s="259"/>
      <c r="GO508" s="259"/>
      <c r="GP508" s="259"/>
      <c r="GQ508" s="259"/>
      <c r="GR508" s="259"/>
      <c r="GS508" s="259"/>
      <c r="GT508" s="259"/>
      <c r="GU508" s="259"/>
      <c r="GV508" s="259"/>
    </row>
    <row r="509" spans="1:204" ht="22.8">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86"/>
      <c r="FK509" s="86"/>
      <c r="FL509" s="86"/>
      <c r="FM509" s="86"/>
      <c r="FN509" s="86"/>
      <c r="FO509" s="86"/>
      <c r="FP509" s="86"/>
      <c r="FQ509" s="86"/>
      <c r="FR509" s="86"/>
      <c r="FS509" s="86"/>
      <c r="FT509" s="86"/>
      <c r="FU509" s="86"/>
      <c r="FV509" s="86"/>
      <c r="FW509" s="86"/>
      <c r="FX509" s="86"/>
      <c r="FY509" s="259"/>
      <c r="FZ509" s="259"/>
      <c r="GA509" s="259"/>
      <c r="GB509" s="259"/>
      <c r="GC509" s="259"/>
      <c r="GD509" s="259"/>
      <c r="GE509" s="259"/>
      <c r="GF509" s="259"/>
      <c r="GG509" s="259"/>
      <c r="GH509" s="259"/>
      <c r="GI509" s="259"/>
      <c r="GJ509" s="259"/>
      <c r="GK509" s="259"/>
      <c r="GL509" s="259"/>
      <c r="GM509" s="259"/>
      <c r="GN509" s="259"/>
      <c r="GO509" s="259"/>
      <c r="GP509" s="259"/>
      <c r="GQ509" s="259"/>
      <c r="GR509" s="259"/>
      <c r="GS509" s="259"/>
      <c r="GT509" s="259"/>
      <c r="GU509" s="259"/>
      <c r="GV509" s="259"/>
    </row>
    <row r="510" spans="1:204" ht="22.8">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108"/>
      <c r="ES510" s="108"/>
      <c r="ET510" s="108"/>
      <c r="EU510" s="108"/>
      <c r="EV510" s="108"/>
      <c r="EW510" s="108"/>
      <c r="EX510" s="108"/>
      <c r="EY510" s="108"/>
      <c r="EZ510" s="108"/>
      <c r="FA510" s="108"/>
      <c r="FB510" s="108"/>
      <c r="FC510" s="108"/>
      <c r="FD510" s="108"/>
      <c r="FE510" s="108"/>
      <c r="FF510" s="108"/>
      <c r="FG510" s="108"/>
      <c r="FH510" s="108"/>
      <c r="FI510" s="108"/>
      <c r="FJ510" s="86"/>
      <c r="FK510" s="86"/>
      <c r="FL510" s="86"/>
      <c r="FM510" s="86"/>
      <c r="FN510" s="86"/>
      <c r="FO510" s="86"/>
      <c r="FP510" s="86"/>
      <c r="FQ510" s="86"/>
      <c r="FR510" s="86"/>
      <c r="FS510" s="86"/>
      <c r="FT510" s="86"/>
      <c r="FU510" s="86"/>
      <c r="FV510" s="86"/>
      <c r="FW510" s="86"/>
      <c r="FX510" s="86"/>
      <c r="FY510" s="259"/>
      <c r="FZ510" s="259"/>
      <c r="GA510" s="259"/>
      <c r="GB510" s="259"/>
      <c r="GC510" s="259"/>
      <c r="GD510" s="259"/>
      <c r="GE510" s="259"/>
      <c r="GF510" s="259"/>
      <c r="GG510" s="259"/>
      <c r="GH510" s="259"/>
      <c r="GI510" s="259"/>
      <c r="GJ510" s="259"/>
      <c r="GK510" s="259"/>
      <c r="GL510" s="259"/>
      <c r="GM510" s="259"/>
      <c r="GN510" s="259"/>
      <c r="GO510" s="259"/>
      <c r="GP510" s="259"/>
      <c r="GQ510" s="259"/>
      <c r="GR510" s="259"/>
      <c r="GS510" s="259"/>
      <c r="GT510" s="259"/>
      <c r="GU510" s="259"/>
      <c r="GV510" s="259"/>
    </row>
    <row r="511" spans="1:204" ht="22.8">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108"/>
      <c r="ES511" s="108"/>
      <c r="ET511" s="108"/>
      <c r="EU511" s="108"/>
      <c r="EV511" s="108"/>
      <c r="EW511" s="108"/>
      <c r="EX511" s="108"/>
      <c r="EY511" s="108"/>
      <c r="EZ511" s="108"/>
      <c r="FA511" s="108"/>
      <c r="FB511" s="108"/>
      <c r="FC511" s="108"/>
      <c r="FD511" s="108"/>
      <c r="FE511" s="108"/>
      <c r="FF511" s="108"/>
      <c r="FG511" s="108"/>
      <c r="FH511" s="108"/>
      <c r="FI511" s="108"/>
      <c r="FJ511" s="86"/>
      <c r="FK511" s="86"/>
      <c r="FL511" s="86"/>
      <c r="FM511" s="86"/>
      <c r="FN511" s="86"/>
      <c r="FO511" s="86"/>
      <c r="FP511" s="86"/>
      <c r="FQ511" s="86"/>
      <c r="FR511" s="86"/>
      <c r="FS511" s="86"/>
      <c r="FT511" s="86"/>
      <c r="FU511" s="86"/>
      <c r="FV511" s="86"/>
      <c r="FW511" s="86"/>
      <c r="FX511" s="86"/>
      <c r="FY511" s="259"/>
      <c r="FZ511" s="259"/>
      <c r="GA511" s="259"/>
      <c r="GB511" s="259"/>
      <c r="GC511" s="259"/>
      <c r="GD511" s="259"/>
      <c r="GE511" s="259"/>
      <c r="GF511" s="259"/>
      <c r="GG511" s="259"/>
      <c r="GH511" s="259"/>
      <c r="GI511" s="259"/>
      <c r="GJ511" s="259"/>
      <c r="GK511" s="259"/>
      <c r="GL511" s="259"/>
      <c r="GM511" s="259"/>
      <c r="GN511" s="259"/>
      <c r="GO511" s="259"/>
      <c r="GP511" s="259"/>
      <c r="GQ511" s="259"/>
      <c r="GR511" s="259"/>
      <c r="GS511" s="259"/>
      <c r="GT511" s="259"/>
      <c r="GU511" s="259"/>
      <c r="GV511" s="259"/>
    </row>
    <row r="512" spans="1:204" ht="22.8">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108"/>
      <c r="ES512" s="108"/>
      <c r="ET512" s="108"/>
      <c r="EU512" s="108"/>
      <c r="EV512" s="108"/>
      <c r="EW512" s="108"/>
      <c r="EX512" s="108"/>
      <c r="EY512" s="108"/>
      <c r="EZ512" s="108"/>
      <c r="FA512" s="108"/>
      <c r="FB512" s="108"/>
      <c r="FC512" s="108"/>
      <c r="FD512" s="108"/>
      <c r="FE512" s="108"/>
      <c r="FF512" s="108"/>
      <c r="FG512" s="108"/>
      <c r="FH512" s="108"/>
      <c r="FI512" s="108"/>
      <c r="FJ512" s="86"/>
      <c r="FK512" s="86"/>
      <c r="FL512" s="86"/>
      <c r="FM512" s="86"/>
      <c r="FN512" s="86"/>
      <c r="FO512" s="86"/>
      <c r="FP512" s="86"/>
      <c r="FQ512" s="86"/>
      <c r="FR512" s="86"/>
      <c r="FS512" s="86"/>
      <c r="FT512" s="86"/>
      <c r="FU512" s="86"/>
      <c r="FV512" s="86"/>
      <c r="FW512" s="86"/>
      <c r="FX512" s="86"/>
      <c r="FY512" s="259"/>
      <c r="FZ512" s="259"/>
      <c r="GA512" s="259"/>
      <c r="GB512" s="259"/>
      <c r="GC512" s="259"/>
      <c r="GD512" s="259"/>
      <c r="GE512" s="259"/>
      <c r="GF512" s="259"/>
      <c r="GG512" s="259"/>
      <c r="GH512" s="259"/>
      <c r="GI512" s="259"/>
      <c r="GJ512" s="259"/>
      <c r="GK512" s="259"/>
      <c r="GL512" s="259"/>
      <c r="GM512" s="259"/>
      <c r="GN512" s="259"/>
      <c r="GO512" s="259"/>
      <c r="GP512" s="259"/>
      <c r="GQ512" s="259"/>
      <c r="GR512" s="259"/>
      <c r="GS512" s="259"/>
      <c r="GT512" s="259"/>
      <c r="GU512" s="259"/>
      <c r="GV512" s="259"/>
    </row>
    <row r="513" spans="1:204" ht="22.8">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108"/>
      <c r="ES513" s="108"/>
      <c r="ET513" s="108"/>
      <c r="EU513" s="108"/>
      <c r="EV513" s="108"/>
      <c r="EW513" s="108"/>
      <c r="EX513" s="108"/>
      <c r="EY513" s="108"/>
      <c r="EZ513" s="108"/>
      <c r="FA513" s="108"/>
      <c r="FB513" s="108"/>
      <c r="FC513" s="108"/>
      <c r="FD513" s="108"/>
      <c r="FE513" s="108"/>
      <c r="FF513" s="108"/>
      <c r="FG513" s="108"/>
      <c r="FH513" s="108"/>
      <c r="FI513" s="108"/>
      <c r="FJ513" s="86"/>
      <c r="FK513" s="86"/>
      <c r="FL513" s="86"/>
      <c r="FM513" s="86"/>
      <c r="FN513" s="86"/>
      <c r="FO513" s="86"/>
      <c r="FP513" s="86"/>
      <c r="FQ513" s="86"/>
      <c r="FR513" s="86"/>
      <c r="FS513" s="86"/>
      <c r="FT513" s="86"/>
      <c r="FU513" s="86"/>
      <c r="FV513" s="86"/>
      <c r="FW513" s="86"/>
      <c r="FX513" s="86"/>
      <c r="FY513" s="259"/>
      <c r="FZ513" s="259"/>
      <c r="GA513" s="259"/>
      <c r="GB513" s="259"/>
      <c r="GC513" s="259"/>
      <c r="GD513" s="259"/>
      <c r="GE513" s="259"/>
      <c r="GF513" s="259"/>
      <c r="GG513" s="259"/>
      <c r="GH513" s="259"/>
      <c r="GI513" s="259"/>
      <c r="GJ513" s="259"/>
      <c r="GK513" s="259"/>
      <c r="GL513" s="259"/>
      <c r="GM513" s="259"/>
      <c r="GN513" s="259"/>
      <c r="GO513" s="259"/>
      <c r="GP513" s="259"/>
      <c r="GQ513" s="259"/>
      <c r="GR513" s="259"/>
      <c r="GS513" s="259"/>
      <c r="GT513" s="259"/>
      <c r="GU513" s="259"/>
      <c r="GV513" s="259"/>
    </row>
    <row r="514" spans="1:204" ht="22.8">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108"/>
      <c r="ES514" s="108"/>
      <c r="ET514" s="108"/>
      <c r="EU514" s="108"/>
      <c r="EV514" s="108"/>
      <c r="EW514" s="108"/>
      <c r="EX514" s="108"/>
      <c r="EY514" s="108"/>
      <c r="EZ514" s="108"/>
      <c r="FA514" s="108"/>
      <c r="FB514" s="108"/>
      <c r="FC514" s="108"/>
      <c r="FD514" s="108"/>
      <c r="FE514" s="108"/>
      <c r="FF514" s="108"/>
      <c r="FG514" s="108"/>
      <c r="FH514" s="108"/>
      <c r="FI514" s="108"/>
      <c r="FJ514" s="86"/>
      <c r="FK514" s="86"/>
      <c r="FL514" s="86"/>
      <c r="FM514" s="86"/>
      <c r="FN514" s="86"/>
      <c r="FO514" s="86"/>
      <c r="FP514" s="86"/>
      <c r="FQ514" s="86"/>
      <c r="FR514" s="86"/>
      <c r="FS514" s="86"/>
      <c r="FT514" s="86"/>
      <c r="FU514" s="86"/>
      <c r="FV514" s="86"/>
      <c r="FW514" s="86"/>
      <c r="FX514" s="86"/>
      <c r="FY514" s="259"/>
      <c r="FZ514" s="259"/>
      <c r="GA514" s="259"/>
      <c r="GB514" s="259"/>
      <c r="GC514" s="259"/>
      <c r="GD514" s="259"/>
      <c r="GE514" s="259"/>
      <c r="GF514" s="259"/>
      <c r="GG514" s="259"/>
      <c r="GH514" s="259"/>
      <c r="GI514" s="259"/>
      <c r="GJ514" s="259"/>
      <c r="GK514" s="259"/>
      <c r="GL514" s="259"/>
      <c r="GM514" s="259"/>
      <c r="GN514" s="259"/>
      <c r="GO514" s="259"/>
      <c r="GP514" s="259"/>
      <c r="GQ514" s="259"/>
      <c r="GR514" s="259"/>
      <c r="GS514" s="259"/>
      <c r="GT514" s="259"/>
      <c r="GU514" s="259"/>
      <c r="GV514" s="259"/>
    </row>
    <row r="515" spans="1:204" ht="22.8">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108"/>
      <c r="ES515" s="108"/>
      <c r="ET515" s="108"/>
      <c r="EU515" s="108"/>
      <c r="EV515" s="108"/>
      <c r="EW515" s="108"/>
      <c r="EX515" s="108"/>
      <c r="EY515" s="108"/>
      <c r="EZ515" s="108"/>
      <c r="FA515" s="108"/>
      <c r="FB515" s="108"/>
      <c r="FC515" s="108"/>
      <c r="FD515" s="108"/>
      <c r="FE515" s="108"/>
      <c r="FF515" s="108"/>
      <c r="FG515" s="108"/>
      <c r="FH515" s="108"/>
      <c r="FI515" s="108"/>
      <c r="FJ515" s="86"/>
      <c r="FK515" s="86"/>
      <c r="FL515" s="86"/>
      <c r="FM515" s="86"/>
      <c r="FN515" s="86"/>
      <c r="FO515" s="86"/>
      <c r="FP515" s="86"/>
      <c r="FQ515" s="86"/>
      <c r="FR515" s="86"/>
      <c r="FS515" s="86"/>
      <c r="FT515" s="86"/>
      <c r="FU515" s="86"/>
      <c r="FV515" s="86"/>
      <c r="FW515" s="86"/>
      <c r="FX515" s="86"/>
      <c r="FY515" s="259"/>
      <c r="FZ515" s="259"/>
      <c r="GA515" s="259"/>
      <c r="GB515" s="259"/>
      <c r="GC515" s="259"/>
      <c r="GD515" s="259"/>
      <c r="GE515" s="259"/>
      <c r="GF515" s="259"/>
      <c r="GG515" s="259"/>
      <c r="GH515" s="259"/>
      <c r="GI515" s="259"/>
      <c r="GJ515" s="259"/>
      <c r="GK515" s="259"/>
      <c r="GL515" s="259"/>
      <c r="GM515" s="259"/>
      <c r="GN515" s="259"/>
      <c r="GO515" s="259"/>
      <c r="GP515" s="259"/>
      <c r="GQ515" s="259"/>
      <c r="GR515" s="259"/>
      <c r="GS515" s="259"/>
      <c r="GT515" s="259"/>
      <c r="GU515" s="259"/>
      <c r="GV515" s="259"/>
    </row>
    <row r="516" spans="1:204" ht="22.8">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108"/>
      <c r="ES516" s="108"/>
      <c r="ET516" s="108"/>
      <c r="EU516" s="108"/>
      <c r="EV516" s="108"/>
      <c r="EW516" s="108"/>
      <c r="EX516" s="108"/>
      <c r="EY516" s="108"/>
      <c r="EZ516" s="108"/>
      <c r="FA516" s="108"/>
      <c r="FB516" s="108"/>
      <c r="FC516" s="108"/>
      <c r="FD516" s="108"/>
      <c r="FE516" s="108"/>
      <c r="FF516" s="108"/>
      <c r="FG516" s="108"/>
      <c r="FH516" s="108"/>
      <c r="FI516" s="108"/>
      <c r="FJ516" s="86"/>
      <c r="FK516" s="86"/>
      <c r="FL516" s="86"/>
      <c r="FM516" s="86"/>
      <c r="FN516" s="86"/>
      <c r="FO516" s="86"/>
      <c r="FP516" s="86"/>
      <c r="FQ516" s="86"/>
      <c r="FR516" s="86"/>
      <c r="FS516" s="86"/>
      <c r="FT516" s="86"/>
      <c r="FU516" s="86"/>
      <c r="FV516" s="86"/>
      <c r="FW516" s="86"/>
      <c r="FX516" s="86"/>
      <c r="FY516" s="259"/>
      <c r="FZ516" s="259"/>
      <c r="GA516" s="259"/>
      <c r="GB516" s="259"/>
      <c r="GC516" s="259"/>
      <c r="GD516" s="259"/>
      <c r="GE516" s="259"/>
      <c r="GF516" s="259"/>
      <c r="GG516" s="259"/>
      <c r="GH516" s="259"/>
      <c r="GI516" s="259"/>
      <c r="GJ516" s="259"/>
      <c r="GK516" s="259"/>
      <c r="GL516" s="259"/>
      <c r="GM516" s="259"/>
      <c r="GN516" s="259"/>
      <c r="GO516" s="259"/>
      <c r="GP516" s="259"/>
      <c r="GQ516" s="259"/>
      <c r="GR516" s="259"/>
      <c r="GS516" s="259"/>
      <c r="GT516" s="259"/>
      <c r="GU516" s="259"/>
      <c r="GV516" s="259"/>
    </row>
    <row r="517" spans="1:204" ht="22.8">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108"/>
      <c r="ES517" s="108"/>
      <c r="ET517" s="108"/>
      <c r="EU517" s="108"/>
      <c r="EV517" s="108"/>
      <c r="EW517" s="108"/>
      <c r="EX517" s="108"/>
      <c r="EY517" s="108"/>
      <c r="EZ517" s="108"/>
      <c r="FA517" s="108"/>
      <c r="FB517" s="108"/>
      <c r="FC517" s="108"/>
      <c r="FD517" s="108"/>
      <c r="FE517" s="108"/>
      <c r="FF517" s="108"/>
      <c r="FG517" s="108"/>
      <c r="FH517" s="108"/>
      <c r="FI517" s="108"/>
      <c r="FJ517" s="86"/>
      <c r="FK517" s="86"/>
      <c r="FL517" s="86"/>
      <c r="FM517" s="86"/>
      <c r="FN517" s="86"/>
      <c r="FO517" s="86"/>
      <c r="FP517" s="86"/>
      <c r="FQ517" s="86"/>
      <c r="FR517" s="86"/>
      <c r="FS517" s="86"/>
      <c r="FT517" s="86"/>
      <c r="FU517" s="86"/>
      <c r="FV517" s="86"/>
      <c r="FW517" s="86"/>
      <c r="FX517" s="86"/>
      <c r="FY517" s="259"/>
      <c r="FZ517" s="259"/>
      <c r="GA517" s="259"/>
      <c r="GB517" s="259"/>
      <c r="GC517" s="259"/>
      <c r="GD517" s="259"/>
      <c r="GE517" s="259"/>
      <c r="GF517" s="259"/>
      <c r="GG517" s="259"/>
      <c r="GH517" s="259"/>
      <c r="GI517" s="259"/>
      <c r="GJ517" s="259"/>
      <c r="GK517" s="259"/>
      <c r="GL517" s="259"/>
      <c r="GM517" s="259"/>
      <c r="GN517" s="259"/>
      <c r="GO517" s="259"/>
      <c r="GP517" s="259"/>
      <c r="GQ517" s="259"/>
      <c r="GR517" s="259"/>
      <c r="GS517" s="259"/>
      <c r="GT517" s="259"/>
      <c r="GU517" s="259"/>
      <c r="GV517" s="259"/>
    </row>
    <row r="518" spans="1:204" ht="22.8">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108"/>
      <c r="ES518" s="108"/>
      <c r="ET518" s="108"/>
      <c r="EU518" s="108"/>
      <c r="EV518" s="108"/>
      <c r="EW518" s="108"/>
      <c r="EX518" s="108"/>
      <c r="EY518" s="108"/>
      <c r="EZ518" s="108"/>
      <c r="FA518" s="108"/>
      <c r="FB518" s="108"/>
      <c r="FC518" s="108"/>
      <c r="FD518" s="108"/>
      <c r="FE518" s="108"/>
      <c r="FF518" s="108"/>
      <c r="FG518" s="108"/>
      <c r="FH518" s="108"/>
      <c r="FI518" s="108"/>
      <c r="FJ518" s="86"/>
      <c r="FK518" s="86"/>
      <c r="FL518" s="86"/>
      <c r="FM518" s="86"/>
      <c r="FN518" s="86"/>
      <c r="FO518" s="86"/>
      <c r="FP518" s="86"/>
      <c r="FQ518" s="86"/>
      <c r="FR518" s="86"/>
      <c r="FS518" s="86"/>
      <c r="FT518" s="86"/>
      <c r="FU518" s="86"/>
      <c r="FV518" s="86"/>
      <c r="FW518" s="86"/>
      <c r="FX518" s="86"/>
      <c r="FY518" s="86"/>
      <c r="FZ518" s="86"/>
      <c r="GA518" s="86"/>
      <c r="GB518" s="86"/>
      <c r="GC518" s="259"/>
      <c r="GD518" s="259"/>
      <c r="GE518" s="259"/>
      <c r="GF518" s="259"/>
      <c r="GG518" s="259"/>
      <c r="GH518" s="259"/>
      <c r="GI518" s="259"/>
      <c r="GJ518" s="259"/>
      <c r="GK518" s="259"/>
      <c r="GL518" s="259"/>
      <c r="GM518" s="259"/>
      <c r="GN518" s="259"/>
      <c r="GO518" s="259"/>
      <c r="GP518" s="259"/>
      <c r="GQ518" s="259"/>
      <c r="GR518" s="259"/>
      <c r="GS518" s="259"/>
      <c r="GT518" s="259"/>
      <c r="GU518" s="259"/>
      <c r="GV518" s="259"/>
    </row>
    <row r="519" spans="1:204" ht="22.8">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108"/>
      <c r="ES519" s="108"/>
      <c r="ET519" s="108"/>
      <c r="EU519" s="108"/>
      <c r="EV519" s="108"/>
      <c r="EW519" s="108"/>
      <c r="EX519" s="108"/>
      <c r="EY519" s="108"/>
      <c r="EZ519" s="108"/>
      <c r="FA519" s="108"/>
      <c r="FB519" s="108"/>
      <c r="FC519" s="108"/>
      <c r="FD519" s="108"/>
      <c r="FE519" s="108"/>
      <c r="FF519" s="108"/>
      <c r="FG519" s="108"/>
      <c r="FH519" s="108"/>
      <c r="FI519" s="108"/>
      <c r="FJ519" s="86"/>
      <c r="FK519" s="86"/>
      <c r="FL519" s="86"/>
      <c r="FM519" s="86"/>
      <c r="FN519" s="86"/>
      <c r="FO519" s="86"/>
      <c r="FP519" s="86"/>
      <c r="FQ519" s="86"/>
      <c r="FR519" s="86"/>
      <c r="FS519" s="86"/>
      <c r="FT519" s="86"/>
      <c r="FU519" s="86"/>
      <c r="FV519" s="86"/>
      <c r="FW519" s="86"/>
      <c r="FX519" s="86"/>
      <c r="FY519" s="86"/>
      <c r="FZ519" s="86"/>
      <c r="GA519" s="86"/>
      <c r="GB519" s="86"/>
      <c r="GC519" s="259"/>
      <c r="GD519" s="259"/>
      <c r="GE519" s="259"/>
      <c r="GF519" s="259"/>
      <c r="GG519" s="259"/>
      <c r="GH519" s="259"/>
      <c r="GI519" s="259"/>
      <c r="GJ519" s="259"/>
      <c r="GK519" s="259"/>
      <c r="GL519" s="259"/>
      <c r="GM519" s="259"/>
      <c r="GN519" s="259"/>
      <c r="GO519" s="259"/>
      <c r="GP519" s="259"/>
      <c r="GQ519" s="259"/>
      <c r="GR519" s="259"/>
      <c r="GS519" s="259"/>
      <c r="GT519" s="259"/>
      <c r="GU519" s="259"/>
      <c r="GV519" s="259"/>
    </row>
    <row r="520" spans="1:204" ht="22.8">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108"/>
      <c r="ES520" s="108"/>
      <c r="ET520" s="108"/>
      <c r="EU520" s="108"/>
      <c r="EV520" s="108"/>
      <c r="EW520" s="108"/>
      <c r="EX520" s="108"/>
      <c r="EY520" s="108"/>
      <c r="EZ520" s="108"/>
      <c r="FA520" s="108"/>
      <c r="FB520" s="108"/>
      <c r="FC520" s="108"/>
      <c r="FD520" s="108"/>
      <c r="FE520" s="108"/>
      <c r="FF520" s="108"/>
      <c r="FG520" s="108"/>
      <c r="FH520" s="108"/>
      <c r="FI520" s="108"/>
      <c r="FJ520" s="86"/>
      <c r="FK520" s="86"/>
      <c r="FL520" s="86"/>
      <c r="FM520" s="86"/>
      <c r="FN520" s="86"/>
      <c r="FO520" s="86"/>
      <c r="FP520" s="86"/>
      <c r="FQ520" s="86"/>
      <c r="FR520" s="86"/>
      <c r="FS520" s="86"/>
      <c r="FT520" s="86"/>
      <c r="FU520" s="86"/>
      <c r="FV520" s="86"/>
      <c r="FW520" s="86"/>
      <c r="FX520" s="86"/>
      <c r="FY520" s="86"/>
      <c r="FZ520" s="86"/>
      <c r="GA520" s="86"/>
      <c r="GB520" s="86"/>
      <c r="GC520" s="259"/>
      <c r="GD520" s="259"/>
      <c r="GE520" s="259"/>
      <c r="GF520" s="259"/>
      <c r="GG520" s="259"/>
      <c r="GH520" s="259"/>
      <c r="GI520" s="259"/>
      <c r="GJ520" s="259"/>
      <c r="GK520" s="259"/>
      <c r="GL520" s="259"/>
      <c r="GM520" s="259"/>
      <c r="GN520" s="259"/>
      <c r="GO520" s="259"/>
      <c r="GP520" s="259"/>
      <c r="GQ520" s="259"/>
      <c r="GR520" s="259"/>
      <c r="GS520" s="259"/>
      <c r="GT520" s="259"/>
      <c r="GU520" s="259"/>
      <c r="GV520" s="259"/>
    </row>
    <row r="521" spans="1:204" ht="22.8">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108"/>
      <c r="ES521" s="108"/>
      <c r="ET521" s="108"/>
      <c r="EU521" s="108"/>
      <c r="EV521" s="108"/>
      <c r="EW521" s="108"/>
      <c r="EX521" s="108"/>
      <c r="EY521" s="108"/>
      <c r="EZ521" s="108"/>
      <c r="FA521" s="108"/>
      <c r="FB521" s="108"/>
      <c r="FC521" s="108"/>
      <c r="FD521" s="108"/>
      <c r="FE521" s="108"/>
      <c r="FF521" s="108"/>
      <c r="FG521" s="108"/>
      <c r="FH521" s="108"/>
      <c r="FI521" s="108"/>
      <c r="FJ521" s="86"/>
      <c r="FK521" s="86"/>
      <c r="FL521" s="86"/>
      <c r="FM521" s="86"/>
      <c r="FN521" s="86"/>
      <c r="FO521" s="86"/>
      <c r="FP521" s="86"/>
      <c r="FQ521" s="86"/>
      <c r="FR521" s="86"/>
      <c r="FS521" s="86"/>
      <c r="FT521" s="86"/>
      <c r="FU521" s="86"/>
      <c r="FV521" s="86"/>
      <c r="FW521" s="86"/>
      <c r="FX521" s="86"/>
      <c r="FY521" s="86"/>
      <c r="FZ521" s="86"/>
      <c r="GA521" s="86"/>
      <c r="GB521" s="86"/>
      <c r="GC521" s="259"/>
      <c r="GD521" s="259"/>
      <c r="GE521" s="259"/>
      <c r="GF521" s="259"/>
      <c r="GG521" s="259"/>
      <c r="GH521" s="259"/>
      <c r="GI521" s="259"/>
      <c r="GJ521" s="259"/>
      <c r="GK521" s="259"/>
      <c r="GL521" s="259"/>
      <c r="GM521" s="259"/>
      <c r="GN521" s="259"/>
      <c r="GO521" s="259"/>
      <c r="GP521" s="259"/>
      <c r="GQ521" s="259"/>
      <c r="GR521" s="259"/>
      <c r="GS521" s="259"/>
      <c r="GT521" s="259"/>
      <c r="GU521" s="259"/>
      <c r="GV521" s="259"/>
    </row>
  </sheetData>
  <sheetProtection password="C484" sheet="1" objects="1" scenarios="1"/>
  <mergeCells count="299">
    <mergeCell ref="CQ477:CY477"/>
    <mergeCell ref="CR478:CX478"/>
    <mergeCell ref="CQ479:CY479"/>
    <mergeCell ref="DD413:EB413"/>
    <mergeCell ref="EE405:FG407"/>
    <mergeCell ref="DD407:EB407"/>
    <mergeCell ref="DE408:EA408"/>
    <mergeCell ref="DD409:EB409"/>
    <mergeCell ref="DD411:EB411"/>
    <mergeCell ref="DE412:EA412"/>
    <mergeCell ref="DD386:EB386"/>
    <mergeCell ref="DE387:EA387"/>
    <mergeCell ref="DD388:EB388"/>
    <mergeCell ref="DD399:EB399"/>
    <mergeCell ref="DE400:EA400"/>
    <mergeCell ref="DD401:EB401"/>
    <mergeCell ref="DD403:EB403"/>
    <mergeCell ref="DE404:EA404"/>
    <mergeCell ref="DD405:EB405"/>
    <mergeCell ref="P367:EQ367"/>
    <mergeCell ref="Q368:EP368"/>
    <mergeCell ref="P369:EQ369"/>
    <mergeCell ref="DD378:EB378"/>
    <mergeCell ref="DE379:EA379"/>
    <mergeCell ref="DD380:EB380"/>
    <mergeCell ref="DD382:EB382"/>
    <mergeCell ref="DE383:EA383"/>
    <mergeCell ref="DD384:EB384"/>
    <mergeCell ref="P355:EQ355"/>
    <mergeCell ref="Q356:EP356"/>
    <mergeCell ref="P357:EQ357"/>
    <mergeCell ref="P359:EQ359"/>
    <mergeCell ref="Q360:EP360"/>
    <mergeCell ref="P361:EQ361"/>
    <mergeCell ref="P363:EQ363"/>
    <mergeCell ref="Q364:EP364"/>
    <mergeCell ref="P365:EQ365"/>
    <mergeCell ref="H300:BW304"/>
    <mergeCell ref="DU303:EA303"/>
    <mergeCell ref="EC303:EI303"/>
    <mergeCell ref="DU308:EA308"/>
    <mergeCell ref="EC308:EI308"/>
    <mergeCell ref="EK308:EQ308"/>
    <mergeCell ref="DV307:DZ307"/>
    <mergeCell ref="ED307:EH307"/>
    <mergeCell ref="EL307:EP307"/>
    <mergeCell ref="CG308:CM308"/>
    <mergeCell ref="CO308:CU308"/>
    <mergeCell ref="CW308:DC308"/>
    <mergeCell ref="DE308:DK308"/>
    <mergeCell ref="DM308:DS308"/>
    <mergeCell ref="BY308:CE308"/>
    <mergeCell ref="DU306:EA306"/>
    <mergeCell ref="CO306:CU306"/>
    <mergeCell ref="CW306:DC306"/>
    <mergeCell ref="DE306:DK306"/>
    <mergeCell ref="DM306:DS306"/>
    <mergeCell ref="CP302:CT302"/>
    <mergeCell ref="CX302:DB302"/>
    <mergeCell ref="DF302:DJ302"/>
    <mergeCell ref="EK303:EQ303"/>
    <mergeCell ref="EC306:EI306"/>
    <mergeCell ref="EK306:EQ306"/>
    <mergeCell ref="BZ307:CD307"/>
    <mergeCell ref="CH307:CL307"/>
    <mergeCell ref="CP307:CT307"/>
    <mergeCell ref="CX307:DB307"/>
    <mergeCell ref="DF307:DJ307"/>
    <mergeCell ref="BY303:CE303"/>
    <mergeCell ref="CG303:CM303"/>
    <mergeCell ref="DN307:DR307"/>
    <mergeCell ref="BY306:CE306"/>
    <mergeCell ref="CG306:CM306"/>
    <mergeCell ref="V181:AH183"/>
    <mergeCell ref="AV181:BH183"/>
    <mergeCell ref="BI181:BU183"/>
    <mergeCell ref="BV180:CH182"/>
    <mergeCell ref="DI180:DU182"/>
    <mergeCell ref="AV177:BH178"/>
    <mergeCell ref="FU184:FU186"/>
    <mergeCell ref="FR184:FR186"/>
    <mergeCell ref="FV184:FV186"/>
    <mergeCell ref="DI178:DU179"/>
    <mergeCell ref="BI177:BU178"/>
    <mergeCell ref="CI177:CU178"/>
    <mergeCell ref="FS181:FS183"/>
    <mergeCell ref="FU181:FU183"/>
    <mergeCell ref="FV181:FV183"/>
    <mergeCell ref="EK296:EQ296"/>
    <mergeCell ref="CV184:DH186"/>
    <mergeCell ref="FR181:FR183"/>
    <mergeCell ref="DE200:EA200"/>
    <mergeCell ref="BY296:CE296"/>
    <mergeCell ref="CO296:CU296"/>
    <mergeCell ref="DD201:EB201"/>
    <mergeCell ref="CG296:CM296"/>
    <mergeCell ref="DE273:DK273"/>
    <mergeCell ref="DM296:DS296"/>
    <mergeCell ref="DU296:EA296"/>
    <mergeCell ref="DD205:EB205"/>
    <mergeCell ref="CW296:DC296"/>
    <mergeCell ref="DD220:EB220"/>
    <mergeCell ref="DE221:EA221"/>
    <mergeCell ref="D493:FI493"/>
    <mergeCell ref="BF121:EB121"/>
    <mergeCell ref="BG122:EA122"/>
    <mergeCell ref="BF123:EB123"/>
    <mergeCell ref="CV177:DH178"/>
    <mergeCell ref="DV177:EH178"/>
    <mergeCell ref="DV179:EH180"/>
    <mergeCell ref="AG150:BX150"/>
    <mergeCell ref="I184:U186"/>
    <mergeCell ref="V184:AH186"/>
    <mergeCell ref="CK146:EB146"/>
    <mergeCell ref="AH147:BW147"/>
    <mergeCell ref="CW165:DE165"/>
    <mergeCell ref="DD170:EB170"/>
    <mergeCell ref="EE148:FH150"/>
    <mergeCell ref="V177:AH178"/>
    <mergeCell ref="CL147:EA147"/>
    <mergeCell ref="CP297:CT297"/>
    <mergeCell ref="CX297:DB297"/>
    <mergeCell ref="DF297:DJ297"/>
    <mergeCell ref="DD168:EB168"/>
    <mergeCell ref="I181:U183"/>
    <mergeCell ref="CI181:CU183"/>
    <mergeCell ref="I177:U178"/>
    <mergeCell ref="AG148:BX148"/>
    <mergeCell ref="CK148:EB148"/>
    <mergeCell ref="AH151:BW151"/>
    <mergeCell ref="CL151:EA151"/>
    <mergeCell ref="CK150:EB150"/>
    <mergeCell ref="BV178:CH179"/>
    <mergeCell ref="BI179:BU180"/>
    <mergeCell ref="DE169:EA169"/>
    <mergeCell ref="FX179:FX180"/>
    <mergeCell ref="FX181:FX183"/>
    <mergeCell ref="FV179:FV180"/>
    <mergeCell ref="CI179:CU180"/>
    <mergeCell ref="CV179:DH180"/>
    <mergeCell ref="AI180:AU182"/>
    <mergeCell ref="FT183:FT185"/>
    <mergeCell ref="FW183:FW185"/>
    <mergeCell ref="CV181:DH183"/>
    <mergeCell ref="AV184:BH186"/>
    <mergeCell ref="BI184:BU186"/>
    <mergeCell ref="DV184:EH186"/>
    <mergeCell ref="EN180:FG182"/>
    <mergeCell ref="FT180:FT182"/>
    <mergeCell ref="FW180:FW182"/>
    <mergeCell ref="FR179:FR180"/>
    <mergeCell ref="FS179:FS180"/>
    <mergeCell ref="FU179:FU180"/>
    <mergeCell ref="AI178:AU179"/>
    <mergeCell ref="FX184:FX186"/>
    <mergeCell ref="FS184:FS186"/>
    <mergeCell ref="CN462:DB462"/>
    <mergeCell ref="CV129:EA129"/>
    <mergeCell ref="CU130:EB130"/>
    <mergeCell ref="I179:U180"/>
    <mergeCell ref="V179:AH180"/>
    <mergeCell ref="AV179:BH180"/>
    <mergeCell ref="DE242:DK242"/>
    <mergeCell ref="DF243:DJ243"/>
    <mergeCell ref="DD195:EB195"/>
    <mergeCell ref="CI184:CU186"/>
    <mergeCell ref="CN460:DB460"/>
    <mergeCell ref="CO461:DA461"/>
    <mergeCell ref="DE196:EA196"/>
    <mergeCell ref="DD197:EB197"/>
    <mergeCell ref="DD203:EB203"/>
    <mergeCell ref="DD199:EB199"/>
    <mergeCell ref="DE204:EA204"/>
    <mergeCell ref="DD456:EB456"/>
    <mergeCell ref="DE457:EA457"/>
    <mergeCell ref="DV181:EH183"/>
    <mergeCell ref="AI183:AU185"/>
    <mergeCell ref="BV183:CH185"/>
    <mergeCell ref="DI183:DU185"/>
    <mergeCell ref="AG152:BX152"/>
    <mergeCell ref="DE35:DJ35"/>
    <mergeCell ref="DF36:DI36"/>
    <mergeCell ref="DE37:DJ37"/>
    <mergeCell ref="DE331:DK331"/>
    <mergeCell ref="DE333:DK333"/>
    <mergeCell ref="DE217:EA217"/>
    <mergeCell ref="DD218:EB218"/>
    <mergeCell ref="DD458:EB458"/>
    <mergeCell ref="CK152:EB152"/>
    <mergeCell ref="DE103:EA103"/>
    <mergeCell ref="DD104:EB104"/>
    <mergeCell ref="CB99:CK99"/>
    <mergeCell ref="D137:FI145"/>
    <mergeCell ref="AG146:BX146"/>
    <mergeCell ref="DN297:DR297"/>
    <mergeCell ref="DD102:EB102"/>
    <mergeCell ref="DE244:DK244"/>
    <mergeCell ref="DV297:DZ297"/>
    <mergeCell ref="DE296:DK296"/>
    <mergeCell ref="DE271:DK271"/>
    <mergeCell ref="DF272:DJ272"/>
    <mergeCell ref="ED297:EH297"/>
    <mergeCell ref="EC296:EI296"/>
    <mergeCell ref="DD454:EB454"/>
    <mergeCell ref="DE45:DJ45"/>
    <mergeCell ref="DE47:DJ47"/>
    <mergeCell ref="DF48:DI48"/>
    <mergeCell ref="DF247:DJ247"/>
    <mergeCell ref="DE248:DK248"/>
    <mergeCell ref="DF255:DJ255"/>
    <mergeCell ref="DE256:DK256"/>
    <mergeCell ref="DE335:DK335"/>
    <mergeCell ref="DE329:DK329"/>
    <mergeCell ref="DF330:DJ330"/>
    <mergeCell ref="DE246:DK246"/>
    <mergeCell ref="DE85:EA85"/>
    <mergeCell ref="CU128:EB128"/>
    <mergeCell ref="DD86:EB86"/>
    <mergeCell ref="DD222:EB222"/>
    <mergeCell ref="DD212:EB212"/>
    <mergeCell ref="DE213:EA213"/>
    <mergeCell ref="DF334:DJ334"/>
    <mergeCell ref="CW317:DE317"/>
    <mergeCell ref="DE325:DK325"/>
    <mergeCell ref="DF326:DJ326"/>
    <mergeCell ref="DE327:DK327"/>
    <mergeCell ref="DD214:EB214"/>
    <mergeCell ref="DE449:EA449"/>
    <mergeCell ref="DD450:EB450"/>
    <mergeCell ref="DE49:DJ49"/>
    <mergeCell ref="DE51:DJ51"/>
    <mergeCell ref="DF52:DI52"/>
    <mergeCell ref="DE39:DJ39"/>
    <mergeCell ref="DF40:DI40"/>
    <mergeCell ref="DD452:EB452"/>
    <mergeCell ref="DE453:EA453"/>
    <mergeCell ref="DE41:DJ41"/>
    <mergeCell ref="DE43:DJ43"/>
    <mergeCell ref="DF44:DI44"/>
    <mergeCell ref="DD216:EB216"/>
    <mergeCell ref="DE298:DK298"/>
    <mergeCell ref="DM298:DS298"/>
    <mergeCell ref="DU298:EA298"/>
    <mergeCell ref="DE301:DK301"/>
    <mergeCell ref="DM301:DS301"/>
    <mergeCell ref="DN302:DR302"/>
    <mergeCell ref="DV302:DZ302"/>
    <mergeCell ref="DU301:EA301"/>
    <mergeCell ref="DE303:DK303"/>
    <mergeCell ref="DM303:DS303"/>
    <mergeCell ref="D281:FI294"/>
    <mergeCell ref="CM445:CU445"/>
    <mergeCell ref="DD448:EB448"/>
    <mergeCell ref="DE53:DJ53"/>
    <mergeCell ref="DE250:DK250"/>
    <mergeCell ref="DF251:DJ251"/>
    <mergeCell ref="DE252:DK252"/>
    <mergeCell ref="DE254:DK254"/>
    <mergeCell ref="BF67:EB67"/>
    <mergeCell ref="BG68:EA68"/>
    <mergeCell ref="BF69:EB69"/>
    <mergeCell ref="BY298:CE298"/>
    <mergeCell ref="CG298:CM298"/>
    <mergeCell ref="CO298:CU298"/>
    <mergeCell ref="CW298:DC298"/>
    <mergeCell ref="BZ297:CD297"/>
    <mergeCell ref="CH297:CL297"/>
    <mergeCell ref="BY301:CE301"/>
    <mergeCell ref="CG301:CM301"/>
    <mergeCell ref="CO301:CU301"/>
    <mergeCell ref="CW301:DC301"/>
    <mergeCell ref="CO303:CU303"/>
    <mergeCell ref="CW303:DC303"/>
    <mergeCell ref="BZ302:CD302"/>
    <mergeCell ref="CH302:CL302"/>
    <mergeCell ref="EO3:FG3"/>
    <mergeCell ref="EO5:FG5"/>
    <mergeCell ref="EE40:FH44"/>
    <mergeCell ref="DE431:DK431"/>
    <mergeCell ref="DF432:DJ432"/>
    <mergeCell ref="DE433:DK433"/>
    <mergeCell ref="DD75:EB75"/>
    <mergeCell ref="DE76:EA76"/>
    <mergeCell ref="DD77:EB77"/>
    <mergeCell ref="DD84:EB84"/>
    <mergeCell ref="DE31:DJ31"/>
    <mergeCell ref="DF32:DI32"/>
    <mergeCell ref="DE33:DJ33"/>
    <mergeCell ref="EL297:EP297"/>
    <mergeCell ref="ED302:EH302"/>
    <mergeCell ref="EL302:EP302"/>
    <mergeCell ref="EC298:EI298"/>
    <mergeCell ref="EK298:EQ298"/>
    <mergeCell ref="EC301:EI301"/>
    <mergeCell ref="EK301:EQ301"/>
    <mergeCell ref="EE247:FG251"/>
    <mergeCell ref="P351:EQ351"/>
    <mergeCell ref="Q352:EP352"/>
    <mergeCell ref="P353:EQ353"/>
  </mergeCells>
  <conditionalFormatting sqref="CI466:CI471">
    <cfRule type="cellIs" dxfId="61" priority="544" stopIfTrue="1" operator="equal">
      <formula>"V"</formula>
    </cfRule>
  </conditionalFormatting>
  <conditionalFormatting sqref="B462 B436 B420 B417:B418 B371 B390 B259:B260 B310 B224:B225 B277 B156 B174:B175 B188 B134:B153 B207 B337:B338 B89:B90 B108 B28:B30 B125 B80 B71 B55:B56">
    <cfRule type="cellIs" dxfId="60" priority="533" stopIfTrue="1" operator="notEqual">
      <formula>""</formula>
    </cfRule>
  </conditionalFormatting>
  <conditionalFormatting sqref="GL448:GL450 GV447:GW447 GH447:GK450 GE447:GF450 GR447:GR450 GL168:GL170 GV167:GW167 GH167:GK170 GE167:GF170 GR167:GR170 GL84:GL87 GV83:GW83 GH83:GK87 GE83:GF87 GR83:GR87 GL75:GL78 GV72:GW74 GH72:GK80 GE72:GF80 GR72:GR80 GL102:GL104 GV101:GW101 GH101:GK104 GE101:GF104 GR101:GR104">
    <cfRule type="cellIs" dxfId="59" priority="521" operator="equal">
      <formula>","</formula>
    </cfRule>
  </conditionalFormatting>
  <conditionalFormatting sqref="FL431 FJ431:FK433 FL433 FL413 FM352:FM368 FK369:FL370 FL389:FL411 FM327 FM331 FM329 FM333 FL256 FL273 FL325 FJ329:FK331 FJ227:FL253 FL335 FJ271:FK273 FL271 FJ325:FK327 FL254 FJ136:FL152 FM144:FY144 FL337:FL367 FK337:FK368 FJ337:FJ370 FJ254:FK256 FJ307 FJ333:FK335 FJ387 FJ389:FK413">
    <cfRule type="cellIs" dxfId="58" priority="510" stopIfTrue="1" operator="equal">
      <formula>";"</formula>
    </cfRule>
    <cfRule type="cellIs" dxfId="57" priority="511" stopIfTrue="1" operator="equal">
      <formula>"^"</formula>
    </cfRule>
    <cfRule type="cellIs" dxfId="56" priority="512" stopIfTrue="1" operator="equal">
      <formula>"!"</formula>
    </cfRule>
    <cfRule type="cellIs" dxfId="55" priority="513" stopIfTrue="1" operator="equal">
      <formula>"~"</formula>
    </cfRule>
    <cfRule type="cellIs" dxfId="54" priority="514" stopIfTrue="1" operator="equal">
      <formula>":"</formula>
    </cfRule>
    <cfRule type="cellIs" dxfId="53" priority="515" stopIfTrue="1" operator="equal">
      <formula>"`"</formula>
    </cfRule>
    <cfRule type="cellIs" dxfId="52" priority="516" operator="equal">
      <formula>"*"</formula>
    </cfRule>
    <cfRule type="cellIs" dxfId="51" priority="517" operator="equal">
      <formula>","</formula>
    </cfRule>
    <cfRule type="cellIs" dxfId="50" priority="518" stopIfTrue="1" operator="equal">
      <formula>"."</formula>
    </cfRule>
    <cfRule type="cellIs" dxfId="49" priority="519" stopIfTrue="1" operator="equal">
      <formula>"+"</formula>
    </cfRule>
    <cfRule type="cellIs" dxfId="48" priority="520" stopIfTrue="1" operator="equal">
      <formula>"-"</formula>
    </cfRule>
  </conditionalFormatting>
  <conditionalFormatting sqref="FL176:FL185 FJ176:FK186">
    <cfRule type="cellIs" dxfId="47" priority="498" stopIfTrue="1" operator="equal">
      <formula>"~"</formula>
    </cfRule>
    <cfRule type="cellIs" dxfId="46" priority="499" stopIfTrue="1" operator="equal">
      <formula>":"</formula>
    </cfRule>
    <cfRule type="cellIs" dxfId="45" priority="500" stopIfTrue="1" operator="equal">
      <formula>"&gt;"</formula>
    </cfRule>
    <cfRule type="cellIs" dxfId="44" priority="501" stopIfTrue="1" operator="equal">
      <formula>";"</formula>
    </cfRule>
    <cfRule type="cellIs" dxfId="43" priority="502" stopIfTrue="1" operator="equal">
      <formula>","</formula>
    </cfRule>
    <cfRule type="cellIs" dxfId="42" priority="503" stopIfTrue="1" operator="equal">
      <formula>"*"</formula>
    </cfRule>
    <cfRule type="cellIs" dxfId="41" priority="504" stopIfTrue="1" operator="equal">
      <formula>"^"</formula>
    </cfRule>
    <cfRule type="cellIs" dxfId="40" priority="505" stopIfTrue="1" operator="equal">
      <formula>"."</formula>
    </cfRule>
    <cfRule type="cellIs" dxfId="39" priority="506" stopIfTrue="1" operator="equal">
      <formula>"`"</formula>
    </cfRule>
    <cfRule type="cellIs" dxfId="38" priority="507" stopIfTrue="1" operator="equal">
      <formula>"+"</formula>
    </cfRule>
    <cfRule type="cellIs" dxfId="37" priority="508" stopIfTrue="1" operator="equal">
      <formula>"-"</formula>
    </cfRule>
    <cfRule type="cellIs" dxfId="36" priority="509" stopIfTrue="1" operator="equal">
      <formula>"!"</formula>
    </cfRule>
  </conditionalFormatting>
  <conditionalFormatting sqref="FL413 FL406:FL411 FJ406:FK413 FJ390:FL405">
    <cfRule type="cellIs" dxfId="35" priority="133" stopIfTrue="1" operator="equal">
      <formula>";"</formula>
    </cfRule>
    <cfRule type="cellIs" dxfId="34" priority="134" stopIfTrue="1" operator="equal">
      <formula>"~"</formula>
    </cfRule>
    <cfRule type="cellIs" dxfId="33" priority="135" stopIfTrue="1" operator="equal">
      <formula>":"</formula>
    </cfRule>
    <cfRule type="cellIs" dxfId="32" priority="136" stopIfTrue="1" operator="equal">
      <formula>"`"</formula>
    </cfRule>
    <cfRule type="cellIs" dxfId="31" priority="137" operator="equal">
      <formula>"*"</formula>
    </cfRule>
    <cfRule type="cellIs" dxfId="30" priority="138" operator="equal">
      <formula>","</formula>
    </cfRule>
    <cfRule type="cellIs" dxfId="29" priority="139" stopIfTrue="1" operator="equal">
      <formula>"."</formula>
    </cfRule>
    <cfRule type="cellIs" dxfId="28" priority="140" stopIfTrue="1" operator="equal">
      <formula>"+"</formula>
    </cfRule>
    <cfRule type="cellIs" dxfId="27" priority="141" stopIfTrue="1" operator="equal">
      <formula>"-"</formula>
    </cfRule>
    <cfRule type="cellIs" dxfId="26" priority="142" stopIfTrue="1" operator="equal">
      <formula>"^"</formula>
    </cfRule>
    <cfRule type="cellIs" dxfId="25" priority="143" stopIfTrue="1" operator="equal">
      <formula>"&gt;"</formula>
    </cfRule>
    <cfRule type="cellIs" dxfId="24" priority="144" stopIfTrue="1" operator="equal">
      <formula>"!"</formula>
    </cfRule>
  </conditionalFormatting>
  <conditionalFormatting sqref="FJ457">
    <cfRule type="cellIs" dxfId="23" priority="14" stopIfTrue="1" operator="equal">
      <formula>";"</formula>
    </cfRule>
    <cfRule type="cellIs" dxfId="22" priority="15" stopIfTrue="1" operator="equal">
      <formula>"^"</formula>
    </cfRule>
    <cfRule type="cellIs" dxfId="21" priority="16" stopIfTrue="1" operator="equal">
      <formula>"!"</formula>
    </cfRule>
    <cfRule type="cellIs" dxfId="20" priority="17" stopIfTrue="1" operator="equal">
      <formula>"~"</formula>
    </cfRule>
    <cfRule type="cellIs" dxfId="19" priority="18" stopIfTrue="1" operator="equal">
      <formula>":"</formula>
    </cfRule>
    <cfRule type="cellIs" dxfId="18" priority="19" stopIfTrue="1" operator="equal">
      <formula>"`"</formula>
    </cfRule>
    <cfRule type="cellIs" dxfId="17" priority="20" operator="equal">
      <formula>"*"</formula>
    </cfRule>
    <cfRule type="cellIs" dxfId="16" priority="21" operator="equal">
      <formula>","</formula>
    </cfRule>
    <cfRule type="cellIs" dxfId="15" priority="22" stopIfTrue="1" operator="equal">
      <formula>"."</formula>
    </cfRule>
    <cfRule type="cellIs" dxfId="14" priority="23" stopIfTrue="1" operator="equal">
      <formula>"+"</formula>
    </cfRule>
    <cfRule type="cellIs" dxfId="13" priority="24" stopIfTrue="1" operator="equal">
      <formula>"-"</formula>
    </cfRule>
  </conditionalFormatting>
  <conditionalFormatting sqref="D11:FI481">
    <cfRule type="cellIs" dxfId="12" priority="534" stopIfTrue="1" operator="equal">
      <formula>"!"</formula>
    </cfRule>
    <cfRule type="cellIs" dxfId="11" priority="535" stopIfTrue="1" operator="equal">
      <formula>"+"</formula>
    </cfRule>
    <cfRule type="cellIs" dxfId="10" priority="536" stopIfTrue="1" operator="equal">
      <formula>","</formula>
    </cfRule>
    <cfRule type="cellIs" dxfId="9" priority="537" stopIfTrue="1" operator="equal">
      <formula>"{"</formula>
    </cfRule>
    <cfRule type="cellIs" dxfId="8" priority="538" stopIfTrue="1" operator="equal">
      <formula>"'"</formula>
    </cfRule>
    <cfRule type="cellIs" dxfId="7" priority="539" stopIfTrue="1" operator="equal">
      <formula>"}"</formula>
    </cfRule>
    <cfRule type="cellIs" dxfId="6" priority="540" stopIfTrue="1" operator="equal">
      <formula>"^"</formula>
    </cfRule>
    <cfRule type="cellIs" dxfId="5" priority="541" stopIfTrue="1" operator="equal">
      <formula>"~"</formula>
    </cfRule>
    <cfRule type="cellIs" dxfId="4" priority="542" stopIfTrue="1" operator="equal">
      <formula>":"</formula>
    </cfRule>
    <cfRule type="cellIs" dxfId="3" priority="543" stopIfTrue="1" operator="equal">
      <formula>"."</formula>
    </cfRule>
  </conditionalFormatting>
  <conditionalFormatting sqref="CI466:CI471">
    <cfRule type="cellIs" dxfId="2" priority="13" stopIfTrue="1" operator="equal">
      <formula>"V"</formula>
    </cfRule>
  </conditionalFormatting>
  <conditionalFormatting sqref="FL478">
    <cfRule type="cellIs" dxfId="1" priority="2" operator="equal">
      <formula>"Als u de versie zonder licentienummer wilt zien, moet u hieronder in het blauwomrande vak een ''X'' invullen."""</formula>
    </cfRule>
  </conditionalFormatting>
  <conditionalFormatting sqref="CW475">
    <cfRule type="cellIs" dxfId="0" priority="1" operator="equal">
      <formula>$FL$478</formula>
    </cfRule>
  </conditionalFormatting>
  <dataValidations count="24">
    <dataValidation type="list" allowBlank="1" showInputMessage="1" showErrorMessage="1" sqref="CO461">
      <formula1>$FJ$461:$FK$461</formula1>
    </dataValidation>
    <dataValidation type="list" allowBlank="1" showInputMessage="1" showErrorMessage="1" sqref="DF432:DJ432">
      <formula1>$FQ$240:$FS$240</formula1>
    </dataValidation>
    <dataValidation type="list" allowBlank="1" showInputMessage="1" showErrorMessage="1" sqref="Q368:EP368 Q352:EP352 Q356:EP356 Q360:EP360 Q364:EP364">
      <formula1>$FN$352:$FT$352</formula1>
    </dataValidation>
    <dataValidation type="list" allowBlank="1" showInputMessage="1" showErrorMessage="1" sqref="BZ297:CD297 BZ307:CD307 BZ302:CD302">
      <formula1>$FO$297:$FO$298</formula1>
    </dataValidation>
    <dataValidation type="list" allowBlank="1" showInputMessage="1" showErrorMessage="1" sqref="CH297:CL297 CH307:CL307 CH302:CL302">
      <formula1>$FP$297:$FP$298</formula1>
    </dataValidation>
    <dataValidation type="list" allowBlank="1" showInputMessage="1" showErrorMessage="1" sqref="CP297:CT297 CP307:CT307 CP302:CT302">
      <formula1>$FQ$297:$FQ$298</formula1>
    </dataValidation>
    <dataValidation type="list" allowBlank="1" showInputMessage="1" showErrorMessage="1" sqref="CX297:DB297 CX307:DB307 CX302:DB302">
      <formula1>$FR$297:$FR$298</formula1>
    </dataValidation>
    <dataValidation type="list" allowBlank="1" showInputMessage="1" showErrorMessage="1" sqref="DF297:DJ297 DF307:DJ307 DF302:DJ302">
      <formula1>$FS$297:$FS$298</formula1>
    </dataValidation>
    <dataValidation type="list" allowBlank="1" showInputMessage="1" showErrorMessage="1" sqref="DN302:DR302 DN307:DR307 DN297:DR297">
      <formula1>$FT$297:$FT$298</formula1>
    </dataValidation>
    <dataValidation type="list" allowBlank="1" showInputMessage="1" showErrorMessage="1" sqref="DV297:DZ297 DV307:DZ307 DV302:DZ302">
      <formula1>$FU$297:$FU$298</formula1>
    </dataValidation>
    <dataValidation type="list" allowBlank="1" showInputMessage="1" showErrorMessage="1" sqref="ED297:EH297 ED307:EH307 ED302:EH302">
      <formula1>$FV$297:$FV$298</formula1>
    </dataValidation>
    <dataValidation type="list" allowBlank="1" showInputMessage="1" showErrorMessage="1" sqref="EL297:EP297 EL307:EP307 EL302:EP302">
      <formula1>$FW$297:$FW$298</formula1>
    </dataValidation>
    <dataValidation type="list" allowBlank="1" showInputMessage="1" showErrorMessage="1" sqref="DF255:DJ255 DF243:DJ243 DF247:DJ247 DF251:DJ251">
      <formula1>$FQ$240:$FY$240</formula1>
    </dataValidation>
    <dataValidation type="list" allowBlank="1" showInputMessage="1" showErrorMessage="1" sqref="DF272:DJ272">
      <formula1>$FQ$240:$FU$240</formula1>
    </dataValidation>
    <dataValidation type="list" allowBlank="1" showInputMessage="1" showErrorMessage="1" sqref="DF326:DJ326 DF330:DJ330 DF334:DJ334">
      <formula1>$FQ$240:$FV$240</formula1>
    </dataValidation>
    <dataValidation type="decimal" allowBlank="1" showInputMessage="1" showErrorMessage="1" sqref="AI183:AU185 V184:AH186 AV184:BU186 CI184:DH186 DV184:EH186 BV183:CH185 DI183:DU185">
      <formula1>-100000000</formula1>
      <formula2>100000000</formula2>
    </dataValidation>
    <dataValidation type="list" allowBlank="1" showInputMessage="1" showErrorMessage="1" sqref="AH147:BW147 CL151:EA151 CL147:EA147 AH151:BW151">
      <formula1>$FN$142:$FQ$142</formula1>
    </dataValidation>
    <dataValidation type="list" allowBlank="1" showInputMessage="1" showErrorMessage="1" sqref="DF32:DI32 DF52:DI52 DF48:DI48 DF44:DI44 DF40:DI40 DF36:DI36">
      <formula1>$FJ$29:$FK$29</formula1>
    </dataValidation>
    <dataValidation type="list" allowBlank="1" showInputMessage="1" showErrorMessage="1" sqref="BG68:EA68">
      <formula1>$FO$68:$FS$68</formula1>
    </dataValidation>
    <dataValidation type="list" allowBlank="1" showInputMessage="1" showErrorMessage="1" sqref="CV129:EA129">
      <formula1>$FO$129:$FV$129</formula1>
    </dataValidation>
    <dataValidation type="list" allowBlank="1" showInputMessage="1" showErrorMessage="1" sqref="BG122:EA122">
      <formula1>$FO$122:$FV$122</formula1>
    </dataValidation>
    <dataValidation type="list" allowBlank="1" showInputMessage="1" showErrorMessage="1" sqref="F40:O40">
      <formula1>$FN$658:$FO$658</formula1>
    </dataValidation>
    <dataValidation type="list" allowBlank="1" showInputMessage="1" showErrorMessage="1" sqref="V32:Y32 V48:Y48 V36:Y36 V40:Y40 V44:Y44 V52:Y52">
      <formula1>$FL$658:$FM$658</formula1>
    </dataValidation>
    <dataValidation type="list" allowBlank="1" showInputMessage="1" showErrorMessage="1" sqref="CR478:CX478">
      <formula1>$FK$478</formula1>
    </dataValidation>
  </dataValidations>
  <pageMargins left="0.78740157480314965" right="0.78740157480314965" top="0.55118110236220474" bottom="0.67" header="0.51181102362204722" footer="0.51181102362204722"/>
  <pageSetup paperSize="9" scale="70" orientation="portrait" horizontalDpi="200" verticalDpi="200" r:id="rId1"/>
  <headerFooter alignWithMargins="0">
    <oddFooter>&amp;C- &amp;P -</oddFooter>
  </headerFooter>
  <drawing r:id="rId2"/>
</worksheet>
</file>

<file path=xl/worksheets/sheet4.xml><?xml version="1.0" encoding="utf-8"?>
<worksheet xmlns="http://schemas.openxmlformats.org/spreadsheetml/2006/main" xmlns:r="http://schemas.openxmlformats.org/officeDocument/2006/relationships">
  <dimension ref="A1:HT433"/>
  <sheetViews>
    <sheetView showGridLines="0" zoomScaleNormal="100" workbookViewId="0">
      <selection activeCell="B1" sqref="B1"/>
    </sheetView>
  </sheetViews>
  <sheetFormatPr defaultRowHeight="13.2"/>
  <cols>
    <col min="1" max="1" width="0.6640625" customWidth="1"/>
    <col min="2" max="2" width="3.33203125" customWidth="1"/>
    <col min="3" max="167" width="0.6640625" customWidth="1"/>
    <col min="168" max="168" width="14.6640625" customWidth="1"/>
    <col min="169" max="170" width="6.109375" hidden="1" customWidth="1"/>
    <col min="171" max="171" width="7.44140625" hidden="1" customWidth="1"/>
    <col min="172" max="172" width="5.88671875" hidden="1" customWidth="1"/>
    <col min="173" max="173" width="6.6640625" hidden="1" customWidth="1"/>
    <col min="174" max="174" width="12.44140625" hidden="1" customWidth="1"/>
    <col min="175" max="175" width="10.88671875" hidden="1" customWidth="1"/>
    <col min="176" max="176" width="10.33203125" hidden="1" customWidth="1"/>
    <col min="177" max="177" width="10.6640625" hidden="1" customWidth="1"/>
    <col min="178" max="178" width="10" hidden="1" customWidth="1"/>
    <col min="179" max="180" width="9.109375" hidden="1" customWidth="1"/>
    <col min="181" max="183" width="9.109375" customWidth="1"/>
    <col min="184" max="184" width="14" bestFit="1" customWidth="1"/>
    <col min="185" max="186" width="17.109375" bestFit="1" customWidth="1"/>
    <col min="187" max="187" width="10" customWidth="1"/>
    <col min="188" max="188" width="11.44140625" customWidth="1"/>
    <col min="189" max="189" width="14.33203125" bestFit="1" customWidth="1"/>
    <col min="190" max="190" width="12.88671875" bestFit="1" customWidth="1"/>
    <col min="191" max="191" width="15" bestFit="1" customWidth="1"/>
    <col min="192" max="192" width="11.5546875" bestFit="1" customWidth="1"/>
    <col min="193" max="193" width="13" bestFit="1" customWidth="1"/>
    <col min="194" max="194" width="16.5546875" bestFit="1" customWidth="1"/>
    <col min="195" max="195" width="12.6640625" bestFit="1" customWidth="1"/>
    <col min="196" max="196" width="9.88671875" customWidth="1"/>
    <col min="197" max="198" width="12.88671875" bestFit="1" customWidth="1"/>
    <col min="199" max="199" width="14.6640625" bestFit="1" customWidth="1"/>
    <col min="200" max="200" width="9.44140625" bestFit="1" customWidth="1"/>
    <col min="201" max="201" width="12.88671875" bestFit="1" customWidth="1"/>
    <col min="202" max="202" width="10" customWidth="1"/>
    <col min="203" max="203" width="9.44140625" bestFit="1" customWidth="1"/>
    <col min="205" max="205" width="14" bestFit="1" customWidth="1"/>
    <col min="206" max="206" width="9" bestFit="1" customWidth="1"/>
    <col min="207" max="207" width="14.6640625" bestFit="1" customWidth="1"/>
    <col min="208" max="208" width="13.44140625" bestFit="1" customWidth="1"/>
    <col min="209" max="209" width="14.109375" bestFit="1" customWidth="1"/>
    <col min="210" max="210" width="10.88671875" bestFit="1" customWidth="1"/>
    <col min="211" max="211" width="11.109375" customWidth="1"/>
  </cols>
  <sheetData>
    <row r="1" spans="1:228" ht="24" customHeight="1">
      <c r="A1" s="1"/>
      <c r="B1" s="6"/>
      <c r="C1" s="4"/>
      <c r="D1" s="7" t="str">
        <f ca="1">IF(TODAY()&gt;=Blad1!$A$1,"Uw licentie is verlopen.","")</f>
        <v/>
      </c>
      <c r="E1" s="7"/>
      <c r="F1" s="7"/>
      <c r="G1" s="7"/>
      <c r="H1" s="7"/>
      <c r="I1" s="7"/>
      <c r="J1" s="7"/>
      <c r="K1" s="33"/>
      <c r="L1" s="33"/>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8"/>
      <c r="FL1" s="8"/>
      <c r="FM1" s="48" t="str">
        <f>IF(programma!$A$301="uitwerking","X","")</f>
        <v>X</v>
      </c>
      <c r="FN1" s="47">
        <f>programma!Q3</f>
        <v>1</v>
      </c>
      <c r="FO1" s="48">
        <f ca="1">IF(TODAY()&gt;=Blad1!A1,0,IF(AND(programma!E5="docentversie",programma!A300&lt;&gt;"goltsteindocentversie"),0,1))</f>
        <v>1</v>
      </c>
      <c r="FP1" s="48">
        <f ca="1">IF(programma!B1="X",1,IF(TODAY()&gt;=Blad1!$A$1,0,IF(OR(programma!Q3="",programma!N10="",programma!N12=""),0,1)))</f>
        <v>0</v>
      </c>
      <c r="FQ1" s="47"/>
      <c r="FR1" s="47"/>
      <c r="FS1" s="47"/>
      <c r="FT1" s="47"/>
      <c r="FU1" s="47"/>
      <c r="FV1" s="47"/>
      <c r="FW1" s="47"/>
      <c r="FX1" s="47"/>
      <c r="FY1" s="47"/>
      <c r="FZ1" s="47"/>
      <c r="GA1" s="49"/>
      <c r="GB1" s="49"/>
      <c r="GC1" s="49"/>
      <c r="GD1" s="49"/>
      <c r="GE1" s="49"/>
      <c r="GF1" s="49"/>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13"/>
      <c r="HG1" s="13"/>
      <c r="HH1" s="13"/>
    </row>
    <row r="2" spans="1:228" ht="5.25" customHeight="1">
      <c r="A2" s="1"/>
      <c r="B2" s="1"/>
      <c r="C2" s="1"/>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47"/>
      <c r="FN2" s="47"/>
      <c r="FO2" s="47"/>
      <c r="FP2" s="47"/>
      <c r="FQ2" s="47"/>
      <c r="FR2" s="47"/>
      <c r="FS2" s="47"/>
      <c r="FT2" s="47"/>
      <c r="FU2" s="47"/>
      <c r="FV2" s="47"/>
      <c r="FW2" s="47"/>
      <c r="FX2" s="47"/>
      <c r="FY2" s="47"/>
      <c r="FZ2" s="47"/>
      <c r="GA2" s="49"/>
      <c r="GB2" s="49"/>
      <c r="GC2" s="49"/>
      <c r="GD2" s="49"/>
      <c r="GE2" s="49"/>
      <c r="GF2" s="49"/>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13"/>
      <c r="HG2" s="13"/>
      <c r="HH2" s="13"/>
      <c r="HI2" s="13"/>
      <c r="HJ2" s="13"/>
      <c r="HK2" s="13"/>
      <c r="HL2" s="13"/>
      <c r="HM2" s="13"/>
      <c r="HN2" s="13"/>
      <c r="HO2" s="13"/>
      <c r="HP2" s="13"/>
      <c r="HQ2" s="13"/>
      <c r="HR2" s="13"/>
      <c r="HS2" s="13"/>
      <c r="HT2" s="13"/>
    </row>
    <row r="3" spans="1:228" ht="20.25" customHeight="1">
      <c r="A3" s="1"/>
      <c r="B3" s="1"/>
      <c r="C3" s="1"/>
      <c r="D3" s="8" t="str">
        <f ca="1">IF(TODAY()&gt;=Blad1!$A$1,"Neem contact op met goltstein@hotmail.com",programma!E3)</f>
        <v>Module: Resultaat bij prijszetting</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7"/>
      <c r="BS3" s="7"/>
      <c r="BT3" s="7"/>
      <c r="BU3" s="7"/>
      <c r="BV3" s="7"/>
      <c r="BW3" s="7"/>
      <c r="BX3" s="7"/>
      <c r="BY3" s="7"/>
      <c r="BZ3" s="7"/>
      <c r="CA3" s="7"/>
      <c r="CB3" s="7"/>
      <c r="CC3" s="7"/>
      <c r="CD3" s="7"/>
      <c r="CE3" s="7"/>
      <c r="CF3" s="7"/>
      <c r="CG3" s="7"/>
      <c r="CH3" s="7"/>
      <c r="CI3" s="7"/>
      <c r="CJ3" s="7"/>
      <c r="CK3" s="7"/>
      <c r="CL3" s="7"/>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614" t="str">
        <f>"versienummer: "&amp;programma!Q3&amp;" "</f>
        <v xml:space="preserve">versienummer: 1 </v>
      </c>
      <c r="EP3" s="530"/>
      <c r="EQ3" s="530"/>
      <c r="ER3" s="530"/>
      <c r="ES3" s="530"/>
      <c r="ET3" s="530"/>
      <c r="EU3" s="530"/>
      <c r="EV3" s="530"/>
      <c r="EW3" s="530"/>
      <c r="EX3" s="530"/>
      <c r="EY3" s="530"/>
      <c r="EZ3" s="530"/>
      <c r="FA3" s="530"/>
      <c r="FB3" s="530"/>
      <c r="FC3" s="530"/>
      <c r="FD3" s="530"/>
      <c r="FE3" s="530"/>
      <c r="FF3" s="530"/>
      <c r="FG3" s="530"/>
      <c r="FH3" s="530"/>
      <c r="FI3" s="530"/>
      <c r="FJ3" s="530"/>
      <c r="FK3" s="530"/>
      <c r="FL3" s="530"/>
      <c r="FM3" s="47"/>
      <c r="FN3" s="47"/>
      <c r="FO3" s="47"/>
      <c r="FP3" s="47"/>
      <c r="FQ3" s="47"/>
      <c r="FR3" s="47"/>
      <c r="FS3" s="47"/>
      <c r="FT3" s="47"/>
      <c r="FU3" s="47"/>
      <c r="FV3" s="47"/>
      <c r="FW3" s="47"/>
      <c r="FX3" s="47"/>
      <c r="FY3" s="47"/>
      <c r="FZ3" s="47"/>
      <c r="GA3" s="49"/>
      <c r="GB3" s="49"/>
      <c r="GC3" s="49"/>
      <c r="GD3" s="49"/>
      <c r="GE3" s="49"/>
      <c r="GF3" s="49"/>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13"/>
      <c r="HG3" s="13"/>
      <c r="HH3" s="13"/>
    </row>
    <row r="4" spans="1:228" ht="16.5" customHeight="1">
      <c r="A4" s="1"/>
      <c r="B4" s="1"/>
      <c r="C4" s="1"/>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7"/>
      <c r="BS4" s="7"/>
      <c r="BT4" s="7"/>
      <c r="BU4" s="7"/>
      <c r="BV4" s="7"/>
      <c r="BW4" s="7"/>
      <c r="BX4" s="7"/>
      <c r="BY4" s="7"/>
      <c r="BZ4" s="7"/>
      <c r="CA4" s="7"/>
      <c r="CB4" s="7"/>
      <c r="CC4" s="7"/>
      <c r="CD4" s="7"/>
      <c r="CE4" s="7"/>
      <c r="CF4" s="7"/>
      <c r="CG4" s="7"/>
      <c r="CH4" s="7"/>
      <c r="CI4" s="7"/>
      <c r="CJ4" s="7"/>
      <c r="CK4" s="7"/>
      <c r="CL4" s="7"/>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616"/>
      <c r="EP4" s="617"/>
      <c r="EQ4" s="617"/>
      <c r="ER4" s="617"/>
      <c r="ES4" s="617"/>
      <c r="ET4" s="617"/>
      <c r="EU4" s="617"/>
      <c r="EV4" s="617"/>
      <c r="EW4" s="617"/>
      <c r="EX4" s="617"/>
      <c r="EY4" s="617"/>
      <c r="EZ4" s="617"/>
      <c r="FA4" s="617"/>
      <c r="FB4" s="617"/>
      <c r="FC4" s="617"/>
      <c r="FD4" s="617"/>
      <c r="FE4" s="617"/>
      <c r="FF4" s="617"/>
      <c r="FG4" s="617"/>
      <c r="FH4" s="617"/>
      <c r="FI4" s="617"/>
      <c r="FJ4" s="617"/>
      <c r="FK4" s="522"/>
      <c r="FL4" s="7"/>
      <c r="FM4" s="47"/>
      <c r="FN4" s="47"/>
      <c r="FO4" s="47"/>
      <c r="FP4" s="47"/>
      <c r="FQ4" s="47"/>
      <c r="FR4" s="47"/>
      <c r="FS4" s="47"/>
      <c r="FT4" s="47"/>
      <c r="FU4" s="47"/>
      <c r="FV4" s="47"/>
      <c r="FW4" s="47"/>
      <c r="FX4" s="47"/>
      <c r="FY4" s="47"/>
      <c r="FZ4" s="47"/>
      <c r="GA4" s="49"/>
      <c r="GB4" s="49"/>
      <c r="GC4" s="49"/>
      <c r="GD4" s="49"/>
      <c r="GE4" s="49"/>
      <c r="GF4" s="49"/>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13"/>
      <c r="HG4" s="13"/>
      <c r="HH4" s="13"/>
    </row>
    <row r="5" spans="1:228" ht="19.5" customHeight="1">
      <c r="A5" s="1"/>
      <c r="B5" s="1"/>
      <c r="C5" s="1"/>
      <c r="D5" s="34" t="str">
        <f>" Naam leerling: "&amp; programma!N10</f>
        <v xml:space="preserve"> Naam leerling: </v>
      </c>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7"/>
      <c r="BS5" s="7"/>
      <c r="BT5" s="7"/>
      <c r="BU5" s="7"/>
      <c r="BV5" s="7"/>
      <c r="BW5" s="7"/>
      <c r="BX5" s="7"/>
      <c r="BY5" s="7"/>
      <c r="BZ5" s="7"/>
      <c r="CA5" s="7"/>
      <c r="CB5" s="7"/>
      <c r="CC5" s="7"/>
      <c r="CD5" s="7"/>
      <c r="CE5" s="7"/>
      <c r="CF5" s="7"/>
      <c r="CG5" s="7"/>
      <c r="CH5" s="7"/>
      <c r="CI5" s="7"/>
      <c r="CJ5" s="7"/>
      <c r="CK5" s="7"/>
      <c r="CL5" s="7"/>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534" t="str">
        <f>programma!S5</f>
        <v>© 2021, Goltstein</v>
      </c>
      <c r="EP5" s="532"/>
      <c r="EQ5" s="532"/>
      <c r="ER5" s="532"/>
      <c r="ES5" s="532"/>
      <c r="ET5" s="532"/>
      <c r="EU5" s="532"/>
      <c r="EV5" s="532"/>
      <c r="EW5" s="532"/>
      <c r="EX5" s="532"/>
      <c r="EY5" s="532"/>
      <c r="EZ5" s="532"/>
      <c r="FA5" s="532"/>
      <c r="FB5" s="532"/>
      <c r="FC5" s="532"/>
      <c r="FD5" s="532"/>
      <c r="FE5" s="532"/>
      <c r="FF5" s="532"/>
      <c r="FG5" s="532"/>
      <c r="FH5" s="532"/>
      <c r="FI5" s="532"/>
      <c r="FJ5" s="532"/>
      <c r="FK5" s="532"/>
      <c r="FL5" s="532"/>
      <c r="FM5" s="47"/>
      <c r="FN5" s="47"/>
      <c r="FO5" s="47"/>
      <c r="FP5" s="47"/>
      <c r="FQ5" s="47"/>
      <c r="FR5" s="47"/>
      <c r="FS5" s="47"/>
      <c r="FT5" s="47"/>
      <c r="FU5" s="47"/>
      <c r="FV5" s="47"/>
      <c r="FW5" s="47"/>
      <c r="FX5" s="47"/>
      <c r="FY5" s="47"/>
      <c r="FZ5" s="47"/>
      <c r="GA5" s="49"/>
      <c r="GB5" s="49"/>
      <c r="GC5" s="49"/>
      <c r="GD5" s="49"/>
      <c r="GE5" s="49"/>
      <c r="GF5" s="49"/>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13"/>
      <c r="HG5" s="13"/>
      <c r="HH5" s="13"/>
    </row>
    <row r="6" spans="1:228" ht="19.5" customHeight="1">
      <c r="A6" s="1"/>
      <c r="B6" s="1"/>
      <c r="C6" s="1"/>
      <c r="D6" s="9" t="str">
        <f>" Klas: "&amp; programma!N12</f>
        <v xml:space="preserve"> Klas: </v>
      </c>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7"/>
      <c r="BS6" s="7"/>
      <c r="BT6" s="7"/>
      <c r="BU6" s="7"/>
      <c r="BV6" s="7"/>
      <c r="BW6" s="7"/>
      <c r="BX6" s="7"/>
      <c r="BY6" s="7"/>
      <c r="BZ6" s="7"/>
      <c r="CA6" s="7"/>
      <c r="CB6" s="7"/>
      <c r="CC6" s="7"/>
      <c r="CD6" s="7"/>
      <c r="CE6" s="7"/>
      <c r="CF6" s="7"/>
      <c r="CG6" s="7"/>
      <c r="CH6" s="7"/>
      <c r="CI6" s="7"/>
      <c r="CJ6" s="7"/>
      <c r="CK6" s="7"/>
      <c r="CL6" s="7"/>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7"/>
      <c r="EO6" s="9"/>
      <c r="EP6" s="9"/>
      <c r="EQ6" s="9"/>
      <c r="ER6" s="9"/>
      <c r="ES6" s="9"/>
      <c r="ET6" s="9"/>
      <c r="EU6" s="9"/>
      <c r="EV6" s="9"/>
      <c r="EW6" s="9"/>
      <c r="EX6" s="9"/>
      <c r="EY6" s="9"/>
      <c r="EZ6" s="9"/>
      <c r="FA6" s="9"/>
      <c r="FB6" s="9"/>
      <c r="FC6" s="9"/>
      <c r="FD6" s="9"/>
      <c r="FE6" s="9"/>
      <c r="FF6" s="9"/>
      <c r="FG6" s="9"/>
      <c r="FH6" s="9"/>
      <c r="FI6" s="9"/>
      <c r="FJ6" s="7"/>
      <c r="FK6" s="7"/>
      <c r="FL6" s="7"/>
      <c r="FM6" s="47"/>
      <c r="FN6" s="47"/>
      <c r="FO6" s="47"/>
      <c r="FP6" s="47"/>
      <c r="FQ6" s="47"/>
      <c r="FR6" s="47"/>
      <c r="FS6" s="47"/>
      <c r="FT6" s="47"/>
      <c r="FU6" s="47"/>
      <c r="FV6" s="47"/>
      <c r="FW6" s="47"/>
      <c r="FX6" s="47"/>
      <c r="FY6" s="47"/>
      <c r="FZ6" s="47"/>
      <c r="GA6" s="49"/>
      <c r="GB6" s="49"/>
      <c r="GC6" s="49"/>
      <c r="GD6" s="49"/>
      <c r="GE6" s="49"/>
      <c r="GF6" s="49"/>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13"/>
      <c r="HG6" s="13"/>
      <c r="HH6" s="13"/>
    </row>
    <row r="7" spans="1:228" ht="12" customHeight="1">
      <c r="A7" s="1"/>
      <c r="B7" s="1"/>
      <c r="C7" s="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8"/>
      <c r="FL7" s="8"/>
      <c r="FM7" s="47"/>
      <c r="FN7" s="47"/>
      <c r="FO7" s="47"/>
      <c r="FP7" s="47"/>
      <c r="FQ7" s="47"/>
      <c r="FR7" s="47"/>
      <c r="FS7" s="47"/>
      <c r="FT7" s="47"/>
      <c r="FU7" s="47"/>
      <c r="FV7" s="47"/>
      <c r="FW7" s="47"/>
      <c r="FX7" s="47"/>
      <c r="FY7" s="47"/>
      <c r="FZ7" s="47"/>
      <c r="GA7" s="49"/>
      <c r="GB7" s="49"/>
      <c r="GC7" s="49"/>
      <c r="GD7" s="49"/>
      <c r="GE7" s="49"/>
      <c r="GF7" s="49"/>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13"/>
      <c r="HG7" s="13"/>
      <c r="HH7" s="13"/>
    </row>
    <row r="8" spans="1:228" ht="7.5" customHeight="1">
      <c r="A8" s="1"/>
      <c r="B8" s="1"/>
      <c r="C8" s="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47"/>
      <c r="FN8" s="47"/>
      <c r="FO8" s="47"/>
      <c r="FP8" s="47"/>
      <c r="FQ8" s="47"/>
      <c r="FR8" s="47"/>
      <c r="FS8" s="47"/>
      <c r="FT8" s="47"/>
      <c r="FU8" s="47"/>
      <c r="FV8" s="47"/>
      <c r="FW8" s="47"/>
      <c r="FX8" s="47"/>
      <c r="FY8" s="47"/>
      <c r="FZ8" s="47"/>
      <c r="GA8" s="49"/>
      <c r="GB8" s="49"/>
      <c r="GC8" s="49"/>
      <c r="GD8" s="49"/>
      <c r="GE8" s="49"/>
      <c r="GF8" s="49"/>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13"/>
      <c r="HG8" s="13"/>
      <c r="HH8" s="13"/>
    </row>
    <row r="9" spans="1:228" ht="21" customHeight="1">
      <c r="A9" s="1"/>
      <c r="B9" s="1"/>
      <c r="C9" s="1"/>
      <c r="D9" s="2" t="str">
        <f ca="1">IF(TODAY()&gt;=Blad1!$A$1,"","Pas als je een opdracht goed hebt beantwoord, verschijnt het volgende. Wil je terug naar het programma, klik dan op de paarse knop hierboven.")</f>
        <v>Pas als je een opdracht goed hebt beantwoord, verschijnt het volgende. Wil je terug naar het programma, klik dan op de paarse knop hierboven.</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47"/>
      <c r="FN9" s="47"/>
      <c r="FO9" s="47"/>
      <c r="FP9" s="47" t="str">
        <f>IF(FO9=1,1.25,IF(FO9=2,4,IF(FO9=3,2.25,IF(FO9=4,0.75,IF(FO9=5,2.5,IF(FO9=6,0.5,IF(FO9=7,1,IF(FO9=8,3,""))))))))</f>
        <v/>
      </c>
      <c r="FQ9" s="47"/>
      <c r="FR9" s="47"/>
      <c r="FS9" s="47"/>
      <c r="FT9" s="47"/>
      <c r="FU9" s="47"/>
      <c r="FV9" s="47"/>
      <c r="FW9" s="47"/>
      <c r="FX9" s="47"/>
      <c r="FY9" s="47"/>
      <c r="FZ9" s="47"/>
      <c r="GA9" s="49"/>
      <c r="GB9" s="49"/>
      <c r="GC9" s="49"/>
      <c r="GD9" s="49"/>
      <c r="GE9" s="49"/>
      <c r="GF9" s="49"/>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13"/>
      <c r="HG9" s="13"/>
      <c r="HH9" s="13"/>
    </row>
    <row r="10" spans="1:228" ht="16.5" customHeight="1">
      <c r="A10" s="1"/>
      <c r="B10" s="1"/>
      <c r="C10" s="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47"/>
      <c r="FN10" s="47"/>
      <c r="FO10" s="47"/>
      <c r="FP10" s="47"/>
      <c r="FQ10" s="47"/>
      <c r="FR10" s="47"/>
      <c r="FS10" s="47"/>
      <c r="FT10" s="47"/>
      <c r="FU10" s="47"/>
      <c r="FV10" s="47"/>
      <c r="FW10" s="47"/>
      <c r="FX10" s="47"/>
      <c r="FY10" s="47"/>
      <c r="FZ10" s="47"/>
      <c r="GA10" s="49"/>
      <c r="GB10" s="49"/>
      <c r="GC10" s="49"/>
      <c r="GD10" s="49"/>
      <c r="GE10" s="49"/>
      <c r="GF10" s="49"/>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13"/>
      <c r="HG10" s="13"/>
      <c r="HH10" s="13"/>
    </row>
    <row r="11" spans="1:228" ht="16.5" customHeight="1">
      <c r="A11" s="1"/>
      <c r="B11" s="3"/>
      <c r="C11" s="3"/>
      <c r="D11" s="198"/>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26"/>
      <c r="FL11" s="26"/>
      <c r="FM11" s="47"/>
      <c r="FN11" s="47"/>
      <c r="FO11" s="47"/>
      <c r="FP11" s="47"/>
      <c r="FQ11" s="47"/>
      <c r="FR11" s="47"/>
      <c r="FS11" s="47"/>
      <c r="FT11" s="47"/>
      <c r="FU11" s="47"/>
      <c r="FV11" s="47"/>
      <c r="FW11" s="47"/>
      <c r="FX11" s="47"/>
      <c r="FY11" s="47"/>
      <c r="FZ11" s="47"/>
      <c r="GA11" s="49"/>
      <c r="GB11" s="49"/>
      <c r="GC11" s="49"/>
      <c r="GD11" s="49"/>
      <c r="GE11" s="49"/>
      <c r="GF11" s="49"/>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13"/>
      <c r="HG11" s="13"/>
      <c r="HH11" s="13"/>
    </row>
    <row r="12" spans="1:228" ht="10.5" customHeight="1">
      <c r="A12" s="1"/>
      <c r="B12" s="3"/>
      <c r="C12" s="3"/>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26"/>
      <c r="FL12" s="26"/>
      <c r="FM12" s="47"/>
      <c r="FN12" s="47"/>
      <c r="FO12" s="47"/>
      <c r="FP12" s="47"/>
      <c r="FQ12" s="47"/>
      <c r="FR12" s="47"/>
      <c r="FS12" s="47"/>
      <c r="FT12" s="47"/>
      <c r="FU12" s="47"/>
      <c r="FV12" s="47"/>
      <c r="FW12" s="47"/>
      <c r="FX12" s="47"/>
      <c r="FY12" s="47"/>
      <c r="FZ12" s="47"/>
      <c r="GA12" s="49"/>
      <c r="GB12" s="49"/>
      <c r="GC12" s="49"/>
      <c r="GD12" s="49"/>
      <c r="GE12" s="49"/>
      <c r="GF12" s="49"/>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13"/>
      <c r="HG12" s="13"/>
      <c r="HH12" s="13"/>
    </row>
    <row r="13" spans="1:228" ht="21.6" customHeight="1">
      <c r="A13" s="1"/>
      <c r="B13" s="3"/>
      <c r="C13" s="3"/>
      <c r="D13" s="35" t="str">
        <f ca="1">IF(FP1=0,"","TO, TK en TW")</f>
        <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36"/>
      <c r="FL13" s="26"/>
      <c r="FM13" s="47"/>
      <c r="FN13" s="47"/>
      <c r="FO13" s="47"/>
      <c r="FP13" s="47"/>
      <c r="FQ13" s="47"/>
      <c r="FR13" s="47"/>
      <c r="FS13" s="47"/>
      <c r="FT13" s="47"/>
      <c r="FU13" s="47"/>
      <c r="FV13" s="47"/>
      <c r="FW13" s="47"/>
      <c r="FX13" s="47"/>
      <c r="FY13" s="47"/>
      <c r="FZ13" s="47"/>
      <c r="GA13" s="49"/>
      <c r="GB13" s="49"/>
      <c r="GC13" s="49"/>
      <c r="GD13" s="49"/>
      <c r="GE13" s="49"/>
      <c r="GF13" s="49"/>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13"/>
      <c r="HG13" s="13"/>
      <c r="HH13" s="13"/>
    </row>
    <row r="14" spans="1:228" ht="16.5" customHeight="1">
      <c r="A14" s="1"/>
      <c r="B14" s="3"/>
      <c r="C14" s="3"/>
      <c r="D14" s="12"/>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26"/>
      <c r="FL14" s="26"/>
      <c r="FM14" s="47"/>
      <c r="FN14" s="47"/>
      <c r="FO14" s="47"/>
      <c r="FP14" s="47"/>
      <c r="FQ14" s="47"/>
      <c r="FR14" s="47"/>
      <c r="FS14" s="47"/>
      <c r="FT14" s="47"/>
      <c r="FU14" s="47"/>
      <c r="FV14" s="47"/>
      <c r="FW14" s="47"/>
      <c r="FX14" s="47"/>
      <c r="FY14" s="47"/>
      <c r="FZ14" s="47"/>
      <c r="GA14" s="49"/>
      <c r="GB14" s="49"/>
      <c r="GC14" s="49"/>
      <c r="GD14" s="49"/>
      <c r="GE14" s="49"/>
      <c r="GF14" s="49"/>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13"/>
      <c r="HG14" s="13"/>
      <c r="HH14" s="13"/>
    </row>
    <row r="15" spans="1:228" ht="16.95" customHeight="1">
      <c r="A15" s="1"/>
      <c r="B15" s="3"/>
      <c r="C15" s="3"/>
      <c r="D15" s="12" t="str">
        <f ca="1">IF(FP1=0,"","We gaan kijken hoe het resultaat bepaald wordt als de aanbieders zelf kunnen ")</f>
        <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26"/>
      <c r="FL15" s="26"/>
      <c r="FM15" s="47"/>
      <c r="FN15" s="47"/>
      <c r="FO15" s="47"/>
      <c r="FP15" s="47"/>
      <c r="FQ15" s="47"/>
      <c r="FR15" s="47"/>
      <c r="FS15" s="47"/>
      <c r="FT15" s="47"/>
      <c r="FU15" s="47"/>
      <c r="FV15" s="47"/>
      <c r="FW15" s="47"/>
      <c r="FX15" s="47"/>
      <c r="FY15" s="47"/>
      <c r="FZ15" s="47"/>
      <c r="GA15" s="49"/>
      <c r="GB15" s="49"/>
      <c r="GC15" s="49"/>
      <c r="GD15" s="49"/>
      <c r="GE15" s="49"/>
      <c r="GF15" s="49"/>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13"/>
      <c r="HG15" s="13"/>
      <c r="HH15" s="13"/>
    </row>
    <row r="16" spans="1:228" ht="16.95" customHeight="1">
      <c r="A16" s="1"/>
      <c r="B16" s="3"/>
      <c r="C16" s="3"/>
      <c r="D16" s="12" t="str">
        <f ca="1">IF(FP1=0,"","bepalen welke prijs ze willen hebben en dus ''prijszetter'' zijn. Dat is onder")</f>
        <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26"/>
      <c r="FL16" s="26"/>
      <c r="FM16" s="47"/>
      <c r="FN16" s="47"/>
      <c r="FO16" s="47"/>
      <c r="FP16" s="47"/>
      <c r="FQ16" s="47"/>
      <c r="FR16" s="47"/>
      <c r="FS16" s="47"/>
      <c r="FT16" s="47"/>
      <c r="FU16" s="47"/>
      <c r="FV16" s="47"/>
      <c r="FW16" s="47"/>
      <c r="FX16" s="47"/>
      <c r="FY16" s="47"/>
      <c r="FZ16" s="47"/>
      <c r="GA16" s="49"/>
      <c r="GB16" s="49"/>
      <c r="GC16" s="49"/>
      <c r="GD16" s="49"/>
      <c r="GE16" s="49"/>
      <c r="GF16" s="49"/>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13"/>
      <c r="HG16" s="13"/>
      <c r="HH16" s="13"/>
    </row>
    <row r="17" spans="1:216" ht="16.95" customHeight="1">
      <c r="A17" s="1"/>
      <c r="B17" s="3"/>
      <c r="C17" s="3"/>
      <c r="D17" s="12" t="str">
        <f ca="1">IF(FP1=0,"","andere het geval bij oligopolie met prijskartel en oligopolie met een prijsleider.")</f>
        <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26"/>
      <c r="FL17" s="26"/>
      <c r="FM17" s="47"/>
      <c r="FN17" s="47"/>
      <c r="FO17" s="47"/>
      <c r="FP17" s="47"/>
      <c r="FQ17" s="47"/>
      <c r="FR17" s="47"/>
      <c r="FS17" s="47"/>
      <c r="FT17" s="47"/>
      <c r="FU17" s="47"/>
      <c r="FV17" s="47"/>
      <c r="FW17" s="47"/>
      <c r="FX17" s="47"/>
      <c r="FY17" s="47"/>
      <c r="FZ17" s="47"/>
      <c r="GA17" s="49"/>
      <c r="GB17" s="49"/>
      <c r="GC17" s="49"/>
      <c r="GD17" s="49"/>
      <c r="GE17" s="49"/>
      <c r="GF17" s="49"/>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13"/>
      <c r="HG17" s="13"/>
      <c r="HH17" s="13"/>
    </row>
    <row r="18" spans="1:216" ht="16.95" customHeight="1">
      <c r="A18" s="1"/>
      <c r="B18" s="3"/>
      <c r="C18" s="3"/>
      <c r="D18" s="12" t="str">
        <f ca="1">IF(FP1=0,""," Bij welke marktvorm(en) is dat nog meer het geval?")</f>
        <v/>
      </c>
      <c r="E18" s="10"/>
      <c r="F18" s="10"/>
      <c r="G18" s="10"/>
      <c r="H18" s="10"/>
      <c r="I18" s="10"/>
      <c r="J18" s="10"/>
      <c r="K18" s="10"/>
      <c r="L18" s="10"/>
      <c r="M18" s="10"/>
      <c r="N18" s="10"/>
      <c r="O18" s="10"/>
      <c r="P18" s="10"/>
      <c r="Q18" s="10"/>
      <c r="R18" s="10"/>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26"/>
      <c r="FL18" s="26"/>
      <c r="FM18" s="47"/>
      <c r="FN18" s="47"/>
      <c r="FO18" s="47"/>
      <c r="FP18" s="47"/>
      <c r="FQ18" s="47"/>
      <c r="FR18" s="47"/>
      <c r="FS18" s="47"/>
      <c r="FT18" s="47"/>
      <c r="FU18" s="47"/>
      <c r="FV18" s="47"/>
      <c r="FW18" s="47"/>
      <c r="FX18" s="47"/>
      <c r="FY18" s="47"/>
      <c r="FZ18" s="47"/>
      <c r="GA18" s="49"/>
      <c r="GB18" s="49"/>
      <c r="GC18" s="49"/>
      <c r="GD18" s="49"/>
      <c r="GE18" s="49"/>
      <c r="GF18" s="49"/>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13"/>
      <c r="HG18" s="13"/>
      <c r="HH18" s="13"/>
    </row>
    <row r="19" spans="1:216" ht="7.5" customHeight="1">
      <c r="A19" s="1"/>
      <c r="B19" s="3"/>
      <c r="C19" s="3"/>
      <c r="D19" s="12"/>
      <c r="E19" s="10"/>
      <c r="F19" s="10"/>
      <c r="G19" s="10"/>
      <c r="H19" s="10"/>
      <c r="I19" s="10"/>
      <c r="J19" s="10"/>
      <c r="K19" s="10"/>
      <c r="L19" s="10"/>
      <c r="M19" s="10"/>
      <c r="N19" s="10"/>
      <c r="O19" s="10"/>
      <c r="P19" s="10"/>
      <c r="Q19" s="10"/>
      <c r="R19" s="10"/>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26"/>
      <c r="FL19" s="26"/>
      <c r="FM19" s="47"/>
      <c r="FN19" s="47"/>
      <c r="FO19" s="79"/>
      <c r="FP19" s="79"/>
      <c r="FQ19" s="79"/>
      <c r="FR19" s="79"/>
      <c r="FS19" s="79"/>
      <c r="FT19" s="79"/>
      <c r="FU19" s="79"/>
      <c r="FV19" s="79"/>
      <c r="FW19" s="47"/>
      <c r="FX19" s="47"/>
      <c r="FY19" s="47"/>
      <c r="FZ19" s="47"/>
      <c r="GA19" s="49"/>
      <c r="GB19" s="49"/>
      <c r="GC19" s="49"/>
      <c r="GD19" s="49"/>
      <c r="GE19" s="49"/>
      <c r="GF19" s="49"/>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13"/>
      <c r="HG19" s="13"/>
      <c r="HH19" s="13"/>
    </row>
    <row r="20" spans="1:216" ht="3.75" customHeight="1">
      <c r="A20" s="1"/>
      <c r="B20" s="3"/>
      <c r="C20" s="3"/>
      <c r="D20" s="12"/>
      <c r="E20" s="10"/>
      <c r="F20" s="10"/>
      <c r="G20" s="10"/>
      <c r="H20" s="10"/>
      <c r="I20" s="10"/>
      <c r="J20" s="10"/>
      <c r="K20" s="79"/>
      <c r="L20" s="79"/>
      <c r="M20" s="79"/>
      <c r="N20" s="79"/>
      <c r="O20" s="79"/>
      <c r="P20" s="79"/>
      <c r="Q20" s="79"/>
      <c r="R20" s="79"/>
      <c r="S20" s="544" t="str">
        <f ca="1">IF(FP1=0,"",".")</f>
        <v/>
      </c>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32"/>
      <c r="DS20" s="532"/>
      <c r="DT20" s="532"/>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26"/>
      <c r="FL20" s="26"/>
      <c r="FM20" s="47"/>
      <c r="FN20" s="47"/>
      <c r="FO20" s="47"/>
      <c r="FP20" s="47"/>
      <c r="FQ20" s="47"/>
      <c r="FR20" s="47"/>
      <c r="FS20" s="47"/>
      <c r="FT20" s="47"/>
      <c r="FU20" s="47"/>
      <c r="FV20" s="47"/>
      <c r="FW20" s="47"/>
      <c r="FX20" s="47"/>
      <c r="FY20" s="47"/>
      <c r="FZ20" s="47"/>
      <c r="GA20" s="49"/>
      <c r="GB20" s="49"/>
      <c r="GC20" s="49"/>
      <c r="GD20" s="49"/>
      <c r="GE20" s="49"/>
      <c r="GF20" s="49"/>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13"/>
      <c r="HG20" s="13"/>
      <c r="HH20" s="13"/>
    </row>
    <row r="21" spans="1:216" ht="16.5" customHeight="1">
      <c r="A21" s="1"/>
      <c r="B21" s="3"/>
      <c r="C21" s="3"/>
      <c r="D21" s="12"/>
      <c r="E21" s="10"/>
      <c r="F21" s="10"/>
      <c r="G21" s="10"/>
      <c r="H21" s="10"/>
      <c r="I21" s="10"/>
      <c r="J21" s="10"/>
      <c r="K21" s="79"/>
      <c r="L21" s="79"/>
      <c r="M21" s="79"/>
      <c r="N21" s="79"/>
      <c r="O21" s="79"/>
      <c r="P21" s="79"/>
      <c r="Q21" s="79"/>
      <c r="R21" s="79"/>
      <c r="S21" s="198" t="str">
        <f ca="1">IF(FP1=0,"",".")</f>
        <v/>
      </c>
      <c r="T21" s="620"/>
      <c r="U21" s="620"/>
      <c r="V21" s="620"/>
      <c r="W21" s="620"/>
      <c r="X21" s="620"/>
      <c r="Y21" s="620"/>
      <c r="Z21" s="620"/>
      <c r="AA21" s="620"/>
      <c r="AB21" s="620"/>
      <c r="AC21" s="620"/>
      <c r="AD21" s="620"/>
      <c r="AE21" s="620"/>
      <c r="AF21" s="620"/>
      <c r="AG21" s="620"/>
      <c r="AH21" s="620"/>
      <c r="AI21" s="620"/>
      <c r="AJ21" s="620"/>
      <c r="AK21" s="620"/>
      <c r="AL21" s="620"/>
      <c r="AM21" s="620"/>
      <c r="AN21" s="620"/>
      <c r="AO21" s="620"/>
      <c r="AP21" s="620"/>
      <c r="AQ21" s="620"/>
      <c r="AR21" s="620"/>
      <c r="AS21" s="620"/>
      <c r="AT21" s="620"/>
      <c r="AU21" s="620"/>
      <c r="AV21" s="620"/>
      <c r="AW21" s="620"/>
      <c r="AX21" s="620"/>
      <c r="AY21" s="620"/>
      <c r="AZ21" s="620"/>
      <c r="BA21" s="620"/>
      <c r="BB21" s="620"/>
      <c r="BC21" s="620"/>
      <c r="BD21" s="620"/>
      <c r="BE21" s="620"/>
      <c r="BF21" s="620"/>
      <c r="BG21" s="620"/>
      <c r="BH21" s="620"/>
      <c r="BI21" s="620"/>
      <c r="BJ21" s="620"/>
      <c r="BK21" s="620"/>
      <c r="BL21" s="620"/>
      <c r="BM21" s="620"/>
      <c r="BN21" s="620"/>
      <c r="BO21" s="620"/>
      <c r="BP21" s="620"/>
      <c r="BQ21" s="620"/>
      <c r="BR21" s="620"/>
      <c r="BS21" s="620"/>
      <c r="BT21" s="620"/>
      <c r="BU21" s="620"/>
      <c r="BV21" s="620"/>
      <c r="BW21" s="620"/>
      <c r="BX21" s="620"/>
      <c r="BY21" s="620"/>
      <c r="BZ21" s="620"/>
      <c r="CA21" s="620"/>
      <c r="CB21" s="620"/>
      <c r="CC21" s="620"/>
      <c r="CD21" s="620"/>
      <c r="CE21" s="620"/>
      <c r="CF21" s="620"/>
      <c r="CG21" s="620"/>
      <c r="CH21" s="620"/>
      <c r="CI21" s="620"/>
      <c r="CJ21" s="620"/>
      <c r="CK21" s="620"/>
      <c r="CL21" s="620"/>
      <c r="CM21" s="620"/>
      <c r="CN21" s="620"/>
      <c r="CO21" s="620"/>
      <c r="CP21" s="620"/>
      <c r="CQ21" s="620"/>
      <c r="CR21" s="620"/>
      <c r="CS21" s="620"/>
      <c r="CT21" s="620"/>
      <c r="CU21" s="620"/>
      <c r="CV21" s="620"/>
      <c r="CW21" s="620"/>
      <c r="CX21" s="620"/>
      <c r="CY21" s="620"/>
      <c r="CZ21" s="620"/>
      <c r="DA21" s="620"/>
      <c r="DB21" s="620"/>
      <c r="DC21" s="620"/>
      <c r="DD21" s="620"/>
      <c r="DE21" s="620"/>
      <c r="DF21" s="620"/>
      <c r="DG21" s="620"/>
      <c r="DH21" s="620"/>
      <c r="DI21" s="620"/>
      <c r="DJ21" s="620"/>
      <c r="DK21" s="620"/>
      <c r="DL21" s="620"/>
      <c r="DM21" s="620"/>
      <c r="DN21" s="620"/>
      <c r="DO21" s="620"/>
      <c r="DP21" s="620"/>
      <c r="DQ21" s="551"/>
      <c r="DR21" s="551"/>
      <c r="DS21" s="551"/>
      <c r="DT21" s="198" t="str">
        <f ca="1">IF(FP1=0,"",".")</f>
        <v/>
      </c>
      <c r="DU21" s="91" t="str">
        <f ca="1">IF(FP1=0,"",IF(T21="","",IF(FO21=1," Goed!"," Fout! Probeer het opnieuw.")))</f>
        <v/>
      </c>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26"/>
      <c r="FL21" s="26"/>
      <c r="FM21" s="47"/>
      <c r="FN21" s="47"/>
      <c r="FO21" s="48">
        <f ca="1">IF(programma!B1="X",1,IF(FP1=0,0,IF(T21=FV21,1,0)))</f>
        <v>0</v>
      </c>
      <c r="FP21" t="str">
        <f ca="1">IF(FO1=0,"",FV21)</f>
        <v>bij monopolie en monopolistische concurrentie</v>
      </c>
      <c r="FQ21" s="48" t="s">
        <v>30</v>
      </c>
      <c r="FR21" s="48" t="s">
        <v>28</v>
      </c>
      <c r="FS21" s="48" t="s">
        <v>29</v>
      </c>
      <c r="FT21" s="48" t="s">
        <v>34</v>
      </c>
      <c r="FU21" s="48" t="s">
        <v>33</v>
      </c>
      <c r="FV21" s="48" t="s">
        <v>32</v>
      </c>
      <c r="FW21" s="48" t="s">
        <v>31</v>
      </c>
      <c r="FX21" s="47"/>
      <c r="FY21" s="47"/>
      <c r="FZ21" s="47"/>
      <c r="GA21" s="47"/>
      <c r="GB21" s="49"/>
      <c r="GC21" s="49"/>
      <c r="GD21" s="49"/>
      <c r="GE21" s="49"/>
      <c r="GF21" s="49"/>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13"/>
      <c r="HG21" s="13"/>
      <c r="HH21" s="13"/>
    </row>
    <row r="22" spans="1:216" ht="3.75" customHeight="1">
      <c r="A22" s="1"/>
      <c r="B22" s="3"/>
      <c r="C22" s="3"/>
      <c r="D22" s="12"/>
      <c r="E22" s="10"/>
      <c r="F22" s="10"/>
      <c r="G22" s="10"/>
      <c r="H22" s="10"/>
      <c r="I22" s="10"/>
      <c r="J22" s="10"/>
      <c r="K22" s="79"/>
      <c r="L22" s="79"/>
      <c r="M22" s="79"/>
      <c r="N22" s="79"/>
      <c r="O22" s="79"/>
      <c r="P22" s="79"/>
      <c r="Q22" s="79"/>
      <c r="R22" s="79"/>
      <c r="S22" s="544" t="str">
        <f ca="1">IF(FP1=0,"",".")</f>
        <v/>
      </c>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32"/>
      <c r="DS22" s="532"/>
      <c r="DT22" s="532"/>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26"/>
      <c r="FL22" s="26"/>
      <c r="FM22" s="47"/>
      <c r="FN22" s="47"/>
      <c r="FO22" s="47"/>
      <c r="FP22" s="47"/>
      <c r="FQ22" s="47"/>
      <c r="FR22" s="47"/>
      <c r="FS22" s="47"/>
      <c r="FT22" s="47"/>
      <c r="FU22" s="47"/>
      <c r="FV22" s="47"/>
      <c r="FW22" s="47"/>
      <c r="FX22" s="47"/>
      <c r="FY22" s="47"/>
      <c r="FZ22" s="47"/>
      <c r="GA22" s="49"/>
      <c r="GB22" s="49"/>
      <c r="GC22" s="49"/>
      <c r="GD22" s="49"/>
      <c r="GE22" s="49"/>
      <c r="GF22" s="49"/>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13"/>
      <c r="HG22" s="13"/>
      <c r="HH22" s="13"/>
    </row>
    <row r="23" spans="1:216" ht="9.75" customHeight="1">
      <c r="A23" s="1"/>
      <c r="B23" s="3"/>
      <c r="C23" s="3"/>
      <c r="D23" s="12"/>
      <c r="E23" s="10"/>
      <c r="F23" s="10"/>
      <c r="G23" s="10"/>
      <c r="H23" s="10"/>
      <c r="I23" s="10"/>
      <c r="J23" s="10"/>
      <c r="K23" s="10"/>
      <c r="L23" s="10"/>
      <c r="M23" s="10"/>
      <c r="N23" s="10"/>
      <c r="O23" s="10"/>
      <c r="P23" s="10"/>
      <c r="Q23" s="10"/>
      <c r="R23" s="10"/>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26"/>
      <c r="FL23" s="26"/>
      <c r="FM23" s="47"/>
      <c r="FN23" s="47"/>
      <c r="FO23" s="47"/>
      <c r="FP23" s="47"/>
      <c r="FQ23" s="47"/>
      <c r="FR23" s="47"/>
      <c r="FS23" s="47"/>
      <c r="FT23" s="47"/>
      <c r="FU23" s="47"/>
      <c r="FV23" s="47"/>
      <c r="FW23" s="47"/>
      <c r="FX23" s="47"/>
      <c r="FY23" s="47"/>
      <c r="FZ23" s="47"/>
      <c r="GA23" s="49"/>
      <c r="GB23" s="49"/>
      <c r="GC23" s="49"/>
      <c r="GD23" s="49"/>
      <c r="GE23" s="49"/>
      <c r="GF23" s="49"/>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13"/>
      <c r="HG23" s="13"/>
      <c r="HH23" s="13"/>
    </row>
    <row r="24" spans="1:216" ht="16.95" customHeight="1">
      <c r="A24" s="1"/>
      <c r="B24" s="3"/>
      <c r="C24" s="3"/>
      <c r="D24" s="12" t="str">
        <f ca="1">IF(FO21=0,"","We ervan uit dat de prijsafzetfunctie van de prijszetter als volgt luidt:")</f>
        <v/>
      </c>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26"/>
      <c r="FL24" s="26"/>
      <c r="FM24" s="47"/>
      <c r="FN24" s="47"/>
      <c r="FO24" s="47"/>
      <c r="FP24" s="47"/>
      <c r="FQ24" s="47"/>
      <c r="FR24" s="47"/>
      <c r="FS24" s="47"/>
      <c r="FT24" s="47"/>
      <c r="FU24" s="47"/>
      <c r="FV24" s="47"/>
      <c r="FW24" s="47"/>
      <c r="FX24" s="47"/>
      <c r="FY24" s="47"/>
      <c r="FZ24" s="47"/>
      <c r="GA24" s="49"/>
      <c r="GB24" s="49"/>
      <c r="GC24" s="49"/>
      <c r="GD24" s="49"/>
      <c r="GE24" s="49"/>
      <c r="GF24" s="49"/>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13"/>
      <c r="HG24" s="13"/>
      <c r="HH24" s="13"/>
    </row>
    <row r="25" spans="1:216" ht="16.95" customHeight="1">
      <c r="A25" s="1"/>
      <c r="B25" s="3"/>
      <c r="C25" s="3"/>
      <c r="D25" s="12" t="str">
        <f ca="1">IF(FO21=0,"","(''p'' = prijs en ''q'' = hoeveelheid'')")</f>
        <v/>
      </c>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26"/>
      <c r="FL25" s="26"/>
      <c r="FM25" s="47"/>
      <c r="FN25" s="47"/>
      <c r="FO25" s="47"/>
      <c r="FP25" s="47"/>
      <c r="FQ25" s="47"/>
      <c r="FR25" s="47"/>
      <c r="FS25" s="47"/>
      <c r="FT25" s="47"/>
      <c r="FU25" s="47"/>
      <c r="FV25" s="47"/>
      <c r="FW25" s="47"/>
      <c r="FX25" s="47"/>
      <c r="FY25" s="47"/>
      <c r="FZ25" s="47"/>
      <c r="GA25" s="49"/>
      <c r="GB25" s="49"/>
      <c r="GC25" s="49"/>
      <c r="GD25" s="49"/>
      <c r="GE25" s="49"/>
      <c r="GF25" s="49"/>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13"/>
      <c r="HG25" s="13"/>
      <c r="HH25" s="13"/>
    </row>
    <row r="26" spans="1:216" ht="6" customHeight="1">
      <c r="A26" s="1"/>
      <c r="B26" s="3"/>
      <c r="C26" s="3"/>
      <c r="D26" s="12"/>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26"/>
      <c r="FL26" s="26"/>
      <c r="FM26" s="47"/>
      <c r="FN26" s="47"/>
      <c r="FO26" s="47"/>
      <c r="FP26" s="47"/>
      <c r="FQ26" s="47"/>
      <c r="FR26" s="47"/>
      <c r="FS26" s="47"/>
      <c r="FT26" s="47"/>
      <c r="FU26" s="47"/>
      <c r="FV26" s="47"/>
      <c r="FW26" s="47"/>
      <c r="FX26" s="47"/>
      <c r="FY26" s="47"/>
      <c r="FZ26" s="47"/>
      <c r="GA26" s="49"/>
      <c r="GB26" s="49"/>
      <c r="GC26" s="49"/>
      <c r="GD26" s="49"/>
      <c r="GE26" s="49"/>
      <c r="GF26" s="49"/>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13"/>
      <c r="HG26" s="13"/>
      <c r="HH26" s="13"/>
    </row>
    <row r="27" spans="1:216" ht="16.5" customHeight="1">
      <c r="A27" s="1"/>
      <c r="B27" s="3"/>
      <c r="C27" s="3"/>
      <c r="D27" s="12"/>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90" t="str">
        <f ca="1">IF(FO21=0,"","p = -"&amp;FQ27&amp;"q + "&amp;FR27&amp;"")</f>
        <v/>
      </c>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26"/>
      <c r="FL27" s="26"/>
      <c r="FM27" s="47"/>
      <c r="FN27" s="47"/>
      <c r="FO27" s="47"/>
      <c r="FP27" s="47"/>
      <c r="FQ27" s="140">
        <f ca="1">1/(Blad1!AA17)</f>
        <v>2</v>
      </c>
      <c r="FR27" s="140">
        <f ca="1">4*Blad1!AA9</f>
        <v>1600</v>
      </c>
      <c r="FS27" s="135" t="s">
        <v>42</v>
      </c>
      <c r="FT27" s="94">
        <f ca="1">1/FQ27</f>
        <v>0.5</v>
      </c>
      <c r="FU27" s="94">
        <f ca="1">FR27/FQ27</f>
        <v>800</v>
      </c>
      <c r="FV27" s="47"/>
      <c r="FW27" s="47"/>
      <c r="FX27" s="47"/>
      <c r="FY27" s="47"/>
      <c r="FZ27" s="47"/>
      <c r="GA27" s="49"/>
      <c r="GB27" s="49"/>
      <c r="GC27" s="49"/>
      <c r="GD27" s="49"/>
      <c r="GE27" s="49" t="s">
        <v>0</v>
      </c>
      <c r="GF27" s="49" t="s">
        <v>9</v>
      </c>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13"/>
      <c r="HG27" s="13"/>
      <c r="HH27" s="13"/>
    </row>
    <row r="28" spans="1:216" ht="10.5" customHeight="1">
      <c r="A28" s="1"/>
      <c r="B28" s="3"/>
      <c r="C28" s="3"/>
      <c r="D28" s="12"/>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92"/>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26"/>
      <c r="FL28" s="26"/>
      <c r="FM28" s="47"/>
      <c r="FN28" s="47"/>
      <c r="FO28" s="47"/>
      <c r="FP28" s="47"/>
      <c r="FQ28" s="47"/>
      <c r="FR28" s="47"/>
      <c r="FS28" s="47"/>
      <c r="FT28" s="47"/>
      <c r="FU28" s="47"/>
      <c r="FV28" s="47"/>
      <c r="FW28" s="47"/>
      <c r="FX28" s="47"/>
      <c r="FY28" s="47"/>
      <c r="FZ28" s="47"/>
      <c r="GA28" s="49"/>
      <c r="GB28" s="49"/>
      <c r="GC28" s="49"/>
      <c r="GD28" s="49"/>
      <c r="GE28" s="49" t="str">
        <f ca="1">IF(FO40=1,0,"")</f>
        <v/>
      </c>
      <c r="GF28" s="49" t="e">
        <f ca="1">(GE28-FR27)/-FQ27</f>
        <v>#VALUE!</v>
      </c>
      <c r="GG28" s="49"/>
      <c r="GH28" s="49"/>
      <c r="GI28" s="49"/>
      <c r="GJ28" s="49"/>
      <c r="GK28" s="49"/>
      <c r="GL28" s="49"/>
      <c r="GM28" s="49"/>
      <c r="GN28" s="49"/>
      <c r="GO28" s="49"/>
      <c r="GP28" s="49"/>
      <c r="GQ28" s="49"/>
      <c r="GR28" s="48"/>
      <c r="GS28" s="48"/>
      <c r="GT28" s="48"/>
      <c r="GU28" s="48"/>
      <c r="GV28" s="48"/>
      <c r="GW28" s="48"/>
      <c r="GX28" s="48"/>
      <c r="GY28" s="48"/>
      <c r="GZ28" s="48"/>
      <c r="HA28" s="48"/>
      <c r="HB28" s="48"/>
      <c r="HC28" s="48"/>
      <c r="HD28" s="48"/>
      <c r="HE28" s="48"/>
      <c r="HF28" s="13"/>
      <c r="HG28" s="13"/>
      <c r="HH28" s="13"/>
    </row>
    <row r="29" spans="1:216" ht="16.95" customHeight="1">
      <c r="A29" s="1"/>
      <c r="B29" s="3"/>
      <c r="C29" s="3"/>
      <c r="D29" s="12" t="str">
        <f ca="1">IF(FO21=0,"","Bereken welke prijs de aanbieder kan vragen als hij "&amp;FQ29&amp;" eenheden wil")</f>
        <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26"/>
      <c r="FL29" s="26"/>
      <c r="FM29" s="47"/>
      <c r="FN29" s="47"/>
      <c r="FO29" s="47"/>
      <c r="FP29" s="47"/>
      <c r="FQ29" s="47">
        <f ca="1">ROUND(FR27/FQ27*Blad1!AA8/100,-1)</f>
        <v>470</v>
      </c>
      <c r="FR29" s="47"/>
      <c r="FS29" s="47"/>
      <c r="FT29" s="47"/>
      <c r="FU29" s="47"/>
      <c r="FV29" s="47"/>
      <c r="FW29" s="47"/>
      <c r="FX29" s="47"/>
      <c r="FY29" s="47"/>
      <c r="FZ29" s="47"/>
      <c r="GA29" s="49"/>
      <c r="GB29" s="49"/>
      <c r="GC29" s="49"/>
      <c r="GD29" s="49"/>
      <c r="GE29" s="49" t="str">
        <f ca="1">IF(FO40=1,FR27*0.1,"")</f>
        <v/>
      </c>
      <c r="GF29" s="49" t="e">
        <f ca="1">(GE29-FR27)/-FQ27</f>
        <v>#VALUE!</v>
      </c>
      <c r="GG29" s="49"/>
      <c r="GH29" s="49"/>
      <c r="GI29" s="49"/>
      <c r="GJ29" s="49"/>
      <c r="GK29" s="49"/>
      <c r="GL29" s="49"/>
      <c r="GM29" s="49"/>
      <c r="GN29" s="49"/>
      <c r="GO29" s="49"/>
      <c r="GP29" s="49"/>
      <c r="GQ29" s="49"/>
      <c r="GR29" s="48"/>
      <c r="GS29" s="48"/>
      <c r="GT29" s="48"/>
      <c r="GU29" s="48"/>
      <c r="GV29" s="48"/>
      <c r="GW29" s="48"/>
      <c r="GX29" s="48"/>
      <c r="GY29" s="48"/>
      <c r="GZ29" s="48"/>
      <c r="HA29" s="48"/>
      <c r="HB29" s="48"/>
      <c r="HC29" s="48"/>
      <c r="HD29" s="48"/>
      <c r="HE29" s="48"/>
      <c r="HF29" s="13"/>
      <c r="HG29" s="13"/>
      <c r="HH29" s="13"/>
    </row>
    <row r="30" spans="1:216" ht="16.95" customHeight="1">
      <c r="A30" s="1"/>
      <c r="B30" s="3"/>
      <c r="C30" s="3"/>
      <c r="D30" s="12" t="str">
        <f ca="1">IF(FO21=0,"","verkopen.")</f>
        <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26"/>
      <c r="FL30" s="26"/>
      <c r="FM30" s="47"/>
      <c r="FN30" s="47"/>
      <c r="FO30" s="47"/>
      <c r="FP30" s="47"/>
      <c r="FQ30" s="47"/>
      <c r="FR30" s="47"/>
      <c r="FS30" s="47"/>
      <c r="FT30" s="47"/>
      <c r="FU30" s="47"/>
      <c r="FV30" s="47"/>
      <c r="FW30" s="47"/>
      <c r="FX30" s="47"/>
      <c r="FY30" s="47"/>
      <c r="FZ30" s="47"/>
      <c r="GA30" s="49"/>
      <c r="GB30" s="49"/>
      <c r="GC30" s="49"/>
      <c r="GD30" s="49"/>
      <c r="GE30" s="49"/>
      <c r="GF30" s="49"/>
      <c r="GG30" s="49"/>
      <c r="GH30" s="49"/>
      <c r="GI30" s="49"/>
      <c r="GJ30" s="49"/>
      <c r="GK30" s="49"/>
      <c r="GL30" s="49"/>
      <c r="GM30" s="49"/>
      <c r="GN30" s="49"/>
      <c r="GO30" s="49"/>
      <c r="GP30" s="49"/>
      <c r="GQ30" s="49"/>
      <c r="GR30" s="48"/>
      <c r="GS30" s="48"/>
      <c r="GT30" s="48"/>
      <c r="GU30" s="48"/>
      <c r="GV30" s="48"/>
      <c r="GW30" s="48"/>
      <c r="GX30" s="48"/>
      <c r="GY30" s="48"/>
      <c r="GZ30" s="48"/>
      <c r="HA30" s="48"/>
      <c r="HB30" s="48"/>
      <c r="HC30" s="48"/>
      <c r="HD30" s="48"/>
      <c r="HE30" s="48"/>
      <c r="HF30" s="13"/>
      <c r="HG30" s="13"/>
      <c r="HH30" s="13"/>
    </row>
    <row r="31" spans="1:216" ht="11.25" customHeight="1">
      <c r="A31" s="1"/>
      <c r="B31" s="3"/>
      <c r="C31" s="3"/>
      <c r="D31" s="12"/>
      <c r="E31" s="10"/>
      <c r="F31" s="10"/>
      <c r="G31" s="10"/>
      <c r="H31" s="10"/>
      <c r="I31" s="10"/>
      <c r="J31" s="10"/>
      <c r="K31" s="10"/>
      <c r="L31" s="10"/>
      <c r="M31" s="10"/>
      <c r="N31" s="10"/>
      <c r="O31" s="10"/>
      <c r="P31" s="10"/>
      <c r="Q31" s="10"/>
      <c r="R31" s="10"/>
      <c r="S31" s="10"/>
      <c r="T31" s="10"/>
      <c r="U31" s="10"/>
      <c r="V31" s="10"/>
      <c r="W31" s="10"/>
      <c r="X31" s="10"/>
      <c r="Y31" s="10"/>
      <c r="Z31" s="10"/>
      <c r="AA31" s="10"/>
      <c r="AB31" s="126"/>
      <c r="AC31" s="126"/>
      <c r="AD31" s="126"/>
      <c r="AE31" s="126"/>
      <c r="AF31" s="126"/>
      <c r="AG31" s="126"/>
      <c r="AH31" s="126"/>
      <c r="AI31" s="126"/>
      <c r="AJ31" s="126"/>
      <c r="AK31" s="126"/>
      <c r="AL31" s="126"/>
      <c r="AM31" s="126"/>
      <c r="AN31" s="126"/>
      <c r="AO31" s="126"/>
      <c r="AP31" s="126"/>
      <c r="AQ31" s="126"/>
      <c r="AR31" s="126"/>
      <c r="AS31" s="12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c r="CH31" s="376"/>
      <c r="CI31" s="376"/>
      <c r="CJ31" s="376"/>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26"/>
      <c r="FL31" s="26"/>
      <c r="FM31" s="48"/>
      <c r="FN31" s="48"/>
      <c r="FO31" s="48"/>
      <c r="FP31" s="48"/>
      <c r="FQ31" s="48"/>
      <c r="FR31" s="48"/>
      <c r="FS31" s="48"/>
      <c r="FT31" s="48"/>
      <c r="FU31" s="47"/>
      <c r="FV31" s="47"/>
      <c r="FW31" s="47"/>
      <c r="FX31" s="47"/>
      <c r="FY31" s="47"/>
      <c r="FZ31" s="47"/>
      <c r="GA31" s="49"/>
      <c r="GB31" s="49"/>
      <c r="GC31" s="49"/>
      <c r="GD31" s="49"/>
      <c r="GE31" s="49" t="str">
        <f ca="1">IF(FO40=1,FR27*0.2,"")</f>
        <v/>
      </c>
      <c r="GF31" s="49" t="e">
        <f ca="1">(GE31-FR27)/-FQ27</f>
        <v>#VALUE!</v>
      </c>
      <c r="GG31" s="49"/>
      <c r="GH31" s="49"/>
      <c r="GI31" s="49"/>
      <c r="GJ31" s="49"/>
      <c r="GK31" s="49"/>
      <c r="GL31" s="49"/>
      <c r="GM31" s="49"/>
      <c r="GN31" s="49"/>
      <c r="GO31" s="49"/>
      <c r="GP31" s="49"/>
      <c r="GQ31" s="49"/>
      <c r="GR31" s="48"/>
      <c r="GS31" s="48"/>
      <c r="GT31" s="48"/>
      <c r="GU31" s="48"/>
      <c r="GV31" s="48"/>
      <c r="GW31" s="48"/>
      <c r="GX31" s="48"/>
      <c r="GY31" s="48"/>
      <c r="GZ31" s="48"/>
      <c r="HA31" s="48"/>
      <c r="HB31" s="48"/>
      <c r="HC31" s="48"/>
      <c r="HD31" s="48"/>
      <c r="HE31" s="48"/>
      <c r="HF31" s="13"/>
      <c r="HG31" s="13"/>
      <c r="HH31" s="13"/>
    </row>
    <row r="32" spans="1:216" ht="3.6" customHeight="1">
      <c r="A32" s="1"/>
      <c r="B32" s="3"/>
      <c r="C32" s="3"/>
      <c r="D32" s="12"/>
      <c r="E32" s="10"/>
      <c r="F32" s="10"/>
      <c r="G32" s="10"/>
      <c r="H32" s="10"/>
      <c r="I32" s="10"/>
      <c r="J32" s="10"/>
      <c r="K32" s="10"/>
      <c r="L32" s="10"/>
      <c r="M32" s="10"/>
      <c r="N32" s="10"/>
      <c r="O32" s="10"/>
      <c r="P32" s="10"/>
      <c r="Q32" s="10"/>
      <c r="R32" s="10"/>
      <c r="S32" s="10"/>
      <c r="T32" s="10"/>
      <c r="U32" s="10"/>
      <c r="V32" s="10"/>
      <c r="W32" s="10"/>
      <c r="X32" s="10"/>
      <c r="Y32" s="10"/>
      <c r="Z32" s="10"/>
      <c r="AA32" s="10"/>
      <c r="AB32" s="126"/>
      <c r="AC32" s="126"/>
      <c r="AD32" s="126"/>
      <c r="AE32" s="126"/>
      <c r="AF32" s="126"/>
      <c r="AG32" s="126"/>
      <c r="AH32" s="126"/>
      <c r="AI32" s="126"/>
      <c r="AJ32" s="126"/>
      <c r="AK32" s="126"/>
      <c r="AL32" s="126"/>
      <c r="AM32" s="126"/>
      <c r="AN32" s="126"/>
      <c r="AO32" s="126"/>
      <c r="AP32" s="126"/>
      <c r="AQ32" s="126"/>
      <c r="AR32" s="126"/>
      <c r="AS32" s="126"/>
      <c r="AT32" s="376"/>
      <c r="AU32" s="376"/>
      <c r="AV32" s="376"/>
      <c r="AW32" s="376"/>
      <c r="AX32" s="376"/>
      <c r="AY32" s="376"/>
      <c r="AZ32" s="376"/>
      <c r="BA32" s="376"/>
      <c r="BB32" s="376"/>
      <c r="BC32" s="544" t="str">
        <f ca="1">IF(FO21=0,"",".")</f>
        <v/>
      </c>
      <c r="BD32" s="545"/>
      <c r="BE32" s="545"/>
      <c r="BF32" s="545"/>
      <c r="BG32" s="545"/>
      <c r="BH32" s="545"/>
      <c r="BI32" s="545"/>
      <c r="BJ32" s="545"/>
      <c r="BK32" s="545"/>
      <c r="BL32" s="545"/>
      <c r="BM32" s="545"/>
      <c r="BN32" s="545"/>
      <c r="BO32" s="545"/>
      <c r="BP32" s="545"/>
      <c r="BQ32" s="545"/>
      <c r="BR32" s="545"/>
      <c r="BS32" s="545"/>
      <c r="BT32" s="376"/>
      <c r="BU32" s="376"/>
      <c r="BV32" s="376"/>
      <c r="BW32" s="376"/>
      <c r="BX32" s="376"/>
      <c r="BY32" s="376"/>
      <c r="BZ32" s="376"/>
      <c r="CA32" s="376"/>
      <c r="CB32" s="376"/>
      <c r="CC32" s="376"/>
      <c r="CD32" s="376"/>
      <c r="CE32" s="376"/>
      <c r="CF32" s="376"/>
      <c r="CG32" s="376"/>
      <c r="CH32" s="376"/>
      <c r="CI32" s="376"/>
      <c r="CJ32" s="376"/>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26"/>
      <c r="FL32" s="26"/>
      <c r="FM32" s="48"/>
      <c r="FN32" s="48"/>
      <c r="FO32" s="48"/>
      <c r="FP32" s="48"/>
      <c r="FQ32" s="48"/>
      <c r="FR32" s="48"/>
      <c r="FS32" s="48"/>
      <c r="FT32" s="48"/>
      <c r="FU32" s="47"/>
      <c r="FV32" s="47"/>
      <c r="FW32" s="47"/>
      <c r="FX32" s="47"/>
      <c r="FY32" s="47"/>
      <c r="FZ32" s="47"/>
      <c r="GA32" s="49"/>
      <c r="GB32" s="49"/>
      <c r="GC32" s="49"/>
      <c r="GD32" s="49"/>
      <c r="GE32" s="49" t="str">
        <f ca="1">IF(FO40=1,FR27*0.3,"")</f>
        <v/>
      </c>
      <c r="GF32" s="49" t="e">
        <f ca="1">(GE32-FR27)/-FQ27</f>
        <v>#VALUE!</v>
      </c>
      <c r="GG32" s="49"/>
      <c r="GH32" s="49"/>
      <c r="GI32" s="49"/>
      <c r="GJ32" s="49"/>
      <c r="GK32" s="49"/>
      <c r="GL32" s="49"/>
      <c r="GM32" s="49"/>
      <c r="GN32" s="49"/>
      <c r="GO32" s="49"/>
      <c r="GP32" s="49"/>
      <c r="GQ32" s="49"/>
      <c r="GR32" s="48"/>
      <c r="GS32" s="48"/>
      <c r="GT32" s="48"/>
      <c r="GU32" s="48"/>
      <c r="GV32" s="48"/>
      <c r="GW32" s="48"/>
      <c r="GX32" s="48"/>
      <c r="GY32" s="48"/>
      <c r="GZ32" s="48"/>
      <c r="HA32" s="48"/>
      <c r="HB32" s="48"/>
      <c r="HC32" s="48"/>
      <c r="HD32" s="48"/>
      <c r="HE32" s="48"/>
      <c r="HF32" s="13"/>
      <c r="HG32" s="13"/>
      <c r="HH32" s="13"/>
    </row>
    <row r="33" spans="1:216" ht="16.5" customHeight="1">
      <c r="A33" s="1"/>
      <c r="B33" s="476"/>
      <c r="C33" s="3"/>
      <c r="D33" s="43"/>
      <c r="E33" s="10"/>
      <c r="F33" s="10"/>
      <c r="G33" s="10"/>
      <c r="H33" s="10"/>
      <c r="I33" s="10"/>
      <c r="J33" s="10"/>
      <c r="K33" s="10"/>
      <c r="L33" s="10"/>
      <c r="M33" s="10"/>
      <c r="N33" s="10"/>
      <c r="O33" s="10"/>
      <c r="P33" s="10"/>
      <c r="Q33" s="10"/>
      <c r="R33" s="10"/>
      <c r="S33" s="10"/>
      <c r="T33" s="10"/>
      <c r="U33" s="10"/>
      <c r="V33" s="10"/>
      <c r="W33" s="10"/>
      <c r="X33" s="10"/>
      <c r="Y33" s="10"/>
      <c r="Z33" s="10"/>
      <c r="AA33" s="10"/>
      <c r="AB33" s="126"/>
      <c r="AC33" s="126"/>
      <c r="AD33" s="126"/>
      <c r="AE33" s="126"/>
      <c r="AF33" s="126"/>
      <c r="AG33" s="126"/>
      <c r="AH33" s="126"/>
      <c r="AI33" s="126"/>
      <c r="AJ33" s="126"/>
      <c r="AK33" s="126"/>
      <c r="AL33" s="126"/>
      <c r="AM33" s="126"/>
      <c r="AN33" s="126"/>
      <c r="AO33" s="126"/>
      <c r="AP33" s="126"/>
      <c r="AQ33" s="126"/>
      <c r="AR33" s="126"/>
      <c r="AS33" s="126"/>
      <c r="AT33" s="376"/>
      <c r="AU33" s="376"/>
      <c r="AV33" s="376"/>
      <c r="AW33" s="376"/>
      <c r="AX33" s="376"/>
      <c r="AY33" s="376"/>
      <c r="AZ33" s="376"/>
      <c r="BA33" s="184" t="str">
        <f ca="1">IF(FO21=0,"","De prijs is dan:")</f>
        <v/>
      </c>
      <c r="BB33" s="376"/>
      <c r="BC33" s="366" t="str">
        <f ca="1">IF(FO21=0,"",".")</f>
        <v/>
      </c>
      <c r="BD33" s="618"/>
      <c r="BE33" s="619"/>
      <c r="BF33" s="619"/>
      <c r="BG33" s="619"/>
      <c r="BH33" s="619"/>
      <c r="BI33" s="619"/>
      <c r="BJ33" s="619"/>
      <c r="BK33" s="619"/>
      <c r="BL33" s="619"/>
      <c r="BM33" s="619"/>
      <c r="BN33" s="619"/>
      <c r="BO33" s="619"/>
      <c r="BP33" s="619"/>
      <c r="BQ33" s="619"/>
      <c r="BR33" s="619"/>
      <c r="BS33" s="366" t="str">
        <f ca="1">IF(FO21=0,"",".")</f>
        <v/>
      </c>
      <c r="BT33" s="376"/>
      <c r="BU33" s="91" t="str">
        <f ca="1">IF(FO21=0,"",IF(BD33="","",IF(AND(programma!$A$301="uitwerking",$B33="X"),FM33,IF(FO33=1,"Goed!","Fout! Je moet voor ''q'' "&amp;FQ29&amp;" invullen."))))</f>
        <v/>
      </c>
      <c r="BV33" s="91"/>
      <c r="BW33" s="91"/>
      <c r="BX33" s="91"/>
      <c r="BY33" s="91"/>
      <c r="BZ33" s="91"/>
      <c r="CA33" s="91"/>
      <c r="CB33" s="91"/>
      <c r="CC33" s="91"/>
      <c r="CD33" s="91"/>
      <c r="CE33" s="91"/>
      <c r="CF33" s="91"/>
      <c r="CG33" s="91"/>
      <c r="CH33" s="91"/>
      <c r="CI33" s="376"/>
      <c r="CJ33" s="376"/>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26"/>
      <c r="FL33" s="26"/>
      <c r="FM33" s="477" t="str">
        <f ca="1">""&amp;-FQ27&amp;" x "&amp;FQ29&amp;" + "&amp;FR27&amp;" = € "&amp;FS33</f>
        <v>-2 x 470 + 1600 = € 660</v>
      </c>
      <c r="FN33" s="48"/>
      <c r="FO33" s="79">
        <f ca="1">IF(programma!B1="X",1,IF(FO21=0,0,IF(BD33=FP33,1,0)))</f>
        <v>0</v>
      </c>
      <c r="FP33" s="93">
        <f ca="1">IF(FO1=0,"",FR27-FQ27*FQ29)</f>
        <v>660</v>
      </c>
      <c r="FQ33" s="93">
        <f ca="1">FLOOR(FP33,1)</f>
        <v>660</v>
      </c>
      <c r="FR33" s="93">
        <f ca="1">ROUND(100*(FP33-FQ33),2)</f>
        <v>0</v>
      </c>
      <c r="FS33" s="93">
        <f ca="1">IF(FR33&lt;10,FP33,FQ33&amp;","&amp;FR33&amp;"")</f>
        <v>660</v>
      </c>
      <c r="FT33" s="48"/>
      <c r="FU33" s="47"/>
      <c r="FV33" s="47"/>
      <c r="FW33" s="47"/>
      <c r="FX33" s="47"/>
      <c r="FY33" s="47"/>
      <c r="FZ33" s="47"/>
      <c r="GA33" s="49"/>
      <c r="GB33" s="49"/>
      <c r="GC33" s="49"/>
      <c r="GD33" s="49"/>
      <c r="GE33" s="49" t="str">
        <f ca="1">IF(FO40=1,FR27*0.4,"")</f>
        <v/>
      </c>
      <c r="GF33" s="49" t="e">
        <f ca="1">(GE33-FR27)/-FQ27</f>
        <v>#VALUE!</v>
      </c>
      <c r="GG33" s="49"/>
      <c r="GH33" s="49"/>
      <c r="GI33" s="49"/>
      <c r="GJ33" s="49"/>
      <c r="GK33" s="49"/>
      <c r="GL33" s="49"/>
      <c r="GM33" s="49"/>
      <c r="GN33" s="49"/>
      <c r="GO33" s="49"/>
      <c r="GP33" s="49"/>
      <c r="GQ33" s="49"/>
      <c r="GR33" s="48"/>
      <c r="GS33" s="48"/>
      <c r="GT33" s="48"/>
      <c r="GU33" s="48"/>
      <c r="GV33" s="48"/>
      <c r="GW33" s="48"/>
      <c r="GX33" s="48"/>
      <c r="GY33" s="48"/>
      <c r="GZ33" s="48"/>
      <c r="HA33" s="48"/>
      <c r="HB33" s="48"/>
      <c r="HC33" s="48"/>
      <c r="HD33" s="48"/>
      <c r="HE33" s="48"/>
      <c r="HF33" s="13"/>
      <c r="HG33" s="13"/>
      <c r="HH33" s="13"/>
    </row>
    <row r="34" spans="1:216" ht="3.6" customHeight="1">
      <c r="A34" s="1"/>
      <c r="B34" s="3"/>
      <c r="C34" s="3"/>
      <c r="D34" s="12"/>
      <c r="E34" s="10"/>
      <c r="F34" s="10"/>
      <c r="G34" s="10"/>
      <c r="H34" s="10"/>
      <c r="I34" s="10"/>
      <c r="J34" s="10"/>
      <c r="K34" s="10"/>
      <c r="L34" s="10"/>
      <c r="M34" s="10"/>
      <c r="N34" s="10"/>
      <c r="O34" s="10"/>
      <c r="P34" s="10"/>
      <c r="Q34" s="10"/>
      <c r="R34" s="10"/>
      <c r="S34" s="10"/>
      <c r="T34" s="10"/>
      <c r="U34" s="10"/>
      <c r="V34" s="10"/>
      <c r="W34" s="10"/>
      <c r="X34" s="10"/>
      <c r="Y34" s="10"/>
      <c r="Z34" s="10"/>
      <c r="AA34" s="10"/>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544" t="str">
        <f ca="1">IF(FO21=0,"",".")</f>
        <v/>
      </c>
      <c r="BD34" s="545"/>
      <c r="BE34" s="545"/>
      <c r="BF34" s="545"/>
      <c r="BG34" s="545"/>
      <c r="BH34" s="545"/>
      <c r="BI34" s="545"/>
      <c r="BJ34" s="545"/>
      <c r="BK34" s="545"/>
      <c r="BL34" s="545"/>
      <c r="BM34" s="545"/>
      <c r="BN34" s="545"/>
      <c r="BO34" s="545"/>
      <c r="BP34" s="545"/>
      <c r="BQ34" s="545"/>
      <c r="BR34" s="545"/>
      <c r="BS34" s="545"/>
      <c r="BT34" s="376"/>
      <c r="BU34" s="376"/>
      <c r="BV34" s="376"/>
      <c r="BW34" s="376"/>
      <c r="BX34" s="376"/>
      <c r="BY34" s="376"/>
      <c r="BZ34" s="376"/>
      <c r="CA34" s="376"/>
      <c r="CB34" s="376"/>
      <c r="CC34" s="376"/>
      <c r="CD34" s="376"/>
      <c r="CE34" s="376"/>
      <c r="CF34" s="376"/>
      <c r="CG34" s="376"/>
      <c r="CH34" s="376"/>
      <c r="CI34" s="376"/>
      <c r="CJ34" s="376"/>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26"/>
      <c r="FL34" s="26"/>
      <c r="FM34" s="48"/>
      <c r="FN34" s="48"/>
      <c r="FO34" s="48"/>
      <c r="FP34" s="48"/>
      <c r="FQ34" s="48"/>
      <c r="FR34" s="48"/>
      <c r="FS34" s="48"/>
      <c r="FT34" s="48"/>
      <c r="FU34" s="47"/>
      <c r="FV34" s="47"/>
      <c r="FW34" s="47"/>
      <c r="FX34" s="47"/>
      <c r="FY34" s="47"/>
      <c r="FZ34" s="47"/>
      <c r="GA34" s="49"/>
      <c r="GB34" s="49"/>
      <c r="GC34" s="49"/>
      <c r="GD34" s="49"/>
      <c r="GE34" s="49" t="str">
        <f ca="1">IF(FO40=1,FR27*0.5,"")</f>
        <v/>
      </c>
      <c r="GF34" s="49" t="e">
        <f ca="1">(GE34-FR27)/-FQ27</f>
        <v>#VALUE!</v>
      </c>
      <c r="GG34" s="49"/>
      <c r="GH34" s="49"/>
      <c r="GI34" s="49"/>
      <c r="GJ34" s="49"/>
      <c r="GK34" s="49"/>
      <c r="GL34" s="49"/>
      <c r="GM34" s="49"/>
      <c r="GN34" s="49"/>
      <c r="GO34" s="49"/>
      <c r="GP34" s="49"/>
      <c r="GQ34" s="49"/>
      <c r="GR34" s="48"/>
      <c r="GS34" s="48"/>
      <c r="GT34" s="48"/>
      <c r="GU34" s="48"/>
      <c r="GV34" s="48"/>
      <c r="GW34" s="48"/>
      <c r="GX34" s="48"/>
      <c r="GY34" s="48"/>
      <c r="GZ34" s="48"/>
      <c r="HA34" s="48"/>
      <c r="HB34" s="48"/>
      <c r="HC34" s="48"/>
      <c r="HD34" s="48"/>
      <c r="HE34" s="48"/>
      <c r="HF34" s="13"/>
      <c r="HG34" s="13"/>
      <c r="HH34" s="13"/>
    </row>
    <row r="35" spans="1:216" ht="12.75" customHeight="1">
      <c r="A35" s="1"/>
      <c r="B35" s="3"/>
      <c r="C35" s="3"/>
      <c r="D35" s="12"/>
      <c r="E35" s="10"/>
      <c r="F35" s="10"/>
      <c r="G35" s="10"/>
      <c r="H35" s="10"/>
      <c r="I35" s="10"/>
      <c r="J35" s="10"/>
      <c r="K35" s="10"/>
      <c r="L35" s="10"/>
      <c r="M35" s="10"/>
      <c r="N35" s="10"/>
      <c r="O35" s="10"/>
      <c r="P35" s="10"/>
      <c r="Q35" s="10"/>
      <c r="R35" s="10"/>
      <c r="S35" s="10"/>
      <c r="T35" s="10"/>
      <c r="U35" s="10"/>
      <c r="V35" s="10"/>
      <c r="W35" s="10"/>
      <c r="X35" s="10"/>
      <c r="Y35" s="10"/>
      <c r="Z35" s="10"/>
      <c r="AA35" s="10"/>
      <c r="AB35" s="126"/>
      <c r="AC35" s="126"/>
      <c r="AD35" s="126"/>
      <c r="AE35" s="126"/>
      <c r="AF35" s="126"/>
      <c r="AG35" s="126"/>
      <c r="AH35" s="126"/>
      <c r="AI35" s="126"/>
      <c r="AJ35" s="126"/>
      <c r="AK35" s="126"/>
      <c r="AL35" s="126"/>
      <c r="AM35" s="126"/>
      <c r="AN35" s="126"/>
      <c r="AO35" s="126"/>
      <c r="AP35" s="126"/>
      <c r="AQ35" s="126"/>
      <c r="AR35" s="126"/>
      <c r="AS35" s="126"/>
      <c r="AT35" s="376"/>
      <c r="AU35" s="376"/>
      <c r="AV35" s="376"/>
      <c r="AW35" s="376"/>
      <c r="AX35" s="376"/>
      <c r="AY35" s="376"/>
      <c r="AZ35" s="376"/>
      <c r="BA35" s="376"/>
      <c r="BB35" s="376"/>
      <c r="BC35" s="366"/>
      <c r="BD35" s="367"/>
      <c r="BE35" s="367"/>
      <c r="BF35" s="367"/>
      <c r="BG35" s="367"/>
      <c r="BH35" s="367"/>
      <c r="BI35" s="367"/>
      <c r="BJ35" s="367"/>
      <c r="BK35" s="367"/>
      <c r="BL35" s="367"/>
      <c r="BM35" s="367"/>
      <c r="BN35" s="367"/>
      <c r="BO35" s="367"/>
      <c r="BP35" s="367"/>
      <c r="BQ35" s="367"/>
      <c r="BR35" s="367"/>
      <c r="BS35" s="367"/>
      <c r="BT35" s="376"/>
      <c r="BU35" s="376"/>
      <c r="BV35" s="376"/>
      <c r="BW35" s="376"/>
      <c r="BX35" s="376"/>
      <c r="BY35" s="376"/>
      <c r="BZ35" s="376"/>
      <c r="CA35" s="376"/>
      <c r="CB35" s="376"/>
      <c r="CC35" s="376"/>
      <c r="CD35" s="376"/>
      <c r="CE35" s="376"/>
      <c r="CF35" s="376"/>
      <c r="CG35" s="376"/>
      <c r="CH35" s="376"/>
      <c r="CI35" s="376"/>
      <c r="CJ35" s="376"/>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26"/>
      <c r="FL35" s="26"/>
      <c r="FM35" s="48"/>
      <c r="FN35" s="48"/>
      <c r="FO35" s="48"/>
      <c r="FP35" s="48"/>
      <c r="FQ35" s="48"/>
      <c r="FR35" s="48"/>
      <c r="FS35" s="48"/>
      <c r="FT35" s="48"/>
      <c r="FU35" s="47"/>
      <c r="FV35" s="47"/>
      <c r="FW35" s="47"/>
      <c r="FX35" s="47"/>
      <c r="FY35" s="47"/>
      <c r="FZ35" s="47"/>
      <c r="GA35" s="49"/>
      <c r="GB35" s="49"/>
      <c r="GC35" s="49"/>
      <c r="GD35" s="49"/>
      <c r="GE35" s="49" t="str">
        <f ca="1">IF(FO40=1,FR27*0.6,"")</f>
        <v/>
      </c>
      <c r="GF35" s="49" t="e">
        <f ca="1">(GE35-FR27)/-FQ27</f>
        <v>#VALUE!</v>
      </c>
      <c r="GG35" s="49"/>
      <c r="GH35" s="49"/>
      <c r="GI35" s="49"/>
      <c r="GJ35" s="49"/>
      <c r="GK35" s="49"/>
      <c r="GL35" s="49"/>
      <c r="GM35" s="49"/>
      <c r="GN35" s="49"/>
      <c r="GO35" s="49"/>
      <c r="GP35" s="49"/>
      <c r="GQ35" s="49"/>
      <c r="GR35" s="48"/>
      <c r="GS35" s="48"/>
      <c r="GT35" s="48"/>
      <c r="GU35" s="48"/>
      <c r="GV35" s="48"/>
      <c r="GW35" s="48"/>
      <c r="GX35" s="48"/>
      <c r="GY35" s="48"/>
      <c r="GZ35" s="48"/>
      <c r="HA35" s="48"/>
      <c r="HB35" s="48"/>
      <c r="HC35" s="48"/>
      <c r="HD35" s="48"/>
      <c r="HE35" s="48"/>
      <c r="HF35" s="13"/>
      <c r="HG35" s="13"/>
      <c r="HH35" s="13"/>
    </row>
    <row r="36" spans="1:216" ht="16.5" customHeight="1">
      <c r="A36" s="1"/>
      <c r="B36" s="3"/>
      <c r="C36" s="3"/>
      <c r="D36" s="12" t="str">
        <f ca="1">IF(FO33=0,"","Bereken welke hoeveelheid de aanbieder kan verkopen als hij een prijs")</f>
        <v/>
      </c>
      <c r="E36" s="10"/>
      <c r="F36" s="10"/>
      <c r="G36" s="10"/>
      <c r="H36" s="10"/>
      <c r="I36" s="10"/>
      <c r="J36" s="10"/>
      <c r="K36" s="10"/>
      <c r="L36" s="10"/>
      <c r="M36" s="10"/>
      <c r="N36" s="10"/>
      <c r="O36" s="10"/>
      <c r="P36" s="10"/>
      <c r="Q36" s="10"/>
      <c r="R36" s="10"/>
      <c r="S36" s="10"/>
      <c r="T36" s="10"/>
      <c r="U36" s="10"/>
      <c r="V36" s="10"/>
      <c r="W36" s="10"/>
      <c r="X36" s="10"/>
      <c r="Y36" s="10"/>
      <c r="Z36" s="10"/>
      <c r="AA36" s="10"/>
      <c r="AB36" s="126"/>
      <c r="AC36" s="126"/>
      <c r="AD36" s="126"/>
      <c r="AE36" s="126"/>
      <c r="AF36" s="126"/>
      <c r="AG36" s="126"/>
      <c r="AH36" s="126"/>
      <c r="AI36" s="126"/>
      <c r="AJ36" s="126"/>
      <c r="AK36" s="126"/>
      <c r="AL36" s="126"/>
      <c r="AM36" s="126"/>
      <c r="AN36" s="126"/>
      <c r="AO36" s="126"/>
      <c r="AP36" s="126"/>
      <c r="AQ36" s="126"/>
      <c r="AR36" s="126"/>
      <c r="AS36" s="12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c r="CH36" s="376"/>
      <c r="CI36" s="376"/>
      <c r="CJ36" s="376"/>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26"/>
      <c r="FL36" s="26"/>
      <c r="FM36" s="47"/>
      <c r="FN36" s="47"/>
      <c r="FO36" s="47"/>
      <c r="FP36" s="79"/>
      <c r="FQ36" s="93">
        <f ca="1">FR27-FP40*FQ27</f>
        <v>640</v>
      </c>
      <c r="FR36" s="93">
        <f ca="1">FLOOR(FQ36,1)</f>
        <v>640</v>
      </c>
      <c r="FS36" s="93">
        <f ca="1">ROUND(100*(FQ36-FR36),2)</f>
        <v>0</v>
      </c>
      <c r="FT36" s="93">
        <f ca="1">IF(FS36&lt;10,FQ36,FR36&amp;","&amp;FS36&amp;"")</f>
        <v>640</v>
      </c>
      <c r="FU36" s="47"/>
      <c r="FV36" s="47"/>
      <c r="FW36" s="47"/>
      <c r="FX36" s="47"/>
      <c r="FY36" s="47"/>
      <c r="FZ36" s="47"/>
      <c r="GA36" s="49"/>
      <c r="GB36" s="49"/>
      <c r="GC36" s="49"/>
      <c r="GD36" s="49"/>
      <c r="GE36" s="49" t="str">
        <f ca="1">IF(FO40=1,FR27*0.7,"")</f>
        <v/>
      </c>
      <c r="GF36" s="49" t="e">
        <f ca="1">(GE36-FR27)/-FQ27</f>
        <v>#VALUE!</v>
      </c>
      <c r="GG36" s="49"/>
      <c r="GH36" s="49"/>
      <c r="GI36" s="49"/>
      <c r="GJ36" s="49"/>
      <c r="GK36" s="49"/>
      <c r="GL36" s="49"/>
      <c r="GM36" s="49"/>
      <c r="GN36" s="49"/>
      <c r="GO36" s="49"/>
      <c r="GP36" s="49"/>
      <c r="GQ36" s="49"/>
      <c r="GR36" s="48"/>
      <c r="GS36" s="48"/>
      <c r="GT36" s="48"/>
      <c r="GU36" s="48"/>
      <c r="GV36" s="48"/>
      <c r="GW36" s="48"/>
      <c r="GX36" s="48"/>
      <c r="GY36" s="48"/>
      <c r="GZ36" s="48"/>
      <c r="HA36" s="48"/>
      <c r="HB36" s="48"/>
      <c r="HC36" s="48"/>
      <c r="HD36" s="48"/>
      <c r="HE36" s="48"/>
      <c r="HF36" s="13"/>
      <c r="HG36" s="13"/>
      <c r="HH36" s="13"/>
    </row>
    <row r="37" spans="1:216" ht="16.5" customHeight="1">
      <c r="A37" s="1"/>
      <c r="B37" s="3"/>
      <c r="C37" s="3"/>
      <c r="D37" s="12" t="str">
        <f ca="1">IF(FO33=0,"","van € "&amp;FT36&amp;" vraagt.")</f>
        <v/>
      </c>
      <c r="E37" s="10"/>
      <c r="F37" s="10"/>
      <c r="G37" s="10"/>
      <c r="H37" s="10"/>
      <c r="I37" s="10"/>
      <c r="J37" s="10"/>
      <c r="K37" s="10"/>
      <c r="L37" s="10"/>
      <c r="M37" s="10"/>
      <c r="N37" s="10"/>
      <c r="O37" s="10"/>
      <c r="P37" s="10"/>
      <c r="Q37" s="10"/>
      <c r="R37" s="10"/>
      <c r="S37" s="10"/>
      <c r="T37" s="10"/>
      <c r="U37" s="10"/>
      <c r="V37" s="10"/>
      <c r="W37" s="10"/>
      <c r="X37" s="10"/>
      <c r="Y37" s="10"/>
      <c r="Z37" s="10"/>
      <c r="AA37" s="10"/>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c r="CH37" s="376"/>
      <c r="CI37" s="376"/>
      <c r="CJ37" s="376"/>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26"/>
      <c r="FL37" s="26"/>
      <c r="FM37" s="47"/>
      <c r="FN37" s="47"/>
      <c r="FO37" s="47"/>
      <c r="FP37" s="79"/>
      <c r="FQ37" s="93"/>
      <c r="FR37" s="93"/>
      <c r="FS37" s="93"/>
      <c r="FT37" s="93"/>
      <c r="FU37" s="47"/>
      <c r="FV37" s="47"/>
      <c r="FW37" s="47"/>
      <c r="FX37" s="47"/>
      <c r="FY37" s="47"/>
      <c r="FZ37" s="47"/>
      <c r="GA37" s="49"/>
      <c r="GB37" s="49"/>
      <c r="GC37" s="49"/>
      <c r="GD37" s="49"/>
      <c r="GE37" s="49"/>
      <c r="GF37" s="49"/>
      <c r="GG37" s="49"/>
      <c r="GH37" s="49"/>
      <c r="GI37" s="49"/>
      <c r="GJ37" s="49"/>
      <c r="GK37" s="49"/>
      <c r="GL37" s="49"/>
      <c r="GM37" s="49"/>
      <c r="GN37" s="49"/>
      <c r="GO37" s="49"/>
      <c r="GP37" s="49"/>
      <c r="GQ37" s="49"/>
      <c r="GR37" s="48"/>
      <c r="GS37" s="48"/>
      <c r="GT37" s="48"/>
      <c r="GU37" s="48"/>
      <c r="GV37" s="48"/>
      <c r="GW37" s="48"/>
      <c r="GX37" s="48"/>
      <c r="GY37" s="48"/>
      <c r="GZ37" s="48"/>
      <c r="HA37" s="48"/>
      <c r="HB37" s="48"/>
      <c r="HC37" s="48"/>
      <c r="HD37" s="48"/>
      <c r="HE37" s="48"/>
      <c r="HF37" s="13"/>
      <c r="HG37" s="13"/>
      <c r="HH37" s="13"/>
    </row>
    <row r="38" spans="1:216" ht="8.25" customHeight="1">
      <c r="A38" s="1"/>
      <c r="B38" s="3"/>
      <c r="C38" s="3"/>
      <c r="D38" s="12"/>
      <c r="E38" s="10"/>
      <c r="F38" s="10"/>
      <c r="G38" s="10"/>
      <c r="H38" s="10"/>
      <c r="I38" s="10"/>
      <c r="J38" s="10"/>
      <c r="K38" s="10"/>
      <c r="L38" s="10"/>
      <c r="M38" s="10"/>
      <c r="N38" s="10"/>
      <c r="O38" s="10"/>
      <c r="P38" s="10"/>
      <c r="Q38" s="10"/>
      <c r="R38" s="10"/>
      <c r="S38" s="10"/>
      <c r="T38" s="10"/>
      <c r="U38" s="10"/>
      <c r="V38" s="10"/>
      <c r="W38" s="10"/>
      <c r="X38" s="10"/>
      <c r="Y38" s="10"/>
      <c r="Z38" s="10"/>
      <c r="AA38" s="10"/>
      <c r="AB38" s="126"/>
      <c r="AC38" s="126"/>
      <c r="AD38" s="126"/>
      <c r="AE38" s="126"/>
      <c r="AF38" s="126"/>
      <c r="AG38" s="126"/>
      <c r="AH38" s="126"/>
      <c r="AI38" s="126"/>
      <c r="AJ38" s="126"/>
      <c r="AK38" s="126"/>
      <c r="AL38" s="126"/>
      <c r="AM38" s="126"/>
      <c r="AN38" s="126"/>
      <c r="AO38" s="126"/>
      <c r="AP38" s="126"/>
      <c r="AQ38" s="126"/>
      <c r="AR38" s="126"/>
      <c r="AS38" s="12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c r="CH38" s="376"/>
      <c r="CI38" s="376"/>
      <c r="CJ38" s="376"/>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26"/>
      <c r="FL38" s="26"/>
      <c r="FM38" s="48"/>
      <c r="FN38" s="48"/>
      <c r="FO38" s="48"/>
      <c r="FP38" s="48"/>
      <c r="FQ38" s="48"/>
      <c r="FR38" s="48"/>
      <c r="FS38" s="48"/>
      <c r="FT38" s="48"/>
      <c r="FU38" s="47"/>
      <c r="FV38" s="47"/>
      <c r="FW38" s="47"/>
      <c r="FX38" s="47"/>
      <c r="FY38" s="49"/>
      <c r="FZ38" s="47"/>
      <c r="GA38" s="49"/>
      <c r="GB38" s="49"/>
      <c r="GC38" s="49"/>
      <c r="GD38" s="49"/>
      <c r="GE38" s="49" t="str">
        <f ca="1">IF(FO40=1,FR27*0.8,"")</f>
        <v/>
      </c>
      <c r="GF38" s="49" t="e">
        <f ca="1">(GE38-FR27)/-FQ27</f>
        <v>#VALUE!</v>
      </c>
      <c r="GG38" s="49"/>
      <c r="GH38" s="49"/>
      <c r="GI38" s="49"/>
      <c r="GJ38" s="49"/>
      <c r="GK38" s="49"/>
      <c r="GL38" s="49"/>
      <c r="GM38" s="49"/>
      <c r="GN38" s="49"/>
      <c r="GO38" s="49"/>
      <c r="GP38" s="49"/>
      <c r="GQ38" s="49"/>
      <c r="GR38" s="48"/>
      <c r="GS38" s="48"/>
      <c r="GT38" s="48"/>
      <c r="GU38" s="48"/>
      <c r="GV38" s="48"/>
      <c r="GW38" s="48"/>
      <c r="GX38" s="48"/>
      <c r="GY38" s="48"/>
      <c r="GZ38" s="48"/>
      <c r="HA38" s="48"/>
      <c r="HB38" s="48"/>
      <c r="HC38" s="48"/>
      <c r="HD38" s="48"/>
      <c r="HE38" s="48"/>
      <c r="HF38" s="13"/>
      <c r="HG38" s="13"/>
      <c r="HH38" s="13"/>
    </row>
    <row r="39" spans="1:216" ht="3.6" customHeight="1">
      <c r="A39" s="1"/>
      <c r="B39" s="3"/>
      <c r="C39" s="3"/>
      <c r="D39" s="12"/>
      <c r="E39" s="10"/>
      <c r="F39" s="10"/>
      <c r="G39" s="10"/>
      <c r="H39" s="10"/>
      <c r="I39" s="10"/>
      <c r="J39" s="10"/>
      <c r="K39" s="10"/>
      <c r="L39" s="10"/>
      <c r="M39" s="10"/>
      <c r="N39" s="10"/>
      <c r="O39" s="10"/>
      <c r="P39" s="10"/>
      <c r="Q39" s="10"/>
      <c r="R39" s="10"/>
      <c r="S39" s="10"/>
      <c r="T39" s="10"/>
      <c r="U39" s="10"/>
      <c r="V39" s="10"/>
      <c r="W39" s="10"/>
      <c r="X39" s="10"/>
      <c r="Y39" s="10"/>
      <c r="Z39" s="10"/>
      <c r="AA39" s="10"/>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544" t="str">
        <f ca="1">IF(FO33=0,"",".")</f>
        <v/>
      </c>
      <c r="BD39" s="545"/>
      <c r="BE39" s="545"/>
      <c r="BF39" s="545"/>
      <c r="BG39" s="545"/>
      <c r="BH39" s="545"/>
      <c r="BI39" s="545"/>
      <c r="BJ39" s="545"/>
      <c r="BK39" s="545"/>
      <c r="BL39" s="545"/>
      <c r="BM39" s="545"/>
      <c r="BN39" s="545"/>
      <c r="BO39" s="545"/>
      <c r="BP39" s="545"/>
      <c r="BQ39" s="545"/>
      <c r="BR39" s="545"/>
      <c r="BS39" s="545"/>
      <c r="BT39" s="376"/>
      <c r="BU39" s="376"/>
      <c r="BV39" s="376"/>
      <c r="BW39" s="376"/>
      <c r="BX39" s="376"/>
      <c r="BY39" s="376"/>
      <c r="BZ39" s="376"/>
      <c r="CA39" s="376"/>
      <c r="CB39" s="376"/>
      <c r="CC39" s="376"/>
      <c r="CD39" s="376"/>
      <c r="CE39" s="376"/>
      <c r="CF39" s="376"/>
      <c r="CG39" s="376"/>
      <c r="CH39" s="376"/>
      <c r="CI39" s="376"/>
      <c r="CJ39" s="376"/>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26"/>
      <c r="FL39" s="26"/>
      <c r="FM39" s="48"/>
      <c r="FN39" s="48"/>
      <c r="FO39" s="48"/>
      <c r="FP39" s="48"/>
      <c r="FQ39" s="48"/>
      <c r="FR39" s="48"/>
      <c r="FS39" s="48"/>
      <c r="FT39" s="48"/>
      <c r="FU39" s="47"/>
      <c r="FV39" s="47"/>
      <c r="FW39" s="47"/>
      <c r="FX39" s="47"/>
      <c r="FY39" s="49"/>
      <c r="FZ39" s="47"/>
      <c r="GA39" s="49"/>
      <c r="GB39" s="49"/>
      <c r="GC39" s="49"/>
      <c r="GD39" s="49"/>
      <c r="GE39" s="49" t="str">
        <f ca="1">IF(FO40=1,FR27*0.9,"")</f>
        <v/>
      </c>
      <c r="GF39" s="49" t="e">
        <f ca="1">(GE39-FR27)/-FQ27</f>
        <v>#VALUE!</v>
      </c>
      <c r="GG39" s="49"/>
      <c r="GH39" s="49"/>
      <c r="GI39" s="49"/>
      <c r="GJ39" s="49"/>
      <c r="GK39" s="49"/>
      <c r="GL39" s="49"/>
      <c r="GM39" s="49"/>
      <c r="GN39" s="49"/>
      <c r="GO39" s="49"/>
      <c r="GP39" s="49"/>
      <c r="GQ39" s="49"/>
      <c r="GR39" s="48"/>
      <c r="GS39" s="48"/>
      <c r="GT39" s="48"/>
      <c r="GU39" s="48"/>
      <c r="GV39" s="48"/>
      <c r="GW39" s="48"/>
      <c r="GX39" s="48"/>
      <c r="GY39" s="48"/>
      <c r="GZ39" s="48"/>
      <c r="HA39" s="48"/>
      <c r="HB39" s="48"/>
      <c r="HC39" s="48"/>
      <c r="HD39" s="48"/>
      <c r="HE39" s="48"/>
      <c r="HF39" s="13"/>
      <c r="HG39" s="13"/>
      <c r="HH39" s="13"/>
    </row>
    <row r="40" spans="1:216" ht="16.5" customHeight="1">
      <c r="A40" s="1"/>
      <c r="B40" s="476"/>
      <c r="C40" s="3"/>
      <c r="D40" s="43"/>
      <c r="E40" s="10"/>
      <c r="F40" s="10"/>
      <c r="G40" s="10"/>
      <c r="H40" s="10"/>
      <c r="I40" s="10"/>
      <c r="J40" s="10"/>
      <c r="K40" s="10"/>
      <c r="L40" s="10"/>
      <c r="M40" s="10"/>
      <c r="N40" s="10"/>
      <c r="O40" s="10"/>
      <c r="P40" s="10"/>
      <c r="Q40" s="10"/>
      <c r="R40" s="10"/>
      <c r="S40" s="10"/>
      <c r="T40" s="10"/>
      <c r="U40" s="10"/>
      <c r="V40" s="10"/>
      <c r="W40" s="10"/>
      <c r="X40" s="10"/>
      <c r="Y40" s="10"/>
      <c r="Z40" s="10"/>
      <c r="AA40" s="10"/>
      <c r="AB40" s="126"/>
      <c r="AC40" s="126"/>
      <c r="AD40" s="126"/>
      <c r="AE40" s="126"/>
      <c r="AF40" s="126"/>
      <c r="AG40" s="126"/>
      <c r="AH40" s="126"/>
      <c r="AI40" s="126"/>
      <c r="AJ40" s="126"/>
      <c r="AK40" s="126"/>
      <c r="AL40" s="126"/>
      <c r="AM40" s="126"/>
      <c r="AN40" s="126"/>
      <c r="AO40" s="126"/>
      <c r="AP40" s="126"/>
      <c r="AQ40" s="126"/>
      <c r="AR40" s="126"/>
      <c r="AS40" s="126"/>
      <c r="AT40" s="376"/>
      <c r="AU40" s="376"/>
      <c r="AV40" s="376"/>
      <c r="AW40" s="376"/>
      <c r="AX40" s="376"/>
      <c r="AY40" s="376"/>
      <c r="AZ40" s="376"/>
      <c r="BA40" s="184" t="str">
        <f ca="1">IF(FO33=0,"","De hoeveelheid is dan:")</f>
        <v/>
      </c>
      <c r="BB40" s="376"/>
      <c r="BC40" s="366" t="str">
        <f ca="1">IF(FO33=0,"",".")</f>
        <v/>
      </c>
      <c r="BD40" s="543"/>
      <c r="BE40" s="615"/>
      <c r="BF40" s="615"/>
      <c r="BG40" s="615"/>
      <c r="BH40" s="615"/>
      <c r="BI40" s="615"/>
      <c r="BJ40" s="615"/>
      <c r="BK40" s="615"/>
      <c r="BL40" s="615"/>
      <c r="BM40" s="615"/>
      <c r="BN40" s="615"/>
      <c r="BO40" s="615"/>
      <c r="BP40" s="615"/>
      <c r="BQ40" s="615"/>
      <c r="BR40" s="615"/>
      <c r="BS40" s="366" t="str">
        <f ca="1">IF(FO33=0,"",".")</f>
        <v/>
      </c>
      <c r="BT40" s="376"/>
      <c r="BU40" s="91" t="str">
        <f>IF(BD40="","",IF(AND(programma!$A$301="uitwerking",$B40="X"),FM40,IF(FO40=1,"Goed!","Fout! Je moet voor ''p'' "&amp;FP40&amp;" invullen.")))</f>
        <v/>
      </c>
      <c r="BV40" s="91"/>
      <c r="BW40" s="91"/>
      <c r="BX40" s="91"/>
      <c r="BY40" s="91"/>
      <c r="BZ40" s="91"/>
      <c r="CA40" s="91"/>
      <c r="CB40" s="91"/>
      <c r="CC40" s="91"/>
      <c r="CD40" s="91"/>
      <c r="CE40" s="91"/>
      <c r="CF40" s="91"/>
      <c r="CG40" s="91"/>
      <c r="CH40" s="91"/>
      <c r="CI40" s="376"/>
      <c r="CJ40" s="376"/>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26"/>
      <c r="FL40" s="26"/>
      <c r="FM40" s="477" t="str">
        <f ca="1">""&amp;-FQ27&amp;" x ... + "&amp;FR27&amp;" = € "&amp;FT36&amp;" en ("&amp;FT36&amp;" - "&amp;FR27&amp;") / "&amp;-FQ27&amp;" = "&amp;FR40</f>
        <v>-2 x ... + 1600 = € 640 en (640 - 1600) / -2 = 480</v>
      </c>
      <c r="FN40" s="48"/>
      <c r="FO40" s="79">
        <f ca="1">IF(programma!B1="X",1,IF(FO33=0,0,IF(BD40=FP40,1,0)))</f>
        <v>0</v>
      </c>
      <c r="FP40" s="93">
        <f ca="1">IF(FO1=0,"",ROUND(Blad1!AA14*FU27/40,0))</f>
        <v>480</v>
      </c>
      <c r="FQ40" s="79"/>
      <c r="FR40" s="79">
        <f ca="1">(FR27-FQ36)/FQ27</f>
        <v>480</v>
      </c>
      <c r="FS40" s="140"/>
      <c r="FT40" s="140"/>
      <c r="FU40" s="140"/>
      <c r="FV40" s="140"/>
      <c r="FW40" s="140"/>
      <c r="FX40" s="140"/>
      <c r="FY40" s="49"/>
      <c r="FZ40" s="47"/>
      <c r="GA40" s="49"/>
      <c r="GB40" s="49"/>
      <c r="GC40" s="49"/>
      <c r="GD40" s="49"/>
      <c r="GE40" s="49" t="str">
        <f ca="1">IF(FO40=1,(FR27/FQ27),"")</f>
        <v/>
      </c>
      <c r="GF40" s="49" t="e">
        <f ca="1">(GE40-FR27)/-FQ27</f>
        <v>#VALUE!</v>
      </c>
      <c r="GG40" s="49"/>
      <c r="GH40" s="49"/>
      <c r="GI40" s="49"/>
      <c r="GJ40" s="49"/>
      <c r="GK40" s="49"/>
      <c r="GL40" s="49"/>
      <c r="GM40" s="49"/>
      <c r="GN40" s="49"/>
      <c r="GO40" s="49"/>
      <c r="GP40" s="49"/>
      <c r="GQ40" s="49"/>
      <c r="GR40" s="48"/>
      <c r="GS40" s="48"/>
      <c r="GT40" s="48"/>
      <c r="GU40" s="48"/>
      <c r="GV40" s="48"/>
      <c r="GW40" s="48"/>
      <c r="GX40" s="48"/>
      <c r="GY40" s="48"/>
      <c r="GZ40" s="48"/>
      <c r="HA40" s="48"/>
      <c r="HB40" s="48"/>
      <c r="HC40" s="48"/>
      <c r="HD40" s="48"/>
      <c r="HE40" s="48"/>
      <c r="HF40" s="13"/>
      <c r="HG40" s="13"/>
      <c r="HH40" s="13"/>
    </row>
    <row r="41" spans="1:216" ht="3.6" customHeight="1">
      <c r="A41" s="1"/>
      <c r="B41" s="3"/>
      <c r="C41" s="3"/>
      <c r="D41" s="12"/>
      <c r="E41" s="10"/>
      <c r="F41" s="10"/>
      <c r="G41" s="10"/>
      <c r="H41" s="10"/>
      <c r="I41" s="10"/>
      <c r="J41" s="10"/>
      <c r="K41" s="10"/>
      <c r="L41" s="10"/>
      <c r="M41" s="10"/>
      <c r="N41" s="10"/>
      <c r="O41" s="10"/>
      <c r="P41" s="10"/>
      <c r="Q41" s="10"/>
      <c r="R41" s="10"/>
      <c r="S41" s="10"/>
      <c r="T41" s="10"/>
      <c r="U41" s="10"/>
      <c r="V41" s="10"/>
      <c r="W41" s="10"/>
      <c r="X41" s="10"/>
      <c r="Y41" s="10"/>
      <c r="Z41" s="10"/>
      <c r="AA41" s="10"/>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544" t="str">
        <f ca="1">IF(FO33=0,"",".")</f>
        <v/>
      </c>
      <c r="BD41" s="545"/>
      <c r="BE41" s="545"/>
      <c r="BF41" s="545"/>
      <c r="BG41" s="545"/>
      <c r="BH41" s="545"/>
      <c r="BI41" s="545"/>
      <c r="BJ41" s="545"/>
      <c r="BK41" s="545"/>
      <c r="BL41" s="545"/>
      <c r="BM41" s="545"/>
      <c r="BN41" s="545"/>
      <c r="BO41" s="545"/>
      <c r="BP41" s="545"/>
      <c r="BQ41" s="545"/>
      <c r="BR41" s="545"/>
      <c r="BS41" s="545"/>
      <c r="BT41" s="376"/>
      <c r="BU41" s="376"/>
      <c r="BV41" s="376"/>
      <c r="BW41" s="376"/>
      <c r="BX41" s="376"/>
      <c r="BY41" s="376"/>
      <c r="BZ41" s="376"/>
      <c r="CA41" s="376"/>
      <c r="CB41" s="376"/>
      <c r="CC41" s="376"/>
      <c r="CD41" s="376"/>
      <c r="CE41" s="376"/>
      <c r="CF41" s="376"/>
      <c r="CG41" s="376"/>
      <c r="CH41" s="376"/>
      <c r="CI41" s="376"/>
      <c r="CJ41" s="376"/>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26"/>
      <c r="FL41" s="26"/>
      <c r="FM41" s="48"/>
      <c r="FN41" s="48"/>
      <c r="FO41" s="48"/>
      <c r="FP41" s="48"/>
      <c r="FQ41" s="48"/>
      <c r="FR41" s="48"/>
      <c r="FS41" s="48"/>
      <c r="FT41" s="48"/>
      <c r="FU41" s="47"/>
      <c r="FV41" s="47"/>
      <c r="FW41" s="47"/>
      <c r="FX41" s="47"/>
      <c r="FY41" s="47"/>
      <c r="FZ41" s="47"/>
      <c r="GA41" s="49"/>
      <c r="GB41" s="49"/>
      <c r="GC41" s="49"/>
      <c r="GD41" s="49"/>
      <c r="GE41" s="49"/>
      <c r="GF41" s="49"/>
      <c r="GG41" s="49"/>
      <c r="GH41" s="49"/>
      <c r="GI41" s="49"/>
      <c r="GJ41" s="49"/>
      <c r="GK41" s="49"/>
      <c r="GL41" s="49"/>
      <c r="GM41" s="49"/>
      <c r="GN41" s="49"/>
      <c r="GO41" s="49"/>
      <c r="GP41" s="49"/>
      <c r="GQ41" s="49"/>
      <c r="GR41" s="48"/>
      <c r="GS41" s="48"/>
      <c r="GT41" s="48"/>
      <c r="GU41" s="48"/>
      <c r="GV41" s="48"/>
      <c r="GW41" s="48"/>
      <c r="GX41" s="48"/>
      <c r="GY41" s="48"/>
      <c r="GZ41" s="48"/>
      <c r="HA41" s="48"/>
      <c r="HB41" s="48"/>
      <c r="HC41" s="48"/>
      <c r="HD41" s="48"/>
      <c r="HE41" s="48"/>
      <c r="HF41" s="13"/>
      <c r="HG41" s="13"/>
      <c r="HH41" s="13"/>
    </row>
    <row r="42" spans="1:216" ht="11.25" customHeight="1">
      <c r="A42" s="1"/>
      <c r="B42" s="3"/>
      <c r="C42" s="3"/>
      <c r="D42" s="12"/>
      <c r="E42" s="10"/>
      <c r="F42" s="10"/>
      <c r="G42" s="10"/>
      <c r="H42" s="10"/>
      <c r="I42" s="10"/>
      <c r="J42" s="10"/>
      <c r="K42" s="10"/>
      <c r="L42" s="10"/>
      <c r="M42" s="10"/>
      <c r="N42" s="10"/>
      <c r="O42" s="10"/>
      <c r="P42" s="10"/>
      <c r="Q42" s="10"/>
      <c r="R42" s="10"/>
      <c r="S42" s="10"/>
      <c r="T42" s="10"/>
      <c r="U42" s="10"/>
      <c r="V42" s="10"/>
      <c r="W42" s="10"/>
      <c r="X42" s="10"/>
      <c r="Y42" s="10"/>
      <c r="Z42" s="10"/>
      <c r="AA42" s="10"/>
      <c r="AB42" s="126"/>
      <c r="AC42" s="126"/>
      <c r="AD42" s="126"/>
      <c r="AE42" s="126"/>
      <c r="AF42" s="126"/>
      <c r="AG42" s="126"/>
      <c r="AH42" s="126"/>
      <c r="AI42" s="126"/>
      <c r="AJ42" s="126"/>
      <c r="AK42" s="126"/>
      <c r="AL42" s="126"/>
      <c r="AM42" s="126"/>
      <c r="AN42" s="126"/>
      <c r="AO42" s="126"/>
      <c r="AP42" s="126"/>
      <c r="AQ42" s="126"/>
      <c r="AR42" s="126"/>
      <c r="AS42" s="126"/>
      <c r="AT42" s="376"/>
      <c r="AU42" s="376"/>
      <c r="AV42" s="376"/>
      <c r="AW42" s="376"/>
      <c r="AX42" s="376"/>
      <c r="AY42" s="376"/>
      <c r="AZ42" s="376"/>
      <c r="BA42" s="376"/>
      <c r="BB42" s="376"/>
      <c r="BC42" s="376"/>
      <c r="BD42" s="376"/>
      <c r="BE42" s="376"/>
      <c r="BF42" s="376"/>
      <c r="BG42" s="376"/>
      <c r="BH42" s="366"/>
      <c r="BI42" s="367"/>
      <c r="BJ42" s="367"/>
      <c r="BK42" s="367"/>
      <c r="BL42" s="367"/>
      <c r="BM42" s="367"/>
      <c r="BN42" s="367"/>
      <c r="BO42" s="367"/>
      <c r="BP42" s="367"/>
      <c r="BQ42" s="367"/>
      <c r="BR42" s="367"/>
      <c r="BS42" s="367"/>
      <c r="BT42" s="376"/>
      <c r="BU42" s="376"/>
      <c r="BV42" s="376"/>
      <c r="BW42" s="376"/>
      <c r="BX42" s="376"/>
      <c r="BY42" s="376"/>
      <c r="BZ42" s="376"/>
      <c r="CA42" s="376"/>
      <c r="CB42" s="376"/>
      <c r="CC42" s="376"/>
      <c r="CD42" s="376"/>
      <c r="CE42" s="376"/>
      <c r="CF42" s="376"/>
      <c r="CG42" s="376"/>
      <c r="CH42" s="376"/>
      <c r="CI42" s="376"/>
      <c r="CJ42" s="376"/>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26"/>
      <c r="FL42" s="26"/>
      <c r="FM42" s="48"/>
      <c r="FN42" s="48"/>
      <c r="FO42" s="48"/>
      <c r="FP42" s="48"/>
      <c r="FQ42" s="48"/>
      <c r="FR42" s="48"/>
      <c r="FS42" s="48"/>
      <c r="FT42" s="48"/>
      <c r="FU42" s="47"/>
      <c r="FV42" s="47"/>
      <c r="FW42" s="47"/>
      <c r="FX42" s="47"/>
      <c r="FY42" s="47"/>
      <c r="FZ42" s="47"/>
      <c r="GA42" s="49"/>
      <c r="GB42" s="49"/>
      <c r="GC42" s="49"/>
      <c r="GD42" s="49"/>
      <c r="GE42" s="49"/>
      <c r="GF42" s="49"/>
      <c r="GG42" s="49"/>
      <c r="GH42" s="49"/>
      <c r="GI42" s="49"/>
      <c r="GJ42" s="49"/>
      <c r="GK42" s="49"/>
      <c r="GL42" s="49"/>
      <c r="GM42" s="49"/>
      <c r="GN42" s="49"/>
      <c r="GO42" s="49"/>
      <c r="GP42" s="49"/>
      <c r="GQ42" s="49"/>
      <c r="GR42" s="48"/>
      <c r="GS42" s="48"/>
      <c r="GT42" s="48"/>
      <c r="GU42" s="48"/>
      <c r="GV42" s="48"/>
      <c r="GW42" s="48"/>
      <c r="GX42" s="48"/>
      <c r="GY42" s="48"/>
      <c r="GZ42" s="48"/>
      <c r="HA42" s="48"/>
      <c r="HB42" s="48"/>
      <c r="HC42" s="48"/>
      <c r="HD42" s="48"/>
      <c r="HE42" s="48"/>
      <c r="HF42" s="13"/>
      <c r="HG42" s="13"/>
      <c r="HH42" s="13"/>
    </row>
    <row r="43" spans="1:216" ht="16.95" customHeight="1">
      <c r="A43" s="1"/>
      <c r="B43" s="3"/>
      <c r="C43" s="3"/>
      <c r="D43" s="12" t="str">
        <f ca="1">IF(FO40=0,"","Ervan uitgaand dat de aanbieder inderdaad de betreffende prijs zal vragen,")</f>
        <v/>
      </c>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26"/>
      <c r="FL43" s="26"/>
      <c r="FM43" s="47"/>
      <c r="FN43" s="47"/>
      <c r="FO43" s="47"/>
      <c r="FP43" s="47"/>
      <c r="FQ43" s="47"/>
      <c r="FR43" s="47"/>
      <c r="FS43" s="47"/>
      <c r="FT43" s="47"/>
      <c r="FU43" s="47"/>
      <c r="FV43" s="47"/>
      <c r="FW43" s="47"/>
      <c r="FX43" s="47"/>
      <c r="FY43" s="47"/>
      <c r="FZ43" s="47"/>
      <c r="GA43" s="49"/>
      <c r="GB43" s="49"/>
      <c r="GC43" s="49"/>
      <c r="GD43" s="49"/>
      <c r="GE43" s="49"/>
      <c r="GF43" s="49"/>
      <c r="GG43" s="49"/>
      <c r="GH43" s="49"/>
      <c r="GI43" s="49"/>
      <c r="GJ43" s="49"/>
      <c r="GK43" s="49"/>
      <c r="GL43" s="49"/>
      <c r="GM43" s="49"/>
      <c r="GN43" s="49"/>
      <c r="GO43" s="49"/>
      <c r="GP43" s="49"/>
      <c r="GQ43" s="49"/>
      <c r="GR43" s="48"/>
      <c r="GS43" s="48"/>
      <c r="GT43" s="48"/>
      <c r="GU43" s="48"/>
      <c r="GV43" s="48"/>
      <c r="GW43" s="48"/>
      <c r="GX43" s="48"/>
      <c r="GY43" s="48"/>
      <c r="GZ43" s="48"/>
      <c r="HA43" s="48"/>
      <c r="HB43" s="48"/>
      <c r="HC43" s="48"/>
      <c r="HD43" s="48"/>
      <c r="HE43" s="48"/>
      <c r="HF43" s="13"/>
      <c r="HG43" s="13"/>
      <c r="HH43" s="13"/>
    </row>
    <row r="44" spans="1:216" ht="16.95" customHeight="1">
      <c r="A44" s="1"/>
      <c r="B44" s="3"/>
      <c r="C44" s="3"/>
      <c r="D44" s="12" t="str">
        <f ca="1">IF(FO40=0,"","kun je aan de hand van de prijsafzetfunctie eenvoudig de totale opbrengst-")</f>
        <v/>
      </c>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26"/>
      <c r="FL44" s="26"/>
      <c r="FM44" s="47"/>
      <c r="FN44" s="47"/>
      <c r="FO44" s="47"/>
      <c r="FP44" s="47"/>
      <c r="FQ44" s="47"/>
      <c r="FR44" s="47"/>
      <c r="FS44" s="47"/>
      <c r="FT44" s="47"/>
      <c r="FU44" s="47"/>
      <c r="FV44" s="47"/>
      <c r="FW44" s="47"/>
      <c r="FX44" s="47"/>
      <c r="FY44" s="47"/>
      <c r="FZ44" s="47"/>
      <c r="GA44" s="49"/>
      <c r="GB44" s="49"/>
      <c r="GC44" s="49"/>
      <c r="GD44" s="49"/>
      <c r="GE44" s="49"/>
      <c r="GF44" s="49"/>
      <c r="GG44" s="49"/>
      <c r="GH44" s="49"/>
      <c r="GI44" s="49"/>
      <c r="GJ44" s="49"/>
      <c r="GK44" s="49"/>
      <c r="GL44" s="49"/>
      <c r="GM44" s="49"/>
      <c r="GN44" s="49"/>
      <c r="GO44" s="49"/>
      <c r="GP44" s="49"/>
      <c r="GQ44" s="49"/>
      <c r="GR44" s="48"/>
      <c r="GS44" s="48"/>
      <c r="GT44" s="48"/>
      <c r="GU44" s="48"/>
      <c r="GV44" s="48"/>
      <c r="GW44" s="48"/>
      <c r="GX44" s="48"/>
      <c r="GY44" s="48"/>
      <c r="GZ44" s="48"/>
      <c r="HA44" s="48"/>
      <c r="HB44" s="48"/>
      <c r="HC44" s="48"/>
      <c r="HD44" s="48"/>
      <c r="HE44" s="48"/>
      <c r="HF44" s="13"/>
      <c r="HG44" s="13"/>
      <c r="HH44" s="13"/>
    </row>
    <row r="45" spans="1:216" ht="16.95" customHeight="1">
      <c r="A45" s="1"/>
      <c r="B45" s="3"/>
      <c r="C45" s="3"/>
      <c r="D45" s="12" t="str">
        <f ca="1">IF(FO40=0,"","functie bepalen. We gaan er immers vanuit dat altijd geldt dat TO = p × q")</f>
        <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26"/>
      <c r="FL45" s="26"/>
      <c r="FM45" s="47"/>
      <c r="FN45" s="47"/>
      <c r="FO45" s="47"/>
      <c r="FP45" s="47"/>
      <c r="FQ45" s="47"/>
      <c r="FR45" s="47"/>
      <c r="FS45" s="47"/>
      <c r="FT45" s="47"/>
      <c r="FU45" s="47"/>
      <c r="FV45" s="47"/>
      <c r="FW45" s="47"/>
      <c r="FX45" s="47"/>
      <c r="FY45" s="47"/>
      <c r="FZ45" s="47"/>
      <c r="GA45" s="49"/>
      <c r="GB45" s="49"/>
      <c r="GC45" s="49"/>
      <c r="GD45" s="49"/>
      <c r="GE45" s="49"/>
      <c r="GF45" s="49"/>
      <c r="GG45" s="49"/>
      <c r="GH45" s="49"/>
      <c r="GI45" s="49"/>
      <c r="GJ45" s="49"/>
      <c r="GK45" s="49"/>
      <c r="GL45" s="49"/>
      <c r="GM45" s="49"/>
      <c r="GN45" s="49"/>
      <c r="GO45" s="49"/>
      <c r="GP45" s="49"/>
      <c r="GQ45" s="49"/>
      <c r="GR45" s="48"/>
      <c r="GS45" s="48"/>
      <c r="GT45" s="48"/>
      <c r="GU45" s="48"/>
      <c r="GV45" s="48"/>
      <c r="GW45" s="48"/>
      <c r="GX45" s="48"/>
      <c r="GY45" s="48"/>
      <c r="GZ45" s="48"/>
      <c r="HA45" s="48"/>
      <c r="HB45" s="48"/>
      <c r="HC45" s="48"/>
      <c r="HD45" s="48"/>
      <c r="HE45" s="48"/>
      <c r="HF45" s="13"/>
      <c r="HG45" s="13"/>
      <c r="HH45" s="13"/>
    </row>
    <row r="46" spans="1:216" ht="16.95" customHeight="1">
      <c r="A46" s="1"/>
      <c r="B46" s="3"/>
      <c r="C46" s="3"/>
      <c r="D46" s="12" t="str">
        <f ca="1">IF(FO40=0,"","(TO = totale opbrengst = omzet). Als geldt dat p = -"&amp;FQ27&amp;"q + "&amp;FR27&amp;", dan geldt")</f>
        <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26"/>
      <c r="FL46" s="26"/>
      <c r="FM46" s="47"/>
      <c r="FN46" s="47"/>
      <c r="FO46" s="47"/>
      <c r="FP46" s="47"/>
      <c r="FQ46" s="47"/>
      <c r="FR46" s="47"/>
      <c r="FS46" s="47"/>
      <c r="FT46" s="47"/>
      <c r="FU46" s="47"/>
      <c r="FV46" s="47"/>
      <c r="FW46" s="47"/>
      <c r="FX46" s="47"/>
      <c r="FY46" s="47"/>
      <c r="FZ46" s="47"/>
      <c r="GA46" s="49"/>
      <c r="GB46" s="49"/>
      <c r="GC46" s="49"/>
      <c r="GD46" s="49"/>
      <c r="GE46" s="49"/>
      <c r="GF46" s="49"/>
      <c r="GG46" s="49"/>
      <c r="GH46" s="49"/>
      <c r="GI46" s="49"/>
      <c r="GJ46" s="49"/>
      <c r="GK46" s="49"/>
      <c r="GL46" s="49"/>
      <c r="GM46" s="49"/>
      <c r="GN46" s="49"/>
      <c r="GO46" s="49"/>
      <c r="GP46" s="49"/>
      <c r="GQ46" s="49"/>
      <c r="GR46" s="48"/>
      <c r="GS46" s="48"/>
      <c r="GT46" s="48"/>
      <c r="GU46" s="48"/>
      <c r="GV46" s="48"/>
      <c r="GW46" s="48"/>
      <c r="GX46" s="48"/>
      <c r="GY46" s="48"/>
      <c r="GZ46" s="48"/>
      <c r="HA46" s="48"/>
      <c r="HB46" s="48"/>
      <c r="HC46" s="48"/>
      <c r="HD46" s="48"/>
      <c r="HE46" s="48"/>
      <c r="HF46" s="13"/>
      <c r="HG46" s="13"/>
      <c r="HH46" s="13"/>
    </row>
    <row r="47" spans="1:216" ht="16.95" customHeight="1">
      <c r="A47" s="1"/>
      <c r="B47" s="3"/>
      <c r="C47" s="3"/>
      <c r="D47" s="12" t="str">
        <f ca="1">IF(FO40=0,"","dat TO = (-"&amp;FQ27&amp;"q + "&amp;FR27&amp;") × q dus TO = -"&amp;FQ27&amp;"q² + "&amp;FR27&amp;"q.")</f>
        <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26"/>
      <c r="FL47" s="26"/>
      <c r="FM47" s="47"/>
      <c r="FN47" s="47"/>
      <c r="FO47" s="47"/>
      <c r="FP47" s="47"/>
      <c r="FQ47" s="47"/>
      <c r="FR47" s="47"/>
      <c r="FS47" s="47"/>
      <c r="FT47" s="47"/>
      <c r="FU47" s="47"/>
      <c r="FV47" s="47"/>
      <c r="FW47" s="47"/>
      <c r="FX47" s="47"/>
      <c r="FY47" s="47"/>
      <c r="FZ47" s="47"/>
      <c r="GA47" s="49"/>
      <c r="GB47" s="49"/>
      <c r="GC47" s="49"/>
      <c r="GD47" s="49"/>
      <c r="GE47" s="49"/>
      <c r="GF47" s="49"/>
      <c r="GG47" s="49"/>
      <c r="GH47" s="49"/>
      <c r="GI47" s="49"/>
      <c r="GJ47" s="49"/>
      <c r="GK47" s="49"/>
      <c r="GL47" s="49"/>
      <c r="GM47" s="49"/>
      <c r="GN47" s="49"/>
      <c r="GO47" s="49"/>
      <c r="GP47" s="49"/>
      <c r="GQ47" s="49"/>
      <c r="GR47" s="48"/>
      <c r="GS47" s="48"/>
      <c r="GT47" s="48"/>
      <c r="GU47" s="48"/>
      <c r="GV47" s="48"/>
      <c r="GW47" s="48"/>
      <c r="GX47" s="48"/>
      <c r="GY47" s="48"/>
      <c r="GZ47" s="48"/>
      <c r="HA47" s="48"/>
      <c r="HB47" s="48"/>
      <c r="HC47" s="48"/>
      <c r="HD47" s="48"/>
      <c r="HE47" s="48"/>
      <c r="HF47" s="13"/>
      <c r="HG47" s="13"/>
      <c r="HH47" s="13"/>
    </row>
    <row r="48" spans="1:216" ht="16.95" customHeight="1">
      <c r="A48" s="1"/>
      <c r="B48" s="3"/>
      <c r="C48" s="3"/>
      <c r="D48" s="12"/>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26"/>
      <c r="FL48" s="26"/>
      <c r="FM48" s="47"/>
      <c r="FN48" s="47"/>
      <c r="FO48" s="47"/>
      <c r="FP48" s="47"/>
      <c r="FQ48" s="47"/>
      <c r="FR48" s="47"/>
      <c r="FS48" s="47"/>
      <c r="FT48" s="47"/>
      <c r="FU48" s="47"/>
      <c r="FV48" s="47"/>
      <c r="FW48" s="47"/>
      <c r="FX48" s="47"/>
      <c r="FY48" s="47"/>
      <c r="FZ48" s="47"/>
      <c r="GA48" s="49"/>
      <c r="GB48" s="49"/>
      <c r="GC48" s="49"/>
      <c r="GD48" s="49"/>
      <c r="GE48" s="49"/>
      <c r="GF48" s="49"/>
      <c r="GG48" s="49"/>
      <c r="GH48" s="49"/>
      <c r="GI48" s="49"/>
      <c r="GJ48" s="49"/>
      <c r="GK48" s="49"/>
      <c r="GL48" s="49"/>
      <c r="GM48" s="49"/>
      <c r="GN48" s="49"/>
      <c r="GO48" s="49"/>
      <c r="GP48" s="49"/>
      <c r="GQ48" s="49"/>
      <c r="GR48" s="48"/>
      <c r="GS48" s="48"/>
      <c r="GT48" s="48"/>
      <c r="GU48" s="48"/>
      <c r="GV48" s="48"/>
      <c r="GW48" s="48"/>
      <c r="GX48" s="48"/>
      <c r="GY48" s="48"/>
      <c r="GZ48" s="48"/>
      <c r="HA48" s="48"/>
      <c r="HB48" s="48"/>
      <c r="HC48" s="48"/>
      <c r="HD48" s="48"/>
      <c r="HE48" s="48"/>
      <c r="HF48" s="13"/>
      <c r="HG48" s="13"/>
      <c r="HH48" s="13"/>
    </row>
    <row r="49" spans="1:216" ht="16.95" customHeight="1">
      <c r="A49" s="1"/>
      <c r="B49" s="3"/>
      <c r="C49" s="3"/>
      <c r="D49" s="12" t="str">
        <f ca="1">IF(FO40=0,"","De prijsafzetfunctie zelf is altijd gelijk aan de gemiddelde opbrengstfunctie")</f>
        <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26"/>
      <c r="FL49" s="26"/>
      <c r="FM49" s="47"/>
      <c r="FN49" s="47"/>
      <c r="FO49" s="47"/>
      <c r="FP49" s="47"/>
      <c r="FQ49" s="47"/>
      <c r="FR49" s="47"/>
      <c r="FS49" s="49"/>
      <c r="FT49" s="49"/>
      <c r="FU49" s="49"/>
      <c r="FV49" s="49"/>
      <c r="FW49" s="49"/>
      <c r="FX49" s="49"/>
      <c r="FY49" s="47"/>
      <c r="FZ49" s="47"/>
      <c r="GA49" s="49"/>
      <c r="GB49" s="49"/>
      <c r="GC49" s="49"/>
      <c r="GD49" s="49"/>
      <c r="GE49" s="49"/>
      <c r="GF49" s="49"/>
      <c r="GG49" s="49"/>
      <c r="GH49" s="49"/>
      <c r="GI49" s="49"/>
      <c r="GJ49" s="49"/>
      <c r="GK49" s="49"/>
      <c r="GL49" s="49"/>
      <c r="GM49" s="49"/>
      <c r="GN49" s="49"/>
      <c r="GO49" s="49"/>
      <c r="GP49" s="49"/>
      <c r="GQ49" s="49"/>
      <c r="GR49" s="48"/>
      <c r="GS49" s="48"/>
      <c r="GT49" s="48"/>
      <c r="GU49" s="48"/>
      <c r="GV49" s="48"/>
      <c r="GW49" s="48"/>
      <c r="GX49" s="48"/>
      <c r="GY49" s="48"/>
      <c r="GZ49" s="48"/>
      <c r="HA49" s="48"/>
      <c r="HB49" s="48"/>
      <c r="HC49" s="48"/>
      <c r="HD49" s="48"/>
      <c r="HE49" s="48"/>
      <c r="HF49" s="13"/>
      <c r="HG49" s="13"/>
      <c r="HH49" s="13"/>
    </row>
    <row r="50" spans="1:216" ht="16.95" customHeight="1">
      <c r="A50" s="1"/>
      <c r="B50" s="3"/>
      <c r="C50" s="3"/>
      <c r="D50" s="12" t="str">
        <f ca="1">IF(FO40=0,"","(GO-functie), want altijd geldt GO = TO / q en TO = p × q , dus GO =")</f>
        <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26"/>
      <c r="FL50" s="26"/>
      <c r="FM50" s="47"/>
      <c r="FN50" s="47"/>
      <c r="FO50" s="47"/>
      <c r="FP50" s="47"/>
      <c r="FQ50" s="47"/>
      <c r="FR50" s="47"/>
      <c r="FS50" s="49"/>
      <c r="FT50" s="49"/>
      <c r="FU50" s="49"/>
      <c r="FV50" s="49"/>
      <c r="FW50" s="49"/>
      <c r="FX50" s="49"/>
      <c r="FY50" s="47"/>
      <c r="FZ50" s="47"/>
      <c r="GA50" s="49"/>
      <c r="GB50" s="49"/>
      <c r="GC50" s="49"/>
      <c r="GD50" s="49"/>
      <c r="GE50" s="49"/>
      <c r="GF50" s="49"/>
      <c r="GG50" s="49"/>
      <c r="GH50" s="49"/>
      <c r="GI50" s="49"/>
      <c r="GJ50" s="49"/>
      <c r="GK50" s="49"/>
      <c r="GL50" s="49"/>
      <c r="GM50" s="49"/>
      <c r="GN50" s="49"/>
      <c r="GO50" s="49"/>
      <c r="GP50" s="49"/>
      <c r="GQ50" s="49"/>
      <c r="GR50" s="48"/>
      <c r="GS50" s="48"/>
      <c r="GT50" s="48"/>
      <c r="GU50" s="48"/>
      <c r="GV50" s="48"/>
      <c r="GW50" s="48"/>
      <c r="GX50" s="48"/>
      <c r="GY50" s="48"/>
      <c r="GZ50" s="48"/>
      <c r="HA50" s="48"/>
      <c r="HB50" s="48"/>
      <c r="HC50" s="48"/>
      <c r="HD50" s="48"/>
      <c r="HE50" s="48"/>
      <c r="HF50" s="13"/>
      <c r="HG50" s="13"/>
      <c r="HH50" s="13"/>
    </row>
    <row r="51" spans="1:216" ht="16.95" customHeight="1">
      <c r="A51" s="1"/>
      <c r="B51" s="3"/>
      <c r="C51" s="3"/>
      <c r="D51" s="12" t="str">
        <f ca="1">IF(FO40=0,"","(p × q) / q dus GO = p. Hieronder is links de GO- en dus ook de P-lijn")</f>
        <v/>
      </c>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26"/>
      <c r="FL51" s="26"/>
      <c r="FM51" s="47"/>
      <c r="FN51" s="47"/>
      <c r="FO51" s="47"/>
      <c r="FP51" s="47"/>
      <c r="FQ51" s="47"/>
      <c r="FR51" s="47"/>
      <c r="FS51" s="49"/>
      <c r="FT51" s="49"/>
      <c r="FU51" s="49"/>
      <c r="FV51" s="49"/>
      <c r="FW51" s="49"/>
      <c r="FX51" s="49"/>
      <c r="FY51" s="47"/>
      <c r="FZ51" s="47"/>
      <c r="GA51" s="49"/>
      <c r="GB51" s="49"/>
      <c r="GC51" s="49"/>
      <c r="GD51" s="49"/>
      <c r="GE51" s="49"/>
      <c r="GF51" s="49"/>
      <c r="GG51" s="49"/>
      <c r="GH51" s="49"/>
      <c r="GI51" s="49"/>
      <c r="GJ51" s="49"/>
      <c r="GK51" s="49"/>
      <c r="GL51" s="49"/>
      <c r="GM51" s="49"/>
      <c r="GN51" s="49"/>
      <c r="GO51" s="49"/>
      <c r="GP51" s="49"/>
      <c r="GQ51" s="49"/>
      <c r="GR51" s="48"/>
      <c r="GS51" s="48"/>
      <c r="GT51" s="48"/>
      <c r="GU51" s="48"/>
      <c r="GV51" s="48"/>
      <c r="GW51" s="48"/>
      <c r="GX51" s="48"/>
      <c r="GY51" s="48"/>
      <c r="GZ51" s="48"/>
      <c r="HA51" s="48"/>
      <c r="HB51" s="48"/>
      <c r="HC51" s="48"/>
      <c r="HD51" s="48"/>
      <c r="HE51" s="48"/>
      <c r="HF51" s="13"/>
      <c r="HG51" s="13"/>
      <c r="HH51" s="13"/>
    </row>
    <row r="52" spans="1:216" ht="16.95" customHeight="1">
      <c r="A52" s="1"/>
      <c r="B52" s="3"/>
      <c r="C52" s="3"/>
      <c r="D52" s="12" t="str">
        <f ca="1">IF(FO40=0,"","getekend en rechts de TO-lijn die bij deze functie hoort.")</f>
        <v/>
      </c>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26"/>
      <c r="FL52" s="26"/>
      <c r="FM52" s="47"/>
      <c r="FN52" s="47"/>
      <c r="FO52" s="47"/>
      <c r="FP52" s="47"/>
      <c r="FQ52" s="47"/>
      <c r="FR52" s="47"/>
      <c r="FS52" s="49"/>
      <c r="FT52" s="49"/>
      <c r="FU52" s="49"/>
      <c r="FV52" s="49"/>
      <c r="FW52" s="49"/>
      <c r="FX52" s="49"/>
      <c r="FY52" s="47"/>
      <c r="FZ52" s="47"/>
      <c r="GA52" s="49"/>
      <c r="GB52" s="49"/>
      <c r="GC52" s="49"/>
      <c r="GD52" s="49"/>
      <c r="GE52" s="49"/>
      <c r="GF52" s="49"/>
      <c r="GG52" s="49"/>
      <c r="GH52" s="49"/>
      <c r="GI52" s="49"/>
      <c r="GJ52" s="49"/>
      <c r="GK52" s="49"/>
      <c r="GL52" s="49"/>
      <c r="GM52" s="49"/>
      <c r="GN52" s="49"/>
      <c r="GO52" s="49"/>
      <c r="GP52" s="49"/>
      <c r="GQ52" s="49"/>
      <c r="GR52" s="48"/>
      <c r="GS52" s="48"/>
      <c r="GT52" s="48"/>
      <c r="GU52" s="48"/>
      <c r="GV52" s="48"/>
      <c r="GW52" s="48"/>
      <c r="GX52" s="48"/>
      <c r="GY52" s="48"/>
      <c r="GZ52" s="48"/>
      <c r="HA52" s="48"/>
      <c r="HB52" s="48"/>
      <c r="HC52" s="48"/>
      <c r="HD52" s="48"/>
      <c r="HE52" s="48"/>
      <c r="HF52" s="13"/>
      <c r="HG52" s="13"/>
      <c r="HH52" s="13"/>
    </row>
    <row r="53" spans="1:216" ht="7.5" customHeight="1">
      <c r="A53" s="1"/>
      <c r="B53" s="3"/>
      <c r="C53" s="3"/>
      <c r="D53" s="12"/>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26"/>
      <c r="FL53" s="26"/>
      <c r="FM53" s="47"/>
      <c r="FN53" s="47"/>
      <c r="FO53" s="47"/>
      <c r="FP53" s="47"/>
      <c r="FQ53" s="47"/>
      <c r="FR53" s="47"/>
      <c r="FS53" s="49"/>
      <c r="FT53" s="49"/>
      <c r="FU53" s="49"/>
      <c r="FV53" s="49"/>
      <c r="FW53" s="49"/>
      <c r="FX53" s="49"/>
      <c r="FY53" s="48"/>
      <c r="FZ53" s="48"/>
      <c r="GA53" s="49"/>
      <c r="GB53" s="49"/>
      <c r="GC53" s="49"/>
      <c r="GD53" s="49"/>
      <c r="GE53" s="49"/>
      <c r="GF53" s="49"/>
      <c r="GG53" s="49"/>
      <c r="GH53" s="49"/>
      <c r="GI53" s="49"/>
      <c r="GJ53" s="49"/>
      <c r="GK53" s="49"/>
      <c r="GL53" s="49"/>
      <c r="GM53" s="49"/>
      <c r="GN53" s="49"/>
      <c r="GO53" s="49"/>
      <c r="GP53" s="49"/>
      <c r="GQ53" s="49"/>
      <c r="GR53" s="48"/>
      <c r="GS53" s="48"/>
      <c r="GT53" s="48"/>
      <c r="GU53" s="48"/>
      <c r="GV53" s="48"/>
      <c r="GW53" s="48"/>
      <c r="GX53" s="48"/>
      <c r="GY53" s="48"/>
      <c r="GZ53" s="48"/>
      <c r="HA53" s="48"/>
      <c r="HB53" s="48"/>
      <c r="HC53" s="48"/>
      <c r="HD53" s="48"/>
      <c r="HE53" s="48"/>
      <c r="HF53" s="13"/>
      <c r="HG53" s="13"/>
      <c r="HH53" s="13"/>
    </row>
    <row r="54" spans="1:216" ht="16.5" customHeight="1">
      <c r="A54" s="1"/>
      <c r="B54" s="3"/>
      <c r="C54" s="3"/>
      <c r="D54" s="12"/>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26"/>
      <c r="FL54" s="26"/>
      <c r="FM54" s="47"/>
      <c r="FN54" s="47"/>
      <c r="FO54" s="47"/>
      <c r="FP54" s="47"/>
      <c r="FQ54" s="47"/>
      <c r="FR54" s="47"/>
      <c r="FS54" s="49"/>
      <c r="FT54" s="49"/>
      <c r="FU54" s="49"/>
      <c r="FV54" s="49"/>
      <c r="FW54" s="49"/>
      <c r="FX54" s="49"/>
      <c r="FY54" s="47"/>
      <c r="FZ54" s="47"/>
      <c r="GA54" s="49"/>
      <c r="GB54" s="49"/>
      <c r="GC54" s="49"/>
      <c r="GD54" s="49"/>
      <c r="GE54" s="49"/>
      <c r="GF54" s="49" t="s">
        <v>0</v>
      </c>
      <c r="GG54" s="49" t="s">
        <v>9</v>
      </c>
      <c r="GH54" s="49" t="s">
        <v>5</v>
      </c>
      <c r="GI54" s="49"/>
      <c r="GJ54" s="49"/>
      <c r="GK54" s="49"/>
      <c r="GL54" s="49"/>
      <c r="GM54" s="49"/>
      <c r="GN54" s="49"/>
      <c r="GO54" s="49"/>
      <c r="GP54" s="49"/>
      <c r="GQ54" s="49"/>
      <c r="GR54" s="48"/>
      <c r="GS54" s="48"/>
      <c r="GT54" s="48"/>
      <c r="GU54" s="48"/>
      <c r="GV54" s="48"/>
      <c r="GW54" s="48"/>
      <c r="GX54" s="48"/>
      <c r="GY54" s="48"/>
      <c r="GZ54" s="48"/>
      <c r="HA54" s="48"/>
      <c r="HB54" s="48"/>
      <c r="HC54" s="48"/>
      <c r="HD54" s="48"/>
      <c r="HE54" s="48"/>
      <c r="HF54" s="13"/>
      <c r="HG54" s="13"/>
      <c r="HH54" s="13"/>
    </row>
    <row r="55" spans="1:216" ht="16.5" customHeight="1">
      <c r="A55" s="1"/>
      <c r="B55" s="3"/>
      <c r="C55" s="3"/>
      <c r="D55" s="12"/>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26"/>
      <c r="FL55" s="26"/>
      <c r="FM55" s="47"/>
      <c r="FN55" s="47"/>
      <c r="FO55" s="47"/>
      <c r="FP55" s="47"/>
      <c r="FQ55" s="47"/>
      <c r="FR55" s="47"/>
      <c r="FS55" s="49"/>
      <c r="FT55" s="49"/>
      <c r="FU55" s="49"/>
      <c r="FV55" s="49">
        <f>IF(FU49&gt;FT49,FT49,FU49)</f>
        <v>0</v>
      </c>
      <c r="FW55" s="49">
        <f>IF(FU49&gt;FT49,FU49,FT49)</f>
        <v>0</v>
      </c>
      <c r="FX55" s="49"/>
      <c r="FY55" s="48"/>
      <c r="FZ55" s="48"/>
      <c r="GA55" s="49"/>
      <c r="GB55" s="49"/>
      <c r="GC55" s="49"/>
      <c r="GD55" s="49"/>
      <c r="GE55" s="49"/>
      <c r="GF55" s="49" t="str">
        <f ca="1">IF(FO40=1,0,"")</f>
        <v/>
      </c>
      <c r="GG55" s="49" t="e">
        <f ca="1">-FQ$27*GF55+FR$27</f>
        <v>#VALUE!</v>
      </c>
      <c r="GH55" s="49" t="e">
        <f t="shared" ref="GH55:GH65" ca="1" si="0">-(GF55^2*FQ$27)+(FR$27*GF55)</f>
        <v>#VALUE!</v>
      </c>
      <c r="GI55" s="49"/>
      <c r="GJ55" s="49"/>
      <c r="GK55" s="49"/>
      <c r="GL55" s="49"/>
      <c r="GM55" s="49"/>
      <c r="GN55" s="49"/>
      <c r="GO55" s="49"/>
      <c r="GP55" s="49"/>
      <c r="GQ55" s="49"/>
      <c r="GR55" s="48"/>
      <c r="GS55" s="48"/>
      <c r="GT55" s="48"/>
      <c r="GU55" s="48"/>
      <c r="GV55" s="48"/>
      <c r="GW55" s="48"/>
      <c r="GX55" s="48"/>
      <c r="GY55" s="48"/>
      <c r="GZ55" s="48"/>
      <c r="HA55" s="48"/>
      <c r="HB55" s="48"/>
      <c r="HC55" s="48"/>
      <c r="HD55" s="48"/>
      <c r="HE55" s="48"/>
      <c r="HF55" s="13"/>
      <c r="HG55" s="13"/>
      <c r="HH55" s="13"/>
    </row>
    <row r="56" spans="1:216" ht="16.5" customHeight="1">
      <c r="A56" s="1"/>
      <c r="B56" s="3"/>
      <c r="C56" s="3"/>
      <c r="D56" s="12"/>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26"/>
      <c r="FL56" s="26"/>
      <c r="FM56" s="47"/>
      <c r="FN56" s="47"/>
      <c r="FO56" s="47"/>
      <c r="FP56" s="47"/>
      <c r="FQ56" s="47"/>
      <c r="FR56" s="47"/>
      <c r="FS56" s="49"/>
      <c r="FT56" s="49"/>
      <c r="FU56" s="49"/>
      <c r="FV56" s="49"/>
      <c r="FW56" s="49"/>
      <c r="FX56" s="49"/>
      <c r="FY56" s="47"/>
      <c r="FZ56" s="47"/>
      <c r="GA56" s="49"/>
      <c r="GB56" s="49"/>
      <c r="GC56" s="49"/>
      <c r="GD56" s="49"/>
      <c r="GE56" s="49"/>
      <c r="GF56" s="49" t="str">
        <f ca="1">IF(FO40=1,0.1*(FR27/FQ27),"")</f>
        <v/>
      </c>
      <c r="GG56" s="49" t="e">
        <f t="shared" ref="GG56:GG65" ca="1" si="1">-FQ$27*GF56+FR$27</f>
        <v>#VALUE!</v>
      </c>
      <c r="GH56" s="49" t="e">
        <f t="shared" ca="1" si="0"/>
        <v>#VALUE!</v>
      </c>
      <c r="GI56" s="49"/>
      <c r="GJ56" s="49"/>
      <c r="GK56" s="49"/>
      <c r="GL56" s="49"/>
      <c r="GM56" s="49"/>
      <c r="GN56" s="49"/>
      <c r="GO56" s="49"/>
      <c r="GP56" s="49"/>
      <c r="GQ56" s="49"/>
      <c r="GR56" s="48"/>
      <c r="GS56" s="48"/>
      <c r="GT56" s="48"/>
      <c r="GU56" s="48"/>
      <c r="GV56" s="48"/>
      <c r="GW56" s="48"/>
      <c r="GX56" s="48"/>
      <c r="GY56" s="48"/>
      <c r="GZ56" s="48"/>
      <c r="HA56" s="48"/>
      <c r="HB56" s="48"/>
      <c r="HC56" s="48"/>
      <c r="HD56" s="48"/>
      <c r="HE56" s="48"/>
      <c r="HF56" s="13"/>
      <c r="HG56" s="13"/>
      <c r="HH56" s="13"/>
    </row>
    <row r="57" spans="1:216" ht="16.5" customHeight="1">
      <c r="A57" s="1"/>
      <c r="B57" s="3"/>
      <c r="C57" s="3"/>
      <c r="D57" s="12"/>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26"/>
      <c r="FL57" s="26"/>
      <c r="FM57" s="47"/>
      <c r="FN57" s="47"/>
      <c r="FO57" s="47"/>
      <c r="FP57" s="47"/>
      <c r="FQ57" s="47"/>
      <c r="FR57" s="47"/>
      <c r="FS57" s="49"/>
      <c r="FT57" s="49"/>
      <c r="FU57" s="49"/>
      <c r="FV57" s="49">
        <f>IF(FU53&gt;FW53,FW53,FU53)</f>
        <v>0</v>
      </c>
      <c r="FW57" s="49">
        <f>IF(FU53&gt;FW53,FU53,FW53)</f>
        <v>0</v>
      </c>
      <c r="FX57" s="49"/>
      <c r="FY57" s="48"/>
      <c r="FZ57" s="48"/>
      <c r="GA57" s="49"/>
      <c r="GB57" s="49"/>
      <c r="GC57" s="49"/>
      <c r="GD57" s="49"/>
      <c r="GE57" s="49"/>
      <c r="GF57" s="49" t="str">
        <f ca="1">IF(FO40=1,0.2*(FR27/FQ27),"")</f>
        <v/>
      </c>
      <c r="GG57" s="49" t="e">
        <f t="shared" ca="1" si="1"/>
        <v>#VALUE!</v>
      </c>
      <c r="GH57" s="49" t="e">
        <f t="shared" ca="1" si="0"/>
        <v>#VALUE!</v>
      </c>
      <c r="GI57" s="49"/>
      <c r="GJ57" s="49"/>
      <c r="GK57" s="49"/>
      <c r="GL57" s="49"/>
      <c r="GM57" s="49"/>
      <c r="GN57" s="49"/>
      <c r="GO57" s="49"/>
      <c r="GP57" s="49"/>
      <c r="GQ57" s="49"/>
      <c r="GR57" s="48"/>
      <c r="GS57" s="48"/>
      <c r="GT57" s="48"/>
      <c r="GU57" s="48"/>
      <c r="GV57" s="48"/>
      <c r="GW57" s="48"/>
      <c r="GX57" s="48"/>
      <c r="GY57" s="48"/>
      <c r="GZ57" s="48"/>
      <c r="HA57" s="48"/>
      <c r="HB57" s="48"/>
      <c r="HC57" s="48"/>
      <c r="HD57" s="48"/>
      <c r="HE57" s="48"/>
      <c r="HF57" s="13"/>
      <c r="HG57" s="13"/>
      <c r="HH57" s="13"/>
    </row>
    <row r="58" spans="1:216" ht="16.5" customHeight="1">
      <c r="A58" s="1"/>
      <c r="B58" s="3"/>
      <c r="C58" s="3"/>
      <c r="D58" s="12"/>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26"/>
      <c r="FL58" s="26"/>
      <c r="FM58" s="47"/>
      <c r="FN58" s="47"/>
      <c r="FO58" s="47"/>
      <c r="FP58" s="47"/>
      <c r="FQ58" s="47"/>
      <c r="FR58" s="47"/>
      <c r="FS58" s="49"/>
      <c r="FT58" s="49"/>
      <c r="FU58" s="49"/>
      <c r="FV58" s="49"/>
      <c r="FW58" s="49"/>
      <c r="FX58" s="49"/>
      <c r="FY58" s="47"/>
      <c r="FZ58" s="47"/>
      <c r="GA58" s="49"/>
      <c r="GB58" s="49"/>
      <c r="GC58" s="49"/>
      <c r="GD58" s="49"/>
      <c r="GE58" s="49"/>
      <c r="GF58" s="49" t="str">
        <f ca="1">IF(FO40=1,0.3*(FR27/FQ27),"")</f>
        <v/>
      </c>
      <c r="GG58" s="49" t="e">
        <f t="shared" ca="1" si="1"/>
        <v>#VALUE!</v>
      </c>
      <c r="GH58" s="49" t="e">
        <f t="shared" ca="1" si="0"/>
        <v>#VALUE!</v>
      </c>
      <c r="GI58" s="49"/>
      <c r="GJ58" s="49"/>
      <c r="GK58" s="49"/>
      <c r="GL58" s="49"/>
      <c r="GM58" s="49"/>
      <c r="GN58" s="49"/>
      <c r="GO58" s="49"/>
      <c r="GP58" s="49"/>
      <c r="GQ58" s="49"/>
      <c r="GR58" s="48"/>
      <c r="GS58" s="48"/>
      <c r="GT58" s="48"/>
      <c r="GU58" s="48"/>
      <c r="GV58" s="48"/>
      <c r="GW58" s="48"/>
      <c r="GX58" s="48"/>
      <c r="GY58" s="48"/>
      <c r="GZ58" s="48"/>
      <c r="HA58" s="48"/>
      <c r="HB58" s="48"/>
      <c r="HC58" s="48"/>
      <c r="HD58" s="48"/>
      <c r="HE58" s="48"/>
      <c r="HF58" s="13"/>
      <c r="HG58" s="13"/>
      <c r="HH58" s="13"/>
    </row>
    <row r="59" spans="1:216" ht="16.5" customHeight="1">
      <c r="A59" s="1"/>
      <c r="B59" s="3"/>
      <c r="C59" s="3"/>
      <c r="D59" s="12"/>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26"/>
      <c r="FL59" s="26"/>
      <c r="FM59" s="47"/>
      <c r="FN59" s="47"/>
      <c r="FO59" s="47"/>
      <c r="FP59" s="47"/>
      <c r="FQ59" s="47"/>
      <c r="FR59" s="47"/>
      <c r="FS59" s="49"/>
      <c r="FT59" s="49"/>
      <c r="FU59" s="49"/>
      <c r="FV59" s="49"/>
      <c r="FW59" s="49"/>
      <c r="FX59" s="49"/>
      <c r="FY59" s="47"/>
      <c r="FZ59" s="94"/>
      <c r="GA59" s="49"/>
      <c r="GB59" s="49"/>
      <c r="GC59" s="49"/>
      <c r="GD59" s="49"/>
      <c r="GE59" s="49"/>
      <c r="GF59" s="49" t="str">
        <f ca="1">IF(FO40=1,0.4*(FR27/FQ27),"")</f>
        <v/>
      </c>
      <c r="GG59" s="49" t="e">
        <f t="shared" ca="1" si="1"/>
        <v>#VALUE!</v>
      </c>
      <c r="GH59" s="49" t="e">
        <f t="shared" ca="1" si="0"/>
        <v>#VALUE!</v>
      </c>
      <c r="GI59" s="49"/>
      <c r="GJ59" s="49"/>
      <c r="GK59" s="49"/>
      <c r="GL59" s="49"/>
      <c r="GM59" s="49"/>
      <c r="GN59" s="49"/>
      <c r="GO59" s="49"/>
      <c r="GP59" s="49"/>
      <c r="GQ59" s="49"/>
      <c r="GR59" s="48"/>
      <c r="GS59" s="48"/>
      <c r="GT59" s="48"/>
      <c r="GU59" s="48"/>
      <c r="GV59" s="48"/>
      <c r="GW59" s="48"/>
      <c r="GX59" s="48"/>
      <c r="GY59" s="48"/>
      <c r="GZ59" s="48"/>
      <c r="HA59" s="48"/>
      <c r="HB59" s="48"/>
      <c r="HC59" s="48"/>
      <c r="HD59" s="48"/>
      <c r="HE59" s="48"/>
      <c r="HF59" s="13"/>
      <c r="HG59" s="13"/>
      <c r="HH59" s="13"/>
    </row>
    <row r="60" spans="1:216" ht="16.5" customHeight="1">
      <c r="A60" s="1"/>
      <c r="B60" s="3"/>
      <c r="C60" s="3"/>
      <c r="D60" s="12"/>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26"/>
      <c r="FL60" s="26"/>
      <c r="FM60" s="48"/>
      <c r="FN60" s="48"/>
      <c r="FO60" s="48"/>
      <c r="FP60" s="48"/>
      <c r="FQ60" s="48"/>
      <c r="FR60" s="48"/>
      <c r="FS60" s="48"/>
      <c r="FT60" s="48"/>
      <c r="FU60" s="48"/>
      <c r="FV60" s="47"/>
      <c r="FW60" s="47"/>
      <c r="FX60" s="47"/>
      <c r="FY60" s="47"/>
      <c r="FZ60" s="94"/>
      <c r="GA60" s="49"/>
      <c r="GB60" s="49"/>
      <c r="GC60" s="49"/>
      <c r="GD60" s="49"/>
      <c r="GE60" s="49"/>
      <c r="GF60" s="49" t="str">
        <f ca="1">IF(FO40=1,0.5*(FR27/FQ27),"")</f>
        <v/>
      </c>
      <c r="GG60" s="49" t="e">
        <f t="shared" ca="1" si="1"/>
        <v>#VALUE!</v>
      </c>
      <c r="GH60" s="49" t="e">
        <f ca="1">-(GF60^2*FQ$27)+(FR$27*GF60)</f>
        <v>#VALUE!</v>
      </c>
      <c r="GI60" s="49"/>
      <c r="GJ60" s="49"/>
      <c r="GK60" s="49"/>
      <c r="GL60" s="49"/>
      <c r="GM60" s="49"/>
      <c r="GN60" s="49"/>
      <c r="GO60" s="49"/>
      <c r="GP60" s="49"/>
      <c r="GQ60" s="49"/>
      <c r="GR60" s="48"/>
      <c r="GS60" s="48"/>
      <c r="GT60" s="48"/>
      <c r="GU60" s="48"/>
      <c r="GV60" s="48"/>
      <c r="GW60" s="48"/>
      <c r="GX60" s="48"/>
      <c r="GY60" s="48"/>
      <c r="GZ60" s="48"/>
      <c r="HA60" s="48"/>
      <c r="HB60" s="48"/>
      <c r="HC60" s="48"/>
      <c r="HD60" s="48"/>
      <c r="HE60" s="48"/>
      <c r="HF60" s="13"/>
      <c r="HG60" s="13"/>
      <c r="HH60" s="13"/>
    </row>
    <row r="61" spans="1:216" ht="16.5" customHeight="1">
      <c r="A61" s="1"/>
      <c r="B61" s="3"/>
      <c r="C61" s="3"/>
      <c r="D61" s="12"/>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26"/>
      <c r="FL61" s="26"/>
      <c r="FM61" s="48"/>
      <c r="FN61" s="48"/>
      <c r="FO61" s="48"/>
      <c r="FP61" s="48"/>
      <c r="FQ61" s="48"/>
      <c r="FR61" s="48"/>
      <c r="FS61" s="48"/>
      <c r="FT61" s="48"/>
      <c r="FU61" s="48"/>
      <c r="FV61" s="47"/>
      <c r="FW61" s="47"/>
      <c r="FX61" s="47"/>
      <c r="FY61" s="47"/>
      <c r="FZ61" s="94"/>
      <c r="GA61" s="49"/>
      <c r="GB61" s="49"/>
      <c r="GC61" s="49"/>
      <c r="GD61" s="49"/>
      <c r="GE61" s="49"/>
      <c r="GF61" s="49" t="str">
        <f ca="1">IF(FO40=1,0.6*(FR27/FQ27),"")</f>
        <v/>
      </c>
      <c r="GG61" s="49" t="e">
        <f t="shared" ca="1" si="1"/>
        <v>#VALUE!</v>
      </c>
      <c r="GH61" s="49" t="e">
        <f t="shared" ca="1" si="0"/>
        <v>#VALUE!</v>
      </c>
      <c r="GI61" s="49"/>
      <c r="GJ61" s="49"/>
      <c r="GK61" s="49"/>
      <c r="GL61" s="49"/>
      <c r="GM61" s="49"/>
      <c r="GN61" s="49"/>
      <c r="GO61" s="49"/>
      <c r="GP61" s="49"/>
      <c r="GQ61" s="49"/>
      <c r="GR61" s="48"/>
      <c r="GS61" s="48"/>
      <c r="GT61" s="48"/>
      <c r="GU61" s="48"/>
      <c r="GV61" s="48"/>
      <c r="GW61" s="48"/>
      <c r="GX61" s="48"/>
      <c r="GY61" s="48"/>
      <c r="GZ61" s="48"/>
      <c r="HA61" s="48"/>
      <c r="HB61" s="48"/>
      <c r="HC61" s="48"/>
      <c r="HD61" s="48"/>
      <c r="HE61" s="48"/>
      <c r="HF61" s="13"/>
      <c r="HG61" s="13"/>
      <c r="HH61" s="13"/>
    </row>
    <row r="62" spans="1:216" ht="16.5" customHeight="1">
      <c r="A62" s="1"/>
      <c r="B62" s="3"/>
      <c r="C62" s="3"/>
      <c r="D62" s="12"/>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26"/>
      <c r="FL62" s="26"/>
      <c r="FM62" s="48"/>
      <c r="FN62" s="48"/>
      <c r="FO62" s="48"/>
      <c r="FP62" s="48"/>
      <c r="FQ62" s="48"/>
      <c r="FR62" s="48"/>
      <c r="FS62" s="48"/>
      <c r="FT62" s="48"/>
      <c r="FU62" s="48"/>
      <c r="FV62" s="47"/>
      <c r="FW62" s="47"/>
      <c r="FX62" s="47"/>
      <c r="FY62" s="47"/>
      <c r="FZ62" s="94"/>
      <c r="GA62" s="49"/>
      <c r="GB62" s="49"/>
      <c r="GC62" s="49"/>
      <c r="GD62" s="49"/>
      <c r="GE62" s="49"/>
      <c r="GF62" s="49" t="str">
        <f ca="1">IF(FO40=1,0.7*(FR27/FQ27),"")</f>
        <v/>
      </c>
      <c r="GG62" s="49" t="e">
        <f t="shared" ca="1" si="1"/>
        <v>#VALUE!</v>
      </c>
      <c r="GH62" s="49" t="e">
        <f t="shared" ca="1" si="0"/>
        <v>#VALUE!</v>
      </c>
      <c r="GI62" s="49"/>
      <c r="GJ62" s="49"/>
      <c r="GK62" s="49"/>
      <c r="GL62" s="49"/>
      <c r="GM62" s="49"/>
      <c r="GN62" s="49"/>
      <c r="GO62" s="49"/>
      <c r="GP62" s="49"/>
      <c r="GQ62" s="49"/>
      <c r="GR62" s="48"/>
      <c r="GS62" s="48"/>
      <c r="GT62" s="48"/>
      <c r="GU62" s="48"/>
      <c r="GV62" s="48"/>
      <c r="GW62" s="48"/>
      <c r="GX62" s="48"/>
      <c r="GY62" s="48"/>
      <c r="GZ62" s="48"/>
      <c r="HA62" s="48"/>
      <c r="HB62" s="48"/>
      <c r="HC62" s="48"/>
      <c r="HD62" s="48"/>
      <c r="HE62" s="48"/>
      <c r="HF62" s="13"/>
      <c r="HG62" s="13"/>
      <c r="HH62" s="13"/>
    </row>
    <row r="63" spans="1:216" ht="16.5" customHeight="1">
      <c r="A63" s="1"/>
      <c r="B63" s="3"/>
      <c r="C63" s="3"/>
      <c r="D63" s="12"/>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26"/>
      <c r="FL63" s="26"/>
      <c r="FM63" s="48"/>
      <c r="FN63" s="48"/>
      <c r="FO63" s="48"/>
      <c r="FP63" s="48"/>
      <c r="FQ63" s="48"/>
      <c r="FR63" s="48"/>
      <c r="FS63" s="48"/>
      <c r="FT63" s="48"/>
      <c r="FU63" s="48"/>
      <c r="FV63" s="47"/>
      <c r="FW63" s="47"/>
      <c r="FX63" s="47"/>
      <c r="FY63" s="47"/>
      <c r="FZ63" s="94"/>
      <c r="GA63" s="49"/>
      <c r="GB63" s="49"/>
      <c r="GC63" s="49"/>
      <c r="GD63" s="49"/>
      <c r="GE63" s="49"/>
      <c r="GF63" s="49" t="str">
        <f ca="1">IF(FO40=1,0.8*(FR27/FQ27),"")</f>
        <v/>
      </c>
      <c r="GG63" s="49" t="e">
        <f t="shared" ca="1" si="1"/>
        <v>#VALUE!</v>
      </c>
      <c r="GH63" s="49" t="e">
        <f t="shared" ca="1" si="0"/>
        <v>#VALUE!</v>
      </c>
      <c r="GI63" s="49"/>
      <c r="GJ63" s="49"/>
      <c r="GK63" s="49"/>
      <c r="GL63" s="49"/>
      <c r="GM63" s="49"/>
      <c r="GN63" s="49"/>
      <c r="GO63" s="49"/>
      <c r="GP63" s="49"/>
      <c r="GQ63" s="49"/>
      <c r="GR63" s="48"/>
      <c r="GS63" s="48"/>
      <c r="GT63" s="48"/>
      <c r="GU63" s="48"/>
      <c r="GV63" s="48"/>
      <c r="GW63" s="48"/>
      <c r="GX63" s="48"/>
      <c r="GY63" s="48"/>
      <c r="GZ63" s="48"/>
      <c r="HA63" s="48"/>
      <c r="HB63" s="48"/>
      <c r="HC63" s="48"/>
      <c r="HD63" s="48"/>
      <c r="HE63" s="48"/>
      <c r="HF63" s="13"/>
      <c r="HG63" s="13"/>
      <c r="HH63" s="13"/>
    </row>
    <row r="64" spans="1:216" ht="16.5" customHeight="1">
      <c r="A64" s="1"/>
      <c r="B64" s="3"/>
      <c r="C64" s="3"/>
      <c r="D64" s="12"/>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26"/>
      <c r="FL64" s="26"/>
      <c r="FM64" s="48"/>
      <c r="FN64" s="48"/>
      <c r="FO64" s="48"/>
      <c r="FP64" s="48"/>
      <c r="FQ64" s="48"/>
      <c r="FR64" s="48"/>
      <c r="FS64" s="48"/>
      <c r="FT64" s="48"/>
      <c r="FU64" s="48"/>
      <c r="FV64" s="47"/>
      <c r="FW64" s="47"/>
      <c r="FX64" s="47"/>
      <c r="FY64" s="47"/>
      <c r="FZ64" s="94"/>
      <c r="GA64" s="49"/>
      <c r="GB64" s="49"/>
      <c r="GC64" s="49"/>
      <c r="GD64" s="49"/>
      <c r="GE64" s="49"/>
      <c r="GF64" s="49" t="str">
        <f ca="1">IF(FO40=1,0.9*(FR27/FQ27),"")</f>
        <v/>
      </c>
      <c r="GG64" s="49" t="e">
        <f t="shared" ca="1" si="1"/>
        <v>#VALUE!</v>
      </c>
      <c r="GH64" s="49" t="e">
        <f t="shared" ca="1" si="0"/>
        <v>#VALUE!</v>
      </c>
      <c r="GI64" s="49"/>
      <c r="GJ64" s="49"/>
      <c r="GK64" s="49"/>
      <c r="GL64" s="49"/>
      <c r="GM64" s="49"/>
      <c r="GN64" s="49"/>
      <c r="GO64" s="49"/>
      <c r="GP64" s="49"/>
      <c r="GQ64" s="49"/>
      <c r="GR64" s="48"/>
      <c r="GS64" s="48"/>
      <c r="GT64" s="48"/>
      <c r="GU64" s="48"/>
      <c r="GV64" s="48"/>
      <c r="GW64" s="48"/>
      <c r="GX64" s="48"/>
      <c r="GY64" s="48"/>
      <c r="GZ64" s="48"/>
      <c r="HA64" s="48"/>
      <c r="HB64" s="48"/>
      <c r="HC64" s="48"/>
      <c r="HD64" s="48"/>
      <c r="HE64" s="48"/>
      <c r="HF64" s="13"/>
      <c r="HG64" s="13"/>
      <c r="HH64" s="13"/>
    </row>
    <row r="65" spans="1:216" ht="16.5" customHeight="1">
      <c r="A65" s="1"/>
      <c r="B65" s="3"/>
      <c r="C65" s="3"/>
      <c r="D65" s="12"/>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26"/>
      <c r="FL65" s="26"/>
      <c r="FM65" s="48"/>
      <c r="FN65" s="48"/>
      <c r="FO65" s="48"/>
      <c r="FP65" s="48"/>
      <c r="FQ65" s="48"/>
      <c r="FR65" s="48"/>
      <c r="FS65" s="48"/>
      <c r="FT65" s="48"/>
      <c r="FU65" s="48"/>
      <c r="FV65" s="47"/>
      <c r="FW65" s="47"/>
      <c r="FX65" s="47"/>
      <c r="FY65" s="47"/>
      <c r="FZ65" s="94"/>
      <c r="GA65" s="49"/>
      <c r="GB65" s="49"/>
      <c r="GC65" s="49"/>
      <c r="GD65" s="49"/>
      <c r="GE65" s="49"/>
      <c r="GF65" s="49" t="str">
        <f ca="1">IF(FO40=1,(FR27/FQ27),"")</f>
        <v/>
      </c>
      <c r="GG65" s="49" t="e">
        <f t="shared" ca="1" si="1"/>
        <v>#VALUE!</v>
      </c>
      <c r="GH65" s="49" t="e">
        <f t="shared" ca="1" si="0"/>
        <v>#VALUE!</v>
      </c>
      <c r="GI65" s="49"/>
      <c r="GJ65" s="49"/>
      <c r="GK65" s="49"/>
      <c r="GL65" s="49"/>
      <c r="GM65" s="49"/>
      <c r="GN65" s="49"/>
      <c r="GO65" s="49"/>
      <c r="GP65" s="49"/>
      <c r="GQ65" s="49"/>
      <c r="GR65" s="48"/>
      <c r="GS65" s="48"/>
      <c r="GT65" s="48"/>
      <c r="GU65" s="48"/>
      <c r="GV65" s="48"/>
      <c r="GW65" s="48"/>
      <c r="GX65" s="48"/>
      <c r="GY65" s="48"/>
      <c r="GZ65" s="48"/>
      <c r="HA65" s="48"/>
      <c r="HB65" s="48"/>
      <c r="HC65" s="48"/>
      <c r="HD65" s="48"/>
      <c r="HE65" s="48"/>
      <c r="HF65" s="13"/>
      <c r="HG65" s="13"/>
      <c r="HH65" s="13"/>
    </row>
    <row r="66" spans="1:216" ht="16.5" customHeight="1">
      <c r="A66" s="1"/>
      <c r="B66" s="3"/>
      <c r="C66" s="3"/>
      <c r="D66" s="12"/>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26"/>
      <c r="FL66" s="26"/>
      <c r="FM66" s="48"/>
      <c r="FN66" s="48"/>
      <c r="FO66" s="48"/>
      <c r="FP66" s="48"/>
      <c r="FQ66" s="48"/>
      <c r="FR66" s="48"/>
      <c r="FS66" s="48"/>
      <c r="FT66" s="48"/>
      <c r="FU66" s="48"/>
      <c r="FV66" s="47"/>
      <c r="FW66" s="47"/>
      <c r="FX66" s="47"/>
      <c r="FY66" s="47"/>
      <c r="FZ66" s="94"/>
      <c r="GA66" s="49"/>
      <c r="GB66" s="49"/>
      <c r="GC66" s="49"/>
      <c r="GD66" s="49"/>
      <c r="GE66" s="49"/>
      <c r="GF66" s="49"/>
      <c r="GG66" s="49"/>
      <c r="GH66" s="49"/>
      <c r="GI66" s="49"/>
      <c r="GJ66" s="49"/>
      <c r="GK66" s="49"/>
      <c r="GL66" s="49"/>
      <c r="GM66" s="49"/>
      <c r="GN66" s="49"/>
      <c r="GO66" s="49"/>
      <c r="GP66" s="49"/>
      <c r="GQ66" s="49"/>
      <c r="GR66" s="48"/>
      <c r="GS66" s="48"/>
      <c r="GT66" s="48"/>
      <c r="GU66" s="48"/>
      <c r="GV66" s="48"/>
      <c r="GW66" s="48"/>
      <c r="GX66" s="48"/>
      <c r="GY66" s="48"/>
      <c r="GZ66" s="48"/>
      <c r="HA66" s="48"/>
      <c r="HB66" s="48"/>
      <c r="HC66" s="48"/>
      <c r="HD66" s="48"/>
      <c r="HE66" s="48"/>
      <c r="HF66" s="13"/>
      <c r="HG66" s="13"/>
      <c r="HH66" s="13"/>
    </row>
    <row r="67" spans="1:216" ht="16.95" customHeight="1">
      <c r="A67" s="1"/>
      <c r="B67" s="3"/>
      <c r="C67" s="3"/>
      <c r="D67" s="12" t="str">
        <f ca="1">IF(FO40=0,"","Je ziet dat de TO-lijn volkomen symmetrisch is opgebouwd en dat de top")</f>
        <v/>
      </c>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26"/>
      <c r="FL67" s="26"/>
      <c r="FM67" s="47"/>
      <c r="FN67" s="47"/>
      <c r="FO67" s="47"/>
      <c r="FP67" s="47"/>
      <c r="FQ67" s="47"/>
      <c r="FR67" s="47"/>
      <c r="FS67" s="49"/>
      <c r="FT67" s="49"/>
      <c r="FU67" s="49"/>
      <c r="FV67" s="49"/>
      <c r="FW67" s="49"/>
      <c r="FX67" s="49"/>
      <c r="FY67" s="47"/>
      <c r="FZ67" s="94"/>
      <c r="GA67" s="49"/>
      <c r="GB67" s="49"/>
      <c r="GC67" s="49"/>
      <c r="GD67" s="49"/>
      <c r="GE67" s="49"/>
      <c r="GF67" s="49"/>
      <c r="GG67" s="49"/>
      <c r="GH67" s="49"/>
      <c r="GI67" s="49"/>
      <c r="GJ67" s="49"/>
      <c r="GK67" s="49"/>
      <c r="GL67" s="49"/>
      <c r="GM67" s="49"/>
      <c r="GN67" s="49"/>
      <c r="GO67" s="49"/>
      <c r="GP67" s="49"/>
      <c r="GQ67" s="49"/>
      <c r="GR67" s="48"/>
      <c r="GS67" s="48"/>
      <c r="GT67" s="48"/>
      <c r="GU67" s="48"/>
      <c r="GV67" s="48"/>
      <c r="GW67" s="48"/>
      <c r="GX67" s="48"/>
      <c r="GY67" s="48"/>
      <c r="GZ67" s="48"/>
      <c r="HA67" s="48"/>
      <c r="HB67" s="48"/>
      <c r="HC67" s="48"/>
      <c r="HD67" s="48"/>
      <c r="HE67" s="48"/>
      <c r="HF67" s="13"/>
      <c r="HG67" s="13"/>
      <c r="HH67" s="13"/>
    </row>
    <row r="68" spans="1:216" ht="16.95" customHeight="1">
      <c r="A68" s="1"/>
      <c r="B68" s="3"/>
      <c r="C68" s="3"/>
      <c r="D68" s="12" t="str">
        <f ca="1">IF(FO40=0,"","precies in het midden ligt. Daar wordt dus de maximale omzet bereikt.")</f>
        <v/>
      </c>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26"/>
      <c r="FL68" s="26"/>
      <c r="FM68" s="47"/>
      <c r="FN68" s="47"/>
      <c r="FO68" s="47"/>
      <c r="FP68" s="47"/>
      <c r="FQ68" s="47"/>
      <c r="FR68" s="47"/>
      <c r="FS68" s="49"/>
      <c r="FT68" s="49"/>
      <c r="FU68" s="49"/>
      <c r="FV68" s="49"/>
      <c r="FW68" s="49"/>
      <c r="FX68" s="49"/>
      <c r="FY68" s="47"/>
      <c r="FZ68" s="94"/>
      <c r="GA68" s="49"/>
      <c r="GB68" s="49"/>
      <c r="GC68" s="49"/>
      <c r="GD68" s="49"/>
      <c r="GE68" s="49"/>
      <c r="GF68" s="49"/>
      <c r="GG68" s="49"/>
      <c r="GH68" s="49"/>
      <c r="GI68" s="49"/>
      <c r="GJ68" s="49"/>
      <c r="GK68" s="49"/>
      <c r="GL68" s="49"/>
      <c r="GM68" s="49"/>
      <c r="GN68" s="49"/>
      <c r="GO68" s="49"/>
      <c r="GP68" s="49"/>
      <c r="GQ68" s="49"/>
      <c r="GR68" s="48"/>
      <c r="GS68" s="48"/>
      <c r="GT68" s="48"/>
      <c r="GU68" s="48"/>
      <c r="GV68" s="48"/>
      <c r="GW68" s="48"/>
      <c r="GX68" s="48"/>
      <c r="GY68" s="48"/>
      <c r="GZ68" s="48"/>
      <c r="HA68" s="48"/>
      <c r="HB68" s="48"/>
      <c r="HC68" s="48"/>
      <c r="HD68" s="48"/>
      <c r="HE68" s="48"/>
      <c r="HF68" s="13"/>
      <c r="HG68" s="13"/>
      <c r="HH68" s="13"/>
    </row>
    <row r="69" spans="1:216" ht="16.95" customHeight="1">
      <c r="A69" s="1"/>
      <c r="B69" s="3"/>
      <c r="C69" s="3"/>
      <c r="D69" s="12" t="str">
        <f ca="1">IF(FO40=0,"","Hieronder is uitgebeeld hoe je uit de grafiek van de gemiddelde opbrengst")</f>
        <v/>
      </c>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26"/>
      <c r="FL69" s="26"/>
      <c r="FM69" s="47"/>
      <c r="FN69" s="47"/>
      <c r="FO69" s="47"/>
      <c r="FP69" s="47"/>
      <c r="FQ69" s="47"/>
      <c r="FR69" s="47"/>
      <c r="FS69" s="49"/>
      <c r="FT69" s="49"/>
      <c r="FU69" s="49"/>
      <c r="FV69" s="49"/>
      <c r="FW69" s="49"/>
      <c r="FX69" s="49"/>
      <c r="FY69" s="47"/>
      <c r="FZ69" s="94"/>
      <c r="GA69" s="49"/>
      <c r="GB69" s="49"/>
      <c r="GC69" s="49"/>
      <c r="GD69" s="49"/>
      <c r="GE69" s="49"/>
      <c r="GF69" s="49"/>
      <c r="GG69" s="49"/>
      <c r="GH69" s="49"/>
      <c r="GI69" s="49"/>
      <c r="GJ69" s="49"/>
      <c r="GK69" s="49"/>
      <c r="GL69" s="49"/>
      <c r="GM69" s="49"/>
      <c r="GN69" s="49"/>
      <c r="GO69" s="49"/>
      <c r="GP69" s="49"/>
      <c r="GQ69" s="49"/>
      <c r="GR69" s="48"/>
      <c r="GS69" s="48"/>
      <c r="GT69" s="48"/>
      <c r="GU69" s="48"/>
      <c r="GV69" s="48"/>
      <c r="GW69" s="48"/>
      <c r="GX69" s="48"/>
      <c r="GY69" s="48"/>
      <c r="GZ69" s="48"/>
      <c r="HA69" s="48"/>
      <c r="HB69" s="48"/>
      <c r="HC69" s="48"/>
      <c r="HD69" s="48"/>
      <c r="HE69" s="48"/>
      <c r="HF69" s="13"/>
      <c r="HG69" s="13"/>
      <c r="HH69" s="13"/>
    </row>
    <row r="70" spans="1:216" ht="16.95" customHeight="1">
      <c r="A70" s="1"/>
      <c r="B70" s="3"/>
      <c r="C70" s="3"/>
      <c r="D70" s="12" t="str">
        <f ca="1">IF(FO40=0,"","(de vijf grafieken eromheen) de grafiek van de totale opbrengst kunt afleiden.")</f>
        <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26"/>
      <c r="FL70" s="26"/>
      <c r="FM70" s="47"/>
      <c r="FN70" s="47"/>
      <c r="FO70" s="47"/>
      <c r="FP70" s="47"/>
      <c r="FQ70" s="47"/>
      <c r="FR70" s="47"/>
      <c r="FS70" s="49"/>
      <c r="FT70" s="49"/>
      <c r="FU70" s="49"/>
      <c r="FV70" s="49"/>
      <c r="FW70" s="49"/>
      <c r="FX70" s="49"/>
      <c r="FY70" s="47"/>
      <c r="FZ70" s="94"/>
      <c r="GA70" s="49"/>
      <c r="GB70" s="49"/>
      <c r="GC70" s="49"/>
      <c r="GD70" s="49"/>
      <c r="GE70" s="49"/>
      <c r="GF70" s="49"/>
      <c r="GG70" s="49"/>
      <c r="GH70" s="49"/>
      <c r="GI70" s="49"/>
      <c r="GJ70" s="49"/>
      <c r="GK70" s="49"/>
      <c r="GL70" s="49"/>
      <c r="GM70" s="49"/>
      <c r="GN70" s="49"/>
      <c r="GO70" s="49"/>
      <c r="GP70" s="49"/>
      <c r="GQ70" s="49"/>
      <c r="GR70" s="48"/>
      <c r="GS70" s="48"/>
      <c r="GT70" s="48"/>
      <c r="GU70" s="48"/>
      <c r="GV70" s="48"/>
      <c r="GW70" s="48"/>
      <c r="GX70" s="48"/>
      <c r="GY70" s="48"/>
      <c r="GZ70" s="48"/>
      <c r="HA70" s="48"/>
      <c r="HB70" s="48"/>
      <c r="HC70" s="48"/>
      <c r="HD70" s="48"/>
      <c r="HE70" s="48"/>
      <c r="HF70" s="13"/>
      <c r="HG70" s="13"/>
      <c r="HH70" s="13"/>
    </row>
    <row r="71" spans="1:216" ht="16.5" customHeight="1">
      <c r="A71" s="1"/>
      <c r="B71" s="3"/>
      <c r="C71" s="3"/>
      <c r="D71" s="621" t="str">
        <f ca="1">IF(FO40=0,"`","")</f>
        <v>`</v>
      </c>
      <c r="E71" s="532"/>
      <c r="F71" s="532"/>
      <c r="G71" s="532"/>
      <c r="H71" s="532"/>
      <c r="I71" s="532"/>
      <c r="J71" s="532"/>
      <c r="K71" s="532"/>
      <c r="L71" s="532"/>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2"/>
      <c r="AK71" s="532"/>
      <c r="AL71" s="532"/>
      <c r="AM71" s="532"/>
      <c r="AN71" s="532"/>
      <c r="AO71" s="532"/>
      <c r="AP71" s="532"/>
      <c r="AQ71" s="532"/>
      <c r="AR71" s="532"/>
      <c r="AS71" s="532"/>
      <c r="AT71" s="532"/>
      <c r="AU71" s="532"/>
      <c r="AV71" s="532"/>
      <c r="AW71" s="532"/>
      <c r="AX71" s="532"/>
      <c r="AY71" s="532"/>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W71" s="532"/>
      <c r="BX71" s="532"/>
      <c r="BY71" s="532"/>
      <c r="BZ71" s="532"/>
      <c r="CA71" s="532"/>
      <c r="CB71" s="532"/>
      <c r="CC71" s="532"/>
      <c r="CD71" s="532"/>
      <c r="CE71" s="532"/>
      <c r="CF71" s="532"/>
      <c r="CG71" s="532"/>
      <c r="CH71" s="532"/>
      <c r="CI71" s="532"/>
      <c r="CJ71" s="532"/>
      <c r="CK71" s="532"/>
      <c r="CL71" s="532"/>
      <c r="CM71" s="532"/>
      <c r="CN71" s="532"/>
      <c r="CO71" s="532"/>
      <c r="CP71" s="532"/>
      <c r="CQ71" s="532"/>
      <c r="CR71" s="532"/>
      <c r="CS71" s="532"/>
      <c r="CT71" s="532"/>
      <c r="CU71" s="532"/>
      <c r="CV71" s="532"/>
      <c r="CW71" s="532"/>
      <c r="CX71" s="532"/>
      <c r="CY71" s="532"/>
      <c r="CZ71" s="532"/>
      <c r="DA71" s="532"/>
      <c r="DB71" s="532"/>
      <c r="DC71" s="532"/>
      <c r="DD71" s="532"/>
      <c r="DE71" s="532"/>
      <c r="DF71" s="532"/>
      <c r="DG71" s="532"/>
      <c r="DH71" s="532"/>
      <c r="DI71" s="532"/>
      <c r="DJ71" s="532"/>
      <c r="DK71" s="532"/>
      <c r="DL71" s="532"/>
      <c r="DM71" s="532"/>
      <c r="DN71" s="532"/>
      <c r="DO71" s="532"/>
      <c r="DP71" s="532"/>
      <c r="DQ71" s="532"/>
      <c r="DR71" s="532"/>
      <c r="DS71" s="532"/>
      <c r="DT71" s="532"/>
      <c r="DU71" s="532"/>
      <c r="DV71" s="532"/>
      <c r="DW71" s="532"/>
      <c r="DX71" s="532"/>
      <c r="DY71" s="532"/>
      <c r="DZ71" s="532"/>
      <c r="EA71" s="532"/>
      <c r="EB71" s="532"/>
      <c r="EC71" s="532"/>
      <c r="ED71" s="532"/>
      <c r="EE71" s="532"/>
      <c r="EF71" s="532"/>
      <c r="EG71" s="532"/>
      <c r="EH71" s="532"/>
      <c r="EI71" s="532"/>
      <c r="EJ71" s="532"/>
      <c r="EK71" s="532"/>
      <c r="EL71" s="532"/>
      <c r="EM71" s="532"/>
      <c r="EN71" s="532"/>
      <c r="EO71" s="532"/>
      <c r="EP71" s="532"/>
      <c r="EQ71" s="532"/>
      <c r="ER71" s="532"/>
      <c r="ES71" s="532"/>
      <c r="ET71" s="532"/>
      <c r="EU71" s="532"/>
      <c r="EV71" s="532"/>
      <c r="EW71" s="532"/>
      <c r="EX71" s="532"/>
      <c r="EY71" s="532"/>
      <c r="EZ71" s="532"/>
      <c r="FA71" s="532"/>
      <c r="FB71" s="10"/>
      <c r="FC71" s="10"/>
      <c r="FD71" s="10"/>
      <c r="FE71" s="10"/>
      <c r="FF71" s="10"/>
      <c r="FG71" s="10"/>
      <c r="FH71" s="10"/>
      <c r="FI71" s="10"/>
      <c r="FJ71" s="10"/>
      <c r="FK71" s="26"/>
      <c r="FL71" s="26"/>
      <c r="FM71" s="47"/>
      <c r="FN71" s="47"/>
      <c r="FO71" s="47"/>
      <c r="FP71" s="47"/>
      <c r="FQ71" s="47"/>
      <c r="FR71" s="47"/>
      <c r="FS71" s="49"/>
      <c r="FT71" s="49"/>
      <c r="FU71" s="49"/>
      <c r="FV71" s="49"/>
      <c r="FW71" s="49"/>
      <c r="FX71" s="49"/>
      <c r="FY71" s="47"/>
      <c r="FZ71" s="94"/>
      <c r="GA71" s="49"/>
      <c r="GB71" s="49"/>
      <c r="GC71" s="49"/>
      <c r="GD71" s="49"/>
      <c r="GE71" s="49"/>
      <c r="GF71" s="49"/>
      <c r="GG71" s="49"/>
      <c r="GH71" s="49"/>
      <c r="GI71" s="49"/>
      <c r="GJ71" s="49"/>
      <c r="GK71" s="49"/>
      <c r="GL71" s="49"/>
      <c r="GM71" s="49"/>
      <c r="GN71" s="49"/>
      <c r="GO71" s="49"/>
      <c r="GP71" s="49"/>
      <c r="GQ71" s="49"/>
      <c r="GR71" s="48"/>
      <c r="GS71" s="48"/>
      <c r="GT71" s="48"/>
      <c r="GU71" s="48"/>
      <c r="GV71" s="48"/>
      <c r="GW71" s="48"/>
      <c r="GX71" s="48"/>
      <c r="GY71" s="48"/>
      <c r="GZ71" s="48"/>
      <c r="HA71" s="48"/>
      <c r="HB71" s="48"/>
      <c r="HC71" s="48"/>
      <c r="HD71" s="48"/>
      <c r="HE71" s="48"/>
      <c r="HF71" s="13"/>
      <c r="HG71" s="13"/>
      <c r="HH71" s="13"/>
    </row>
    <row r="72" spans="1:216" ht="16.5" customHeight="1">
      <c r="A72" s="1"/>
      <c r="B72" s="3"/>
      <c r="C72" s="3"/>
      <c r="D72" s="532"/>
      <c r="E72" s="532"/>
      <c r="F72" s="532"/>
      <c r="G72" s="532"/>
      <c r="H72" s="532"/>
      <c r="I72" s="532"/>
      <c r="J72" s="532"/>
      <c r="K72" s="532"/>
      <c r="L72" s="532"/>
      <c r="M72" s="532"/>
      <c r="N72" s="532"/>
      <c r="O72" s="532"/>
      <c r="P72" s="532"/>
      <c r="Q72" s="532"/>
      <c r="R72" s="532"/>
      <c r="S72" s="532"/>
      <c r="T72" s="532"/>
      <c r="U72" s="532"/>
      <c r="V72" s="532"/>
      <c r="W72" s="532"/>
      <c r="X72" s="532"/>
      <c r="Y72" s="532"/>
      <c r="Z72" s="532"/>
      <c r="AA72" s="532"/>
      <c r="AB72" s="532"/>
      <c r="AC72" s="532"/>
      <c r="AD72" s="532"/>
      <c r="AE72" s="532"/>
      <c r="AF72" s="532"/>
      <c r="AG72" s="532"/>
      <c r="AH72" s="532"/>
      <c r="AI72" s="532"/>
      <c r="AJ72" s="532"/>
      <c r="AK72" s="532"/>
      <c r="AL72" s="532"/>
      <c r="AM72" s="532"/>
      <c r="AN72" s="532"/>
      <c r="AO72" s="532"/>
      <c r="AP72" s="532"/>
      <c r="AQ72" s="532"/>
      <c r="AR72" s="532"/>
      <c r="AS72" s="532"/>
      <c r="AT72" s="532"/>
      <c r="AU72" s="532"/>
      <c r="AV72" s="532"/>
      <c r="AW72" s="532"/>
      <c r="AX72" s="532"/>
      <c r="AY72" s="532"/>
      <c r="AZ72" s="532"/>
      <c r="BA72" s="532"/>
      <c r="BB72" s="532"/>
      <c r="BC72" s="532"/>
      <c r="BD72" s="532"/>
      <c r="BE72" s="532"/>
      <c r="BF72" s="532"/>
      <c r="BG72" s="532"/>
      <c r="BH72" s="532"/>
      <c r="BI72" s="532"/>
      <c r="BJ72" s="532"/>
      <c r="BK72" s="532"/>
      <c r="BL72" s="532"/>
      <c r="BM72" s="532"/>
      <c r="BN72" s="532"/>
      <c r="BO72" s="532"/>
      <c r="BP72" s="532"/>
      <c r="BQ72" s="532"/>
      <c r="BR72" s="532"/>
      <c r="BS72" s="532"/>
      <c r="BT72" s="532"/>
      <c r="BU72" s="532"/>
      <c r="BV72" s="532"/>
      <c r="BW72" s="532"/>
      <c r="BX72" s="532"/>
      <c r="BY72" s="532"/>
      <c r="BZ72" s="532"/>
      <c r="CA72" s="532"/>
      <c r="CB72" s="532"/>
      <c r="CC72" s="532"/>
      <c r="CD72" s="532"/>
      <c r="CE72" s="532"/>
      <c r="CF72" s="532"/>
      <c r="CG72" s="532"/>
      <c r="CH72" s="532"/>
      <c r="CI72" s="532"/>
      <c r="CJ72" s="532"/>
      <c r="CK72" s="532"/>
      <c r="CL72" s="532"/>
      <c r="CM72" s="532"/>
      <c r="CN72" s="532"/>
      <c r="CO72" s="532"/>
      <c r="CP72" s="532"/>
      <c r="CQ72" s="532"/>
      <c r="CR72" s="532"/>
      <c r="CS72" s="532"/>
      <c r="CT72" s="532"/>
      <c r="CU72" s="532"/>
      <c r="CV72" s="532"/>
      <c r="CW72" s="532"/>
      <c r="CX72" s="532"/>
      <c r="CY72" s="532"/>
      <c r="CZ72" s="532"/>
      <c r="DA72" s="532"/>
      <c r="DB72" s="532"/>
      <c r="DC72" s="532"/>
      <c r="DD72" s="532"/>
      <c r="DE72" s="532"/>
      <c r="DF72" s="532"/>
      <c r="DG72" s="532"/>
      <c r="DH72" s="532"/>
      <c r="DI72" s="532"/>
      <c r="DJ72" s="532"/>
      <c r="DK72" s="532"/>
      <c r="DL72" s="532"/>
      <c r="DM72" s="532"/>
      <c r="DN72" s="532"/>
      <c r="DO72" s="532"/>
      <c r="DP72" s="532"/>
      <c r="DQ72" s="532"/>
      <c r="DR72" s="532"/>
      <c r="DS72" s="532"/>
      <c r="DT72" s="532"/>
      <c r="DU72" s="532"/>
      <c r="DV72" s="532"/>
      <c r="DW72" s="532"/>
      <c r="DX72" s="532"/>
      <c r="DY72" s="532"/>
      <c r="DZ72" s="532"/>
      <c r="EA72" s="532"/>
      <c r="EB72" s="532"/>
      <c r="EC72" s="532"/>
      <c r="ED72" s="532"/>
      <c r="EE72" s="532"/>
      <c r="EF72" s="532"/>
      <c r="EG72" s="532"/>
      <c r="EH72" s="532"/>
      <c r="EI72" s="532"/>
      <c r="EJ72" s="532"/>
      <c r="EK72" s="532"/>
      <c r="EL72" s="532"/>
      <c r="EM72" s="532"/>
      <c r="EN72" s="532"/>
      <c r="EO72" s="532"/>
      <c r="EP72" s="532"/>
      <c r="EQ72" s="532"/>
      <c r="ER72" s="532"/>
      <c r="ES72" s="532"/>
      <c r="ET72" s="532"/>
      <c r="EU72" s="532"/>
      <c r="EV72" s="532"/>
      <c r="EW72" s="532"/>
      <c r="EX72" s="532"/>
      <c r="EY72" s="532"/>
      <c r="EZ72" s="532"/>
      <c r="FA72" s="532"/>
      <c r="FB72" s="10"/>
      <c r="FC72" s="10"/>
      <c r="FD72" s="10"/>
      <c r="FE72" s="10"/>
      <c r="FF72" s="10"/>
      <c r="FG72" s="10"/>
      <c r="FH72" s="10"/>
      <c r="FI72" s="10"/>
      <c r="FJ72" s="10"/>
      <c r="FK72" s="26"/>
      <c r="FL72" s="26"/>
      <c r="FM72" s="47"/>
      <c r="FN72" s="47"/>
      <c r="FO72" s="47"/>
      <c r="FP72" s="47"/>
      <c r="FQ72" s="47"/>
      <c r="FR72" s="47"/>
      <c r="FS72" s="49"/>
      <c r="FT72" s="49"/>
      <c r="FU72" s="49"/>
      <c r="FV72" s="49"/>
      <c r="FW72" s="49"/>
      <c r="FX72" s="49"/>
      <c r="FY72" s="47"/>
      <c r="FZ72" s="94"/>
      <c r="GA72" s="49"/>
      <c r="GB72" s="49"/>
      <c r="GC72" s="49"/>
      <c r="GD72" s="49"/>
      <c r="GE72" s="49"/>
      <c r="GF72" s="49"/>
      <c r="GG72" s="49"/>
      <c r="GH72" s="49"/>
      <c r="GI72" s="49"/>
      <c r="GJ72" s="49"/>
      <c r="GK72" s="49"/>
      <c r="GL72" s="49"/>
      <c r="GM72" s="49"/>
      <c r="GN72" s="49"/>
      <c r="GO72" s="49"/>
      <c r="GP72" s="49"/>
      <c r="GQ72" s="49"/>
      <c r="GR72" s="48"/>
      <c r="GS72" s="48"/>
      <c r="GT72" s="48"/>
      <c r="GU72" s="48"/>
      <c r="GV72" s="48"/>
      <c r="GW72" s="48"/>
      <c r="GX72" s="48"/>
      <c r="GY72" s="48"/>
      <c r="GZ72" s="48"/>
      <c r="HA72" s="48"/>
      <c r="HB72" s="48"/>
      <c r="HC72" s="48"/>
      <c r="HD72" s="48"/>
      <c r="HE72" s="48"/>
      <c r="HF72" s="13"/>
      <c r="HG72" s="13"/>
      <c r="HH72" s="13"/>
    </row>
    <row r="73" spans="1:216" ht="16.5" customHeight="1">
      <c r="A73" s="1"/>
      <c r="B73" s="3"/>
      <c r="C73" s="3"/>
      <c r="D73" s="532"/>
      <c r="E73" s="532"/>
      <c r="F73" s="532"/>
      <c r="G73" s="532"/>
      <c r="H73" s="532"/>
      <c r="I73" s="532"/>
      <c r="J73" s="532"/>
      <c r="K73" s="532"/>
      <c r="L73" s="532"/>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2"/>
      <c r="AK73" s="532"/>
      <c r="AL73" s="532"/>
      <c r="AM73" s="532"/>
      <c r="AN73" s="532"/>
      <c r="AO73" s="532"/>
      <c r="AP73" s="532"/>
      <c r="AQ73" s="532"/>
      <c r="AR73" s="532"/>
      <c r="AS73" s="532"/>
      <c r="AT73" s="532"/>
      <c r="AU73" s="532"/>
      <c r="AV73" s="532"/>
      <c r="AW73" s="532"/>
      <c r="AX73" s="532"/>
      <c r="AY73" s="532"/>
      <c r="AZ73" s="532"/>
      <c r="BA73" s="532"/>
      <c r="BB73" s="532"/>
      <c r="BC73" s="532"/>
      <c r="BD73" s="532"/>
      <c r="BE73" s="532"/>
      <c r="BF73" s="532"/>
      <c r="BG73" s="532"/>
      <c r="BH73" s="532"/>
      <c r="BI73" s="532"/>
      <c r="BJ73" s="532"/>
      <c r="BK73" s="532"/>
      <c r="BL73" s="532"/>
      <c r="BM73" s="532"/>
      <c r="BN73" s="532"/>
      <c r="BO73" s="532"/>
      <c r="BP73" s="532"/>
      <c r="BQ73" s="532"/>
      <c r="BR73" s="532"/>
      <c r="BS73" s="532"/>
      <c r="BT73" s="532"/>
      <c r="BU73" s="532"/>
      <c r="BV73" s="532"/>
      <c r="BW73" s="532"/>
      <c r="BX73" s="532"/>
      <c r="BY73" s="532"/>
      <c r="BZ73" s="532"/>
      <c r="CA73" s="532"/>
      <c r="CB73" s="532"/>
      <c r="CC73" s="532"/>
      <c r="CD73" s="532"/>
      <c r="CE73" s="532"/>
      <c r="CF73" s="532"/>
      <c r="CG73" s="532"/>
      <c r="CH73" s="532"/>
      <c r="CI73" s="532"/>
      <c r="CJ73" s="532"/>
      <c r="CK73" s="532"/>
      <c r="CL73" s="532"/>
      <c r="CM73" s="532"/>
      <c r="CN73" s="532"/>
      <c r="CO73" s="532"/>
      <c r="CP73" s="532"/>
      <c r="CQ73" s="532"/>
      <c r="CR73" s="532"/>
      <c r="CS73" s="532"/>
      <c r="CT73" s="532"/>
      <c r="CU73" s="532"/>
      <c r="CV73" s="532"/>
      <c r="CW73" s="532"/>
      <c r="CX73" s="532"/>
      <c r="CY73" s="532"/>
      <c r="CZ73" s="532"/>
      <c r="DA73" s="532"/>
      <c r="DB73" s="532"/>
      <c r="DC73" s="532"/>
      <c r="DD73" s="532"/>
      <c r="DE73" s="532"/>
      <c r="DF73" s="532"/>
      <c r="DG73" s="532"/>
      <c r="DH73" s="532"/>
      <c r="DI73" s="532"/>
      <c r="DJ73" s="532"/>
      <c r="DK73" s="532"/>
      <c r="DL73" s="532"/>
      <c r="DM73" s="532"/>
      <c r="DN73" s="532"/>
      <c r="DO73" s="532"/>
      <c r="DP73" s="532"/>
      <c r="DQ73" s="532"/>
      <c r="DR73" s="532"/>
      <c r="DS73" s="532"/>
      <c r="DT73" s="532"/>
      <c r="DU73" s="532"/>
      <c r="DV73" s="532"/>
      <c r="DW73" s="532"/>
      <c r="DX73" s="532"/>
      <c r="DY73" s="532"/>
      <c r="DZ73" s="532"/>
      <c r="EA73" s="532"/>
      <c r="EB73" s="532"/>
      <c r="EC73" s="532"/>
      <c r="ED73" s="532"/>
      <c r="EE73" s="532"/>
      <c r="EF73" s="532"/>
      <c r="EG73" s="532"/>
      <c r="EH73" s="532"/>
      <c r="EI73" s="532"/>
      <c r="EJ73" s="532"/>
      <c r="EK73" s="532"/>
      <c r="EL73" s="532"/>
      <c r="EM73" s="532"/>
      <c r="EN73" s="532"/>
      <c r="EO73" s="532"/>
      <c r="EP73" s="532"/>
      <c r="EQ73" s="532"/>
      <c r="ER73" s="532"/>
      <c r="ES73" s="532"/>
      <c r="ET73" s="532"/>
      <c r="EU73" s="532"/>
      <c r="EV73" s="532"/>
      <c r="EW73" s="532"/>
      <c r="EX73" s="532"/>
      <c r="EY73" s="532"/>
      <c r="EZ73" s="532"/>
      <c r="FA73" s="532"/>
      <c r="FB73" s="10"/>
      <c r="FC73" s="10"/>
      <c r="FD73" s="10"/>
      <c r="FE73" s="10"/>
      <c r="FF73" s="10"/>
      <c r="FG73" s="10"/>
      <c r="FH73" s="10"/>
      <c r="FI73" s="10"/>
      <c r="FJ73" s="10"/>
      <c r="FK73" s="26"/>
      <c r="FL73" s="26"/>
      <c r="FM73" s="47"/>
      <c r="FN73" s="47"/>
      <c r="FO73" s="47"/>
      <c r="FP73" s="47"/>
      <c r="FQ73" s="47"/>
      <c r="FR73" s="47"/>
      <c r="FS73" s="49"/>
      <c r="FT73" s="49"/>
      <c r="FU73" s="49"/>
      <c r="FV73" s="49"/>
      <c r="FW73" s="49"/>
      <c r="FX73" s="49"/>
      <c r="FY73" s="47"/>
      <c r="FZ73" s="94"/>
      <c r="GA73" s="49"/>
      <c r="GB73" s="49"/>
      <c r="GC73" s="49"/>
      <c r="GD73" s="49"/>
      <c r="GE73" s="49"/>
      <c r="GF73" s="49"/>
      <c r="GG73" s="49"/>
      <c r="GH73" s="49"/>
      <c r="GI73" s="49"/>
      <c r="GJ73" s="49"/>
      <c r="GK73" s="49"/>
      <c r="GL73" s="49"/>
      <c r="GM73" s="49"/>
      <c r="GN73" s="49"/>
      <c r="GO73" s="49"/>
      <c r="GP73" s="49"/>
      <c r="GQ73" s="49"/>
      <c r="GR73" s="48"/>
      <c r="GS73" s="48"/>
      <c r="GT73" s="48"/>
      <c r="GU73" s="48"/>
      <c r="GV73" s="48"/>
      <c r="GW73" s="48"/>
      <c r="GX73" s="48"/>
      <c r="GY73" s="48"/>
      <c r="GZ73" s="48"/>
      <c r="HA73" s="48"/>
      <c r="HB73" s="48"/>
      <c r="HC73" s="48"/>
      <c r="HD73" s="48"/>
      <c r="HE73" s="48"/>
      <c r="HF73" s="13"/>
      <c r="HG73" s="13"/>
      <c r="HH73" s="13"/>
    </row>
    <row r="74" spans="1:216" ht="16.5" customHeight="1">
      <c r="A74" s="1"/>
      <c r="B74" s="3"/>
      <c r="C74" s="3"/>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532"/>
      <c r="AY74" s="532"/>
      <c r="AZ74" s="532"/>
      <c r="BA74" s="532"/>
      <c r="BB74" s="532"/>
      <c r="BC74" s="532"/>
      <c r="BD74" s="532"/>
      <c r="BE74" s="532"/>
      <c r="BF74" s="532"/>
      <c r="BG74" s="532"/>
      <c r="BH74" s="532"/>
      <c r="BI74" s="532"/>
      <c r="BJ74" s="532"/>
      <c r="BK74" s="532"/>
      <c r="BL74" s="532"/>
      <c r="BM74" s="532"/>
      <c r="BN74" s="532"/>
      <c r="BO74" s="532"/>
      <c r="BP74" s="532"/>
      <c r="BQ74" s="532"/>
      <c r="BR74" s="532"/>
      <c r="BS74" s="532"/>
      <c r="BT74" s="532"/>
      <c r="BU74" s="532"/>
      <c r="BV74" s="532"/>
      <c r="BW74" s="532"/>
      <c r="BX74" s="532"/>
      <c r="BY74" s="532"/>
      <c r="BZ74" s="532"/>
      <c r="CA74" s="532"/>
      <c r="CB74" s="532"/>
      <c r="CC74" s="532"/>
      <c r="CD74" s="532"/>
      <c r="CE74" s="532"/>
      <c r="CF74" s="532"/>
      <c r="CG74" s="532"/>
      <c r="CH74" s="532"/>
      <c r="CI74" s="532"/>
      <c r="CJ74" s="532"/>
      <c r="CK74" s="532"/>
      <c r="CL74" s="532"/>
      <c r="CM74" s="532"/>
      <c r="CN74" s="532"/>
      <c r="CO74" s="532"/>
      <c r="CP74" s="532"/>
      <c r="CQ74" s="532"/>
      <c r="CR74" s="532"/>
      <c r="CS74" s="532"/>
      <c r="CT74" s="532"/>
      <c r="CU74" s="532"/>
      <c r="CV74" s="532"/>
      <c r="CW74" s="532"/>
      <c r="CX74" s="532"/>
      <c r="CY74" s="532"/>
      <c r="CZ74" s="532"/>
      <c r="DA74" s="532"/>
      <c r="DB74" s="532"/>
      <c r="DC74" s="532"/>
      <c r="DD74" s="532"/>
      <c r="DE74" s="532"/>
      <c r="DF74" s="532"/>
      <c r="DG74" s="532"/>
      <c r="DH74" s="532"/>
      <c r="DI74" s="532"/>
      <c r="DJ74" s="532"/>
      <c r="DK74" s="532"/>
      <c r="DL74" s="532"/>
      <c r="DM74" s="532"/>
      <c r="DN74" s="532"/>
      <c r="DO74" s="532"/>
      <c r="DP74" s="532"/>
      <c r="DQ74" s="532"/>
      <c r="DR74" s="532"/>
      <c r="DS74" s="532"/>
      <c r="DT74" s="532"/>
      <c r="DU74" s="532"/>
      <c r="DV74" s="532"/>
      <c r="DW74" s="532"/>
      <c r="DX74" s="532"/>
      <c r="DY74" s="532"/>
      <c r="DZ74" s="532"/>
      <c r="EA74" s="532"/>
      <c r="EB74" s="532"/>
      <c r="EC74" s="532"/>
      <c r="ED74" s="532"/>
      <c r="EE74" s="532"/>
      <c r="EF74" s="532"/>
      <c r="EG74" s="532"/>
      <c r="EH74" s="532"/>
      <c r="EI74" s="532"/>
      <c r="EJ74" s="532"/>
      <c r="EK74" s="532"/>
      <c r="EL74" s="532"/>
      <c r="EM74" s="532"/>
      <c r="EN74" s="532"/>
      <c r="EO74" s="532"/>
      <c r="EP74" s="532"/>
      <c r="EQ74" s="532"/>
      <c r="ER74" s="532"/>
      <c r="ES74" s="532"/>
      <c r="ET74" s="532"/>
      <c r="EU74" s="532"/>
      <c r="EV74" s="532"/>
      <c r="EW74" s="532"/>
      <c r="EX74" s="532"/>
      <c r="EY74" s="532"/>
      <c r="EZ74" s="532"/>
      <c r="FA74" s="532"/>
      <c r="FB74" s="10"/>
      <c r="FC74" s="10"/>
      <c r="FD74" s="10"/>
      <c r="FE74" s="10"/>
      <c r="FF74" s="10"/>
      <c r="FG74" s="10"/>
      <c r="FH74" s="10"/>
      <c r="FI74" s="10"/>
      <c r="FJ74" s="10"/>
      <c r="FK74" s="26"/>
      <c r="FL74" s="26"/>
      <c r="FM74" s="47"/>
      <c r="FN74" s="47"/>
      <c r="FO74" s="47"/>
      <c r="FP74" s="47"/>
      <c r="FQ74" s="47"/>
      <c r="FR74" s="47"/>
      <c r="FS74" s="49"/>
      <c r="FT74" s="49"/>
      <c r="FU74" s="49"/>
      <c r="FV74" s="49"/>
      <c r="FW74" s="49"/>
      <c r="FX74" s="49"/>
      <c r="FY74" s="47"/>
      <c r="FZ74" s="94"/>
      <c r="GA74" s="49"/>
      <c r="GB74" s="49"/>
      <c r="GC74" s="49"/>
      <c r="GD74" s="49"/>
      <c r="GE74" s="49"/>
      <c r="GF74" s="49"/>
      <c r="GG74" s="49"/>
      <c r="GH74" s="49"/>
      <c r="GI74" s="49"/>
      <c r="GJ74" s="49"/>
      <c r="GK74" s="49"/>
      <c r="GL74" s="49"/>
      <c r="GM74" s="49"/>
      <c r="GN74" s="49"/>
      <c r="GO74" s="49"/>
      <c r="GP74" s="49"/>
      <c r="GQ74" s="49"/>
      <c r="GR74" s="48"/>
      <c r="GS74" s="48"/>
      <c r="GT74" s="48"/>
      <c r="GU74" s="48"/>
      <c r="GV74" s="48"/>
      <c r="GW74" s="48"/>
      <c r="GX74" s="48"/>
      <c r="GY74" s="48"/>
      <c r="GZ74" s="48"/>
      <c r="HA74" s="48"/>
      <c r="HB74" s="48"/>
      <c r="HC74" s="48"/>
      <c r="HD74" s="48"/>
      <c r="HE74" s="48"/>
      <c r="HF74" s="13"/>
      <c r="HG74" s="13"/>
      <c r="HH74" s="13"/>
    </row>
    <row r="75" spans="1:216" ht="16.5" customHeight="1">
      <c r="A75" s="1"/>
      <c r="B75" s="3"/>
      <c r="C75" s="3"/>
      <c r="D75" s="532"/>
      <c r="E75" s="532"/>
      <c r="F75" s="532"/>
      <c r="G75" s="532"/>
      <c r="H75" s="532"/>
      <c r="I75" s="532"/>
      <c r="J75" s="532"/>
      <c r="K75" s="532"/>
      <c r="L75" s="532"/>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c r="AM75" s="532"/>
      <c r="AN75" s="532"/>
      <c r="AO75" s="532"/>
      <c r="AP75" s="532"/>
      <c r="AQ75" s="532"/>
      <c r="AR75" s="532"/>
      <c r="AS75" s="532"/>
      <c r="AT75" s="532"/>
      <c r="AU75" s="532"/>
      <c r="AV75" s="532"/>
      <c r="AW75" s="532"/>
      <c r="AX75" s="532"/>
      <c r="AY75" s="532"/>
      <c r="AZ75" s="532"/>
      <c r="BA75" s="532"/>
      <c r="BB75" s="532"/>
      <c r="BC75" s="532"/>
      <c r="BD75" s="532"/>
      <c r="BE75" s="532"/>
      <c r="BF75" s="532"/>
      <c r="BG75" s="532"/>
      <c r="BH75" s="532"/>
      <c r="BI75" s="532"/>
      <c r="BJ75" s="532"/>
      <c r="BK75" s="532"/>
      <c r="BL75" s="532"/>
      <c r="BM75" s="532"/>
      <c r="BN75" s="532"/>
      <c r="BO75" s="532"/>
      <c r="BP75" s="532"/>
      <c r="BQ75" s="532"/>
      <c r="BR75" s="532"/>
      <c r="BS75" s="532"/>
      <c r="BT75" s="532"/>
      <c r="BU75" s="532"/>
      <c r="BV75" s="532"/>
      <c r="BW75" s="532"/>
      <c r="BX75" s="532"/>
      <c r="BY75" s="532"/>
      <c r="BZ75" s="532"/>
      <c r="CA75" s="532"/>
      <c r="CB75" s="532"/>
      <c r="CC75" s="532"/>
      <c r="CD75" s="532"/>
      <c r="CE75" s="532"/>
      <c r="CF75" s="532"/>
      <c r="CG75" s="532"/>
      <c r="CH75" s="532"/>
      <c r="CI75" s="532"/>
      <c r="CJ75" s="532"/>
      <c r="CK75" s="532"/>
      <c r="CL75" s="532"/>
      <c r="CM75" s="532"/>
      <c r="CN75" s="532"/>
      <c r="CO75" s="532"/>
      <c r="CP75" s="532"/>
      <c r="CQ75" s="532"/>
      <c r="CR75" s="532"/>
      <c r="CS75" s="532"/>
      <c r="CT75" s="532"/>
      <c r="CU75" s="532"/>
      <c r="CV75" s="532"/>
      <c r="CW75" s="532"/>
      <c r="CX75" s="532"/>
      <c r="CY75" s="532"/>
      <c r="CZ75" s="532"/>
      <c r="DA75" s="532"/>
      <c r="DB75" s="532"/>
      <c r="DC75" s="532"/>
      <c r="DD75" s="532"/>
      <c r="DE75" s="532"/>
      <c r="DF75" s="532"/>
      <c r="DG75" s="532"/>
      <c r="DH75" s="532"/>
      <c r="DI75" s="532"/>
      <c r="DJ75" s="532"/>
      <c r="DK75" s="532"/>
      <c r="DL75" s="532"/>
      <c r="DM75" s="532"/>
      <c r="DN75" s="532"/>
      <c r="DO75" s="532"/>
      <c r="DP75" s="532"/>
      <c r="DQ75" s="532"/>
      <c r="DR75" s="532"/>
      <c r="DS75" s="532"/>
      <c r="DT75" s="532"/>
      <c r="DU75" s="532"/>
      <c r="DV75" s="532"/>
      <c r="DW75" s="532"/>
      <c r="DX75" s="532"/>
      <c r="DY75" s="532"/>
      <c r="DZ75" s="532"/>
      <c r="EA75" s="532"/>
      <c r="EB75" s="532"/>
      <c r="EC75" s="532"/>
      <c r="ED75" s="532"/>
      <c r="EE75" s="532"/>
      <c r="EF75" s="532"/>
      <c r="EG75" s="532"/>
      <c r="EH75" s="532"/>
      <c r="EI75" s="532"/>
      <c r="EJ75" s="532"/>
      <c r="EK75" s="532"/>
      <c r="EL75" s="532"/>
      <c r="EM75" s="532"/>
      <c r="EN75" s="532"/>
      <c r="EO75" s="532"/>
      <c r="EP75" s="532"/>
      <c r="EQ75" s="532"/>
      <c r="ER75" s="532"/>
      <c r="ES75" s="532"/>
      <c r="ET75" s="532"/>
      <c r="EU75" s="532"/>
      <c r="EV75" s="532"/>
      <c r="EW75" s="532"/>
      <c r="EX75" s="532"/>
      <c r="EY75" s="532"/>
      <c r="EZ75" s="532"/>
      <c r="FA75" s="532"/>
      <c r="FB75" s="10"/>
      <c r="FC75" s="10"/>
      <c r="FD75" s="10"/>
      <c r="FE75" s="10"/>
      <c r="FF75" s="10"/>
      <c r="FG75" s="10"/>
      <c r="FH75" s="10"/>
      <c r="FI75" s="10"/>
      <c r="FJ75" s="10"/>
      <c r="FK75" s="26"/>
      <c r="FL75" s="26"/>
      <c r="FM75" s="47"/>
      <c r="FN75" s="47"/>
      <c r="FO75" s="47"/>
      <c r="FP75" s="47"/>
      <c r="FQ75" s="47"/>
      <c r="FR75" s="47"/>
      <c r="FS75" s="49"/>
      <c r="FT75" s="49"/>
      <c r="FU75" s="49"/>
      <c r="FV75" s="49"/>
      <c r="FW75" s="49"/>
      <c r="FX75" s="49"/>
      <c r="FY75" s="47"/>
      <c r="FZ75" s="94"/>
      <c r="GA75" s="49"/>
      <c r="GB75" s="49"/>
      <c r="GC75" s="49"/>
      <c r="GD75" s="49"/>
      <c r="GE75" s="49"/>
      <c r="GF75" s="49"/>
      <c r="GG75" s="49"/>
      <c r="GH75" s="49"/>
      <c r="GI75" s="49"/>
      <c r="GJ75" s="49"/>
      <c r="GK75" s="49"/>
      <c r="GL75" s="49"/>
      <c r="GM75" s="49"/>
      <c r="GN75" s="49"/>
      <c r="GO75" s="49"/>
      <c r="GP75" s="49"/>
      <c r="GQ75" s="49"/>
      <c r="GR75" s="48"/>
      <c r="GS75" s="48"/>
      <c r="GT75" s="48"/>
      <c r="GU75" s="48"/>
      <c r="GV75" s="48"/>
      <c r="GW75" s="48"/>
      <c r="GX75" s="48"/>
      <c r="GY75" s="48"/>
      <c r="GZ75" s="48"/>
      <c r="HA75" s="48"/>
      <c r="HB75" s="48"/>
      <c r="HC75" s="48"/>
      <c r="HD75" s="48"/>
      <c r="HE75" s="48"/>
      <c r="HF75" s="13"/>
      <c r="HG75" s="13"/>
      <c r="HH75" s="13"/>
    </row>
    <row r="76" spans="1:216" ht="16.5" customHeight="1">
      <c r="A76" s="1"/>
      <c r="B76" s="3"/>
      <c r="C76" s="3"/>
      <c r="D76" s="532"/>
      <c r="E76" s="532"/>
      <c r="F76" s="532"/>
      <c r="G76" s="532"/>
      <c r="H76" s="532"/>
      <c r="I76" s="532"/>
      <c r="J76" s="532"/>
      <c r="K76" s="532"/>
      <c r="L76" s="532"/>
      <c r="M76" s="532"/>
      <c r="N76" s="532"/>
      <c r="O76" s="532"/>
      <c r="P76" s="532"/>
      <c r="Q76" s="532"/>
      <c r="R76" s="532"/>
      <c r="S76" s="532"/>
      <c r="T76" s="532"/>
      <c r="U76" s="532"/>
      <c r="V76" s="532"/>
      <c r="W76" s="532"/>
      <c r="X76" s="532"/>
      <c r="Y76" s="532"/>
      <c r="Z76" s="532"/>
      <c r="AA76" s="532"/>
      <c r="AB76" s="532"/>
      <c r="AC76" s="532"/>
      <c r="AD76" s="532"/>
      <c r="AE76" s="532"/>
      <c r="AF76" s="532"/>
      <c r="AG76" s="532"/>
      <c r="AH76" s="532"/>
      <c r="AI76" s="532"/>
      <c r="AJ76" s="532"/>
      <c r="AK76" s="532"/>
      <c r="AL76" s="532"/>
      <c r="AM76" s="532"/>
      <c r="AN76" s="532"/>
      <c r="AO76" s="532"/>
      <c r="AP76" s="532"/>
      <c r="AQ76" s="532"/>
      <c r="AR76" s="532"/>
      <c r="AS76" s="532"/>
      <c r="AT76" s="532"/>
      <c r="AU76" s="532"/>
      <c r="AV76" s="532"/>
      <c r="AW76" s="532"/>
      <c r="AX76" s="532"/>
      <c r="AY76" s="532"/>
      <c r="AZ76" s="532"/>
      <c r="BA76" s="532"/>
      <c r="BB76" s="532"/>
      <c r="BC76" s="532"/>
      <c r="BD76" s="532"/>
      <c r="BE76" s="532"/>
      <c r="BF76" s="532"/>
      <c r="BG76" s="532"/>
      <c r="BH76" s="532"/>
      <c r="BI76" s="532"/>
      <c r="BJ76" s="532"/>
      <c r="BK76" s="532"/>
      <c r="BL76" s="532"/>
      <c r="BM76" s="532"/>
      <c r="BN76" s="532"/>
      <c r="BO76" s="532"/>
      <c r="BP76" s="532"/>
      <c r="BQ76" s="532"/>
      <c r="BR76" s="532"/>
      <c r="BS76" s="532"/>
      <c r="BT76" s="532"/>
      <c r="BU76" s="532"/>
      <c r="BV76" s="532"/>
      <c r="BW76" s="532"/>
      <c r="BX76" s="532"/>
      <c r="BY76" s="532"/>
      <c r="BZ76" s="532"/>
      <c r="CA76" s="532"/>
      <c r="CB76" s="532"/>
      <c r="CC76" s="532"/>
      <c r="CD76" s="532"/>
      <c r="CE76" s="532"/>
      <c r="CF76" s="532"/>
      <c r="CG76" s="532"/>
      <c r="CH76" s="532"/>
      <c r="CI76" s="532"/>
      <c r="CJ76" s="532"/>
      <c r="CK76" s="532"/>
      <c r="CL76" s="532"/>
      <c r="CM76" s="532"/>
      <c r="CN76" s="532"/>
      <c r="CO76" s="532"/>
      <c r="CP76" s="532"/>
      <c r="CQ76" s="532"/>
      <c r="CR76" s="532"/>
      <c r="CS76" s="532"/>
      <c r="CT76" s="532"/>
      <c r="CU76" s="532"/>
      <c r="CV76" s="532"/>
      <c r="CW76" s="532"/>
      <c r="CX76" s="532"/>
      <c r="CY76" s="532"/>
      <c r="CZ76" s="532"/>
      <c r="DA76" s="532"/>
      <c r="DB76" s="532"/>
      <c r="DC76" s="532"/>
      <c r="DD76" s="532"/>
      <c r="DE76" s="532"/>
      <c r="DF76" s="532"/>
      <c r="DG76" s="532"/>
      <c r="DH76" s="532"/>
      <c r="DI76" s="532"/>
      <c r="DJ76" s="532"/>
      <c r="DK76" s="532"/>
      <c r="DL76" s="532"/>
      <c r="DM76" s="532"/>
      <c r="DN76" s="532"/>
      <c r="DO76" s="532"/>
      <c r="DP76" s="532"/>
      <c r="DQ76" s="532"/>
      <c r="DR76" s="532"/>
      <c r="DS76" s="532"/>
      <c r="DT76" s="532"/>
      <c r="DU76" s="532"/>
      <c r="DV76" s="532"/>
      <c r="DW76" s="532"/>
      <c r="DX76" s="532"/>
      <c r="DY76" s="532"/>
      <c r="DZ76" s="532"/>
      <c r="EA76" s="532"/>
      <c r="EB76" s="532"/>
      <c r="EC76" s="532"/>
      <c r="ED76" s="532"/>
      <c r="EE76" s="532"/>
      <c r="EF76" s="532"/>
      <c r="EG76" s="532"/>
      <c r="EH76" s="532"/>
      <c r="EI76" s="532"/>
      <c r="EJ76" s="532"/>
      <c r="EK76" s="532"/>
      <c r="EL76" s="532"/>
      <c r="EM76" s="532"/>
      <c r="EN76" s="532"/>
      <c r="EO76" s="532"/>
      <c r="EP76" s="532"/>
      <c r="EQ76" s="532"/>
      <c r="ER76" s="532"/>
      <c r="ES76" s="532"/>
      <c r="ET76" s="532"/>
      <c r="EU76" s="532"/>
      <c r="EV76" s="532"/>
      <c r="EW76" s="532"/>
      <c r="EX76" s="532"/>
      <c r="EY76" s="532"/>
      <c r="EZ76" s="532"/>
      <c r="FA76" s="532"/>
      <c r="FB76" s="10"/>
      <c r="FC76" s="10"/>
      <c r="FD76" s="10"/>
      <c r="FE76" s="10"/>
      <c r="FF76" s="10"/>
      <c r="FG76" s="10"/>
      <c r="FH76" s="10"/>
      <c r="FI76" s="10"/>
      <c r="FJ76" s="10"/>
      <c r="FK76" s="26"/>
      <c r="FL76" s="26"/>
      <c r="FM76" s="47"/>
      <c r="FN76" s="47"/>
      <c r="FO76" s="47"/>
      <c r="FP76" s="47"/>
      <c r="FQ76" s="47"/>
      <c r="FR76" s="47"/>
      <c r="FS76" s="49"/>
      <c r="FT76" s="49"/>
      <c r="FU76" s="49"/>
      <c r="FV76" s="49"/>
      <c r="FW76" s="49"/>
      <c r="FX76" s="49"/>
      <c r="FY76" s="47"/>
      <c r="FZ76" s="94"/>
      <c r="GA76" s="49"/>
      <c r="GB76" s="49"/>
      <c r="GC76" s="49"/>
      <c r="GD76" s="49"/>
      <c r="GE76" s="49"/>
      <c r="GF76" s="49"/>
      <c r="GG76" s="49"/>
      <c r="GH76" s="49"/>
      <c r="GI76" s="49"/>
      <c r="GJ76" s="49"/>
      <c r="GK76" s="49"/>
      <c r="GL76" s="49"/>
      <c r="GM76" s="49"/>
      <c r="GN76" s="49"/>
      <c r="GO76" s="49"/>
      <c r="GP76" s="49"/>
      <c r="GQ76" s="49"/>
      <c r="GR76" s="48"/>
      <c r="GS76" s="48"/>
      <c r="GT76" s="48"/>
      <c r="GU76" s="48"/>
      <c r="GV76" s="48"/>
      <c r="GW76" s="48"/>
      <c r="GX76" s="48"/>
      <c r="GY76" s="48"/>
      <c r="GZ76" s="48"/>
      <c r="HA76" s="48"/>
      <c r="HB76" s="48"/>
      <c r="HC76" s="48"/>
      <c r="HD76" s="48"/>
      <c r="HE76" s="48"/>
      <c r="HF76" s="13"/>
      <c r="HG76" s="13"/>
      <c r="HH76" s="13"/>
    </row>
    <row r="77" spans="1:216" ht="16.5" customHeight="1">
      <c r="A77" s="1"/>
      <c r="B77" s="3"/>
      <c r="C77" s="3"/>
      <c r="D77" s="532"/>
      <c r="E77" s="532"/>
      <c r="F77" s="532"/>
      <c r="G77" s="532"/>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532"/>
      <c r="AF77" s="532"/>
      <c r="AG77" s="532"/>
      <c r="AH77" s="532"/>
      <c r="AI77" s="532"/>
      <c r="AJ77" s="532"/>
      <c r="AK77" s="532"/>
      <c r="AL77" s="532"/>
      <c r="AM77" s="532"/>
      <c r="AN77" s="532"/>
      <c r="AO77" s="532"/>
      <c r="AP77" s="532"/>
      <c r="AQ77" s="532"/>
      <c r="AR77" s="532"/>
      <c r="AS77" s="532"/>
      <c r="AT77" s="532"/>
      <c r="AU77" s="532"/>
      <c r="AV77" s="532"/>
      <c r="AW77" s="532"/>
      <c r="AX77" s="532"/>
      <c r="AY77" s="532"/>
      <c r="AZ77" s="532"/>
      <c r="BA77" s="532"/>
      <c r="BB77" s="532"/>
      <c r="BC77" s="532"/>
      <c r="BD77" s="532"/>
      <c r="BE77" s="532"/>
      <c r="BF77" s="532"/>
      <c r="BG77" s="532"/>
      <c r="BH77" s="532"/>
      <c r="BI77" s="532"/>
      <c r="BJ77" s="532"/>
      <c r="BK77" s="532"/>
      <c r="BL77" s="532"/>
      <c r="BM77" s="532"/>
      <c r="BN77" s="532"/>
      <c r="BO77" s="532"/>
      <c r="BP77" s="532"/>
      <c r="BQ77" s="532"/>
      <c r="BR77" s="532"/>
      <c r="BS77" s="532"/>
      <c r="BT77" s="532"/>
      <c r="BU77" s="532"/>
      <c r="BV77" s="532"/>
      <c r="BW77" s="532"/>
      <c r="BX77" s="532"/>
      <c r="BY77" s="532"/>
      <c r="BZ77" s="532"/>
      <c r="CA77" s="532"/>
      <c r="CB77" s="532"/>
      <c r="CC77" s="532"/>
      <c r="CD77" s="532"/>
      <c r="CE77" s="532"/>
      <c r="CF77" s="532"/>
      <c r="CG77" s="532"/>
      <c r="CH77" s="532"/>
      <c r="CI77" s="532"/>
      <c r="CJ77" s="532"/>
      <c r="CK77" s="532"/>
      <c r="CL77" s="532"/>
      <c r="CM77" s="532"/>
      <c r="CN77" s="532"/>
      <c r="CO77" s="532"/>
      <c r="CP77" s="532"/>
      <c r="CQ77" s="532"/>
      <c r="CR77" s="532"/>
      <c r="CS77" s="532"/>
      <c r="CT77" s="532"/>
      <c r="CU77" s="532"/>
      <c r="CV77" s="532"/>
      <c r="CW77" s="532"/>
      <c r="CX77" s="532"/>
      <c r="CY77" s="532"/>
      <c r="CZ77" s="532"/>
      <c r="DA77" s="532"/>
      <c r="DB77" s="532"/>
      <c r="DC77" s="532"/>
      <c r="DD77" s="532"/>
      <c r="DE77" s="532"/>
      <c r="DF77" s="532"/>
      <c r="DG77" s="532"/>
      <c r="DH77" s="532"/>
      <c r="DI77" s="532"/>
      <c r="DJ77" s="532"/>
      <c r="DK77" s="532"/>
      <c r="DL77" s="532"/>
      <c r="DM77" s="532"/>
      <c r="DN77" s="532"/>
      <c r="DO77" s="532"/>
      <c r="DP77" s="532"/>
      <c r="DQ77" s="532"/>
      <c r="DR77" s="532"/>
      <c r="DS77" s="532"/>
      <c r="DT77" s="532"/>
      <c r="DU77" s="532"/>
      <c r="DV77" s="532"/>
      <c r="DW77" s="532"/>
      <c r="DX77" s="532"/>
      <c r="DY77" s="532"/>
      <c r="DZ77" s="532"/>
      <c r="EA77" s="532"/>
      <c r="EB77" s="532"/>
      <c r="EC77" s="532"/>
      <c r="ED77" s="532"/>
      <c r="EE77" s="532"/>
      <c r="EF77" s="532"/>
      <c r="EG77" s="532"/>
      <c r="EH77" s="532"/>
      <c r="EI77" s="532"/>
      <c r="EJ77" s="532"/>
      <c r="EK77" s="532"/>
      <c r="EL77" s="532"/>
      <c r="EM77" s="532"/>
      <c r="EN77" s="532"/>
      <c r="EO77" s="532"/>
      <c r="EP77" s="532"/>
      <c r="EQ77" s="532"/>
      <c r="ER77" s="532"/>
      <c r="ES77" s="532"/>
      <c r="ET77" s="532"/>
      <c r="EU77" s="532"/>
      <c r="EV77" s="532"/>
      <c r="EW77" s="532"/>
      <c r="EX77" s="532"/>
      <c r="EY77" s="532"/>
      <c r="EZ77" s="532"/>
      <c r="FA77" s="532"/>
      <c r="FB77" s="10"/>
      <c r="FC77" s="10"/>
      <c r="FD77" s="10"/>
      <c r="FE77" s="10"/>
      <c r="FF77" s="10"/>
      <c r="FG77" s="10"/>
      <c r="FH77" s="10"/>
      <c r="FI77" s="10"/>
      <c r="FJ77" s="10"/>
      <c r="FK77" s="26"/>
      <c r="FL77" s="26"/>
      <c r="FM77" s="47"/>
      <c r="FN77" s="47"/>
      <c r="FO77" s="47"/>
      <c r="FP77" s="47"/>
      <c r="FQ77" s="47"/>
      <c r="FR77" s="47"/>
      <c r="FS77" s="49"/>
      <c r="FT77" s="49"/>
      <c r="FU77" s="49"/>
      <c r="FV77" s="49"/>
      <c r="FW77" s="49"/>
      <c r="FX77" s="49"/>
      <c r="FY77" s="47"/>
      <c r="FZ77" s="94"/>
      <c r="GA77" s="49"/>
      <c r="GB77" s="49"/>
      <c r="GC77" s="49"/>
      <c r="GD77" s="49"/>
      <c r="GE77" s="49"/>
      <c r="GF77" s="49"/>
      <c r="GG77" s="49"/>
      <c r="GH77" s="49"/>
      <c r="GI77" s="49"/>
      <c r="GJ77" s="49"/>
      <c r="GK77" s="49"/>
      <c r="GL77" s="49"/>
      <c r="GM77" s="49"/>
      <c r="GN77" s="49"/>
      <c r="GO77" s="49"/>
      <c r="GP77" s="49"/>
      <c r="GQ77" s="49"/>
      <c r="GR77" s="48"/>
      <c r="GS77" s="48"/>
      <c r="GT77" s="48"/>
      <c r="GU77" s="48"/>
      <c r="GV77" s="48"/>
      <c r="GW77" s="48"/>
      <c r="GX77" s="48"/>
      <c r="GY77" s="48"/>
      <c r="GZ77" s="48"/>
      <c r="HA77" s="48"/>
      <c r="HB77" s="48"/>
      <c r="HC77" s="48"/>
      <c r="HD77" s="48"/>
      <c r="HE77" s="48"/>
      <c r="HF77" s="13"/>
      <c r="HG77" s="13"/>
      <c r="HH77" s="13"/>
    </row>
    <row r="78" spans="1:216" ht="16.5" customHeight="1">
      <c r="A78" s="1"/>
      <c r="B78" s="3"/>
      <c r="C78" s="3"/>
      <c r="D78" s="532"/>
      <c r="E78" s="532"/>
      <c r="F78" s="532"/>
      <c r="G78" s="532"/>
      <c r="H78" s="532"/>
      <c r="I78" s="532"/>
      <c r="J78" s="532"/>
      <c r="K78" s="532"/>
      <c r="L78" s="532"/>
      <c r="M78" s="532"/>
      <c r="N78" s="532"/>
      <c r="O78" s="532"/>
      <c r="P78" s="532"/>
      <c r="Q78" s="532"/>
      <c r="R78" s="532"/>
      <c r="S78" s="532"/>
      <c r="T78" s="532"/>
      <c r="U78" s="532"/>
      <c r="V78" s="532"/>
      <c r="W78" s="532"/>
      <c r="X78" s="532"/>
      <c r="Y78" s="532"/>
      <c r="Z78" s="532"/>
      <c r="AA78" s="532"/>
      <c r="AB78" s="532"/>
      <c r="AC78" s="532"/>
      <c r="AD78" s="532"/>
      <c r="AE78" s="532"/>
      <c r="AF78" s="532"/>
      <c r="AG78" s="532"/>
      <c r="AH78" s="532"/>
      <c r="AI78" s="532"/>
      <c r="AJ78" s="532"/>
      <c r="AK78" s="532"/>
      <c r="AL78" s="532"/>
      <c r="AM78" s="532"/>
      <c r="AN78" s="532"/>
      <c r="AO78" s="532"/>
      <c r="AP78" s="532"/>
      <c r="AQ78" s="532"/>
      <c r="AR78" s="532"/>
      <c r="AS78" s="532"/>
      <c r="AT78" s="532"/>
      <c r="AU78" s="532"/>
      <c r="AV78" s="532"/>
      <c r="AW78" s="532"/>
      <c r="AX78" s="532"/>
      <c r="AY78" s="532"/>
      <c r="AZ78" s="532"/>
      <c r="BA78" s="532"/>
      <c r="BB78" s="532"/>
      <c r="BC78" s="532"/>
      <c r="BD78" s="532"/>
      <c r="BE78" s="532"/>
      <c r="BF78" s="532"/>
      <c r="BG78" s="532"/>
      <c r="BH78" s="532"/>
      <c r="BI78" s="532"/>
      <c r="BJ78" s="532"/>
      <c r="BK78" s="532"/>
      <c r="BL78" s="532"/>
      <c r="BM78" s="532"/>
      <c r="BN78" s="532"/>
      <c r="BO78" s="532"/>
      <c r="BP78" s="532"/>
      <c r="BQ78" s="532"/>
      <c r="BR78" s="532"/>
      <c r="BS78" s="532"/>
      <c r="BT78" s="532"/>
      <c r="BU78" s="532"/>
      <c r="BV78" s="532"/>
      <c r="BW78" s="532"/>
      <c r="BX78" s="532"/>
      <c r="BY78" s="532"/>
      <c r="BZ78" s="532"/>
      <c r="CA78" s="532"/>
      <c r="CB78" s="532"/>
      <c r="CC78" s="532"/>
      <c r="CD78" s="532"/>
      <c r="CE78" s="532"/>
      <c r="CF78" s="532"/>
      <c r="CG78" s="532"/>
      <c r="CH78" s="532"/>
      <c r="CI78" s="532"/>
      <c r="CJ78" s="532"/>
      <c r="CK78" s="532"/>
      <c r="CL78" s="532"/>
      <c r="CM78" s="532"/>
      <c r="CN78" s="532"/>
      <c r="CO78" s="532"/>
      <c r="CP78" s="532"/>
      <c r="CQ78" s="532"/>
      <c r="CR78" s="532"/>
      <c r="CS78" s="532"/>
      <c r="CT78" s="532"/>
      <c r="CU78" s="532"/>
      <c r="CV78" s="532"/>
      <c r="CW78" s="532"/>
      <c r="CX78" s="532"/>
      <c r="CY78" s="532"/>
      <c r="CZ78" s="532"/>
      <c r="DA78" s="532"/>
      <c r="DB78" s="532"/>
      <c r="DC78" s="532"/>
      <c r="DD78" s="532"/>
      <c r="DE78" s="532"/>
      <c r="DF78" s="532"/>
      <c r="DG78" s="532"/>
      <c r="DH78" s="532"/>
      <c r="DI78" s="532"/>
      <c r="DJ78" s="532"/>
      <c r="DK78" s="532"/>
      <c r="DL78" s="532"/>
      <c r="DM78" s="532"/>
      <c r="DN78" s="532"/>
      <c r="DO78" s="532"/>
      <c r="DP78" s="532"/>
      <c r="DQ78" s="532"/>
      <c r="DR78" s="532"/>
      <c r="DS78" s="532"/>
      <c r="DT78" s="532"/>
      <c r="DU78" s="532"/>
      <c r="DV78" s="532"/>
      <c r="DW78" s="532"/>
      <c r="DX78" s="532"/>
      <c r="DY78" s="532"/>
      <c r="DZ78" s="532"/>
      <c r="EA78" s="532"/>
      <c r="EB78" s="532"/>
      <c r="EC78" s="532"/>
      <c r="ED78" s="532"/>
      <c r="EE78" s="532"/>
      <c r="EF78" s="532"/>
      <c r="EG78" s="532"/>
      <c r="EH78" s="532"/>
      <c r="EI78" s="532"/>
      <c r="EJ78" s="532"/>
      <c r="EK78" s="532"/>
      <c r="EL78" s="532"/>
      <c r="EM78" s="532"/>
      <c r="EN78" s="532"/>
      <c r="EO78" s="532"/>
      <c r="EP78" s="532"/>
      <c r="EQ78" s="532"/>
      <c r="ER78" s="532"/>
      <c r="ES78" s="532"/>
      <c r="ET78" s="532"/>
      <c r="EU78" s="532"/>
      <c r="EV78" s="532"/>
      <c r="EW78" s="532"/>
      <c r="EX78" s="532"/>
      <c r="EY78" s="532"/>
      <c r="EZ78" s="532"/>
      <c r="FA78" s="532"/>
      <c r="FB78" s="10"/>
      <c r="FC78" s="10"/>
      <c r="FD78" s="10"/>
      <c r="FE78" s="10"/>
      <c r="FF78" s="10"/>
      <c r="FG78" s="10"/>
      <c r="FH78" s="10"/>
      <c r="FI78" s="10"/>
      <c r="FJ78" s="10"/>
      <c r="FK78" s="26"/>
      <c r="FL78" s="26"/>
      <c r="FM78" s="47"/>
      <c r="FN78" s="47"/>
      <c r="FO78" s="47"/>
      <c r="FP78" s="47"/>
      <c r="FQ78" s="47"/>
      <c r="FR78" s="47"/>
      <c r="FS78" s="49"/>
      <c r="FT78" s="49"/>
      <c r="FU78" s="49"/>
      <c r="FV78" s="49"/>
      <c r="FW78" s="49"/>
      <c r="FX78" s="49"/>
      <c r="FY78" s="47"/>
      <c r="FZ78" s="94"/>
      <c r="GA78" s="49"/>
      <c r="GB78" s="49"/>
      <c r="GC78" s="49"/>
      <c r="GD78" s="49"/>
      <c r="GE78" s="49"/>
      <c r="GF78" s="49"/>
      <c r="GG78" s="49"/>
      <c r="GH78" s="49"/>
      <c r="GI78" s="49"/>
      <c r="GJ78" s="49"/>
      <c r="GK78" s="49"/>
      <c r="GL78" s="49"/>
      <c r="GM78" s="49"/>
      <c r="GN78" s="49"/>
      <c r="GO78" s="49"/>
      <c r="GP78" s="49"/>
      <c r="GQ78" s="49"/>
      <c r="GR78" s="48"/>
      <c r="GS78" s="48"/>
      <c r="GT78" s="48"/>
      <c r="GU78" s="48"/>
      <c r="GV78" s="48"/>
      <c r="GW78" s="48"/>
      <c r="GX78" s="48"/>
      <c r="GY78" s="48"/>
      <c r="GZ78" s="48"/>
      <c r="HA78" s="48"/>
      <c r="HB78" s="48"/>
      <c r="HC78" s="48"/>
      <c r="HD78" s="48"/>
      <c r="HE78" s="48"/>
      <c r="HF78" s="13"/>
      <c r="HG78" s="13"/>
      <c r="HH78" s="13"/>
    </row>
    <row r="79" spans="1:216" ht="16.5" customHeight="1">
      <c r="A79" s="1"/>
      <c r="B79" s="3"/>
      <c r="C79" s="3"/>
      <c r="D79" s="532"/>
      <c r="E79" s="532"/>
      <c r="F79" s="532"/>
      <c r="G79" s="532"/>
      <c r="H79" s="532"/>
      <c r="I79" s="532"/>
      <c r="J79" s="532"/>
      <c r="K79" s="532"/>
      <c r="L79" s="532"/>
      <c r="M79" s="532"/>
      <c r="N79" s="532"/>
      <c r="O79" s="532"/>
      <c r="P79" s="532"/>
      <c r="Q79" s="532"/>
      <c r="R79" s="532"/>
      <c r="S79" s="532"/>
      <c r="T79" s="532"/>
      <c r="U79" s="532"/>
      <c r="V79" s="532"/>
      <c r="W79" s="532"/>
      <c r="X79" s="532"/>
      <c r="Y79" s="532"/>
      <c r="Z79" s="532"/>
      <c r="AA79" s="532"/>
      <c r="AB79" s="532"/>
      <c r="AC79" s="532"/>
      <c r="AD79" s="532"/>
      <c r="AE79" s="532"/>
      <c r="AF79" s="532"/>
      <c r="AG79" s="532"/>
      <c r="AH79" s="532"/>
      <c r="AI79" s="532"/>
      <c r="AJ79" s="532"/>
      <c r="AK79" s="532"/>
      <c r="AL79" s="532"/>
      <c r="AM79" s="532"/>
      <c r="AN79" s="532"/>
      <c r="AO79" s="532"/>
      <c r="AP79" s="532"/>
      <c r="AQ79" s="532"/>
      <c r="AR79" s="532"/>
      <c r="AS79" s="532"/>
      <c r="AT79" s="532"/>
      <c r="AU79" s="532"/>
      <c r="AV79" s="532"/>
      <c r="AW79" s="532"/>
      <c r="AX79" s="532"/>
      <c r="AY79" s="532"/>
      <c r="AZ79" s="532"/>
      <c r="BA79" s="532"/>
      <c r="BB79" s="532"/>
      <c r="BC79" s="532"/>
      <c r="BD79" s="532"/>
      <c r="BE79" s="532"/>
      <c r="BF79" s="532"/>
      <c r="BG79" s="532"/>
      <c r="BH79" s="532"/>
      <c r="BI79" s="532"/>
      <c r="BJ79" s="532"/>
      <c r="BK79" s="532"/>
      <c r="BL79" s="532"/>
      <c r="BM79" s="532"/>
      <c r="BN79" s="532"/>
      <c r="BO79" s="532"/>
      <c r="BP79" s="532"/>
      <c r="BQ79" s="532"/>
      <c r="BR79" s="532"/>
      <c r="BS79" s="532"/>
      <c r="BT79" s="532"/>
      <c r="BU79" s="532"/>
      <c r="BV79" s="532"/>
      <c r="BW79" s="532"/>
      <c r="BX79" s="532"/>
      <c r="BY79" s="532"/>
      <c r="BZ79" s="532"/>
      <c r="CA79" s="532"/>
      <c r="CB79" s="532"/>
      <c r="CC79" s="532"/>
      <c r="CD79" s="532"/>
      <c r="CE79" s="532"/>
      <c r="CF79" s="532"/>
      <c r="CG79" s="532"/>
      <c r="CH79" s="532"/>
      <c r="CI79" s="532"/>
      <c r="CJ79" s="532"/>
      <c r="CK79" s="532"/>
      <c r="CL79" s="532"/>
      <c r="CM79" s="532"/>
      <c r="CN79" s="532"/>
      <c r="CO79" s="532"/>
      <c r="CP79" s="532"/>
      <c r="CQ79" s="532"/>
      <c r="CR79" s="532"/>
      <c r="CS79" s="532"/>
      <c r="CT79" s="532"/>
      <c r="CU79" s="532"/>
      <c r="CV79" s="532"/>
      <c r="CW79" s="532"/>
      <c r="CX79" s="532"/>
      <c r="CY79" s="532"/>
      <c r="CZ79" s="532"/>
      <c r="DA79" s="532"/>
      <c r="DB79" s="532"/>
      <c r="DC79" s="532"/>
      <c r="DD79" s="532"/>
      <c r="DE79" s="532"/>
      <c r="DF79" s="532"/>
      <c r="DG79" s="532"/>
      <c r="DH79" s="532"/>
      <c r="DI79" s="532"/>
      <c r="DJ79" s="532"/>
      <c r="DK79" s="532"/>
      <c r="DL79" s="532"/>
      <c r="DM79" s="532"/>
      <c r="DN79" s="532"/>
      <c r="DO79" s="532"/>
      <c r="DP79" s="532"/>
      <c r="DQ79" s="532"/>
      <c r="DR79" s="532"/>
      <c r="DS79" s="532"/>
      <c r="DT79" s="532"/>
      <c r="DU79" s="532"/>
      <c r="DV79" s="532"/>
      <c r="DW79" s="532"/>
      <c r="DX79" s="532"/>
      <c r="DY79" s="532"/>
      <c r="DZ79" s="532"/>
      <c r="EA79" s="532"/>
      <c r="EB79" s="532"/>
      <c r="EC79" s="532"/>
      <c r="ED79" s="532"/>
      <c r="EE79" s="532"/>
      <c r="EF79" s="532"/>
      <c r="EG79" s="532"/>
      <c r="EH79" s="532"/>
      <c r="EI79" s="532"/>
      <c r="EJ79" s="532"/>
      <c r="EK79" s="532"/>
      <c r="EL79" s="532"/>
      <c r="EM79" s="532"/>
      <c r="EN79" s="532"/>
      <c r="EO79" s="532"/>
      <c r="EP79" s="532"/>
      <c r="EQ79" s="532"/>
      <c r="ER79" s="532"/>
      <c r="ES79" s="532"/>
      <c r="ET79" s="532"/>
      <c r="EU79" s="532"/>
      <c r="EV79" s="532"/>
      <c r="EW79" s="532"/>
      <c r="EX79" s="532"/>
      <c r="EY79" s="532"/>
      <c r="EZ79" s="532"/>
      <c r="FA79" s="532"/>
      <c r="FB79" s="10"/>
      <c r="FC79" s="10"/>
      <c r="FD79" s="10"/>
      <c r="FE79" s="10"/>
      <c r="FF79" s="10"/>
      <c r="FG79" s="10"/>
      <c r="FH79" s="10"/>
      <c r="FI79" s="10"/>
      <c r="FJ79" s="10"/>
      <c r="FK79" s="26"/>
      <c r="FL79" s="26"/>
      <c r="FM79" s="47"/>
      <c r="FN79" s="47"/>
      <c r="FO79" s="47"/>
      <c r="FP79" s="47"/>
      <c r="FQ79" s="47"/>
      <c r="FR79" s="47"/>
      <c r="FS79" s="49"/>
      <c r="FT79" s="49"/>
      <c r="FU79" s="49"/>
      <c r="FV79" s="49"/>
      <c r="FW79" s="49"/>
      <c r="FX79" s="49"/>
      <c r="FY79" s="47"/>
      <c r="FZ79" s="94"/>
      <c r="GA79" s="49"/>
      <c r="GB79" s="49"/>
      <c r="GC79" s="49"/>
      <c r="GD79" s="49"/>
      <c r="GE79" s="49"/>
      <c r="GF79" s="49"/>
      <c r="GG79" s="49"/>
      <c r="GH79" s="49"/>
      <c r="GI79" s="49"/>
      <c r="GJ79" s="49"/>
      <c r="GK79" s="49"/>
      <c r="GL79" s="49"/>
      <c r="GM79" s="49"/>
      <c r="GN79" s="49"/>
      <c r="GO79" s="49"/>
      <c r="GP79" s="49"/>
      <c r="GQ79" s="49"/>
      <c r="GR79" s="48"/>
      <c r="GS79" s="48"/>
      <c r="GT79" s="48"/>
      <c r="GU79" s="48"/>
      <c r="GV79" s="48"/>
      <c r="GW79" s="48"/>
      <c r="GX79" s="48"/>
      <c r="GY79" s="48"/>
      <c r="GZ79" s="48"/>
      <c r="HA79" s="48"/>
      <c r="HB79" s="48"/>
      <c r="HC79" s="48"/>
      <c r="HD79" s="48"/>
      <c r="HE79" s="48"/>
      <c r="HF79" s="13"/>
      <c r="HG79" s="13"/>
      <c r="HH79" s="13"/>
    </row>
    <row r="80" spans="1:216" ht="16.5" customHeight="1">
      <c r="A80" s="1"/>
      <c r="B80" s="3"/>
      <c r="C80" s="3"/>
      <c r="D80" s="532"/>
      <c r="E80" s="532"/>
      <c r="F80" s="532"/>
      <c r="G80" s="532"/>
      <c r="H80" s="532"/>
      <c r="I80" s="532"/>
      <c r="J80" s="532"/>
      <c r="K80" s="532"/>
      <c r="L80" s="532"/>
      <c r="M80" s="532"/>
      <c r="N80" s="532"/>
      <c r="O80" s="532"/>
      <c r="P80" s="532"/>
      <c r="Q80" s="532"/>
      <c r="R80" s="532"/>
      <c r="S80" s="532"/>
      <c r="T80" s="532"/>
      <c r="U80" s="532"/>
      <c r="V80" s="532"/>
      <c r="W80" s="532"/>
      <c r="X80" s="532"/>
      <c r="Y80" s="532"/>
      <c r="Z80" s="532"/>
      <c r="AA80" s="532"/>
      <c r="AB80" s="532"/>
      <c r="AC80" s="532"/>
      <c r="AD80" s="532"/>
      <c r="AE80" s="532"/>
      <c r="AF80" s="532"/>
      <c r="AG80" s="532"/>
      <c r="AH80" s="532"/>
      <c r="AI80" s="532"/>
      <c r="AJ80" s="532"/>
      <c r="AK80" s="532"/>
      <c r="AL80" s="532"/>
      <c r="AM80" s="532"/>
      <c r="AN80" s="532"/>
      <c r="AO80" s="532"/>
      <c r="AP80" s="532"/>
      <c r="AQ80" s="532"/>
      <c r="AR80" s="532"/>
      <c r="AS80" s="532"/>
      <c r="AT80" s="532"/>
      <c r="AU80" s="532"/>
      <c r="AV80" s="532"/>
      <c r="AW80" s="532"/>
      <c r="AX80" s="532"/>
      <c r="AY80" s="532"/>
      <c r="AZ80" s="532"/>
      <c r="BA80" s="532"/>
      <c r="BB80" s="532"/>
      <c r="BC80" s="532"/>
      <c r="BD80" s="532"/>
      <c r="BE80" s="532"/>
      <c r="BF80" s="532"/>
      <c r="BG80" s="532"/>
      <c r="BH80" s="532"/>
      <c r="BI80" s="532"/>
      <c r="BJ80" s="532"/>
      <c r="BK80" s="532"/>
      <c r="BL80" s="532"/>
      <c r="BM80" s="532"/>
      <c r="BN80" s="532"/>
      <c r="BO80" s="532"/>
      <c r="BP80" s="532"/>
      <c r="BQ80" s="532"/>
      <c r="BR80" s="532"/>
      <c r="BS80" s="532"/>
      <c r="BT80" s="532"/>
      <c r="BU80" s="532"/>
      <c r="BV80" s="532"/>
      <c r="BW80" s="532"/>
      <c r="BX80" s="532"/>
      <c r="BY80" s="532"/>
      <c r="BZ80" s="532"/>
      <c r="CA80" s="532"/>
      <c r="CB80" s="532"/>
      <c r="CC80" s="532"/>
      <c r="CD80" s="532"/>
      <c r="CE80" s="532"/>
      <c r="CF80" s="532"/>
      <c r="CG80" s="532"/>
      <c r="CH80" s="532"/>
      <c r="CI80" s="532"/>
      <c r="CJ80" s="532"/>
      <c r="CK80" s="532"/>
      <c r="CL80" s="532"/>
      <c r="CM80" s="532"/>
      <c r="CN80" s="532"/>
      <c r="CO80" s="532"/>
      <c r="CP80" s="532"/>
      <c r="CQ80" s="532"/>
      <c r="CR80" s="532"/>
      <c r="CS80" s="532"/>
      <c r="CT80" s="532"/>
      <c r="CU80" s="532"/>
      <c r="CV80" s="532"/>
      <c r="CW80" s="532"/>
      <c r="CX80" s="532"/>
      <c r="CY80" s="532"/>
      <c r="CZ80" s="532"/>
      <c r="DA80" s="532"/>
      <c r="DB80" s="532"/>
      <c r="DC80" s="532"/>
      <c r="DD80" s="532"/>
      <c r="DE80" s="532"/>
      <c r="DF80" s="532"/>
      <c r="DG80" s="532"/>
      <c r="DH80" s="532"/>
      <c r="DI80" s="532"/>
      <c r="DJ80" s="532"/>
      <c r="DK80" s="532"/>
      <c r="DL80" s="532"/>
      <c r="DM80" s="532"/>
      <c r="DN80" s="532"/>
      <c r="DO80" s="532"/>
      <c r="DP80" s="532"/>
      <c r="DQ80" s="532"/>
      <c r="DR80" s="532"/>
      <c r="DS80" s="532"/>
      <c r="DT80" s="532"/>
      <c r="DU80" s="532"/>
      <c r="DV80" s="532"/>
      <c r="DW80" s="532"/>
      <c r="DX80" s="532"/>
      <c r="DY80" s="532"/>
      <c r="DZ80" s="532"/>
      <c r="EA80" s="532"/>
      <c r="EB80" s="532"/>
      <c r="EC80" s="532"/>
      <c r="ED80" s="532"/>
      <c r="EE80" s="532"/>
      <c r="EF80" s="532"/>
      <c r="EG80" s="532"/>
      <c r="EH80" s="532"/>
      <c r="EI80" s="532"/>
      <c r="EJ80" s="532"/>
      <c r="EK80" s="532"/>
      <c r="EL80" s="532"/>
      <c r="EM80" s="532"/>
      <c r="EN80" s="532"/>
      <c r="EO80" s="532"/>
      <c r="EP80" s="532"/>
      <c r="EQ80" s="532"/>
      <c r="ER80" s="532"/>
      <c r="ES80" s="532"/>
      <c r="ET80" s="532"/>
      <c r="EU80" s="532"/>
      <c r="EV80" s="532"/>
      <c r="EW80" s="532"/>
      <c r="EX80" s="532"/>
      <c r="EY80" s="532"/>
      <c r="EZ80" s="532"/>
      <c r="FA80" s="532"/>
      <c r="FB80" s="10"/>
      <c r="FC80" s="10"/>
      <c r="FD80" s="10"/>
      <c r="FE80" s="10"/>
      <c r="FF80" s="10"/>
      <c r="FG80" s="10"/>
      <c r="FH80" s="10"/>
      <c r="FI80" s="10"/>
      <c r="FJ80" s="10"/>
      <c r="FK80" s="26"/>
      <c r="FL80" s="26"/>
      <c r="FM80" s="47"/>
      <c r="FN80" s="47"/>
      <c r="FO80" s="47"/>
      <c r="FP80" s="47"/>
      <c r="FQ80" s="47"/>
      <c r="FR80" s="47"/>
      <c r="FS80" s="49"/>
      <c r="FT80" s="49"/>
      <c r="FU80" s="49"/>
      <c r="FV80" s="49"/>
      <c r="FW80" s="49"/>
      <c r="FX80" s="49"/>
      <c r="FY80" s="47"/>
      <c r="FZ80" s="94"/>
      <c r="GA80" s="49"/>
      <c r="GB80" s="49"/>
      <c r="GC80" s="49"/>
      <c r="GD80" s="49"/>
      <c r="GE80" s="49"/>
      <c r="GF80" s="49"/>
      <c r="GG80" s="49"/>
      <c r="GH80" s="49"/>
      <c r="GI80" s="49"/>
      <c r="GJ80" s="49"/>
      <c r="GK80" s="49"/>
      <c r="GL80" s="49"/>
      <c r="GM80" s="49"/>
      <c r="GN80" s="49"/>
      <c r="GO80" s="49"/>
      <c r="GP80" s="49"/>
      <c r="GQ80" s="49"/>
      <c r="GR80" s="48"/>
      <c r="GS80" s="48"/>
      <c r="GT80" s="48"/>
      <c r="GU80" s="48"/>
      <c r="GV80" s="48"/>
      <c r="GW80" s="48"/>
      <c r="GX80" s="48"/>
      <c r="GY80" s="48"/>
      <c r="GZ80" s="48"/>
      <c r="HA80" s="48"/>
      <c r="HB80" s="48"/>
      <c r="HC80" s="48"/>
      <c r="HD80" s="48"/>
      <c r="HE80" s="48"/>
      <c r="HF80" s="13"/>
      <c r="HG80" s="13"/>
      <c r="HH80" s="13"/>
    </row>
    <row r="81" spans="1:216" ht="16.95" customHeight="1">
      <c r="A81" s="1"/>
      <c r="B81" s="3"/>
      <c r="C81" s="3"/>
      <c r="D81" s="12" t="str">
        <f ca="1">IF(FO40=0,"","Net als bij de totale kosten kun je bij de totale opbrengst het verloop")</f>
        <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26"/>
      <c r="FL81" s="26"/>
      <c r="FM81" s="47"/>
      <c r="FN81" s="47"/>
      <c r="FO81" s="47"/>
      <c r="FP81" s="47"/>
      <c r="FQ81" s="47"/>
      <c r="FR81" s="47"/>
      <c r="FS81" s="49"/>
      <c r="FT81" s="49"/>
      <c r="FU81" s="49"/>
      <c r="FV81" s="49"/>
      <c r="FW81" s="49"/>
      <c r="FX81" s="49"/>
      <c r="FY81" s="47"/>
      <c r="FZ81" s="94"/>
      <c r="GA81" s="49"/>
      <c r="GB81" s="49"/>
      <c r="GC81" s="49"/>
      <c r="GD81" s="49"/>
      <c r="GE81" s="49"/>
      <c r="GF81" s="49"/>
      <c r="GG81" s="49"/>
      <c r="GH81" s="49"/>
      <c r="GI81" s="49"/>
      <c r="GJ81" s="49"/>
      <c r="GK81" s="49"/>
      <c r="GL81" s="49"/>
      <c r="GM81" s="49"/>
      <c r="GN81" s="49"/>
      <c r="GO81" s="49"/>
      <c r="GP81" s="49"/>
      <c r="GQ81" s="49"/>
      <c r="GR81" s="48"/>
      <c r="GS81" s="48"/>
      <c r="GT81" s="48"/>
      <c r="GU81" s="48"/>
      <c r="GV81" s="48"/>
      <c r="GW81" s="48"/>
      <c r="GX81" s="48"/>
      <c r="GY81" s="48"/>
      <c r="GZ81" s="48"/>
      <c r="HA81" s="48"/>
      <c r="HB81" s="48"/>
      <c r="HC81" s="48"/>
      <c r="HD81" s="48"/>
      <c r="HE81" s="48"/>
      <c r="HF81" s="13"/>
      <c r="HG81" s="13"/>
      <c r="HH81" s="13"/>
    </row>
    <row r="82" spans="1:216" ht="16.95" customHeight="1">
      <c r="A82" s="1"/>
      <c r="B82" s="3"/>
      <c r="C82" s="3"/>
      <c r="D82" s="12" t="str">
        <f ca="1">IF(FO40=0,"","beschrijven met behulp van de marginale. De marginale opbrengst (''MO''),")</f>
        <v/>
      </c>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26"/>
      <c r="FL82" s="26"/>
      <c r="FM82" s="47"/>
      <c r="FN82" s="47"/>
      <c r="FO82" s="47"/>
      <c r="FP82" s="47"/>
      <c r="FQ82" s="47"/>
      <c r="FR82" s="47"/>
      <c r="FS82" s="49"/>
      <c r="FT82" s="49"/>
      <c r="FU82" s="49"/>
      <c r="FV82" s="49"/>
      <c r="FW82" s="49"/>
      <c r="FX82" s="49"/>
      <c r="FY82" s="47"/>
      <c r="FZ82" s="94"/>
      <c r="GA82" s="49"/>
      <c r="GB82" s="49"/>
      <c r="GC82" s="49"/>
      <c r="GD82" s="49"/>
      <c r="GE82" s="49"/>
      <c r="GF82" s="49"/>
      <c r="GG82" s="49"/>
      <c r="GH82" s="49"/>
      <c r="GI82" s="49"/>
      <c r="GJ82" s="49"/>
      <c r="GK82" s="49"/>
      <c r="GL82" s="49"/>
      <c r="GM82" s="49"/>
      <c r="GN82" s="49"/>
      <c r="GO82" s="49"/>
      <c r="GP82" s="49"/>
      <c r="GQ82" s="49"/>
      <c r="GR82" s="48"/>
      <c r="GS82" s="48"/>
      <c r="GT82" s="48"/>
      <c r="GU82" s="48"/>
      <c r="GV82" s="48"/>
      <c r="GW82" s="48"/>
      <c r="GX82" s="48"/>
      <c r="GY82" s="48"/>
      <c r="GZ82" s="48"/>
      <c r="HA82" s="48"/>
      <c r="HB82" s="48"/>
      <c r="HC82" s="48"/>
      <c r="HD82" s="48"/>
      <c r="HE82" s="48"/>
      <c r="HF82" s="13"/>
      <c r="HG82" s="13"/>
      <c r="HH82" s="13"/>
    </row>
    <row r="83" spans="1:216" ht="16.95" customHeight="1">
      <c r="A83" s="1"/>
      <c r="B83" s="3"/>
      <c r="C83" s="3"/>
      <c r="D83" s="12" t="str">
        <f ca="1">IF(FO40=0,"","ook wel de meeropbrengst genoemd, bereken je door de verandering van")</f>
        <v/>
      </c>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26"/>
      <c r="FL83" s="26"/>
      <c r="FM83" s="47"/>
      <c r="FN83" s="47"/>
      <c r="FO83" s="47"/>
      <c r="FP83" s="47"/>
      <c r="FQ83" s="47"/>
      <c r="FR83" s="47"/>
      <c r="FS83" s="49"/>
      <c r="FT83" s="49"/>
      <c r="FU83" s="49"/>
      <c r="FV83" s="49"/>
      <c r="FW83" s="49"/>
      <c r="FX83" s="49"/>
      <c r="FY83" s="47"/>
      <c r="FZ83" s="94"/>
      <c r="GA83" s="49"/>
      <c r="GB83" s="49"/>
      <c r="GC83" s="49"/>
      <c r="GD83" s="49"/>
      <c r="GE83" s="49"/>
      <c r="GF83" s="49"/>
      <c r="GG83" s="49"/>
      <c r="GH83" s="49"/>
      <c r="GI83" s="49"/>
      <c r="GJ83" s="49"/>
      <c r="GK83" s="49"/>
      <c r="GL83" s="49"/>
      <c r="GM83" s="49"/>
      <c r="GN83" s="49"/>
      <c r="GO83" s="49"/>
      <c r="GP83" s="49"/>
      <c r="GQ83" s="49"/>
      <c r="GR83" s="48"/>
      <c r="GS83" s="48"/>
      <c r="GT83" s="48"/>
      <c r="GU83" s="48"/>
      <c r="GV83" s="48"/>
      <c r="GW83" s="48"/>
      <c r="GX83" s="48"/>
      <c r="GY83" s="48"/>
      <c r="GZ83" s="48"/>
      <c r="HA83" s="48"/>
      <c r="HB83" s="48"/>
      <c r="HC83" s="48"/>
      <c r="HD83" s="48"/>
      <c r="HE83" s="48"/>
      <c r="HF83" s="13"/>
      <c r="HG83" s="13"/>
      <c r="HH83" s="13"/>
    </row>
    <row r="84" spans="1:216" ht="16.95" customHeight="1">
      <c r="A84" s="1"/>
      <c r="B84" s="3"/>
      <c r="C84" s="3"/>
      <c r="D84" s="12" t="str">
        <f ca="1">IF(FO40=0,"","de totale opbrengst (''TO'') te delen door de verandering van de hoeveelheid")</f>
        <v/>
      </c>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26"/>
      <c r="FL84" s="26"/>
      <c r="FM84" s="47"/>
      <c r="FN84" s="47"/>
      <c r="FO84" s="47"/>
      <c r="FP84" s="47"/>
      <c r="FQ84" s="47"/>
      <c r="FR84" s="47"/>
      <c r="FS84" s="49"/>
      <c r="FT84" s="49"/>
      <c r="FU84" s="49"/>
      <c r="FV84" s="49"/>
      <c r="FW84" s="49"/>
      <c r="FX84" s="49"/>
      <c r="FY84" s="47"/>
      <c r="FZ84" s="94"/>
      <c r="GA84" s="49"/>
      <c r="GB84" s="49"/>
      <c r="GC84" s="49"/>
      <c r="GD84" s="49"/>
      <c r="GE84" s="49"/>
      <c r="GF84" s="49"/>
      <c r="GG84" s="49"/>
      <c r="GH84" s="49"/>
      <c r="GI84" s="49"/>
      <c r="GJ84" s="49"/>
      <c r="GK84" s="49"/>
      <c r="GL84" s="49"/>
      <c r="GM84" s="49"/>
      <c r="GN84" s="49"/>
      <c r="GO84" s="49"/>
      <c r="GP84" s="49"/>
      <c r="GQ84" s="49"/>
      <c r="GR84" s="48"/>
      <c r="GS84" s="48"/>
      <c r="GT84" s="48"/>
      <c r="GU84" s="48"/>
      <c r="GV84" s="48"/>
      <c r="GW84" s="48"/>
      <c r="GX84" s="48"/>
      <c r="GY84" s="48"/>
      <c r="GZ84" s="48"/>
      <c r="HA84" s="48"/>
      <c r="HB84" s="48"/>
      <c r="HC84" s="48"/>
      <c r="HD84" s="48"/>
      <c r="HE84" s="48"/>
      <c r="HF84" s="13"/>
      <c r="HG84" s="13"/>
      <c r="HH84" s="13"/>
    </row>
    <row r="85" spans="1:216" ht="16.95" customHeight="1">
      <c r="A85" s="1"/>
      <c r="B85" s="3"/>
      <c r="C85" s="3"/>
      <c r="D85" s="12" t="str">
        <f ca="1">IF(FO40=0,"","(''q''). In symbolen luidt de berekening (''Δ'' = verandering):")</f>
        <v/>
      </c>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26"/>
      <c r="FL85" s="26"/>
      <c r="FM85" s="47"/>
      <c r="FN85" s="47"/>
      <c r="FO85" s="47"/>
      <c r="FP85" s="47"/>
      <c r="FQ85" s="47"/>
      <c r="FR85" s="47"/>
      <c r="FS85" s="49"/>
      <c r="FT85" s="49"/>
      <c r="FU85" s="49"/>
      <c r="FV85" s="49"/>
      <c r="FW85" s="49"/>
      <c r="FX85" s="49"/>
      <c r="FY85" s="47"/>
      <c r="FZ85" s="94"/>
      <c r="GA85" s="49"/>
      <c r="GB85" s="49"/>
      <c r="GC85" s="49"/>
      <c r="GD85" s="49"/>
      <c r="GE85" s="49"/>
      <c r="GF85" s="49"/>
      <c r="GG85" s="49"/>
      <c r="GH85" s="49"/>
      <c r="GI85" s="49"/>
      <c r="GJ85" s="49"/>
      <c r="GK85" s="49"/>
      <c r="GL85" s="49"/>
      <c r="GM85" s="49"/>
      <c r="GN85" s="49"/>
      <c r="GO85" s="49"/>
      <c r="GP85" s="49"/>
      <c r="GQ85" s="49"/>
      <c r="GR85" s="48"/>
      <c r="GS85" s="48"/>
      <c r="GT85" s="48"/>
      <c r="GU85" s="48"/>
      <c r="GV85" s="48"/>
      <c r="GW85" s="48"/>
      <c r="GX85" s="48"/>
      <c r="GY85" s="48"/>
      <c r="GZ85" s="48"/>
      <c r="HA85" s="48"/>
      <c r="HB85" s="48"/>
      <c r="HC85" s="48"/>
      <c r="HD85" s="48"/>
      <c r="HE85" s="48"/>
      <c r="HF85" s="13"/>
      <c r="HG85" s="13"/>
      <c r="HH85" s="13"/>
    </row>
    <row r="86" spans="1:216" ht="11.25" customHeight="1">
      <c r="A86" s="1"/>
      <c r="B86" s="3"/>
      <c r="C86" s="3"/>
      <c r="D86" s="12"/>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25"/>
      <c r="FG86" s="10"/>
      <c r="FH86" s="10"/>
      <c r="FI86" s="10"/>
      <c r="FJ86" s="10"/>
      <c r="FK86" s="10"/>
      <c r="FL86" s="10"/>
      <c r="FM86" s="11"/>
      <c r="FN86" s="11"/>
      <c r="FO86" s="11"/>
      <c r="FP86" s="11"/>
      <c r="FQ86" s="32"/>
      <c r="FR86" s="32"/>
      <c r="FS86" s="32"/>
      <c r="FT86" s="11"/>
      <c r="FU86" s="32"/>
      <c r="FV86" s="32"/>
      <c r="FW86" s="32"/>
      <c r="FX86" s="32"/>
      <c r="FY86" s="32"/>
      <c r="FZ86" s="94"/>
      <c r="GA86" s="49"/>
      <c r="GB86" s="49"/>
      <c r="GC86" s="49"/>
      <c r="GD86" s="49"/>
      <c r="GE86" s="49"/>
      <c r="GF86" s="49"/>
      <c r="GG86" s="49"/>
      <c r="GH86" s="49"/>
      <c r="GI86" s="49"/>
      <c r="GJ86" s="49"/>
      <c r="GK86" s="49"/>
      <c r="GL86" s="49"/>
      <c r="GM86" s="49"/>
      <c r="GN86" s="49"/>
      <c r="GO86" s="49"/>
      <c r="GP86" s="49"/>
      <c r="GQ86" s="49"/>
      <c r="GR86" s="48"/>
      <c r="GS86" s="48"/>
      <c r="GT86" s="48"/>
      <c r="GU86" s="48"/>
      <c r="GV86" s="48"/>
      <c r="GW86" s="48"/>
      <c r="GX86" s="48"/>
      <c r="GY86" s="48"/>
      <c r="GZ86" s="48"/>
      <c r="HA86" s="48"/>
      <c r="HB86" s="48"/>
      <c r="HC86" s="48"/>
      <c r="HD86" s="48"/>
      <c r="HE86" s="48"/>
    </row>
    <row r="87" spans="1:216" ht="16.5" customHeight="1">
      <c r="A87" s="1"/>
      <c r="B87" s="3"/>
      <c r="C87" s="3"/>
      <c r="D87" s="12"/>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608" t="str">
        <f ca="1">IF(FO40=0,"","MO =")</f>
        <v/>
      </c>
      <c r="AY87" s="608"/>
      <c r="AZ87" s="608"/>
      <c r="BA87" s="608"/>
      <c r="BB87" s="608"/>
      <c r="BC87" s="608"/>
      <c r="BD87" s="608"/>
      <c r="BE87" s="608"/>
      <c r="BF87" s="608"/>
      <c r="BG87" s="608"/>
      <c r="BH87" s="10"/>
      <c r="BI87" s="101"/>
      <c r="BJ87" s="101"/>
      <c r="BK87" s="101"/>
      <c r="BL87" s="102" t="str">
        <f ca="1">IF(FO40=0,"","ΔTO")</f>
        <v/>
      </c>
      <c r="BM87" s="101"/>
      <c r="BN87" s="101"/>
      <c r="BO87" s="101"/>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25"/>
      <c r="FG87" s="10"/>
      <c r="FH87" s="10"/>
      <c r="FI87" s="10"/>
      <c r="FJ87" s="10"/>
      <c r="FK87" s="10"/>
      <c r="FL87" s="10"/>
      <c r="FM87" s="11"/>
      <c r="FN87" s="11"/>
      <c r="FO87" s="11"/>
      <c r="FP87" s="11"/>
      <c r="FQ87" s="32"/>
      <c r="FR87" s="32"/>
      <c r="FS87" s="32"/>
      <c r="FT87" s="11"/>
      <c r="FU87" s="32"/>
      <c r="FV87" s="32"/>
      <c r="FW87" s="32"/>
      <c r="FX87" s="32"/>
      <c r="FY87" s="32"/>
      <c r="FZ87" s="94"/>
      <c r="GA87" s="49"/>
      <c r="GB87" s="49"/>
      <c r="GC87" s="49"/>
      <c r="GD87" s="49"/>
      <c r="GE87" s="49"/>
      <c r="GF87" s="49"/>
      <c r="GG87" s="49"/>
      <c r="GH87" s="49"/>
      <c r="GI87" s="49"/>
      <c r="GJ87" s="49"/>
      <c r="GK87" s="49"/>
      <c r="GL87" s="49"/>
      <c r="GM87" s="49"/>
      <c r="GN87" s="49"/>
      <c r="GO87" s="49"/>
      <c r="GP87" s="49"/>
      <c r="GQ87" s="49"/>
      <c r="GR87" s="48"/>
      <c r="GS87" s="48"/>
      <c r="GT87" s="48"/>
      <c r="GU87" s="48"/>
      <c r="GV87" s="48"/>
      <c r="GW87" s="48"/>
      <c r="GX87" s="48"/>
      <c r="GY87" s="48"/>
      <c r="GZ87" s="48"/>
      <c r="HA87" s="48"/>
      <c r="HB87" s="48"/>
      <c r="HC87" s="48"/>
      <c r="HD87" s="48"/>
      <c r="HE87" s="48"/>
    </row>
    <row r="88" spans="1:216" ht="16.5" customHeight="1">
      <c r="A88" s="1"/>
      <c r="B88" s="3"/>
      <c r="C88" s="3"/>
      <c r="D88" s="12"/>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608"/>
      <c r="AY88" s="608"/>
      <c r="AZ88" s="608"/>
      <c r="BA88" s="608"/>
      <c r="BB88" s="608"/>
      <c r="BC88" s="608"/>
      <c r="BD88" s="608"/>
      <c r="BE88" s="608"/>
      <c r="BF88" s="608"/>
      <c r="BG88" s="608"/>
      <c r="BH88" s="10"/>
      <c r="BI88" s="10"/>
      <c r="BJ88" s="10"/>
      <c r="BK88" s="10"/>
      <c r="BL88" s="81" t="str">
        <f ca="1">IF(FO40=0,"","Δq")</f>
        <v/>
      </c>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25"/>
      <c r="FG88" s="10"/>
      <c r="FH88" s="10"/>
      <c r="FI88" s="10"/>
      <c r="FJ88" s="10"/>
      <c r="FK88" s="10"/>
      <c r="FL88" s="10"/>
      <c r="FM88" s="11"/>
      <c r="FN88" s="11"/>
      <c r="FO88" s="11"/>
      <c r="FP88" s="11"/>
      <c r="FQ88" s="32"/>
      <c r="FR88" s="32"/>
      <c r="FS88" s="32"/>
      <c r="FT88" s="11"/>
      <c r="FU88" s="32"/>
      <c r="FV88" s="32"/>
      <c r="FW88" s="32"/>
      <c r="FX88" s="32"/>
      <c r="FY88" s="32"/>
      <c r="FZ88" s="94"/>
      <c r="GA88" s="49"/>
      <c r="GB88" s="49"/>
      <c r="GC88" s="49"/>
      <c r="GD88" s="49"/>
      <c r="GE88" s="49"/>
      <c r="GF88" s="49"/>
      <c r="GG88" s="49"/>
      <c r="GH88" s="49"/>
      <c r="GI88" s="49"/>
      <c r="GJ88" s="49"/>
      <c r="GK88" s="49"/>
      <c r="GL88" s="49"/>
      <c r="GM88" s="49"/>
      <c r="GN88" s="49"/>
      <c r="GO88" s="49"/>
      <c r="GP88" s="49"/>
      <c r="GQ88" s="49"/>
      <c r="GR88" s="48"/>
      <c r="GS88" s="48"/>
      <c r="GT88" s="48"/>
      <c r="GU88" s="48"/>
      <c r="GV88" s="48"/>
      <c r="GW88" s="48"/>
      <c r="GX88" s="48"/>
      <c r="GY88" s="48"/>
      <c r="GZ88" s="48"/>
      <c r="HA88" s="48"/>
      <c r="HB88" s="48"/>
      <c r="HC88" s="48"/>
      <c r="HD88" s="48"/>
      <c r="HE88" s="48"/>
    </row>
    <row r="89" spans="1:216" ht="9.75" customHeight="1">
      <c r="A89" s="1"/>
      <c r="B89" s="3"/>
      <c r="C89" s="3"/>
      <c r="D89" s="12"/>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47"/>
      <c r="FN89" s="47"/>
      <c r="FO89" s="47"/>
      <c r="FP89" s="47"/>
      <c r="FQ89" s="47"/>
      <c r="FR89" s="47"/>
      <c r="FS89" s="49"/>
      <c r="FT89" s="49"/>
      <c r="FU89" s="49"/>
      <c r="FV89" s="49"/>
      <c r="FW89" s="49"/>
      <c r="FX89" s="49"/>
      <c r="FY89" s="47"/>
      <c r="FZ89" s="94"/>
      <c r="GA89" s="49"/>
      <c r="GB89" s="49"/>
      <c r="GC89" s="49"/>
      <c r="GD89" s="49"/>
      <c r="GE89" s="49"/>
      <c r="GF89" s="49"/>
      <c r="GG89" s="49"/>
      <c r="GH89" s="49"/>
      <c r="GI89" s="49"/>
      <c r="GJ89" s="49"/>
      <c r="GK89" s="49"/>
      <c r="GL89" s="49"/>
      <c r="GM89" s="49"/>
      <c r="GN89" s="49"/>
      <c r="GO89" s="49"/>
      <c r="GP89" s="49"/>
      <c r="GQ89" s="49"/>
      <c r="GR89" s="48"/>
      <c r="GS89" s="48"/>
      <c r="GT89" s="48"/>
      <c r="GU89" s="48"/>
      <c r="GV89" s="48"/>
      <c r="GW89" s="48"/>
      <c r="GX89" s="48"/>
      <c r="GY89" s="48"/>
      <c r="GZ89" s="48"/>
      <c r="HA89" s="48"/>
      <c r="HB89" s="48"/>
      <c r="HC89" s="48"/>
      <c r="HD89" s="48"/>
      <c r="HE89" s="48"/>
      <c r="HF89" s="13"/>
      <c r="HG89" s="13"/>
      <c r="HH89" s="13"/>
    </row>
    <row r="90" spans="1:216" ht="16.95" customHeight="1">
      <c r="A90" s="1"/>
      <c r="B90" s="3"/>
      <c r="C90" s="3"/>
      <c r="D90" s="12" t="str">
        <f ca="1">IF(FO40=0,"","We zeggen ook wel dat MO de de richtingscoëfficiënt (of het hellingsgetal)")</f>
        <v/>
      </c>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26"/>
      <c r="FL90" s="26"/>
      <c r="FM90" s="47"/>
      <c r="FN90" s="47"/>
      <c r="FO90" s="47"/>
      <c r="FP90" s="47"/>
      <c r="FQ90" s="47"/>
      <c r="FR90" s="47"/>
      <c r="FS90" s="49"/>
      <c r="FT90" s="49"/>
      <c r="FU90" s="49"/>
      <c r="FV90" s="49"/>
      <c r="FW90" s="49"/>
      <c r="FX90" s="49"/>
      <c r="FY90" s="47"/>
      <c r="FZ90" s="94"/>
      <c r="GA90" s="49"/>
      <c r="GB90" s="49"/>
      <c r="GC90" s="49"/>
      <c r="GD90" s="49"/>
      <c r="GE90" s="49"/>
      <c r="GF90" s="49"/>
      <c r="GG90" s="49"/>
      <c r="GH90" s="49"/>
      <c r="GI90" s="49"/>
      <c r="GJ90" s="49"/>
      <c r="GK90" s="49"/>
      <c r="GL90" s="49"/>
      <c r="GM90" s="49"/>
      <c r="GN90" s="49"/>
      <c r="GO90" s="49"/>
      <c r="GP90" s="49"/>
      <c r="GQ90" s="49"/>
      <c r="GR90" s="48"/>
      <c r="GS90" s="48"/>
      <c r="GT90" s="48"/>
      <c r="GU90" s="48"/>
      <c r="GV90" s="48"/>
      <c r="GW90" s="48"/>
      <c r="GX90" s="48"/>
      <c r="GY90" s="48"/>
      <c r="GZ90" s="48"/>
      <c r="HA90" s="48"/>
      <c r="HB90" s="48"/>
      <c r="HC90" s="48"/>
      <c r="HD90" s="48"/>
      <c r="HE90" s="48"/>
      <c r="HF90" s="13"/>
      <c r="HG90" s="13"/>
      <c r="HH90" s="13"/>
    </row>
    <row r="91" spans="1:216" ht="16.95" customHeight="1">
      <c r="A91" s="1"/>
      <c r="B91" s="3"/>
      <c r="C91" s="3"/>
      <c r="D91" s="12" t="str">
        <f ca="1">IF(FO40=0,"","van TO aangeeft. Vaak wordt ook gezegd dat de marginale opbrengst")</f>
        <v/>
      </c>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26"/>
      <c r="FL91" s="26"/>
      <c r="FM91" s="47"/>
      <c r="FN91" s="47"/>
      <c r="FO91" s="47"/>
      <c r="FP91" s="47"/>
      <c r="FQ91" s="47"/>
      <c r="FR91" s="47"/>
      <c r="FS91" s="49"/>
      <c r="FT91" s="49"/>
      <c r="FU91" s="49"/>
      <c r="FV91" s="49"/>
      <c r="FW91" s="49"/>
      <c r="FX91" s="49"/>
      <c r="FY91" s="47"/>
      <c r="FZ91" s="94"/>
      <c r="GA91" s="49"/>
      <c r="GB91" s="49"/>
      <c r="GC91" s="49"/>
      <c r="GD91" s="49"/>
      <c r="GE91" s="49"/>
      <c r="GF91" s="49"/>
      <c r="GG91" s="49"/>
      <c r="GH91" s="49"/>
      <c r="GI91" s="49"/>
      <c r="GJ91" s="49"/>
      <c r="GK91" s="49"/>
      <c r="GL91" s="49"/>
      <c r="GM91" s="49"/>
      <c r="GN91" s="49"/>
      <c r="GO91" s="49"/>
      <c r="GP91" s="49"/>
      <c r="GQ91" s="49"/>
      <c r="GR91" s="48"/>
      <c r="GS91" s="48"/>
      <c r="GT91" s="48"/>
      <c r="GU91" s="48"/>
      <c r="GV91" s="48"/>
      <c r="GW91" s="48"/>
      <c r="GX91" s="48"/>
      <c r="GY91" s="48"/>
      <c r="GZ91" s="48"/>
      <c r="HA91" s="48"/>
      <c r="HB91" s="48"/>
      <c r="HC91" s="48"/>
      <c r="HD91" s="48"/>
      <c r="HE91" s="48"/>
      <c r="HF91" s="13"/>
      <c r="HG91" s="13"/>
      <c r="HH91" s="13"/>
    </row>
    <row r="92" spans="1:216" ht="16.95" customHeight="1">
      <c r="A92" s="1"/>
      <c r="B92" s="3"/>
      <c r="C92" s="3"/>
      <c r="D92" s="12" t="str">
        <f ca="1">IF(FO40=0,"","aangeeft wat de extra opbrengst van één extra product is. Dit moet je echter")</f>
        <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26"/>
      <c r="FL92" s="26"/>
      <c r="FM92" s="47"/>
      <c r="FN92" s="47"/>
      <c r="FO92" s="47"/>
      <c r="FP92" s="47"/>
      <c r="FQ92" s="47"/>
      <c r="FR92" s="47"/>
      <c r="FS92" s="49"/>
      <c r="FT92" s="49"/>
      <c r="FU92" s="49"/>
      <c r="FV92" s="49"/>
      <c r="FW92" s="49"/>
      <c r="FX92" s="49"/>
      <c r="FY92" s="47"/>
      <c r="FZ92" s="94"/>
      <c r="GA92" s="49"/>
      <c r="GB92" s="49"/>
      <c r="GC92" s="49"/>
      <c r="GD92" s="49"/>
      <c r="GE92" s="49"/>
      <c r="GF92" s="49"/>
      <c r="GG92" s="49"/>
      <c r="GH92" s="49"/>
      <c r="GI92" s="49"/>
      <c r="GJ92" s="49"/>
      <c r="GK92" s="49"/>
      <c r="GL92" s="49"/>
      <c r="GM92" s="49"/>
      <c r="GN92" s="49"/>
      <c r="GO92" s="49"/>
      <c r="GP92" s="49"/>
      <c r="GQ92" s="49"/>
      <c r="GR92" s="48"/>
      <c r="GS92" s="48"/>
      <c r="GT92" s="48"/>
      <c r="GU92" s="48"/>
      <c r="GV92" s="48"/>
      <c r="GW92" s="48"/>
      <c r="GX92" s="48"/>
      <c r="GY92" s="48"/>
      <c r="GZ92" s="48"/>
      <c r="HA92" s="48"/>
      <c r="HB92" s="48"/>
      <c r="HC92" s="48"/>
      <c r="HD92" s="48"/>
      <c r="HE92" s="48"/>
      <c r="HF92" s="13"/>
      <c r="HG92" s="13"/>
      <c r="HH92" s="13"/>
    </row>
    <row r="93" spans="1:216" ht="16.95" customHeight="1">
      <c r="A93" s="1"/>
      <c r="B93" s="3"/>
      <c r="C93" s="3"/>
      <c r="D93" s="12" t="str">
        <f ca="1">IF(FO40=0,"","niet opvatten als ''je hebt er al zoveel verkocht en nu verkoop je er nog één")</f>
        <v/>
      </c>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26"/>
      <c r="FL93" s="26"/>
      <c r="FM93" s="47"/>
      <c r="FN93" s="47"/>
      <c r="FO93" s="47"/>
      <c r="FP93" s="47"/>
      <c r="FQ93" s="47"/>
      <c r="FR93" s="47"/>
      <c r="FS93" s="49"/>
      <c r="FT93" s="49"/>
      <c r="FU93" s="49"/>
      <c r="FV93" s="49"/>
      <c r="FW93" s="49"/>
      <c r="FX93" s="49"/>
      <c r="FY93" s="47"/>
      <c r="FZ93" s="94"/>
      <c r="GA93" s="49"/>
      <c r="GB93" s="49"/>
      <c r="GC93" s="49"/>
      <c r="GD93" s="49"/>
      <c r="GE93" s="49"/>
      <c r="GF93" s="49"/>
      <c r="GG93" s="49"/>
      <c r="GH93" s="49"/>
      <c r="GI93" s="49"/>
      <c r="GJ93" s="49"/>
      <c r="GK93" s="49"/>
      <c r="GL93" s="49"/>
      <c r="GM93" s="49"/>
      <c r="GN93" s="49"/>
      <c r="GO93" s="49"/>
      <c r="GP93" s="49"/>
      <c r="GQ93" s="49"/>
      <c r="GR93" s="48"/>
      <c r="GS93" s="48"/>
      <c r="GT93" s="48"/>
      <c r="GU93" s="48"/>
      <c r="GV93" s="48"/>
      <c r="GW93" s="48"/>
      <c r="GX93" s="48"/>
      <c r="GY93" s="48"/>
      <c r="GZ93" s="48"/>
      <c r="HA93" s="48"/>
      <c r="HB93" s="48"/>
      <c r="HC93" s="48"/>
      <c r="HD93" s="48"/>
      <c r="HE93" s="48"/>
      <c r="HF93" s="13"/>
      <c r="HG93" s="13"/>
      <c r="HH93" s="13"/>
    </row>
    <row r="94" spans="1:216" ht="16.95" customHeight="1">
      <c r="A94" s="1"/>
      <c r="B94" s="3"/>
      <c r="C94" s="3"/>
      <c r="D94" s="12" t="str">
        <f ca="1">IF(FO40=0,"","extra''. In dat geval zou de totale opbrengst nooit kunen dalen (want we gaan")</f>
        <v/>
      </c>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26"/>
      <c r="FL94" s="26"/>
      <c r="FM94" s="47"/>
      <c r="FN94" s="47"/>
      <c r="FO94" s="47"/>
      <c r="FP94" s="47"/>
      <c r="FQ94" s="47"/>
      <c r="FR94" s="47"/>
      <c r="FS94" s="49"/>
      <c r="FT94" s="49"/>
      <c r="FU94" s="49"/>
      <c r="FV94" s="49"/>
      <c r="FW94" s="49"/>
      <c r="FX94" s="49"/>
      <c r="FY94" s="47"/>
      <c r="FZ94" s="94"/>
      <c r="GA94" s="49"/>
      <c r="GB94" s="49"/>
      <c r="GC94" s="49"/>
      <c r="GD94" s="49"/>
      <c r="GE94" s="49"/>
      <c r="GF94" s="49"/>
      <c r="GG94" s="49"/>
      <c r="GH94" s="49"/>
      <c r="GI94" s="49"/>
      <c r="GJ94" s="49"/>
      <c r="GK94" s="49"/>
      <c r="GL94" s="49"/>
      <c r="GM94" s="49"/>
      <c r="GN94" s="49"/>
      <c r="GO94" s="49"/>
      <c r="GP94" s="49"/>
      <c r="GQ94" s="49"/>
      <c r="GR94" s="48"/>
      <c r="GS94" s="48"/>
      <c r="GT94" s="48"/>
      <c r="GU94" s="48"/>
      <c r="GV94" s="48"/>
      <c r="GW94" s="48"/>
      <c r="GX94" s="48"/>
      <c r="GY94" s="48"/>
      <c r="GZ94" s="48"/>
      <c r="HA94" s="48"/>
      <c r="HB94" s="48"/>
      <c r="HC94" s="48"/>
      <c r="HD94" s="48"/>
      <c r="HE94" s="48"/>
      <c r="HF94" s="13"/>
      <c r="HG94" s="13"/>
      <c r="HH94" s="13"/>
    </row>
    <row r="95" spans="1:216" ht="16.95" customHeight="1">
      <c r="A95" s="1"/>
      <c r="B95" s="3"/>
      <c r="C95" s="3"/>
      <c r="D95" s="12" t="str">
        <f ca="1">IF(FO40=0,"","ervan uit dat de prijs niet onder de nul euro kan zakken). Je moet dit zien als")</f>
        <v/>
      </c>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26"/>
      <c r="FL95" s="26"/>
      <c r="FM95" s="47"/>
      <c r="FN95" s="47"/>
      <c r="FO95" s="47"/>
      <c r="FP95" s="47"/>
      <c r="FQ95" s="47"/>
      <c r="FR95" s="47"/>
      <c r="FS95" s="49"/>
      <c r="FT95" s="49"/>
      <c r="FU95" s="49"/>
      <c r="FV95" s="49"/>
      <c r="FW95" s="49"/>
      <c r="FX95" s="49"/>
      <c r="FY95" s="47"/>
      <c r="FZ95" s="94"/>
      <c r="GA95" s="49"/>
      <c r="GB95" s="49"/>
      <c r="GC95" s="49"/>
      <c r="GD95" s="49"/>
      <c r="GE95" s="49"/>
      <c r="GF95" s="49"/>
      <c r="GG95" s="49"/>
      <c r="GH95" s="49"/>
      <c r="GI95" s="49"/>
      <c r="GJ95" s="49"/>
      <c r="GK95" s="49"/>
      <c r="GL95" s="49"/>
      <c r="GM95" s="49"/>
      <c r="GN95" s="49"/>
      <c r="GO95" s="49"/>
      <c r="GP95" s="49"/>
      <c r="GQ95" s="49"/>
      <c r="GR95" s="48"/>
      <c r="GS95" s="48"/>
      <c r="GT95" s="48"/>
      <c r="GU95" s="48"/>
      <c r="GV95" s="48"/>
      <c r="GW95" s="48"/>
      <c r="GX95" s="48"/>
      <c r="GY95" s="48"/>
      <c r="GZ95" s="48"/>
      <c r="HA95" s="48"/>
      <c r="HB95" s="48"/>
      <c r="HC95" s="48"/>
      <c r="HD95" s="48"/>
      <c r="HE95" s="48"/>
      <c r="HF95" s="13"/>
      <c r="HG95" s="13"/>
      <c r="HH95" s="13"/>
    </row>
    <row r="96" spans="1:216" ht="16.95" customHeight="1">
      <c r="A96" s="1"/>
      <c r="B96" s="3"/>
      <c r="C96" s="3"/>
      <c r="D96" s="12" t="str">
        <f ca="1">IF(FO40=0,"","stel dat ik in deze periode één eenheid meer zou willen verkopen, wat")</f>
        <v/>
      </c>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26"/>
      <c r="FL96" s="26"/>
      <c r="FM96" s="47"/>
      <c r="FN96" s="47"/>
      <c r="FO96" s="47"/>
      <c r="FP96" s="47"/>
      <c r="FQ96" s="47"/>
      <c r="FR96" s="47"/>
      <c r="FS96" s="49"/>
      <c r="FT96" s="49"/>
      <c r="FU96" s="49"/>
      <c r="FV96" s="49"/>
      <c r="FW96" s="49"/>
      <c r="FX96" s="49"/>
      <c r="FY96" s="47"/>
      <c r="FZ96" s="94"/>
      <c r="GA96" s="49"/>
      <c r="GB96" s="49"/>
      <c r="GC96" s="49"/>
      <c r="GD96" s="49"/>
      <c r="GE96" s="49"/>
      <c r="GF96" s="49"/>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13"/>
      <c r="HG96" s="13"/>
      <c r="HH96" s="13"/>
    </row>
    <row r="97" spans="1:216" ht="16.95" customHeight="1">
      <c r="A97" s="1"/>
      <c r="B97" s="3"/>
      <c r="C97" s="3"/>
      <c r="D97" s="12" t="str">
        <f ca="1">IF(FO40=0,"","gebeurt er dan met mijn omzet (als ik iedereen dezelfde prijs bereken, want")</f>
        <v/>
      </c>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26"/>
      <c r="FL97" s="26"/>
      <c r="FM97" s="47"/>
      <c r="FN97" s="47"/>
      <c r="FO97" s="47"/>
      <c r="FP97" s="47"/>
      <c r="FQ97" s="47"/>
      <c r="FR97" s="47"/>
      <c r="FS97" s="49"/>
      <c r="FT97" s="49"/>
      <c r="FU97" s="49"/>
      <c r="FV97" s="49"/>
      <c r="FW97" s="49"/>
      <c r="FX97" s="49"/>
      <c r="FY97" s="47"/>
      <c r="FZ97" s="94"/>
      <c r="GA97" s="49"/>
      <c r="GB97" s="49"/>
      <c r="GC97" s="49"/>
      <c r="GD97" s="49"/>
      <c r="GE97" s="49"/>
      <c r="GF97" s="49"/>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13"/>
      <c r="HG97" s="13"/>
      <c r="HH97" s="13"/>
    </row>
    <row r="98" spans="1:216" ht="16.95" customHeight="1">
      <c r="A98" s="1"/>
      <c r="B98" s="3"/>
      <c r="C98" s="3"/>
      <c r="D98" s="12" t="str">
        <f ca="1">IF(FO40=0,"","we gaan ervan uit dat er geen sprake is van prijsdiscriminatie). Doordat één")</f>
        <v/>
      </c>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26"/>
      <c r="FL98" s="26"/>
      <c r="FM98" s="47"/>
      <c r="FN98" s="47"/>
      <c r="FO98" s="47"/>
      <c r="FP98" s="47"/>
      <c r="FQ98" s="47"/>
      <c r="FR98" s="47"/>
      <c r="FS98" s="49"/>
      <c r="FT98" s="49"/>
      <c r="FU98" s="49"/>
      <c r="FV98" s="49"/>
      <c r="FW98" s="49"/>
      <c r="FX98" s="49"/>
      <c r="FY98" s="47"/>
      <c r="FZ98" s="94"/>
      <c r="GA98" s="49"/>
      <c r="GB98" s="49"/>
      <c r="GC98" s="49"/>
      <c r="GD98" s="49"/>
      <c r="GE98" s="49"/>
      <c r="GF98" s="49"/>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13"/>
      <c r="HG98" s="13"/>
      <c r="HH98" s="13"/>
    </row>
    <row r="99" spans="1:216" ht="16.95" customHeight="1">
      <c r="A99" s="1"/>
      <c r="B99" s="3"/>
      <c r="C99" s="3"/>
      <c r="D99" s="12" t="str">
        <f ca="1">IF(FO40=0,"","extra eenheid op de markt brengen ervoor zorgt dat de prijs van alle eenheden")</f>
        <v/>
      </c>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26"/>
      <c r="FL99" s="26"/>
      <c r="FM99" s="47"/>
      <c r="FN99" s="47"/>
      <c r="FO99" s="47"/>
      <c r="FP99" s="47"/>
      <c r="FQ99" s="47"/>
      <c r="FR99" s="47"/>
      <c r="FS99" s="49"/>
      <c r="FT99" s="49"/>
      <c r="FU99" s="49"/>
      <c r="FV99" s="49"/>
      <c r="FW99" s="49"/>
      <c r="FX99" s="49"/>
      <c r="FY99" s="47"/>
      <c r="FZ99" s="94"/>
      <c r="GA99" s="49"/>
      <c r="GB99" s="49"/>
      <c r="GC99" s="49"/>
      <c r="GD99" s="49"/>
      <c r="GE99" s="49"/>
      <c r="GF99" s="49"/>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13"/>
      <c r="HG99" s="13"/>
      <c r="HH99" s="13"/>
    </row>
    <row r="100" spans="1:216" ht="16.95" customHeight="1">
      <c r="A100" s="1"/>
      <c r="B100" s="3"/>
      <c r="C100" s="3"/>
      <c r="D100" s="12" t="str">
        <f ca="1">IF(FO40=0,"","die je in die periode wilt verkopen lager wordt, kun je de opbrengst niet")</f>
        <v/>
      </c>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26"/>
      <c r="FL100" s="26"/>
      <c r="FM100" s="47"/>
      <c r="FN100" s="47"/>
      <c r="FO100" s="47"/>
      <c r="FP100" s="47"/>
      <c r="FQ100" s="47"/>
      <c r="FR100" s="47"/>
      <c r="FS100" s="49"/>
      <c r="FT100" s="49"/>
      <c r="FU100" s="49"/>
      <c r="FV100" s="49"/>
      <c r="FW100" s="49"/>
      <c r="FX100" s="49"/>
      <c r="FY100" s="47"/>
      <c r="FZ100" s="94"/>
      <c r="GA100" s="49"/>
      <c r="GB100" s="49"/>
      <c r="GC100" s="49"/>
      <c r="GD100" s="49"/>
      <c r="GE100" s="49"/>
      <c r="GF100" s="49"/>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13"/>
      <c r="HG100" s="13"/>
      <c r="HH100" s="13"/>
    </row>
    <row r="101" spans="1:216" ht="16.95" customHeight="1">
      <c r="A101" s="1"/>
      <c r="B101" s="3"/>
      <c r="C101" s="3"/>
      <c r="D101" s="12" t="str">
        <f ca="1">IF(FO40=0,"","geleidelijk laten toenemen. Het is steeds de betreffende hoeveelheid of niets.")</f>
        <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454"/>
      <c r="AG101" s="454"/>
      <c r="AH101" s="454"/>
      <c r="AI101" s="454"/>
      <c r="AJ101" s="454"/>
      <c r="AK101" s="454"/>
      <c r="AL101" s="454"/>
      <c r="AM101" s="454"/>
      <c r="AN101" s="454"/>
      <c r="AO101" s="454"/>
      <c r="AP101" s="454"/>
      <c r="AQ101" s="454"/>
      <c r="AR101" s="454"/>
      <c r="AS101" s="454"/>
      <c r="AT101" s="454"/>
      <c r="AU101" s="454"/>
      <c r="AV101" s="454"/>
      <c r="AW101" s="454"/>
      <c r="AX101" s="454"/>
      <c r="AY101" s="454"/>
      <c r="AZ101" s="454"/>
      <c r="BA101" s="454"/>
      <c r="BB101" s="454"/>
      <c r="BC101" s="454"/>
      <c r="BD101" s="454"/>
      <c r="BE101" s="454"/>
      <c r="BF101" s="454"/>
      <c r="BG101" s="454"/>
      <c r="BH101" s="454"/>
      <c r="BI101" s="454"/>
      <c r="BJ101" s="454"/>
      <c r="BK101" s="454"/>
      <c r="BL101" s="454"/>
      <c r="BM101" s="454"/>
      <c r="BN101" s="454"/>
      <c r="BO101" s="454"/>
      <c r="BP101" s="454"/>
      <c r="BQ101" s="454"/>
      <c r="BR101" s="454"/>
      <c r="BS101" s="454"/>
      <c r="BT101" s="454"/>
      <c r="BU101" s="454"/>
      <c r="BV101" s="454"/>
      <c r="BW101" s="454"/>
      <c r="BX101" s="454"/>
      <c r="BY101" s="454"/>
      <c r="BZ101" s="454"/>
      <c r="CA101" s="454"/>
      <c r="CB101" s="454"/>
      <c r="CC101" s="454"/>
      <c r="CD101" s="454"/>
      <c r="CE101" s="454"/>
      <c r="CF101" s="454"/>
      <c r="CG101" s="454"/>
      <c r="CH101" s="454"/>
      <c r="CI101" s="454"/>
      <c r="CJ101" s="454"/>
      <c r="CK101" s="454"/>
      <c r="CL101" s="454"/>
      <c r="CM101" s="454"/>
      <c r="CN101" s="454"/>
      <c r="CO101" s="454"/>
      <c r="CP101" s="454"/>
      <c r="CQ101" s="454"/>
      <c r="CR101" s="454"/>
      <c r="CS101" s="454"/>
      <c r="CT101" s="454"/>
      <c r="CU101" s="454"/>
      <c r="CV101" s="454"/>
      <c r="CW101" s="454"/>
      <c r="CX101" s="454"/>
      <c r="CY101" s="454"/>
      <c r="CZ101" s="454"/>
      <c r="DA101" s="454"/>
      <c r="DB101" s="454"/>
      <c r="DC101" s="454"/>
      <c r="DD101" s="454"/>
      <c r="DE101" s="454"/>
      <c r="DF101" s="454"/>
      <c r="DG101" s="454"/>
      <c r="DH101" s="454"/>
      <c r="DI101" s="454"/>
      <c r="DJ101" s="454"/>
      <c r="DK101" s="454"/>
      <c r="DL101" s="454"/>
      <c r="DM101" s="454"/>
      <c r="DN101" s="454"/>
      <c r="DO101" s="454"/>
      <c r="DP101" s="454"/>
      <c r="DQ101" s="454"/>
      <c r="DR101" s="454"/>
      <c r="DS101" s="454"/>
      <c r="DT101" s="454"/>
      <c r="DU101" s="454"/>
      <c r="DV101" s="454"/>
      <c r="DW101" s="454"/>
      <c r="DX101" s="454"/>
      <c r="DY101" s="454"/>
      <c r="DZ101" s="454"/>
      <c r="EA101" s="454"/>
      <c r="EB101" s="454"/>
      <c r="EC101" s="454"/>
      <c r="ED101" s="454"/>
      <c r="EE101" s="454"/>
      <c r="EF101" s="454"/>
      <c r="EG101" s="454"/>
      <c r="EH101" s="454"/>
      <c r="EI101" s="454"/>
      <c r="EJ101" s="454"/>
      <c r="EK101" s="454"/>
      <c r="EL101" s="454"/>
      <c r="EM101" s="454"/>
      <c r="EN101" s="454"/>
      <c r="EO101" s="454"/>
      <c r="EP101" s="454"/>
      <c r="EQ101" s="454"/>
      <c r="ER101" s="454"/>
      <c r="ES101" s="454"/>
      <c r="ET101" s="454"/>
      <c r="EU101" s="454"/>
      <c r="EV101" s="454"/>
      <c r="EW101" s="454"/>
      <c r="EX101" s="454"/>
      <c r="EY101" s="454"/>
      <c r="EZ101" s="454"/>
      <c r="FA101" s="454"/>
      <c r="FB101" s="454"/>
      <c r="FC101" s="454"/>
      <c r="FD101" s="454"/>
      <c r="FE101" s="454"/>
      <c r="FF101" s="454"/>
      <c r="FG101" s="454"/>
      <c r="FH101" s="454"/>
      <c r="FI101" s="454"/>
      <c r="FJ101" s="454"/>
      <c r="FK101" s="43"/>
      <c r="FL101" s="43"/>
      <c r="FM101" s="47"/>
      <c r="FN101" s="47"/>
      <c r="FO101" s="47"/>
      <c r="FP101" s="47"/>
      <c r="FQ101" s="47"/>
      <c r="FR101" s="47"/>
      <c r="FS101" s="49"/>
      <c r="FT101" s="49"/>
      <c r="FU101" s="49"/>
      <c r="FV101" s="49"/>
      <c r="FW101" s="49"/>
      <c r="FX101" s="49"/>
      <c r="FY101" s="47"/>
      <c r="FZ101" s="94"/>
      <c r="GA101" s="49"/>
      <c r="GB101" s="49"/>
      <c r="GC101" s="49"/>
      <c r="GD101" s="49"/>
      <c r="GE101" s="49"/>
      <c r="GF101" s="49"/>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13"/>
      <c r="HG101" s="13"/>
      <c r="HH101" s="13"/>
    </row>
    <row r="102" spans="1:216" ht="16.95" customHeight="1">
      <c r="A102" s="1"/>
      <c r="B102" s="3"/>
      <c r="C102" s="3"/>
      <c r="D102" s="12" t="str">
        <f ca="1">IF(FO40=0,"","Maak je gebruik van de afzetfunctie, bijvoorbeeld p = -2q + 8, een uitgangs-")</f>
        <v/>
      </c>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471"/>
      <c r="AG102" s="471"/>
      <c r="AH102" s="471"/>
      <c r="AI102" s="471"/>
      <c r="AJ102" s="471"/>
      <c r="AK102" s="471"/>
      <c r="AL102" s="471"/>
      <c r="AM102" s="471"/>
      <c r="AN102" s="471"/>
      <c r="AO102" s="471"/>
      <c r="AP102" s="471"/>
      <c r="AQ102" s="471"/>
      <c r="AR102" s="471"/>
      <c r="AS102" s="471"/>
      <c r="AT102" s="471"/>
      <c r="AU102" s="471"/>
      <c r="AV102" s="471"/>
      <c r="AW102" s="471"/>
      <c r="AX102" s="471"/>
      <c r="AY102" s="471"/>
      <c r="AZ102" s="471"/>
      <c r="BA102" s="471"/>
      <c r="BB102" s="471"/>
      <c r="BC102" s="471"/>
      <c r="BD102" s="471"/>
      <c r="BE102" s="471"/>
      <c r="BF102" s="471"/>
      <c r="BG102" s="471"/>
      <c r="BH102" s="471"/>
      <c r="BI102" s="471"/>
      <c r="BJ102" s="471"/>
      <c r="BK102" s="471"/>
      <c r="BL102" s="471"/>
      <c r="BM102" s="471"/>
      <c r="BN102" s="471"/>
      <c r="BO102" s="471"/>
      <c r="BP102" s="471"/>
      <c r="BQ102" s="471"/>
      <c r="BR102" s="471"/>
      <c r="BS102" s="471"/>
      <c r="BT102" s="471"/>
      <c r="BU102" s="471"/>
      <c r="BV102" s="471"/>
      <c r="BW102" s="471"/>
      <c r="BX102" s="471"/>
      <c r="BY102" s="471"/>
      <c r="BZ102" s="471"/>
      <c r="CA102" s="471"/>
      <c r="CB102" s="471"/>
      <c r="CC102" s="471"/>
      <c r="CD102" s="471"/>
      <c r="CE102" s="471"/>
      <c r="CF102" s="471"/>
      <c r="CG102" s="471"/>
      <c r="CH102" s="471"/>
      <c r="CI102" s="471"/>
      <c r="CJ102" s="471"/>
      <c r="CK102" s="471"/>
      <c r="CL102" s="471"/>
      <c r="CM102" s="471"/>
      <c r="CN102" s="471"/>
      <c r="CO102" s="471"/>
      <c r="CP102" s="471"/>
      <c r="CQ102" s="471"/>
      <c r="CR102" s="471"/>
      <c r="CS102" s="471"/>
      <c r="CT102" s="471"/>
      <c r="CU102" s="471"/>
      <c r="CV102" s="471"/>
      <c r="CW102" s="471"/>
      <c r="CX102" s="471"/>
      <c r="CY102" s="471"/>
      <c r="CZ102" s="471"/>
      <c r="DA102" s="471"/>
      <c r="DB102" s="471"/>
      <c r="DC102" s="471"/>
      <c r="DD102" s="471"/>
      <c r="DE102" s="471"/>
      <c r="DF102" s="471"/>
      <c r="DG102" s="471"/>
      <c r="DH102" s="471"/>
      <c r="DI102" s="471"/>
      <c r="DJ102" s="471"/>
      <c r="DK102" s="471"/>
      <c r="DL102" s="471"/>
      <c r="DM102" s="471"/>
      <c r="DN102" s="471"/>
      <c r="DO102" s="471"/>
      <c r="DP102" s="471"/>
      <c r="DQ102" s="471"/>
      <c r="DR102" s="471"/>
      <c r="DS102" s="471"/>
      <c r="DT102" s="471"/>
      <c r="DU102" s="471"/>
      <c r="DV102" s="471"/>
      <c r="DW102" s="471"/>
      <c r="DX102" s="471"/>
      <c r="DY102" s="471"/>
      <c r="DZ102" s="471"/>
      <c r="EA102" s="471"/>
      <c r="EB102" s="471"/>
      <c r="EC102" s="471"/>
      <c r="ED102" s="471"/>
      <c r="EE102" s="471"/>
      <c r="EF102" s="471"/>
      <c r="EG102" s="471"/>
      <c r="EH102" s="471"/>
      <c r="EI102" s="471"/>
      <c r="EJ102" s="471"/>
      <c r="EK102" s="471"/>
      <c r="EL102" s="471"/>
      <c r="EM102" s="471"/>
      <c r="EN102" s="471"/>
      <c r="EO102" s="471"/>
      <c r="EP102" s="471"/>
      <c r="EQ102" s="471"/>
      <c r="ER102" s="471"/>
      <c r="ES102" s="471"/>
      <c r="ET102" s="471"/>
      <c r="EU102" s="471"/>
      <c r="EV102" s="471"/>
      <c r="EW102" s="471"/>
      <c r="EX102" s="471"/>
      <c r="EY102" s="471"/>
      <c r="EZ102" s="471"/>
      <c r="FA102" s="471"/>
      <c r="FB102" s="471"/>
      <c r="FC102" s="471"/>
      <c r="FD102" s="471"/>
      <c r="FE102" s="471"/>
      <c r="FF102" s="471"/>
      <c r="FG102" s="471"/>
      <c r="FH102" s="471"/>
      <c r="FI102" s="471"/>
      <c r="FJ102" s="471"/>
      <c r="FK102" s="43"/>
      <c r="FL102" s="43"/>
      <c r="FM102" s="47"/>
      <c r="FN102" s="47"/>
      <c r="FO102" s="47"/>
      <c r="FP102" s="47"/>
      <c r="FQ102" s="47"/>
      <c r="FR102" s="47"/>
      <c r="FS102" s="49"/>
      <c r="FT102" s="49"/>
      <c r="FU102" s="49"/>
      <c r="FV102" s="49"/>
      <c r="FW102" s="49"/>
      <c r="FX102" s="49"/>
      <c r="FY102" s="47"/>
      <c r="FZ102" s="94"/>
      <c r="GA102" s="49"/>
      <c r="GB102" s="49"/>
      <c r="GC102" s="49"/>
      <c r="GD102" s="49"/>
      <c r="GE102" s="49"/>
      <c r="GF102" s="49"/>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13"/>
      <c r="HG102" s="13"/>
      <c r="HH102" s="13"/>
    </row>
    <row r="103" spans="1:216" ht="16.95" customHeight="1">
      <c r="A103" s="1"/>
      <c r="B103" s="3"/>
      <c r="C103" s="3"/>
      <c r="D103" s="12" t="str">
        <f ca="1">IF(FO40=0,"","hoeveelheid van twee eenheden en een toename van één eenheid, dan kun je")</f>
        <v/>
      </c>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471"/>
      <c r="AG103" s="471"/>
      <c r="AH103" s="471"/>
      <c r="AI103" s="471"/>
      <c r="AJ103" s="471"/>
      <c r="AK103" s="471"/>
      <c r="AL103" s="471"/>
      <c r="AM103" s="471"/>
      <c r="AN103" s="471"/>
      <c r="AO103" s="471"/>
      <c r="AP103" s="471"/>
      <c r="AQ103" s="471"/>
      <c r="AR103" s="471"/>
      <c r="AS103" s="471"/>
      <c r="AT103" s="471"/>
      <c r="AU103" s="471"/>
      <c r="AV103" s="471"/>
      <c r="AW103" s="471"/>
      <c r="AX103" s="471"/>
      <c r="AY103" s="471"/>
      <c r="AZ103" s="471"/>
      <c r="BA103" s="471"/>
      <c r="BB103" s="471"/>
      <c r="BC103" s="471"/>
      <c r="BD103" s="471"/>
      <c r="BE103" s="471"/>
      <c r="BF103" s="471"/>
      <c r="BG103" s="471"/>
      <c r="BH103" s="471"/>
      <c r="BI103" s="471"/>
      <c r="BJ103" s="471"/>
      <c r="BK103" s="471"/>
      <c r="BL103" s="471"/>
      <c r="BM103" s="471"/>
      <c r="BN103" s="471"/>
      <c r="BO103" s="471"/>
      <c r="BP103" s="471"/>
      <c r="BQ103" s="471"/>
      <c r="BR103" s="471"/>
      <c r="BS103" s="471"/>
      <c r="BT103" s="471"/>
      <c r="BU103" s="471"/>
      <c r="BV103" s="471"/>
      <c r="BW103" s="471"/>
      <c r="BX103" s="471"/>
      <c r="BY103" s="471"/>
      <c r="BZ103" s="471"/>
      <c r="CA103" s="471"/>
      <c r="CB103" s="471"/>
      <c r="CC103" s="471"/>
      <c r="CD103" s="471"/>
      <c r="CE103" s="471"/>
      <c r="CF103" s="471"/>
      <c r="CG103" s="471"/>
      <c r="CH103" s="471"/>
      <c r="CI103" s="471"/>
      <c r="CJ103" s="471"/>
      <c r="CK103" s="471"/>
      <c r="CL103" s="471"/>
      <c r="CM103" s="471"/>
      <c r="CN103" s="471"/>
      <c r="CO103" s="471"/>
      <c r="CP103" s="471"/>
      <c r="CQ103" s="471"/>
      <c r="CR103" s="471"/>
      <c r="CS103" s="471"/>
      <c r="CT103" s="471"/>
      <c r="CU103" s="471"/>
      <c r="CV103" s="471"/>
      <c r="CW103" s="471"/>
      <c r="CX103" s="471"/>
      <c r="CY103" s="471"/>
      <c r="CZ103" s="471"/>
      <c r="DA103" s="471"/>
      <c r="DB103" s="471"/>
      <c r="DC103" s="471"/>
      <c r="DD103" s="471"/>
      <c r="DE103" s="471"/>
      <c r="DF103" s="471"/>
      <c r="DG103" s="471"/>
      <c r="DH103" s="471"/>
      <c r="DI103" s="471"/>
      <c r="DJ103" s="471"/>
      <c r="DK103" s="471"/>
      <c r="DL103" s="471"/>
      <c r="DM103" s="471"/>
      <c r="DN103" s="471"/>
      <c r="DO103" s="471"/>
      <c r="DP103" s="471"/>
      <c r="DQ103" s="471"/>
      <c r="DR103" s="471"/>
      <c r="DS103" s="471"/>
      <c r="DT103" s="471"/>
      <c r="DU103" s="471"/>
      <c r="DV103" s="471"/>
      <c r="DW103" s="471"/>
      <c r="DX103" s="471"/>
      <c r="DY103" s="471"/>
      <c r="DZ103" s="471"/>
      <c r="EA103" s="471"/>
      <c r="EB103" s="471"/>
      <c r="EC103" s="471"/>
      <c r="ED103" s="471"/>
      <c r="EE103" s="471"/>
      <c r="EF103" s="471"/>
      <c r="EG103" s="471"/>
      <c r="EH103" s="471"/>
      <c r="EI103" s="471"/>
      <c r="EJ103" s="471"/>
      <c r="EK103" s="471"/>
      <c r="EL103" s="471"/>
      <c r="EM103" s="471"/>
      <c r="EN103" s="471"/>
      <c r="EO103" s="471"/>
      <c r="EP103" s="471"/>
      <c r="EQ103" s="471"/>
      <c r="ER103" s="471"/>
      <c r="ES103" s="471"/>
      <c r="ET103" s="471"/>
      <c r="EU103" s="471"/>
      <c r="EV103" s="471"/>
      <c r="EW103" s="471"/>
      <c r="EX103" s="471"/>
      <c r="EY103" s="471"/>
      <c r="EZ103" s="471"/>
      <c r="FA103" s="471"/>
      <c r="FB103" s="471"/>
      <c r="FC103" s="471"/>
      <c r="FD103" s="471"/>
      <c r="FE103" s="471"/>
      <c r="FF103" s="471"/>
      <c r="FG103" s="471"/>
      <c r="FH103" s="471"/>
      <c r="FI103" s="471"/>
      <c r="FJ103" s="471"/>
      <c r="FK103" s="43"/>
      <c r="FL103" s="43"/>
      <c r="FM103" s="47"/>
      <c r="FN103" s="47"/>
      <c r="FO103" s="47"/>
      <c r="FP103" s="47"/>
      <c r="FQ103" s="47"/>
      <c r="FR103" s="47"/>
      <c r="FS103" s="49"/>
      <c r="FT103" s="49"/>
      <c r="FU103" s="49"/>
      <c r="FV103" s="49"/>
      <c r="FW103" s="49"/>
      <c r="FX103" s="49"/>
      <c r="FY103" s="47"/>
      <c r="FZ103" s="94"/>
      <c r="GA103" s="49"/>
      <c r="GB103" s="49"/>
      <c r="GC103" s="49"/>
      <c r="GD103" s="49"/>
      <c r="GE103" s="49"/>
      <c r="GF103" s="49"/>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13"/>
      <c r="HG103" s="13"/>
      <c r="HH103" s="13"/>
    </row>
    <row r="104" spans="1:216" ht="16.95" customHeight="1">
      <c r="A104" s="1"/>
      <c r="B104" s="3"/>
      <c r="C104" s="3"/>
      <c r="D104" s="12" t="str">
        <f ca="1">IF(FO40=0,"","het zo in beeld brengen:")</f>
        <v/>
      </c>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471"/>
      <c r="AG104" s="471"/>
      <c r="AH104" s="471"/>
      <c r="AI104" s="471"/>
      <c r="AJ104" s="471"/>
      <c r="AK104" s="471"/>
      <c r="AL104" s="471"/>
      <c r="AM104" s="471"/>
      <c r="AN104" s="471"/>
      <c r="AO104" s="471"/>
      <c r="AP104" s="471"/>
      <c r="AQ104" s="471"/>
      <c r="AR104" s="471"/>
      <c r="AS104" s="471"/>
      <c r="AT104" s="471"/>
      <c r="AU104" s="471"/>
      <c r="AV104" s="471"/>
      <c r="AW104" s="471"/>
      <c r="AX104" s="471"/>
      <c r="AY104" s="471"/>
      <c r="AZ104" s="471"/>
      <c r="BA104" s="471"/>
      <c r="BB104" s="471"/>
      <c r="BC104" s="471"/>
      <c r="BD104" s="471"/>
      <c r="BE104" s="471"/>
      <c r="BF104" s="471"/>
      <c r="BG104" s="471"/>
      <c r="BH104" s="471"/>
      <c r="BI104" s="471"/>
      <c r="BJ104" s="471"/>
      <c r="BK104" s="471"/>
      <c r="BL104" s="471"/>
      <c r="BM104" s="471"/>
      <c r="BN104" s="471"/>
      <c r="BO104" s="471"/>
      <c r="BP104" s="471"/>
      <c r="BQ104" s="471"/>
      <c r="BR104" s="471"/>
      <c r="BS104" s="471"/>
      <c r="BT104" s="471"/>
      <c r="BU104" s="471"/>
      <c r="BV104" s="471"/>
      <c r="BW104" s="471"/>
      <c r="BX104" s="471"/>
      <c r="BY104" s="471"/>
      <c r="BZ104" s="471"/>
      <c r="CA104" s="471"/>
      <c r="CB104" s="471"/>
      <c r="CC104" s="471"/>
      <c r="CD104" s="471"/>
      <c r="CE104" s="471"/>
      <c r="CF104" s="471"/>
      <c r="CG104" s="471"/>
      <c r="CH104" s="471"/>
      <c r="CI104" s="471"/>
      <c r="CJ104" s="471"/>
      <c r="CK104" s="471"/>
      <c r="CL104" s="471"/>
      <c r="CM104" s="471"/>
      <c r="CN104" s="471"/>
      <c r="CO104" s="471"/>
      <c r="CP104" s="471"/>
      <c r="CQ104" s="471"/>
      <c r="CR104" s="471"/>
      <c r="CS104" s="471"/>
      <c r="CT104" s="471"/>
      <c r="CU104" s="471"/>
      <c r="CV104" s="471"/>
      <c r="CW104" s="471"/>
      <c r="CX104" s="471"/>
      <c r="CY104" s="471"/>
      <c r="CZ104" s="471"/>
      <c r="DA104" s="471"/>
      <c r="DB104" s="471"/>
      <c r="DC104" s="471"/>
      <c r="DD104" s="471"/>
      <c r="DE104" s="471"/>
      <c r="DF104" s="471"/>
      <c r="DG104" s="471"/>
      <c r="DH104" s="471"/>
      <c r="DI104" s="471"/>
      <c r="DJ104" s="471"/>
      <c r="DK104" s="471"/>
      <c r="DL104" s="471"/>
      <c r="DM104" s="471"/>
      <c r="DN104" s="471"/>
      <c r="DO104" s="471"/>
      <c r="DP104" s="471"/>
      <c r="DQ104" s="471"/>
      <c r="DR104" s="471"/>
      <c r="DS104" s="471"/>
      <c r="DT104" s="471"/>
      <c r="DU104" s="471"/>
      <c r="DV104" s="471"/>
      <c r="DW104" s="471"/>
      <c r="DX104" s="471"/>
      <c r="DY104" s="471"/>
      <c r="DZ104" s="471"/>
      <c r="EA104" s="471"/>
      <c r="EB104" s="471"/>
      <c r="EC104" s="471"/>
      <c r="ED104" s="471"/>
      <c r="EE104" s="471"/>
      <c r="EF104" s="471"/>
      <c r="EG104" s="471"/>
      <c r="EH104" s="471"/>
      <c r="EI104" s="471"/>
      <c r="EJ104" s="471"/>
      <c r="EK104" s="471"/>
      <c r="EL104" s="471"/>
      <c r="EM104" s="471"/>
      <c r="EN104" s="471"/>
      <c r="EO104" s="471"/>
      <c r="EP104" s="471"/>
      <c r="EQ104" s="471"/>
      <c r="ER104" s="471"/>
      <c r="ES104" s="471"/>
      <c r="ET104" s="471"/>
      <c r="EU104" s="471"/>
      <c r="EV104" s="471"/>
      <c r="EW104" s="471"/>
      <c r="EX104" s="471"/>
      <c r="EY104" s="471"/>
      <c r="EZ104" s="471"/>
      <c r="FA104" s="471"/>
      <c r="FB104" s="471"/>
      <c r="FC104" s="471"/>
      <c r="FD104" s="471"/>
      <c r="FE104" s="471"/>
      <c r="FF104" s="471"/>
      <c r="FG104" s="471"/>
      <c r="FH104" s="471"/>
      <c r="FI104" s="471"/>
      <c r="FJ104" s="471"/>
      <c r="FK104" s="43"/>
      <c r="FL104" s="43"/>
      <c r="FM104" s="47"/>
      <c r="FN104" s="47"/>
      <c r="FO104" s="47"/>
      <c r="FP104" s="47"/>
      <c r="FQ104" s="47"/>
      <c r="FR104" s="47"/>
      <c r="FS104" s="49"/>
      <c r="FT104" s="49"/>
      <c r="FU104" s="49"/>
      <c r="FV104" s="49"/>
      <c r="FW104" s="49"/>
      <c r="FX104" s="49"/>
      <c r="FY104" s="47"/>
      <c r="FZ104" s="94"/>
      <c r="GA104" s="49"/>
      <c r="GB104" s="49"/>
      <c r="GC104" s="49"/>
      <c r="GD104" s="49"/>
      <c r="GE104" s="49"/>
      <c r="GF104" s="49"/>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13"/>
      <c r="HG104" s="13"/>
      <c r="HH104" s="13"/>
    </row>
    <row r="105" spans="1:216" ht="16.95" customHeight="1">
      <c r="A105" s="1"/>
      <c r="B105" s="3"/>
      <c r="C105" s="3"/>
      <c r="D105" s="640" t="str">
        <f ca="1">IF(FO40=0,"`","")</f>
        <v>`</v>
      </c>
      <c r="E105" s="532"/>
      <c r="F105" s="532"/>
      <c r="G105" s="532"/>
      <c r="H105" s="532"/>
      <c r="I105" s="532"/>
      <c r="J105" s="532"/>
      <c r="K105" s="532"/>
      <c r="L105" s="532"/>
      <c r="M105" s="532"/>
      <c r="N105" s="532"/>
      <c r="O105" s="532"/>
      <c r="P105" s="532"/>
      <c r="Q105" s="532"/>
      <c r="R105" s="532"/>
      <c r="S105" s="532"/>
      <c r="T105" s="532"/>
      <c r="U105" s="532"/>
      <c r="V105" s="532"/>
      <c r="W105" s="532"/>
      <c r="X105" s="532"/>
      <c r="Y105" s="532"/>
      <c r="Z105" s="532"/>
      <c r="AA105" s="532"/>
      <c r="AB105" s="532"/>
      <c r="AC105" s="532"/>
      <c r="AD105" s="532"/>
      <c r="AE105" s="532"/>
      <c r="AF105" s="532"/>
      <c r="AG105" s="532"/>
      <c r="AH105" s="532"/>
      <c r="AI105" s="532"/>
      <c r="AJ105" s="532"/>
      <c r="AK105" s="532"/>
      <c r="AL105" s="532"/>
      <c r="AM105" s="532"/>
      <c r="AN105" s="532"/>
      <c r="AO105" s="532"/>
      <c r="AP105" s="532"/>
      <c r="AQ105" s="532"/>
      <c r="AR105" s="532"/>
      <c r="AS105" s="532"/>
      <c r="AT105" s="532"/>
      <c r="AU105" s="532"/>
      <c r="AV105" s="532"/>
      <c r="AW105" s="532"/>
      <c r="AX105" s="532"/>
      <c r="AY105" s="532"/>
      <c r="AZ105" s="532"/>
      <c r="BA105" s="532"/>
      <c r="BB105" s="532"/>
      <c r="BC105" s="532"/>
      <c r="BD105" s="532"/>
      <c r="BE105" s="532"/>
      <c r="BF105" s="532"/>
      <c r="BG105" s="532"/>
      <c r="BH105" s="532"/>
      <c r="BI105" s="532"/>
      <c r="BJ105" s="532"/>
      <c r="BK105" s="532"/>
      <c r="BL105" s="532"/>
      <c r="BM105" s="532"/>
      <c r="BN105" s="532"/>
      <c r="BO105" s="532"/>
      <c r="BP105" s="532"/>
      <c r="BQ105" s="532"/>
      <c r="BR105" s="532"/>
      <c r="BS105" s="532"/>
      <c r="BT105" s="532"/>
      <c r="BU105" s="532"/>
      <c r="BV105" s="532"/>
      <c r="BW105" s="532"/>
      <c r="BX105" s="532"/>
      <c r="BY105" s="532"/>
      <c r="BZ105" s="532"/>
      <c r="CA105" s="532"/>
      <c r="CB105" s="532"/>
      <c r="CC105" s="532"/>
      <c r="CD105" s="532"/>
      <c r="CE105" s="532"/>
      <c r="CF105" s="532"/>
      <c r="CG105" s="532"/>
      <c r="CH105" s="532"/>
      <c r="CI105" s="532"/>
      <c r="CJ105" s="532"/>
      <c r="CK105" s="532"/>
      <c r="CL105" s="532"/>
      <c r="CM105" s="532"/>
      <c r="CN105" s="532"/>
      <c r="CO105" s="532"/>
      <c r="CP105" s="532"/>
      <c r="CQ105" s="532"/>
      <c r="CR105" s="532"/>
      <c r="CS105" s="532"/>
      <c r="CT105" s="532"/>
      <c r="CU105" s="532"/>
      <c r="CV105" s="532"/>
      <c r="CW105" s="532"/>
      <c r="CX105" s="532"/>
      <c r="CY105" s="532"/>
      <c r="CZ105" s="532"/>
      <c r="DA105" s="532"/>
      <c r="DB105" s="532"/>
      <c r="DC105" s="532"/>
      <c r="DD105" s="532"/>
      <c r="DE105" s="532"/>
      <c r="DF105" s="532"/>
      <c r="DG105" s="532"/>
      <c r="DH105" s="532"/>
      <c r="DI105" s="532"/>
      <c r="DJ105" s="532"/>
      <c r="DK105" s="532"/>
      <c r="DL105" s="532"/>
      <c r="DM105" s="532"/>
      <c r="DN105" s="532"/>
      <c r="DO105" s="532"/>
      <c r="DP105" s="532"/>
      <c r="DQ105" s="532"/>
      <c r="DR105" s="532"/>
      <c r="DS105" s="532"/>
      <c r="DT105" s="532"/>
      <c r="DU105" s="532"/>
      <c r="DV105" s="532"/>
      <c r="DW105" s="532"/>
      <c r="DX105" s="532"/>
      <c r="DY105" s="532"/>
      <c r="DZ105" s="532"/>
      <c r="EA105" s="532"/>
      <c r="EB105" s="532"/>
      <c r="EC105" s="532"/>
      <c r="ED105" s="532"/>
      <c r="EE105" s="532"/>
      <c r="EF105" s="532"/>
      <c r="EG105" s="532"/>
      <c r="EH105" s="532"/>
      <c r="EI105" s="532"/>
      <c r="EJ105" s="532"/>
      <c r="EK105" s="532"/>
      <c r="EL105" s="532"/>
      <c r="EM105" s="532"/>
      <c r="EN105" s="532"/>
      <c r="EO105" s="532"/>
      <c r="EP105" s="532"/>
      <c r="EQ105" s="532"/>
      <c r="ER105" s="532"/>
      <c r="ES105" s="532"/>
      <c r="ET105" s="532"/>
      <c r="EU105" s="532"/>
      <c r="EV105" s="532"/>
      <c r="EW105" s="532"/>
      <c r="EX105" s="532"/>
      <c r="EY105" s="532"/>
      <c r="EZ105" s="532"/>
      <c r="FA105" s="532"/>
      <c r="FB105" s="532"/>
      <c r="FC105" s="532"/>
      <c r="FD105" s="532"/>
      <c r="FE105" s="532"/>
      <c r="FF105" s="532"/>
      <c r="FG105" s="532"/>
      <c r="FH105" s="532"/>
      <c r="FI105" s="532"/>
      <c r="FJ105" s="532"/>
      <c r="FK105" s="532"/>
      <c r="FL105" s="532"/>
      <c r="FM105" s="47"/>
      <c r="FN105" s="47"/>
      <c r="FO105" s="47"/>
      <c r="FP105" s="47"/>
      <c r="FQ105" s="47"/>
      <c r="FR105" s="47"/>
      <c r="FS105" s="49"/>
      <c r="FT105" s="49"/>
      <c r="FU105" s="49"/>
      <c r="FV105" s="49"/>
      <c r="FW105" s="49"/>
      <c r="FX105" s="49"/>
      <c r="FY105" s="47"/>
      <c r="FZ105" s="94"/>
      <c r="GA105" s="49"/>
      <c r="GB105" s="49"/>
      <c r="GC105" s="49"/>
      <c r="GD105" s="49"/>
      <c r="GE105" s="49"/>
      <c r="GF105" s="49"/>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13"/>
      <c r="HG105" s="13"/>
      <c r="HH105" s="13"/>
    </row>
    <row r="106" spans="1:216" ht="16.95" customHeight="1">
      <c r="A106" s="1"/>
      <c r="B106" s="3"/>
      <c r="C106" s="3"/>
      <c r="D106" s="532"/>
      <c r="E106" s="532"/>
      <c r="F106" s="532"/>
      <c r="G106" s="532"/>
      <c r="H106" s="532"/>
      <c r="I106" s="532"/>
      <c r="J106" s="532"/>
      <c r="K106" s="532"/>
      <c r="L106" s="532"/>
      <c r="M106" s="532"/>
      <c r="N106" s="532"/>
      <c r="O106" s="532"/>
      <c r="P106" s="532"/>
      <c r="Q106" s="532"/>
      <c r="R106" s="532"/>
      <c r="S106" s="532"/>
      <c r="T106" s="532"/>
      <c r="U106" s="532"/>
      <c r="V106" s="532"/>
      <c r="W106" s="532"/>
      <c r="X106" s="532"/>
      <c r="Y106" s="532"/>
      <c r="Z106" s="532"/>
      <c r="AA106" s="532"/>
      <c r="AB106" s="532"/>
      <c r="AC106" s="532"/>
      <c r="AD106" s="532"/>
      <c r="AE106" s="532"/>
      <c r="AF106" s="532"/>
      <c r="AG106" s="532"/>
      <c r="AH106" s="532"/>
      <c r="AI106" s="532"/>
      <c r="AJ106" s="532"/>
      <c r="AK106" s="532"/>
      <c r="AL106" s="532"/>
      <c r="AM106" s="532"/>
      <c r="AN106" s="532"/>
      <c r="AO106" s="532"/>
      <c r="AP106" s="532"/>
      <c r="AQ106" s="532"/>
      <c r="AR106" s="532"/>
      <c r="AS106" s="532"/>
      <c r="AT106" s="532"/>
      <c r="AU106" s="532"/>
      <c r="AV106" s="532"/>
      <c r="AW106" s="532"/>
      <c r="AX106" s="532"/>
      <c r="AY106" s="532"/>
      <c r="AZ106" s="532"/>
      <c r="BA106" s="532"/>
      <c r="BB106" s="532"/>
      <c r="BC106" s="532"/>
      <c r="BD106" s="532"/>
      <c r="BE106" s="532"/>
      <c r="BF106" s="532"/>
      <c r="BG106" s="532"/>
      <c r="BH106" s="532"/>
      <c r="BI106" s="532"/>
      <c r="BJ106" s="532"/>
      <c r="BK106" s="532"/>
      <c r="BL106" s="532"/>
      <c r="BM106" s="532"/>
      <c r="BN106" s="532"/>
      <c r="BO106" s="532"/>
      <c r="BP106" s="532"/>
      <c r="BQ106" s="532"/>
      <c r="BR106" s="532"/>
      <c r="BS106" s="532"/>
      <c r="BT106" s="532"/>
      <c r="BU106" s="532"/>
      <c r="BV106" s="532"/>
      <c r="BW106" s="532"/>
      <c r="BX106" s="532"/>
      <c r="BY106" s="532"/>
      <c r="BZ106" s="532"/>
      <c r="CA106" s="532"/>
      <c r="CB106" s="532"/>
      <c r="CC106" s="532"/>
      <c r="CD106" s="532"/>
      <c r="CE106" s="532"/>
      <c r="CF106" s="532"/>
      <c r="CG106" s="532"/>
      <c r="CH106" s="532"/>
      <c r="CI106" s="532"/>
      <c r="CJ106" s="532"/>
      <c r="CK106" s="532"/>
      <c r="CL106" s="532"/>
      <c r="CM106" s="532"/>
      <c r="CN106" s="532"/>
      <c r="CO106" s="532"/>
      <c r="CP106" s="532"/>
      <c r="CQ106" s="532"/>
      <c r="CR106" s="532"/>
      <c r="CS106" s="532"/>
      <c r="CT106" s="532"/>
      <c r="CU106" s="532"/>
      <c r="CV106" s="532"/>
      <c r="CW106" s="532"/>
      <c r="CX106" s="532"/>
      <c r="CY106" s="532"/>
      <c r="CZ106" s="532"/>
      <c r="DA106" s="532"/>
      <c r="DB106" s="532"/>
      <c r="DC106" s="532"/>
      <c r="DD106" s="532"/>
      <c r="DE106" s="532"/>
      <c r="DF106" s="532"/>
      <c r="DG106" s="532"/>
      <c r="DH106" s="532"/>
      <c r="DI106" s="532"/>
      <c r="DJ106" s="532"/>
      <c r="DK106" s="532"/>
      <c r="DL106" s="532"/>
      <c r="DM106" s="532"/>
      <c r="DN106" s="532"/>
      <c r="DO106" s="532"/>
      <c r="DP106" s="532"/>
      <c r="DQ106" s="532"/>
      <c r="DR106" s="532"/>
      <c r="DS106" s="532"/>
      <c r="DT106" s="532"/>
      <c r="DU106" s="532"/>
      <c r="DV106" s="532"/>
      <c r="DW106" s="532"/>
      <c r="DX106" s="532"/>
      <c r="DY106" s="532"/>
      <c r="DZ106" s="532"/>
      <c r="EA106" s="532"/>
      <c r="EB106" s="532"/>
      <c r="EC106" s="532"/>
      <c r="ED106" s="532"/>
      <c r="EE106" s="532"/>
      <c r="EF106" s="532"/>
      <c r="EG106" s="532"/>
      <c r="EH106" s="532"/>
      <c r="EI106" s="532"/>
      <c r="EJ106" s="532"/>
      <c r="EK106" s="532"/>
      <c r="EL106" s="532"/>
      <c r="EM106" s="532"/>
      <c r="EN106" s="532"/>
      <c r="EO106" s="532"/>
      <c r="EP106" s="532"/>
      <c r="EQ106" s="532"/>
      <c r="ER106" s="532"/>
      <c r="ES106" s="532"/>
      <c r="ET106" s="532"/>
      <c r="EU106" s="532"/>
      <c r="EV106" s="532"/>
      <c r="EW106" s="532"/>
      <c r="EX106" s="532"/>
      <c r="EY106" s="532"/>
      <c r="EZ106" s="532"/>
      <c r="FA106" s="532"/>
      <c r="FB106" s="532"/>
      <c r="FC106" s="532"/>
      <c r="FD106" s="532"/>
      <c r="FE106" s="532"/>
      <c r="FF106" s="532"/>
      <c r="FG106" s="532"/>
      <c r="FH106" s="532"/>
      <c r="FI106" s="532"/>
      <c r="FJ106" s="532"/>
      <c r="FK106" s="532"/>
      <c r="FL106" s="532"/>
      <c r="FM106" s="47"/>
      <c r="FN106" s="47"/>
      <c r="FO106" s="47"/>
      <c r="FP106" s="47"/>
      <c r="FQ106" s="47"/>
      <c r="FR106" s="47"/>
      <c r="FS106" s="49"/>
      <c r="FT106" s="49"/>
      <c r="FU106" s="49"/>
      <c r="FV106" s="49"/>
      <c r="FW106" s="49"/>
      <c r="FX106" s="49"/>
      <c r="FY106" s="47"/>
      <c r="FZ106" s="94"/>
      <c r="GA106" s="49"/>
      <c r="GB106" s="49"/>
      <c r="GC106" s="49"/>
      <c r="GD106" s="49"/>
      <c r="GE106" s="49"/>
      <c r="GF106" s="49"/>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13"/>
      <c r="HG106" s="13"/>
      <c r="HH106" s="13"/>
    </row>
    <row r="107" spans="1:216" ht="16.95" customHeight="1">
      <c r="A107" s="1"/>
      <c r="B107" s="3"/>
      <c r="C107" s="3"/>
      <c r="D107" s="532"/>
      <c r="E107" s="532"/>
      <c r="F107" s="532"/>
      <c r="G107" s="532"/>
      <c r="H107" s="532"/>
      <c r="I107" s="532"/>
      <c r="J107" s="532"/>
      <c r="K107" s="532"/>
      <c r="L107" s="532"/>
      <c r="M107" s="532"/>
      <c r="N107" s="532"/>
      <c r="O107" s="532"/>
      <c r="P107" s="532"/>
      <c r="Q107" s="532"/>
      <c r="R107" s="532"/>
      <c r="S107" s="532"/>
      <c r="T107" s="532"/>
      <c r="U107" s="532"/>
      <c r="V107" s="532"/>
      <c r="W107" s="532"/>
      <c r="X107" s="532"/>
      <c r="Y107" s="532"/>
      <c r="Z107" s="532"/>
      <c r="AA107" s="532"/>
      <c r="AB107" s="532"/>
      <c r="AC107" s="532"/>
      <c r="AD107" s="532"/>
      <c r="AE107" s="532"/>
      <c r="AF107" s="532"/>
      <c r="AG107" s="532"/>
      <c r="AH107" s="532"/>
      <c r="AI107" s="532"/>
      <c r="AJ107" s="532"/>
      <c r="AK107" s="532"/>
      <c r="AL107" s="532"/>
      <c r="AM107" s="532"/>
      <c r="AN107" s="532"/>
      <c r="AO107" s="532"/>
      <c r="AP107" s="532"/>
      <c r="AQ107" s="532"/>
      <c r="AR107" s="532"/>
      <c r="AS107" s="532"/>
      <c r="AT107" s="532"/>
      <c r="AU107" s="532"/>
      <c r="AV107" s="532"/>
      <c r="AW107" s="532"/>
      <c r="AX107" s="532"/>
      <c r="AY107" s="532"/>
      <c r="AZ107" s="532"/>
      <c r="BA107" s="532"/>
      <c r="BB107" s="532"/>
      <c r="BC107" s="532"/>
      <c r="BD107" s="532"/>
      <c r="BE107" s="532"/>
      <c r="BF107" s="532"/>
      <c r="BG107" s="532"/>
      <c r="BH107" s="532"/>
      <c r="BI107" s="532"/>
      <c r="BJ107" s="532"/>
      <c r="BK107" s="532"/>
      <c r="BL107" s="532"/>
      <c r="BM107" s="532"/>
      <c r="BN107" s="532"/>
      <c r="BO107" s="532"/>
      <c r="BP107" s="532"/>
      <c r="BQ107" s="532"/>
      <c r="BR107" s="532"/>
      <c r="BS107" s="532"/>
      <c r="BT107" s="532"/>
      <c r="BU107" s="532"/>
      <c r="BV107" s="532"/>
      <c r="BW107" s="532"/>
      <c r="BX107" s="532"/>
      <c r="BY107" s="532"/>
      <c r="BZ107" s="532"/>
      <c r="CA107" s="532"/>
      <c r="CB107" s="532"/>
      <c r="CC107" s="532"/>
      <c r="CD107" s="532"/>
      <c r="CE107" s="532"/>
      <c r="CF107" s="532"/>
      <c r="CG107" s="532"/>
      <c r="CH107" s="532"/>
      <c r="CI107" s="532"/>
      <c r="CJ107" s="532"/>
      <c r="CK107" s="532"/>
      <c r="CL107" s="532"/>
      <c r="CM107" s="532"/>
      <c r="CN107" s="532"/>
      <c r="CO107" s="532"/>
      <c r="CP107" s="532"/>
      <c r="CQ107" s="532"/>
      <c r="CR107" s="532"/>
      <c r="CS107" s="532"/>
      <c r="CT107" s="532"/>
      <c r="CU107" s="532"/>
      <c r="CV107" s="532"/>
      <c r="CW107" s="532"/>
      <c r="CX107" s="532"/>
      <c r="CY107" s="532"/>
      <c r="CZ107" s="532"/>
      <c r="DA107" s="532"/>
      <c r="DB107" s="532"/>
      <c r="DC107" s="532"/>
      <c r="DD107" s="532"/>
      <c r="DE107" s="532"/>
      <c r="DF107" s="532"/>
      <c r="DG107" s="532"/>
      <c r="DH107" s="532"/>
      <c r="DI107" s="532"/>
      <c r="DJ107" s="532"/>
      <c r="DK107" s="532"/>
      <c r="DL107" s="532"/>
      <c r="DM107" s="532"/>
      <c r="DN107" s="532"/>
      <c r="DO107" s="532"/>
      <c r="DP107" s="532"/>
      <c r="DQ107" s="532"/>
      <c r="DR107" s="532"/>
      <c r="DS107" s="532"/>
      <c r="DT107" s="532"/>
      <c r="DU107" s="532"/>
      <c r="DV107" s="532"/>
      <c r="DW107" s="532"/>
      <c r="DX107" s="532"/>
      <c r="DY107" s="532"/>
      <c r="DZ107" s="532"/>
      <c r="EA107" s="532"/>
      <c r="EB107" s="532"/>
      <c r="EC107" s="532"/>
      <c r="ED107" s="532"/>
      <c r="EE107" s="532"/>
      <c r="EF107" s="532"/>
      <c r="EG107" s="532"/>
      <c r="EH107" s="532"/>
      <c r="EI107" s="532"/>
      <c r="EJ107" s="532"/>
      <c r="EK107" s="532"/>
      <c r="EL107" s="532"/>
      <c r="EM107" s="532"/>
      <c r="EN107" s="532"/>
      <c r="EO107" s="532"/>
      <c r="EP107" s="532"/>
      <c r="EQ107" s="532"/>
      <c r="ER107" s="532"/>
      <c r="ES107" s="532"/>
      <c r="ET107" s="532"/>
      <c r="EU107" s="532"/>
      <c r="EV107" s="532"/>
      <c r="EW107" s="532"/>
      <c r="EX107" s="532"/>
      <c r="EY107" s="532"/>
      <c r="EZ107" s="532"/>
      <c r="FA107" s="532"/>
      <c r="FB107" s="532"/>
      <c r="FC107" s="532"/>
      <c r="FD107" s="532"/>
      <c r="FE107" s="532"/>
      <c r="FF107" s="532"/>
      <c r="FG107" s="532"/>
      <c r="FH107" s="532"/>
      <c r="FI107" s="532"/>
      <c r="FJ107" s="532"/>
      <c r="FK107" s="532"/>
      <c r="FL107" s="532"/>
      <c r="FM107" s="47"/>
      <c r="FN107" s="47"/>
      <c r="FO107" s="47"/>
      <c r="FP107" s="47"/>
      <c r="FQ107" s="47"/>
      <c r="FR107" s="47"/>
      <c r="FS107" s="49"/>
      <c r="FT107" s="49"/>
      <c r="FU107" s="49"/>
      <c r="FV107" s="49"/>
      <c r="FW107" s="49"/>
      <c r="FX107" s="49"/>
      <c r="FY107" s="47"/>
      <c r="FZ107" s="94"/>
      <c r="GA107" s="49"/>
      <c r="GB107" s="49"/>
      <c r="GC107" s="49"/>
      <c r="GD107" s="49"/>
      <c r="GE107" s="49"/>
      <c r="GF107" s="49"/>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13"/>
      <c r="HG107" s="13"/>
      <c r="HH107" s="13"/>
    </row>
    <row r="108" spans="1:216" ht="16.95" customHeight="1">
      <c r="A108" s="1"/>
      <c r="B108" s="3"/>
      <c r="C108" s="3"/>
      <c r="D108" s="532"/>
      <c r="E108" s="532"/>
      <c r="F108" s="532"/>
      <c r="G108" s="532"/>
      <c r="H108" s="532"/>
      <c r="I108" s="532"/>
      <c r="J108" s="532"/>
      <c r="K108" s="532"/>
      <c r="L108" s="532"/>
      <c r="M108" s="532"/>
      <c r="N108" s="532"/>
      <c r="O108" s="532"/>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c r="AM108" s="532"/>
      <c r="AN108" s="532"/>
      <c r="AO108" s="532"/>
      <c r="AP108" s="532"/>
      <c r="AQ108" s="532"/>
      <c r="AR108" s="532"/>
      <c r="AS108" s="532"/>
      <c r="AT108" s="532"/>
      <c r="AU108" s="532"/>
      <c r="AV108" s="532"/>
      <c r="AW108" s="532"/>
      <c r="AX108" s="532"/>
      <c r="AY108" s="532"/>
      <c r="AZ108" s="532"/>
      <c r="BA108" s="532"/>
      <c r="BB108" s="532"/>
      <c r="BC108" s="532"/>
      <c r="BD108" s="532"/>
      <c r="BE108" s="532"/>
      <c r="BF108" s="532"/>
      <c r="BG108" s="532"/>
      <c r="BH108" s="532"/>
      <c r="BI108" s="532"/>
      <c r="BJ108" s="532"/>
      <c r="BK108" s="532"/>
      <c r="BL108" s="532"/>
      <c r="BM108" s="532"/>
      <c r="BN108" s="532"/>
      <c r="BO108" s="532"/>
      <c r="BP108" s="532"/>
      <c r="BQ108" s="532"/>
      <c r="BR108" s="532"/>
      <c r="BS108" s="532"/>
      <c r="BT108" s="532"/>
      <c r="BU108" s="532"/>
      <c r="BV108" s="532"/>
      <c r="BW108" s="532"/>
      <c r="BX108" s="532"/>
      <c r="BY108" s="532"/>
      <c r="BZ108" s="532"/>
      <c r="CA108" s="532"/>
      <c r="CB108" s="532"/>
      <c r="CC108" s="532"/>
      <c r="CD108" s="532"/>
      <c r="CE108" s="532"/>
      <c r="CF108" s="532"/>
      <c r="CG108" s="532"/>
      <c r="CH108" s="532"/>
      <c r="CI108" s="532"/>
      <c r="CJ108" s="532"/>
      <c r="CK108" s="532"/>
      <c r="CL108" s="532"/>
      <c r="CM108" s="532"/>
      <c r="CN108" s="532"/>
      <c r="CO108" s="532"/>
      <c r="CP108" s="532"/>
      <c r="CQ108" s="532"/>
      <c r="CR108" s="532"/>
      <c r="CS108" s="532"/>
      <c r="CT108" s="532"/>
      <c r="CU108" s="532"/>
      <c r="CV108" s="532"/>
      <c r="CW108" s="532"/>
      <c r="CX108" s="532"/>
      <c r="CY108" s="532"/>
      <c r="CZ108" s="532"/>
      <c r="DA108" s="532"/>
      <c r="DB108" s="532"/>
      <c r="DC108" s="532"/>
      <c r="DD108" s="532"/>
      <c r="DE108" s="532"/>
      <c r="DF108" s="532"/>
      <c r="DG108" s="532"/>
      <c r="DH108" s="532"/>
      <c r="DI108" s="532"/>
      <c r="DJ108" s="532"/>
      <c r="DK108" s="532"/>
      <c r="DL108" s="532"/>
      <c r="DM108" s="532"/>
      <c r="DN108" s="532"/>
      <c r="DO108" s="532"/>
      <c r="DP108" s="532"/>
      <c r="DQ108" s="532"/>
      <c r="DR108" s="532"/>
      <c r="DS108" s="532"/>
      <c r="DT108" s="532"/>
      <c r="DU108" s="532"/>
      <c r="DV108" s="532"/>
      <c r="DW108" s="532"/>
      <c r="DX108" s="532"/>
      <c r="DY108" s="532"/>
      <c r="DZ108" s="532"/>
      <c r="EA108" s="532"/>
      <c r="EB108" s="532"/>
      <c r="EC108" s="532"/>
      <c r="ED108" s="532"/>
      <c r="EE108" s="532"/>
      <c r="EF108" s="532"/>
      <c r="EG108" s="532"/>
      <c r="EH108" s="532"/>
      <c r="EI108" s="532"/>
      <c r="EJ108" s="532"/>
      <c r="EK108" s="532"/>
      <c r="EL108" s="532"/>
      <c r="EM108" s="532"/>
      <c r="EN108" s="532"/>
      <c r="EO108" s="532"/>
      <c r="EP108" s="532"/>
      <c r="EQ108" s="532"/>
      <c r="ER108" s="532"/>
      <c r="ES108" s="532"/>
      <c r="ET108" s="532"/>
      <c r="EU108" s="532"/>
      <c r="EV108" s="532"/>
      <c r="EW108" s="532"/>
      <c r="EX108" s="532"/>
      <c r="EY108" s="532"/>
      <c r="EZ108" s="532"/>
      <c r="FA108" s="532"/>
      <c r="FB108" s="532"/>
      <c r="FC108" s="532"/>
      <c r="FD108" s="532"/>
      <c r="FE108" s="532"/>
      <c r="FF108" s="532"/>
      <c r="FG108" s="532"/>
      <c r="FH108" s="532"/>
      <c r="FI108" s="532"/>
      <c r="FJ108" s="532"/>
      <c r="FK108" s="532"/>
      <c r="FL108" s="532"/>
      <c r="FM108" s="47"/>
      <c r="FN108" s="47"/>
      <c r="FO108" s="47"/>
      <c r="FP108" s="47"/>
      <c r="FQ108" s="47"/>
      <c r="FR108" s="47"/>
      <c r="FS108" s="49"/>
      <c r="FT108" s="49"/>
      <c r="FU108" s="49"/>
      <c r="FV108" s="49"/>
      <c r="FW108" s="49"/>
      <c r="FX108" s="49"/>
      <c r="FY108" s="47"/>
      <c r="FZ108" s="94"/>
      <c r="GA108" s="49"/>
      <c r="GB108" s="49"/>
      <c r="GC108" s="49"/>
      <c r="GD108" s="49"/>
      <c r="GE108" s="49"/>
      <c r="GF108" s="49"/>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13"/>
      <c r="HG108" s="13"/>
      <c r="HH108" s="13"/>
    </row>
    <row r="109" spans="1:216" ht="16.95" customHeight="1">
      <c r="A109" s="1"/>
      <c r="B109" s="3"/>
      <c r="C109" s="3"/>
      <c r="D109" s="532"/>
      <c r="E109" s="532"/>
      <c r="F109" s="532"/>
      <c r="G109" s="532"/>
      <c r="H109" s="532"/>
      <c r="I109" s="532"/>
      <c r="J109" s="532"/>
      <c r="K109" s="532"/>
      <c r="L109" s="532"/>
      <c r="M109" s="532"/>
      <c r="N109" s="532"/>
      <c r="O109" s="532"/>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c r="AM109" s="532"/>
      <c r="AN109" s="532"/>
      <c r="AO109" s="532"/>
      <c r="AP109" s="532"/>
      <c r="AQ109" s="532"/>
      <c r="AR109" s="532"/>
      <c r="AS109" s="532"/>
      <c r="AT109" s="532"/>
      <c r="AU109" s="532"/>
      <c r="AV109" s="532"/>
      <c r="AW109" s="532"/>
      <c r="AX109" s="532"/>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532"/>
      <c r="BW109" s="532"/>
      <c r="BX109" s="532"/>
      <c r="BY109" s="532"/>
      <c r="BZ109" s="532"/>
      <c r="CA109" s="532"/>
      <c r="CB109" s="532"/>
      <c r="CC109" s="532"/>
      <c r="CD109" s="532"/>
      <c r="CE109" s="532"/>
      <c r="CF109" s="532"/>
      <c r="CG109" s="532"/>
      <c r="CH109" s="532"/>
      <c r="CI109" s="532"/>
      <c r="CJ109" s="532"/>
      <c r="CK109" s="532"/>
      <c r="CL109" s="532"/>
      <c r="CM109" s="532"/>
      <c r="CN109" s="532"/>
      <c r="CO109" s="532"/>
      <c r="CP109" s="532"/>
      <c r="CQ109" s="532"/>
      <c r="CR109" s="532"/>
      <c r="CS109" s="532"/>
      <c r="CT109" s="532"/>
      <c r="CU109" s="532"/>
      <c r="CV109" s="532"/>
      <c r="CW109" s="532"/>
      <c r="CX109" s="532"/>
      <c r="CY109" s="532"/>
      <c r="CZ109" s="532"/>
      <c r="DA109" s="532"/>
      <c r="DB109" s="532"/>
      <c r="DC109" s="532"/>
      <c r="DD109" s="532"/>
      <c r="DE109" s="532"/>
      <c r="DF109" s="532"/>
      <c r="DG109" s="532"/>
      <c r="DH109" s="532"/>
      <c r="DI109" s="532"/>
      <c r="DJ109" s="532"/>
      <c r="DK109" s="532"/>
      <c r="DL109" s="532"/>
      <c r="DM109" s="532"/>
      <c r="DN109" s="532"/>
      <c r="DO109" s="532"/>
      <c r="DP109" s="532"/>
      <c r="DQ109" s="532"/>
      <c r="DR109" s="532"/>
      <c r="DS109" s="532"/>
      <c r="DT109" s="532"/>
      <c r="DU109" s="532"/>
      <c r="DV109" s="532"/>
      <c r="DW109" s="532"/>
      <c r="DX109" s="532"/>
      <c r="DY109" s="532"/>
      <c r="DZ109" s="532"/>
      <c r="EA109" s="532"/>
      <c r="EB109" s="532"/>
      <c r="EC109" s="532"/>
      <c r="ED109" s="532"/>
      <c r="EE109" s="532"/>
      <c r="EF109" s="532"/>
      <c r="EG109" s="532"/>
      <c r="EH109" s="532"/>
      <c r="EI109" s="532"/>
      <c r="EJ109" s="532"/>
      <c r="EK109" s="532"/>
      <c r="EL109" s="532"/>
      <c r="EM109" s="532"/>
      <c r="EN109" s="532"/>
      <c r="EO109" s="532"/>
      <c r="EP109" s="532"/>
      <c r="EQ109" s="532"/>
      <c r="ER109" s="532"/>
      <c r="ES109" s="532"/>
      <c r="ET109" s="532"/>
      <c r="EU109" s="532"/>
      <c r="EV109" s="532"/>
      <c r="EW109" s="532"/>
      <c r="EX109" s="532"/>
      <c r="EY109" s="532"/>
      <c r="EZ109" s="532"/>
      <c r="FA109" s="532"/>
      <c r="FB109" s="532"/>
      <c r="FC109" s="532"/>
      <c r="FD109" s="532"/>
      <c r="FE109" s="532"/>
      <c r="FF109" s="532"/>
      <c r="FG109" s="532"/>
      <c r="FH109" s="532"/>
      <c r="FI109" s="532"/>
      <c r="FJ109" s="532"/>
      <c r="FK109" s="532"/>
      <c r="FL109" s="532"/>
      <c r="FM109" s="47"/>
      <c r="FN109" s="47"/>
      <c r="FO109" s="47"/>
      <c r="FP109" s="47"/>
      <c r="FQ109" s="47"/>
      <c r="FR109" s="47"/>
      <c r="FS109" s="49"/>
      <c r="FT109" s="49"/>
      <c r="FU109" s="49"/>
      <c r="FV109" s="49"/>
      <c r="FW109" s="49"/>
      <c r="FX109" s="49"/>
      <c r="FY109" s="47"/>
      <c r="FZ109" s="94"/>
      <c r="GA109" s="49"/>
      <c r="GB109" s="49"/>
      <c r="GC109" s="49"/>
      <c r="GD109" s="49"/>
      <c r="GE109" s="49"/>
      <c r="GF109" s="49"/>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13"/>
      <c r="HG109" s="13"/>
      <c r="HH109" s="13"/>
    </row>
    <row r="110" spans="1:216" ht="16.95" customHeight="1">
      <c r="A110" s="1"/>
      <c r="B110" s="3"/>
      <c r="C110" s="3"/>
      <c r="D110" s="532"/>
      <c r="E110" s="532"/>
      <c r="F110" s="532"/>
      <c r="G110" s="532"/>
      <c r="H110" s="532"/>
      <c r="I110" s="532"/>
      <c r="J110" s="532"/>
      <c r="K110" s="532"/>
      <c r="L110" s="532"/>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c r="AM110" s="532"/>
      <c r="AN110" s="532"/>
      <c r="AO110" s="532"/>
      <c r="AP110" s="532"/>
      <c r="AQ110" s="532"/>
      <c r="AR110" s="532"/>
      <c r="AS110" s="532"/>
      <c r="AT110" s="532"/>
      <c r="AU110" s="532"/>
      <c r="AV110" s="532"/>
      <c r="AW110" s="532"/>
      <c r="AX110" s="532"/>
      <c r="AY110" s="532"/>
      <c r="AZ110" s="532"/>
      <c r="BA110" s="532"/>
      <c r="BB110" s="532"/>
      <c r="BC110" s="532"/>
      <c r="BD110" s="532"/>
      <c r="BE110" s="532"/>
      <c r="BF110" s="532"/>
      <c r="BG110" s="532"/>
      <c r="BH110" s="532"/>
      <c r="BI110" s="532"/>
      <c r="BJ110" s="532"/>
      <c r="BK110" s="532"/>
      <c r="BL110" s="532"/>
      <c r="BM110" s="532"/>
      <c r="BN110" s="532"/>
      <c r="BO110" s="532"/>
      <c r="BP110" s="532"/>
      <c r="BQ110" s="532"/>
      <c r="BR110" s="532"/>
      <c r="BS110" s="532"/>
      <c r="BT110" s="532"/>
      <c r="BU110" s="532"/>
      <c r="BV110" s="532"/>
      <c r="BW110" s="532"/>
      <c r="BX110" s="532"/>
      <c r="BY110" s="532"/>
      <c r="BZ110" s="532"/>
      <c r="CA110" s="532"/>
      <c r="CB110" s="532"/>
      <c r="CC110" s="532"/>
      <c r="CD110" s="532"/>
      <c r="CE110" s="532"/>
      <c r="CF110" s="532"/>
      <c r="CG110" s="532"/>
      <c r="CH110" s="532"/>
      <c r="CI110" s="532"/>
      <c r="CJ110" s="532"/>
      <c r="CK110" s="532"/>
      <c r="CL110" s="532"/>
      <c r="CM110" s="532"/>
      <c r="CN110" s="532"/>
      <c r="CO110" s="532"/>
      <c r="CP110" s="532"/>
      <c r="CQ110" s="532"/>
      <c r="CR110" s="532"/>
      <c r="CS110" s="532"/>
      <c r="CT110" s="532"/>
      <c r="CU110" s="532"/>
      <c r="CV110" s="532"/>
      <c r="CW110" s="532"/>
      <c r="CX110" s="532"/>
      <c r="CY110" s="532"/>
      <c r="CZ110" s="532"/>
      <c r="DA110" s="532"/>
      <c r="DB110" s="532"/>
      <c r="DC110" s="532"/>
      <c r="DD110" s="532"/>
      <c r="DE110" s="532"/>
      <c r="DF110" s="532"/>
      <c r="DG110" s="532"/>
      <c r="DH110" s="532"/>
      <c r="DI110" s="532"/>
      <c r="DJ110" s="532"/>
      <c r="DK110" s="532"/>
      <c r="DL110" s="532"/>
      <c r="DM110" s="532"/>
      <c r="DN110" s="532"/>
      <c r="DO110" s="532"/>
      <c r="DP110" s="532"/>
      <c r="DQ110" s="532"/>
      <c r="DR110" s="532"/>
      <c r="DS110" s="532"/>
      <c r="DT110" s="532"/>
      <c r="DU110" s="532"/>
      <c r="DV110" s="532"/>
      <c r="DW110" s="532"/>
      <c r="DX110" s="532"/>
      <c r="DY110" s="532"/>
      <c r="DZ110" s="532"/>
      <c r="EA110" s="532"/>
      <c r="EB110" s="532"/>
      <c r="EC110" s="532"/>
      <c r="ED110" s="532"/>
      <c r="EE110" s="532"/>
      <c r="EF110" s="532"/>
      <c r="EG110" s="532"/>
      <c r="EH110" s="532"/>
      <c r="EI110" s="532"/>
      <c r="EJ110" s="532"/>
      <c r="EK110" s="532"/>
      <c r="EL110" s="532"/>
      <c r="EM110" s="532"/>
      <c r="EN110" s="532"/>
      <c r="EO110" s="532"/>
      <c r="EP110" s="532"/>
      <c r="EQ110" s="532"/>
      <c r="ER110" s="532"/>
      <c r="ES110" s="532"/>
      <c r="ET110" s="532"/>
      <c r="EU110" s="532"/>
      <c r="EV110" s="532"/>
      <c r="EW110" s="532"/>
      <c r="EX110" s="532"/>
      <c r="EY110" s="532"/>
      <c r="EZ110" s="532"/>
      <c r="FA110" s="532"/>
      <c r="FB110" s="532"/>
      <c r="FC110" s="532"/>
      <c r="FD110" s="532"/>
      <c r="FE110" s="532"/>
      <c r="FF110" s="532"/>
      <c r="FG110" s="532"/>
      <c r="FH110" s="532"/>
      <c r="FI110" s="532"/>
      <c r="FJ110" s="532"/>
      <c r="FK110" s="532"/>
      <c r="FL110" s="532"/>
      <c r="FM110" s="47"/>
      <c r="FN110" s="47"/>
      <c r="FO110" s="47"/>
      <c r="FP110" s="47"/>
      <c r="FQ110" s="47"/>
      <c r="FR110" s="47"/>
      <c r="FS110" s="49"/>
      <c r="FT110" s="49"/>
      <c r="FU110" s="49"/>
      <c r="FV110" s="49"/>
      <c r="FW110" s="49"/>
      <c r="FX110" s="49"/>
      <c r="FY110" s="47"/>
      <c r="FZ110" s="94"/>
      <c r="GA110" s="49"/>
      <c r="GB110" s="49"/>
      <c r="GC110" s="49"/>
      <c r="GD110" s="49"/>
      <c r="GE110" s="49"/>
      <c r="GF110" s="49"/>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13"/>
      <c r="HG110" s="13"/>
      <c r="HH110" s="13"/>
    </row>
    <row r="111" spans="1:216" ht="16.95" customHeight="1">
      <c r="A111" s="1"/>
      <c r="B111" s="3"/>
      <c r="C111" s="3"/>
      <c r="D111" s="532"/>
      <c r="E111" s="532"/>
      <c r="F111" s="532"/>
      <c r="G111" s="532"/>
      <c r="H111" s="532"/>
      <c r="I111" s="532"/>
      <c r="J111" s="532"/>
      <c r="K111" s="532"/>
      <c r="L111" s="532"/>
      <c r="M111" s="532"/>
      <c r="N111" s="532"/>
      <c r="O111" s="532"/>
      <c r="P111" s="532"/>
      <c r="Q111" s="532"/>
      <c r="R111" s="532"/>
      <c r="S111" s="532"/>
      <c r="T111" s="532"/>
      <c r="U111" s="532"/>
      <c r="V111" s="532"/>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532"/>
      <c r="AW111" s="532"/>
      <c r="AX111" s="532"/>
      <c r="AY111" s="532"/>
      <c r="AZ111" s="532"/>
      <c r="BA111" s="532"/>
      <c r="BB111" s="532"/>
      <c r="BC111" s="532"/>
      <c r="BD111" s="532"/>
      <c r="BE111" s="532"/>
      <c r="BF111" s="532"/>
      <c r="BG111" s="532"/>
      <c r="BH111" s="532"/>
      <c r="BI111" s="532"/>
      <c r="BJ111" s="532"/>
      <c r="BK111" s="532"/>
      <c r="BL111" s="532"/>
      <c r="BM111" s="532"/>
      <c r="BN111" s="532"/>
      <c r="BO111" s="532"/>
      <c r="BP111" s="532"/>
      <c r="BQ111" s="532"/>
      <c r="BR111" s="532"/>
      <c r="BS111" s="532"/>
      <c r="BT111" s="532"/>
      <c r="BU111" s="532"/>
      <c r="BV111" s="532"/>
      <c r="BW111" s="532"/>
      <c r="BX111" s="532"/>
      <c r="BY111" s="532"/>
      <c r="BZ111" s="532"/>
      <c r="CA111" s="532"/>
      <c r="CB111" s="532"/>
      <c r="CC111" s="532"/>
      <c r="CD111" s="532"/>
      <c r="CE111" s="532"/>
      <c r="CF111" s="532"/>
      <c r="CG111" s="532"/>
      <c r="CH111" s="532"/>
      <c r="CI111" s="532"/>
      <c r="CJ111" s="532"/>
      <c r="CK111" s="532"/>
      <c r="CL111" s="532"/>
      <c r="CM111" s="532"/>
      <c r="CN111" s="532"/>
      <c r="CO111" s="532"/>
      <c r="CP111" s="532"/>
      <c r="CQ111" s="532"/>
      <c r="CR111" s="532"/>
      <c r="CS111" s="532"/>
      <c r="CT111" s="532"/>
      <c r="CU111" s="532"/>
      <c r="CV111" s="532"/>
      <c r="CW111" s="532"/>
      <c r="CX111" s="532"/>
      <c r="CY111" s="532"/>
      <c r="CZ111" s="532"/>
      <c r="DA111" s="532"/>
      <c r="DB111" s="532"/>
      <c r="DC111" s="532"/>
      <c r="DD111" s="532"/>
      <c r="DE111" s="532"/>
      <c r="DF111" s="532"/>
      <c r="DG111" s="532"/>
      <c r="DH111" s="532"/>
      <c r="DI111" s="532"/>
      <c r="DJ111" s="532"/>
      <c r="DK111" s="532"/>
      <c r="DL111" s="532"/>
      <c r="DM111" s="532"/>
      <c r="DN111" s="532"/>
      <c r="DO111" s="532"/>
      <c r="DP111" s="532"/>
      <c r="DQ111" s="532"/>
      <c r="DR111" s="532"/>
      <c r="DS111" s="532"/>
      <c r="DT111" s="532"/>
      <c r="DU111" s="532"/>
      <c r="DV111" s="532"/>
      <c r="DW111" s="532"/>
      <c r="DX111" s="532"/>
      <c r="DY111" s="532"/>
      <c r="DZ111" s="532"/>
      <c r="EA111" s="532"/>
      <c r="EB111" s="532"/>
      <c r="EC111" s="532"/>
      <c r="ED111" s="532"/>
      <c r="EE111" s="532"/>
      <c r="EF111" s="532"/>
      <c r="EG111" s="532"/>
      <c r="EH111" s="532"/>
      <c r="EI111" s="532"/>
      <c r="EJ111" s="532"/>
      <c r="EK111" s="532"/>
      <c r="EL111" s="532"/>
      <c r="EM111" s="532"/>
      <c r="EN111" s="532"/>
      <c r="EO111" s="532"/>
      <c r="EP111" s="532"/>
      <c r="EQ111" s="532"/>
      <c r="ER111" s="532"/>
      <c r="ES111" s="532"/>
      <c r="ET111" s="532"/>
      <c r="EU111" s="532"/>
      <c r="EV111" s="532"/>
      <c r="EW111" s="532"/>
      <c r="EX111" s="532"/>
      <c r="EY111" s="532"/>
      <c r="EZ111" s="532"/>
      <c r="FA111" s="532"/>
      <c r="FB111" s="532"/>
      <c r="FC111" s="532"/>
      <c r="FD111" s="532"/>
      <c r="FE111" s="532"/>
      <c r="FF111" s="532"/>
      <c r="FG111" s="532"/>
      <c r="FH111" s="532"/>
      <c r="FI111" s="532"/>
      <c r="FJ111" s="532"/>
      <c r="FK111" s="532"/>
      <c r="FL111" s="532"/>
      <c r="FM111" s="47"/>
      <c r="FN111" s="47"/>
      <c r="FO111" s="47"/>
      <c r="FP111" s="47"/>
      <c r="FQ111" s="47"/>
      <c r="FR111" s="47"/>
      <c r="FS111" s="49"/>
      <c r="FT111" s="49"/>
      <c r="FU111" s="49"/>
      <c r="FV111" s="49"/>
      <c r="FW111" s="49"/>
      <c r="FX111" s="49"/>
      <c r="FY111" s="47"/>
      <c r="FZ111" s="94"/>
      <c r="GA111" s="49"/>
      <c r="GB111" s="49"/>
      <c r="GC111" s="49"/>
      <c r="GD111" s="49"/>
      <c r="GE111" s="49"/>
      <c r="GF111" s="49"/>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13"/>
      <c r="HG111" s="13"/>
      <c r="HH111" s="13"/>
    </row>
    <row r="112" spans="1:216" ht="16.95" customHeight="1">
      <c r="A112" s="1"/>
      <c r="B112" s="3"/>
      <c r="C112" s="3"/>
      <c r="D112" s="532"/>
      <c r="E112" s="532"/>
      <c r="F112" s="532"/>
      <c r="G112" s="532"/>
      <c r="H112" s="532"/>
      <c r="I112" s="532"/>
      <c r="J112" s="532"/>
      <c r="K112" s="532"/>
      <c r="L112" s="532"/>
      <c r="M112" s="532"/>
      <c r="N112" s="532"/>
      <c r="O112" s="532"/>
      <c r="P112" s="532"/>
      <c r="Q112" s="532"/>
      <c r="R112" s="532"/>
      <c r="S112" s="532"/>
      <c r="T112" s="532"/>
      <c r="U112" s="532"/>
      <c r="V112" s="532"/>
      <c r="W112" s="532"/>
      <c r="X112" s="532"/>
      <c r="Y112" s="532"/>
      <c r="Z112" s="532"/>
      <c r="AA112" s="532"/>
      <c r="AB112" s="532"/>
      <c r="AC112" s="532"/>
      <c r="AD112" s="532"/>
      <c r="AE112" s="532"/>
      <c r="AF112" s="532"/>
      <c r="AG112" s="532"/>
      <c r="AH112" s="532"/>
      <c r="AI112" s="532"/>
      <c r="AJ112" s="532"/>
      <c r="AK112" s="532"/>
      <c r="AL112" s="532"/>
      <c r="AM112" s="532"/>
      <c r="AN112" s="532"/>
      <c r="AO112" s="532"/>
      <c r="AP112" s="532"/>
      <c r="AQ112" s="532"/>
      <c r="AR112" s="532"/>
      <c r="AS112" s="532"/>
      <c r="AT112" s="532"/>
      <c r="AU112" s="532"/>
      <c r="AV112" s="532"/>
      <c r="AW112" s="532"/>
      <c r="AX112" s="532"/>
      <c r="AY112" s="532"/>
      <c r="AZ112" s="532"/>
      <c r="BA112" s="532"/>
      <c r="BB112" s="532"/>
      <c r="BC112" s="532"/>
      <c r="BD112" s="532"/>
      <c r="BE112" s="532"/>
      <c r="BF112" s="532"/>
      <c r="BG112" s="532"/>
      <c r="BH112" s="532"/>
      <c r="BI112" s="532"/>
      <c r="BJ112" s="532"/>
      <c r="BK112" s="532"/>
      <c r="BL112" s="532"/>
      <c r="BM112" s="532"/>
      <c r="BN112" s="532"/>
      <c r="BO112" s="532"/>
      <c r="BP112" s="532"/>
      <c r="BQ112" s="532"/>
      <c r="BR112" s="532"/>
      <c r="BS112" s="532"/>
      <c r="BT112" s="532"/>
      <c r="BU112" s="532"/>
      <c r="BV112" s="532"/>
      <c r="BW112" s="532"/>
      <c r="BX112" s="532"/>
      <c r="BY112" s="532"/>
      <c r="BZ112" s="532"/>
      <c r="CA112" s="532"/>
      <c r="CB112" s="532"/>
      <c r="CC112" s="532"/>
      <c r="CD112" s="532"/>
      <c r="CE112" s="532"/>
      <c r="CF112" s="532"/>
      <c r="CG112" s="532"/>
      <c r="CH112" s="532"/>
      <c r="CI112" s="532"/>
      <c r="CJ112" s="532"/>
      <c r="CK112" s="532"/>
      <c r="CL112" s="532"/>
      <c r="CM112" s="532"/>
      <c r="CN112" s="532"/>
      <c r="CO112" s="532"/>
      <c r="CP112" s="532"/>
      <c r="CQ112" s="532"/>
      <c r="CR112" s="532"/>
      <c r="CS112" s="532"/>
      <c r="CT112" s="532"/>
      <c r="CU112" s="532"/>
      <c r="CV112" s="532"/>
      <c r="CW112" s="532"/>
      <c r="CX112" s="532"/>
      <c r="CY112" s="532"/>
      <c r="CZ112" s="532"/>
      <c r="DA112" s="532"/>
      <c r="DB112" s="532"/>
      <c r="DC112" s="532"/>
      <c r="DD112" s="532"/>
      <c r="DE112" s="532"/>
      <c r="DF112" s="532"/>
      <c r="DG112" s="532"/>
      <c r="DH112" s="532"/>
      <c r="DI112" s="532"/>
      <c r="DJ112" s="532"/>
      <c r="DK112" s="532"/>
      <c r="DL112" s="532"/>
      <c r="DM112" s="532"/>
      <c r="DN112" s="532"/>
      <c r="DO112" s="532"/>
      <c r="DP112" s="532"/>
      <c r="DQ112" s="532"/>
      <c r="DR112" s="532"/>
      <c r="DS112" s="532"/>
      <c r="DT112" s="532"/>
      <c r="DU112" s="532"/>
      <c r="DV112" s="532"/>
      <c r="DW112" s="532"/>
      <c r="DX112" s="532"/>
      <c r="DY112" s="532"/>
      <c r="DZ112" s="532"/>
      <c r="EA112" s="532"/>
      <c r="EB112" s="532"/>
      <c r="EC112" s="532"/>
      <c r="ED112" s="532"/>
      <c r="EE112" s="532"/>
      <c r="EF112" s="532"/>
      <c r="EG112" s="532"/>
      <c r="EH112" s="532"/>
      <c r="EI112" s="532"/>
      <c r="EJ112" s="532"/>
      <c r="EK112" s="532"/>
      <c r="EL112" s="532"/>
      <c r="EM112" s="532"/>
      <c r="EN112" s="532"/>
      <c r="EO112" s="532"/>
      <c r="EP112" s="532"/>
      <c r="EQ112" s="532"/>
      <c r="ER112" s="532"/>
      <c r="ES112" s="532"/>
      <c r="ET112" s="532"/>
      <c r="EU112" s="532"/>
      <c r="EV112" s="532"/>
      <c r="EW112" s="532"/>
      <c r="EX112" s="532"/>
      <c r="EY112" s="532"/>
      <c r="EZ112" s="532"/>
      <c r="FA112" s="532"/>
      <c r="FB112" s="532"/>
      <c r="FC112" s="532"/>
      <c r="FD112" s="532"/>
      <c r="FE112" s="532"/>
      <c r="FF112" s="532"/>
      <c r="FG112" s="532"/>
      <c r="FH112" s="532"/>
      <c r="FI112" s="532"/>
      <c r="FJ112" s="532"/>
      <c r="FK112" s="532"/>
      <c r="FL112" s="532"/>
      <c r="FM112" s="47"/>
      <c r="FN112" s="47"/>
      <c r="FO112" s="47"/>
      <c r="FP112" s="47"/>
      <c r="FQ112" s="47"/>
      <c r="FR112" s="47"/>
      <c r="FS112" s="49"/>
      <c r="FT112" s="49"/>
      <c r="FU112" s="49"/>
      <c r="FV112" s="49"/>
      <c r="FW112" s="49"/>
      <c r="FX112" s="49"/>
      <c r="FY112" s="47"/>
      <c r="FZ112" s="94"/>
      <c r="GA112" s="49"/>
      <c r="GB112" s="49"/>
      <c r="GC112" s="49"/>
      <c r="GD112" s="49"/>
      <c r="GE112" s="49"/>
      <c r="GF112" s="49"/>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13"/>
      <c r="HG112" s="13"/>
      <c r="HH112" s="13"/>
    </row>
    <row r="113" spans="1:216" ht="16.95" customHeight="1">
      <c r="A113" s="1"/>
      <c r="B113" s="3"/>
      <c r="C113" s="3"/>
      <c r="D113" s="532"/>
      <c r="E113" s="532"/>
      <c r="F113" s="532"/>
      <c r="G113" s="532"/>
      <c r="H113" s="532"/>
      <c r="I113" s="532"/>
      <c r="J113" s="532"/>
      <c r="K113" s="532"/>
      <c r="L113" s="532"/>
      <c r="M113" s="532"/>
      <c r="N113" s="532"/>
      <c r="O113" s="532"/>
      <c r="P113" s="532"/>
      <c r="Q113" s="532"/>
      <c r="R113" s="532"/>
      <c r="S113" s="532"/>
      <c r="T113" s="532"/>
      <c r="U113" s="532"/>
      <c r="V113" s="532"/>
      <c r="W113" s="532"/>
      <c r="X113" s="532"/>
      <c r="Y113" s="532"/>
      <c r="Z113" s="532"/>
      <c r="AA113" s="532"/>
      <c r="AB113" s="532"/>
      <c r="AC113" s="532"/>
      <c r="AD113" s="532"/>
      <c r="AE113" s="532"/>
      <c r="AF113" s="532"/>
      <c r="AG113" s="532"/>
      <c r="AH113" s="532"/>
      <c r="AI113" s="532"/>
      <c r="AJ113" s="532"/>
      <c r="AK113" s="532"/>
      <c r="AL113" s="532"/>
      <c r="AM113" s="532"/>
      <c r="AN113" s="532"/>
      <c r="AO113" s="532"/>
      <c r="AP113" s="532"/>
      <c r="AQ113" s="532"/>
      <c r="AR113" s="532"/>
      <c r="AS113" s="532"/>
      <c r="AT113" s="532"/>
      <c r="AU113" s="532"/>
      <c r="AV113" s="532"/>
      <c r="AW113" s="532"/>
      <c r="AX113" s="532"/>
      <c r="AY113" s="532"/>
      <c r="AZ113" s="532"/>
      <c r="BA113" s="532"/>
      <c r="BB113" s="532"/>
      <c r="BC113" s="532"/>
      <c r="BD113" s="532"/>
      <c r="BE113" s="532"/>
      <c r="BF113" s="532"/>
      <c r="BG113" s="532"/>
      <c r="BH113" s="532"/>
      <c r="BI113" s="532"/>
      <c r="BJ113" s="532"/>
      <c r="BK113" s="532"/>
      <c r="BL113" s="532"/>
      <c r="BM113" s="532"/>
      <c r="BN113" s="532"/>
      <c r="BO113" s="532"/>
      <c r="BP113" s="532"/>
      <c r="BQ113" s="532"/>
      <c r="BR113" s="532"/>
      <c r="BS113" s="532"/>
      <c r="BT113" s="532"/>
      <c r="BU113" s="532"/>
      <c r="BV113" s="532"/>
      <c r="BW113" s="532"/>
      <c r="BX113" s="532"/>
      <c r="BY113" s="532"/>
      <c r="BZ113" s="532"/>
      <c r="CA113" s="532"/>
      <c r="CB113" s="532"/>
      <c r="CC113" s="532"/>
      <c r="CD113" s="532"/>
      <c r="CE113" s="532"/>
      <c r="CF113" s="532"/>
      <c r="CG113" s="532"/>
      <c r="CH113" s="532"/>
      <c r="CI113" s="532"/>
      <c r="CJ113" s="532"/>
      <c r="CK113" s="532"/>
      <c r="CL113" s="532"/>
      <c r="CM113" s="532"/>
      <c r="CN113" s="532"/>
      <c r="CO113" s="532"/>
      <c r="CP113" s="532"/>
      <c r="CQ113" s="532"/>
      <c r="CR113" s="532"/>
      <c r="CS113" s="532"/>
      <c r="CT113" s="532"/>
      <c r="CU113" s="532"/>
      <c r="CV113" s="532"/>
      <c r="CW113" s="532"/>
      <c r="CX113" s="532"/>
      <c r="CY113" s="532"/>
      <c r="CZ113" s="532"/>
      <c r="DA113" s="532"/>
      <c r="DB113" s="532"/>
      <c r="DC113" s="532"/>
      <c r="DD113" s="532"/>
      <c r="DE113" s="532"/>
      <c r="DF113" s="532"/>
      <c r="DG113" s="532"/>
      <c r="DH113" s="532"/>
      <c r="DI113" s="532"/>
      <c r="DJ113" s="532"/>
      <c r="DK113" s="532"/>
      <c r="DL113" s="532"/>
      <c r="DM113" s="532"/>
      <c r="DN113" s="532"/>
      <c r="DO113" s="532"/>
      <c r="DP113" s="532"/>
      <c r="DQ113" s="532"/>
      <c r="DR113" s="532"/>
      <c r="DS113" s="532"/>
      <c r="DT113" s="532"/>
      <c r="DU113" s="532"/>
      <c r="DV113" s="532"/>
      <c r="DW113" s="532"/>
      <c r="DX113" s="532"/>
      <c r="DY113" s="532"/>
      <c r="DZ113" s="532"/>
      <c r="EA113" s="532"/>
      <c r="EB113" s="532"/>
      <c r="EC113" s="532"/>
      <c r="ED113" s="532"/>
      <c r="EE113" s="532"/>
      <c r="EF113" s="532"/>
      <c r="EG113" s="532"/>
      <c r="EH113" s="532"/>
      <c r="EI113" s="532"/>
      <c r="EJ113" s="532"/>
      <c r="EK113" s="532"/>
      <c r="EL113" s="532"/>
      <c r="EM113" s="532"/>
      <c r="EN113" s="532"/>
      <c r="EO113" s="532"/>
      <c r="EP113" s="532"/>
      <c r="EQ113" s="532"/>
      <c r="ER113" s="532"/>
      <c r="ES113" s="532"/>
      <c r="ET113" s="532"/>
      <c r="EU113" s="532"/>
      <c r="EV113" s="532"/>
      <c r="EW113" s="532"/>
      <c r="EX113" s="532"/>
      <c r="EY113" s="532"/>
      <c r="EZ113" s="532"/>
      <c r="FA113" s="532"/>
      <c r="FB113" s="532"/>
      <c r="FC113" s="532"/>
      <c r="FD113" s="532"/>
      <c r="FE113" s="532"/>
      <c r="FF113" s="532"/>
      <c r="FG113" s="532"/>
      <c r="FH113" s="532"/>
      <c r="FI113" s="532"/>
      <c r="FJ113" s="532"/>
      <c r="FK113" s="532"/>
      <c r="FL113" s="532"/>
      <c r="FM113" s="47"/>
      <c r="FN113" s="47"/>
      <c r="FO113" s="47"/>
      <c r="FP113" s="47"/>
      <c r="FQ113" s="47"/>
      <c r="FR113" s="47"/>
      <c r="FS113" s="49"/>
      <c r="FT113" s="49"/>
      <c r="FU113" s="49"/>
      <c r="FV113" s="49"/>
      <c r="FW113" s="49"/>
      <c r="FX113" s="49"/>
      <c r="FY113" s="47"/>
      <c r="FZ113" s="94"/>
      <c r="GA113" s="49"/>
      <c r="GB113" s="49"/>
      <c r="GC113" s="49"/>
      <c r="GD113" s="49"/>
      <c r="GE113" s="49"/>
      <c r="GF113" s="49"/>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13"/>
      <c r="HG113" s="13"/>
      <c r="HH113" s="13"/>
    </row>
    <row r="114" spans="1:216" ht="16.95" customHeight="1">
      <c r="A114" s="1"/>
      <c r="B114" s="3"/>
      <c r="C114" s="3"/>
      <c r="D114" s="532"/>
      <c r="E114" s="532"/>
      <c r="F114" s="532"/>
      <c r="G114" s="532"/>
      <c r="H114" s="532"/>
      <c r="I114" s="532"/>
      <c r="J114" s="532"/>
      <c r="K114" s="532"/>
      <c r="L114" s="532"/>
      <c r="M114" s="532"/>
      <c r="N114" s="532"/>
      <c r="O114" s="532"/>
      <c r="P114" s="532"/>
      <c r="Q114" s="532"/>
      <c r="R114" s="532"/>
      <c r="S114" s="532"/>
      <c r="T114" s="532"/>
      <c r="U114" s="532"/>
      <c r="V114" s="532"/>
      <c r="W114" s="532"/>
      <c r="X114" s="532"/>
      <c r="Y114" s="532"/>
      <c r="Z114" s="532"/>
      <c r="AA114" s="532"/>
      <c r="AB114" s="532"/>
      <c r="AC114" s="532"/>
      <c r="AD114" s="532"/>
      <c r="AE114" s="532"/>
      <c r="AF114" s="532"/>
      <c r="AG114" s="532"/>
      <c r="AH114" s="532"/>
      <c r="AI114" s="532"/>
      <c r="AJ114" s="532"/>
      <c r="AK114" s="532"/>
      <c r="AL114" s="532"/>
      <c r="AM114" s="532"/>
      <c r="AN114" s="532"/>
      <c r="AO114" s="532"/>
      <c r="AP114" s="532"/>
      <c r="AQ114" s="532"/>
      <c r="AR114" s="532"/>
      <c r="AS114" s="532"/>
      <c r="AT114" s="532"/>
      <c r="AU114" s="532"/>
      <c r="AV114" s="532"/>
      <c r="AW114" s="532"/>
      <c r="AX114" s="532"/>
      <c r="AY114" s="532"/>
      <c r="AZ114" s="532"/>
      <c r="BA114" s="532"/>
      <c r="BB114" s="532"/>
      <c r="BC114" s="532"/>
      <c r="BD114" s="532"/>
      <c r="BE114" s="532"/>
      <c r="BF114" s="532"/>
      <c r="BG114" s="532"/>
      <c r="BH114" s="532"/>
      <c r="BI114" s="532"/>
      <c r="BJ114" s="532"/>
      <c r="BK114" s="532"/>
      <c r="BL114" s="532"/>
      <c r="BM114" s="532"/>
      <c r="BN114" s="532"/>
      <c r="BO114" s="532"/>
      <c r="BP114" s="532"/>
      <c r="BQ114" s="532"/>
      <c r="BR114" s="532"/>
      <c r="BS114" s="532"/>
      <c r="BT114" s="532"/>
      <c r="BU114" s="532"/>
      <c r="BV114" s="532"/>
      <c r="BW114" s="532"/>
      <c r="BX114" s="532"/>
      <c r="BY114" s="532"/>
      <c r="BZ114" s="532"/>
      <c r="CA114" s="532"/>
      <c r="CB114" s="532"/>
      <c r="CC114" s="532"/>
      <c r="CD114" s="532"/>
      <c r="CE114" s="532"/>
      <c r="CF114" s="532"/>
      <c r="CG114" s="532"/>
      <c r="CH114" s="532"/>
      <c r="CI114" s="532"/>
      <c r="CJ114" s="532"/>
      <c r="CK114" s="532"/>
      <c r="CL114" s="532"/>
      <c r="CM114" s="532"/>
      <c r="CN114" s="532"/>
      <c r="CO114" s="532"/>
      <c r="CP114" s="532"/>
      <c r="CQ114" s="532"/>
      <c r="CR114" s="532"/>
      <c r="CS114" s="532"/>
      <c r="CT114" s="532"/>
      <c r="CU114" s="532"/>
      <c r="CV114" s="532"/>
      <c r="CW114" s="532"/>
      <c r="CX114" s="532"/>
      <c r="CY114" s="532"/>
      <c r="CZ114" s="532"/>
      <c r="DA114" s="532"/>
      <c r="DB114" s="532"/>
      <c r="DC114" s="532"/>
      <c r="DD114" s="532"/>
      <c r="DE114" s="532"/>
      <c r="DF114" s="532"/>
      <c r="DG114" s="532"/>
      <c r="DH114" s="532"/>
      <c r="DI114" s="532"/>
      <c r="DJ114" s="532"/>
      <c r="DK114" s="532"/>
      <c r="DL114" s="532"/>
      <c r="DM114" s="532"/>
      <c r="DN114" s="532"/>
      <c r="DO114" s="532"/>
      <c r="DP114" s="532"/>
      <c r="DQ114" s="532"/>
      <c r="DR114" s="532"/>
      <c r="DS114" s="532"/>
      <c r="DT114" s="532"/>
      <c r="DU114" s="532"/>
      <c r="DV114" s="532"/>
      <c r="DW114" s="532"/>
      <c r="DX114" s="532"/>
      <c r="DY114" s="532"/>
      <c r="DZ114" s="532"/>
      <c r="EA114" s="532"/>
      <c r="EB114" s="532"/>
      <c r="EC114" s="532"/>
      <c r="ED114" s="532"/>
      <c r="EE114" s="532"/>
      <c r="EF114" s="532"/>
      <c r="EG114" s="532"/>
      <c r="EH114" s="532"/>
      <c r="EI114" s="532"/>
      <c r="EJ114" s="532"/>
      <c r="EK114" s="532"/>
      <c r="EL114" s="532"/>
      <c r="EM114" s="532"/>
      <c r="EN114" s="532"/>
      <c r="EO114" s="532"/>
      <c r="EP114" s="532"/>
      <c r="EQ114" s="532"/>
      <c r="ER114" s="532"/>
      <c r="ES114" s="532"/>
      <c r="ET114" s="532"/>
      <c r="EU114" s="532"/>
      <c r="EV114" s="532"/>
      <c r="EW114" s="532"/>
      <c r="EX114" s="532"/>
      <c r="EY114" s="532"/>
      <c r="EZ114" s="532"/>
      <c r="FA114" s="532"/>
      <c r="FB114" s="532"/>
      <c r="FC114" s="532"/>
      <c r="FD114" s="532"/>
      <c r="FE114" s="532"/>
      <c r="FF114" s="532"/>
      <c r="FG114" s="532"/>
      <c r="FH114" s="532"/>
      <c r="FI114" s="532"/>
      <c r="FJ114" s="532"/>
      <c r="FK114" s="532"/>
      <c r="FL114" s="532"/>
      <c r="FM114" s="47"/>
      <c r="FN114" s="47"/>
      <c r="FO114" s="47"/>
      <c r="FP114" s="47"/>
      <c r="FQ114" s="47"/>
      <c r="FR114" s="47"/>
      <c r="FS114" s="49"/>
      <c r="FT114" s="49"/>
      <c r="FU114" s="49"/>
      <c r="FV114" s="49"/>
      <c r="FW114" s="49"/>
      <c r="FX114" s="49"/>
      <c r="FY114" s="47"/>
      <c r="FZ114" s="94"/>
      <c r="GA114" s="49"/>
      <c r="GB114" s="49"/>
      <c r="GC114" s="49"/>
      <c r="GD114" s="49"/>
      <c r="GE114" s="49"/>
      <c r="GF114" s="49"/>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13"/>
      <c r="HG114" s="13"/>
      <c r="HH114" s="13"/>
    </row>
    <row r="115" spans="1:216" ht="16.95" customHeight="1">
      <c r="A115" s="1"/>
      <c r="B115" s="3"/>
      <c r="C115" s="3"/>
      <c r="D115" s="532"/>
      <c r="E115" s="532"/>
      <c r="F115" s="532"/>
      <c r="G115" s="532"/>
      <c r="H115" s="532"/>
      <c r="I115" s="532"/>
      <c r="J115" s="532"/>
      <c r="K115" s="532"/>
      <c r="L115" s="532"/>
      <c r="M115" s="532"/>
      <c r="N115" s="532"/>
      <c r="O115" s="53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c r="AM115" s="532"/>
      <c r="AN115" s="532"/>
      <c r="AO115" s="532"/>
      <c r="AP115" s="532"/>
      <c r="AQ115" s="532"/>
      <c r="AR115" s="532"/>
      <c r="AS115" s="532"/>
      <c r="AT115" s="532"/>
      <c r="AU115" s="532"/>
      <c r="AV115" s="532"/>
      <c r="AW115" s="532"/>
      <c r="AX115" s="532"/>
      <c r="AY115" s="532"/>
      <c r="AZ115" s="532"/>
      <c r="BA115" s="532"/>
      <c r="BB115" s="532"/>
      <c r="BC115" s="532"/>
      <c r="BD115" s="532"/>
      <c r="BE115" s="532"/>
      <c r="BF115" s="532"/>
      <c r="BG115" s="532"/>
      <c r="BH115" s="532"/>
      <c r="BI115" s="532"/>
      <c r="BJ115" s="532"/>
      <c r="BK115" s="532"/>
      <c r="BL115" s="532"/>
      <c r="BM115" s="532"/>
      <c r="BN115" s="532"/>
      <c r="BO115" s="532"/>
      <c r="BP115" s="532"/>
      <c r="BQ115" s="532"/>
      <c r="BR115" s="532"/>
      <c r="BS115" s="532"/>
      <c r="BT115" s="532"/>
      <c r="BU115" s="532"/>
      <c r="BV115" s="532"/>
      <c r="BW115" s="532"/>
      <c r="BX115" s="532"/>
      <c r="BY115" s="532"/>
      <c r="BZ115" s="532"/>
      <c r="CA115" s="532"/>
      <c r="CB115" s="532"/>
      <c r="CC115" s="532"/>
      <c r="CD115" s="532"/>
      <c r="CE115" s="532"/>
      <c r="CF115" s="532"/>
      <c r="CG115" s="532"/>
      <c r="CH115" s="532"/>
      <c r="CI115" s="532"/>
      <c r="CJ115" s="532"/>
      <c r="CK115" s="532"/>
      <c r="CL115" s="532"/>
      <c r="CM115" s="532"/>
      <c r="CN115" s="532"/>
      <c r="CO115" s="532"/>
      <c r="CP115" s="532"/>
      <c r="CQ115" s="532"/>
      <c r="CR115" s="532"/>
      <c r="CS115" s="532"/>
      <c r="CT115" s="532"/>
      <c r="CU115" s="532"/>
      <c r="CV115" s="532"/>
      <c r="CW115" s="532"/>
      <c r="CX115" s="532"/>
      <c r="CY115" s="532"/>
      <c r="CZ115" s="532"/>
      <c r="DA115" s="532"/>
      <c r="DB115" s="532"/>
      <c r="DC115" s="532"/>
      <c r="DD115" s="532"/>
      <c r="DE115" s="532"/>
      <c r="DF115" s="532"/>
      <c r="DG115" s="532"/>
      <c r="DH115" s="532"/>
      <c r="DI115" s="532"/>
      <c r="DJ115" s="532"/>
      <c r="DK115" s="532"/>
      <c r="DL115" s="532"/>
      <c r="DM115" s="532"/>
      <c r="DN115" s="532"/>
      <c r="DO115" s="532"/>
      <c r="DP115" s="532"/>
      <c r="DQ115" s="532"/>
      <c r="DR115" s="532"/>
      <c r="DS115" s="532"/>
      <c r="DT115" s="532"/>
      <c r="DU115" s="532"/>
      <c r="DV115" s="532"/>
      <c r="DW115" s="532"/>
      <c r="DX115" s="532"/>
      <c r="DY115" s="532"/>
      <c r="DZ115" s="532"/>
      <c r="EA115" s="532"/>
      <c r="EB115" s="532"/>
      <c r="EC115" s="532"/>
      <c r="ED115" s="532"/>
      <c r="EE115" s="532"/>
      <c r="EF115" s="532"/>
      <c r="EG115" s="532"/>
      <c r="EH115" s="532"/>
      <c r="EI115" s="532"/>
      <c r="EJ115" s="532"/>
      <c r="EK115" s="532"/>
      <c r="EL115" s="532"/>
      <c r="EM115" s="532"/>
      <c r="EN115" s="532"/>
      <c r="EO115" s="532"/>
      <c r="EP115" s="532"/>
      <c r="EQ115" s="532"/>
      <c r="ER115" s="532"/>
      <c r="ES115" s="532"/>
      <c r="ET115" s="532"/>
      <c r="EU115" s="532"/>
      <c r="EV115" s="532"/>
      <c r="EW115" s="532"/>
      <c r="EX115" s="532"/>
      <c r="EY115" s="532"/>
      <c r="EZ115" s="532"/>
      <c r="FA115" s="532"/>
      <c r="FB115" s="532"/>
      <c r="FC115" s="532"/>
      <c r="FD115" s="532"/>
      <c r="FE115" s="532"/>
      <c r="FF115" s="532"/>
      <c r="FG115" s="532"/>
      <c r="FH115" s="532"/>
      <c r="FI115" s="532"/>
      <c r="FJ115" s="532"/>
      <c r="FK115" s="532"/>
      <c r="FL115" s="532"/>
      <c r="FM115" s="47"/>
      <c r="FN115" s="47"/>
      <c r="FO115" s="47"/>
      <c r="FP115" s="47"/>
      <c r="FQ115" s="47"/>
      <c r="FR115" s="47"/>
      <c r="FS115" s="49"/>
      <c r="FT115" s="49"/>
      <c r="FU115" s="49"/>
      <c r="FV115" s="49"/>
      <c r="FW115" s="49"/>
      <c r="FX115" s="49"/>
      <c r="FY115" s="47"/>
      <c r="FZ115" s="94"/>
      <c r="GA115" s="49"/>
      <c r="GB115" s="49"/>
      <c r="GC115" s="49"/>
      <c r="GD115" s="49"/>
      <c r="GE115" s="49"/>
      <c r="GF115" s="49"/>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13"/>
      <c r="HG115" s="13"/>
      <c r="HH115" s="13"/>
    </row>
    <row r="116" spans="1:216" ht="16.95" customHeight="1">
      <c r="A116" s="1"/>
      <c r="B116" s="3"/>
      <c r="C116" s="3"/>
      <c r="D116" s="532"/>
      <c r="E116" s="532"/>
      <c r="F116" s="532"/>
      <c r="G116" s="532"/>
      <c r="H116" s="532"/>
      <c r="I116" s="532"/>
      <c r="J116" s="532"/>
      <c r="K116" s="532"/>
      <c r="L116" s="532"/>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c r="AM116" s="532"/>
      <c r="AN116" s="532"/>
      <c r="AO116" s="532"/>
      <c r="AP116" s="532"/>
      <c r="AQ116" s="532"/>
      <c r="AR116" s="532"/>
      <c r="AS116" s="532"/>
      <c r="AT116" s="532"/>
      <c r="AU116" s="532"/>
      <c r="AV116" s="532"/>
      <c r="AW116" s="532"/>
      <c r="AX116" s="532"/>
      <c r="AY116" s="532"/>
      <c r="AZ116" s="532"/>
      <c r="BA116" s="532"/>
      <c r="BB116" s="532"/>
      <c r="BC116" s="532"/>
      <c r="BD116" s="532"/>
      <c r="BE116" s="532"/>
      <c r="BF116" s="532"/>
      <c r="BG116" s="532"/>
      <c r="BH116" s="532"/>
      <c r="BI116" s="532"/>
      <c r="BJ116" s="532"/>
      <c r="BK116" s="532"/>
      <c r="BL116" s="532"/>
      <c r="BM116" s="532"/>
      <c r="BN116" s="532"/>
      <c r="BO116" s="532"/>
      <c r="BP116" s="532"/>
      <c r="BQ116" s="532"/>
      <c r="BR116" s="532"/>
      <c r="BS116" s="532"/>
      <c r="BT116" s="532"/>
      <c r="BU116" s="532"/>
      <c r="BV116" s="532"/>
      <c r="BW116" s="532"/>
      <c r="BX116" s="532"/>
      <c r="BY116" s="532"/>
      <c r="BZ116" s="532"/>
      <c r="CA116" s="532"/>
      <c r="CB116" s="532"/>
      <c r="CC116" s="532"/>
      <c r="CD116" s="532"/>
      <c r="CE116" s="532"/>
      <c r="CF116" s="532"/>
      <c r="CG116" s="532"/>
      <c r="CH116" s="532"/>
      <c r="CI116" s="532"/>
      <c r="CJ116" s="532"/>
      <c r="CK116" s="532"/>
      <c r="CL116" s="532"/>
      <c r="CM116" s="532"/>
      <c r="CN116" s="532"/>
      <c r="CO116" s="532"/>
      <c r="CP116" s="532"/>
      <c r="CQ116" s="532"/>
      <c r="CR116" s="532"/>
      <c r="CS116" s="532"/>
      <c r="CT116" s="532"/>
      <c r="CU116" s="532"/>
      <c r="CV116" s="532"/>
      <c r="CW116" s="532"/>
      <c r="CX116" s="532"/>
      <c r="CY116" s="532"/>
      <c r="CZ116" s="532"/>
      <c r="DA116" s="532"/>
      <c r="DB116" s="532"/>
      <c r="DC116" s="532"/>
      <c r="DD116" s="532"/>
      <c r="DE116" s="532"/>
      <c r="DF116" s="532"/>
      <c r="DG116" s="532"/>
      <c r="DH116" s="532"/>
      <c r="DI116" s="532"/>
      <c r="DJ116" s="532"/>
      <c r="DK116" s="532"/>
      <c r="DL116" s="532"/>
      <c r="DM116" s="532"/>
      <c r="DN116" s="532"/>
      <c r="DO116" s="532"/>
      <c r="DP116" s="532"/>
      <c r="DQ116" s="532"/>
      <c r="DR116" s="532"/>
      <c r="DS116" s="532"/>
      <c r="DT116" s="532"/>
      <c r="DU116" s="532"/>
      <c r="DV116" s="532"/>
      <c r="DW116" s="532"/>
      <c r="DX116" s="532"/>
      <c r="DY116" s="532"/>
      <c r="DZ116" s="532"/>
      <c r="EA116" s="532"/>
      <c r="EB116" s="532"/>
      <c r="EC116" s="532"/>
      <c r="ED116" s="532"/>
      <c r="EE116" s="532"/>
      <c r="EF116" s="532"/>
      <c r="EG116" s="532"/>
      <c r="EH116" s="532"/>
      <c r="EI116" s="532"/>
      <c r="EJ116" s="532"/>
      <c r="EK116" s="532"/>
      <c r="EL116" s="532"/>
      <c r="EM116" s="532"/>
      <c r="EN116" s="532"/>
      <c r="EO116" s="532"/>
      <c r="EP116" s="532"/>
      <c r="EQ116" s="532"/>
      <c r="ER116" s="532"/>
      <c r="ES116" s="532"/>
      <c r="ET116" s="532"/>
      <c r="EU116" s="532"/>
      <c r="EV116" s="532"/>
      <c r="EW116" s="532"/>
      <c r="EX116" s="532"/>
      <c r="EY116" s="532"/>
      <c r="EZ116" s="532"/>
      <c r="FA116" s="532"/>
      <c r="FB116" s="532"/>
      <c r="FC116" s="532"/>
      <c r="FD116" s="532"/>
      <c r="FE116" s="532"/>
      <c r="FF116" s="532"/>
      <c r="FG116" s="532"/>
      <c r="FH116" s="532"/>
      <c r="FI116" s="532"/>
      <c r="FJ116" s="532"/>
      <c r="FK116" s="532"/>
      <c r="FL116" s="532"/>
      <c r="FM116" s="47"/>
      <c r="FN116" s="47"/>
      <c r="FO116" s="47"/>
      <c r="FP116" s="47"/>
      <c r="FQ116" s="47"/>
      <c r="FR116" s="47"/>
      <c r="FS116" s="49"/>
      <c r="FT116" s="49"/>
      <c r="FU116" s="49"/>
      <c r="FV116" s="49"/>
      <c r="FW116" s="49"/>
      <c r="FX116" s="49"/>
      <c r="FY116" s="47"/>
      <c r="FZ116" s="94"/>
      <c r="GA116" s="49"/>
      <c r="GB116" s="49"/>
      <c r="GC116" s="49"/>
      <c r="GD116" s="49"/>
      <c r="GE116" s="49"/>
      <c r="GF116" s="49"/>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13"/>
      <c r="HG116" s="13"/>
      <c r="HH116" s="13"/>
    </row>
    <row r="117" spans="1:216" ht="16.95" customHeight="1">
      <c r="A117" s="1"/>
      <c r="B117" s="3"/>
      <c r="C117" s="3"/>
      <c r="D117" s="12" t="str">
        <f ca="1">IF(FO40=0,"","Het wordt pas echt moeilijk als je met behulp van een stapel blokjes de")</f>
        <v/>
      </c>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471"/>
      <c r="AG117" s="471"/>
      <c r="AH117" s="471"/>
      <c r="AI117" s="471"/>
      <c r="AJ117" s="471"/>
      <c r="AK117" s="471"/>
      <c r="AL117" s="471"/>
      <c r="AM117" s="471"/>
      <c r="AN117" s="471"/>
      <c r="AO117" s="471"/>
      <c r="AP117" s="471"/>
      <c r="AQ117" s="471"/>
      <c r="AR117" s="471"/>
      <c r="AS117" s="471"/>
      <c r="AT117" s="471"/>
      <c r="AU117" s="471"/>
      <c r="AV117" s="471"/>
      <c r="AW117" s="471"/>
      <c r="AX117" s="471"/>
      <c r="AY117" s="471"/>
      <c r="AZ117" s="471"/>
      <c r="BA117" s="471"/>
      <c r="BB117" s="471"/>
      <c r="BC117" s="471"/>
      <c r="BD117" s="471"/>
      <c r="BE117" s="471"/>
      <c r="BF117" s="471"/>
      <c r="BG117" s="471"/>
      <c r="BH117" s="471"/>
      <c r="BI117" s="471"/>
      <c r="BJ117" s="471"/>
      <c r="BK117" s="471"/>
      <c r="BL117" s="471"/>
      <c r="BM117" s="471"/>
      <c r="BN117" s="471"/>
      <c r="BO117" s="471"/>
      <c r="BP117" s="471"/>
      <c r="BQ117" s="471"/>
      <c r="BR117" s="471"/>
      <c r="BS117" s="471"/>
      <c r="BT117" s="471"/>
      <c r="BU117" s="471"/>
      <c r="BV117" s="471"/>
      <c r="BW117" s="471"/>
      <c r="BX117" s="471"/>
      <c r="BY117" s="471"/>
      <c r="BZ117" s="471"/>
      <c r="CA117" s="471"/>
      <c r="CB117" s="471"/>
      <c r="CC117" s="471"/>
      <c r="CD117" s="471"/>
      <c r="CE117" s="471"/>
      <c r="CF117" s="471"/>
      <c r="CG117" s="471"/>
      <c r="CH117" s="471"/>
      <c r="CI117" s="471"/>
      <c r="CJ117" s="471"/>
      <c r="CK117" s="471"/>
      <c r="CL117" s="471"/>
      <c r="CM117" s="471"/>
      <c r="CN117" s="471"/>
      <c r="CO117" s="471"/>
      <c r="CP117" s="471"/>
      <c r="CQ117" s="471"/>
      <c r="CR117" s="471"/>
      <c r="CS117" s="471"/>
      <c r="CT117" s="471"/>
      <c r="CU117" s="471"/>
      <c r="CV117" s="471"/>
      <c r="CW117" s="471"/>
      <c r="CX117" s="471"/>
      <c r="CY117" s="471"/>
      <c r="CZ117" s="471"/>
      <c r="DA117" s="471"/>
      <c r="DB117" s="471"/>
      <c r="DC117" s="471"/>
      <c r="DD117" s="471"/>
      <c r="DE117" s="471"/>
      <c r="DF117" s="471"/>
      <c r="DG117" s="471"/>
      <c r="DH117" s="471"/>
      <c r="DI117" s="471"/>
      <c r="DJ117" s="471"/>
      <c r="DK117" s="471"/>
      <c r="DL117" s="471"/>
      <c r="DM117" s="471"/>
      <c r="DN117" s="471"/>
      <c r="DO117" s="471"/>
      <c r="DP117" s="471"/>
      <c r="DQ117" s="471"/>
      <c r="DR117" s="471"/>
      <c r="DS117" s="471"/>
      <c r="DT117" s="471"/>
      <c r="DU117" s="471"/>
      <c r="DV117" s="471"/>
      <c r="DW117" s="471"/>
      <c r="DX117" s="471"/>
      <c r="DY117" s="471"/>
      <c r="DZ117" s="471"/>
      <c r="EA117" s="471"/>
      <c r="EB117" s="471"/>
      <c r="EC117" s="471"/>
      <c r="ED117" s="471"/>
      <c r="EE117" s="471"/>
      <c r="EF117" s="471"/>
      <c r="EG117" s="471"/>
      <c r="EH117" s="471"/>
      <c r="EI117" s="471"/>
      <c r="EJ117" s="471"/>
      <c r="EK117" s="471"/>
      <c r="EL117" s="471"/>
      <c r="EM117" s="471"/>
      <c r="EN117" s="471"/>
      <c r="EO117" s="471"/>
      <c r="EP117" s="471"/>
      <c r="EQ117" s="471"/>
      <c r="ER117" s="471"/>
      <c r="ES117" s="471"/>
      <c r="ET117" s="471"/>
      <c r="EU117" s="471"/>
      <c r="EV117" s="471"/>
      <c r="EW117" s="471"/>
      <c r="EX117" s="471"/>
      <c r="EY117" s="471"/>
      <c r="EZ117" s="471"/>
      <c r="FA117" s="471"/>
      <c r="FB117" s="471"/>
      <c r="FC117" s="471"/>
      <c r="FD117" s="471"/>
      <c r="FE117" s="471"/>
      <c r="FF117" s="471"/>
      <c r="FG117" s="471"/>
      <c r="FH117" s="471"/>
      <c r="FI117" s="471"/>
      <c r="FJ117" s="471"/>
      <c r="FK117" s="43"/>
      <c r="FL117" s="43"/>
      <c r="FM117" s="47"/>
      <c r="FN117" s="47"/>
      <c r="FO117" s="47"/>
      <c r="FP117" s="47"/>
      <c r="FQ117" s="47"/>
      <c r="FR117" s="47"/>
      <c r="FS117" s="49"/>
      <c r="FT117" s="49"/>
      <c r="FU117" s="49"/>
      <c r="FV117" s="49"/>
      <c r="FW117" s="49"/>
      <c r="FX117" s="49"/>
      <c r="FY117" s="47"/>
      <c r="FZ117" s="94"/>
      <c r="GA117" s="49"/>
      <c r="GB117" s="49"/>
      <c r="GC117" s="49"/>
      <c r="GD117" s="49"/>
      <c r="GE117" s="49"/>
      <c r="GF117" s="49"/>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13"/>
      <c r="HG117" s="13"/>
      <c r="HH117" s="13"/>
    </row>
    <row r="118" spans="1:216" ht="16.95" customHeight="1">
      <c r="A118" s="1"/>
      <c r="B118" s="3"/>
      <c r="C118" s="3"/>
      <c r="D118" s="12" t="str">
        <f ca="1">IF(FO40=0,"","verandering - en dus de marginale opbrengst - probeert weer te geven.")</f>
        <v/>
      </c>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471"/>
      <c r="AG118" s="471"/>
      <c r="AH118" s="471"/>
      <c r="AI118" s="471"/>
      <c r="AJ118" s="471"/>
      <c r="AK118" s="471"/>
      <c r="AL118" s="471"/>
      <c r="AM118" s="471"/>
      <c r="AN118" s="471"/>
      <c r="AO118" s="471"/>
      <c r="AP118" s="471"/>
      <c r="AQ118" s="471"/>
      <c r="AR118" s="471"/>
      <c r="AS118" s="471"/>
      <c r="AT118" s="471"/>
      <c r="AU118" s="471"/>
      <c r="AV118" s="471"/>
      <c r="AW118" s="471"/>
      <c r="AX118" s="471"/>
      <c r="AY118" s="471"/>
      <c r="AZ118" s="471"/>
      <c r="BA118" s="471"/>
      <c r="BB118" s="471"/>
      <c r="BC118" s="471"/>
      <c r="BD118" s="471"/>
      <c r="BE118" s="471"/>
      <c r="BF118" s="471"/>
      <c r="BG118" s="471"/>
      <c r="BH118" s="471"/>
      <c r="BI118" s="471"/>
      <c r="BJ118" s="471"/>
      <c r="BK118" s="471"/>
      <c r="BL118" s="471"/>
      <c r="BM118" s="471"/>
      <c r="BN118" s="471"/>
      <c r="BO118" s="471"/>
      <c r="BP118" s="471"/>
      <c r="BQ118" s="471"/>
      <c r="BR118" s="471"/>
      <c r="BS118" s="471"/>
      <c r="BT118" s="471"/>
      <c r="BU118" s="471"/>
      <c r="BV118" s="471"/>
      <c r="BW118" s="471"/>
      <c r="BX118" s="471"/>
      <c r="BY118" s="471"/>
      <c r="BZ118" s="471"/>
      <c r="CA118" s="471"/>
      <c r="CB118" s="471"/>
      <c r="CC118" s="471"/>
      <c r="CD118" s="471"/>
      <c r="CE118" s="471"/>
      <c r="CF118" s="471"/>
      <c r="CG118" s="471"/>
      <c r="CH118" s="471"/>
      <c r="CI118" s="471"/>
      <c r="CJ118" s="471"/>
      <c r="CK118" s="471"/>
      <c r="CL118" s="471"/>
      <c r="CM118" s="471"/>
      <c r="CN118" s="471"/>
      <c r="CO118" s="471"/>
      <c r="CP118" s="471"/>
      <c r="CQ118" s="471"/>
      <c r="CR118" s="471"/>
      <c r="CS118" s="471"/>
      <c r="CT118" s="471"/>
      <c r="CU118" s="471"/>
      <c r="CV118" s="471"/>
      <c r="CW118" s="471"/>
      <c r="CX118" s="471"/>
      <c r="CY118" s="471"/>
      <c r="CZ118" s="471"/>
      <c r="DA118" s="471"/>
      <c r="DB118" s="471"/>
      <c r="DC118" s="471"/>
      <c r="DD118" s="471"/>
      <c r="DE118" s="471"/>
      <c r="DF118" s="471"/>
      <c r="DG118" s="471"/>
      <c r="DH118" s="471"/>
      <c r="DI118" s="471"/>
      <c r="DJ118" s="471"/>
      <c r="DK118" s="471"/>
      <c r="DL118" s="471"/>
      <c r="DM118" s="471"/>
      <c r="DN118" s="471"/>
      <c r="DO118" s="471"/>
      <c r="DP118" s="471"/>
      <c r="DQ118" s="471"/>
      <c r="DR118" s="471"/>
      <c r="DS118" s="471"/>
      <c r="DT118" s="471"/>
      <c r="DU118" s="471"/>
      <c r="DV118" s="471"/>
      <c r="DW118" s="471"/>
      <c r="DX118" s="471"/>
      <c r="DY118" s="471"/>
      <c r="DZ118" s="471"/>
      <c r="EA118" s="471"/>
      <c r="EB118" s="471"/>
      <c r="EC118" s="471"/>
      <c r="ED118" s="471"/>
      <c r="EE118" s="471"/>
      <c r="EF118" s="471"/>
      <c r="EG118" s="471"/>
      <c r="EH118" s="471"/>
      <c r="EI118" s="471"/>
      <c r="EJ118" s="471"/>
      <c r="EK118" s="471"/>
      <c r="EL118" s="471"/>
      <c r="EM118" s="471"/>
      <c r="EN118" s="471"/>
      <c r="EO118" s="471"/>
      <c r="EP118" s="471"/>
      <c r="EQ118" s="471"/>
      <c r="ER118" s="471"/>
      <c r="ES118" s="471"/>
      <c r="ET118" s="471"/>
      <c r="EU118" s="471"/>
      <c r="EV118" s="471"/>
      <c r="EW118" s="471"/>
      <c r="EX118" s="471"/>
      <c r="EY118" s="471"/>
      <c r="EZ118" s="471"/>
      <c r="FA118" s="471"/>
      <c r="FB118" s="471"/>
      <c r="FC118" s="471"/>
      <c r="FD118" s="471"/>
      <c r="FE118" s="471"/>
      <c r="FF118" s="471"/>
      <c r="FG118" s="471"/>
      <c r="FH118" s="471"/>
      <c r="FI118" s="471"/>
      <c r="FJ118" s="471"/>
      <c r="FK118" s="43"/>
      <c r="FL118" s="43"/>
      <c r="FM118" s="47"/>
      <c r="FN118" s="47"/>
      <c r="FO118" s="47"/>
      <c r="FP118" s="47"/>
      <c r="FQ118" s="47"/>
      <c r="FR118" s="47"/>
      <c r="FS118" s="49"/>
      <c r="FT118" s="49"/>
      <c r="FU118" s="49"/>
      <c r="FV118" s="49"/>
      <c r="FW118" s="49"/>
      <c r="FX118" s="49"/>
      <c r="FY118" s="47"/>
      <c r="FZ118" s="94"/>
      <c r="GA118" s="49"/>
      <c r="GB118" s="49"/>
      <c r="GC118" s="49"/>
      <c r="GD118" s="49"/>
      <c r="GE118" s="49"/>
      <c r="GF118" s="49"/>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13"/>
      <c r="HG118" s="13"/>
      <c r="HH118" s="13"/>
    </row>
    <row r="119" spans="1:216" ht="16.95" customHeight="1">
      <c r="A119" s="1"/>
      <c r="B119" s="3"/>
      <c r="C119" s="3"/>
      <c r="D119" s="12" t="str">
        <f ca="1">IF(FO40=0,"","Hieronder kun je dat zien bij de prijsafzetfunctie p = -2q + 8. Ga op het")</f>
        <v/>
      </c>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471"/>
      <c r="AG119" s="471"/>
      <c r="AH119" s="471"/>
      <c r="AI119" s="471"/>
      <c r="AJ119" s="471"/>
      <c r="AK119" s="471"/>
      <c r="AL119" s="471"/>
      <c r="AM119" s="471"/>
      <c r="AN119" s="471"/>
      <c r="AO119" s="471"/>
      <c r="AP119" s="471"/>
      <c r="AQ119" s="471"/>
      <c r="AR119" s="471"/>
      <c r="AS119" s="471"/>
      <c r="AT119" s="471"/>
      <c r="AU119" s="471"/>
      <c r="AV119" s="471"/>
      <c r="AW119" s="471"/>
      <c r="AX119" s="471"/>
      <c r="AY119" s="471"/>
      <c r="AZ119" s="471"/>
      <c r="BA119" s="471"/>
      <c r="BB119" s="471"/>
      <c r="BC119" s="471"/>
      <c r="BD119" s="471"/>
      <c r="BE119" s="471"/>
      <c r="BF119" s="471"/>
      <c r="BG119" s="471"/>
      <c r="BH119" s="471"/>
      <c r="BI119" s="471"/>
      <c r="BJ119" s="471"/>
      <c r="BK119" s="471"/>
      <c r="BL119" s="471"/>
      <c r="BM119" s="471"/>
      <c r="BN119" s="471"/>
      <c r="BO119" s="471"/>
      <c r="BP119" s="471"/>
      <c r="BQ119" s="471"/>
      <c r="BR119" s="471"/>
      <c r="BS119" s="471"/>
      <c r="BT119" s="471"/>
      <c r="BU119" s="471"/>
      <c r="BV119" s="471"/>
      <c r="BW119" s="471"/>
      <c r="BX119" s="471"/>
      <c r="BY119" s="471"/>
      <c r="BZ119" s="471"/>
      <c r="CA119" s="471"/>
      <c r="CB119" s="471"/>
      <c r="CC119" s="471"/>
      <c r="CD119" s="471"/>
      <c r="CE119" s="471"/>
      <c r="CF119" s="471"/>
      <c r="CG119" s="471"/>
      <c r="CH119" s="471"/>
      <c r="CI119" s="471"/>
      <c r="CJ119" s="471"/>
      <c r="CK119" s="471"/>
      <c r="CL119" s="471"/>
      <c r="CM119" s="471"/>
      <c r="CN119" s="471"/>
      <c r="CO119" s="471"/>
      <c r="CP119" s="471"/>
      <c r="CQ119" s="471"/>
      <c r="CR119" s="471"/>
      <c r="CS119" s="471"/>
      <c r="CT119" s="471"/>
      <c r="CU119" s="471"/>
      <c r="CV119" s="471"/>
      <c r="CW119" s="471"/>
      <c r="CX119" s="471"/>
      <c r="CY119" s="471"/>
      <c r="CZ119" s="471"/>
      <c r="DA119" s="471"/>
      <c r="DB119" s="471"/>
      <c r="DC119" s="471"/>
      <c r="DD119" s="471"/>
      <c r="DE119" s="471"/>
      <c r="DF119" s="471"/>
      <c r="DG119" s="471"/>
      <c r="DH119" s="471"/>
      <c r="DI119" s="471"/>
      <c r="DJ119" s="471"/>
      <c r="DK119" s="471"/>
      <c r="DL119" s="471"/>
      <c r="DM119" s="471"/>
      <c r="DN119" s="471"/>
      <c r="DO119" s="471"/>
      <c r="DP119" s="471"/>
      <c r="DQ119" s="471"/>
      <c r="DR119" s="471"/>
      <c r="DS119" s="471"/>
      <c r="DT119" s="471"/>
      <c r="DU119" s="471"/>
      <c r="DV119" s="471"/>
      <c r="DW119" s="471"/>
      <c r="DX119" s="471"/>
      <c r="DY119" s="471"/>
      <c r="DZ119" s="471"/>
      <c r="EA119" s="471"/>
      <c r="EB119" s="471"/>
      <c r="EC119" s="471"/>
      <c r="ED119" s="471"/>
      <c r="EE119" s="471"/>
      <c r="EF119" s="471"/>
      <c r="EG119" s="471"/>
      <c r="EH119" s="471"/>
      <c r="EI119" s="471"/>
      <c r="EJ119" s="471"/>
      <c r="EK119" s="471"/>
      <c r="EL119" s="471"/>
      <c r="EM119" s="471"/>
      <c r="EN119" s="471"/>
      <c r="EO119" s="471"/>
      <c r="EP119" s="471"/>
      <c r="EQ119" s="471"/>
      <c r="ER119" s="471"/>
      <c r="ES119" s="471"/>
      <c r="ET119" s="471"/>
      <c r="EU119" s="471"/>
      <c r="EV119" s="471"/>
      <c r="EW119" s="471"/>
      <c r="EX119" s="471"/>
      <c r="EY119" s="471"/>
      <c r="EZ119" s="471"/>
      <c r="FA119" s="471"/>
      <c r="FB119" s="471"/>
      <c r="FC119" s="471"/>
      <c r="FD119" s="471"/>
      <c r="FE119" s="471"/>
      <c r="FF119" s="471"/>
      <c r="FG119" s="471"/>
      <c r="FH119" s="471"/>
      <c r="FI119" s="471"/>
      <c r="FJ119" s="471"/>
      <c r="FK119" s="43"/>
      <c r="FL119" s="43"/>
      <c r="FM119" s="47"/>
      <c r="FN119" s="47"/>
      <c r="FO119" s="47"/>
      <c r="FP119" s="47"/>
      <c r="FQ119" s="47"/>
      <c r="FR119" s="47"/>
      <c r="FS119" s="49"/>
      <c r="FT119" s="49"/>
      <c r="FU119" s="49"/>
      <c r="FV119" s="49"/>
      <c r="FW119" s="49"/>
      <c r="FX119" s="49"/>
      <c r="FY119" s="47"/>
      <c r="FZ119" s="94"/>
      <c r="GA119" s="49"/>
      <c r="GB119" s="49"/>
      <c r="GC119" s="49"/>
      <c r="GD119" s="49"/>
      <c r="GE119" s="49"/>
      <c r="GF119" s="49"/>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13"/>
      <c r="HG119" s="13"/>
      <c r="HH119" s="13"/>
    </row>
    <row r="120" spans="1:216" ht="16.95" customHeight="1">
      <c r="A120" s="1"/>
      <c r="B120" s="3"/>
      <c r="C120" s="3"/>
      <c r="D120" s="12" t="str">
        <f ca="1">IF(FO40=0,"","zwartomrande vak staan en kies voor 1, dan 2 enzovoorts")</f>
        <v/>
      </c>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471"/>
      <c r="AG120" s="471"/>
      <c r="AH120" s="471"/>
      <c r="AI120" s="471"/>
      <c r="AJ120" s="471"/>
      <c r="AK120" s="471"/>
      <c r="AL120" s="471"/>
      <c r="AM120" s="471"/>
      <c r="AN120" s="471"/>
      <c r="AO120" s="471"/>
      <c r="AP120" s="471"/>
      <c r="AQ120" s="471"/>
      <c r="AR120" s="471"/>
      <c r="AS120" s="471"/>
      <c r="AT120" s="471"/>
      <c r="AU120" s="471"/>
      <c r="AV120" s="471"/>
      <c r="AW120" s="471"/>
      <c r="AX120" s="471"/>
      <c r="AY120" s="471"/>
      <c r="AZ120" s="471"/>
      <c r="BA120" s="471"/>
      <c r="BB120" s="471"/>
      <c r="BC120" s="471"/>
      <c r="BD120" s="471"/>
      <c r="BE120" s="471"/>
      <c r="BF120" s="471"/>
      <c r="BG120" s="471"/>
      <c r="BH120" s="471"/>
      <c r="BI120" s="471"/>
      <c r="BJ120" s="471"/>
      <c r="BK120" s="471"/>
      <c r="BL120" s="471"/>
      <c r="BM120" s="471"/>
      <c r="BN120" s="471"/>
      <c r="BO120" s="471"/>
      <c r="BP120" s="471"/>
      <c r="BQ120" s="471"/>
      <c r="BR120" s="471"/>
      <c r="BS120" s="471"/>
      <c r="BT120" s="471"/>
      <c r="BU120" s="471"/>
      <c r="BV120" s="471"/>
      <c r="BW120" s="471"/>
      <c r="BX120" s="471"/>
      <c r="BY120" s="471"/>
      <c r="BZ120" s="471"/>
      <c r="CA120" s="471"/>
      <c r="CB120" s="471"/>
      <c r="CC120" s="471"/>
      <c r="CD120" s="471"/>
      <c r="CE120" s="471"/>
      <c r="CF120" s="471"/>
      <c r="CG120" s="471"/>
      <c r="CH120" s="471"/>
      <c r="CI120" s="471"/>
      <c r="CJ120" s="471"/>
      <c r="CK120" s="471"/>
      <c r="CL120" s="471"/>
      <c r="CM120" s="471"/>
      <c r="CN120" s="471"/>
      <c r="CO120" s="471"/>
      <c r="CP120" s="471"/>
      <c r="CQ120" s="471"/>
      <c r="CR120" s="471"/>
      <c r="CS120" s="471"/>
      <c r="CT120" s="471"/>
      <c r="CU120" s="471"/>
      <c r="CV120" s="471"/>
      <c r="CW120" s="471"/>
      <c r="CX120" s="471"/>
      <c r="CY120" s="471"/>
      <c r="CZ120" s="471"/>
      <c r="DA120" s="471"/>
      <c r="DB120" s="471"/>
      <c r="DC120" s="471"/>
      <c r="DD120" s="471"/>
      <c r="DE120" s="471"/>
      <c r="DF120" s="471"/>
      <c r="DG120" s="471"/>
      <c r="DH120" s="471"/>
      <c r="DI120" s="471"/>
      <c r="DJ120" s="471"/>
      <c r="DK120" s="471"/>
      <c r="DL120" s="471"/>
      <c r="DM120" s="471"/>
      <c r="DN120" s="471"/>
      <c r="DO120" s="471"/>
      <c r="DP120" s="471"/>
      <c r="DQ120" s="471"/>
      <c r="DR120" s="471"/>
      <c r="DS120" s="471"/>
      <c r="DT120" s="471"/>
      <c r="DU120" s="471"/>
      <c r="DV120" s="471"/>
      <c r="DW120" s="471"/>
      <c r="DX120" s="471"/>
      <c r="DY120" s="471"/>
      <c r="DZ120" s="471"/>
      <c r="EA120" s="471"/>
      <c r="EB120" s="471"/>
      <c r="EC120" s="471"/>
      <c r="ED120" s="471"/>
      <c r="EE120" s="471"/>
      <c r="EF120" s="471"/>
      <c r="EG120" s="471"/>
      <c r="EH120" s="471"/>
      <c r="EI120" s="471"/>
      <c r="EJ120" s="471"/>
      <c r="EK120" s="471"/>
      <c r="EL120" s="471"/>
      <c r="EM120" s="471"/>
      <c r="EN120" s="471"/>
      <c r="EO120" s="471"/>
      <c r="EP120" s="471"/>
      <c r="EQ120" s="471"/>
      <c r="ER120" s="471"/>
      <c r="ES120" s="471"/>
      <c r="ET120" s="471"/>
      <c r="EU120" s="471"/>
      <c r="EV120" s="471"/>
      <c r="EW120" s="471"/>
      <c r="EX120" s="471"/>
      <c r="EY120" s="471"/>
      <c r="EZ120" s="471"/>
      <c r="FA120" s="471"/>
      <c r="FB120" s="471"/>
      <c r="FC120" s="471"/>
      <c r="FD120" s="471"/>
      <c r="FE120" s="471"/>
      <c r="FF120" s="471"/>
      <c r="FG120" s="471"/>
      <c r="FH120" s="471"/>
      <c r="FI120" s="471"/>
      <c r="FJ120" s="471"/>
      <c r="FK120" s="43"/>
      <c r="FL120" s="43"/>
      <c r="FM120" s="47"/>
      <c r="FN120" s="47"/>
      <c r="FO120" s="47"/>
      <c r="FP120" s="47"/>
      <c r="FQ120" s="47"/>
      <c r="FR120" s="47"/>
      <c r="FS120" s="49"/>
      <c r="FT120" s="49"/>
      <c r="FU120" s="49"/>
      <c r="FV120" s="49"/>
      <c r="FW120" s="49"/>
      <c r="FX120" s="49"/>
      <c r="FY120" s="47"/>
      <c r="FZ120" s="94"/>
      <c r="GA120" s="49"/>
      <c r="GB120" s="49"/>
      <c r="GC120" s="49"/>
      <c r="GD120" s="49"/>
      <c r="GE120" s="49"/>
      <c r="GF120" s="49"/>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13"/>
      <c r="HG120" s="13"/>
      <c r="HH120" s="13"/>
    </row>
    <row r="121" spans="1:216" ht="10.199999999999999" customHeight="1">
      <c r="A121" s="1"/>
      <c r="B121" s="3"/>
      <c r="C121" s="3"/>
      <c r="D121" s="12"/>
      <c r="E121" s="453"/>
      <c r="F121" s="453"/>
      <c r="G121" s="453"/>
      <c r="H121" s="43"/>
      <c r="I121" s="43"/>
      <c r="J121" s="43"/>
      <c r="K121" s="43"/>
      <c r="L121" s="43"/>
      <c r="M121" s="43"/>
      <c r="N121" s="43"/>
      <c r="O121" s="43"/>
      <c r="P121" s="43"/>
      <c r="Q121" s="43"/>
      <c r="R121" s="43"/>
      <c r="S121" s="43"/>
      <c r="T121" s="43"/>
      <c r="U121" s="43"/>
      <c r="V121" s="43"/>
      <c r="W121" s="43"/>
      <c r="X121" s="43"/>
      <c r="Y121" s="452"/>
      <c r="Z121" s="452"/>
      <c r="AA121" s="452"/>
      <c r="AB121" s="43"/>
      <c r="AC121" s="43"/>
      <c r="AD121" s="43"/>
      <c r="AE121" s="43"/>
      <c r="AF121" s="622" t="str">
        <f ca="1">IF(FO40=0,"",IF(FP123=1,"Als de productie 1 in plaats van 0 stuks is, kun je een prijs vragen van  -2 x 1 + 8 =
€ 6. Omdat TO van € 0 naar € 6 stijgt, is de marginale opbrengst bij 1 eenheid € 6. Kies nu voor 2.",IF(FP123=2,"Als de productie 2 in plaats van 1 stuk is, kun je een prijs vragen van  -2 x 2 + 8 =
€ 4. Omdat TO van € 6 naar € 8 stijgt, is de marginale opbrengst bij 2 eenheden € 2. Kies nu voor 3.",IF(FP123=3,"Als de productie 3 in plaats van 2 stuks is, kun je een prijs vragen van  -2 x 3 + 8 =
€ 2. Omdat TO van € 8 naar € 6 daalt, is de marginale opbrengst bij 3 eenheden -€ 2. Kies nu voor 4.",IF(FP123=4,"Als de productie 4 in plaats van 3 stuks is, wordt de prijs  -2 x 4 + 8 = € 0. Omdat TO van € 6 naar € 0 daalt, is de marginale opbrengst bij 4 eenheden dus -€ 6.","Bij een productie van 0 stuks is de prijs -2 x 0 + 8 = € 8, maar omdat je niets verkoopt, geldt TO = € 0. Vandaar dat er geen blokje te zien is.")))))</f>
        <v/>
      </c>
      <c r="AG121" s="623"/>
      <c r="AH121" s="623"/>
      <c r="AI121" s="623"/>
      <c r="AJ121" s="623"/>
      <c r="AK121" s="623"/>
      <c r="AL121" s="623"/>
      <c r="AM121" s="623"/>
      <c r="AN121" s="623"/>
      <c r="AO121" s="623"/>
      <c r="AP121" s="623"/>
      <c r="AQ121" s="623"/>
      <c r="AR121" s="623"/>
      <c r="AS121" s="623"/>
      <c r="AT121" s="623"/>
      <c r="AU121" s="623"/>
      <c r="AV121" s="623"/>
      <c r="AW121" s="623"/>
      <c r="AX121" s="623"/>
      <c r="AY121" s="623"/>
      <c r="AZ121" s="623"/>
      <c r="BA121" s="623"/>
      <c r="BB121" s="623"/>
      <c r="BC121" s="623"/>
      <c r="BD121" s="623"/>
      <c r="BE121" s="623"/>
      <c r="BF121" s="623"/>
      <c r="BG121" s="623"/>
      <c r="BH121" s="623"/>
      <c r="BI121" s="623"/>
      <c r="BJ121" s="623"/>
      <c r="BK121" s="623"/>
      <c r="BL121" s="623"/>
      <c r="BM121" s="623"/>
      <c r="BN121" s="623"/>
      <c r="BO121" s="623"/>
      <c r="BP121" s="623"/>
      <c r="BQ121" s="623"/>
      <c r="BR121" s="623"/>
      <c r="BS121" s="623"/>
      <c r="BT121" s="623"/>
      <c r="BU121" s="623"/>
      <c r="BV121" s="623"/>
      <c r="BW121" s="623"/>
      <c r="BX121" s="623"/>
      <c r="BY121" s="623"/>
      <c r="BZ121" s="623"/>
      <c r="CA121" s="623"/>
      <c r="CB121" s="623"/>
      <c r="CC121" s="623"/>
      <c r="CD121" s="623"/>
      <c r="CE121" s="623"/>
      <c r="CF121" s="623"/>
      <c r="CG121" s="623"/>
      <c r="CH121" s="623"/>
      <c r="CI121" s="623"/>
      <c r="CJ121" s="623"/>
      <c r="CK121" s="623"/>
      <c r="CL121" s="623"/>
      <c r="CM121" s="623"/>
      <c r="CN121" s="623"/>
      <c r="CO121" s="623"/>
      <c r="CP121" s="623"/>
      <c r="CQ121" s="623"/>
      <c r="CR121" s="623"/>
      <c r="CS121" s="623"/>
      <c r="CT121" s="623"/>
      <c r="CU121" s="623"/>
      <c r="CV121" s="623"/>
      <c r="CW121" s="623"/>
      <c r="CX121" s="623"/>
      <c r="CY121" s="623"/>
      <c r="CZ121" s="623"/>
      <c r="DA121" s="623"/>
      <c r="DB121" s="623"/>
      <c r="DC121" s="623"/>
      <c r="DD121" s="623"/>
      <c r="DE121" s="623"/>
      <c r="DF121" s="623"/>
      <c r="DG121" s="623"/>
      <c r="DH121" s="623"/>
      <c r="DI121" s="623"/>
      <c r="DJ121" s="623"/>
      <c r="DK121" s="623"/>
      <c r="DL121" s="623"/>
      <c r="DM121" s="623"/>
      <c r="DN121" s="623"/>
      <c r="DO121" s="623"/>
      <c r="DP121" s="623"/>
      <c r="DQ121" s="623"/>
      <c r="DR121" s="623"/>
      <c r="DS121" s="623"/>
      <c r="DT121" s="623"/>
      <c r="DU121" s="623"/>
      <c r="DV121" s="623"/>
      <c r="DW121" s="623"/>
      <c r="DX121" s="623"/>
      <c r="DY121" s="623"/>
      <c r="DZ121" s="623"/>
      <c r="EA121" s="623"/>
      <c r="EB121" s="623"/>
      <c r="EC121" s="623"/>
      <c r="ED121" s="623"/>
      <c r="EE121" s="623"/>
      <c r="EF121" s="623"/>
      <c r="EG121" s="623"/>
      <c r="EH121" s="623"/>
      <c r="EI121" s="623"/>
      <c r="EJ121" s="623"/>
      <c r="EK121" s="623"/>
      <c r="EL121" s="623"/>
      <c r="EM121" s="623"/>
      <c r="EN121" s="623"/>
      <c r="EO121" s="623"/>
      <c r="EP121" s="623"/>
      <c r="EQ121" s="623"/>
      <c r="ER121" s="623"/>
      <c r="ES121" s="623"/>
      <c r="ET121" s="623"/>
      <c r="EU121" s="623"/>
      <c r="EV121" s="623"/>
      <c r="EW121" s="623"/>
      <c r="EX121" s="623"/>
      <c r="EY121" s="623"/>
      <c r="EZ121" s="623"/>
      <c r="FA121" s="623"/>
      <c r="FB121" s="623"/>
      <c r="FC121" s="43"/>
      <c r="FD121" s="43"/>
      <c r="FE121" s="43"/>
      <c r="FF121" s="43"/>
      <c r="FG121" s="43"/>
      <c r="FH121" s="351"/>
      <c r="FI121" s="351"/>
      <c r="FJ121" s="351"/>
      <c r="FK121" s="351"/>
      <c r="FL121" s="351"/>
      <c r="FM121" s="93"/>
      <c r="FN121" s="93"/>
      <c r="FO121" s="93"/>
      <c r="FP121" s="170"/>
      <c r="FQ121" s="170"/>
      <c r="FR121" s="170"/>
      <c r="FS121" s="170"/>
      <c r="FT121" s="170"/>
      <c r="FU121" s="170"/>
      <c r="FV121" s="170"/>
      <c r="FW121" s="170"/>
      <c r="FX121" s="49"/>
      <c r="FY121" s="49"/>
      <c r="FZ121" s="49"/>
      <c r="GA121" s="49"/>
      <c r="GB121" s="49"/>
      <c r="GC121" s="49"/>
      <c r="GD121" s="49"/>
      <c r="GE121" s="49"/>
      <c r="GF121" s="49"/>
      <c r="GG121" s="49"/>
      <c r="GH121" s="49"/>
      <c r="GI121" s="49"/>
      <c r="GJ121" s="49"/>
      <c r="GK121" s="49"/>
      <c r="GL121" s="49"/>
      <c r="GM121" s="49"/>
      <c r="GN121" s="49"/>
      <c r="GO121" s="49"/>
      <c r="GP121" s="49"/>
      <c r="GQ121" s="338"/>
      <c r="GR121" s="338"/>
      <c r="GS121" s="338"/>
      <c r="GT121" s="338"/>
      <c r="GU121" s="338"/>
      <c r="GV121" s="338"/>
      <c r="GW121" s="48"/>
      <c r="GX121" s="48"/>
      <c r="GY121" s="48"/>
      <c r="GZ121" s="48"/>
      <c r="HA121" s="48"/>
      <c r="HB121" s="48"/>
      <c r="HC121" s="48"/>
      <c r="HD121" s="48"/>
      <c r="HE121" s="48"/>
    </row>
    <row r="122" spans="1:216" ht="3.75" customHeight="1">
      <c r="A122" s="1"/>
      <c r="B122" s="3"/>
      <c r="C122" s="3"/>
      <c r="D122" s="12"/>
      <c r="E122" s="453"/>
      <c r="F122" s="453"/>
      <c r="G122" s="453"/>
      <c r="H122" s="43"/>
      <c r="I122" s="43"/>
      <c r="J122" s="43"/>
      <c r="K122" s="43"/>
      <c r="L122" s="43"/>
      <c r="M122" s="43"/>
      <c r="N122" s="43"/>
      <c r="O122" s="43"/>
      <c r="P122" s="43"/>
      <c r="Q122" s="43"/>
      <c r="R122" s="43"/>
      <c r="S122" s="43"/>
      <c r="T122" s="43"/>
      <c r="U122" s="43"/>
      <c r="V122" s="43"/>
      <c r="W122" s="545" t="str">
        <f ca="1">IF(FO40=0,"","`")</f>
        <v/>
      </c>
      <c r="X122" s="545"/>
      <c r="Y122" s="545"/>
      <c r="Z122" s="545"/>
      <c r="AA122" s="545"/>
      <c r="AB122" s="545"/>
      <c r="AC122" s="545"/>
      <c r="AD122" s="43"/>
      <c r="AE122" s="43"/>
      <c r="AF122" s="623"/>
      <c r="AG122" s="623"/>
      <c r="AH122" s="623"/>
      <c r="AI122" s="623"/>
      <c r="AJ122" s="623"/>
      <c r="AK122" s="623"/>
      <c r="AL122" s="623"/>
      <c r="AM122" s="623"/>
      <c r="AN122" s="623"/>
      <c r="AO122" s="623"/>
      <c r="AP122" s="623"/>
      <c r="AQ122" s="623"/>
      <c r="AR122" s="623"/>
      <c r="AS122" s="623"/>
      <c r="AT122" s="623"/>
      <c r="AU122" s="623"/>
      <c r="AV122" s="623"/>
      <c r="AW122" s="623"/>
      <c r="AX122" s="623"/>
      <c r="AY122" s="623"/>
      <c r="AZ122" s="623"/>
      <c r="BA122" s="623"/>
      <c r="BB122" s="623"/>
      <c r="BC122" s="623"/>
      <c r="BD122" s="623"/>
      <c r="BE122" s="623"/>
      <c r="BF122" s="623"/>
      <c r="BG122" s="623"/>
      <c r="BH122" s="623"/>
      <c r="BI122" s="623"/>
      <c r="BJ122" s="623"/>
      <c r="BK122" s="623"/>
      <c r="BL122" s="623"/>
      <c r="BM122" s="623"/>
      <c r="BN122" s="623"/>
      <c r="BO122" s="623"/>
      <c r="BP122" s="623"/>
      <c r="BQ122" s="623"/>
      <c r="BR122" s="623"/>
      <c r="BS122" s="623"/>
      <c r="BT122" s="623"/>
      <c r="BU122" s="623"/>
      <c r="BV122" s="623"/>
      <c r="BW122" s="623"/>
      <c r="BX122" s="623"/>
      <c r="BY122" s="623"/>
      <c r="BZ122" s="623"/>
      <c r="CA122" s="623"/>
      <c r="CB122" s="623"/>
      <c r="CC122" s="623"/>
      <c r="CD122" s="623"/>
      <c r="CE122" s="623"/>
      <c r="CF122" s="623"/>
      <c r="CG122" s="623"/>
      <c r="CH122" s="623"/>
      <c r="CI122" s="623"/>
      <c r="CJ122" s="623"/>
      <c r="CK122" s="623"/>
      <c r="CL122" s="623"/>
      <c r="CM122" s="623"/>
      <c r="CN122" s="623"/>
      <c r="CO122" s="623"/>
      <c r="CP122" s="623"/>
      <c r="CQ122" s="623"/>
      <c r="CR122" s="623"/>
      <c r="CS122" s="623"/>
      <c r="CT122" s="623"/>
      <c r="CU122" s="623"/>
      <c r="CV122" s="623"/>
      <c r="CW122" s="623"/>
      <c r="CX122" s="623"/>
      <c r="CY122" s="623"/>
      <c r="CZ122" s="623"/>
      <c r="DA122" s="623"/>
      <c r="DB122" s="623"/>
      <c r="DC122" s="623"/>
      <c r="DD122" s="623"/>
      <c r="DE122" s="623"/>
      <c r="DF122" s="623"/>
      <c r="DG122" s="623"/>
      <c r="DH122" s="623"/>
      <c r="DI122" s="623"/>
      <c r="DJ122" s="623"/>
      <c r="DK122" s="623"/>
      <c r="DL122" s="623"/>
      <c r="DM122" s="623"/>
      <c r="DN122" s="623"/>
      <c r="DO122" s="623"/>
      <c r="DP122" s="623"/>
      <c r="DQ122" s="623"/>
      <c r="DR122" s="623"/>
      <c r="DS122" s="623"/>
      <c r="DT122" s="623"/>
      <c r="DU122" s="623"/>
      <c r="DV122" s="623"/>
      <c r="DW122" s="623"/>
      <c r="DX122" s="623"/>
      <c r="DY122" s="623"/>
      <c r="DZ122" s="623"/>
      <c r="EA122" s="623"/>
      <c r="EB122" s="623"/>
      <c r="EC122" s="623"/>
      <c r="ED122" s="623"/>
      <c r="EE122" s="623"/>
      <c r="EF122" s="623"/>
      <c r="EG122" s="623"/>
      <c r="EH122" s="623"/>
      <c r="EI122" s="623"/>
      <c r="EJ122" s="623"/>
      <c r="EK122" s="623"/>
      <c r="EL122" s="623"/>
      <c r="EM122" s="623"/>
      <c r="EN122" s="623"/>
      <c r="EO122" s="623"/>
      <c r="EP122" s="623"/>
      <c r="EQ122" s="623"/>
      <c r="ER122" s="623"/>
      <c r="ES122" s="623"/>
      <c r="ET122" s="623"/>
      <c r="EU122" s="623"/>
      <c r="EV122" s="623"/>
      <c r="EW122" s="623"/>
      <c r="EX122" s="623"/>
      <c r="EY122" s="623"/>
      <c r="EZ122" s="623"/>
      <c r="FA122" s="623"/>
      <c r="FB122" s="623"/>
      <c r="FC122" s="43"/>
      <c r="FD122" s="43"/>
      <c r="FE122" s="43"/>
      <c r="FF122" s="43"/>
      <c r="FG122" s="43"/>
      <c r="FH122" s="351"/>
      <c r="FI122" s="351"/>
      <c r="FJ122" s="351"/>
      <c r="FK122" s="351"/>
      <c r="FL122" s="351"/>
      <c r="FM122" s="93"/>
      <c r="FN122" s="93"/>
      <c r="FO122" s="93"/>
      <c r="FP122" s="170"/>
      <c r="FQ122" s="170"/>
      <c r="FR122" s="170"/>
      <c r="FS122" s="170"/>
      <c r="FT122" s="170"/>
      <c r="FU122" s="170"/>
      <c r="FV122" s="170"/>
      <c r="FW122" s="170"/>
      <c r="FX122" s="49"/>
      <c r="FY122" s="49"/>
      <c r="FZ122" s="49"/>
      <c r="GA122" s="49"/>
      <c r="GB122" s="49"/>
      <c r="GC122" s="49"/>
      <c r="GD122" s="49"/>
      <c r="GE122" s="49"/>
      <c r="GF122" s="49"/>
      <c r="GG122" s="49"/>
      <c r="GH122" s="49"/>
      <c r="GI122" s="49"/>
      <c r="GJ122" s="49"/>
      <c r="GK122" s="49"/>
      <c r="GL122" s="49"/>
      <c r="GM122" s="49"/>
      <c r="GN122" s="49"/>
      <c r="GO122" s="49"/>
      <c r="GP122" s="49"/>
      <c r="GQ122" s="338"/>
      <c r="GR122" s="338"/>
      <c r="GS122" s="338"/>
      <c r="GT122" s="338"/>
      <c r="GU122" s="338"/>
      <c r="GV122" s="338"/>
      <c r="GW122" s="48"/>
      <c r="GX122" s="48"/>
      <c r="GY122" s="48"/>
      <c r="GZ122" s="48"/>
      <c r="HA122" s="48"/>
      <c r="HB122" s="48"/>
      <c r="HC122" s="48"/>
      <c r="HD122" s="48"/>
      <c r="HE122" s="48"/>
    </row>
    <row r="123" spans="1:216" ht="16.5" customHeight="1">
      <c r="A123" s="1"/>
      <c r="B123" s="3"/>
      <c r="C123" s="3"/>
      <c r="D123" s="12"/>
      <c r="E123" s="453"/>
      <c r="F123" s="453"/>
      <c r="G123" s="453"/>
      <c r="H123" s="43"/>
      <c r="I123" s="43"/>
      <c r="J123" s="43"/>
      <c r="K123" s="43"/>
      <c r="L123" s="43"/>
      <c r="M123" s="43"/>
      <c r="N123" s="43"/>
      <c r="O123" s="43"/>
      <c r="P123" s="43"/>
      <c r="Q123" s="43"/>
      <c r="R123" s="43"/>
      <c r="S123" s="43"/>
      <c r="T123" s="43"/>
      <c r="U123" s="43"/>
      <c r="V123" s="43"/>
      <c r="W123" s="43" t="str">
        <f ca="1">IF(FO40=0,"","`")</f>
        <v/>
      </c>
      <c r="X123" s="610"/>
      <c r="Y123" s="610"/>
      <c r="Z123" s="610"/>
      <c r="AA123" s="610"/>
      <c r="AB123" s="610"/>
      <c r="AC123" s="156" t="str">
        <f ca="1">IF(FO40=0,"","`")</f>
        <v/>
      </c>
      <c r="AD123" s="43"/>
      <c r="AE123" s="43"/>
      <c r="AF123" s="623"/>
      <c r="AG123" s="623"/>
      <c r="AH123" s="623"/>
      <c r="AI123" s="623"/>
      <c r="AJ123" s="623"/>
      <c r="AK123" s="623"/>
      <c r="AL123" s="623"/>
      <c r="AM123" s="623"/>
      <c r="AN123" s="623"/>
      <c r="AO123" s="623"/>
      <c r="AP123" s="623"/>
      <c r="AQ123" s="623"/>
      <c r="AR123" s="623"/>
      <c r="AS123" s="623"/>
      <c r="AT123" s="623"/>
      <c r="AU123" s="623"/>
      <c r="AV123" s="623"/>
      <c r="AW123" s="623"/>
      <c r="AX123" s="623"/>
      <c r="AY123" s="623"/>
      <c r="AZ123" s="623"/>
      <c r="BA123" s="623"/>
      <c r="BB123" s="623"/>
      <c r="BC123" s="623"/>
      <c r="BD123" s="623"/>
      <c r="BE123" s="623"/>
      <c r="BF123" s="623"/>
      <c r="BG123" s="623"/>
      <c r="BH123" s="623"/>
      <c r="BI123" s="623"/>
      <c r="BJ123" s="623"/>
      <c r="BK123" s="623"/>
      <c r="BL123" s="623"/>
      <c r="BM123" s="623"/>
      <c r="BN123" s="623"/>
      <c r="BO123" s="623"/>
      <c r="BP123" s="623"/>
      <c r="BQ123" s="623"/>
      <c r="BR123" s="623"/>
      <c r="BS123" s="623"/>
      <c r="BT123" s="623"/>
      <c r="BU123" s="623"/>
      <c r="BV123" s="623"/>
      <c r="BW123" s="623"/>
      <c r="BX123" s="623"/>
      <c r="BY123" s="623"/>
      <c r="BZ123" s="623"/>
      <c r="CA123" s="623"/>
      <c r="CB123" s="623"/>
      <c r="CC123" s="623"/>
      <c r="CD123" s="623"/>
      <c r="CE123" s="623"/>
      <c r="CF123" s="623"/>
      <c r="CG123" s="623"/>
      <c r="CH123" s="623"/>
      <c r="CI123" s="623"/>
      <c r="CJ123" s="623"/>
      <c r="CK123" s="623"/>
      <c r="CL123" s="623"/>
      <c r="CM123" s="623"/>
      <c r="CN123" s="623"/>
      <c r="CO123" s="623"/>
      <c r="CP123" s="623"/>
      <c r="CQ123" s="623"/>
      <c r="CR123" s="623"/>
      <c r="CS123" s="623"/>
      <c r="CT123" s="623"/>
      <c r="CU123" s="623"/>
      <c r="CV123" s="623"/>
      <c r="CW123" s="623"/>
      <c r="CX123" s="623"/>
      <c r="CY123" s="623"/>
      <c r="CZ123" s="623"/>
      <c r="DA123" s="623"/>
      <c r="DB123" s="623"/>
      <c r="DC123" s="623"/>
      <c r="DD123" s="623"/>
      <c r="DE123" s="623"/>
      <c r="DF123" s="623"/>
      <c r="DG123" s="623"/>
      <c r="DH123" s="623"/>
      <c r="DI123" s="623"/>
      <c r="DJ123" s="623"/>
      <c r="DK123" s="623"/>
      <c r="DL123" s="623"/>
      <c r="DM123" s="623"/>
      <c r="DN123" s="623"/>
      <c r="DO123" s="623"/>
      <c r="DP123" s="623"/>
      <c r="DQ123" s="623"/>
      <c r="DR123" s="623"/>
      <c r="DS123" s="623"/>
      <c r="DT123" s="623"/>
      <c r="DU123" s="623"/>
      <c r="DV123" s="623"/>
      <c r="DW123" s="623"/>
      <c r="DX123" s="623"/>
      <c r="DY123" s="623"/>
      <c r="DZ123" s="623"/>
      <c r="EA123" s="623"/>
      <c r="EB123" s="623"/>
      <c r="EC123" s="623"/>
      <c r="ED123" s="623"/>
      <c r="EE123" s="623"/>
      <c r="EF123" s="623"/>
      <c r="EG123" s="623"/>
      <c r="EH123" s="623"/>
      <c r="EI123" s="623"/>
      <c r="EJ123" s="623"/>
      <c r="EK123" s="623"/>
      <c r="EL123" s="623"/>
      <c r="EM123" s="623"/>
      <c r="EN123" s="623"/>
      <c r="EO123" s="623"/>
      <c r="EP123" s="623"/>
      <c r="EQ123" s="623"/>
      <c r="ER123" s="623"/>
      <c r="ES123" s="623"/>
      <c r="ET123" s="623"/>
      <c r="EU123" s="623"/>
      <c r="EV123" s="623"/>
      <c r="EW123" s="623"/>
      <c r="EX123" s="623"/>
      <c r="EY123" s="623"/>
      <c r="EZ123" s="623"/>
      <c r="FA123" s="623"/>
      <c r="FB123" s="623"/>
      <c r="FC123" s="43"/>
      <c r="FD123" s="43"/>
      <c r="FE123" s="43"/>
      <c r="FF123" s="43"/>
      <c r="FG123" s="43"/>
      <c r="FH123" s="351"/>
      <c r="FI123" s="351"/>
      <c r="FJ123" s="351"/>
      <c r="FK123" s="351"/>
      <c r="FL123" s="351"/>
      <c r="FM123" s="93"/>
      <c r="FN123" s="93">
        <f ca="1">IF(programma!B1="X",1,IF(FO40=0,0,IF(programma!E5="docentversie",1,IF(X123=FT123,1,0))))</f>
        <v>0</v>
      </c>
      <c r="FO123" s="93"/>
      <c r="FP123" s="170">
        <f ca="1">IF(FO40=0,0,IF(X123="",0,X123))</f>
        <v>0</v>
      </c>
      <c r="FQ123" s="170">
        <v>1</v>
      </c>
      <c r="FR123" s="170">
        <v>2</v>
      </c>
      <c r="FS123" s="170">
        <v>3</v>
      </c>
      <c r="FT123" s="170">
        <v>4</v>
      </c>
      <c r="FU123" s="170"/>
      <c r="FV123" s="170"/>
      <c r="FW123" s="170"/>
      <c r="FX123" s="49"/>
      <c r="FY123" s="49"/>
      <c r="FZ123" s="49"/>
      <c r="GA123" s="49"/>
      <c r="GB123" s="49"/>
      <c r="GC123" s="49"/>
      <c r="GD123" s="49"/>
      <c r="GE123" s="49"/>
      <c r="GF123" s="49"/>
      <c r="GG123" s="49"/>
      <c r="GH123" s="49"/>
      <c r="GI123" s="49"/>
      <c r="GJ123" s="49"/>
      <c r="GK123" s="49"/>
      <c r="GL123" s="49"/>
      <c r="GM123" s="49"/>
      <c r="GN123" s="49"/>
      <c r="GO123" s="49"/>
      <c r="GP123" s="49"/>
      <c r="GQ123" s="338"/>
      <c r="GR123" s="338"/>
      <c r="GS123" s="338"/>
      <c r="GT123" s="338"/>
      <c r="GU123" s="338"/>
      <c r="GV123" s="338"/>
      <c r="GW123" s="48"/>
      <c r="GX123" s="48"/>
      <c r="GY123" s="48"/>
      <c r="GZ123" s="48"/>
      <c r="HA123" s="48"/>
      <c r="HB123" s="48"/>
      <c r="HC123" s="48"/>
      <c r="HD123" s="48"/>
      <c r="HE123" s="48"/>
    </row>
    <row r="124" spans="1:216" ht="3.75" customHeight="1">
      <c r="A124" s="1"/>
      <c r="B124" s="3"/>
      <c r="C124" s="3"/>
      <c r="D124" s="12"/>
      <c r="E124" s="453"/>
      <c r="F124" s="453"/>
      <c r="G124" s="453"/>
      <c r="H124" s="43"/>
      <c r="I124" s="43"/>
      <c r="J124" s="43"/>
      <c r="K124" s="43"/>
      <c r="L124" s="43"/>
      <c r="M124" s="43"/>
      <c r="N124" s="43"/>
      <c r="O124" s="43"/>
      <c r="P124" s="43"/>
      <c r="Q124" s="43"/>
      <c r="R124" s="43"/>
      <c r="S124" s="43"/>
      <c r="T124" s="43"/>
      <c r="U124" s="43"/>
      <c r="V124" s="43"/>
      <c r="W124" s="545" t="str">
        <f ca="1">IF(FO40=0,"","`")</f>
        <v/>
      </c>
      <c r="X124" s="545"/>
      <c r="Y124" s="545"/>
      <c r="Z124" s="545"/>
      <c r="AA124" s="545"/>
      <c r="AB124" s="545"/>
      <c r="AC124" s="545"/>
      <c r="AD124" s="146"/>
      <c r="AE124" s="146"/>
      <c r="AF124" s="623"/>
      <c r="AG124" s="623"/>
      <c r="AH124" s="623"/>
      <c r="AI124" s="623"/>
      <c r="AJ124" s="623"/>
      <c r="AK124" s="623"/>
      <c r="AL124" s="623"/>
      <c r="AM124" s="623"/>
      <c r="AN124" s="623"/>
      <c r="AO124" s="623"/>
      <c r="AP124" s="623"/>
      <c r="AQ124" s="623"/>
      <c r="AR124" s="623"/>
      <c r="AS124" s="623"/>
      <c r="AT124" s="623"/>
      <c r="AU124" s="623"/>
      <c r="AV124" s="623"/>
      <c r="AW124" s="623"/>
      <c r="AX124" s="623"/>
      <c r="AY124" s="623"/>
      <c r="AZ124" s="623"/>
      <c r="BA124" s="623"/>
      <c r="BB124" s="623"/>
      <c r="BC124" s="623"/>
      <c r="BD124" s="623"/>
      <c r="BE124" s="623"/>
      <c r="BF124" s="623"/>
      <c r="BG124" s="623"/>
      <c r="BH124" s="623"/>
      <c r="BI124" s="623"/>
      <c r="BJ124" s="623"/>
      <c r="BK124" s="623"/>
      <c r="BL124" s="623"/>
      <c r="BM124" s="623"/>
      <c r="BN124" s="623"/>
      <c r="BO124" s="623"/>
      <c r="BP124" s="623"/>
      <c r="BQ124" s="623"/>
      <c r="BR124" s="623"/>
      <c r="BS124" s="623"/>
      <c r="BT124" s="623"/>
      <c r="BU124" s="623"/>
      <c r="BV124" s="623"/>
      <c r="BW124" s="623"/>
      <c r="BX124" s="623"/>
      <c r="BY124" s="623"/>
      <c r="BZ124" s="623"/>
      <c r="CA124" s="623"/>
      <c r="CB124" s="623"/>
      <c r="CC124" s="623"/>
      <c r="CD124" s="623"/>
      <c r="CE124" s="623"/>
      <c r="CF124" s="623"/>
      <c r="CG124" s="623"/>
      <c r="CH124" s="623"/>
      <c r="CI124" s="623"/>
      <c r="CJ124" s="623"/>
      <c r="CK124" s="623"/>
      <c r="CL124" s="623"/>
      <c r="CM124" s="623"/>
      <c r="CN124" s="623"/>
      <c r="CO124" s="623"/>
      <c r="CP124" s="623"/>
      <c r="CQ124" s="623"/>
      <c r="CR124" s="623"/>
      <c r="CS124" s="623"/>
      <c r="CT124" s="623"/>
      <c r="CU124" s="623"/>
      <c r="CV124" s="623"/>
      <c r="CW124" s="623"/>
      <c r="CX124" s="623"/>
      <c r="CY124" s="623"/>
      <c r="CZ124" s="623"/>
      <c r="DA124" s="623"/>
      <c r="DB124" s="623"/>
      <c r="DC124" s="623"/>
      <c r="DD124" s="623"/>
      <c r="DE124" s="623"/>
      <c r="DF124" s="623"/>
      <c r="DG124" s="623"/>
      <c r="DH124" s="623"/>
      <c r="DI124" s="623"/>
      <c r="DJ124" s="623"/>
      <c r="DK124" s="623"/>
      <c r="DL124" s="623"/>
      <c r="DM124" s="623"/>
      <c r="DN124" s="623"/>
      <c r="DO124" s="623"/>
      <c r="DP124" s="623"/>
      <c r="DQ124" s="623"/>
      <c r="DR124" s="623"/>
      <c r="DS124" s="623"/>
      <c r="DT124" s="623"/>
      <c r="DU124" s="623"/>
      <c r="DV124" s="623"/>
      <c r="DW124" s="623"/>
      <c r="DX124" s="623"/>
      <c r="DY124" s="623"/>
      <c r="DZ124" s="623"/>
      <c r="EA124" s="623"/>
      <c r="EB124" s="623"/>
      <c r="EC124" s="623"/>
      <c r="ED124" s="623"/>
      <c r="EE124" s="623"/>
      <c r="EF124" s="623"/>
      <c r="EG124" s="623"/>
      <c r="EH124" s="623"/>
      <c r="EI124" s="623"/>
      <c r="EJ124" s="623"/>
      <c r="EK124" s="623"/>
      <c r="EL124" s="623"/>
      <c r="EM124" s="623"/>
      <c r="EN124" s="623"/>
      <c r="EO124" s="623"/>
      <c r="EP124" s="623"/>
      <c r="EQ124" s="623"/>
      <c r="ER124" s="623"/>
      <c r="ES124" s="623"/>
      <c r="ET124" s="623"/>
      <c r="EU124" s="623"/>
      <c r="EV124" s="623"/>
      <c r="EW124" s="623"/>
      <c r="EX124" s="623"/>
      <c r="EY124" s="623"/>
      <c r="EZ124" s="623"/>
      <c r="FA124" s="623"/>
      <c r="FB124" s="623"/>
      <c r="FC124" s="43"/>
      <c r="FD124" s="43"/>
      <c r="FE124" s="43"/>
      <c r="FF124" s="43"/>
      <c r="FG124" s="43"/>
      <c r="FH124" s="351"/>
      <c r="FI124" s="351"/>
      <c r="FJ124" s="351"/>
      <c r="FK124" s="351"/>
      <c r="FL124" s="351"/>
      <c r="FM124" s="93"/>
      <c r="FN124" s="93"/>
      <c r="FO124" s="93"/>
      <c r="FP124" s="170"/>
      <c r="FQ124" s="170"/>
      <c r="FR124" s="170"/>
      <c r="FS124" s="170"/>
      <c r="FT124" s="170"/>
      <c r="FU124" s="170"/>
      <c r="FV124" s="170"/>
      <c r="FW124" s="170"/>
      <c r="FX124" s="49"/>
      <c r="FY124" s="49"/>
      <c r="FZ124" s="49"/>
      <c r="GA124" s="49"/>
      <c r="GB124" s="49"/>
      <c r="GC124" s="49"/>
      <c r="GD124" s="49"/>
      <c r="GE124" s="49"/>
      <c r="GF124" s="49"/>
      <c r="GG124" s="49"/>
      <c r="GH124" s="49"/>
      <c r="GI124" s="49"/>
      <c r="GJ124" s="49"/>
      <c r="GK124" s="49"/>
      <c r="GL124" s="49"/>
      <c r="GM124" s="49"/>
      <c r="GN124" s="49"/>
      <c r="GO124" s="49"/>
      <c r="GP124" s="49"/>
      <c r="GQ124" s="338"/>
      <c r="GR124" s="338"/>
      <c r="GS124" s="338"/>
      <c r="GT124" s="338"/>
      <c r="GU124" s="338"/>
      <c r="GV124" s="338"/>
      <c r="GW124" s="48"/>
      <c r="GX124" s="48"/>
      <c r="GY124" s="48"/>
      <c r="GZ124" s="48"/>
      <c r="HA124" s="48"/>
      <c r="HB124" s="48"/>
      <c r="HC124" s="48"/>
      <c r="HD124" s="48"/>
      <c r="HE124" s="48"/>
    </row>
    <row r="125" spans="1:216" ht="16.95" customHeight="1">
      <c r="A125" s="1"/>
      <c r="B125" s="3"/>
      <c r="C125" s="3"/>
      <c r="D125" s="12"/>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623"/>
      <c r="AG125" s="623"/>
      <c r="AH125" s="623"/>
      <c r="AI125" s="623"/>
      <c r="AJ125" s="623"/>
      <c r="AK125" s="623"/>
      <c r="AL125" s="623"/>
      <c r="AM125" s="623"/>
      <c r="AN125" s="623"/>
      <c r="AO125" s="623"/>
      <c r="AP125" s="623"/>
      <c r="AQ125" s="623"/>
      <c r="AR125" s="623"/>
      <c r="AS125" s="623"/>
      <c r="AT125" s="623"/>
      <c r="AU125" s="623"/>
      <c r="AV125" s="623"/>
      <c r="AW125" s="623"/>
      <c r="AX125" s="623"/>
      <c r="AY125" s="623"/>
      <c r="AZ125" s="623"/>
      <c r="BA125" s="623"/>
      <c r="BB125" s="623"/>
      <c r="BC125" s="623"/>
      <c r="BD125" s="623"/>
      <c r="BE125" s="623"/>
      <c r="BF125" s="623"/>
      <c r="BG125" s="623"/>
      <c r="BH125" s="623"/>
      <c r="BI125" s="623"/>
      <c r="BJ125" s="623"/>
      <c r="BK125" s="623"/>
      <c r="BL125" s="623"/>
      <c r="BM125" s="623"/>
      <c r="BN125" s="623"/>
      <c r="BO125" s="623"/>
      <c r="BP125" s="623"/>
      <c r="BQ125" s="623"/>
      <c r="BR125" s="623"/>
      <c r="BS125" s="623"/>
      <c r="BT125" s="623"/>
      <c r="BU125" s="623"/>
      <c r="BV125" s="623"/>
      <c r="BW125" s="623"/>
      <c r="BX125" s="623"/>
      <c r="BY125" s="623"/>
      <c r="BZ125" s="623"/>
      <c r="CA125" s="623"/>
      <c r="CB125" s="623"/>
      <c r="CC125" s="623"/>
      <c r="CD125" s="623"/>
      <c r="CE125" s="623"/>
      <c r="CF125" s="623"/>
      <c r="CG125" s="623"/>
      <c r="CH125" s="623"/>
      <c r="CI125" s="623"/>
      <c r="CJ125" s="623"/>
      <c r="CK125" s="623"/>
      <c r="CL125" s="623"/>
      <c r="CM125" s="623"/>
      <c r="CN125" s="623"/>
      <c r="CO125" s="623"/>
      <c r="CP125" s="623"/>
      <c r="CQ125" s="623"/>
      <c r="CR125" s="623"/>
      <c r="CS125" s="623"/>
      <c r="CT125" s="623"/>
      <c r="CU125" s="623"/>
      <c r="CV125" s="623"/>
      <c r="CW125" s="623"/>
      <c r="CX125" s="623"/>
      <c r="CY125" s="623"/>
      <c r="CZ125" s="623"/>
      <c r="DA125" s="623"/>
      <c r="DB125" s="623"/>
      <c r="DC125" s="623"/>
      <c r="DD125" s="623"/>
      <c r="DE125" s="623"/>
      <c r="DF125" s="623"/>
      <c r="DG125" s="623"/>
      <c r="DH125" s="623"/>
      <c r="DI125" s="623"/>
      <c r="DJ125" s="623"/>
      <c r="DK125" s="623"/>
      <c r="DL125" s="623"/>
      <c r="DM125" s="623"/>
      <c r="DN125" s="623"/>
      <c r="DO125" s="623"/>
      <c r="DP125" s="623"/>
      <c r="DQ125" s="623"/>
      <c r="DR125" s="623"/>
      <c r="DS125" s="623"/>
      <c r="DT125" s="623"/>
      <c r="DU125" s="623"/>
      <c r="DV125" s="623"/>
      <c r="DW125" s="623"/>
      <c r="DX125" s="623"/>
      <c r="DY125" s="623"/>
      <c r="DZ125" s="623"/>
      <c r="EA125" s="623"/>
      <c r="EB125" s="623"/>
      <c r="EC125" s="623"/>
      <c r="ED125" s="623"/>
      <c r="EE125" s="623"/>
      <c r="EF125" s="623"/>
      <c r="EG125" s="623"/>
      <c r="EH125" s="623"/>
      <c r="EI125" s="623"/>
      <c r="EJ125" s="623"/>
      <c r="EK125" s="623"/>
      <c r="EL125" s="623"/>
      <c r="EM125" s="623"/>
      <c r="EN125" s="623"/>
      <c r="EO125" s="623"/>
      <c r="EP125" s="623"/>
      <c r="EQ125" s="623"/>
      <c r="ER125" s="623"/>
      <c r="ES125" s="623"/>
      <c r="ET125" s="623"/>
      <c r="EU125" s="623"/>
      <c r="EV125" s="623"/>
      <c r="EW125" s="623"/>
      <c r="EX125" s="623"/>
      <c r="EY125" s="623"/>
      <c r="EZ125" s="623"/>
      <c r="FA125" s="623"/>
      <c r="FB125" s="623"/>
      <c r="FC125" s="454"/>
      <c r="FD125" s="454"/>
      <c r="FE125" s="454"/>
      <c r="FF125" s="450"/>
      <c r="FG125" s="43"/>
      <c r="FH125" s="351"/>
      <c r="FI125" s="351"/>
      <c r="FJ125" s="351"/>
      <c r="FK125" s="351"/>
      <c r="FL125" s="351"/>
      <c r="FM125" s="93"/>
      <c r="FN125" s="93"/>
      <c r="FO125" s="451"/>
      <c r="FP125" s="451"/>
      <c r="FQ125" s="116"/>
      <c r="FR125" s="116"/>
      <c r="FS125" s="338"/>
      <c r="FT125" s="338"/>
      <c r="FU125" s="338"/>
      <c r="FV125" s="338"/>
      <c r="FW125" s="338"/>
      <c r="FX125" s="49"/>
      <c r="FY125" s="49"/>
      <c r="FZ125" s="49"/>
      <c r="GA125" s="49"/>
      <c r="GB125" s="49"/>
      <c r="GC125" s="49"/>
      <c r="GD125" s="49"/>
      <c r="GE125" s="49"/>
      <c r="GF125" s="49"/>
      <c r="GG125" s="49"/>
      <c r="GH125" s="49"/>
      <c r="GI125" s="49"/>
      <c r="GJ125" s="49"/>
      <c r="GK125" s="49"/>
      <c r="GL125" s="49"/>
      <c r="GM125" s="49"/>
      <c r="GN125" s="49"/>
      <c r="GO125" s="49"/>
      <c r="GP125" s="49"/>
      <c r="GQ125" s="338"/>
      <c r="GR125" s="338"/>
      <c r="GS125" s="338"/>
      <c r="GT125" s="338"/>
      <c r="GU125" s="338"/>
      <c r="GV125" s="338"/>
      <c r="GW125" s="48"/>
      <c r="GX125" s="48"/>
      <c r="GY125" s="48"/>
      <c r="GZ125" s="48"/>
      <c r="HA125" s="48"/>
      <c r="HB125" s="48"/>
      <c r="HC125" s="48"/>
      <c r="HD125" s="48"/>
      <c r="HE125" s="48"/>
    </row>
    <row r="126" spans="1:216" ht="27.6" customHeight="1">
      <c r="A126" s="1"/>
      <c r="B126" s="3"/>
      <c r="C126" s="3"/>
      <c r="D126" s="12"/>
      <c r="E126" s="10"/>
      <c r="F126" s="10"/>
      <c r="G126" s="10"/>
      <c r="H126" s="10"/>
      <c r="I126" s="10"/>
      <c r="J126" s="10"/>
      <c r="K126" s="10"/>
      <c r="L126" s="10"/>
      <c r="M126" s="10"/>
      <c r="N126" s="10"/>
      <c r="O126" s="10"/>
      <c r="P126" s="10"/>
      <c r="Q126" s="10"/>
      <c r="R126" s="10"/>
      <c r="S126" s="10"/>
      <c r="T126" s="454"/>
      <c r="U126" s="454"/>
      <c r="V126" s="454"/>
      <c r="W126" s="454"/>
      <c r="X126" s="454"/>
      <c r="Y126" s="454"/>
      <c r="Z126" s="454"/>
      <c r="AU126" s="454"/>
      <c r="AV126" s="454"/>
      <c r="AW126" s="454"/>
      <c r="AX126" s="454"/>
      <c r="AY126" s="454"/>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4" t="str">
        <f ca="1">IF(FP123&gt;=2,"TO = 2 x € 4 = € 8","")</f>
        <v/>
      </c>
      <c r="CH126" s="463"/>
      <c r="CI126" s="463"/>
      <c r="CJ126" s="463"/>
      <c r="CK126" s="463"/>
      <c r="CL126" s="463"/>
      <c r="CM126" s="463"/>
      <c r="CN126" s="463"/>
      <c r="CO126" s="463"/>
      <c r="CP126" s="463"/>
      <c r="CQ126" s="463"/>
      <c r="CR126" s="463"/>
      <c r="CY126" s="454"/>
      <c r="CZ126" s="454"/>
      <c r="DA126" s="454"/>
      <c r="DB126" s="454"/>
      <c r="DC126" s="454"/>
      <c r="DD126" s="454"/>
      <c r="DE126" s="454"/>
      <c r="DF126" s="454"/>
      <c r="DG126" s="454"/>
      <c r="DH126" s="454"/>
      <c r="DI126" s="454"/>
      <c r="DJ126" s="464" t="str">
        <f ca="1">IF(FP123&gt;=3,"TO = 3 x € 2 = € 6","")</f>
        <v/>
      </c>
      <c r="DK126" s="454"/>
      <c r="DL126" s="454"/>
      <c r="DM126" s="454"/>
      <c r="DN126" s="454"/>
      <c r="DO126" s="454"/>
      <c r="DP126" s="454"/>
      <c r="DQ126" s="454"/>
      <c r="DR126" s="454"/>
      <c r="DS126" s="454"/>
      <c r="DT126" s="454"/>
      <c r="DU126" s="454"/>
      <c r="DV126" s="454"/>
      <c r="DW126" s="463"/>
      <c r="DX126" s="463"/>
      <c r="DY126" s="463"/>
      <c r="DZ126" s="463"/>
      <c r="EA126" s="463"/>
      <c r="EB126" s="463"/>
      <c r="EC126" s="463"/>
      <c r="ED126" s="463"/>
      <c r="EE126" s="463"/>
      <c r="EF126" s="463"/>
      <c r="EG126" s="463"/>
      <c r="EH126" s="463"/>
      <c r="EI126" s="454"/>
      <c r="EJ126" s="454"/>
      <c r="EK126" s="454"/>
      <c r="EL126" s="454"/>
      <c r="EV126" s="463"/>
      <c r="EW126" s="463"/>
      <c r="EX126" s="463"/>
      <c r="EY126" s="463"/>
      <c r="EZ126" s="463"/>
      <c r="FA126" s="463"/>
      <c r="FB126" s="463"/>
      <c r="FC126" s="454"/>
      <c r="FD126" s="454"/>
      <c r="FE126" s="454"/>
      <c r="FF126" s="450"/>
      <c r="FG126" s="43"/>
      <c r="FH126" s="351"/>
      <c r="FI126" s="351"/>
      <c r="FJ126" s="351"/>
      <c r="FK126" s="351"/>
      <c r="FL126" s="351"/>
      <c r="FM126" s="93"/>
      <c r="FN126" s="93"/>
      <c r="FO126" s="451"/>
      <c r="FP126" s="451"/>
      <c r="FQ126" s="116"/>
      <c r="FR126" s="116"/>
      <c r="FS126" s="338"/>
      <c r="FT126" s="338"/>
      <c r="FU126" s="338"/>
      <c r="FV126" s="338"/>
      <c r="FW126" s="338"/>
      <c r="FX126" s="49"/>
      <c r="FY126" s="49"/>
      <c r="FZ126" s="49"/>
      <c r="GA126" s="49"/>
      <c r="GB126" s="49"/>
      <c r="GC126" s="49"/>
      <c r="GD126" s="49"/>
      <c r="GE126" s="49"/>
      <c r="GF126" s="49"/>
      <c r="GG126" s="49"/>
      <c r="GH126" s="49"/>
      <c r="GI126" s="49"/>
      <c r="GJ126" s="49"/>
      <c r="GK126" s="49"/>
      <c r="GL126" s="49"/>
      <c r="GM126" s="49"/>
      <c r="GN126" s="49"/>
      <c r="GO126" s="49"/>
      <c r="GP126" s="49"/>
      <c r="GQ126" s="338"/>
      <c r="GR126" s="338"/>
      <c r="GS126" s="338"/>
      <c r="GT126" s="338"/>
      <c r="GU126" s="338"/>
      <c r="GV126" s="338"/>
      <c r="GW126" s="48"/>
      <c r="GX126" s="48"/>
      <c r="GY126" s="48"/>
      <c r="GZ126" s="48"/>
      <c r="HA126" s="48"/>
      <c r="HB126" s="48"/>
      <c r="HC126" s="48"/>
      <c r="HD126" s="48"/>
      <c r="HE126" s="48"/>
    </row>
    <row r="127" spans="1:216" ht="15" customHeight="1">
      <c r="A127" s="1"/>
      <c r="B127" s="3"/>
      <c r="C127" s="3"/>
      <c r="D127" s="12"/>
      <c r="E127" s="10"/>
      <c r="F127" s="10"/>
      <c r="G127" s="10"/>
      <c r="T127" s="351"/>
      <c r="U127" s="351"/>
      <c r="V127" s="351"/>
      <c r="W127" s="351"/>
      <c r="X127" s="351"/>
      <c r="Y127" s="351"/>
      <c r="Z127" s="454"/>
      <c r="AU127" s="454"/>
      <c r="AV127" s="454"/>
      <c r="AW127" s="454"/>
      <c r="AX127" s="454"/>
      <c r="AY127" s="454"/>
      <c r="AZ127" s="351"/>
      <c r="BA127" s="351"/>
      <c r="BB127" s="351"/>
      <c r="BC127" s="464" t="str">
        <f ca="1">IF(FP123&gt;=1,"TO = 1 x € 6 = € 6","")</f>
        <v/>
      </c>
      <c r="BE127" s="351"/>
      <c r="BF127" s="351"/>
      <c r="BG127" s="351"/>
      <c r="BH127" s="351"/>
      <c r="BI127" s="351"/>
      <c r="BJ127" s="351"/>
      <c r="BK127" s="351"/>
      <c r="BL127" s="351"/>
      <c r="BM127" s="351"/>
      <c r="BN127" s="351"/>
      <c r="BO127" s="351"/>
      <c r="BP127" s="351"/>
      <c r="BQ127" s="351"/>
      <c r="BR127" s="454"/>
      <c r="BS127" s="454"/>
      <c r="BT127" s="454"/>
      <c r="BU127" s="454"/>
      <c r="BV127" s="454"/>
      <c r="BW127" s="454"/>
      <c r="BX127" s="608" t="str">
        <f ca="1">IF(FP123&gt;=2,"+ € 2","")</f>
        <v/>
      </c>
      <c r="BY127" s="608"/>
      <c r="BZ127" s="608"/>
      <c r="CA127" s="608"/>
      <c r="CB127" s="608"/>
      <c r="CC127" s="608"/>
      <c r="CD127" s="608"/>
      <c r="CE127" s="608"/>
      <c r="CF127" s="608"/>
      <c r="CG127" s="608"/>
      <c r="CH127" s="608"/>
      <c r="CI127" s="608"/>
      <c r="CJ127" s="608"/>
      <c r="CK127" s="608"/>
      <c r="CL127" s="608"/>
      <c r="CM127" s="608"/>
      <c r="CN127" s="608"/>
      <c r="CO127" s="608"/>
      <c r="CP127" s="351"/>
      <c r="CQ127" s="351"/>
      <c r="CR127" s="351"/>
      <c r="CY127" s="454"/>
      <c r="CZ127" s="454"/>
      <c r="DA127" s="608" t="str">
        <f ca="1">IF(FP123&gt;=3,"- € 2","")</f>
        <v/>
      </c>
      <c r="DB127" s="608"/>
      <c r="DC127" s="608"/>
      <c r="DD127" s="608"/>
      <c r="DE127" s="608"/>
      <c r="DF127" s="608"/>
      <c r="DG127" s="608"/>
      <c r="DH127" s="608"/>
      <c r="DI127" s="608"/>
      <c r="DJ127" s="608"/>
      <c r="DK127" s="608"/>
      <c r="DL127" s="608"/>
      <c r="DM127" s="608"/>
      <c r="DN127" s="608"/>
      <c r="DO127" s="608"/>
      <c r="DP127" s="608"/>
      <c r="DQ127" s="608"/>
      <c r="DR127" s="608"/>
      <c r="DS127" s="454"/>
      <c r="DT127" s="454"/>
      <c r="DU127" s="454"/>
      <c r="DV127" s="454"/>
      <c r="DW127" s="454"/>
      <c r="DX127" s="454"/>
      <c r="DY127" s="454"/>
      <c r="DZ127" s="454"/>
      <c r="EA127" s="454"/>
      <c r="EB127" s="454"/>
      <c r="ED127" s="454"/>
      <c r="EE127" s="454"/>
      <c r="EF127" s="454"/>
      <c r="EG127" s="454"/>
      <c r="EH127" s="454"/>
      <c r="EI127" s="454"/>
      <c r="EJ127" s="454"/>
      <c r="EK127" s="454"/>
      <c r="EL127" s="454"/>
      <c r="EM127" s="464" t="str">
        <f ca="1">IF(FP123&gt;=4,"TO = 4 x € 0 = € 0","")</f>
        <v/>
      </c>
      <c r="EV127" s="454"/>
      <c r="EW127" s="454"/>
      <c r="EX127" s="454"/>
      <c r="EY127" s="454"/>
      <c r="EZ127" s="454"/>
      <c r="FA127" s="454"/>
      <c r="FB127" s="454"/>
      <c r="FC127" s="454"/>
      <c r="FD127" s="454"/>
      <c r="FE127" s="454"/>
      <c r="FF127" s="450"/>
      <c r="FG127" s="43"/>
      <c r="FH127" s="351"/>
      <c r="FI127" s="351"/>
      <c r="FJ127" s="351"/>
      <c r="FK127" s="351"/>
      <c r="FL127" s="351"/>
      <c r="FM127" s="93"/>
      <c r="FN127" s="93"/>
      <c r="FO127" s="451"/>
      <c r="FP127" s="451"/>
      <c r="FQ127" s="116"/>
      <c r="FR127" s="116"/>
      <c r="FS127" s="338"/>
      <c r="FT127" s="338"/>
      <c r="FU127" s="338"/>
      <c r="FV127" s="338"/>
      <c r="FW127" s="338"/>
      <c r="FX127" s="49"/>
      <c r="FY127" s="49"/>
      <c r="FZ127" s="49"/>
      <c r="GA127" s="49"/>
      <c r="GB127" s="49"/>
      <c r="GC127" s="49"/>
      <c r="GD127" s="49"/>
      <c r="GE127" s="49"/>
      <c r="GF127" s="49"/>
      <c r="GG127" s="49"/>
      <c r="GH127" s="49"/>
      <c r="GI127" s="49"/>
      <c r="GJ127" s="49"/>
      <c r="GK127" s="49"/>
      <c r="GL127" s="49"/>
      <c r="GM127" s="49"/>
      <c r="GN127" s="49"/>
      <c r="GO127" s="49"/>
      <c r="GP127" s="49"/>
      <c r="GQ127" s="338"/>
      <c r="GR127" s="338"/>
      <c r="GS127" s="338"/>
      <c r="GT127" s="338"/>
      <c r="GU127" s="338"/>
      <c r="GV127" s="338"/>
      <c r="GW127" s="48"/>
      <c r="GX127" s="48"/>
      <c r="GY127" s="48"/>
      <c r="GZ127" s="48"/>
      <c r="HA127" s="48"/>
      <c r="HB127" s="48"/>
      <c r="HC127" s="48"/>
      <c r="HD127" s="48"/>
      <c r="HE127" s="48"/>
    </row>
    <row r="128" spans="1:216" ht="15" customHeight="1">
      <c r="A128" s="1"/>
      <c r="B128" s="3"/>
      <c r="C128" s="3"/>
      <c r="D128" s="12"/>
      <c r="E128" s="10"/>
      <c r="F128" s="10"/>
      <c r="G128" s="10"/>
      <c r="T128" s="351"/>
      <c r="U128" s="351"/>
      <c r="V128" s="351"/>
      <c r="W128" s="351"/>
      <c r="X128" s="351"/>
      <c r="Y128" s="351"/>
      <c r="Z128" s="454"/>
      <c r="AU128" s="454"/>
      <c r="AV128" s="454"/>
      <c r="AW128" s="454"/>
      <c r="AX128" s="454"/>
      <c r="AY128" s="454"/>
      <c r="AZ128" s="351"/>
      <c r="BA128" s="351"/>
      <c r="BB128" s="351"/>
      <c r="BC128" s="351"/>
      <c r="BD128" s="351"/>
      <c r="BE128" s="351"/>
      <c r="BF128" s="351"/>
      <c r="BG128" s="351"/>
      <c r="BH128" s="351"/>
      <c r="BI128" s="351"/>
      <c r="BJ128" s="351"/>
      <c r="BK128" s="351"/>
      <c r="BL128" s="351"/>
      <c r="BM128" s="351"/>
      <c r="BN128" s="351"/>
      <c r="BO128" s="351"/>
      <c r="BP128" s="351"/>
      <c r="BQ128" s="351"/>
      <c r="BR128" s="454"/>
      <c r="BS128" s="454"/>
      <c r="BT128" s="454"/>
      <c r="BU128" s="454"/>
      <c r="BV128" s="454"/>
      <c r="BW128" s="454"/>
      <c r="BX128" s="609"/>
      <c r="BY128" s="609"/>
      <c r="BZ128" s="609"/>
      <c r="CA128" s="609"/>
      <c r="CB128" s="609"/>
      <c r="CC128" s="609"/>
      <c r="CD128" s="609"/>
      <c r="CE128" s="609"/>
      <c r="CF128" s="609"/>
      <c r="CG128" s="609"/>
      <c r="CH128" s="609"/>
      <c r="CI128" s="609"/>
      <c r="CJ128" s="609"/>
      <c r="CK128" s="609"/>
      <c r="CL128" s="609"/>
      <c r="CM128" s="609"/>
      <c r="CN128" s="609"/>
      <c r="CO128" s="609"/>
      <c r="CP128" s="351"/>
      <c r="CQ128" s="351"/>
      <c r="CR128" s="351"/>
      <c r="CY128" s="454"/>
      <c r="CZ128" s="454"/>
      <c r="DA128" s="609"/>
      <c r="DB128" s="609"/>
      <c r="DC128" s="609"/>
      <c r="DD128" s="609"/>
      <c r="DE128" s="609"/>
      <c r="DF128" s="609"/>
      <c r="DG128" s="609"/>
      <c r="DH128" s="609"/>
      <c r="DI128" s="609"/>
      <c r="DJ128" s="609"/>
      <c r="DK128" s="609"/>
      <c r="DL128" s="609"/>
      <c r="DM128" s="609"/>
      <c r="DN128" s="609"/>
      <c r="DO128" s="609"/>
      <c r="DP128" s="609"/>
      <c r="DQ128" s="609"/>
      <c r="DR128" s="609"/>
      <c r="DS128" s="454"/>
      <c r="DT128" s="454"/>
      <c r="DU128" s="454"/>
      <c r="DV128" s="454"/>
      <c r="DW128" s="454"/>
      <c r="DX128" s="454"/>
      <c r="DY128" s="454"/>
      <c r="DZ128" s="454"/>
      <c r="EA128" s="454"/>
      <c r="EB128" s="454"/>
      <c r="EC128" s="464"/>
      <c r="ED128" s="454"/>
      <c r="EE128" s="454"/>
      <c r="EF128" s="454"/>
      <c r="EG128" s="454"/>
      <c r="EH128" s="454"/>
      <c r="EI128" s="454"/>
      <c r="EJ128" s="454"/>
      <c r="EK128" s="454"/>
      <c r="EL128" s="454"/>
      <c r="EV128" s="454"/>
      <c r="EW128" s="454"/>
      <c r="EX128" s="454"/>
      <c r="EY128" s="454"/>
      <c r="EZ128" s="454"/>
      <c r="FA128" s="454"/>
      <c r="FB128" s="454"/>
      <c r="FC128" s="454"/>
      <c r="FD128" s="454"/>
      <c r="FE128" s="454"/>
      <c r="FF128" s="450"/>
      <c r="FG128" s="43"/>
      <c r="FH128" s="351"/>
      <c r="FI128" s="351"/>
      <c r="FJ128" s="351"/>
      <c r="FK128" s="351"/>
      <c r="FL128" s="351"/>
      <c r="FM128" s="93"/>
      <c r="FN128" s="93"/>
      <c r="FO128" s="451"/>
      <c r="FP128" s="451"/>
      <c r="FQ128" s="116"/>
      <c r="FR128" s="116"/>
      <c r="FS128" s="338"/>
      <c r="FT128" s="338"/>
      <c r="FU128" s="338"/>
      <c r="FV128" s="338"/>
      <c r="FW128" s="338"/>
      <c r="FX128" s="49"/>
      <c r="FY128" s="49"/>
      <c r="FZ128" s="49"/>
      <c r="GA128" s="49"/>
      <c r="GB128" s="49"/>
      <c r="GC128" s="49"/>
      <c r="GD128" s="49"/>
      <c r="GE128" s="49"/>
      <c r="GF128" s="49"/>
      <c r="GG128" s="49"/>
      <c r="GH128" s="49"/>
      <c r="GI128" s="49"/>
      <c r="GJ128" s="49"/>
      <c r="GK128" s="49"/>
      <c r="GL128" s="49"/>
      <c r="GM128" s="49"/>
      <c r="GN128" s="49"/>
      <c r="GO128" s="49"/>
      <c r="GP128" s="49"/>
      <c r="GQ128" s="338"/>
      <c r="GR128" s="338"/>
      <c r="GS128" s="338"/>
      <c r="GT128" s="338"/>
      <c r="GU128" s="338"/>
      <c r="GV128" s="338"/>
      <c r="GW128" s="48"/>
      <c r="GX128" s="48"/>
      <c r="GY128" s="48"/>
      <c r="GZ128" s="48"/>
      <c r="HA128" s="48"/>
      <c r="HB128" s="48"/>
      <c r="HC128" s="48"/>
      <c r="HD128" s="48"/>
      <c r="HE128" s="48"/>
    </row>
    <row r="129" spans="1:216" ht="15" customHeight="1">
      <c r="A129" s="1"/>
      <c r="B129" s="3"/>
      <c r="C129" s="3"/>
      <c r="D129" s="12"/>
      <c r="E129" s="10"/>
      <c r="F129" s="10"/>
      <c r="G129" s="10"/>
      <c r="T129" s="351"/>
      <c r="U129" s="351"/>
      <c r="V129" s="351"/>
      <c r="W129" s="351"/>
      <c r="X129" s="351"/>
      <c r="Y129" s="351"/>
      <c r="Z129" s="454"/>
      <c r="AU129" s="608" t="str">
        <f ca="1">IF(FP123&gt;=1,"€ 6","")</f>
        <v/>
      </c>
      <c r="AV129" s="609"/>
      <c r="AW129" s="609"/>
      <c r="AX129" s="609"/>
      <c r="AY129" s="609"/>
      <c r="AZ129" s="609"/>
      <c r="BA129" s="609"/>
      <c r="BB129" s="609"/>
      <c r="BC129" s="609"/>
      <c r="BD129" s="609"/>
      <c r="BE129" s="609"/>
      <c r="BF129" s="609"/>
      <c r="BG129" s="609"/>
      <c r="BH129" s="609"/>
      <c r="BI129" s="609"/>
      <c r="BJ129" s="609"/>
      <c r="BK129" s="609"/>
      <c r="BL129" s="609"/>
      <c r="BM129" s="351"/>
      <c r="BN129" s="351"/>
      <c r="BO129" s="351"/>
      <c r="BP129" s="351"/>
      <c r="BQ129" s="351"/>
      <c r="BR129" s="454"/>
      <c r="BS129" s="454"/>
      <c r="BT129" s="454"/>
      <c r="BU129" s="454"/>
      <c r="BV129" s="454"/>
      <c r="BW129" s="454"/>
      <c r="BX129" s="612" t="str">
        <f ca="1">IF(FP123&gt;=2,"...","")</f>
        <v/>
      </c>
      <c r="BY129" s="612"/>
      <c r="BZ129" s="612"/>
      <c r="CA129" s="612"/>
      <c r="CB129" s="612"/>
      <c r="CC129" s="612"/>
      <c r="CD129" s="612"/>
      <c r="CE129" s="612"/>
      <c r="CF129" s="612"/>
      <c r="CG129" s="612"/>
      <c r="CH129" s="612"/>
      <c r="CI129" s="612"/>
      <c r="CJ129" s="612"/>
      <c r="CK129" s="612"/>
      <c r="CL129" s="612"/>
      <c r="CM129" s="612"/>
      <c r="CN129" s="612"/>
      <c r="CO129" s="612"/>
      <c r="CP129" s="351"/>
      <c r="CQ129" s="351"/>
      <c r="CR129" s="351"/>
      <c r="CY129" s="351"/>
      <c r="CZ129" s="351"/>
      <c r="DA129" s="608" t="str">
        <f ca="1">IF(FP123&gt;=3,"€ 2","")</f>
        <v/>
      </c>
      <c r="DB129" s="608"/>
      <c r="DC129" s="608"/>
      <c r="DD129" s="608"/>
      <c r="DE129" s="608"/>
      <c r="DF129" s="608"/>
      <c r="DG129" s="608"/>
      <c r="DH129" s="608"/>
      <c r="DI129" s="608"/>
      <c r="DJ129" s="608"/>
      <c r="DK129" s="608"/>
      <c r="DL129" s="608"/>
      <c r="DM129" s="608"/>
      <c r="DN129" s="608"/>
      <c r="DO129" s="608"/>
      <c r="DP129" s="608"/>
      <c r="DQ129" s="608"/>
      <c r="DR129" s="608"/>
      <c r="DS129" s="454"/>
      <c r="DT129" s="454"/>
      <c r="DU129" s="454"/>
      <c r="DV129" s="454"/>
      <c r="DW129" s="454"/>
      <c r="DX129" s="454"/>
      <c r="DY129" s="454"/>
      <c r="DZ129" s="454"/>
      <c r="EA129" s="454"/>
      <c r="EB129" s="454"/>
      <c r="EC129" s="464"/>
      <c r="ED129" s="608" t="str">
        <f ca="1">IF(FP123&gt;=4,"- € 6","")</f>
        <v/>
      </c>
      <c r="EE129" s="608"/>
      <c r="EF129" s="608"/>
      <c r="EG129" s="608"/>
      <c r="EH129" s="608"/>
      <c r="EI129" s="608"/>
      <c r="EJ129" s="608"/>
      <c r="EK129" s="608"/>
      <c r="EL129" s="608"/>
      <c r="EM129" s="608"/>
      <c r="EN129" s="608"/>
      <c r="EO129" s="608"/>
      <c r="EP129" s="608"/>
      <c r="EQ129" s="608"/>
      <c r="ER129" s="608"/>
      <c r="ES129" s="608"/>
      <c r="ET129" s="608"/>
      <c r="EU129" s="608"/>
      <c r="EV129" s="454"/>
      <c r="EW129" s="454"/>
      <c r="EX129" s="454"/>
      <c r="EY129" s="454"/>
      <c r="EZ129" s="454"/>
      <c r="FA129" s="454"/>
      <c r="FB129" s="454"/>
      <c r="FC129" s="454"/>
      <c r="FD129" s="454"/>
      <c r="FE129" s="454"/>
      <c r="FF129" s="450"/>
      <c r="FG129" s="43"/>
      <c r="FH129" s="351"/>
      <c r="FI129" s="351"/>
      <c r="FJ129" s="351"/>
      <c r="FK129" s="351"/>
      <c r="FL129" s="351"/>
      <c r="FM129" s="93"/>
      <c r="FN129" s="93"/>
      <c r="FO129" s="451"/>
      <c r="FP129" s="451"/>
      <c r="FQ129" s="116"/>
      <c r="FR129" s="116"/>
      <c r="FS129" s="338"/>
      <c r="FT129" s="338"/>
      <c r="FU129" s="338"/>
      <c r="FV129" s="338"/>
      <c r="FW129" s="338"/>
      <c r="FX129" s="49"/>
      <c r="FY129" s="49"/>
      <c r="FZ129" s="49"/>
      <c r="GA129" s="49"/>
      <c r="GB129" s="49"/>
      <c r="GC129" s="49"/>
      <c r="GD129" s="49"/>
      <c r="GE129" s="49"/>
      <c r="GF129" s="49"/>
      <c r="GG129" s="49"/>
      <c r="GH129" s="49"/>
      <c r="GI129" s="49"/>
      <c r="GJ129" s="49"/>
      <c r="GK129" s="49"/>
      <c r="GL129" s="49"/>
      <c r="GM129" s="49"/>
      <c r="GN129" s="49"/>
      <c r="GO129" s="49"/>
      <c r="GP129" s="49"/>
      <c r="GQ129" s="338"/>
      <c r="GR129" s="338"/>
      <c r="GS129" s="338"/>
      <c r="GT129" s="338"/>
      <c r="GU129" s="338"/>
      <c r="GV129" s="338"/>
      <c r="GW129" s="48"/>
      <c r="GX129" s="48"/>
      <c r="GY129" s="48"/>
      <c r="GZ129" s="48"/>
      <c r="HA129" s="48"/>
      <c r="HB129" s="48"/>
      <c r="HC129" s="48"/>
      <c r="HD129" s="48"/>
      <c r="HE129" s="48"/>
    </row>
    <row r="130" spans="1:216" ht="15" customHeight="1">
      <c r="A130" s="1"/>
      <c r="B130" s="3"/>
      <c r="C130" s="3"/>
      <c r="D130" s="12"/>
      <c r="E130" s="10"/>
      <c r="F130" s="10"/>
      <c r="G130" s="10"/>
      <c r="T130" s="351"/>
      <c r="U130" s="351"/>
      <c r="V130" s="351"/>
      <c r="W130" s="351"/>
      <c r="X130" s="351"/>
      <c r="Y130" s="351"/>
      <c r="Z130" s="454"/>
      <c r="AU130" s="609"/>
      <c r="AV130" s="609"/>
      <c r="AW130" s="609"/>
      <c r="AX130" s="609"/>
      <c r="AY130" s="609"/>
      <c r="AZ130" s="609"/>
      <c r="BA130" s="609"/>
      <c r="BB130" s="609"/>
      <c r="BC130" s="609"/>
      <c r="BD130" s="609"/>
      <c r="BE130" s="609"/>
      <c r="BF130" s="609"/>
      <c r="BG130" s="609"/>
      <c r="BH130" s="609"/>
      <c r="BI130" s="609"/>
      <c r="BJ130" s="609"/>
      <c r="BK130" s="609"/>
      <c r="BL130" s="609"/>
      <c r="BM130" s="351"/>
      <c r="BN130" s="351"/>
      <c r="BO130" s="351"/>
      <c r="BP130" s="351"/>
      <c r="BQ130" s="351"/>
      <c r="BR130" s="454"/>
      <c r="BS130" s="454"/>
      <c r="BT130" s="454"/>
      <c r="BU130" s="454"/>
      <c r="BV130" s="454"/>
      <c r="BW130" s="454"/>
      <c r="BX130" s="613" t="str">
        <f>IF(ED121&gt;=6,"€ 3","")</f>
        <v/>
      </c>
      <c r="BY130" s="613"/>
      <c r="BZ130" s="613"/>
      <c r="CA130" s="613"/>
      <c r="CB130" s="613"/>
      <c r="CC130" s="613"/>
      <c r="CD130" s="613"/>
      <c r="CE130" s="613"/>
      <c r="CF130" s="613"/>
      <c r="CG130" s="613"/>
      <c r="CH130" s="613"/>
      <c r="CI130" s="613"/>
      <c r="CJ130" s="613"/>
      <c r="CK130" s="613"/>
      <c r="CL130" s="613"/>
      <c r="CM130" s="613"/>
      <c r="CN130" s="613"/>
      <c r="CO130" s="613"/>
      <c r="CP130" s="351"/>
      <c r="CQ130" s="351"/>
      <c r="CR130" s="351"/>
      <c r="CY130" s="351"/>
      <c r="CZ130" s="351"/>
      <c r="DA130" s="609" t="str">
        <f>IF(FP121&gt;=6,"€ 3","")</f>
        <v/>
      </c>
      <c r="DB130" s="609"/>
      <c r="DC130" s="609"/>
      <c r="DD130" s="609"/>
      <c r="DE130" s="609"/>
      <c r="DF130" s="609"/>
      <c r="DG130" s="609"/>
      <c r="DH130" s="609"/>
      <c r="DI130" s="609"/>
      <c r="DJ130" s="609"/>
      <c r="DK130" s="609"/>
      <c r="DL130" s="609"/>
      <c r="DM130" s="609"/>
      <c r="DN130" s="609"/>
      <c r="DO130" s="609"/>
      <c r="DP130" s="609"/>
      <c r="DQ130" s="609"/>
      <c r="DR130" s="609"/>
      <c r="DS130" s="454"/>
      <c r="DT130" s="454"/>
      <c r="DU130" s="454"/>
      <c r="DV130" s="454"/>
      <c r="DW130" s="454"/>
      <c r="DX130" s="454"/>
      <c r="DY130" s="454"/>
      <c r="DZ130" s="454"/>
      <c r="EA130" s="454"/>
      <c r="EB130" s="454"/>
      <c r="EC130" s="454"/>
      <c r="ED130" s="609"/>
      <c r="EE130" s="609"/>
      <c r="EF130" s="609"/>
      <c r="EG130" s="609"/>
      <c r="EH130" s="609"/>
      <c r="EI130" s="609"/>
      <c r="EJ130" s="609"/>
      <c r="EK130" s="609"/>
      <c r="EL130" s="609"/>
      <c r="EM130" s="609"/>
      <c r="EN130" s="609"/>
      <c r="EO130" s="609"/>
      <c r="EP130" s="609"/>
      <c r="EQ130" s="609"/>
      <c r="ER130" s="609"/>
      <c r="ES130" s="609"/>
      <c r="ET130" s="609"/>
      <c r="EU130" s="609"/>
      <c r="EV130" s="454"/>
      <c r="EW130" s="454"/>
      <c r="EX130" s="454"/>
      <c r="EY130" s="454"/>
      <c r="EZ130" s="454"/>
      <c r="FA130" s="454"/>
      <c r="FB130" s="454"/>
      <c r="FC130" s="454"/>
      <c r="FD130" s="454"/>
      <c r="FE130" s="454"/>
      <c r="FF130" s="454"/>
      <c r="FG130" s="10"/>
      <c r="FH130" s="10"/>
      <c r="FI130" s="10"/>
      <c r="FJ130" s="10"/>
      <c r="FK130" s="26"/>
      <c r="FL130" s="26"/>
      <c r="FM130" s="47"/>
      <c r="FN130" s="47"/>
      <c r="FO130" s="47"/>
      <c r="FP130" s="47"/>
      <c r="FQ130" s="47"/>
      <c r="FR130" s="47"/>
      <c r="FS130" s="49"/>
      <c r="FT130" s="49"/>
      <c r="FU130" s="49"/>
      <c r="FV130" s="49"/>
      <c r="FW130" s="49"/>
      <c r="FX130" s="49"/>
      <c r="FY130" s="49"/>
      <c r="FZ130" s="49"/>
      <c r="GA130" s="49"/>
      <c r="GB130" s="49"/>
      <c r="GC130" s="49"/>
      <c r="GD130" s="49"/>
      <c r="GE130" s="49"/>
      <c r="GF130" s="49"/>
      <c r="GG130" s="49"/>
      <c r="GH130" s="49"/>
      <c r="GI130" s="49"/>
      <c r="GJ130" s="49"/>
      <c r="GK130" s="49"/>
      <c r="GL130" s="49"/>
      <c r="GM130" s="49"/>
      <c r="GN130" s="49"/>
      <c r="GO130" s="49"/>
      <c r="GP130" s="49"/>
      <c r="GQ130" s="48"/>
      <c r="GR130" s="48"/>
      <c r="GS130" s="48"/>
      <c r="GT130" s="48"/>
      <c r="GU130" s="48"/>
      <c r="GV130" s="48"/>
      <c r="GW130" s="48"/>
      <c r="GX130" s="48"/>
      <c r="GY130" s="48"/>
      <c r="GZ130" s="48"/>
      <c r="HA130" s="48"/>
      <c r="HB130" s="48"/>
      <c r="HC130" s="48"/>
      <c r="HD130" s="48"/>
      <c r="HE130" s="48"/>
      <c r="HF130" s="13"/>
      <c r="HG130" s="13"/>
      <c r="HH130" s="13"/>
    </row>
    <row r="131" spans="1:216" ht="15" customHeight="1">
      <c r="A131" s="1"/>
      <c r="B131" s="3"/>
      <c r="C131" s="3"/>
      <c r="D131" s="12"/>
      <c r="E131" s="10"/>
      <c r="F131" s="10"/>
      <c r="G131" s="10"/>
      <c r="T131" s="351"/>
      <c r="U131" s="351"/>
      <c r="V131" s="351"/>
      <c r="W131" s="351"/>
      <c r="X131" s="351"/>
      <c r="Y131" s="351"/>
      <c r="Z131" s="454"/>
      <c r="AU131" s="609"/>
      <c r="AV131" s="609"/>
      <c r="AW131" s="609"/>
      <c r="AX131" s="609"/>
      <c r="AY131" s="609"/>
      <c r="AZ131" s="609"/>
      <c r="BA131" s="609"/>
      <c r="BB131" s="609"/>
      <c r="BC131" s="609"/>
      <c r="BD131" s="609"/>
      <c r="BE131" s="609"/>
      <c r="BF131" s="609"/>
      <c r="BG131" s="609"/>
      <c r="BH131" s="609"/>
      <c r="BI131" s="609"/>
      <c r="BJ131" s="609"/>
      <c r="BK131" s="609"/>
      <c r="BL131" s="609"/>
      <c r="BM131" s="351"/>
      <c r="BN131" s="351"/>
      <c r="BO131" s="351"/>
      <c r="BP131" s="351"/>
      <c r="BQ131" s="351"/>
      <c r="BR131" s="454"/>
      <c r="BS131" s="454"/>
      <c r="BT131" s="454"/>
      <c r="BU131" s="454"/>
      <c r="BV131" s="454"/>
      <c r="BW131" s="454"/>
      <c r="BX131" s="608" t="str">
        <f ca="1">IF(FP123&gt;=2,"€ 4","")</f>
        <v/>
      </c>
      <c r="BY131" s="608"/>
      <c r="BZ131" s="608"/>
      <c r="CA131" s="608"/>
      <c r="CB131" s="608"/>
      <c r="CC131" s="608"/>
      <c r="CD131" s="608"/>
      <c r="CE131" s="608"/>
      <c r="CF131" s="608"/>
      <c r="CG131" s="608"/>
      <c r="CH131" s="608"/>
      <c r="CI131" s="608"/>
      <c r="CJ131" s="608"/>
      <c r="CK131" s="608"/>
      <c r="CL131" s="608"/>
      <c r="CM131" s="608"/>
      <c r="CN131" s="608"/>
      <c r="CO131" s="608"/>
      <c r="CP131" s="351"/>
      <c r="CQ131" s="351"/>
      <c r="CR131" s="351"/>
      <c r="CY131" s="351"/>
      <c r="CZ131" s="351"/>
      <c r="DA131" s="608" t="str">
        <f ca="1">IF(FP123&gt;=3,"€ 2","")</f>
        <v/>
      </c>
      <c r="DB131" s="608"/>
      <c r="DC131" s="608"/>
      <c r="DD131" s="608"/>
      <c r="DE131" s="608"/>
      <c r="DF131" s="608"/>
      <c r="DG131" s="608"/>
      <c r="DH131" s="608"/>
      <c r="DI131" s="608"/>
      <c r="DJ131" s="608"/>
      <c r="DK131" s="608"/>
      <c r="DL131" s="608"/>
      <c r="DM131" s="608"/>
      <c r="DN131" s="608"/>
      <c r="DO131" s="608"/>
      <c r="DP131" s="608"/>
      <c r="DQ131" s="608"/>
      <c r="DR131" s="608"/>
      <c r="DS131" s="454"/>
      <c r="DT131" s="454"/>
      <c r="DU131" s="454"/>
      <c r="DV131" s="454"/>
      <c r="DW131" s="454"/>
      <c r="DX131" s="454"/>
      <c r="DY131" s="454"/>
      <c r="DZ131" s="454"/>
      <c r="EA131" s="454"/>
      <c r="EB131" s="454"/>
      <c r="EC131" s="454"/>
      <c r="ED131" s="532"/>
      <c r="EE131" s="532"/>
      <c r="EF131" s="532"/>
      <c r="EG131" s="532"/>
      <c r="EH131" s="532"/>
      <c r="EI131" s="532"/>
      <c r="EJ131" s="532"/>
      <c r="EK131" s="532"/>
      <c r="EL131" s="532"/>
      <c r="EM131" s="532"/>
      <c r="EN131" s="532"/>
      <c r="EO131" s="532"/>
      <c r="EP131" s="532"/>
      <c r="EQ131" s="532"/>
      <c r="ER131" s="532"/>
      <c r="ES131" s="532"/>
      <c r="ET131" s="532"/>
      <c r="EU131" s="532"/>
      <c r="EV131" s="454"/>
      <c r="EW131" s="454"/>
      <c r="EX131" s="454"/>
      <c r="EY131" s="454"/>
      <c r="EZ131" s="454"/>
      <c r="FA131" s="454"/>
      <c r="FB131" s="454"/>
      <c r="FC131" s="454"/>
      <c r="FD131" s="454"/>
      <c r="FE131" s="454"/>
      <c r="FF131" s="454"/>
      <c r="FG131" s="10"/>
      <c r="FH131" s="10"/>
      <c r="FI131" s="10"/>
      <c r="FJ131" s="10"/>
      <c r="FK131" s="26"/>
      <c r="FL131" s="26"/>
      <c r="FM131" s="47"/>
      <c r="FN131" s="47"/>
      <c r="FO131" s="47"/>
      <c r="FP131" s="47"/>
      <c r="FQ131" s="47"/>
      <c r="FR131" s="47"/>
      <c r="FS131" s="49"/>
      <c r="FT131" s="49"/>
      <c r="FU131" s="49"/>
      <c r="FV131" s="49"/>
      <c r="FW131" s="49"/>
      <c r="FX131" s="49"/>
      <c r="FY131" s="49"/>
      <c r="FZ131" s="49"/>
      <c r="GA131" s="49"/>
      <c r="GB131" s="49"/>
      <c r="GC131" s="49"/>
      <c r="GD131" s="49"/>
      <c r="GE131" s="49"/>
      <c r="GF131" s="49"/>
      <c r="GG131" s="49"/>
      <c r="GH131" s="49"/>
      <c r="GI131" s="49"/>
      <c r="GJ131" s="49"/>
      <c r="GK131" s="49"/>
      <c r="GL131" s="49"/>
      <c r="GM131" s="49"/>
      <c r="GN131" s="49"/>
      <c r="GO131" s="49"/>
      <c r="GP131" s="49"/>
      <c r="GQ131" s="48"/>
      <c r="GR131" s="48"/>
      <c r="GS131" s="48"/>
      <c r="GT131" s="48"/>
      <c r="GU131" s="48"/>
      <c r="GV131" s="48"/>
      <c r="GW131" s="48"/>
      <c r="GX131" s="48"/>
      <c r="GY131" s="48"/>
      <c r="GZ131" s="48"/>
      <c r="HA131" s="48"/>
      <c r="HB131" s="48"/>
      <c r="HC131" s="48"/>
      <c r="HD131" s="48"/>
      <c r="HE131" s="48"/>
      <c r="HF131" s="13"/>
      <c r="HG131" s="13"/>
      <c r="HH131" s="13"/>
    </row>
    <row r="132" spans="1:216" ht="15" customHeight="1">
      <c r="A132" s="1"/>
      <c r="B132" s="3"/>
      <c r="C132" s="3"/>
      <c r="D132" s="12"/>
      <c r="E132" s="10"/>
      <c r="F132" s="10"/>
      <c r="G132" s="10"/>
      <c r="T132" s="351"/>
      <c r="U132" s="351"/>
      <c r="V132" s="351"/>
      <c r="W132" s="351"/>
      <c r="X132" s="351"/>
      <c r="Y132" s="351"/>
      <c r="Z132" s="454"/>
      <c r="AU132" s="609"/>
      <c r="AV132" s="609"/>
      <c r="AW132" s="609"/>
      <c r="AX132" s="609"/>
      <c r="AY132" s="609"/>
      <c r="AZ132" s="609"/>
      <c r="BA132" s="609"/>
      <c r="BB132" s="609"/>
      <c r="BC132" s="609"/>
      <c r="BD132" s="609"/>
      <c r="BE132" s="609"/>
      <c r="BF132" s="609"/>
      <c r="BG132" s="609"/>
      <c r="BH132" s="609"/>
      <c r="BI132" s="609"/>
      <c r="BJ132" s="609"/>
      <c r="BK132" s="609"/>
      <c r="BL132" s="609"/>
      <c r="BM132" s="351"/>
      <c r="BN132" s="351"/>
      <c r="BO132" s="351"/>
      <c r="BP132" s="351"/>
      <c r="BQ132" s="351"/>
      <c r="BR132" s="454"/>
      <c r="BS132" s="454"/>
      <c r="BT132" s="454"/>
      <c r="BU132" s="454"/>
      <c r="BV132" s="454"/>
      <c r="BW132" s="454"/>
      <c r="BX132" s="609" t="str">
        <f ca="1">IF(FP123&gt;=6,"€ 3","")</f>
        <v/>
      </c>
      <c r="BY132" s="609"/>
      <c r="BZ132" s="609"/>
      <c r="CA132" s="609"/>
      <c r="CB132" s="609"/>
      <c r="CC132" s="609"/>
      <c r="CD132" s="609"/>
      <c r="CE132" s="609"/>
      <c r="CF132" s="609"/>
      <c r="CG132" s="609"/>
      <c r="CH132" s="609"/>
      <c r="CI132" s="609"/>
      <c r="CJ132" s="609"/>
      <c r="CK132" s="609"/>
      <c r="CL132" s="609"/>
      <c r="CM132" s="609"/>
      <c r="CN132" s="609"/>
      <c r="CO132" s="609"/>
      <c r="CP132" s="351"/>
      <c r="CQ132" s="351"/>
      <c r="CR132" s="351"/>
      <c r="CY132" s="351"/>
      <c r="CZ132" s="351"/>
      <c r="DA132" s="609" t="str">
        <f ca="1">IF(FP123&gt;=6,"€ 3","")</f>
        <v/>
      </c>
      <c r="DB132" s="609"/>
      <c r="DC132" s="609"/>
      <c r="DD132" s="609"/>
      <c r="DE132" s="609"/>
      <c r="DF132" s="609"/>
      <c r="DG132" s="609"/>
      <c r="DH132" s="609"/>
      <c r="DI132" s="609"/>
      <c r="DJ132" s="609"/>
      <c r="DK132" s="609"/>
      <c r="DL132" s="609"/>
      <c r="DM132" s="609"/>
      <c r="DN132" s="609"/>
      <c r="DO132" s="609"/>
      <c r="DP132" s="609"/>
      <c r="DQ132" s="609"/>
      <c r="DR132" s="609"/>
      <c r="DS132" s="454"/>
      <c r="DT132" s="454"/>
      <c r="DU132" s="454"/>
      <c r="DV132" s="454"/>
      <c r="DW132" s="454"/>
      <c r="DX132" s="454"/>
      <c r="DY132" s="454"/>
      <c r="DZ132" s="454"/>
      <c r="EA132" s="454"/>
      <c r="EB132" s="454"/>
      <c r="EC132" s="454"/>
      <c r="ED132" s="532"/>
      <c r="EE132" s="532"/>
      <c r="EF132" s="532"/>
      <c r="EG132" s="532"/>
      <c r="EH132" s="532"/>
      <c r="EI132" s="532"/>
      <c r="EJ132" s="532"/>
      <c r="EK132" s="532"/>
      <c r="EL132" s="532"/>
      <c r="EM132" s="532"/>
      <c r="EN132" s="532"/>
      <c r="EO132" s="532"/>
      <c r="EP132" s="532"/>
      <c r="EQ132" s="532"/>
      <c r="ER132" s="532"/>
      <c r="ES132" s="532"/>
      <c r="ET132" s="532"/>
      <c r="EU132" s="532"/>
      <c r="EV132" s="454"/>
      <c r="EW132" s="454"/>
      <c r="EX132" s="454"/>
      <c r="EY132" s="454"/>
      <c r="EZ132" s="454"/>
      <c r="FA132" s="454"/>
      <c r="FB132" s="454"/>
      <c r="FC132" s="454"/>
      <c r="FD132" s="454"/>
      <c r="FE132" s="454"/>
      <c r="FF132" s="454"/>
      <c r="FG132" s="10"/>
      <c r="FH132" s="10"/>
      <c r="FI132" s="10"/>
      <c r="FJ132" s="10"/>
      <c r="FK132" s="26"/>
      <c r="FL132" s="26"/>
      <c r="FM132" s="47"/>
      <c r="FN132" s="47"/>
      <c r="FO132" s="47"/>
      <c r="FP132" s="47"/>
      <c r="FQ132" s="47"/>
      <c r="FR132" s="47"/>
      <c r="FS132" s="49"/>
      <c r="FT132" s="49"/>
      <c r="FU132" s="49"/>
      <c r="FV132" s="49"/>
      <c r="FW132" s="49"/>
      <c r="FX132" s="49"/>
      <c r="FY132" s="49"/>
      <c r="FZ132" s="49"/>
      <c r="GA132" s="49"/>
      <c r="GB132" s="49"/>
      <c r="GC132" s="49"/>
      <c r="GD132" s="49"/>
      <c r="GE132" s="49"/>
      <c r="GF132" s="49"/>
      <c r="GG132" s="49"/>
      <c r="GH132" s="49"/>
      <c r="GI132" s="49"/>
      <c r="GJ132" s="49"/>
      <c r="GK132" s="49"/>
      <c r="GL132" s="49"/>
      <c r="GM132" s="49"/>
      <c r="GN132" s="49"/>
      <c r="GO132" s="49"/>
      <c r="GP132" s="49"/>
      <c r="GQ132" s="48"/>
      <c r="GR132" s="48"/>
      <c r="GS132" s="48"/>
      <c r="GT132" s="48"/>
      <c r="GU132" s="48"/>
      <c r="GV132" s="48"/>
      <c r="GW132" s="48"/>
      <c r="GX132" s="48"/>
      <c r="GY132" s="48"/>
      <c r="GZ132" s="48"/>
      <c r="HA132" s="48"/>
      <c r="HB132" s="48"/>
      <c r="HC132" s="48"/>
      <c r="HD132" s="48"/>
      <c r="HE132" s="48"/>
      <c r="HF132" s="13"/>
      <c r="HG132" s="13"/>
      <c r="HH132" s="13"/>
    </row>
    <row r="133" spans="1:216" ht="15" customHeight="1">
      <c r="A133" s="1"/>
      <c r="B133" s="3"/>
      <c r="C133" s="3"/>
      <c r="D133" s="12"/>
      <c r="E133" s="10"/>
      <c r="F133" s="10"/>
      <c r="G133" s="10"/>
      <c r="H133" s="10"/>
      <c r="I133" s="10"/>
      <c r="J133" s="10"/>
      <c r="K133" s="10"/>
      <c r="L133" s="10"/>
      <c r="M133" s="10"/>
      <c r="N133" s="10"/>
      <c r="O133" s="10"/>
      <c r="P133" s="10"/>
      <c r="Q133" s="10"/>
      <c r="S133" s="177"/>
      <c r="T133" s="177"/>
      <c r="U133" s="177"/>
      <c r="V133" s="177"/>
      <c r="W133" s="177"/>
      <c r="X133" s="177"/>
      <c r="Y133" s="177"/>
      <c r="Z133" s="177"/>
      <c r="AA133" s="177" t="str">
        <f ca="1">IF(FO40=0,"","TO = 0 x € 8 = € 0")</f>
        <v/>
      </c>
      <c r="AB133" s="177"/>
      <c r="AC133" s="177"/>
      <c r="AD133" s="177"/>
      <c r="AE133" s="177"/>
      <c r="AF133" s="177"/>
      <c r="AG133" s="177"/>
      <c r="AH133" s="177"/>
      <c r="AI133" s="177"/>
      <c r="AU133" s="609"/>
      <c r="AV133" s="609"/>
      <c r="AW133" s="609"/>
      <c r="AX133" s="609"/>
      <c r="AY133" s="609"/>
      <c r="AZ133" s="609"/>
      <c r="BA133" s="609"/>
      <c r="BB133" s="609"/>
      <c r="BC133" s="609"/>
      <c r="BD133" s="609"/>
      <c r="BE133" s="609"/>
      <c r="BF133" s="609"/>
      <c r="BG133" s="609"/>
      <c r="BH133" s="609"/>
      <c r="BI133" s="609"/>
      <c r="BJ133" s="609"/>
      <c r="BK133" s="609"/>
      <c r="BL133" s="609"/>
      <c r="BM133" s="465"/>
      <c r="BN133" s="465"/>
      <c r="BO133" s="465"/>
      <c r="BP133" s="465"/>
      <c r="BQ133" s="465"/>
      <c r="BR133" s="454"/>
      <c r="BS133" s="454"/>
      <c r="BT133" s="454"/>
      <c r="BU133" s="454"/>
      <c r="BV133" s="454"/>
      <c r="BW133" s="454"/>
      <c r="BX133" s="609" t="str">
        <f ca="1">IF(FP123&gt;=6,"€ 3","")</f>
        <v/>
      </c>
      <c r="BY133" s="609"/>
      <c r="BZ133" s="609"/>
      <c r="CA133" s="609"/>
      <c r="CB133" s="609"/>
      <c r="CC133" s="609"/>
      <c r="CD133" s="609"/>
      <c r="CE133" s="609"/>
      <c r="CF133" s="609"/>
      <c r="CG133" s="609"/>
      <c r="CH133" s="609"/>
      <c r="CI133" s="609"/>
      <c r="CJ133" s="609"/>
      <c r="CK133" s="609"/>
      <c r="CL133" s="609"/>
      <c r="CM133" s="609"/>
      <c r="CN133" s="609"/>
      <c r="CO133" s="609"/>
      <c r="CP133" s="351"/>
      <c r="CQ133" s="351"/>
      <c r="CR133" s="351"/>
      <c r="CY133" s="351"/>
      <c r="CZ133" s="351"/>
      <c r="DA133" s="608" t="str">
        <f ca="1">IF(FP123&gt;=3,"€ 2","")</f>
        <v/>
      </c>
      <c r="DB133" s="608"/>
      <c r="DC133" s="608"/>
      <c r="DD133" s="608"/>
      <c r="DE133" s="608"/>
      <c r="DF133" s="608"/>
      <c r="DG133" s="608"/>
      <c r="DH133" s="608"/>
      <c r="DI133" s="608"/>
      <c r="DJ133" s="608"/>
      <c r="DK133" s="608"/>
      <c r="DL133" s="608"/>
      <c r="DM133" s="608"/>
      <c r="DN133" s="608"/>
      <c r="DO133" s="608"/>
      <c r="DP133" s="608"/>
      <c r="DQ133" s="608"/>
      <c r="DR133" s="608"/>
      <c r="DS133" s="454"/>
      <c r="DT133" s="454"/>
      <c r="DU133" s="454"/>
      <c r="DV133" s="454"/>
      <c r="DW133" s="454"/>
      <c r="DX133" s="454"/>
      <c r="DY133" s="454"/>
      <c r="DZ133" s="454"/>
      <c r="EA133" s="454"/>
      <c r="EB133" s="454"/>
      <c r="EC133" s="454"/>
      <c r="ED133" s="532"/>
      <c r="EE133" s="532"/>
      <c r="EF133" s="532"/>
      <c r="EG133" s="532"/>
      <c r="EH133" s="532"/>
      <c r="EI133" s="532"/>
      <c r="EJ133" s="532"/>
      <c r="EK133" s="532"/>
      <c r="EL133" s="532"/>
      <c r="EM133" s="532"/>
      <c r="EN133" s="532"/>
      <c r="EO133" s="532"/>
      <c r="EP133" s="532"/>
      <c r="EQ133" s="532"/>
      <c r="ER133" s="532"/>
      <c r="ES133" s="532"/>
      <c r="ET133" s="532"/>
      <c r="EU133" s="532"/>
      <c r="EV133" s="454"/>
      <c r="EW133" s="454"/>
      <c r="EX133" s="454"/>
      <c r="EY133" s="454"/>
      <c r="EZ133" s="454"/>
      <c r="FA133" s="454"/>
      <c r="FB133" s="454"/>
      <c r="FC133" s="454"/>
      <c r="FD133" s="454"/>
      <c r="FE133" s="454"/>
      <c r="FF133" s="454"/>
      <c r="FG133" s="10"/>
      <c r="FH133" s="10"/>
      <c r="FI133" s="10"/>
      <c r="FJ133" s="10"/>
      <c r="FK133" s="26"/>
      <c r="FL133" s="26"/>
      <c r="FM133" s="47"/>
      <c r="FN133" s="47"/>
      <c r="FO133" s="47"/>
      <c r="FP133" s="47"/>
      <c r="FQ133" s="47"/>
      <c r="FR133" s="47"/>
      <c r="FS133" s="49"/>
      <c r="FT133" s="49"/>
      <c r="FU133" s="49"/>
      <c r="FV133" s="49"/>
      <c r="FW133" s="49"/>
      <c r="FX133" s="49"/>
      <c r="FY133" s="49"/>
      <c r="FZ133" s="49"/>
      <c r="GA133" s="49"/>
      <c r="GB133" s="49"/>
      <c r="GC133" s="49"/>
      <c r="GD133" s="49"/>
      <c r="GE133" s="49"/>
      <c r="GF133" s="49"/>
      <c r="GG133" s="49"/>
      <c r="GH133" s="49"/>
      <c r="GI133" s="49"/>
      <c r="GJ133" s="49"/>
      <c r="GK133" s="49"/>
      <c r="GL133" s="49"/>
      <c r="GM133" s="49"/>
      <c r="GN133" s="49"/>
      <c r="GO133" s="49"/>
      <c r="GP133" s="49"/>
      <c r="GQ133" s="48"/>
      <c r="GR133" s="48"/>
      <c r="GS133" s="48"/>
      <c r="GT133" s="48"/>
      <c r="GU133" s="48"/>
      <c r="GV133" s="48"/>
      <c r="GW133" s="48"/>
      <c r="GX133" s="48"/>
      <c r="GY133" s="48"/>
      <c r="GZ133" s="48"/>
      <c r="HA133" s="48"/>
      <c r="HB133" s="48"/>
      <c r="HC133" s="48"/>
      <c r="HD133" s="48"/>
      <c r="HE133" s="48"/>
      <c r="HF133" s="13"/>
      <c r="HG133" s="13"/>
      <c r="HH133" s="13"/>
    </row>
    <row r="134" spans="1:216" ht="15" customHeight="1">
      <c r="A134" s="1"/>
      <c r="B134" s="3"/>
      <c r="C134" s="3"/>
      <c r="D134" s="12"/>
      <c r="E134" s="10"/>
      <c r="F134" s="10"/>
      <c r="G134" s="10"/>
      <c r="H134" s="10"/>
      <c r="I134" s="10"/>
      <c r="J134" s="10"/>
      <c r="K134" s="10"/>
      <c r="L134" s="10"/>
      <c r="M134" s="10"/>
      <c r="N134" s="10"/>
      <c r="O134" s="10"/>
      <c r="P134" s="10"/>
      <c r="Q134" s="10"/>
      <c r="R134" s="611" t="str">
        <f ca="1">IF(FO40=0,"","...")</f>
        <v/>
      </c>
      <c r="S134" s="611"/>
      <c r="T134" s="611"/>
      <c r="U134" s="611"/>
      <c r="V134" s="611"/>
      <c r="W134" s="611"/>
      <c r="X134" s="611"/>
      <c r="Y134" s="611"/>
      <c r="Z134" s="611"/>
      <c r="AA134" s="611"/>
      <c r="AB134" s="611"/>
      <c r="AC134" s="611"/>
      <c r="AD134" s="611"/>
      <c r="AE134" s="611"/>
      <c r="AF134" s="611"/>
      <c r="AG134" s="611"/>
      <c r="AH134" s="611"/>
      <c r="AI134" s="611"/>
      <c r="AU134" s="609"/>
      <c r="AV134" s="609"/>
      <c r="AW134" s="609"/>
      <c r="AX134" s="609"/>
      <c r="AY134" s="609"/>
      <c r="AZ134" s="609"/>
      <c r="BA134" s="609"/>
      <c r="BB134" s="609"/>
      <c r="BC134" s="609"/>
      <c r="BD134" s="609"/>
      <c r="BE134" s="609"/>
      <c r="BF134" s="609"/>
      <c r="BG134" s="609"/>
      <c r="BH134" s="609"/>
      <c r="BI134" s="609"/>
      <c r="BJ134" s="609"/>
      <c r="BK134" s="609"/>
      <c r="BL134" s="609"/>
      <c r="BM134" s="465"/>
      <c r="BN134" s="465"/>
      <c r="BO134" s="465"/>
      <c r="BP134" s="465"/>
      <c r="BQ134" s="465"/>
      <c r="BR134" s="454"/>
      <c r="BS134" s="454"/>
      <c r="BT134" s="454"/>
      <c r="BU134" s="454"/>
      <c r="BV134" s="454"/>
      <c r="BW134" s="454"/>
      <c r="BX134" s="609" t="str">
        <f ca="1">IF(FP123&gt;=6,"€ 3","")</f>
        <v/>
      </c>
      <c r="BY134" s="609"/>
      <c r="BZ134" s="609"/>
      <c r="CA134" s="609"/>
      <c r="CB134" s="609"/>
      <c r="CC134" s="609"/>
      <c r="CD134" s="609"/>
      <c r="CE134" s="609"/>
      <c r="CF134" s="609"/>
      <c r="CG134" s="609"/>
      <c r="CH134" s="609"/>
      <c r="CI134" s="609"/>
      <c r="CJ134" s="609"/>
      <c r="CK134" s="609"/>
      <c r="CL134" s="609"/>
      <c r="CM134" s="609"/>
      <c r="CN134" s="609"/>
      <c r="CO134" s="609"/>
      <c r="CP134" s="351"/>
      <c r="CQ134" s="351"/>
      <c r="CR134" s="351"/>
      <c r="CY134" s="351"/>
      <c r="CZ134" s="351"/>
      <c r="DA134" s="609" t="str">
        <f ca="1">IF(FP123&gt;=6,"€ 3","")</f>
        <v/>
      </c>
      <c r="DB134" s="609"/>
      <c r="DC134" s="609"/>
      <c r="DD134" s="609"/>
      <c r="DE134" s="609"/>
      <c r="DF134" s="609"/>
      <c r="DG134" s="609"/>
      <c r="DH134" s="609"/>
      <c r="DI134" s="609"/>
      <c r="DJ134" s="609"/>
      <c r="DK134" s="609"/>
      <c r="DL134" s="609"/>
      <c r="DM134" s="609"/>
      <c r="DN134" s="609"/>
      <c r="DO134" s="609"/>
      <c r="DP134" s="609"/>
      <c r="DQ134" s="609"/>
      <c r="DR134" s="609"/>
      <c r="DS134" s="454"/>
      <c r="DT134" s="454"/>
      <c r="DU134" s="454"/>
      <c r="DV134" s="454"/>
      <c r="DW134" s="454"/>
      <c r="DX134" s="454"/>
      <c r="DY134" s="454"/>
      <c r="DZ134" s="454"/>
      <c r="EA134" s="454"/>
      <c r="EB134" s="454"/>
      <c r="EC134" s="454"/>
      <c r="ED134" s="532"/>
      <c r="EE134" s="532"/>
      <c r="EF134" s="532"/>
      <c r="EG134" s="532"/>
      <c r="EH134" s="532"/>
      <c r="EI134" s="532"/>
      <c r="EJ134" s="532"/>
      <c r="EK134" s="532"/>
      <c r="EL134" s="532"/>
      <c r="EM134" s="532"/>
      <c r="EN134" s="532"/>
      <c r="EO134" s="532"/>
      <c r="EP134" s="532"/>
      <c r="EQ134" s="532"/>
      <c r="ER134" s="532"/>
      <c r="ES134" s="532"/>
      <c r="ET134" s="532"/>
      <c r="EU134" s="532"/>
      <c r="EV134" s="454"/>
      <c r="EW134" s="454"/>
      <c r="EX134" s="454"/>
      <c r="EY134" s="454"/>
      <c r="EZ134" s="454"/>
      <c r="FA134" s="454"/>
      <c r="FB134" s="454"/>
      <c r="FC134" s="454"/>
      <c r="FD134" s="454"/>
      <c r="FE134" s="454"/>
      <c r="FF134" s="454"/>
      <c r="FG134" s="10"/>
      <c r="FH134" s="10"/>
      <c r="FI134" s="10"/>
      <c r="FJ134" s="10"/>
      <c r="FK134" s="26"/>
      <c r="FL134" s="26"/>
      <c r="FM134" s="47"/>
      <c r="FN134" s="47"/>
      <c r="FO134" s="47"/>
      <c r="FP134" s="47"/>
      <c r="FQ134" s="47"/>
      <c r="FR134" s="47"/>
      <c r="FS134" s="49"/>
      <c r="FT134" s="49"/>
      <c r="FU134" s="49"/>
      <c r="FV134" s="49"/>
      <c r="FW134" s="49"/>
      <c r="FX134" s="49"/>
      <c r="FY134" s="47"/>
      <c r="FZ134" s="94"/>
      <c r="GA134" s="49"/>
      <c r="GB134" s="49"/>
      <c r="GC134" s="49"/>
      <c r="GD134" s="49"/>
      <c r="GE134" s="49"/>
      <c r="GF134" s="49"/>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13"/>
      <c r="HG134" s="13"/>
      <c r="HH134" s="13"/>
    </row>
    <row r="135" spans="1:216" ht="7.2" customHeight="1">
      <c r="A135" s="1"/>
      <c r="B135" s="3"/>
      <c r="C135" s="3"/>
      <c r="D135" s="12"/>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ET135" s="10"/>
      <c r="EU135" s="10"/>
      <c r="EV135" s="10"/>
      <c r="EW135" s="10"/>
      <c r="EX135" s="10"/>
      <c r="EY135" s="10"/>
      <c r="EZ135" s="10"/>
      <c r="FA135" s="10"/>
      <c r="FB135" s="10"/>
      <c r="FC135" s="10"/>
      <c r="FD135" s="10"/>
      <c r="FE135" s="10"/>
      <c r="FF135" s="10"/>
      <c r="FG135" s="10"/>
      <c r="FH135" s="10"/>
      <c r="FI135" s="10"/>
      <c r="FJ135" s="10"/>
      <c r="FK135" s="26"/>
      <c r="FL135" s="26"/>
      <c r="FM135" s="47"/>
      <c r="FN135" s="47"/>
      <c r="FO135" s="47"/>
      <c r="FP135" s="47"/>
      <c r="FQ135" s="47"/>
      <c r="FR135" s="47"/>
      <c r="FS135" s="49"/>
      <c r="FT135" s="49"/>
      <c r="FU135" s="49"/>
      <c r="FV135" s="49"/>
      <c r="FW135" s="49"/>
      <c r="FX135" s="49"/>
      <c r="FY135" s="47"/>
      <c r="FZ135" s="94"/>
      <c r="GA135" s="49"/>
      <c r="GB135" s="49"/>
      <c r="GC135" s="49"/>
      <c r="GD135" s="49"/>
      <c r="GE135" s="49"/>
      <c r="GF135" s="49"/>
      <c r="GG135" s="48"/>
      <c r="GH135" s="48"/>
      <c r="GI135" s="48"/>
      <c r="GJ135" s="48"/>
      <c r="GK135" s="48"/>
      <c r="GL135" s="48"/>
      <c r="GM135" s="48"/>
      <c r="GN135" s="48"/>
      <c r="GO135" s="48"/>
      <c r="GP135" s="48"/>
      <c r="GQ135" s="48"/>
      <c r="GR135" s="48"/>
      <c r="GS135" s="48"/>
      <c r="GT135" s="48"/>
      <c r="GU135" s="48"/>
      <c r="GV135" s="48"/>
      <c r="GW135" s="48"/>
      <c r="GX135" s="48"/>
      <c r="GY135" s="48"/>
      <c r="GZ135" s="48"/>
      <c r="HA135" s="48"/>
      <c r="HB135" s="48"/>
      <c r="HC135" s="48"/>
      <c r="HD135" s="48"/>
      <c r="HE135" s="48"/>
      <c r="HF135" s="13"/>
      <c r="HG135" s="13"/>
      <c r="HH135" s="13"/>
    </row>
    <row r="136" spans="1:216" ht="16.95" customHeight="1">
      <c r="A136" s="1"/>
      <c r="B136" s="3"/>
      <c r="C136" s="3"/>
      <c r="D136" s="12"/>
      <c r="E136" s="10"/>
      <c r="F136" s="10"/>
      <c r="G136" s="10"/>
      <c r="H136" s="10"/>
      <c r="I136" s="10"/>
      <c r="J136" s="10"/>
      <c r="K136" s="10"/>
      <c r="L136" s="10"/>
      <c r="M136" s="10"/>
      <c r="N136" s="10"/>
      <c r="O136" s="10"/>
      <c r="P136" s="10"/>
      <c r="Q136" s="10"/>
      <c r="R136" s="10"/>
      <c r="S136" s="10"/>
      <c r="T136" s="10"/>
      <c r="U136" s="10"/>
      <c r="V136" s="10"/>
      <c r="W136" s="10"/>
      <c r="X136" s="10"/>
      <c r="Y136" s="10"/>
      <c r="Z136" s="10"/>
      <c r="AA136" s="464" t="str">
        <f ca="1">IF(FO40=0,"","als q = 0")</f>
        <v/>
      </c>
      <c r="AB136" s="10"/>
      <c r="AC136" s="10"/>
      <c r="AD136" s="10"/>
      <c r="AE136" s="10"/>
      <c r="AF136" s="10"/>
      <c r="AG136" s="10"/>
      <c r="AH136" s="10"/>
      <c r="AI136" s="10"/>
      <c r="AJ136" s="10"/>
      <c r="AK136" s="10"/>
      <c r="AL136" s="10"/>
      <c r="AM136" s="10"/>
      <c r="AN136" s="10"/>
      <c r="AO136" s="10"/>
      <c r="AP136" s="10"/>
      <c r="AQ136" s="10"/>
      <c r="AR136" s="10"/>
      <c r="BC136" s="464" t="str">
        <f ca="1">IF(FP123&gt;=1,"als q = 1","")</f>
        <v/>
      </c>
      <c r="CF136" s="464" t="str">
        <f ca="1">IF(FP123&gt;=2,"als q = 2","")</f>
        <v/>
      </c>
      <c r="DI136" s="464" t="str">
        <f ca="1">IF(FP123&gt;=3,"als q = 3","")</f>
        <v/>
      </c>
      <c r="EL136" s="464" t="str">
        <f ca="1">IF(FP123&gt;=4,"als q = 4","")</f>
        <v/>
      </c>
      <c r="ET136" s="10"/>
      <c r="EU136" s="10"/>
      <c r="EV136" s="10"/>
      <c r="EW136" s="10"/>
      <c r="EX136" s="10"/>
      <c r="EY136" s="10"/>
      <c r="EZ136" s="10"/>
      <c r="FA136" s="10"/>
      <c r="FB136" s="10"/>
      <c r="FC136" s="10"/>
      <c r="FD136" s="10"/>
      <c r="FE136" s="10"/>
      <c r="FF136" s="10"/>
      <c r="FG136" s="10"/>
      <c r="FH136" s="10"/>
      <c r="FI136" s="10"/>
      <c r="FJ136" s="10"/>
      <c r="FK136" s="26"/>
      <c r="FL136" s="26"/>
      <c r="FM136" s="47"/>
      <c r="FN136" s="47"/>
      <c r="FO136" s="47"/>
      <c r="FP136" s="47"/>
      <c r="FQ136" s="47"/>
      <c r="FR136" s="47"/>
      <c r="FS136" s="49"/>
      <c r="FT136" s="49"/>
      <c r="FU136" s="49"/>
      <c r="FV136" s="49"/>
      <c r="FW136" s="49"/>
      <c r="FX136" s="49"/>
      <c r="FY136" s="47"/>
      <c r="FZ136" s="94"/>
      <c r="GA136" s="49"/>
      <c r="GB136" s="49"/>
      <c r="GC136" s="49"/>
      <c r="GD136" s="49"/>
      <c r="GE136" s="49"/>
      <c r="GF136" s="49"/>
      <c r="GG136" s="48"/>
      <c r="GH136" s="48"/>
      <c r="GI136" s="48"/>
      <c r="GJ136" s="48"/>
      <c r="GK136" s="48"/>
      <c r="GL136" s="48"/>
      <c r="GM136" s="48"/>
      <c r="GN136" s="48"/>
      <c r="GO136" s="48"/>
      <c r="GP136" s="48"/>
      <c r="GQ136" s="48"/>
      <c r="GR136" s="48"/>
      <c r="GS136" s="48"/>
      <c r="GT136" s="48"/>
      <c r="GU136" s="48"/>
      <c r="GV136" s="48"/>
      <c r="GW136" s="48"/>
      <c r="GX136" s="48"/>
      <c r="GY136" s="48"/>
      <c r="GZ136" s="48"/>
      <c r="HA136" s="48"/>
      <c r="HB136" s="48"/>
      <c r="HC136" s="48"/>
      <c r="HD136" s="48"/>
      <c r="HE136" s="48"/>
      <c r="HF136" s="13"/>
      <c r="HG136" s="13"/>
      <c r="HH136" s="13"/>
    </row>
    <row r="137" spans="1:216" ht="16.95" customHeight="1">
      <c r="A137" s="1"/>
      <c r="B137" s="3"/>
      <c r="C137" s="3"/>
      <c r="D137" s="12"/>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26"/>
      <c r="FL137" s="26"/>
      <c r="FM137" s="47"/>
      <c r="FN137" s="47"/>
      <c r="FO137" s="47"/>
      <c r="FP137" s="47"/>
      <c r="FQ137" s="47"/>
      <c r="FR137" s="47"/>
      <c r="FS137" s="49"/>
      <c r="FT137" s="49"/>
      <c r="FU137" s="49"/>
      <c r="FV137" s="49"/>
      <c r="FW137" s="49"/>
      <c r="FX137" s="49"/>
      <c r="FY137" s="47"/>
      <c r="FZ137" s="94"/>
      <c r="GA137" s="49"/>
      <c r="GB137" s="49"/>
      <c r="GC137" s="49"/>
      <c r="GD137" s="49"/>
      <c r="GE137" s="49"/>
      <c r="GF137" s="49"/>
      <c r="GG137" s="48"/>
      <c r="GH137" s="48"/>
      <c r="GI137" s="48"/>
      <c r="GJ137" s="48"/>
      <c r="GK137" s="48"/>
      <c r="GL137" s="48"/>
      <c r="GM137" s="48"/>
      <c r="GN137" s="48"/>
      <c r="GO137" s="48"/>
      <c r="GP137" s="48"/>
      <c r="GQ137" s="48"/>
      <c r="GR137" s="48"/>
      <c r="GS137" s="48"/>
      <c r="GT137" s="48"/>
      <c r="GU137" s="48"/>
      <c r="GV137" s="48"/>
      <c r="GW137" s="48"/>
      <c r="GX137" s="48"/>
      <c r="GY137" s="48"/>
      <c r="GZ137" s="48"/>
      <c r="HA137" s="48"/>
      <c r="HB137" s="48"/>
      <c r="HC137" s="48"/>
      <c r="HD137" s="48"/>
      <c r="HE137" s="48"/>
      <c r="HF137" s="13"/>
      <c r="HG137" s="13"/>
      <c r="HH137" s="13"/>
    </row>
    <row r="138" spans="1:216" ht="16.95" customHeight="1">
      <c r="A138" s="1"/>
      <c r="B138" s="3"/>
      <c r="C138" s="3"/>
      <c r="D138" s="12" t="str">
        <f ca="1">IF(FN123=0,"","Ga je uit van een opbrengstfunctie (en een ononderbroken opbrengstenlijn),")</f>
        <v/>
      </c>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26"/>
      <c r="FL138" s="26"/>
      <c r="FM138" s="47"/>
      <c r="FN138" s="47"/>
      <c r="FO138" s="47"/>
      <c r="FP138" s="47"/>
      <c r="FQ138" s="47"/>
      <c r="FR138" s="47"/>
      <c r="FS138" s="49"/>
      <c r="FT138" s="49"/>
      <c r="FU138" s="49"/>
      <c r="FV138" s="49"/>
      <c r="FW138" s="49"/>
      <c r="FX138" s="49"/>
      <c r="FY138" s="47"/>
      <c r="FZ138" s="94"/>
      <c r="GA138" s="49"/>
      <c r="GB138" s="49"/>
      <c r="GC138" s="49"/>
      <c r="GD138" s="49"/>
      <c r="GE138" s="49"/>
      <c r="GF138" s="49"/>
      <c r="GG138" s="48"/>
      <c r="GH138" s="48"/>
      <c r="GI138" s="48"/>
      <c r="GJ138" s="48"/>
      <c r="GK138" s="48"/>
      <c r="GL138" s="48"/>
      <c r="GM138" s="48"/>
      <c r="GN138" s="48"/>
      <c r="GO138" s="48"/>
      <c r="GP138" s="48"/>
      <c r="GQ138" s="48"/>
      <c r="GR138" s="48"/>
      <c r="GS138" s="48"/>
      <c r="GT138" s="48"/>
      <c r="GU138" s="48"/>
      <c r="GV138" s="48"/>
      <c r="GW138" s="48"/>
      <c r="GX138" s="48"/>
      <c r="GY138" s="48"/>
      <c r="GZ138" s="48"/>
      <c r="HA138" s="48"/>
      <c r="HB138" s="48"/>
      <c r="HC138" s="48"/>
      <c r="HD138" s="48"/>
      <c r="HE138" s="48"/>
      <c r="HF138" s="13"/>
      <c r="HG138" s="13"/>
      <c r="HH138" s="13"/>
    </row>
    <row r="139" spans="1:216" ht="16.95" customHeight="1">
      <c r="A139" s="1"/>
      <c r="B139" s="3"/>
      <c r="C139" s="3"/>
      <c r="D139" s="12" t="str">
        <f ca="1">IF(FN123=0,"","dan ga je er vanuit dat het product oneindig deelbaar is. Je kunt dan de")</f>
        <v/>
      </c>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26"/>
      <c r="FL139" s="26"/>
      <c r="FM139" s="47"/>
      <c r="FN139" s="47"/>
      <c r="FO139" s="47"/>
      <c r="FP139" s="47"/>
      <c r="FQ139" s="47"/>
      <c r="FR139" s="47"/>
      <c r="FS139" s="49"/>
      <c r="FT139" s="49"/>
      <c r="FU139" s="49"/>
      <c r="FV139" s="49"/>
      <c r="FW139" s="49"/>
      <c r="FX139" s="49"/>
      <c r="FY139" s="47"/>
      <c r="FZ139" s="94"/>
      <c r="GA139" s="49"/>
      <c r="GB139" s="49"/>
      <c r="GC139" s="49"/>
      <c r="GD139" s="49"/>
      <c r="GE139" s="49"/>
      <c r="GF139" s="49"/>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13"/>
      <c r="HG139" s="13"/>
      <c r="HH139" s="13"/>
    </row>
    <row r="140" spans="1:216" ht="16.95" customHeight="1">
      <c r="A140" s="1"/>
      <c r="B140" s="3"/>
      <c r="C140" s="3"/>
      <c r="D140" s="12" t="str">
        <f ca="1">IF(FN123=0,"","MO op elk willekeurig punt berekenen. Hieronder zie je drie TO-curven")</f>
        <v/>
      </c>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26"/>
      <c r="FL140" s="26"/>
      <c r="FM140" s="47"/>
      <c r="FN140" s="47"/>
      <c r="FO140" s="47"/>
      <c r="FP140" s="47"/>
      <c r="FQ140" s="47"/>
      <c r="FR140" s="47"/>
      <c r="FS140" s="49"/>
      <c r="FT140" s="49"/>
      <c r="FU140" s="49"/>
      <c r="FV140" s="49"/>
      <c r="FW140" s="49"/>
      <c r="FX140" s="49"/>
      <c r="FY140" s="47"/>
      <c r="FZ140" s="94"/>
      <c r="GA140" s="49"/>
      <c r="GB140" s="49"/>
      <c r="GC140" s="49"/>
      <c r="GD140" s="49"/>
      <c r="GE140" s="49"/>
      <c r="GF140" s="49"/>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13"/>
      <c r="HG140" s="13"/>
      <c r="HH140" s="13"/>
    </row>
    <row r="141" spans="1:216" ht="16.95" customHeight="1">
      <c r="A141" s="1"/>
      <c r="B141" s="3"/>
      <c r="C141" s="3"/>
      <c r="D141" s="12" t="str">
        <f ca="1">IF(FN123=0,"","staan (A, B en C). Bij elke is de marginale opbrengst bij de betreffende")</f>
        <v/>
      </c>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26"/>
      <c r="FL141" s="26"/>
      <c r="FM141" s="47"/>
      <c r="FN141" s="47"/>
      <c r="FO141" s="47"/>
      <c r="FP141" s="47"/>
      <c r="FQ141" s="47"/>
      <c r="FR141" s="47"/>
      <c r="FS141" s="49"/>
      <c r="FT141" s="49"/>
      <c r="FU141" s="49"/>
      <c r="FV141" s="49"/>
      <c r="FW141" s="49"/>
      <c r="FX141" s="49"/>
      <c r="FY141" s="47"/>
      <c r="FZ141" s="94"/>
      <c r="GA141" s="49"/>
      <c r="GB141" s="49"/>
      <c r="GC141" s="49"/>
      <c r="GD141" s="49"/>
      <c r="GE141" s="49"/>
      <c r="GF141" s="49"/>
      <c r="GG141" s="48"/>
      <c r="GH141" s="48"/>
      <c r="GI141" s="48"/>
      <c r="GJ141" s="48"/>
      <c r="GK141" s="48"/>
      <c r="GL141" s="48"/>
      <c r="GM141" s="48"/>
      <c r="GN141" s="48"/>
      <c r="GO141" s="48"/>
      <c r="GP141" s="48"/>
      <c r="GQ141" s="48"/>
      <c r="GR141" s="48"/>
      <c r="GS141" s="48"/>
      <c r="GT141" s="48"/>
      <c r="GU141" s="48"/>
      <c r="GV141" s="48"/>
      <c r="GW141" s="48"/>
      <c r="GX141" s="48"/>
      <c r="GY141" s="48"/>
      <c r="GZ141" s="48"/>
      <c r="HA141" s="48"/>
      <c r="HB141" s="48"/>
      <c r="HC141" s="48"/>
      <c r="HD141" s="48"/>
      <c r="HE141" s="48"/>
      <c r="HF141" s="13"/>
      <c r="HG141" s="13"/>
      <c r="HH141" s="13"/>
    </row>
    <row r="142" spans="1:216" ht="16.95" customHeight="1">
      <c r="A142" s="1"/>
      <c r="B142" s="3"/>
      <c r="C142" s="3"/>
      <c r="D142" s="12" t="str">
        <f ca="1">IF(FN123=0,"","hoeveelheid op een hellingsbord aangegeven.")</f>
        <v/>
      </c>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26"/>
      <c r="FL142" s="26"/>
      <c r="FM142" s="47"/>
      <c r="FN142" s="47"/>
      <c r="FO142" s="47"/>
      <c r="FP142" s="47"/>
      <c r="FQ142" s="47"/>
      <c r="FR142" s="47"/>
      <c r="FS142" s="49"/>
      <c r="FT142" s="49"/>
      <c r="FU142" s="49"/>
      <c r="FV142" s="49"/>
      <c r="FW142" s="49"/>
      <c r="FX142" s="49"/>
      <c r="FY142" s="47"/>
      <c r="FZ142" s="94"/>
      <c r="GA142" s="49"/>
      <c r="GB142" s="49"/>
      <c r="GC142" s="49"/>
      <c r="GD142" s="49"/>
      <c r="GE142" s="49"/>
      <c r="GF142" s="49"/>
      <c r="GG142" s="48"/>
      <c r="GH142" s="48"/>
      <c r="GI142" s="48"/>
      <c r="GJ142" s="48"/>
      <c r="GK142" s="48"/>
      <c r="GL142" s="48"/>
      <c r="GM142" s="48"/>
      <c r="GN142" s="48"/>
      <c r="GO142" s="48"/>
      <c r="GP142" s="48"/>
      <c r="GQ142" s="48"/>
      <c r="GR142" s="48"/>
      <c r="GS142" s="48"/>
      <c r="GT142" s="48"/>
      <c r="GU142" s="48"/>
      <c r="GV142" s="48"/>
      <c r="GW142" s="48"/>
      <c r="GX142" s="48"/>
      <c r="GY142" s="48"/>
      <c r="GZ142" s="48"/>
      <c r="HA142" s="48"/>
      <c r="HB142" s="48"/>
      <c r="HC142" s="48"/>
      <c r="HD142" s="48"/>
      <c r="HE142" s="48"/>
      <c r="HF142" s="13"/>
      <c r="HG142" s="13"/>
      <c r="HH142" s="13"/>
    </row>
    <row r="143" spans="1:216" ht="9" customHeight="1">
      <c r="A143" s="1"/>
      <c r="B143" s="3"/>
      <c r="C143" s="3"/>
      <c r="D143" s="12"/>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26"/>
      <c r="CB143" s="126"/>
      <c r="CC143" s="126"/>
      <c r="CD143" s="126"/>
      <c r="CE143" s="126"/>
      <c r="CF143" s="126"/>
      <c r="CG143" s="126"/>
      <c r="CH143" s="126"/>
      <c r="CI143" s="126"/>
      <c r="CJ143" s="126"/>
      <c r="CK143" s="126"/>
      <c r="CL143" s="126"/>
      <c r="CM143" s="126"/>
      <c r="CN143" s="126"/>
      <c r="CO143" s="126"/>
      <c r="CP143" s="126"/>
      <c r="CQ143" s="126"/>
      <c r="CR143" s="126"/>
      <c r="CS143" s="126"/>
      <c r="CT143" s="126"/>
      <c r="CU143" s="126"/>
      <c r="CV143" s="126"/>
      <c r="CW143" s="126"/>
      <c r="CX143" s="126"/>
      <c r="CY143" s="126"/>
      <c r="CZ143" s="126"/>
      <c r="DA143" s="126"/>
      <c r="DB143" s="126"/>
      <c r="DC143" s="126"/>
      <c r="DD143" s="126"/>
      <c r="DE143" s="126"/>
      <c r="DF143" s="126"/>
      <c r="DG143" s="126"/>
      <c r="DH143" s="126"/>
      <c r="DI143" s="126"/>
      <c r="DJ143" s="126"/>
      <c r="DK143" s="126"/>
      <c r="DL143" s="126"/>
      <c r="DM143" s="126"/>
      <c r="DN143" s="126"/>
      <c r="DO143" s="126"/>
      <c r="DP143" s="126"/>
      <c r="DQ143" s="126"/>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49"/>
      <c r="FN143" s="49"/>
      <c r="FO143" s="49"/>
      <c r="FP143" s="49"/>
      <c r="FQ143" s="49"/>
      <c r="FR143" s="49"/>
      <c r="FS143" s="49"/>
      <c r="FT143" s="49"/>
      <c r="FU143" s="47"/>
      <c r="FV143" s="47"/>
      <c r="FW143" s="47"/>
      <c r="FX143" s="47"/>
      <c r="FY143" s="47"/>
      <c r="FZ143" s="94"/>
      <c r="GA143" s="49"/>
      <c r="GB143" s="49"/>
      <c r="GC143" s="49"/>
      <c r="GD143" s="49"/>
      <c r="GE143" s="49"/>
      <c r="GF143" s="49"/>
      <c r="GG143" s="48"/>
      <c r="GH143" s="48"/>
      <c r="GI143" s="48"/>
      <c r="GJ143" s="48"/>
      <c r="GK143" s="48"/>
      <c r="GL143" s="48"/>
      <c r="GM143" s="48"/>
      <c r="GN143" s="48"/>
      <c r="GO143" s="48"/>
      <c r="GP143" s="48"/>
      <c r="GQ143" s="48"/>
      <c r="GR143" s="48"/>
      <c r="GS143" s="48"/>
      <c r="GT143" s="48"/>
      <c r="GU143" s="48"/>
      <c r="GV143" s="48"/>
      <c r="GW143" s="48"/>
      <c r="GX143" s="48"/>
      <c r="GY143" s="48"/>
      <c r="GZ143" s="48"/>
      <c r="HA143" s="48"/>
      <c r="HB143" s="48"/>
      <c r="HC143" s="48"/>
      <c r="HD143" s="48"/>
      <c r="HE143" s="48"/>
      <c r="HF143" s="13"/>
      <c r="HG143" s="13"/>
      <c r="HH143" s="13"/>
    </row>
    <row r="144" spans="1:216" ht="3.75" customHeight="1">
      <c r="A144" s="1"/>
      <c r="B144" s="3"/>
      <c r="C144" s="3"/>
      <c r="D144" s="12"/>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26"/>
      <c r="CB144" s="126"/>
      <c r="CC144" s="126"/>
      <c r="CD144" s="126"/>
      <c r="CE144" s="126"/>
      <c r="CF144" s="126"/>
      <c r="CG144" s="126"/>
      <c r="CH144" s="126"/>
      <c r="CI144" s="126"/>
      <c r="CJ144" s="126"/>
      <c r="CK144" s="126"/>
      <c r="CL144" s="126"/>
      <c r="CM144" s="126"/>
      <c r="CN144" s="126"/>
      <c r="CO144" s="126"/>
      <c r="CP144" s="126"/>
      <c r="CQ144" s="126"/>
      <c r="CR144" s="126"/>
      <c r="CS144" s="126"/>
      <c r="CT144" s="126"/>
      <c r="CU144" s="126"/>
      <c r="CV144" s="126"/>
      <c r="CW144" s="126"/>
      <c r="CX144" s="126"/>
      <c r="CY144" s="126"/>
      <c r="CZ144" s="126"/>
      <c r="DA144" s="126"/>
      <c r="DB144" s="126"/>
      <c r="DC144" s="126"/>
      <c r="DD144" s="126"/>
      <c r="DE144" s="544" t="str">
        <f ca="1">IF(FN123=0,"",".")</f>
        <v/>
      </c>
      <c r="DF144" s="545"/>
      <c r="DG144" s="545"/>
      <c r="DH144" s="545"/>
      <c r="DI144" s="545"/>
      <c r="DJ144" s="545"/>
      <c r="DK144" s="545"/>
      <c r="DL144" s="126"/>
      <c r="DM144" s="126"/>
      <c r="DN144" s="126"/>
      <c r="DO144" s="126"/>
      <c r="DP144" s="126"/>
      <c r="DQ144" s="126"/>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49"/>
      <c r="FN144" s="49"/>
      <c r="FO144" s="49"/>
      <c r="FP144" s="49"/>
      <c r="FQ144" s="49"/>
      <c r="FR144" s="49"/>
      <c r="FS144" s="49"/>
      <c r="FT144" s="49"/>
      <c r="FU144" s="47"/>
      <c r="FV144" s="47"/>
      <c r="FW144" s="47"/>
      <c r="FX144" s="47"/>
      <c r="FY144" s="47"/>
      <c r="FZ144" s="94"/>
      <c r="GA144" s="49"/>
      <c r="GB144" s="49"/>
      <c r="GC144" s="49"/>
      <c r="GD144" s="49"/>
      <c r="GE144" s="49"/>
      <c r="GF144" s="49"/>
      <c r="GG144" s="48"/>
      <c r="GH144" s="48"/>
      <c r="GI144" s="48"/>
      <c r="GJ144" s="48"/>
      <c r="GK144" s="48"/>
      <c r="GL144" s="48"/>
      <c r="GM144" s="48"/>
      <c r="GN144" s="48"/>
      <c r="GO144" s="48"/>
      <c r="GP144" s="48"/>
      <c r="GQ144" s="48"/>
      <c r="GR144" s="48"/>
      <c r="GS144" s="48"/>
      <c r="GT144" s="48"/>
      <c r="GU144" s="48"/>
      <c r="GV144" s="48"/>
      <c r="GW144" s="48"/>
      <c r="GX144" s="48"/>
      <c r="GY144" s="48"/>
      <c r="GZ144" s="48"/>
      <c r="HA144" s="48"/>
      <c r="HB144" s="48"/>
      <c r="HC144" s="48"/>
      <c r="HD144" s="48"/>
      <c r="HE144" s="48"/>
      <c r="HF144" s="13"/>
      <c r="HG144" s="13"/>
      <c r="HH144" s="13"/>
    </row>
    <row r="145" spans="1:216" ht="16.5" customHeight="1">
      <c r="A145" s="1"/>
      <c r="B145" s="3"/>
      <c r="C145" s="3"/>
      <c r="D145" s="43"/>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26"/>
      <c r="CB145" s="126"/>
      <c r="CC145" s="126"/>
      <c r="CD145" s="126"/>
      <c r="CE145" s="126"/>
      <c r="CF145" s="126"/>
      <c r="CG145" s="126"/>
      <c r="CH145" s="126"/>
      <c r="CI145" s="126"/>
      <c r="CJ145" s="126"/>
      <c r="CK145" s="126"/>
      <c r="CL145" s="126"/>
      <c r="CM145" s="126"/>
      <c r="CN145" s="126"/>
      <c r="CO145" s="126"/>
      <c r="CP145" s="126"/>
      <c r="CQ145" s="126"/>
      <c r="CR145" s="126"/>
      <c r="CS145" s="126"/>
      <c r="CT145" s="126"/>
      <c r="CU145" s="126"/>
      <c r="CV145" s="126"/>
      <c r="CW145" s="126"/>
      <c r="CX145" s="126"/>
      <c r="CY145" s="126"/>
      <c r="CZ145" s="126"/>
      <c r="DA145" s="126"/>
      <c r="DB145" s="126"/>
      <c r="DC145" s="182" t="str">
        <f ca="1">IF(FN123=0,"","Bij welke TO-functie kloppen alle waarden op de hellingsborden?")</f>
        <v/>
      </c>
      <c r="DD145" s="126"/>
      <c r="DE145" s="198" t="str">
        <f ca="1">IF(FN123=0,"",".")</f>
        <v/>
      </c>
      <c r="DF145" s="642"/>
      <c r="DG145" s="642"/>
      <c r="DH145" s="642"/>
      <c r="DI145" s="642"/>
      <c r="DJ145" s="642"/>
      <c r="DK145" s="198" t="str">
        <f ca="1">IF(FN123=0,"",".")</f>
        <v/>
      </c>
      <c r="DL145" s="126"/>
      <c r="DM145" s="44" t="str">
        <f ca="1">IF(FN123=0,"",IF(DF145="","",IF(DF145=FR145,"Goed!","Fout! Probeer het opnieuw.")))</f>
        <v/>
      </c>
      <c r="DN145" s="126"/>
      <c r="DO145" s="126"/>
      <c r="DP145" s="126"/>
      <c r="DQ145" s="126"/>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48"/>
      <c r="FN145" s="48" t="str">
        <f ca="1">IF(FO1=0,"",FR145)</f>
        <v>C</v>
      </c>
      <c r="FO145" s="79">
        <f ca="1">IF(programma!B1="X",1,IF(FN123=0,0,IF(DF145=FR145,1,0)))</f>
        <v>0</v>
      </c>
      <c r="FP145" s="49" t="s">
        <v>12</v>
      </c>
      <c r="FQ145" s="49" t="s">
        <v>13</v>
      </c>
      <c r="FR145" s="49" t="s">
        <v>14</v>
      </c>
      <c r="FS145" s="49"/>
      <c r="FT145" s="49"/>
      <c r="FU145" s="47"/>
      <c r="FV145" s="47"/>
      <c r="FW145" s="47"/>
      <c r="FX145" s="47"/>
      <c r="FY145" s="47"/>
      <c r="FZ145" s="94"/>
      <c r="GA145" s="49"/>
      <c r="GB145" s="49"/>
      <c r="GC145" s="49"/>
      <c r="GD145" s="49"/>
      <c r="GE145" s="49"/>
      <c r="GF145" s="49"/>
      <c r="GG145" s="48"/>
      <c r="GH145" s="48"/>
      <c r="GI145" s="48"/>
      <c r="GJ145" s="48"/>
      <c r="GK145" s="48"/>
      <c r="GL145" s="48"/>
      <c r="GM145" s="48"/>
      <c r="GN145" s="48"/>
      <c r="GO145" s="48"/>
      <c r="GP145" s="48"/>
      <c r="GQ145" s="48"/>
      <c r="GR145" s="48"/>
      <c r="GS145" s="48"/>
      <c r="GT145" s="48"/>
      <c r="GU145" s="48"/>
      <c r="GV145" s="48"/>
      <c r="GW145" s="48"/>
      <c r="GX145" s="48"/>
      <c r="GY145" s="48"/>
      <c r="GZ145" s="48"/>
      <c r="HA145" s="48"/>
      <c r="HB145" s="48"/>
      <c r="HC145" s="48"/>
      <c r="HD145" s="48"/>
      <c r="HE145" s="48"/>
      <c r="HF145" s="13"/>
      <c r="HG145" s="13"/>
      <c r="HH145" s="13"/>
    </row>
    <row r="146" spans="1:216" ht="3.75" customHeight="1">
      <c r="A146" s="1"/>
      <c r="B146" s="3"/>
      <c r="C146" s="3"/>
      <c r="D146" s="12"/>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26"/>
      <c r="CB146" s="126"/>
      <c r="CC146" s="126"/>
      <c r="CD146" s="126"/>
      <c r="CE146" s="126"/>
      <c r="CF146" s="126"/>
      <c r="CG146" s="126"/>
      <c r="CH146" s="126"/>
      <c r="CI146" s="126"/>
      <c r="CJ146" s="126"/>
      <c r="CK146" s="126"/>
      <c r="CL146" s="126"/>
      <c r="CM146" s="126"/>
      <c r="CN146" s="126"/>
      <c r="CO146" s="126"/>
      <c r="CP146" s="126"/>
      <c r="CQ146" s="126"/>
      <c r="CR146" s="126"/>
      <c r="CS146" s="126"/>
      <c r="CT146" s="126"/>
      <c r="CU146" s="126"/>
      <c r="CV146" s="126"/>
      <c r="CW146" s="126"/>
      <c r="CX146" s="126"/>
      <c r="CY146" s="126"/>
      <c r="CZ146" s="126"/>
      <c r="DA146" s="126"/>
      <c r="DB146" s="126"/>
      <c r="DC146" s="126"/>
      <c r="DD146" s="126"/>
      <c r="DE146" s="544" t="str">
        <f ca="1">IF(FN123=0,"",".")</f>
        <v/>
      </c>
      <c r="DF146" s="545"/>
      <c r="DG146" s="545"/>
      <c r="DH146" s="545"/>
      <c r="DI146" s="545"/>
      <c r="DJ146" s="545"/>
      <c r="DK146" s="545"/>
      <c r="DL146" s="126"/>
      <c r="DM146" s="126"/>
      <c r="DN146" s="126"/>
      <c r="DO146" s="126"/>
      <c r="DP146" s="126"/>
      <c r="DQ146" s="126"/>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49"/>
      <c r="FN146" s="49"/>
      <c r="FO146" s="49"/>
      <c r="FP146" s="49"/>
      <c r="FQ146" s="49"/>
      <c r="FR146" s="49"/>
      <c r="FS146" s="49"/>
      <c r="FT146" s="49"/>
      <c r="FU146" s="47"/>
      <c r="FV146" s="47"/>
      <c r="FW146" s="47"/>
      <c r="FX146" s="47"/>
      <c r="FY146" s="47"/>
      <c r="FZ146" s="94"/>
      <c r="GA146" s="49"/>
      <c r="GB146" s="49"/>
      <c r="GC146" s="49"/>
      <c r="GD146" s="49"/>
      <c r="GE146" s="49"/>
      <c r="GF146" s="49"/>
      <c r="GG146" s="49"/>
      <c r="GH146" s="49"/>
      <c r="GI146" s="49"/>
      <c r="GJ146" s="49"/>
      <c r="GK146" s="49"/>
      <c r="GL146" s="49"/>
      <c r="GM146" s="49"/>
      <c r="GN146" s="49"/>
      <c r="GO146" s="49"/>
      <c r="GP146" s="49"/>
      <c r="GQ146" s="49"/>
      <c r="GR146" s="49"/>
      <c r="GS146" s="49"/>
      <c r="GT146" s="49"/>
      <c r="GU146" s="49"/>
      <c r="GV146" s="49"/>
      <c r="GW146" s="49"/>
      <c r="GX146" s="49"/>
      <c r="GY146" s="49"/>
      <c r="GZ146" s="49"/>
      <c r="HA146" s="49"/>
      <c r="HB146" s="49"/>
      <c r="HC146" s="48"/>
      <c r="HD146" s="48"/>
      <c r="HE146" s="48"/>
      <c r="HF146" s="13"/>
      <c r="HG146" s="13"/>
      <c r="HH146" s="13"/>
    </row>
    <row r="147" spans="1:216" ht="16.5" customHeight="1">
      <c r="A147" s="1"/>
      <c r="B147" s="3"/>
      <c r="C147" s="3"/>
      <c r="D147" s="12"/>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26"/>
      <c r="CM147" s="126"/>
      <c r="CN147" s="126"/>
      <c r="CO147" s="126"/>
      <c r="CP147" s="126"/>
      <c r="CQ147" s="126"/>
      <c r="CR147" s="126"/>
      <c r="CS147" s="126"/>
      <c r="CT147" s="126"/>
      <c r="CU147" s="126"/>
      <c r="CV147" s="126"/>
      <c r="CW147" s="126"/>
      <c r="CX147" s="126"/>
      <c r="CY147" s="126"/>
      <c r="CZ147" s="126"/>
      <c r="DA147" s="126"/>
      <c r="DB147" s="126"/>
      <c r="DC147" s="126"/>
      <c r="DD147" s="126"/>
      <c r="DE147" s="126"/>
      <c r="DF147" s="126"/>
      <c r="DG147" s="126"/>
      <c r="DH147" s="126"/>
      <c r="DI147" s="126"/>
      <c r="DJ147" s="126"/>
      <c r="DK147" s="126"/>
      <c r="DL147" s="126"/>
      <c r="DM147" s="126"/>
      <c r="DN147" s="126"/>
      <c r="DO147" s="126"/>
      <c r="DP147" s="126"/>
      <c r="DQ147" s="126"/>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26"/>
      <c r="FL147" s="26"/>
      <c r="FM147" s="47"/>
      <c r="FN147" s="47"/>
      <c r="FO147" s="47"/>
      <c r="FP147" s="47"/>
      <c r="FQ147" s="47"/>
      <c r="FR147" s="47"/>
      <c r="FS147" s="49"/>
      <c r="FT147" s="49"/>
      <c r="FU147" s="49"/>
      <c r="FV147" s="49"/>
      <c r="FW147" s="49"/>
      <c r="FX147" s="49"/>
      <c r="FY147" s="47"/>
      <c r="FZ147" s="94"/>
      <c r="GA147" s="49"/>
      <c r="GB147" s="49"/>
      <c r="GC147" s="49"/>
      <c r="GD147" s="49"/>
      <c r="GE147" s="49"/>
      <c r="GF147" s="49"/>
      <c r="GG147" s="49"/>
      <c r="GH147" s="49"/>
      <c r="GI147" s="49"/>
      <c r="GJ147" s="49"/>
      <c r="GK147" s="49"/>
      <c r="GL147" s="49"/>
      <c r="GM147" s="49"/>
      <c r="GN147" s="49"/>
      <c r="GO147" s="49"/>
      <c r="GP147" s="49"/>
      <c r="GQ147" s="49"/>
      <c r="GR147" s="49"/>
      <c r="GS147" s="49"/>
      <c r="GT147" s="49"/>
      <c r="GU147" s="49"/>
      <c r="GV147" s="49"/>
      <c r="GW147" s="49"/>
      <c r="GX147" s="49"/>
      <c r="GY147" s="49"/>
      <c r="GZ147" s="49"/>
      <c r="HA147" s="49"/>
      <c r="HB147" s="49"/>
      <c r="HC147" s="48"/>
      <c r="HD147" s="48"/>
      <c r="HE147" s="48"/>
      <c r="HF147" s="13"/>
      <c r="HG147" s="13"/>
      <c r="HH147" s="13"/>
    </row>
    <row r="148" spans="1:216" ht="16.5" customHeight="1">
      <c r="A148" s="1"/>
      <c r="B148" s="3"/>
      <c r="C148" s="3"/>
      <c r="D148" s="12"/>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26"/>
      <c r="FL148" s="26"/>
      <c r="FM148" s="47"/>
      <c r="FN148" s="47"/>
      <c r="FO148" s="47"/>
      <c r="FP148" s="47"/>
      <c r="FQ148" s="47"/>
      <c r="FR148" s="47"/>
      <c r="FS148" s="49"/>
      <c r="FT148" s="49"/>
      <c r="FU148" s="49"/>
      <c r="FV148" s="49"/>
      <c r="FW148" s="49"/>
      <c r="FX148" s="49"/>
      <c r="FY148" s="47"/>
      <c r="FZ148" s="94"/>
      <c r="GA148" s="49"/>
      <c r="GB148" s="49"/>
      <c r="GC148" s="49"/>
      <c r="GD148" s="49"/>
      <c r="GE148" s="49">
        <v>0.7</v>
      </c>
      <c r="GF148" s="49">
        <v>3.5</v>
      </c>
      <c r="GG148" s="49"/>
      <c r="GH148" s="49"/>
      <c r="GI148" s="49"/>
      <c r="GJ148" s="49"/>
      <c r="GK148" s="49"/>
      <c r="GL148" s="49"/>
      <c r="GM148" s="49"/>
      <c r="GN148" s="49"/>
      <c r="GO148" s="49"/>
      <c r="GP148" s="49"/>
      <c r="GQ148" s="49"/>
      <c r="GR148" s="49"/>
      <c r="GS148" s="49"/>
      <c r="GT148" s="49"/>
      <c r="GU148" s="49"/>
      <c r="GV148" s="49"/>
      <c r="GW148" s="49"/>
      <c r="GX148" s="49"/>
      <c r="GY148" s="49"/>
      <c r="GZ148" s="49"/>
      <c r="HA148" s="49"/>
      <c r="HB148" s="49"/>
      <c r="HC148" s="48"/>
      <c r="HD148" s="48"/>
      <c r="HE148" s="48"/>
      <c r="HF148" s="13"/>
      <c r="HG148" s="13"/>
      <c r="HH148" s="13"/>
    </row>
    <row r="149" spans="1:216" ht="16.5" customHeight="1">
      <c r="A149" s="1"/>
      <c r="B149" s="3"/>
      <c r="C149" s="3"/>
      <c r="D149" s="12"/>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26"/>
      <c r="FL149" s="26"/>
      <c r="FM149" s="47"/>
      <c r="FN149" s="47"/>
      <c r="FO149" s="47"/>
      <c r="FP149" s="47"/>
      <c r="FQ149" s="47"/>
      <c r="FR149" s="47"/>
      <c r="FS149" s="49"/>
      <c r="FT149" s="49"/>
      <c r="FU149" s="49"/>
      <c r="FV149" s="49"/>
      <c r="FW149" s="49"/>
      <c r="FX149" s="49"/>
      <c r="FY149" s="47"/>
      <c r="FZ149" s="94"/>
      <c r="GA149" s="49"/>
      <c r="GB149" s="49"/>
      <c r="GC149" s="49"/>
      <c r="GD149" s="49"/>
      <c r="GE149" s="49" t="str">
        <f ca="1">IF(FN123=0,"",0)</f>
        <v/>
      </c>
      <c r="GF149" s="49" t="e">
        <f ca="1">-$GE$148*GE149^2+$GF$148*GE149</f>
        <v>#VALUE!</v>
      </c>
      <c r="GG149" s="49" t="e">
        <f ca="1">-2*$GE$148*GE149+$GF$148</f>
        <v>#VALUE!</v>
      </c>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8"/>
      <c r="HD149" s="48"/>
      <c r="HE149" s="48"/>
      <c r="HF149" s="13"/>
      <c r="HG149" s="13"/>
      <c r="HH149" s="13"/>
    </row>
    <row r="150" spans="1:216" ht="16.5" customHeight="1">
      <c r="A150" s="1"/>
      <c r="B150" s="3"/>
      <c r="C150" s="3"/>
      <c r="D150" s="12"/>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26"/>
      <c r="FL150" s="26"/>
      <c r="FM150" s="47"/>
      <c r="FN150" s="47"/>
      <c r="FO150" s="47"/>
      <c r="FP150" s="47"/>
      <c r="FQ150" s="47"/>
      <c r="FR150" s="47"/>
      <c r="FS150" s="49"/>
      <c r="FT150" s="49"/>
      <c r="FU150" s="49"/>
      <c r="FV150" s="49"/>
      <c r="FW150" s="49"/>
      <c r="FX150" s="49"/>
      <c r="FY150" s="47"/>
      <c r="FZ150" s="94"/>
      <c r="GA150" s="49"/>
      <c r="GB150" s="49"/>
      <c r="GC150" s="49"/>
      <c r="GD150" s="49"/>
      <c r="GE150" s="49" t="str">
        <f ca="1">IF(FN123=0,"",0.5)</f>
        <v/>
      </c>
      <c r="GF150" s="49" t="e">
        <f t="shared" ref="GF150:GF159" ca="1" si="2">-$GE$148*GE150^2+$GF$148*GE150</f>
        <v>#VALUE!</v>
      </c>
      <c r="GG150" s="49" t="e">
        <f t="shared" ref="GG150:GG159" ca="1" si="3">-2*$GE$148*GE150+$GF$148</f>
        <v>#VALUE!</v>
      </c>
      <c r="GH150" s="49"/>
      <c r="GI150" s="49"/>
      <c r="GJ150" s="49"/>
      <c r="GK150" s="49"/>
      <c r="GL150" s="49"/>
      <c r="GM150" s="49"/>
      <c r="GN150" s="49"/>
      <c r="GO150" s="49"/>
      <c r="GP150" s="49"/>
      <c r="GQ150" s="49"/>
      <c r="GR150" s="49"/>
      <c r="GS150" s="49"/>
      <c r="GT150" s="49"/>
      <c r="GU150" s="49"/>
      <c r="GV150" s="49"/>
      <c r="GW150" s="49"/>
      <c r="GX150" s="49"/>
      <c r="GY150" s="49"/>
      <c r="GZ150" s="49"/>
      <c r="HA150" s="49"/>
      <c r="HB150" s="49"/>
      <c r="HC150" s="48"/>
      <c r="HD150" s="48"/>
      <c r="HE150" s="48"/>
      <c r="HF150" s="13"/>
      <c r="HG150" s="13"/>
      <c r="HH150" s="13"/>
    </row>
    <row r="151" spans="1:216" ht="16.5" customHeight="1">
      <c r="A151" s="1"/>
      <c r="B151" s="3"/>
      <c r="C151" s="3"/>
      <c r="D151" s="12"/>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26"/>
      <c r="FL151" s="26"/>
      <c r="FM151" s="47"/>
      <c r="FN151" s="47"/>
      <c r="FO151" s="47"/>
      <c r="FP151" s="47"/>
      <c r="FQ151" s="47"/>
      <c r="FR151" s="47"/>
      <c r="FS151" s="49"/>
      <c r="FT151" s="49"/>
      <c r="FU151" s="49"/>
      <c r="FV151" s="49"/>
      <c r="FW151" s="49"/>
      <c r="FX151" s="49"/>
      <c r="FY151" s="47"/>
      <c r="FZ151" s="94"/>
      <c r="GA151" s="49"/>
      <c r="GB151" s="49"/>
      <c r="GC151" s="49"/>
      <c r="GD151" s="49"/>
      <c r="GE151" s="49" t="str">
        <f ca="1">IF(FN123=0,"",1)</f>
        <v/>
      </c>
      <c r="GF151" s="49" t="e">
        <f t="shared" ca="1" si="2"/>
        <v>#VALUE!</v>
      </c>
      <c r="GG151" s="49" t="e">
        <f t="shared" ca="1" si="3"/>
        <v>#VALUE!</v>
      </c>
      <c r="GH151" s="49"/>
      <c r="GI151" s="49"/>
      <c r="GJ151" s="49"/>
      <c r="GK151" s="49"/>
      <c r="GL151" s="49"/>
      <c r="GM151" s="49"/>
      <c r="GN151" s="49"/>
      <c r="GO151" s="49"/>
      <c r="GP151" s="49"/>
      <c r="GQ151" s="49"/>
      <c r="GR151" s="49"/>
      <c r="GS151" s="49"/>
      <c r="GT151" s="49"/>
      <c r="GU151" s="49"/>
      <c r="GV151" s="49"/>
      <c r="GW151" s="49"/>
      <c r="GX151" s="49"/>
      <c r="GY151" s="49"/>
      <c r="GZ151" s="49"/>
      <c r="HA151" s="49"/>
      <c r="HB151" s="49"/>
      <c r="HC151" s="48"/>
      <c r="HD151" s="48"/>
      <c r="HE151" s="48"/>
      <c r="HF151" s="13"/>
      <c r="HG151" s="13"/>
      <c r="HH151" s="13"/>
    </row>
    <row r="152" spans="1:216" ht="16.5" customHeight="1">
      <c r="A152" s="1"/>
      <c r="B152" s="3"/>
      <c r="C152" s="3"/>
      <c r="D152" s="12"/>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26"/>
      <c r="FL152" s="26"/>
      <c r="FM152" s="47"/>
      <c r="FN152" s="47"/>
      <c r="FO152" s="47"/>
      <c r="FP152" s="47"/>
      <c r="FQ152" s="47"/>
      <c r="FR152" s="47"/>
      <c r="FS152" s="49"/>
      <c r="FT152" s="49"/>
      <c r="FU152" s="49"/>
      <c r="FV152" s="49"/>
      <c r="FW152" s="49"/>
      <c r="FX152" s="49"/>
      <c r="FY152" s="47"/>
      <c r="FZ152" s="94"/>
      <c r="GA152" s="49"/>
      <c r="GB152" s="49"/>
      <c r="GC152" s="49"/>
      <c r="GD152" s="49"/>
      <c r="GE152" s="49" t="str">
        <f ca="1">IF(FN123=0,"",1.5)</f>
        <v/>
      </c>
      <c r="GF152" s="49" t="e">
        <f t="shared" ca="1" si="2"/>
        <v>#VALUE!</v>
      </c>
      <c r="GG152" s="49" t="e">
        <f t="shared" ca="1" si="3"/>
        <v>#VALUE!</v>
      </c>
      <c r="GH152" s="49"/>
      <c r="GI152" s="49"/>
      <c r="GJ152" s="49"/>
      <c r="GK152" s="49"/>
      <c r="GL152" s="49"/>
      <c r="GM152" s="49"/>
      <c r="GN152" s="49"/>
      <c r="GO152" s="49"/>
      <c r="GP152" s="49"/>
      <c r="GQ152" s="49"/>
      <c r="GR152" s="49"/>
      <c r="GS152" s="49"/>
      <c r="GT152" s="49"/>
      <c r="GU152" s="49"/>
      <c r="GV152" s="49"/>
      <c r="GW152" s="49"/>
      <c r="GX152" s="49"/>
      <c r="GY152" s="49"/>
      <c r="GZ152" s="49"/>
      <c r="HA152" s="49"/>
      <c r="HB152" s="49"/>
      <c r="HC152" s="48"/>
      <c r="HD152" s="48"/>
      <c r="HE152" s="48"/>
      <c r="HF152" s="13"/>
      <c r="HG152" s="13"/>
      <c r="HH152" s="13"/>
    </row>
    <row r="153" spans="1:216" ht="16.5" customHeight="1">
      <c r="A153" s="1"/>
      <c r="B153" s="3"/>
      <c r="C153" s="3"/>
      <c r="D153" s="12"/>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26"/>
      <c r="FL153" s="26"/>
      <c r="FM153" s="47"/>
      <c r="FN153" s="47"/>
      <c r="FO153" s="47"/>
      <c r="FP153" s="47"/>
      <c r="FQ153" s="47"/>
      <c r="FR153" s="47"/>
      <c r="FS153" s="49"/>
      <c r="FT153" s="49"/>
      <c r="FU153" s="49"/>
      <c r="FV153" s="49"/>
      <c r="FW153" s="49"/>
      <c r="FX153" s="49"/>
      <c r="FY153" s="47"/>
      <c r="FZ153" s="94"/>
      <c r="GA153" s="49"/>
      <c r="GB153" s="49"/>
      <c r="GC153" s="49"/>
      <c r="GD153" s="49"/>
      <c r="GE153" s="49" t="str">
        <f ca="1">IF(FN123=0,"",2)</f>
        <v/>
      </c>
      <c r="GF153" s="49" t="e">
        <f t="shared" ca="1" si="2"/>
        <v>#VALUE!</v>
      </c>
      <c r="GG153" s="49" t="e">
        <f t="shared" ca="1" si="3"/>
        <v>#VALUE!</v>
      </c>
      <c r="GH153" s="49"/>
      <c r="GI153" s="49"/>
      <c r="GJ153" s="49"/>
      <c r="GK153" s="49"/>
      <c r="GL153" s="49"/>
      <c r="GM153" s="49"/>
      <c r="GN153" s="49"/>
      <c r="GO153" s="49"/>
      <c r="GP153" s="49"/>
      <c r="GQ153" s="49"/>
      <c r="GR153" s="49"/>
      <c r="GS153" s="49"/>
      <c r="GT153" s="49"/>
      <c r="GU153" s="49"/>
      <c r="GV153" s="49"/>
      <c r="GW153" s="49"/>
      <c r="GX153" s="49"/>
      <c r="GY153" s="49"/>
      <c r="GZ153" s="49"/>
      <c r="HA153" s="49"/>
      <c r="HB153" s="49"/>
      <c r="HC153" s="48"/>
      <c r="HD153" s="48"/>
      <c r="HE153" s="48"/>
      <c r="HF153" s="13"/>
      <c r="HG153" s="13"/>
      <c r="HH153" s="13"/>
    </row>
    <row r="154" spans="1:216" ht="16.5" customHeight="1">
      <c r="A154" s="1"/>
      <c r="B154" s="3"/>
      <c r="C154" s="3"/>
      <c r="D154" s="12"/>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26"/>
      <c r="FL154" s="26"/>
      <c r="FM154" s="47"/>
      <c r="FN154" s="47"/>
      <c r="FO154" s="47"/>
      <c r="FP154" s="47"/>
      <c r="FQ154" s="47"/>
      <c r="FR154" s="47"/>
      <c r="FS154" s="49"/>
      <c r="FT154" s="49"/>
      <c r="FU154" s="49"/>
      <c r="FV154" s="49"/>
      <c r="FW154" s="49"/>
      <c r="FX154" s="49"/>
      <c r="FY154" s="47"/>
      <c r="FZ154" s="94"/>
      <c r="GA154" s="49"/>
      <c r="GB154" s="49"/>
      <c r="GC154" s="49"/>
      <c r="GD154" s="49"/>
      <c r="GE154" s="49" t="str">
        <f ca="1">IF(FN123=0,"",2.5)</f>
        <v/>
      </c>
      <c r="GF154" s="49" t="e">
        <f t="shared" ca="1" si="2"/>
        <v>#VALUE!</v>
      </c>
      <c r="GG154" s="49" t="e">
        <f t="shared" ca="1" si="3"/>
        <v>#VALUE!</v>
      </c>
      <c r="GH154" s="49"/>
      <c r="GI154" s="49"/>
      <c r="GJ154" s="49"/>
      <c r="GK154" s="49"/>
      <c r="GL154" s="49"/>
      <c r="GM154" s="49"/>
      <c r="GN154" s="49"/>
      <c r="GO154" s="49"/>
      <c r="GP154" s="49"/>
      <c r="GQ154" s="49"/>
      <c r="GR154" s="49"/>
      <c r="GS154" s="49"/>
      <c r="GT154" s="49"/>
      <c r="GU154" s="49"/>
      <c r="GV154" s="49"/>
      <c r="GW154" s="49"/>
      <c r="GX154" s="49"/>
      <c r="GY154" s="49"/>
      <c r="GZ154" s="49"/>
      <c r="HA154" s="49"/>
      <c r="HB154" s="49"/>
      <c r="HC154" s="48"/>
      <c r="HD154" s="48"/>
      <c r="HE154" s="48"/>
      <c r="HF154" s="13"/>
      <c r="HG154" s="13"/>
      <c r="HH154" s="13"/>
    </row>
    <row r="155" spans="1:216" ht="16.5" customHeight="1">
      <c r="A155" s="1"/>
      <c r="B155" s="3"/>
      <c r="C155" s="3"/>
      <c r="D155" s="12"/>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26"/>
      <c r="FL155" s="26"/>
      <c r="FM155" s="47"/>
      <c r="FN155" s="47"/>
      <c r="FO155" s="47"/>
      <c r="FP155" s="47"/>
      <c r="FQ155" s="47"/>
      <c r="FR155" s="47"/>
      <c r="FS155" s="49"/>
      <c r="FT155" s="49"/>
      <c r="FU155" s="49"/>
      <c r="FV155" s="49"/>
      <c r="FW155" s="49"/>
      <c r="FX155" s="49"/>
      <c r="FY155" s="47"/>
      <c r="FZ155" s="94"/>
      <c r="GA155" s="49"/>
      <c r="GB155" s="49"/>
      <c r="GC155" s="49"/>
      <c r="GD155" s="49"/>
      <c r="GE155" s="49" t="str">
        <f ca="1">IF(FN123=0,"",3)</f>
        <v/>
      </c>
      <c r="GF155" s="49" t="e">
        <f t="shared" ca="1" si="2"/>
        <v>#VALUE!</v>
      </c>
      <c r="GG155" s="49" t="e">
        <f t="shared" ca="1" si="3"/>
        <v>#VALUE!</v>
      </c>
      <c r="GH155" s="49"/>
      <c r="GI155" s="49"/>
      <c r="GJ155" s="49"/>
      <c r="GK155" s="49"/>
      <c r="GL155" s="49"/>
      <c r="GM155" s="49"/>
      <c r="GN155" s="49"/>
      <c r="GO155" s="49"/>
      <c r="GP155" s="49"/>
      <c r="GQ155" s="49"/>
      <c r="GR155" s="49"/>
      <c r="GS155" s="49"/>
      <c r="GT155" s="49"/>
      <c r="GU155" s="49"/>
      <c r="GV155" s="49"/>
      <c r="GW155" s="49"/>
      <c r="GX155" s="49"/>
      <c r="GY155" s="49"/>
      <c r="GZ155" s="49"/>
      <c r="HA155" s="49"/>
      <c r="HB155" s="49"/>
      <c r="HC155" s="48"/>
      <c r="HD155" s="48"/>
      <c r="HE155" s="48"/>
      <c r="HF155" s="13"/>
      <c r="HG155" s="13"/>
      <c r="HH155" s="13"/>
    </row>
    <row r="156" spans="1:216" ht="16.5" customHeight="1">
      <c r="A156" s="1"/>
      <c r="B156" s="3"/>
      <c r="C156" s="3"/>
      <c r="D156" s="12"/>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26"/>
      <c r="FL156" s="26"/>
      <c r="FM156" s="47"/>
      <c r="FN156" s="47"/>
      <c r="FO156" s="47"/>
      <c r="FP156" s="47"/>
      <c r="FQ156" s="47"/>
      <c r="FR156" s="47"/>
      <c r="FS156" s="49"/>
      <c r="FT156" s="49"/>
      <c r="FU156" s="49"/>
      <c r="FV156" s="49"/>
      <c r="FW156" s="49"/>
      <c r="FX156" s="49"/>
      <c r="FY156" s="47"/>
      <c r="FZ156" s="94"/>
      <c r="GA156" s="49"/>
      <c r="GB156" s="49"/>
      <c r="GC156" s="49"/>
      <c r="GD156" s="49"/>
      <c r="GE156" s="49" t="str">
        <f ca="1">IF(FN123=0,"",3.5)</f>
        <v/>
      </c>
      <c r="GF156" s="49" t="e">
        <f t="shared" ca="1" si="2"/>
        <v>#VALUE!</v>
      </c>
      <c r="GG156" s="49" t="e">
        <f t="shared" ca="1" si="3"/>
        <v>#VALUE!</v>
      </c>
      <c r="GH156" s="49"/>
      <c r="GI156" s="49"/>
      <c r="GJ156" s="49"/>
      <c r="GK156" s="49"/>
      <c r="GL156" s="49"/>
      <c r="GM156" s="49"/>
      <c r="GN156" s="49"/>
      <c r="GO156" s="49"/>
      <c r="GP156" s="49"/>
      <c r="GQ156" s="49"/>
      <c r="GR156" s="49"/>
      <c r="GS156" s="49"/>
      <c r="GT156" s="49"/>
      <c r="GU156" s="49"/>
      <c r="GV156" s="49"/>
      <c r="GW156" s="49"/>
      <c r="GX156" s="49"/>
      <c r="GY156" s="49"/>
      <c r="GZ156" s="49"/>
      <c r="HA156" s="49"/>
      <c r="HB156" s="49"/>
      <c r="HC156" s="48"/>
      <c r="HD156" s="48"/>
      <c r="HE156" s="48"/>
      <c r="HF156" s="13"/>
      <c r="HG156" s="13"/>
      <c r="HH156" s="13"/>
    </row>
    <row r="157" spans="1:216" ht="16.5" customHeight="1">
      <c r="A157" s="1"/>
      <c r="B157" s="3"/>
      <c r="C157" s="3"/>
      <c r="D157" s="12"/>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26"/>
      <c r="FL157" s="26"/>
      <c r="FM157" s="47"/>
      <c r="FN157" s="47"/>
      <c r="FO157" s="47"/>
      <c r="FP157" s="47"/>
      <c r="FQ157" s="47"/>
      <c r="FR157" s="47"/>
      <c r="FS157" s="49"/>
      <c r="FT157" s="49"/>
      <c r="FU157" s="49"/>
      <c r="FV157" s="49"/>
      <c r="FW157" s="49"/>
      <c r="FX157" s="49"/>
      <c r="FY157" s="47"/>
      <c r="FZ157" s="94"/>
      <c r="GA157" s="49"/>
      <c r="GB157" s="49"/>
      <c r="GC157" s="49"/>
      <c r="GD157" s="49"/>
      <c r="GE157" s="49" t="str">
        <f ca="1">IF(FN123=0,"",4)</f>
        <v/>
      </c>
      <c r="GF157" s="49" t="e">
        <f t="shared" ca="1" si="2"/>
        <v>#VALUE!</v>
      </c>
      <c r="GG157" s="49" t="e">
        <f t="shared" ca="1" si="3"/>
        <v>#VALUE!</v>
      </c>
      <c r="GH157" s="49"/>
      <c r="GI157" s="49"/>
      <c r="GJ157" s="49"/>
      <c r="GK157" s="49"/>
      <c r="GL157" s="49"/>
      <c r="GM157" s="49"/>
      <c r="GN157" s="49"/>
      <c r="GO157" s="49"/>
      <c r="GP157" s="49"/>
      <c r="GQ157" s="49"/>
      <c r="GR157" s="49"/>
      <c r="GS157" s="49"/>
      <c r="GT157" s="49"/>
      <c r="GU157" s="49"/>
      <c r="GV157" s="49"/>
      <c r="GW157" s="49"/>
      <c r="GX157" s="49"/>
      <c r="GY157" s="49"/>
      <c r="GZ157" s="49"/>
      <c r="HA157" s="49"/>
      <c r="HB157" s="49"/>
      <c r="HC157" s="48"/>
      <c r="HD157" s="48"/>
      <c r="HE157" s="48"/>
      <c r="HF157" s="13"/>
      <c r="HG157" s="13"/>
      <c r="HH157" s="13"/>
    </row>
    <row r="158" spans="1:216" ht="16.5" customHeight="1">
      <c r="A158" s="1"/>
      <c r="B158" s="3"/>
      <c r="C158" s="3"/>
      <c r="D158" s="12"/>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26"/>
      <c r="FL158" s="26"/>
      <c r="FM158" s="47"/>
      <c r="FN158" s="47"/>
      <c r="FO158" s="47"/>
      <c r="FP158" s="47"/>
      <c r="FQ158" s="47"/>
      <c r="FR158" s="47"/>
      <c r="FS158" s="49"/>
      <c r="FT158" s="49"/>
      <c r="FU158" s="49"/>
      <c r="FV158" s="49"/>
      <c r="FW158" s="49"/>
      <c r="FX158" s="49"/>
      <c r="FY158" s="47"/>
      <c r="FZ158" s="94"/>
      <c r="GA158" s="49"/>
      <c r="GB158" s="49"/>
      <c r="GC158" s="49"/>
      <c r="GD158" s="49"/>
      <c r="GE158" s="49" t="str">
        <f ca="1">IF(FN123=0,"",4.5)</f>
        <v/>
      </c>
      <c r="GF158" s="49" t="e">
        <f t="shared" ca="1" si="2"/>
        <v>#VALUE!</v>
      </c>
      <c r="GG158" s="49" t="e">
        <f t="shared" ca="1" si="3"/>
        <v>#VALUE!</v>
      </c>
      <c r="GH158" s="49"/>
      <c r="GI158" s="49"/>
      <c r="GJ158" s="49"/>
      <c r="GK158" s="49"/>
      <c r="GL158" s="49"/>
      <c r="GM158" s="49"/>
      <c r="GN158" s="49"/>
      <c r="GO158" s="49"/>
      <c r="GP158" s="49"/>
      <c r="GQ158" s="49"/>
      <c r="GR158" s="49"/>
      <c r="GS158" s="49"/>
      <c r="GT158" s="49"/>
      <c r="GU158" s="49"/>
      <c r="GV158" s="49"/>
      <c r="GW158" s="49"/>
      <c r="GX158" s="49"/>
      <c r="GY158" s="49"/>
      <c r="GZ158" s="49"/>
      <c r="HA158" s="49"/>
      <c r="HB158" s="49"/>
      <c r="HC158" s="48"/>
      <c r="HD158" s="48"/>
      <c r="HE158" s="48"/>
      <c r="HF158" s="13"/>
      <c r="HG158" s="13"/>
      <c r="HH158" s="13"/>
    </row>
    <row r="159" spans="1:216" ht="16.5" customHeight="1">
      <c r="A159" s="1"/>
      <c r="B159" s="3"/>
      <c r="C159" s="3"/>
      <c r="D159" s="12"/>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26"/>
      <c r="FL159" s="26"/>
      <c r="FM159" s="47"/>
      <c r="FN159" s="47"/>
      <c r="FO159" s="47"/>
      <c r="FP159" s="47"/>
      <c r="FQ159" s="47"/>
      <c r="FR159" s="47"/>
      <c r="FS159" s="49"/>
      <c r="FT159" s="49"/>
      <c r="FU159" s="49"/>
      <c r="FV159" s="49"/>
      <c r="FW159" s="49"/>
      <c r="FX159" s="49"/>
      <c r="FY159" s="47"/>
      <c r="FZ159" s="94"/>
      <c r="GA159" s="49"/>
      <c r="GB159" s="49"/>
      <c r="GC159" s="49"/>
      <c r="GD159" s="49"/>
      <c r="GE159" s="49" t="str">
        <f ca="1">IF(FN123=0,"",5)</f>
        <v/>
      </c>
      <c r="GF159" s="49" t="e">
        <f t="shared" ca="1" si="2"/>
        <v>#VALUE!</v>
      </c>
      <c r="GG159" s="49" t="e">
        <f t="shared" ca="1" si="3"/>
        <v>#VALUE!</v>
      </c>
      <c r="GH159" s="49"/>
      <c r="GI159" s="49"/>
      <c r="GJ159" s="49"/>
      <c r="GK159" s="49"/>
      <c r="GL159" s="49"/>
      <c r="GM159" s="49"/>
      <c r="GN159" s="49"/>
      <c r="GO159" s="49"/>
      <c r="GP159" s="49"/>
      <c r="GQ159" s="49"/>
      <c r="GR159" s="49"/>
      <c r="GS159" s="49"/>
      <c r="GT159" s="49"/>
      <c r="GU159" s="49"/>
      <c r="GV159" s="49"/>
      <c r="GW159" s="49"/>
      <c r="GX159" s="49"/>
      <c r="GY159" s="49"/>
      <c r="GZ159" s="49"/>
      <c r="HA159" s="49"/>
      <c r="HB159" s="49"/>
      <c r="HC159" s="48"/>
      <c r="HD159" s="48"/>
      <c r="HE159" s="48"/>
      <c r="HF159" s="13"/>
      <c r="HG159" s="13"/>
      <c r="HH159" s="13"/>
    </row>
    <row r="160" spans="1:216" ht="16.5" customHeight="1">
      <c r="A160" s="1"/>
      <c r="B160" s="3"/>
      <c r="C160" s="3"/>
      <c r="D160" s="12"/>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26"/>
      <c r="FL160" s="26"/>
      <c r="FM160" s="47"/>
      <c r="FN160" s="47"/>
      <c r="FO160" s="47"/>
      <c r="FP160" s="47"/>
      <c r="FQ160" s="47"/>
      <c r="FR160" s="47"/>
      <c r="FS160" s="49"/>
      <c r="FT160" s="49"/>
      <c r="FU160" s="49"/>
      <c r="FV160" s="49"/>
      <c r="FW160" s="49"/>
      <c r="FX160" s="49"/>
      <c r="FY160" s="47"/>
      <c r="FZ160" s="94"/>
      <c r="GA160" s="49"/>
      <c r="GB160" s="49"/>
      <c r="GC160" s="49"/>
      <c r="GD160" s="49"/>
      <c r="GE160" s="49"/>
      <c r="GF160" s="49"/>
      <c r="GG160" s="49"/>
      <c r="GH160" s="49"/>
      <c r="GI160" s="49"/>
      <c r="GJ160" s="49"/>
      <c r="GK160" s="49"/>
      <c r="GL160" s="49"/>
      <c r="GM160" s="49"/>
      <c r="GN160" s="49"/>
      <c r="GO160" s="49"/>
      <c r="GP160" s="49"/>
      <c r="GQ160" s="49"/>
      <c r="GR160" s="49"/>
      <c r="GS160" s="49"/>
      <c r="GT160" s="49"/>
      <c r="GU160" s="49"/>
      <c r="GV160" s="49"/>
      <c r="GW160" s="49"/>
      <c r="GX160" s="49"/>
      <c r="GY160" s="49"/>
      <c r="GZ160" s="49"/>
      <c r="HA160" s="49"/>
      <c r="HB160" s="49"/>
      <c r="HC160" s="48"/>
      <c r="HD160" s="48"/>
      <c r="HE160" s="48"/>
      <c r="HF160" s="13"/>
      <c r="HG160" s="13"/>
      <c r="HH160" s="13"/>
    </row>
    <row r="161" spans="1:216" ht="16.5" customHeight="1">
      <c r="A161" s="1"/>
      <c r="B161" s="3"/>
      <c r="C161" s="3"/>
      <c r="D161" s="12"/>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26"/>
      <c r="FL161" s="26"/>
      <c r="FM161" s="47"/>
      <c r="FN161" s="47"/>
      <c r="FO161" s="47"/>
      <c r="FP161" s="47"/>
      <c r="FQ161" s="47"/>
      <c r="FR161" s="47"/>
      <c r="FS161" s="49"/>
      <c r="FT161" s="49"/>
      <c r="FU161" s="49"/>
      <c r="FV161" s="49"/>
      <c r="FW161" s="49"/>
      <c r="FX161" s="49"/>
      <c r="FY161" s="47"/>
      <c r="FZ161" s="94"/>
      <c r="GA161" s="49"/>
      <c r="GB161" s="49"/>
      <c r="GC161" s="49"/>
      <c r="GD161" s="49"/>
      <c r="GE161" s="49"/>
      <c r="GF161" s="49"/>
      <c r="GG161" s="49"/>
      <c r="GH161" s="49"/>
      <c r="GI161" s="49"/>
      <c r="GJ161" s="49"/>
      <c r="GK161" s="49"/>
      <c r="GL161" s="49"/>
      <c r="GM161" s="49"/>
      <c r="GN161" s="49"/>
      <c r="GO161" s="49"/>
      <c r="GP161" s="49"/>
      <c r="GQ161" s="49"/>
      <c r="GR161" s="49"/>
      <c r="GS161" s="49"/>
      <c r="GT161" s="49"/>
      <c r="GU161" s="49"/>
      <c r="GV161" s="49"/>
      <c r="GW161" s="49"/>
      <c r="GX161" s="49"/>
      <c r="GY161" s="49"/>
      <c r="GZ161" s="49"/>
      <c r="HA161" s="49"/>
      <c r="HB161" s="49"/>
      <c r="HC161" s="48"/>
      <c r="HD161" s="48"/>
      <c r="HE161" s="48"/>
      <c r="HF161" s="13"/>
      <c r="HG161" s="13"/>
      <c r="HH161" s="13"/>
    </row>
    <row r="162" spans="1:216" ht="16.95" customHeight="1">
      <c r="A162" s="1"/>
      <c r="B162" s="3"/>
      <c r="C162" s="3"/>
      <c r="D162" s="12" t="str">
        <f ca="1">IF(FO145=0,"","Zoals je kunt zien geldt bij de hoeveelheid waarbij TO maximaal is (de top)")</f>
        <v/>
      </c>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26"/>
      <c r="FL162" s="26"/>
      <c r="FM162" s="47"/>
      <c r="FN162" s="47"/>
      <c r="FO162" s="47"/>
      <c r="FP162" s="47"/>
      <c r="FQ162" s="47"/>
      <c r="FR162" s="47"/>
      <c r="FS162" s="49"/>
      <c r="FT162" s="49"/>
      <c r="FU162" s="49"/>
      <c r="FV162" s="49"/>
      <c r="FW162" s="49"/>
      <c r="FX162" s="49"/>
      <c r="FY162" s="47"/>
      <c r="FZ162" s="94"/>
      <c r="GA162" s="49"/>
      <c r="GB162" s="49"/>
      <c r="GC162" s="49"/>
      <c r="GD162" s="49"/>
      <c r="GE162" s="49"/>
      <c r="GF162" s="49"/>
      <c r="GG162" s="49"/>
      <c r="GH162" s="49"/>
      <c r="GI162" s="49"/>
      <c r="GJ162" s="49"/>
      <c r="GK162" s="49"/>
      <c r="GL162" s="49"/>
      <c r="GM162" s="49"/>
      <c r="GN162" s="49"/>
      <c r="GO162" s="49"/>
      <c r="GP162" s="49"/>
      <c r="GQ162" s="49"/>
      <c r="GR162" s="49"/>
      <c r="GS162" s="49"/>
      <c r="GT162" s="49"/>
      <c r="GU162" s="49"/>
      <c r="GV162" s="49"/>
      <c r="GW162" s="49"/>
      <c r="GX162" s="49"/>
      <c r="GY162" s="49"/>
      <c r="GZ162" s="49"/>
      <c r="HA162" s="49"/>
      <c r="HB162" s="49"/>
      <c r="HC162" s="48"/>
      <c r="HD162" s="48"/>
      <c r="HE162" s="48"/>
      <c r="HF162" s="13"/>
      <c r="HG162" s="13"/>
      <c r="HH162" s="13"/>
    </row>
    <row r="163" spans="1:216" ht="16.95" customHeight="1">
      <c r="A163" s="1"/>
      <c r="B163" s="3"/>
      <c r="C163" s="3"/>
      <c r="D163" s="12" t="str">
        <f ca="1">IF(FO145=0,"","dat MO = 0. Waarom geldt bij de maximale omzet dat MO = 0?")</f>
        <v/>
      </c>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26"/>
      <c r="FL163" s="26"/>
      <c r="FM163" s="47"/>
      <c r="FN163" s="47"/>
      <c r="FO163" s="47"/>
      <c r="FP163" s="47"/>
      <c r="FQ163" s="47"/>
      <c r="FR163" s="47"/>
      <c r="FS163" s="49"/>
      <c r="FT163" s="49"/>
      <c r="FU163" s="49"/>
      <c r="FV163" s="49"/>
      <c r="FW163" s="49"/>
      <c r="FX163" s="49"/>
      <c r="FY163" s="47"/>
      <c r="FZ163" s="94"/>
      <c r="GA163" s="49"/>
      <c r="GB163" s="49"/>
      <c r="GC163" s="49"/>
      <c r="GD163" s="49"/>
      <c r="GE163" s="49"/>
      <c r="GF163" s="49"/>
      <c r="GG163" s="49"/>
      <c r="GH163" s="49"/>
      <c r="GI163" s="49"/>
      <c r="GJ163" s="49"/>
      <c r="GK163" s="49"/>
      <c r="GL163" s="49"/>
      <c r="GM163" s="49"/>
      <c r="GN163" s="49"/>
      <c r="GO163" s="49"/>
      <c r="GP163" s="49"/>
      <c r="GQ163" s="49"/>
      <c r="GR163" s="49"/>
      <c r="GS163" s="49"/>
      <c r="GT163" s="49"/>
      <c r="GU163" s="49"/>
      <c r="GV163" s="49"/>
      <c r="GW163" s="49"/>
      <c r="GX163" s="49"/>
      <c r="GY163" s="49"/>
      <c r="GZ163" s="49"/>
      <c r="HA163" s="49"/>
      <c r="HB163" s="49"/>
      <c r="HC163" s="48"/>
      <c r="HD163" s="48"/>
      <c r="HE163" s="48"/>
      <c r="HF163" s="13"/>
      <c r="HG163" s="13"/>
      <c r="HH163" s="13"/>
    </row>
    <row r="164" spans="1:216" ht="7.5" customHeight="1">
      <c r="A164" s="1"/>
      <c r="B164" s="3"/>
      <c r="C164" s="3"/>
      <c r="D164" s="12"/>
      <c r="E164" s="10"/>
      <c r="F164" s="10"/>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c r="BY164" s="126"/>
      <c r="BZ164" s="126"/>
      <c r="CA164" s="126"/>
      <c r="CB164" s="126"/>
      <c r="CC164" s="126"/>
      <c r="CD164" s="126"/>
      <c r="CE164" s="126"/>
      <c r="CF164" s="126"/>
      <c r="CG164" s="126"/>
      <c r="CH164" s="126"/>
      <c r="CI164" s="126"/>
      <c r="CJ164" s="126"/>
      <c r="CK164" s="126"/>
      <c r="CL164" s="126"/>
      <c r="CM164" s="126"/>
      <c r="CN164" s="126"/>
      <c r="CO164" s="126"/>
      <c r="CP164" s="126"/>
      <c r="CQ164" s="126"/>
      <c r="CR164" s="126"/>
      <c r="CS164" s="126"/>
      <c r="CT164" s="126"/>
      <c r="CU164" s="126"/>
      <c r="CV164" s="126"/>
      <c r="CW164" s="126"/>
      <c r="CX164" s="126"/>
      <c r="CY164" s="126"/>
      <c r="CZ164" s="126"/>
      <c r="DA164" s="126"/>
      <c r="DB164" s="126"/>
      <c r="DC164" s="126"/>
      <c r="DD164" s="126"/>
      <c r="DE164" s="126"/>
      <c r="DF164" s="126"/>
      <c r="DG164" s="126"/>
      <c r="DH164" s="126"/>
      <c r="DI164" s="126"/>
      <c r="DJ164" s="126"/>
      <c r="DK164" s="126"/>
      <c r="DL164" s="126"/>
      <c r="DM164" s="126"/>
      <c r="DN164" s="126"/>
      <c r="DO164" s="126"/>
      <c r="DP164" s="126"/>
      <c r="DQ164" s="126"/>
      <c r="DR164" s="126"/>
      <c r="DS164" s="126"/>
      <c r="DT164" s="126"/>
      <c r="DU164" s="126"/>
      <c r="DV164" s="126"/>
      <c r="DW164" s="126"/>
      <c r="DX164" s="126"/>
      <c r="DY164" s="126"/>
      <c r="DZ164" s="126"/>
      <c r="EA164" s="126"/>
      <c r="EB164" s="126"/>
      <c r="EC164" s="126"/>
      <c r="ED164" s="126"/>
      <c r="EE164" s="126"/>
      <c r="EF164" s="126"/>
      <c r="EG164" s="126"/>
      <c r="EH164" s="126"/>
      <c r="EI164" s="126"/>
      <c r="EJ164" s="126"/>
      <c r="EK164" s="126"/>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26"/>
      <c r="FL164" s="26"/>
      <c r="FM164" s="47"/>
      <c r="FN164" s="47"/>
      <c r="FO164" s="79"/>
      <c r="FP164" s="79"/>
      <c r="FQ164" s="79"/>
      <c r="FR164" s="79"/>
      <c r="FS164" s="79"/>
      <c r="FT164" s="79"/>
      <c r="FU164" s="79"/>
      <c r="FV164" s="79"/>
      <c r="FW164" s="47"/>
      <c r="FX164" s="47"/>
      <c r="FY164" s="47"/>
      <c r="FZ164" s="94"/>
      <c r="GA164" s="49"/>
      <c r="GB164" s="49"/>
      <c r="GC164" s="49"/>
      <c r="GD164" s="49"/>
      <c r="GE164" s="49"/>
      <c r="GF164" s="49"/>
      <c r="GG164" s="49"/>
      <c r="GH164" s="49"/>
      <c r="GI164" s="49"/>
      <c r="GJ164" s="49"/>
      <c r="GK164" s="49"/>
      <c r="GL164" s="49"/>
      <c r="GM164" s="49"/>
      <c r="GN164" s="49"/>
      <c r="GO164" s="49"/>
      <c r="GP164" s="49"/>
      <c r="GQ164" s="49"/>
      <c r="GR164" s="49"/>
      <c r="GS164" s="49"/>
      <c r="GT164" s="49"/>
      <c r="GU164" s="49"/>
      <c r="GV164" s="49"/>
      <c r="GW164" s="49"/>
      <c r="GX164" s="49"/>
      <c r="GY164" s="49"/>
      <c r="GZ164" s="49"/>
      <c r="HA164" s="49"/>
      <c r="HB164" s="49"/>
      <c r="HC164" s="48"/>
      <c r="HD164" s="48"/>
      <c r="HE164" s="48"/>
      <c r="HF164" s="13"/>
      <c r="HG164" s="13"/>
      <c r="HH164" s="13"/>
    </row>
    <row r="165" spans="1:216" ht="3.75" customHeight="1">
      <c r="A165" s="1"/>
      <c r="B165" s="3"/>
      <c r="C165" s="3"/>
      <c r="D165" s="12"/>
      <c r="E165" s="10"/>
      <c r="F165" s="544" t="str">
        <f ca="1">IF(FO145=0,"",".")</f>
        <v/>
      </c>
      <c r="G165" s="532"/>
      <c r="H165" s="532"/>
      <c r="I165" s="532"/>
      <c r="J165" s="532"/>
      <c r="K165" s="532"/>
      <c r="L165" s="532"/>
      <c r="M165" s="532"/>
      <c r="N165" s="532"/>
      <c r="O165" s="532"/>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c r="AM165" s="532"/>
      <c r="AN165" s="532"/>
      <c r="AO165" s="532"/>
      <c r="AP165" s="532"/>
      <c r="AQ165" s="532"/>
      <c r="AR165" s="532"/>
      <c r="AS165" s="532"/>
      <c r="AT165" s="532"/>
      <c r="AU165" s="532"/>
      <c r="AV165" s="532"/>
      <c r="AW165" s="532"/>
      <c r="AX165" s="532"/>
      <c r="AY165" s="532"/>
      <c r="AZ165" s="532"/>
      <c r="BA165" s="532"/>
      <c r="BB165" s="532"/>
      <c r="BC165" s="532"/>
      <c r="BD165" s="532"/>
      <c r="BE165" s="532"/>
      <c r="BF165" s="532"/>
      <c r="BG165" s="532"/>
      <c r="BH165" s="532"/>
      <c r="BI165" s="532"/>
      <c r="BJ165" s="532"/>
      <c r="BK165" s="532"/>
      <c r="BL165" s="532"/>
      <c r="BM165" s="532"/>
      <c r="BN165" s="532"/>
      <c r="BO165" s="532"/>
      <c r="BP165" s="532"/>
      <c r="BQ165" s="532"/>
      <c r="BR165" s="532"/>
      <c r="BS165" s="532"/>
      <c r="BT165" s="532"/>
      <c r="BU165" s="532"/>
      <c r="BV165" s="532"/>
      <c r="BW165" s="532"/>
      <c r="BX165" s="532"/>
      <c r="BY165" s="532"/>
      <c r="BZ165" s="532"/>
      <c r="CA165" s="532"/>
      <c r="CB165" s="532"/>
      <c r="CC165" s="532"/>
      <c r="CD165" s="532"/>
      <c r="CE165" s="532"/>
      <c r="CF165" s="532"/>
      <c r="CG165" s="532"/>
      <c r="CH165" s="532"/>
      <c r="CI165" s="532"/>
      <c r="CJ165" s="532"/>
      <c r="CK165" s="532"/>
      <c r="CL165" s="532"/>
      <c r="CM165" s="532"/>
      <c r="CN165" s="532"/>
      <c r="CO165" s="532"/>
      <c r="CP165" s="532"/>
      <c r="CQ165" s="532"/>
      <c r="CR165" s="532"/>
      <c r="CS165" s="532"/>
      <c r="CT165" s="532"/>
      <c r="CU165" s="532"/>
      <c r="CV165" s="532"/>
      <c r="CW165" s="532"/>
      <c r="CX165" s="532"/>
      <c r="CY165" s="532"/>
      <c r="CZ165" s="532"/>
      <c r="DA165" s="532"/>
      <c r="DB165" s="532"/>
      <c r="DC165" s="532"/>
      <c r="DD165" s="532"/>
      <c r="DE165" s="532"/>
      <c r="DF165" s="532"/>
      <c r="DG165" s="532"/>
      <c r="DH165" s="532"/>
      <c r="DI165" s="532"/>
      <c r="DJ165" s="532"/>
      <c r="DK165" s="532"/>
      <c r="DL165" s="532"/>
      <c r="DM165" s="532"/>
      <c r="DN165" s="532"/>
      <c r="DO165" s="532"/>
      <c r="DP165" s="532"/>
      <c r="DQ165" s="532"/>
      <c r="DR165" s="532"/>
      <c r="DS165" s="532"/>
      <c r="DT165" s="126"/>
      <c r="DU165" s="126"/>
      <c r="DV165" s="126"/>
      <c r="DW165" s="126"/>
      <c r="DX165" s="126"/>
      <c r="DY165" s="126"/>
      <c r="DZ165" s="126"/>
      <c r="EA165" s="126"/>
      <c r="EB165" s="126"/>
      <c r="EC165" s="126"/>
      <c r="ED165" s="126"/>
      <c r="EE165" s="126"/>
      <c r="EF165" s="126"/>
      <c r="EG165" s="126"/>
      <c r="EH165" s="126"/>
      <c r="EI165" s="126"/>
      <c r="EJ165" s="126"/>
      <c r="EK165" s="126"/>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26"/>
      <c r="FL165" s="26"/>
      <c r="FM165" s="47"/>
      <c r="FN165" s="47"/>
      <c r="FO165" s="47"/>
      <c r="FP165" s="47"/>
      <c r="FQ165" s="47"/>
      <c r="FR165" s="47"/>
      <c r="FS165" s="47"/>
      <c r="FT165" s="47"/>
      <c r="FU165" s="47"/>
      <c r="FV165" s="47"/>
      <c r="FW165" s="47"/>
      <c r="FX165" s="47"/>
      <c r="FY165" s="47"/>
      <c r="FZ165" s="94"/>
      <c r="GA165" s="49"/>
      <c r="GB165" s="49"/>
      <c r="GC165" s="49"/>
      <c r="GD165" s="49"/>
      <c r="GE165" s="49"/>
      <c r="GF165" s="49"/>
      <c r="GG165" s="49"/>
      <c r="GH165" s="49"/>
      <c r="GI165" s="49"/>
      <c r="GJ165" s="49"/>
      <c r="GK165" s="49"/>
      <c r="GL165" s="49"/>
      <c r="GM165" s="49"/>
      <c r="GN165" s="49"/>
      <c r="GO165" s="49"/>
      <c r="GP165" s="49"/>
      <c r="GQ165" s="49"/>
      <c r="GR165" s="49"/>
      <c r="GS165" s="49"/>
      <c r="GT165" s="49"/>
      <c r="GU165" s="49"/>
      <c r="GV165" s="49"/>
      <c r="GW165" s="49"/>
      <c r="GX165" s="49"/>
      <c r="GY165" s="49"/>
      <c r="GZ165" s="49"/>
      <c r="HA165" s="49"/>
      <c r="HB165" s="49"/>
      <c r="HC165" s="48"/>
      <c r="HD165" s="48"/>
      <c r="HE165" s="48"/>
      <c r="HF165" s="13"/>
      <c r="HG165" s="13"/>
      <c r="HH165" s="13"/>
    </row>
    <row r="166" spans="1:216" ht="16.5" customHeight="1">
      <c r="A166" s="1"/>
      <c r="B166" s="3"/>
      <c r="C166" s="3"/>
      <c r="D166" s="12"/>
      <c r="E166" s="10"/>
      <c r="F166" s="198" t="str">
        <f ca="1">IF(FO145=0,"",".")</f>
        <v/>
      </c>
      <c r="G166" s="620"/>
      <c r="H166" s="551"/>
      <c r="I166" s="551"/>
      <c r="J166" s="551"/>
      <c r="K166" s="551"/>
      <c r="L166" s="551"/>
      <c r="M166" s="551"/>
      <c r="N166" s="551"/>
      <c r="O166" s="551"/>
      <c r="P166" s="551"/>
      <c r="Q166" s="551"/>
      <c r="R166" s="551"/>
      <c r="S166" s="551"/>
      <c r="T166" s="551"/>
      <c r="U166" s="551"/>
      <c r="V166" s="551"/>
      <c r="W166" s="551"/>
      <c r="X166" s="551"/>
      <c r="Y166" s="551"/>
      <c r="Z166" s="551"/>
      <c r="AA166" s="551"/>
      <c r="AB166" s="551"/>
      <c r="AC166" s="551"/>
      <c r="AD166" s="551"/>
      <c r="AE166" s="551"/>
      <c r="AF166" s="551"/>
      <c r="AG166" s="551"/>
      <c r="AH166" s="551"/>
      <c r="AI166" s="551"/>
      <c r="AJ166" s="551"/>
      <c r="AK166" s="551"/>
      <c r="AL166" s="551"/>
      <c r="AM166" s="551"/>
      <c r="AN166" s="551"/>
      <c r="AO166" s="551"/>
      <c r="AP166" s="551"/>
      <c r="AQ166" s="551"/>
      <c r="AR166" s="551"/>
      <c r="AS166" s="551"/>
      <c r="AT166" s="551"/>
      <c r="AU166" s="551"/>
      <c r="AV166" s="551"/>
      <c r="AW166" s="551"/>
      <c r="AX166" s="551"/>
      <c r="AY166" s="551"/>
      <c r="AZ166" s="551"/>
      <c r="BA166" s="551"/>
      <c r="BB166" s="551"/>
      <c r="BC166" s="551"/>
      <c r="BD166" s="551"/>
      <c r="BE166" s="551"/>
      <c r="BF166" s="551"/>
      <c r="BG166" s="551"/>
      <c r="BH166" s="551"/>
      <c r="BI166" s="551"/>
      <c r="BJ166" s="551"/>
      <c r="BK166" s="551"/>
      <c r="BL166" s="551"/>
      <c r="BM166" s="551"/>
      <c r="BN166" s="551"/>
      <c r="BO166" s="551"/>
      <c r="BP166" s="551"/>
      <c r="BQ166" s="551"/>
      <c r="BR166" s="551"/>
      <c r="BS166" s="551"/>
      <c r="BT166" s="551"/>
      <c r="BU166" s="551"/>
      <c r="BV166" s="551"/>
      <c r="BW166" s="551"/>
      <c r="BX166" s="551"/>
      <c r="BY166" s="551"/>
      <c r="BZ166" s="551"/>
      <c r="CA166" s="551"/>
      <c r="CB166" s="551"/>
      <c r="CC166" s="551"/>
      <c r="CD166" s="551"/>
      <c r="CE166" s="551"/>
      <c r="CF166" s="551"/>
      <c r="CG166" s="551"/>
      <c r="CH166" s="551"/>
      <c r="CI166" s="551"/>
      <c r="CJ166" s="551"/>
      <c r="CK166" s="551"/>
      <c r="CL166" s="551"/>
      <c r="CM166" s="551"/>
      <c r="CN166" s="551"/>
      <c r="CO166" s="551"/>
      <c r="CP166" s="551"/>
      <c r="CQ166" s="551"/>
      <c r="CR166" s="551"/>
      <c r="CS166" s="551"/>
      <c r="CT166" s="551"/>
      <c r="CU166" s="551"/>
      <c r="CV166" s="551"/>
      <c r="CW166" s="551"/>
      <c r="CX166" s="551"/>
      <c r="CY166" s="551"/>
      <c r="CZ166" s="551"/>
      <c r="DA166" s="551"/>
      <c r="DB166" s="551"/>
      <c r="DC166" s="551"/>
      <c r="DD166" s="551"/>
      <c r="DE166" s="551"/>
      <c r="DF166" s="551"/>
      <c r="DG166" s="551"/>
      <c r="DH166" s="551"/>
      <c r="DI166" s="551"/>
      <c r="DJ166" s="551"/>
      <c r="DK166" s="551"/>
      <c r="DL166" s="551"/>
      <c r="DM166" s="551"/>
      <c r="DN166" s="551"/>
      <c r="DO166" s="551"/>
      <c r="DP166" s="551"/>
      <c r="DQ166" s="551"/>
      <c r="DR166" s="551"/>
      <c r="DS166" s="198" t="str">
        <f ca="1">IF(FO145=0,"",".")</f>
        <v/>
      </c>
      <c r="DT166" s="91" t="str">
        <f ca="1">IF(FO145=0,"",IF(G166="","",IF(FO166=1," Goed!"," Fout! Denk er aan dat MO = ΔTO / Δq.")))</f>
        <v/>
      </c>
      <c r="DU166" s="126"/>
      <c r="DV166" s="126"/>
      <c r="DW166" s="126"/>
      <c r="DX166" s="126"/>
      <c r="DY166" s="126"/>
      <c r="DZ166" s="126"/>
      <c r="EA166" s="126"/>
      <c r="EB166" s="126"/>
      <c r="EC166" s="126"/>
      <c r="ED166" s="126"/>
      <c r="EE166" s="126"/>
      <c r="EF166" s="126"/>
      <c r="EG166" s="126"/>
      <c r="EH166" s="126"/>
      <c r="EI166" s="126"/>
      <c r="EJ166" s="126"/>
      <c r="EK166" s="126"/>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26"/>
      <c r="FL166" s="26"/>
      <c r="FM166" s="48"/>
      <c r="FN166" s="48" t="str">
        <f ca="1">IF(FO1=0,"",FR166)</f>
        <v>Precies op de top stijgt of daalt TO niet en geldt dus ΔTO = 0 en dus MO = 0.</v>
      </c>
      <c r="FO166" s="48">
        <f ca="1">IF(programma!B1="X",1,IF(FO145=0,0,IF(G166=FR166,1,0)))</f>
        <v>0</v>
      </c>
      <c r="FP166" s="48" t="s">
        <v>43</v>
      </c>
      <c r="FQ166" s="48" t="s">
        <v>44</v>
      </c>
      <c r="FR166" s="48" t="s">
        <v>46</v>
      </c>
      <c r="FS166" s="48" t="s">
        <v>45</v>
      </c>
      <c r="FT166" s="48"/>
      <c r="FU166" s="48"/>
      <c r="FV166" s="48"/>
      <c r="FW166" s="47"/>
      <c r="FX166" s="47"/>
      <c r="FY166" s="47"/>
      <c r="FZ166" s="94"/>
      <c r="GA166" s="49"/>
      <c r="GB166" s="49"/>
      <c r="GC166" s="49"/>
      <c r="GD166" s="49"/>
      <c r="GE166" s="49"/>
      <c r="GF166" s="49"/>
      <c r="GG166" s="49"/>
      <c r="GH166" s="49"/>
      <c r="GI166" s="49"/>
      <c r="GJ166" s="49"/>
      <c r="GK166" s="49"/>
      <c r="GL166" s="49"/>
      <c r="GM166" s="49"/>
      <c r="GN166" s="49"/>
      <c r="GO166" s="49"/>
      <c r="GP166" s="49"/>
      <c r="GQ166" s="49"/>
      <c r="GR166" s="49"/>
      <c r="GS166" s="49"/>
      <c r="GT166" s="49"/>
      <c r="GU166" s="49"/>
      <c r="GV166" s="49"/>
      <c r="GW166" s="49"/>
      <c r="GX166" s="49"/>
      <c r="GY166" s="49"/>
      <c r="GZ166" s="49"/>
      <c r="HA166" s="49"/>
      <c r="HB166" s="49"/>
      <c r="HC166" s="48"/>
      <c r="HD166" s="48"/>
      <c r="HE166" s="48"/>
      <c r="HF166" s="13"/>
      <c r="HG166" s="13"/>
      <c r="HH166" s="13"/>
    </row>
    <row r="167" spans="1:216" ht="3.75" customHeight="1">
      <c r="A167" s="1"/>
      <c r="B167" s="3"/>
      <c r="C167" s="3"/>
      <c r="D167" s="12"/>
      <c r="E167" s="10"/>
      <c r="F167" s="544" t="str">
        <f ca="1">IF(FO145=0,"",".")</f>
        <v/>
      </c>
      <c r="G167" s="532"/>
      <c r="H167" s="532"/>
      <c r="I167" s="532"/>
      <c r="J167" s="532"/>
      <c r="K167" s="532"/>
      <c r="L167" s="532"/>
      <c r="M167" s="532"/>
      <c r="N167" s="532"/>
      <c r="O167" s="532"/>
      <c r="P167" s="532"/>
      <c r="Q167" s="532"/>
      <c r="R167" s="532"/>
      <c r="S167" s="532"/>
      <c r="T167" s="532"/>
      <c r="U167" s="532"/>
      <c r="V167" s="532"/>
      <c r="W167" s="532"/>
      <c r="X167" s="532"/>
      <c r="Y167" s="532"/>
      <c r="Z167" s="532"/>
      <c r="AA167" s="532"/>
      <c r="AB167" s="532"/>
      <c r="AC167" s="532"/>
      <c r="AD167" s="532"/>
      <c r="AE167" s="532"/>
      <c r="AF167" s="532"/>
      <c r="AG167" s="532"/>
      <c r="AH167" s="532"/>
      <c r="AI167" s="532"/>
      <c r="AJ167" s="532"/>
      <c r="AK167" s="532"/>
      <c r="AL167" s="532"/>
      <c r="AM167" s="532"/>
      <c r="AN167" s="532"/>
      <c r="AO167" s="532"/>
      <c r="AP167" s="532"/>
      <c r="AQ167" s="532"/>
      <c r="AR167" s="532"/>
      <c r="AS167" s="532"/>
      <c r="AT167" s="532"/>
      <c r="AU167" s="532"/>
      <c r="AV167" s="532"/>
      <c r="AW167" s="532"/>
      <c r="AX167" s="532"/>
      <c r="AY167" s="532"/>
      <c r="AZ167" s="532"/>
      <c r="BA167" s="532"/>
      <c r="BB167" s="532"/>
      <c r="BC167" s="532"/>
      <c r="BD167" s="532"/>
      <c r="BE167" s="532"/>
      <c r="BF167" s="532"/>
      <c r="BG167" s="532"/>
      <c r="BH167" s="532"/>
      <c r="BI167" s="532"/>
      <c r="BJ167" s="532"/>
      <c r="BK167" s="532"/>
      <c r="BL167" s="532"/>
      <c r="BM167" s="532"/>
      <c r="BN167" s="532"/>
      <c r="BO167" s="532"/>
      <c r="BP167" s="532"/>
      <c r="BQ167" s="532"/>
      <c r="BR167" s="532"/>
      <c r="BS167" s="532"/>
      <c r="BT167" s="532"/>
      <c r="BU167" s="532"/>
      <c r="BV167" s="532"/>
      <c r="BW167" s="532"/>
      <c r="BX167" s="532"/>
      <c r="BY167" s="532"/>
      <c r="BZ167" s="532"/>
      <c r="CA167" s="532"/>
      <c r="CB167" s="532"/>
      <c r="CC167" s="532"/>
      <c r="CD167" s="532"/>
      <c r="CE167" s="532"/>
      <c r="CF167" s="532"/>
      <c r="CG167" s="532"/>
      <c r="CH167" s="532"/>
      <c r="CI167" s="532"/>
      <c r="CJ167" s="532"/>
      <c r="CK167" s="532"/>
      <c r="CL167" s="532"/>
      <c r="CM167" s="532"/>
      <c r="CN167" s="532"/>
      <c r="CO167" s="532"/>
      <c r="CP167" s="532"/>
      <c r="CQ167" s="532"/>
      <c r="CR167" s="532"/>
      <c r="CS167" s="532"/>
      <c r="CT167" s="532"/>
      <c r="CU167" s="532"/>
      <c r="CV167" s="532"/>
      <c r="CW167" s="532"/>
      <c r="CX167" s="532"/>
      <c r="CY167" s="532"/>
      <c r="CZ167" s="532"/>
      <c r="DA167" s="532"/>
      <c r="DB167" s="532"/>
      <c r="DC167" s="532"/>
      <c r="DD167" s="532"/>
      <c r="DE167" s="532"/>
      <c r="DF167" s="532"/>
      <c r="DG167" s="532"/>
      <c r="DH167" s="532"/>
      <c r="DI167" s="532"/>
      <c r="DJ167" s="532"/>
      <c r="DK167" s="532"/>
      <c r="DL167" s="532"/>
      <c r="DM167" s="532"/>
      <c r="DN167" s="532"/>
      <c r="DO167" s="532"/>
      <c r="DP167" s="532"/>
      <c r="DQ167" s="532"/>
      <c r="DR167" s="532"/>
      <c r="DS167" s="532"/>
      <c r="DT167" s="126"/>
      <c r="DU167" s="126"/>
      <c r="DV167" s="126"/>
      <c r="DW167" s="126"/>
      <c r="DX167" s="126"/>
      <c r="DY167" s="126"/>
      <c r="DZ167" s="126"/>
      <c r="EA167" s="126"/>
      <c r="EB167" s="126"/>
      <c r="EC167" s="126"/>
      <c r="ED167" s="126"/>
      <c r="EE167" s="126"/>
      <c r="EF167" s="126"/>
      <c r="EG167" s="126"/>
      <c r="EH167" s="126"/>
      <c r="EI167" s="126"/>
      <c r="EJ167" s="126"/>
      <c r="EK167" s="126"/>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26"/>
      <c r="FL167" s="26"/>
      <c r="FM167" s="47"/>
      <c r="FN167" s="47"/>
      <c r="FO167" s="47"/>
      <c r="FP167" s="47"/>
      <c r="FQ167" s="47"/>
      <c r="FR167" s="47"/>
      <c r="FS167" s="47"/>
      <c r="FT167" s="47"/>
      <c r="FU167" s="47"/>
      <c r="FV167" s="47"/>
      <c r="FW167" s="47"/>
      <c r="FX167" s="47"/>
      <c r="FY167" s="47"/>
      <c r="FZ167" s="94"/>
      <c r="GA167" s="49"/>
      <c r="GB167" s="49"/>
      <c r="GC167" s="49"/>
      <c r="GD167" s="49"/>
      <c r="GE167" s="49"/>
      <c r="GF167" s="49"/>
      <c r="GG167" s="49"/>
      <c r="GH167" s="49"/>
      <c r="GI167" s="49"/>
      <c r="GJ167" s="49"/>
      <c r="GK167" s="49"/>
      <c r="GL167" s="49"/>
      <c r="GM167" s="49"/>
      <c r="GN167" s="49"/>
      <c r="GO167" s="49"/>
      <c r="GP167" s="49"/>
      <c r="GQ167" s="49"/>
      <c r="GR167" s="49"/>
      <c r="GS167" s="49"/>
      <c r="GT167" s="49"/>
      <c r="GU167" s="49"/>
      <c r="GV167" s="49"/>
      <c r="GW167" s="49"/>
      <c r="GX167" s="49"/>
      <c r="GY167" s="49"/>
      <c r="GZ167" s="49"/>
      <c r="HA167" s="49"/>
      <c r="HB167" s="49"/>
      <c r="HC167" s="48"/>
      <c r="HD167" s="48"/>
      <c r="HE167" s="48"/>
      <c r="HF167" s="13"/>
      <c r="HG167" s="13"/>
      <c r="HH167" s="13"/>
    </row>
    <row r="168" spans="1:216" ht="9.75" customHeight="1">
      <c r="A168" s="1"/>
      <c r="B168" s="3"/>
      <c r="C168" s="3"/>
      <c r="D168" s="38"/>
      <c r="E168" s="10"/>
      <c r="F168" s="10"/>
      <c r="G168" s="126"/>
      <c r="H168" s="126"/>
      <c r="I168" s="126"/>
      <c r="J168" s="126"/>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126"/>
      <c r="DK168" s="126"/>
      <c r="DL168" s="126"/>
      <c r="DM168" s="126"/>
      <c r="DN168" s="126"/>
      <c r="DO168" s="126"/>
      <c r="DP168" s="126"/>
      <c r="DQ168" s="126"/>
      <c r="DR168" s="126"/>
      <c r="DS168" s="126"/>
      <c r="DT168" s="126"/>
      <c r="DU168" s="126"/>
      <c r="DV168" s="126"/>
      <c r="DW168" s="126"/>
      <c r="DX168" s="126"/>
      <c r="DY168" s="126"/>
      <c r="DZ168" s="126"/>
      <c r="EA168" s="126"/>
      <c r="EB168" s="126"/>
      <c r="EC168" s="126"/>
      <c r="ED168" s="126"/>
      <c r="EE168" s="126"/>
      <c r="EF168" s="126"/>
      <c r="EG168" s="126"/>
      <c r="EH168" s="126"/>
      <c r="EI168" s="126"/>
      <c r="EJ168" s="126"/>
      <c r="EK168" s="126"/>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26"/>
      <c r="FL168" s="26"/>
      <c r="FM168" s="47"/>
      <c r="FN168" s="47"/>
      <c r="FO168" s="47"/>
      <c r="FP168" s="47"/>
      <c r="FQ168" s="47"/>
      <c r="FR168" s="47"/>
      <c r="FS168" s="49"/>
      <c r="FT168" s="49"/>
      <c r="FU168" s="49"/>
      <c r="FV168" s="49"/>
      <c r="FW168" s="49"/>
      <c r="FX168" s="49"/>
      <c r="FY168" s="47"/>
      <c r="FZ168" s="94"/>
      <c r="GA168" s="49"/>
      <c r="GB168" s="49"/>
      <c r="GC168" s="49"/>
      <c r="GD168" s="49">
        <f ca="1">FT27</f>
        <v>0.5</v>
      </c>
      <c r="GE168" s="49" t="e">
        <f ca="1">3*GH177</f>
        <v>#VALUE!</v>
      </c>
      <c r="GF168" s="49" t="e">
        <f ca="1">2*GI177+2*GD177</f>
        <v>#VALUE!</v>
      </c>
      <c r="GG168" s="49" t="e">
        <f ca="1">GJ177-GE177</f>
        <v>#VALUE!</v>
      </c>
      <c r="GH168" s="49" t="e">
        <f ca="1">(-GF168+(GF168^2-4*GE168*GG168)^0.5)/(2*GE168)</f>
        <v>#VALUE!</v>
      </c>
      <c r="GI168" s="49"/>
      <c r="GJ168" s="49">
        <v>2</v>
      </c>
      <c r="GK168" s="49"/>
      <c r="GL168" s="49"/>
      <c r="GM168" s="49"/>
      <c r="GN168" s="49"/>
      <c r="GO168" s="49"/>
      <c r="GP168" s="49"/>
      <c r="GQ168" s="49"/>
      <c r="GR168" s="49"/>
      <c r="GS168" s="49"/>
      <c r="GT168" s="49"/>
      <c r="GU168" s="49"/>
      <c r="GV168" s="49"/>
      <c r="GW168" s="49"/>
      <c r="GX168" s="49"/>
      <c r="GY168" s="49"/>
      <c r="GZ168" s="49"/>
      <c r="HA168" s="49"/>
      <c r="HB168" s="49"/>
      <c r="HC168" s="48"/>
      <c r="HD168" s="48"/>
      <c r="HE168" s="48"/>
      <c r="HF168" s="13"/>
      <c r="HG168" s="13"/>
      <c r="HH168" s="13"/>
    </row>
    <row r="169" spans="1:216" ht="16.95" customHeight="1">
      <c r="A169" s="1"/>
      <c r="B169" s="3"/>
      <c r="C169" s="3"/>
      <c r="D169" s="12" t="str">
        <f ca="1">IF(FO166=0,"","Om het resultaat te vinden, moet je de kosten van de opbrengst aftrekken.")</f>
        <v/>
      </c>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26"/>
      <c r="FL169" s="26"/>
      <c r="FM169" s="47"/>
      <c r="FN169" s="47"/>
      <c r="FO169" s="47"/>
      <c r="FP169" s="47"/>
      <c r="FQ169" s="47"/>
      <c r="FR169" s="47"/>
      <c r="FS169" s="49"/>
      <c r="FT169" s="49"/>
      <c r="FU169" s="49"/>
      <c r="FV169" s="49"/>
      <c r="FW169" s="49"/>
      <c r="FX169" s="49"/>
      <c r="FY169" s="47"/>
      <c r="FZ169" s="94"/>
      <c r="GA169" s="49"/>
      <c r="GB169" s="49"/>
      <c r="GC169" s="49"/>
      <c r="GD169" s="49">
        <f ca="1">FU27</f>
        <v>800</v>
      </c>
      <c r="GE169" s="49"/>
      <c r="GF169" s="49">
        <f ca="1">IF(GG171&gt;GG170,GG170,GG171)</f>
        <v>40</v>
      </c>
      <c r="GG169" s="49">
        <f ca="1">IF(GG171&gt;GG170,GG171,GG170)</f>
        <v>200</v>
      </c>
      <c r="GH169" s="49">
        <f ca="1">0.25*GG174</f>
        <v>80000</v>
      </c>
      <c r="GI169" s="49"/>
      <c r="GJ169" s="49">
        <v>1.7</v>
      </c>
      <c r="GK169" s="49"/>
      <c r="GL169" s="49"/>
      <c r="GM169" s="49" t="s">
        <v>85</v>
      </c>
      <c r="GN169" s="49" t="e">
        <f ca="1">GE177-GL177</f>
        <v>#VALUE!</v>
      </c>
      <c r="GO169" s="49" t="s">
        <v>38</v>
      </c>
      <c r="GP169" s="49" t="s">
        <v>39</v>
      </c>
      <c r="GQ169" s="49" t="s">
        <v>86</v>
      </c>
      <c r="GR169" s="49" t="e">
        <f ca="1">GE177-GN177</f>
        <v>#VALUE!</v>
      </c>
      <c r="GS169" s="49" t="s">
        <v>38</v>
      </c>
      <c r="GT169" s="49" t="s">
        <v>39</v>
      </c>
      <c r="GU169" s="49"/>
      <c r="GV169" s="49"/>
      <c r="GW169" s="49"/>
      <c r="GX169" s="49"/>
      <c r="GY169" s="49"/>
      <c r="GZ169" s="49"/>
      <c r="HA169" s="49"/>
      <c r="HB169" s="49"/>
      <c r="HC169" s="48"/>
      <c r="HD169" s="48"/>
      <c r="HE169" s="48"/>
      <c r="HF169" s="13"/>
      <c r="HG169" s="13"/>
      <c r="HH169" s="13"/>
    </row>
    <row r="170" spans="1:216" ht="16.95" customHeight="1">
      <c r="A170" s="1"/>
      <c r="B170" s="3"/>
      <c r="C170" s="3"/>
      <c r="D170" s="12" t="str">
        <f ca="1">IF(FO166=0,"","Teken je de TO-functie en de TK-functie samen in één grafiek, dan kun je")</f>
        <v/>
      </c>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26"/>
      <c r="FL170" s="26"/>
      <c r="FM170" s="47"/>
      <c r="FN170" s="47"/>
      <c r="FO170" s="47"/>
      <c r="FP170" s="47"/>
      <c r="FQ170" s="47"/>
      <c r="FR170" s="47"/>
      <c r="FS170" s="49"/>
      <c r="FT170" s="49"/>
      <c r="FU170" s="49"/>
      <c r="FV170" s="49"/>
      <c r="FW170" s="49"/>
      <c r="FX170" s="49"/>
      <c r="FY170" s="47"/>
      <c r="FZ170" s="94"/>
      <c r="GA170" s="49"/>
      <c r="GB170" s="49"/>
      <c r="GC170" s="49"/>
      <c r="GD170" s="49" t="s">
        <v>35</v>
      </c>
      <c r="GE170" s="49"/>
      <c r="GF170" s="49">
        <f ca="1">IF(0.4*(GH174-GH171)/GF174&gt;0,0.4*(GH174-GH171)/GF174,-0.4*(GH174-GH171)/GF174)</f>
        <v>40</v>
      </c>
      <c r="GG170" s="49">
        <f ca="1">IF(GF170&lt;1,FLOOR(GF170,0.1),IF(GF170&lt;10,FLOOR(GF170,1),IF(GF170&lt;100,FLOOR(GF170,10),IF(GF170&lt;1000,FLOOR(GF170,100),IF(GF170&lt;10000,FLOOR(GF170,1000),IF(GF170&lt;100000,FLOOR(GF170,10000),FLOOR(GF170,100000)))))))</f>
        <v>40</v>
      </c>
      <c r="GH170" s="49">
        <f ca="1">IF(GH169&lt;100,FLOOR(GH169,10),IF(GH169&lt;1000,FLOOR(GH169,100),IF(GH169&lt;10000,FLOOR(GH169,1000),IF(GH169&lt;100000,FLOOR(GH169,10000),IF(GH169&lt;1000000,FLOOR(GH169,100000),IF(GH169&lt;10000000,FLOOR(GH169,1000000),FLOOR(GH169,10000000)))))))</f>
        <v>80000</v>
      </c>
      <c r="GI170" s="49"/>
      <c r="GJ170" s="49">
        <v>0.6</v>
      </c>
      <c r="GK170" s="49">
        <v>1.7</v>
      </c>
      <c r="GL170" s="49">
        <v>0.6</v>
      </c>
      <c r="GM170" s="49">
        <v>-0.3</v>
      </c>
      <c r="GN170" s="49" t="e">
        <f ca="1">GN169/GM172</f>
        <v>#VALUE!</v>
      </c>
      <c r="GO170" s="49" t="e">
        <f ca="1">(-2*GD177)*GN170+GE177</f>
        <v>#VALUE!</v>
      </c>
      <c r="GP170" s="49" t="e">
        <f ca="1">2*GK177*GN170^1+GL177</f>
        <v>#VALUE!</v>
      </c>
      <c r="GQ170" s="49">
        <f>IF(OR(FO182=5,FO182=11,FO182=14,FO182=15,FO182=16,FO182=17,FO182=18,FO182=19,FO182=27,FO182=30,FO182=33,FO182=36,FO182=37,FO182=38,FO182=39,FO182=40),0.9,1.4)</f>
        <v>1.4</v>
      </c>
      <c r="GR170" s="49" t="e">
        <f ca="1">GR169/GQ172</f>
        <v>#VALUE!</v>
      </c>
      <c r="GS170" s="49" t="e">
        <f ca="1">-2*GD177*GR170+GE177</f>
        <v>#VALUE!</v>
      </c>
      <c r="GT170" s="49" t="e">
        <f ca="1">2*GM177*GR170^1+GN177</f>
        <v>#VALUE!</v>
      </c>
      <c r="GU170" s="49"/>
      <c r="GV170" s="49"/>
      <c r="GW170" s="49"/>
      <c r="GX170" s="49"/>
      <c r="GY170" s="49"/>
      <c r="GZ170" s="49"/>
      <c r="HA170" s="49"/>
      <c r="HB170" s="49"/>
      <c r="HC170" s="48"/>
      <c r="HD170" s="48"/>
      <c r="HE170" s="48"/>
      <c r="HF170" s="13"/>
      <c r="HG170" s="13"/>
      <c r="HH170" s="13"/>
    </row>
    <row r="171" spans="1:216" ht="16.95" customHeight="1">
      <c r="A171" s="1"/>
      <c r="B171" s="3"/>
      <c r="C171" s="3"/>
      <c r="D171" s="12" t="str">
        <f ca="1">IF(FO166=0,"","zo het resultaat aflezen, als je weet bij welke hoeveelheid je moet kijken.")</f>
        <v/>
      </c>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26"/>
      <c r="FL171" s="26"/>
      <c r="FM171" s="47"/>
      <c r="FN171" s="47"/>
      <c r="FO171" s="47"/>
      <c r="FP171" s="47"/>
      <c r="FQ171" s="47"/>
      <c r="FR171" s="47"/>
      <c r="FS171" s="49"/>
      <c r="FT171" s="49"/>
      <c r="FU171" s="49"/>
      <c r="FV171" s="49"/>
      <c r="FW171" s="49"/>
      <c r="FX171" s="49"/>
      <c r="FY171" s="47"/>
      <c r="FZ171" s="94"/>
      <c r="GA171" s="49"/>
      <c r="GB171" s="49"/>
      <c r="GC171" s="49"/>
      <c r="GD171" s="49">
        <f ca="1">GF177*(((ROUND(GD169/GD168,2))-GF177)/(2/GD168))+GG177</f>
        <v>164400</v>
      </c>
      <c r="GE171" s="49">
        <f ca="1">((ROUND(GD169/GD168,2))*(((ROUND(GD169/GD168,2))-GF177)/(2/GD168))-(1/GD168)*(((ROUND(GD169/GD168,2))-GF177)/(2/GD168))^2)-GD171</f>
        <v>153800</v>
      </c>
      <c r="GF171" s="49">
        <f ca="1">(GH173-GH170)/GF174</f>
        <v>250</v>
      </c>
      <c r="GG171" s="49">
        <f ca="1">IF(GF171&lt;1,FLOOR(GF171,0.1),IF(GF171&lt;10,FLOOR(GF171,1),IF(GF171&lt;100,FLOOR(GF171,10),IF(GF171&lt;1000,FLOOR(GF171,100),IF(GF171&lt;10000,FLOOR(GF171,1000),IF(GF171&lt;100000,FLOOR(GF171,10000),FLOOR(GF171,100000)))))))</f>
        <v>200</v>
      </c>
      <c r="GH171" s="49">
        <f ca="1">2*GH170</f>
        <v>160000</v>
      </c>
      <c r="GI171" s="49" t="e">
        <f ca="1">GH168</f>
        <v>#VALUE!</v>
      </c>
      <c r="GJ171" s="49" t="s">
        <v>40</v>
      </c>
      <c r="GK171" s="49" t="e">
        <f ca="1">0.5*-2*GD177*GI171^2+GE177*GI171</f>
        <v>#VALUE!</v>
      </c>
      <c r="GL171" s="49" t="e">
        <f ca="1">GK171-GI171*GI172</f>
        <v>#VALUE!</v>
      </c>
      <c r="GM171" s="49">
        <v>0.9</v>
      </c>
      <c r="GN171" s="49" t="s">
        <v>40</v>
      </c>
      <c r="GO171" s="49" t="e">
        <f ca="1">0.5*(-2*GD177)*GN170^2+GE177*GN170</f>
        <v>#VALUE!</v>
      </c>
      <c r="GP171" s="49" t="e">
        <f ca="1">GO171-GN170*GO170</f>
        <v>#VALUE!</v>
      </c>
      <c r="GQ171" s="49">
        <v>0.2</v>
      </c>
      <c r="GR171" s="49" t="s">
        <v>40</v>
      </c>
      <c r="GS171" s="49" t="e">
        <f ca="1">0.5*(-2*GD177)*GR170^2+GE177*GR170</f>
        <v>#VALUE!</v>
      </c>
      <c r="GT171" s="49" t="e">
        <f ca="1">GS171-GR170*GS170</f>
        <v>#VALUE!</v>
      </c>
      <c r="GU171" s="49"/>
      <c r="GV171" s="49"/>
      <c r="GW171" s="49"/>
      <c r="GX171" s="49"/>
      <c r="GY171" s="49"/>
      <c r="GZ171" s="49"/>
      <c r="HA171" s="49"/>
      <c r="HB171" s="49"/>
      <c r="HC171" s="48"/>
      <c r="HD171" s="48"/>
      <c r="HE171" s="48"/>
      <c r="HF171" s="13"/>
      <c r="HG171" s="13"/>
      <c r="HH171" s="13"/>
    </row>
    <row r="172" spans="1:216" ht="16.95" customHeight="1">
      <c r="A172" s="1"/>
      <c r="B172" s="3"/>
      <c r="C172" s="3"/>
      <c r="D172" s="12"/>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26"/>
      <c r="FL172" s="26"/>
      <c r="FM172" s="47"/>
      <c r="FN172" s="47"/>
      <c r="FO172" s="47"/>
      <c r="FP172" s="47"/>
      <c r="FQ172" s="47"/>
      <c r="FR172" s="47"/>
      <c r="FS172" s="49"/>
      <c r="FT172" s="49"/>
      <c r="FU172" s="49"/>
      <c r="FV172" s="49"/>
      <c r="FW172" s="49"/>
      <c r="FX172" s="49"/>
      <c r="FY172" s="47"/>
      <c r="FZ172" s="94"/>
      <c r="GA172" s="49"/>
      <c r="GB172" s="49"/>
      <c r="GC172" s="49"/>
      <c r="GD172" s="49" t="s">
        <v>36</v>
      </c>
      <c r="GE172" s="49"/>
      <c r="GF172" s="49">
        <f ca="1">ROUND(GD169/GD168,2)</f>
        <v>1600</v>
      </c>
      <c r="GG172" s="49">
        <f ca="1">ROUND(1/GD168,3)</f>
        <v>2</v>
      </c>
      <c r="GH172" s="49">
        <f ca="1">0.8*GG174</f>
        <v>256000</v>
      </c>
      <c r="GI172" s="49" t="e">
        <f ca="1">-2*GD177*GI171+GE177</f>
        <v>#VALUE!</v>
      </c>
      <c r="GJ172" s="49" t="s">
        <v>41</v>
      </c>
      <c r="GK172" s="49" t="e">
        <f ca="1">GH177*GI171^3+GI177*GI171^2+GJ177*GI171+GG177</f>
        <v>#VALUE!</v>
      </c>
      <c r="GL172" s="49" t="e">
        <f ca="1">GK172-GI171*GI172</f>
        <v>#VALUE!</v>
      </c>
      <c r="GM172" s="49" t="e">
        <f ca="1">2*GK177-(-2*GD177)</f>
        <v>#VALUE!</v>
      </c>
      <c r="GN172" s="49" t="s">
        <v>41</v>
      </c>
      <c r="GO172" s="49" t="e">
        <f ca="1">GK177*GN170^2+GL177*GN170+GG177</f>
        <v>#VALUE!</v>
      </c>
      <c r="GP172" s="49" t="e">
        <f ca="1">GO172-GN170*GO170</f>
        <v>#VALUE!</v>
      </c>
      <c r="GQ172" s="49" t="e">
        <f ca="1">2*GM177-(-2*GD177)</f>
        <v>#VALUE!</v>
      </c>
      <c r="GR172" s="49" t="s">
        <v>41</v>
      </c>
      <c r="GS172" s="49" t="e">
        <f ca="1">GM177*GR170^2+GN177*GR170+GG177</f>
        <v>#VALUE!</v>
      </c>
      <c r="GT172" s="49" t="e">
        <f ca="1">GS172-GR170*GS170</f>
        <v>#VALUE!</v>
      </c>
      <c r="GU172" s="49"/>
      <c r="GV172" s="49"/>
      <c r="GW172" s="49"/>
      <c r="GX172" s="49"/>
      <c r="GY172" s="49"/>
      <c r="GZ172" s="49"/>
      <c r="HA172" s="49"/>
      <c r="HB172" s="49"/>
      <c r="HC172" s="48"/>
      <c r="HD172" s="48"/>
      <c r="HE172" s="48"/>
      <c r="HF172" s="13"/>
      <c r="HG172" s="13"/>
      <c r="HH172" s="13"/>
    </row>
    <row r="173" spans="1:216" ht="16.95" customHeight="1">
      <c r="A173" s="1"/>
      <c r="B173" s="3"/>
      <c r="C173" s="3"/>
      <c r="D173" s="12" t="str">
        <f ca="1">IF(FO166=0,"","Hieronder is weer de grafiek van de TO-functie getekend, met nu de TK-")</f>
        <v/>
      </c>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26"/>
      <c r="FL173" s="26"/>
      <c r="FM173" s="47"/>
      <c r="FN173" s="47"/>
      <c r="FO173" s="47"/>
      <c r="FP173" s="47"/>
      <c r="FQ173" s="47"/>
      <c r="FR173" s="47"/>
      <c r="FS173" s="49"/>
      <c r="FT173" s="49"/>
      <c r="FU173" s="49"/>
      <c r="FV173" s="49"/>
      <c r="FW173" s="49"/>
      <c r="FX173" s="49"/>
      <c r="FY173" s="47"/>
      <c r="FZ173" s="94"/>
      <c r="GA173" s="49"/>
      <c r="GB173" s="49"/>
      <c r="GC173" s="49"/>
      <c r="GD173" s="49"/>
      <c r="GE173" s="49"/>
      <c r="GF173" s="49">
        <f ca="1">(GD169/GD168)/(1/GD168)</f>
        <v>800</v>
      </c>
      <c r="GG173" s="49">
        <f ca="1">ROUND(1/GD168,3)</f>
        <v>2</v>
      </c>
      <c r="GH173" s="49">
        <f ca="1">(GH171+GH174)/2</f>
        <v>180000</v>
      </c>
      <c r="GI173" s="49"/>
      <c r="GJ173" s="49"/>
      <c r="GK173" s="49"/>
      <c r="GL173" s="49"/>
      <c r="GM173" s="49"/>
      <c r="GN173" s="49"/>
      <c r="GO173" s="49"/>
      <c r="GP173" s="49"/>
      <c r="GQ173" s="49"/>
      <c r="GR173" s="49"/>
      <c r="GS173" s="49"/>
      <c r="GT173" s="49"/>
      <c r="GU173" s="49"/>
      <c r="GV173" s="49"/>
      <c r="GW173" s="49"/>
      <c r="GX173" s="49"/>
      <c r="GY173" s="49"/>
      <c r="GZ173" s="49"/>
      <c r="HA173" s="49"/>
      <c r="HB173" s="49"/>
      <c r="HC173" s="48"/>
      <c r="HD173" s="48"/>
      <c r="HE173" s="48"/>
      <c r="HF173" s="13"/>
      <c r="HG173" s="13"/>
      <c r="HH173" s="13"/>
    </row>
    <row r="174" spans="1:216" ht="16.95" customHeight="1">
      <c r="A174" s="1"/>
      <c r="B174" s="3"/>
      <c r="C174" s="3"/>
      <c r="D174" s="12" t="str">
        <f ca="1">IF(FO166=0,"","functie erbij. De stippellijn geeft aan bij welke afzet (= verkochte hoeveelheid)")</f>
        <v/>
      </c>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26"/>
      <c r="FL174" s="26"/>
      <c r="FM174" s="47"/>
      <c r="FN174" s="47"/>
      <c r="FO174" s="47"/>
      <c r="FP174" s="47"/>
      <c r="FQ174" s="47"/>
      <c r="FR174" s="47"/>
      <c r="FS174" s="49"/>
      <c r="FT174" s="49"/>
      <c r="FU174" s="49"/>
      <c r="FV174" s="49"/>
      <c r="FW174" s="49"/>
      <c r="FX174" s="49"/>
      <c r="FY174" s="47"/>
      <c r="FZ174" s="94"/>
      <c r="GA174" s="49"/>
      <c r="GB174" s="49"/>
      <c r="GC174" s="49"/>
      <c r="GD174" s="49">
        <f ca="1">IF(GH171&gt;GH170,GH170,GH171)</f>
        <v>80000</v>
      </c>
      <c r="GE174" s="49">
        <f ca="1">IF(GH171&gt;GH170,GH171,GH170)</f>
        <v>160000</v>
      </c>
      <c r="GF174" s="49">
        <f ca="1">ROUND(GD169/GD168,2)/(ROUND(1/GD168,3)*2)</f>
        <v>400</v>
      </c>
      <c r="GG174" s="49">
        <f ca="1">GF172*GF174-GG172*GF174^2</f>
        <v>320000</v>
      </c>
      <c r="GH174" s="49">
        <f ca="1">IF(GH172&lt;100,FLOOR(GH172,10),IF(GH172&lt;1000,FLOOR(GH172,100),IF(GH172&lt;10000,FLOOR(GH172,1000),IF(GH172&lt;100000,FLOOR(GH172,10000),IF(GH172&lt;1000000,FLOOR(GH172,100000),IF(GH172&lt;10000000,FLOOR(GH172,1000000),FLOOR(GH172,10000000)))))))</f>
        <v>200000</v>
      </c>
      <c r="GI174" s="49" t="e">
        <f ca="1">3*GH177*GI171^2+2*GI177*GI171^1+GJ177</f>
        <v>#VALUE!</v>
      </c>
      <c r="GJ174" s="49"/>
      <c r="GK174" s="49"/>
      <c r="GL174" s="49"/>
      <c r="GM174" s="49"/>
      <c r="GN174" s="49"/>
      <c r="GO174" s="49" t="s">
        <v>20</v>
      </c>
      <c r="GP174" s="49" t="s">
        <v>82</v>
      </c>
      <c r="GQ174" s="49" t="s">
        <v>83</v>
      </c>
      <c r="GR174" s="49"/>
      <c r="GS174" s="49"/>
      <c r="GT174" s="49"/>
      <c r="GU174" s="49"/>
      <c r="GV174" s="49"/>
      <c r="GW174" s="49"/>
      <c r="GX174" s="49"/>
      <c r="GY174" s="49"/>
      <c r="GZ174" s="49"/>
      <c r="HA174" s="49"/>
      <c r="HB174" s="49"/>
      <c r="HC174" s="48"/>
      <c r="HD174" s="48"/>
      <c r="HE174" s="48"/>
      <c r="HF174" s="13"/>
      <c r="HG174" s="13"/>
      <c r="HH174" s="13"/>
    </row>
    <row r="175" spans="1:216" ht="16.95" customHeight="1">
      <c r="A175" s="1"/>
      <c r="B175" s="3"/>
      <c r="C175" s="3"/>
      <c r="D175" s="12" t="str">
        <f ca="1">IF(FO166=0,"","de omzet maximaal is. De korte paarse lijn is ingetekend om je eraan te")</f>
        <v/>
      </c>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26"/>
      <c r="FL175" s="26"/>
      <c r="FM175" s="47"/>
      <c r="FN175" s="47"/>
      <c r="FO175" s="47"/>
      <c r="FP175" s="47"/>
      <c r="FQ175" s="47"/>
      <c r="FR175" s="47"/>
      <c r="FS175" s="49"/>
      <c r="FT175" s="49"/>
      <c r="FU175" s="49"/>
      <c r="FV175" s="49"/>
      <c r="FW175" s="49"/>
      <c r="FX175" s="49"/>
      <c r="FY175" s="47"/>
      <c r="FZ175" s="94"/>
      <c r="GA175" s="49"/>
      <c r="GB175" s="49"/>
      <c r="GC175" s="49"/>
      <c r="GD175" s="49"/>
      <c r="GE175" s="49"/>
      <c r="GF175" s="49"/>
      <c r="GG175" s="49"/>
      <c r="GH175" s="49"/>
      <c r="GI175" s="49"/>
      <c r="GJ175" s="49"/>
      <c r="GK175" s="49"/>
      <c r="GL175" s="49"/>
      <c r="GM175" s="49"/>
      <c r="GN175" s="49"/>
      <c r="GO175" s="49"/>
      <c r="GP175" s="49"/>
      <c r="GQ175" s="49"/>
      <c r="GR175" s="49"/>
      <c r="GS175" s="49"/>
      <c r="GT175" s="49"/>
      <c r="GU175" s="49"/>
      <c r="GV175" s="49"/>
      <c r="GW175" s="49"/>
      <c r="GX175" s="49"/>
      <c r="GY175" s="49"/>
      <c r="GZ175" s="49"/>
      <c r="HA175" s="49"/>
      <c r="HB175" s="49"/>
      <c r="HC175" s="48"/>
      <c r="HD175" s="48"/>
      <c r="HE175" s="48"/>
      <c r="HF175" s="13"/>
      <c r="HG175" s="13"/>
      <c r="HH175" s="13"/>
    </row>
    <row r="176" spans="1:216" ht="16.95" customHeight="1">
      <c r="A176" s="1"/>
      <c r="B176" s="3"/>
      <c r="C176" s="3"/>
      <c r="D176" s="12" t="str">
        <f ca="1">IF(FO166=0,"","herinneren dat waar de omzet maximaal is, de marginale opbrengst nul is. ")</f>
        <v/>
      </c>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26"/>
      <c r="FL176" s="26"/>
      <c r="FM176" s="47"/>
      <c r="FN176" s="47"/>
      <c r="FO176" s="47"/>
      <c r="FP176" s="47"/>
      <c r="FQ176" s="47"/>
      <c r="FR176" s="47"/>
      <c r="FS176" s="49"/>
      <c r="FT176" s="49"/>
      <c r="FU176" s="49"/>
      <c r="FV176" s="49"/>
      <c r="FW176" s="49"/>
      <c r="FX176" s="49"/>
      <c r="FY176" s="47"/>
      <c r="FZ176" s="94"/>
      <c r="GA176" s="49"/>
      <c r="GB176" s="49"/>
      <c r="GC176" s="49"/>
      <c r="GD176" s="49" t="s">
        <v>77</v>
      </c>
      <c r="GE176" s="49"/>
      <c r="GF176" s="49" t="s">
        <v>78</v>
      </c>
      <c r="GG176" s="49"/>
      <c r="GH176" s="49" t="s">
        <v>79</v>
      </c>
      <c r="GI176" s="49"/>
      <c r="GJ176" s="49"/>
      <c r="GK176" s="49" t="s">
        <v>81</v>
      </c>
      <c r="GL176" s="49"/>
      <c r="GM176" s="49" t="s">
        <v>80</v>
      </c>
      <c r="GN176" s="49"/>
      <c r="GO176" s="49">
        <f ca="1">-GD177</f>
        <v>-2</v>
      </c>
      <c r="GP176" s="49">
        <f ca="1">GE177-GF177</f>
        <v>1480</v>
      </c>
      <c r="GQ176" s="49">
        <f ca="1">-GG177</f>
        <v>-120000</v>
      </c>
      <c r="GR176" s="49">
        <f ca="1">-(GP176-(GP176^2-4*GO176*GQ176)^0.5)/(2*GO176)</f>
        <v>92.691507522759025</v>
      </c>
      <c r="GS176" s="49">
        <f ca="1">-(GP176+(GP176^2-4*GO176*GQ176)^0.5)/(2*GO176)</f>
        <v>647.30849247724097</v>
      </c>
      <c r="GT176" s="49"/>
      <c r="GU176" s="49"/>
      <c r="GV176" s="49"/>
      <c r="GW176" s="49"/>
      <c r="GX176" s="49"/>
      <c r="GY176" s="49"/>
      <c r="GZ176" s="49"/>
      <c r="HA176" s="49"/>
      <c r="HB176" s="49"/>
      <c r="HC176" s="48"/>
      <c r="HD176" s="48"/>
      <c r="HE176" s="48"/>
      <c r="HF176" s="13"/>
      <c r="HG176" s="13"/>
      <c r="HH176" s="13"/>
    </row>
    <row r="177" spans="1:216" ht="16.5" customHeight="1">
      <c r="A177" s="1"/>
      <c r="B177" s="3"/>
      <c r="C177" s="3"/>
      <c r="D177" s="373"/>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26"/>
      <c r="FL177" s="26"/>
      <c r="FM177" s="47"/>
      <c r="FN177" s="47"/>
      <c r="FO177" s="47"/>
      <c r="FP177" s="47"/>
      <c r="FQ177" s="47"/>
      <c r="FR177" s="47"/>
      <c r="FS177" s="49"/>
      <c r="FT177" s="49"/>
      <c r="FU177" s="49"/>
      <c r="FV177" s="49"/>
      <c r="FW177" s="49"/>
      <c r="FX177" s="49"/>
      <c r="FY177" s="47"/>
      <c r="FZ177" s="94"/>
      <c r="GA177" s="49"/>
      <c r="GB177" s="49"/>
      <c r="GC177" s="49"/>
      <c r="GD177" s="49">
        <f ca="1">1/(Blad1!AA17)</f>
        <v>2</v>
      </c>
      <c r="GE177" s="49">
        <f ca="1">4*Blad1!AA9</f>
        <v>1600</v>
      </c>
      <c r="GF177" s="49">
        <f ca="1">ROUND((GF169+GG169)/2,0)</f>
        <v>120</v>
      </c>
      <c r="GG177" s="49">
        <f ca="1">ROUND((GD174+GE174)/2,0)</f>
        <v>120000</v>
      </c>
      <c r="GH177" s="49" t="e">
        <f ca="1">GN185*GJ168/GC190^3</f>
        <v>#VALUE!</v>
      </c>
      <c r="GI177" s="49" t="e">
        <f ca="1">-GN185*GJ169/GC190^2</f>
        <v>#VALUE!</v>
      </c>
      <c r="GJ177" s="49" t="e">
        <f ca="1">GN185*GJ170/GC190^1</f>
        <v>#VALUE!</v>
      </c>
      <c r="GK177" s="49" t="e">
        <f ca="1">GN185*GM170/GC190^2</f>
        <v>#VALUE!</v>
      </c>
      <c r="GL177" s="49" t="e">
        <f ca="1">GN185*GM171/GC190^1</f>
        <v>#VALUE!</v>
      </c>
      <c r="GM177" s="49" t="e">
        <f ca="1">GN185*GQ170/GC190^2</f>
        <v>#VALUE!</v>
      </c>
      <c r="GN177" s="49" t="e">
        <f ca="1">GN185*GQ171/GC190^1</f>
        <v>#VALUE!</v>
      </c>
      <c r="GO177" s="49" t="e">
        <f ca="1">-GD177-GK177</f>
        <v>#VALUE!</v>
      </c>
      <c r="GP177" s="49" t="e">
        <f ca="1">GE177-GL177</f>
        <v>#VALUE!</v>
      </c>
      <c r="GQ177" s="49">
        <f ca="1">-GG177</f>
        <v>-120000</v>
      </c>
      <c r="GR177" s="49" t="e">
        <f ca="1">-(GP177-(GP177^2-4*GO177*GQ177)^0.5)/(2*GO177)</f>
        <v>#VALUE!</v>
      </c>
      <c r="GS177" s="49" t="e">
        <f ca="1">-(GP177+(GP177^2-4*GO177*GQ177)^0.5)/(2*GO177)</f>
        <v>#VALUE!</v>
      </c>
      <c r="GT177" s="49"/>
      <c r="GU177" s="49"/>
      <c r="GV177" s="49"/>
      <c r="GW177" s="49"/>
      <c r="GX177" s="49"/>
      <c r="GY177" s="49"/>
      <c r="GZ177" s="49"/>
      <c r="HA177" s="49"/>
      <c r="HB177" s="49"/>
      <c r="HC177" s="48"/>
      <c r="HD177" s="48"/>
      <c r="HE177" s="48"/>
      <c r="HF177" s="13"/>
      <c r="HG177" s="13"/>
      <c r="HH177" s="13"/>
    </row>
    <row r="178" spans="1:216" ht="16.5" customHeight="1">
      <c r="A178" s="1"/>
      <c r="B178" s="3"/>
      <c r="C178" s="3"/>
      <c r="D178" s="43"/>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26"/>
      <c r="FL178" s="26"/>
      <c r="FM178" s="47"/>
      <c r="FN178" s="47"/>
      <c r="FO178" s="47"/>
      <c r="FP178" s="47"/>
      <c r="FQ178" s="47"/>
      <c r="FR178" s="47"/>
      <c r="FS178" s="49"/>
      <c r="FT178" s="49"/>
      <c r="FU178" s="49"/>
      <c r="FV178" s="49"/>
      <c r="FW178" s="49"/>
      <c r="FX178" s="49"/>
      <c r="FY178" s="47"/>
      <c r="FZ178" s="94"/>
      <c r="GA178" s="49"/>
      <c r="GB178" s="49"/>
      <c r="GC178" s="49"/>
      <c r="GD178" s="49"/>
      <c r="GE178" s="49"/>
      <c r="GF178" s="49"/>
      <c r="GG178" s="49"/>
      <c r="GH178" s="49"/>
      <c r="GI178" s="49"/>
      <c r="GJ178" s="49"/>
      <c r="GK178" s="49"/>
      <c r="GL178" s="49"/>
      <c r="GM178" s="49"/>
      <c r="GN178" s="49"/>
      <c r="GO178" s="49" t="e">
        <f ca="1">-GD177-GM177</f>
        <v>#VALUE!</v>
      </c>
      <c r="GP178" s="49" t="e">
        <f ca="1">GE177-GN177</f>
        <v>#VALUE!</v>
      </c>
      <c r="GQ178" s="49">
        <f ca="1">-GG177</f>
        <v>-120000</v>
      </c>
      <c r="GR178" s="49" t="e">
        <f ca="1">-(GP178-(GP178^2-4*GO178*GQ178)^0.5)/(2*GO178)</f>
        <v>#VALUE!</v>
      </c>
      <c r="GS178" s="49" t="e">
        <f ca="1">-(GP178+(GP178^2-4*GO178*GQ178)^0.5)/(2*GO178)</f>
        <v>#VALUE!</v>
      </c>
      <c r="GT178" s="49"/>
      <c r="GU178" s="49"/>
      <c r="GV178" s="49"/>
      <c r="GW178" s="49"/>
      <c r="GX178" s="49"/>
      <c r="GY178" s="49"/>
      <c r="GZ178" s="49"/>
      <c r="HA178" s="49"/>
      <c r="HB178" s="49"/>
      <c r="HC178" s="48"/>
      <c r="HD178" s="48"/>
      <c r="HE178" s="48"/>
      <c r="HF178" s="13"/>
      <c r="HG178" s="13"/>
      <c r="HH178" s="13"/>
    </row>
    <row r="179" spans="1:216" ht="16.5" customHeight="1">
      <c r="A179" s="1"/>
      <c r="B179" s="3"/>
      <c r="C179" s="3"/>
      <c r="D179" s="43"/>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26"/>
      <c r="FL179" s="26"/>
      <c r="FM179" s="47"/>
      <c r="FN179" s="47"/>
      <c r="FO179" s="47"/>
      <c r="FP179" s="47"/>
      <c r="FQ179" s="47"/>
      <c r="FR179" s="47"/>
      <c r="FS179" s="49"/>
      <c r="FT179" s="49"/>
      <c r="FU179" s="49"/>
      <c r="FV179" s="49"/>
      <c r="FW179" s="49"/>
      <c r="FX179" s="49"/>
      <c r="FY179" s="47"/>
      <c r="FZ179" s="94"/>
      <c r="GA179" s="49"/>
      <c r="GB179" s="49"/>
      <c r="GC179" s="49" t="s">
        <v>0</v>
      </c>
      <c r="GD179" s="49" t="s">
        <v>22</v>
      </c>
      <c r="GE179" s="49" t="s">
        <v>37</v>
      </c>
      <c r="GF179" s="49" t="s">
        <v>50</v>
      </c>
      <c r="GG179" s="49" t="s">
        <v>57</v>
      </c>
      <c r="GH179" s="49"/>
      <c r="GI179" s="49" t="s">
        <v>60</v>
      </c>
      <c r="GJ179" s="49"/>
      <c r="GK179" s="49" t="s">
        <v>71</v>
      </c>
      <c r="GL179" s="49" t="s">
        <v>72</v>
      </c>
      <c r="GM179" s="49" t="s">
        <v>73</v>
      </c>
      <c r="GN179" s="49" t="s">
        <v>5</v>
      </c>
      <c r="GO179" s="49" t="s">
        <v>3</v>
      </c>
      <c r="GP179" s="49" t="s">
        <v>58</v>
      </c>
      <c r="GQ179" s="49" t="s">
        <v>207</v>
      </c>
      <c r="GR179" s="49" t="s">
        <v>60</v>
      </c>
      <c r="GS179" s="49"/>
      <c r="GT179" s="49" t="s">
        <v>2</v>
      </c>
      <c r="GU179" s="49" t="s">
        <v>73</v>
      </c>
      <c r="GV179" s="49"/>
      <c r="GW179" s="49" t="s">
        <v>76</v>
      </c>
      <c r="GX179" s="49" t="s">
        <v>206</v>
      </c>
      <c r="GY179" s="49"/>
      <c r="GZ179" s="49"/>
      <c r="HA179" s="49" t="s">
        <v>208</v>
      </c>
      <c r="HB179" s="49"/>
      <c r="HC179" s="48"/>
      <c r="HD179" s="48"/>
      <c r="HE179" s="48"/>
      <c r="HF179" s="13"/>
      <c r="HG179" s="13"/>
      <c r="HH179" s="13"/>
    </row>
    <row r="180" spans="1:216" ht="16.5" customHeight="1">
      <c r="A180" s="1"/>
      <c r="B180" s="3"/>
      <c r="C180" s="3"/>
      <c r="D180" s="43"/>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26"/>
      <c r="FL180" s="26"/>
      <c r="FM180" s="47"/>
      <c r="FN180" s="47"/>
      <c r="FO180" s="47"/>
      <c r="FP180" s="47"/>
      <c r="FQ180" s="47"/>
      <c r="FR180" s="47"/>
      <c r="FS180" s="49"/>
      <c r="FT180" s="49"/>
      <c r="FU180" s="49"/>
      <c r="FV180" s="49"/>
      <c r="FW180" s="49"/>
      <c r="FX180" s="49"/>
      <c r="FY180" s="47"/>
      <c r="FZ180" s="94"/>
      <c r="GA180" s="49"/>
      <c r="GB180" s="49" t="e">
        <f ca="1">0.75*GC181</f>
        <v>#VALUE!</v>
      </c>
      <c r="GC180" s="49" t="str">
        <f ca="1">IF(FO166=1,0,"")</f>
        <v/>
      </c>
      <c r="GD180" s="49">
        <f ca="1">IF(FO166=1,-GD177*GC180+GE177,0)</f>
        <v>0</v>
      </c>
      <c r="GE180" s="49">
        <f ca="1">IF(FO166=1,-2*GD177*GC180+GE177,0)</f>
        <v>0</v>
      </c>
      <c r="GF180" s="49">
        <f ca="1">IF(FO166=1,GF177+GG177/GB180,0)</f>
        <v>0</v>
      </c>
      <c r="GG180" s="49">
        <f ca="1">IF(FO166=1,GF177,0)</f>
        <v>0</v>
      </c>
      <c r="GH180" s="49"/>
      <c r="GI180" s="49">
        <f ca="1">IF(FO166=0,0,IF(FO182=1,GI190,IF(FO182=2,GC185,IF(FO182=3,GR190,0))))</f>
        <v>0</v>
      </c>
      <c r="GJ180" s="49">
        <f ca="1">0*GJ190</f>
        <v>0</v>
      </c>
      <c r="GK180" s="49">
        <f ca="1">0*GK190</f>
        <v>0</v>
      </c>
      <c r="GL180" s="49">
        <f ca="1">GL190</f>
        <v>0</v>
      </c>
      <c r="GM180" s="49">
        <f ca="1">GM190</f>
        <v>0</v>
      </c>
      <c r="GN180" s="49">
        <f ca="1">IF(FO166=0,0,-GD177*GC180^2+GE177*GC180)</f>
        <v>0</v>
      </c>
      <c r="GO180" s="49">
        <f ca="1">IF(FO166=0,0,GF177*GC180+GG177)</f>
        <v>0</v>
      </c>
      <c r="GP180" s="49">
        <f ca="1">IF(FO166=0,0,IF(FO182=1,GF177*GQ180+GG177+GE171,IF(FO182=2,GN185,0)))</f>
        <v>0</v>
      </c>
      <c r="GQ180" s="49">
        <f ca="1">IF(FO166=0,0,IF(FO182=1,GI180-2*GC181,IF(FO182=2,GI180-2*GC181,0)))</f>
        <v>0</v>
      </c>
      <c r="GR180" s="49">
        <f ca="1">IF(FO166=0,0,IF(FO182=3,GR176,IF(FO182=2,GC185,IF(FO182=1,GK190,0))))</f>
        <v>0</v>
      </c>
      <c r="GS180" s="49">
        <f ca="1">0*GS190</f>
        <v>0</v>
      </c>
      <c r="GT180" s="49">
        <f ca="1">IF(FO166=1,GF177*GC180,0)</f>
        <v>0</v>
      </c>
      <c r="GU180" s="49">
        <f ca="1">GU190</f>
        <v>0</v>
      </c>
      <c r="GV180" s="49"/>
      <c r="GW180" s="49">
        <f ca="1">GN180-GO180</f>
        <v>0</v>
      </c>
      <c r="GX180" s="49">
        <f ca="1">(GE177-GF177)/(2*GD177)</f>
        <v>370</v>
      </c>
      <c r="GY180" s="49">
        <f ca="1">0*GY189</f>
        <v>0</v>
      </c>
      <c r="GZ180" s="49">
        <f ca="1">GY190</f>
        <v>0</v>
      </c>
      <c r="HA180" s="49">
        <f ca="1">IF(FO166=0,0,IF(FO182=2,GX180-2*GC181,0))</f>
        <v>0</v>
      </c>
      <c r="HB180" s="49"/>
      <c r="HC180" s="48"/>
      <c r="HD180" s="48"/>
      <c r="HE180" s="48"/>
      <c r="HF180" s="13"/>
      <c r="HG180" s="13"/>
      <c r="HH180" s="13"/>
    </row>
    <row r="181" spans="1:216" ht="16.5" customHeight="1">
      <c r="A181" s="1"/>
      <c r="B181" s="3"/>
      <c r="C181" s="3"/>
      <c r="D181" s="373"/>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26"/>
      <c r="FL181" s="26"/>
      <c r="FM181" s="47"/>
      <c r="FN181" s="47"/>
      <c r="FO181" s="47"/>
      <c r="FP181" s="47"/>
      <c r="FQ181" s="47"/>
      <c r="FR181" s="47"/>
      <c r="FS181" s="49"/>
      <c r="FT181" s="49"/>
      <c r="FU181" s="49"/>
      <c r="FV181" s="49"/>
      <c r="FW181" s="49"/>
      <c r="FX181" s="49"/>
      <c r="FY181" s="47"/>
      <c r="FZ181" s="94"/>
      <c r="GA181" s="49"/>
      <c r="GB181" s="49" t="str">
        <f t="shared" ref="GB181:GB189" ca="1" si="4">GC181</f>
        <v/>
      </c>
      <c r="GC181" s="49" t="str">
        <f ca="1">IF(FO166=1,0.1*(GE177/GD177),"")</f>
        <v/>
      </c>
      <c r="GD181" s="49">
        <f ca="1">IF(FO166=1,-GD177*GC181+GE177,0)</f>
        <v>0</v>
      </c>
      <c r="GE181" s="49">
        <f ca="1">IF(FO166=1,-2*GD177*GC181+GE177,0)</f>
        <v>0</v>
      </c>
      <c r="GF181" s="49">
        <f ca="1">IF(FO166=1,GF177+GG177/GB181,0)</f>
        <v>0</v>
      </c>
      <c r="GG181" s="49">
        <f ca="1">IF(FO166=1,GF177,0)</f>
        <v>0</v>
      </c>
      <c r="GH181" s="49"/>
      <c r="GI181" s="49">
        <f ca="1">IF(FO166=0,0,IF(FO182=1,GI190,IF(FO182=2,GC185,IF(FO182=3,GR190,0))))</f>
        <v>0</v>
      </c>
      <c r="GJ181" s="49">
        <f ca="1">IF(FO166=1,0.1*GJ190,0)</f>
        <v>0</v>
      </c>
      <c r="GK181" s="49">
        <f ca="1">0.1*GK190</f>
        <v>0</v>
      </c>
      <c r="GL181" s="49">
        <f ca="1">GL190</f>
        <v>0</v>
      </c>
      <c r="GM181" s="49">
        <f ca="1">GM190</f>
        <v>0</v>
      </c>
      <c r="GN181" s="49">
        <f ca="1">IF(FO166=0,0,-GD177*GC181^2+GE177*GC181)</f>
        <v>0</v>
      </c>
      <c r="GO181" s="49">
        <f ca="1">IF(FO166=0,0,GF177*GC181+GG177)</f>
        <v>0</v>
      </c>
      <c r="GP181" s="49">
        <f ca="1">IF(FO166=0,0,IF(FO182=1,GF177*GQ181+GG177+GE171,IF(FO182=2,GN185,0)))</f>
        <v>0</v>
      </c>
      <c r="GQ181" s="49">
        <f ca="1">IF(FO166=0,0,IF(FO182=1,GI180-1*GC181,IF(FO182=2,GI180-1*GC181,0)))</f>
        <v>0</v>
      </c>
      <c r="GR181" s="49">
        <f ca="1">IF(FO166=0,0,IF(FO182=3,GR176,IF(FO182=2,GC185,IF(FO182=1,GK190,0))))</f>
        <v>0</v>
      </c>
      <c r="GS181" s="49">
        <f ca="1">0.1*GS190</f>
        <v>0</v>
      </c>
      <c r="GT181" s="49">
        <f ca="1">IF(FO166=1,GF177*GC181,0)</f>
        <v>0</v>
      </c>
      <c r="GU181" s="49">
        <f ca="1">GU190</f>
        <v>0</v>
      </c>
      <c r="GV181" s="49"/>
      <c r="GW181" s="49">
        <f t="shared" ref="GW181:GW190" ca="1" si="5">GN181-GO181</f>
        <v>0</v>
      </c>
      <c r="GX181" s="49">
        <f ca="1">$GX$180</f>
        <v>370</v>
      </c>
      <c r="GY181" s="49">
        <f ca="1">0.1*GY189</f>
        <v>0</v>
      </c>
      <c r="GZ181" s="49">
        <f ca="1">GZ180</f>
        <v>0</v>
      </c>
      <c r="HA181" s="49">
        <f ca="1">IF(FO166=0,0,IF(FO182=2,GX180-1*GC181,0))</f>
        <v>0</v>
      </c>
      <c r="HB181" s="49"/>
      <c r="HC181" s="48"/>
      <c r="HD181" s="48"/>
      <c r="HE181" s="48"/>
      <c r="HF181" s="13"/>
      <c r="HG181" s="13"/>
      <c r="HH181" s="13"/>
    </row>
    <row r="182" spans="1:216" ht="15" customHeight="1">
      <c r="A182" s="1"/>
      <c r="B182" s="3"/>
      <c r="C182" s="3"/>
      <c r="D182" s="12"/>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26"/>
      <c r="FL182" s="26"/>
      <c r="FM182" s="47"/>
      <c r="FN182" s="47"/>
      <c r="FO182" s="48">
        <v>2</v>
      </c>
      <c r="FP182" s="47"/>
      <c r="FQ182" s="47"/>
      <c r="FR182" s="47"/>
      <c r="FS182" s="49"/>
      <c r="FT182" s="49"/>
      <c r="FU182" s="47"/>
      <c r="FV182" s="47"/>
      <c r="FW182" s="47"/>
      <c r="FX182" s="47"/>
      <c r="FY182" s="47"/>
      <c r="FZ182" s="94"/>
      <c r="GA182" s="49"/>
      <c r="GB182" s="49" t="str">
        <f t="shared" ca="1" si="4"/>
        <v/>
      </c>
      <c r="GC182" s="49" t="str">
        <f ca="1">IF(FO166=1,0.2*(GE177/GD177),"")</f>
        <v/>
      </c>
      <c r="GD182" s="49">
        <f ca="1">IF(FO166=1,-GD177*GC182+GE177,0)</f>
        <v>0</v>
      </c>
      <c r="GE182" s="49">
        <f ca="1">IF(FO166=1,-2*GD177*GC182+GE177,0)</f>
        <v>0</v>
      </c>
      <c r="GF182" s="49">
        <f ca="1">IF(FO166=1,GF177+GG177/GB182,0)</f>
        <v>0</v>
      </c>
      <c r="GG182" s="49">
        <f ca="1">IF(FO166=1,GF177,0)</f>
        <v>0</v>
      </c>
      <c r="GH182" s="49"/>
      <c r="GI182" s="49">
        <f ca="1">IF(FO166=0,0,IF(FO182=1,GI190,IF(FO182=2,GC185,IF(FO182=3,GR190,0))))</f>
        <v>0</v>
      </c>
      <c r="GJ182" s="49">
        <f ca="1">IF(FO166=1,0.2*GJ190,0)</f>
        <v>0</v>
      </c>
      <c r="GK182" s="49">
        <f ca="1">0.2*GK190</f>
        <v>0</v>
      </c>
      <c r="GL182" s="49">
        <f ca="1">GL190</f>
        <v>0</v>
      </c>
      <c r="GM182" s="49">
        <f ca="1">GM190</f>
        <v>0</v>
      </c>
      <c r="GN182" s="49">
        <f ca="1">IF(FO166=0,0,-GD177*GC182^2+GE177*GC182)</f>
        <v>0</v>
      </c>
      <c r="GO182" s="49">
        <f ca="1">IF(FO166=0,0,GF177*GC182+GG177)</f>
        <v>0</v>
      </c>
      <c r="GP182" s="49">
        <f ca="1">IF(FO166=0,0,IF(FO182=1,GF177*GQ182+GG177+GE171,IF(FO182=2,GN185,0)))</f>
        <v>0</v>
      </c>
      <c r="GQ182" s="49">
        <f ca="1">IF(FO166=0,0,IF(FO182=1,GI180,IF(FO182=2,GI180,0)))</f>
        <v>0</v>
      </c>
      <c r="GR182" s="49">
        <f ca="1">IF(FO166=0,0,IF(FO182=3,GR176,IF(FO182=2,GC185,IF(FO182=1,GK190,0))))</f>
        <v>0</v>
      </c>
      <c r="GS182" s="49">
        <f ca="1">0.2*GS190</f>
        <v>0</v>
      </c>
      <c r="GT182" s="49">
        <f ca="1">IF(FO166=1,GF177*GC182,0)</f>
        <v>0</v>
      </c>
      <c r="GU182" s="49">
        <f ca="1">GU190</f>
        <v>0</v>
      </c>
      <c r="GV182" s="49"/>
      <c r="GW182" s="49">
        <f t="shared" ca="1" si="5"/>
        <v>0</v>
      </c>
      <c r="GX182" s="49">
        <f t="shared" ref="GX182:GX190" ca="1" si="6">$GX$180</f>
        <v>370</v>
      </c>
      <c r="GY182" s="49">
        <f ca="1">0.2*GY189</f>
        <v>0</v>
      </c>
      <c r="GZ182" s="49">
        <f ca="1">GZ180</f>
        <v>0</v>
      </c>
      <c r="HA182" s="49">
        <f ca="1">IF(FO166=0,0,IF(FO182=2,GX180,0))</f>
        <v>0</v>
      </c>
      <c r="HB182" s="49"/>
      <c r="HC182" s="48"/>
      <c r="HD182" s="48"/>
      <c r="HE182" s="48"/>
      <c r="HF182" s="13"/>
      <c r="HG182" s="13"/>
      <c r="HH182" s="13"/>
    </row>
    <row r="183" spans="1:216" ht="16.5" customHeight="1">
      <c r="A183" s="1"/>
      <c r="B183" s="3"/>
      <c r="C183" s="3"/>
      <c r="D183" s="12"/>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26"/>
      <c r="FL183" s="26"/>
      <c r="FM183" s="47"/>
      <c r="FN183" s="47"/>
      <c r="FO183" s="47"/>
      <c r="FP183" s="47"/>
      <c r="FQ183" s="47"/>
      <c r="FR183" s="47"/>
      <c r="FS183" s="49"/>
      <c r="FT183" s="49"/>
      <c r="FU183" s="47"/>
      <c r="FV183" s="47"/>
      <c r="FW183" s="47"/>
      <c r="FX183" s="47"/>
      <c r="FY183" s="47"/>
      <c r="FZ183" s="94"/>
      <c r="GA183" s="49"/>
      <c r="GB183" s="49" t="str">
        <f t="shared" ca="1" si="4"/>
        <v/>
      </c>
      <c r="GC183" s="49" t="str">
        <f ca="1">IF(FO166=1,0.3*(GE177/GD177),"")</f>
        <v/>
      </c>
      <c r="GD183" s="49">
        <f ca="1">IF(FO166=1,-GD177*GC183+GE177,0)</f>
        <v>0</v>
      </c>
      <c r="GE183" s="49">
        <f ca="1">IF(FO166=1,-2*GD177*GC183+GE177,0)</f>
        <v>0</v>
      </c>
      <c r="GF183" s="49">
        <f ca="1">IF(FO166=1,GF177+GG177/GB183,0)</f>
        <v>0</v>
      </c>
      <c r="GG183" s="49">
        <f ca="1">IF(FO166=1,GF177,0)</f>
        <v>0</v>
      </c>
      <c r="GH183" s="49"/>
      <c r="GI183" s="49">
        <f ca="1">IF(FO166=0,0,IF(FO182=1,GI190,IF(FO182=2,GC185,IF(FO182=3,GR190,0))))</f>
        <v>0</v>
      </c>
      <c r="GJ183" s="49">
        <f ca="1">IF(FO166=1,0.3*GJ190,0)</f>
        <v>0</v>
      </c>
      <c r="GK183" s="49">
        <f ca="1">0.3*GK190</f>
        <v>0</v>
      </c>
      <c r="GL183" s="49">
        <f ca="1">GL190</f>
        <v>0</v>
      </c>
      <c r="GM183" s="49">
        <f ca="1">GM190</f>
        <v>0</v>
      </c>
      <c r="GN183" s="49">
        <f ca="1">IF(FO166=0,0,-GD177*GC183^2+GE177*GC183)</f>
        <v>0</v>
      </c>
      <c r="GO183" s="49">
        <f ca="1">IF(FO166=0,0,GF177*GC183+GG177)</f>
        <v>0</v>
      </c>
      <c r="GP183" s="49">
        <f ca="1">IF(FO166=0,0,IF(FO182=1,GF177*GQ183+GG177+GE171,IF(FO182=2,GN185,0)))</f>
        <v>0</v>
      </c>
      <c r="GQ183" s="49">
        <f ca="1">IF(FO166=0,0,IF(FO182=1,GI180+1*GC181,IF(FO182=2,GI180+1*GC181,0)))</f>
        <v>0</v>
      </c>
      <c r="GR183" s="49">
        <f ca="1">IF(FO166=0,0,IF(FO182=3,GR176,IF(FO182=2,GC185,IF(FO182=1,GK190,0))))</f>
        <v>0</v>
      </c>
      <c r="GS183" s="49">
        <f ca="1">0.3*GS190</f>
        <v>0</v>
      </c>
      <c r="GT183" s="49">
        <f ca="1">IF(FO166=1,GF177*GC183,0)</f>
        <v>0</v>
      </c>
      <c r="GU183" s="49">
        <f ca="1">GU190</f>
        <v>0</v>
      </c>
      <c r="GV183" s="49"/>
      <c r="GW183" s="49">
        <f t="shared" ca="1" si="5"/>
        <v>0</v>
      </c>
      <c r="GX183" s="49">
        <f t="shared" ca="1" si="6"/>
        <v>370</v>
      </c>
      <c r="GY183" s="49">
        <f ca="1">0.3*GY189</f>
        <v>0</v>
      </c>
      <c r="GZ183" s="49">
        <f ca="1">GZ180</f>
        <v>0</v>
      </c>
      <c r="HA183" s="49">
        <f ca="1">IF(FO166=0,0,IF(FO182=2,GX180+1*GC181,0))</f>
        <v>0</v>
      </c>
      <c r="HB183" s="49"/>
      <c r="HC183" s="48"/>
      <c r="HD183" s="48"/>
      <c r="HE183" s="48"/>
      <c r="HF183" s="13"/>
      <c r="HG183" s="13"/>
      <c r="HH183" s="13"/>
    </row>
    <row r="184" spans="1:216" ht="16.5" customHeight="1">
      <c r="A184" s="1"/>
      <c r="B184" s="3"/>
      <c r="C184" s="3"/>
      <c r="D184" s="12"/>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26"/>
      <c r="FL184" s="26"/>
      <c r="FM184" s="47"/>
      <c r="FN184" s="47"/>
      <c r="FO184" s="47"/>
      <c r="FP184" s="47"/>
      <c r="FQ184" s="47"/>
      <c r="FR184" s="47"/>
      <c r="FS184" s="49"/>
      <c r="FT184" s="49"/>
      <c r="FU184" s="47"/>
      <c r="FV184" s="47"/>
      <c r="FW184" s="47"/>
      <c r="FX184" s="47"/>
      <c r="FY184" s="47"/>
      <c r="FZ184" s="94"/>
      <c r="GA184" s="49"/>
      <c r="GB184" s="49" t="str">
        <f t="shared" ca="1" si="4"/>
        <v/>
      </c>
      <c r="GC184" s="49" t="str">
        <f ca="1">IF(FO166=1,0.4*(GE177/GD177),"")</f>
        <v/>
      </c>
      <c r="GD184" s="49">
        <f ca="1">IF(FO166=1,-GD177*GC184+GE177,0)</f>
        <v>0</v>
      </c>
      <c r="GE184" s="49">
        <f ca="1">IF(FO166=1,-2*GD177*GC184+GE177,0)</f>
        <v>0</v>
      </c>
      <c r="GF184" s="49">
        <f ca="1">IF(FO166=1,GF177+GG177/GB184,0)</f>
        <v>0</v>
      </c>
      <c r="GG184" s="49">
        <f ca="1">IF(FO166=1,GF177,0)</f>
        <v>0</v>
      </c>
      <c r="GH184" s="49"/>
      <c r="GI184" s="49">
        <f ca="1">IF(FO166=0,0,IF(FO182=1,GI190,IF(FO182=2,GC185,IF(FO182=3,GR190,0))))</f>
        <v>0</v>
      </c>
      <c r="GJ184" s="49">
        <f ca="1">IF(FO166=1,0.4*GJ190,0)</f>
        <v>0</v>
      </c>
      <c r="GK184" s="49">
        <f ca="1">0.4*GK190</f>
        <v>0</v>
      </c>
      <c r="GL184" s="49">
        <f ca="1">GL190</f>
        <v>0</v>
      </c>
      <c r="GM184" s="49">
        <f ca="1">GM190</f>
        <v>0</v>
      </c>
      <c r="GN184" s="49">
        <f ca="1">IF(FO166=0,0,-GD177*GC184^2+GE177*GC184)</f>
        <v>0</v>
      </c>
      <c r="GO184" s="49">
        <f ca="1">IF(FO166=0,0,GF177*GC184+GG177)</f>
        <v>0</v>
      </c>
      <c r="GP184" s="49">
        <f ca="1">IF(FO166=0,0,IF(FO182=1,GF177*GQ184+GG177+GE171,IF(FO182=2,GN185,0)))</f>
        <v>0</v>
      </c>
      <c r="GQ184" s="49">
        <f ca="1">IF(FO166=0,0,IF(FO182=1,GI180+2*GC181,IF(FO182=2,GI180+2*GC181,0)))</f>
        <v>0</v>
      </c>
      <c r="GR184" s="49">
        <f ca="1">IF(FO166=0,0,IF(FO182=3,GR176,IF(FO182=2,GC185,IF(FO182=1,GK190,0))))</f>
        <v>0</v>
      </c>
      <c r="GS184" s="49">
        <f ca="1">0.4*GS190</f>
        <v>0</v>
      </c>
      <c r="GT184" s="49">
        <f ca="1">IF(FO166=1,GF177*GC184,0)</f>
        <v>0</v>
      </c>
      <c r="GU184" s="49">
        <f ca="1">GU190</f>
        <v>0</v>
      </c>
      <c r="GV184" s="49"/>
      <c r="GW184" s="49">
        <f t="shared" ca="1" si="5"/>
        <v>0</v>
      </c>
      <c r="GX184" s="49">
        <f t="shared" ca="1" si="6"/>
        <v>370</v>
      </c>
      <c r="GY184" s="49">
        <f ca="1">0.4*GY189</f>
        <v>0</v>
      </c>
      <c r="GZ184" s="49">
        <f ca="1">GZ180</f>
        <v>0</v>
      </c>
      <c r="HA184" s="49">
        <f ca="1">IF(FO166=0,0,IF(FO182=2,GX180+2*GC181,0))</f>
        <v>0</v>
      </c>
      <c r="HB184" s="49"/>
      <c r="HC184" s="48"/>
      <c r="HD184" s="48"/>
      <c r="HE184" s="48"/>
      <c r="HF184" s="13"/>
      <c r="HG184" s="13"/>
      <c r="HH184" s="13"/>
    </row>
    <row r="185" spans="1:216" ht="16.5" customHeight="1">
      <c r="A185" s="1"/>
      <c r="B185" s="3"/>
      <c r="C185" s="3"/>
      <c r="D185" s="12"/>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26"/>
      <c r="FL185" s="26"/>
      <c r="FM185" s="47"/>
      <c r="FN185" s="47"/>
      <c r="FO185" s="47"/>
      <c r="FP185" s="47"/>
      <c r="FQ185" s="47"/>
      <c r="FR185" s="47"/>
      <c r="FS185" s="49"/>
      <c r="FT185" s="49"/>
      <c r="FU185" s="47"/>
      <c r="FV185" s="47"/>
      <c r="FW185" s="47"/>
      <c r="FX185" s="47"/>
      <c r="FY185" s="47"/>
      <c r="FZ185" s="94"/>
      <c r="GA185" s="49"/>
      <c r="GB185" s="49" t="str">
        <f t="shared" ca="1" si="4"/>
        <v/>
      </c>
      <c r="GC185" s="49" t="str">
        <f ca="1">IF(FO166=1,0.5*(GE177/GD177),"")</f>
        <v/>
      </c>
      <c r="GD185" s="49">
        <f ca="1">IF(FO166=1,-GD177*GC185+GE177,0)</f>
        <v>0</v>
      </c>
      <c r="GE185" s="49">
        <f ca="1">IF(FO166=1,-2*GD177*GC185+GE177,0)</f>
        <v>0</v>
      </c>
      <c r="GF185" s="49">
        <f ca="1">IF(FO166=1,GF177+GG177/GB185,0)</f>
        <v>0</v>
      </c>
      <c r="GG185" s="49">
        <f ca="1">IF(FO166=1,GF177,0)</f>
        <v>0</v>
      </c>
      <c r="GH185" s="49"/>
      <c r="GI185" s="49">
        <f ca="1">IF(FO166=0,0,IF(FO182=1,GI190,IF(FO182=2,GC185,IF(FO182=3,GR190,0))))</f>
        <v>0</v>
      </c>
      <c r="GJ185" s="49">
        <f ca="1">IF(FO166=1,0.5*GJ190,0)</f>
        <v>0</v>
      </c>
      <c r="GK185" s="49">
        <f ca="1">0.5*GK190</f>
        <v>0</v>
      </c>
      <c r="GL185" s="49">
        <f ca="1">GL190</f>
        <v>0</v>
      </c>
      <c r="GM185" s="49">
        <f ca="1">GM190</f>
        <v>0</v>
      </c>
      <c r="GN185" s="49">
        <f ca="1">IF(FO166=0,0,-GD177*GC185^2+GE177*GC185)</f>
        <v>0</v>
      </c>
      <c r="GO185" s="49">
        <f ca="1">IF(FO166=0,0,GF177*GC185+GG177)</f>
        <v>0</v>
      </c>
      <c r="GP185" s="49"/>
      <c r="GQ185" s="49"/>
      <c r="GR185" s="49">
        <f ca="1">IF(FO166=0,0,IF(FO182=3,GR176,IF(FO182=2,GC185,IF(FO182=1,GK190,0))))</f>
        <v>0</v>
      </c>
      <c r="GS185" s="49">
        <f ca="1">0.5*GS190</f>
        <v>0</v>
      </c>
      <c r="GT185" s="49">
        <f ca="1">IF(FO166=1,GF177*GC185,0)</f>
        <v>0</v>
      </c>
      <c r="GU185" s="49">
        <f ca="1">GU190</f>
        <v>0</v>
      </c>
      <c r="GV185" s="49"/>
      <c r="GW185" s="49">
        <f t="shared" ca="1" si="5"/>
        <v>0</v>
      </c>
      <c r="GX185" s="49">
        <f t="shared" ca="1" si="6"/>
        <v>370</v>
      </c>
      <c r="GY185" s="49">
        <f ca="1">0.5*GY190</f>
        <v>0</v>
      </c>
      <c r="GZ185" s="49"/>
      <c r="HA185" s="49"/>
      <c r="HB185" s="49"/>
      <c r="HC185" s="48"/>
      <c r="HD185" s="48"/>
      <c r="HE185" s="48"/>
      <c r="HF185" s="13"/>
      <c r="HG185" s="13"/>
      <c r="HH185" s="13"/>
    </row>
    <row r="186" spans="1:216" ht="16.5" customHeight="1">
      <c r="A186" s="1"/>
      <c r="B186" s="3"/>
      <c r="C186" s="3"/>
      <c r="D186" s="12"/>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26"/>
      <c r="FL186" s="26"/>
      <c r="FM186" s="47"/>
      <c r="FN186" s="47"/>
      <c r="FO186" s="47"/>
      <c r="FP186" s="47"/>
      <c r="FQ186" s="47"/>
      <c r="FR186" s="47"/>
      <c r="FS186" s="49"/>
      <c r="FT186" s="49"/>
      <c r="FU186" s="47"/>
      <c r="FV186" s="47"/>
      <c r="FW186" s="47"/>
      <c r="FX186" s="47"/>
      <c r="FY186" s="47"/>
      <c r="FZ186" s="94"/>
      <c r="GA186" s="49"/>
      <c r="GB186" s="49" t="str">
        <f t="shared" ca="1" si="4"/>
        <v/>
      </c>
      <c r="GC186" s="49" t="str">
        <f ca="1">IF(FO166=1,0.6*(GE177/GD177),"")</f>
        <v/>
      </c>
      <c r="GD186" s="49">
        <f ca="1">IF(FO166=1,-GD177*GC186+GE177,0)</f>
        <v>0</v>
      </c>
      <c r="GE186" s="49"/>
      <c r="GF186" s="49">
        <f ca="1">IF(FO166=1,GF177+GG177/GB186,0)</f>
        <v>0</v>
      </c>
      <c r="GG186" s="49">
        <f ca="1">IF(FO166=1,GF177,0)</f>
        <v>0</v>
      </c>
      <c r="GH186" s="49"/>
      <c r="GI186" s="49">
        <f ca="1">IF(FO166=0,0,IF(FO182=1,GI190,IF(FO182=2,GC185,IF(FO182=3,GR190,0))))</f>
        <v>0</v>
      </c>
      <c r="GJ186" s="49">
        <f ca="1">IF(FO166=1,0.6*GJ190,0)</f>
        <v>0</v>
      </c>
      <c r="GK186" s="49">
        <f ca="1">0.6*GK190</f>
        <v>0</v>
      </c>
      <c r="GL186" s="49">
        <f ca="1">GL190</f>
        <v>0</v>
      </c>
      <c r="GM186" s="49">
        <f ca="1">GM190</f>
        <v>0</v>
      </c>
      <c r="GN186" s="49">
        <f ca="1">IF(FO166=0,0,-GD177*GC186^2+GE177*GC186)</f>
        <v>0</v>
      </c>
      <c r="GO186" s="49">
        <f ca="1">IF(FO166=0,0,GF177*GC186+GG177)</f>
        <v>0</v>
      </c>
      <c r="GP186" s="49"/>
      <c r="GQ186" s="49"/>
      <c r="GR186" s="49">
        <f ca="1">IF(FO166=0,0,IF(FO182=3,GR176,IF(FO182=2,GC185,IF(FO182=1,GK190,0))))</f>
        <v>0</v>
      </c>
      <c r="GS186" s="49">
        <f ca="1">0.6*GS190</f>
        <v>0</v>
      </c>
      <c r="GT186" s="49">
        <f ca="1">IF(FO166=1,GF177*GC186,0)</f>
        <v>0</v>
      </c>
      <c r="GU186" s="49">
        <f ca="1">GU190</f>
        <v>0</v>
      </c>
      <c r="GV186" s="49"/>
      <c r="GW186" s="49">
        <f t="shared" ca="1" si="5"/>
        <v>0</v>
      </c>
      <c r="GX186" s="49">
        <f t="shared" ca="1" si="6"/>
        <v>370</v>
      </c>
      <c r="GY186" s="49">
        <f ca="1">0.6*GY190</f>
        <v>0</v>
      </c>
      <c r="GZ186" s="49"/>
      <c r="HA186" s="49"/>
      <c r="HB186" s="49"/>
      <c r="HC186" s="48"/>
      <c r="HD186" s="48"/>
      <c r="HE186" s="48"/>
      <c r="HF186" s="13"/>
      <c r="HG186" s="13"/>
      <c r="HH186" s="13"/>
    </row>
    <row r="187" spans="1:216" ht="16.5" customHeight="1">
      <c r="A187" s="1"/>
      <c r="B187" s="3"/>
      <c r="C187" s="3"/>
      <c r="D187" s="12"/>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26"/>
      <c r="FL187" s="26"/>
      <c r="FM187" s="47"/>
      <c r="FN187" s="47"/>
      <c r="FO187" s="47"/>
      <c r="FP187" s="47"/>
      <c r="FQ187" s="47"/>
      <c r="FR187" s="47"/>
      <c r="FS187" s="49"/>
      <c r="FT187" s="49"/>
      <c r="FU187" s="47"/>
      <c r="FV187" s="47"/>
      <c r="FW187" s="47"/>
      <c r="FX187" s="47"/>
      <c r="FY187" s="47"/>
      <c r="FZ187" s="94"/>
      <c r="GA187" s="49"/>
      <c r="GB187" s="49" t="str">
        <f t="shared" ca="1" si="4"/>
        <v/>
      </c>
      <c r="GC187" s="49" t="str">
        <f ca="1">IF(FO166=1,0.7*(GE177/GD177),"")</f>
        <v/>
      </c>
      <c r="GD187" s="49">
        <f ca="1">IF(FO166=1,-GD177*GC187+GE177,0)</f>
        <v>0</v>
      </c>
      <c r="GE187" s="49"/>
      <c r="GF187" s="49">
        <f ca="1">IF(FO166=1,GF177+GG177/GB187,0)</f>
        <v>0</v>
      </c>
      <c r="GG187" s="49">
        <f ca="1">IF(FO166=1,GF177,0)</f>
        <v>0</v>
      </c>
      <c r="GH187" s="49"/>
      <c r="GI187" s="49">
        <f ca="1">IF(FO166=0,0,IF(FO182=1,GI190,IF(FO182=2,GC185,IF(FO182=3,GR190,0))))</f>
        <v>0</v>
      </c>
      <c r="GJ187" s="49">
        <f ca="1">IF(FO166=1,0.7*GJ190,0)</f>
        <v>0</v>
      </c>
      <c r="GK187" s="49">
        <f ca="1">0.7*GK190</f>
        <v>0</v>
      </c>
      <c r="GL187" s="49">
        <f ca="1">GL190</f>
        <v>0</v>
      </c>
      <c r="GM187" s="49">
        <f ca="1">GM190</f>
        <v>0</v>
      </c>
      <c r="GN187" s="49">
        <f ca="1">IF(FO166=0,0,-GD177*GC187^2+GE177*GC187)</f>
        <v>0</v>
      </c>
      <c r="GO187" s="49">
        <f ca="1">IF(FO166=0,0,GF177*GC187+GG177)</f>
        <v>0</v>
      </c>
      <c r="GP187" s="49"/>
      <c r="GQ187" s="49"/>
      <c r="GR187" s="49">
        <f ca="1">IF(FO166=0,0,IF(FO182=3,GR176,IF(FO182=2,GC185,IF(FO182=1,GK190,0))))</f>
        <v>0</v>
      </c>
      <c r="GS187" s="49">
        <f ca="1">0.7*GS190</f>
        <v>0</v>
      </c>
      <c r="GT187" s="49">
        <f ca="1">IF(FO166=1,GF177*GC187,0)</f>
        <v>0</v>
      </c>
      <c r="GU187" s="49">
        <f ca="1">GU190</f>
        <v>0</v>
      </c>
      <c r="GV187" s="49"/>
      <c r="GW187" s="49">
        <f t="shared" ca="1" si="5"/>
        <v>0</v>
      </c>
      <c r="GX187" s="49">
        <f t="shared" ca="1" si="6"/>
        <v>370</v>
      </c>
      <c r="GY187" s="49">
        <f ca="1">0.7*GY190</f>
        <v>0</v>
      </c>
      <c r="GZ187" s="49"/>
      <c r="HA187" s="49"/>
      <c r="HB187" s="49"/>
      <c r="HC187" s="48"/>
      <c r="HD187" s="48"/>
      <c r="HE187" s="48"/>
      <c r="HF187" s="13"/>
      <c r="HG187" s="13"/>
      <c r="HH187" s="13"/>
    </row>
    <row r="188" spans="1:216" ht="16.5" customHeight="1">
      <c r="A188" s="1"/>
      <c r="B188" s="3"/>
      <c r="C188" s="3"/>
      <c r="D188" s="12"/>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26"/>
      <c r="FL188" s="26"/>
      <c r="FM188" s="47"/>
      <c r="FN188" s="47"/>
      <c r="FO188" s="47"/>
      <c r="FP188" s="47"/>
      <c r="FQ188" s="47"/>
      <c r="FR188" s="47"/>
      <c r="FS188" s="49"/>
      <c r="FT188" s="49"/>
      <c r="FU188" s="47"/>
      <c r="FV188" s="47"/>
      <c r="FW188" s="47"/>
      <c r="FX188" s="47"/>
      <c r="FY188" s="47"/>
      <c r="FZ188" s="94"/>
      <c r="GA188" s="49"/>
      <c r="GB188" s="49" t="str">
        <f t="shared" ca="1" si="4"/>
        <v/>
      </c>
      <c r="GC188" s="49" t="str">
        <f ca="1">IF(FO166=1,0.8*(GE177/GD177),"")</f>
        <v/>
      </c>
      <c r="GD188" s="49">
        <f ca="1">IF(FO166=1,-GD177*GC188+GE177,0)</f>
        <v>0</v>
      </c>
      <c r="GE188" s="49"/>
      <c r="GF188" s="49">
        <f ca="1">IF(FO166=1,GF177+GG177/GB188,0)</f>
        <v>0</v>
      </c>
      <c r="GG188" s="49">
        <f ca="1">IF(FO166=1,GF177,0)</f>
        <v>0</v>
      </c>
      <c r="GH188" s="49"/>
      <c r="GI188" s="49">
        <f ca="1">IF(FO166=0,0,IF(FO182=1,GI190,IF(FO182=2,GC185,IF(FO182=3,GR190,0))))</f>
        <v>0</v>
      </c>
      <c r="GJ188" s="49">
        <f ca="1">IF(FO166=1,0.8*GJ190,0)</f>
        <v>0</v>
      </c>
      <c r="GK188" s="49">
        <f ca="1">0.8*GK190</f>
        <v>0</v>
      </c>
      <c r="GL188" s="49">
        <f ca="1">GL190</f>
        <v>0</v>
      </c>
      <c r="GM188" s="49">
        <f ca="1">GM190</f>
        <v>0</v>
      </c>
      <c r="GN188" s="49">
        <f ca="1">IF(FO166=0,0,-GD177*GC188^2+GE177*GC188)</f>
        <v>0</v>
      </c>
      <c r="GO188" s="49">
        <f ca="1">IF(FO166=0,0,GF177*GC188+GG177)</f>
        <v>0</v>
      </c>
      <c r="GP188" s="49"/>
      <c r="GQ188" s="49"/>
      <c r="GR188" s="49">
        <f ca="1">IF(FO166=0,0,IF(FO182=3,GR176,IF(FO182=2,GC185,IF(FO182=1,GK190,0))))</f>
        <v>0</v>
      </c>
      <c r="GS188" s="49">
        <f ca="1">0.8*GS190</f>
        <v>0</v>
      </c>
      <c r="GT188" s="49">
        <f ca="1">IF(FO166=1,GF177*GC188,0)</f>
        <v>0</v>
      </c>
      <c r="GU188" s="49">
        <f ca="1">GU190</f>
        <v>0</v>
      </c>
      <c r="GV188" s="49"/>
      <c r="GW188" s="49">
        <f t="shared" ca="1" si="5"/>
        <v>0</v>
      </c>
      <c r="GX188" s="49">
        <f t="shared" ca="1" si="6"/>
        <v>370</v>
      </c>
      <c r="GY188" s="49">
        <f ca="1">0.8*GY190</f>
        <v>0</v>
      </c>
      <c r="GZ188" s="49"/>
      <c r="HA188" s="49"/>
      <c r="HB188" s="49"/>
      <c r="HC188" s="48"/>
      <c r="HD188" s="48"/>
      <c r="HE188" s="48"/>
      <c r="HF188" s="13"/>
      <c r="HG188" s="13"/>
      <c r="HH188" s="13"/>
    </row>
    <row r="189" spans="1:216" ht="16.5" customHeight="1">
      <c r="A189" s="1"/>
      <c r="B189" s="3"/>
      <c r="C189" s="3"/>
      <c r="D189" s="12"/>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26"/>
      <c r="FL189" s="26"/>
      <c r="FM189" s="47"/>
      <c r="FN189" s="47"/>
      <c r="FO189" s="47"/>
      <c r="FP189" s="47"/>
      <c r="FQ189" s="47"/>
      <c r="FR189" s="47"/>
      <c r="FS189" s="49"/>
      <c r="FT189" s="49"/>
      <c r="FU189" s="47"/>
      <c r="FV189" s="47"/>
      <c r="FW189" s="47"/>
      <c r="FX189" s="47"/>
      <c r="FY189" s="47"/>
      <c r="FZ189" s="94"/>
      <c r="GA189" s="49"/>
      <c r="GB189" s="49" t="str">
        <f t="shared" ca="1" si="4"/>
        <v/>
      </c>
      <c r="GC189" s="49" t="str">
        <f ca="1">IF(FO166=1,0.9*(GE177/GD177),"")</f>
        <v/>
      </c>
      <c r="GD189" s="49">
        <f ca="1">IF(FO166=1,-GD177*GC189+GE177,0)</f>
        <v>0</v>
      </c>
      <c r="GE189" s="49"/>
      <c r="GF189" s="49">
        <f ca="1">IF(FO166=1,GF177+GG177/GB189,0)</f>
        <v>0</v>
      </c>
      <c r="GG189" s="49">
        <f ca="1">IF(FO166=1,GF177,0)</f>
        <v>0</v>
      </c>
      <c r="GH189" s="49"/>
      <c r="GI189" s="49">
        <f ca="1">IF(FO166=0,0,IF(FO182=1,GI190,IF(FO182=2,GC185,IF(FO182=3,GR190,0))))</f>
        <v>0</v>
      </c>
      <c r="GJ189" s="49">
        <f ca="1">IF(FO166=1,0.9*GJ190,0)</f>
        <v>0</v>
      </c>
      <c r="GK189" s="49">
        <f ca="1">0.9*GK190</f>
        <v>0</v>
      </c>
      <c r="GL189" s="49">
        <f ca="1">GL190</f>
        <v>0</v>
      </c>
      <c r="GM189" s="49">
        <f ca="1">GM190</f>
        <v>0</v>
      </c>
      <c r="GN189" s="49">
        <f ca="1">IF(FO166=0,0,-GD177*GC189^2+GE177*GC189)</f>
        <v>0</v>
      </c>
      <c r="GO189" s="49">
        <f ca="1">IF(FO166=0,0,GF177*GC189+GG177)</f>
        <v>0</v>
      </c>
      <c r="GP189" s="49"/>
      <c r="GQ189" s="49"/>
      <c r="GR189" s="49">
        <f ca="1">IF(FO166=0,0,IF(FO182=3,GR176,IF(FO182=2,GC185,IF(FO182=1,GK190,0))))</f>
        <v>0</v>
      </c>
      <c r="GS189" s="49">
        <f ca="1">0.9*GS190</f>
        <v>0</v>
      </c>
      <c r="GT189" s="49">
        <f ca="1">IF(FO166=1,GF177*GC189,0)</f>
        <v>0</v>
      </c>
      <c r="GU189" s="49">
        <f ca="1">GU190</f>
        <v>0</v>
      </c>
      <c r="GV189" s="49"/>
      <c r="GW189" s="49">
        <f t="shared" ca="1" si="5"/>
        <v>0</v>
      </c>
      <c r="GX189" s="49">
        <f t="shared" ca="1" si="6"/>
        <v>370</v>
      </c>
      <c r="GY189" s="49">
        <f ca="1">0.9*GY190</f>
        <v>0</v>
      </c>
      <c r="GZ189" s="49"/>
      <c r="HA189" s="49"/>
      <c r="HB189" s="49"/>
      <c r="HC189" s="48"/>
      <c r="HD189" s="48"/>
      <c r="HE189" s="48"/>
      <c r="HF189" s="13"/>
      <c r="HG189" s="13"/>
      <c r="HH189" s="13"/>
    </row>
    <row r="190" spans="1:216" ht="16.5" customHeight="1">
      <c r="A190" s="1"/>
      <c r="B190" s="3"/>
      <c r="C190" s="3"/>
      <c r="D190" s="12"/>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26"/>
      <c r="FL190" s="26"/>
      <c r="FM190" s="47"/>
      <c r="FN190" s="47"/>
      <c r="FO190" s="47"/>
      <c r="FP190" s="47"/>
      <c r="FQ190" s="47"/>
      <c r="FR190" s="47"/>
      <c r="FS190" s="49"/>
      <c r="FT190" s="49"/>
      <c r="FU190" s="47"/>
      <c r="FV190" s="47"/>
      <c r="FW190" s="47"/>
      <c r="FX190" s="47"/>
      <c r="FY190" s="47"/>
      <c r="FZ190" s="94"/>
      <c r="GA190" s="49"/>
      <c r="GB190" s="49" t="str">
        <f ca="1">GC190</f>
        <v/>
      </c>
      <c r="GC190" s="49" t="str">
        <f ca="1">IF(FO166=1,(GE177/GD177),"")</f>
        <v/>
      </c>
      <c r="GD190" s="49">
        <f ca="1">IF(FO166=1,-GD177*GC190+GE177,0)</f>
        <v>0</v>
      </c>
      <c r="GE190" s="49"/>
      <c r="GF190" s="49">
        <f ca="1">IF(FO166=1,GF177+GG177/GB190,0)</f>
        <v>0</v>
      </c>
      <c r="GG190" s="49">
        <f ca="1">IF(FO166=1,GF177,0)</f>
        <v>0</v>
      </c>
      <c r="GH190" s="49"/>
      <c r="GI190" s="49">
        <f ca="1">IF(FO166=0,0,IF(FO182=1,-0.5*(GF177-GE177)/GD177,IF(FO182=2,GC185,IF(FO182=3,GR190,0))))</f>
        <v>0</v>
      </c>
      <c r="GJ190" s="49">
        <f ca="1">IF(FO166=1,-GD177*GI190+GE177,0)</f>
        <v>0</v>
      </c>
      <c r="GK190" s="49">
        <f ca="1">IF(FO166=0,0,IF(FO182=2,GC185,IF(FO182=1,-0.5*(GF177-GE177)/GD177,0)))</f>
        <v>0</v>
      </c>
      <c r="GL190" s="49">
        <f ca="1">IF(FO166=0,0,IF(FO182=1,GJ190,IF(FO182=2,GJ190,0)))</f>
        <v>0</v>
      </c>
      <c r="GM190" s="49">
        <f ca="1">IF(FO166=0,0,IF(FO182=1,GF177+GG177/GI190,IF(FO182=2,GF177+GG177/GI190,0)))</f>
        <v>0</v>
      </c>
      <c r="GN190" s="49">
        <f ca="1">IF(FO166=0,0,-GD177*GC190^2+GE177*GC190)</f>
        <v>0</v>
      </c>
      <c r="GO190" s="49">
        <f ca="1">IF(FO166=0,0,GF177*GC190+GG177)</f>
        <v>0</v>
      </c>
      <c r="GP190" s="49"/>
      <c r="GQ190" s="49"/>
      <c r="GR190" s="49">
        <f ca="1">IF(FO166=0,0,IF(FO182=3,GR176,IF(FO182=2,GC185,IF(FO182=1,GK190,0))))</f>
        <v>0</v>
      </c>
      <c r="GS190" s="49">
        <f ca="1">IF(FO166=0,0,-GD177*GR190^2+GE177*GR190)</f>
        <v>0</v>
      </c>
      <c r="GT190" s="49">
        <f ca="1">IF(FO166=1,GF177*GC190,0)</f>
        <v>0</v>
      </c>
      <c r="GU190" s="49">
        <f ca="1">IF(FO166=0,0,IF(FO182=1,GF177,IF(FO182=2,GF177,0)))</f>
        <v>0</v>
      </c>
      <c r="GV190" s="49"/>
      <c r="GW190" s="49">
        <f t="shared" ca="1" si="5"/>
        <v>0</v>
      </c>
      <c r="GX190" s="49">
        <f t="shared" ca="1" si="6"/>
        <v>370</v>
      </c>
      <c r="GY190" s="49">
        <f ca="1">IF($FO$166=0,0,-$GD$177*GX190^2+$GE$177*GX190-($GF$177*GX190+$GG$177))</f>
        <v>0</v>
      </c>
      <c r="GZ190" s="49"/>
      <c r="HA190" s="49"/>
      <c r="HB190" s="49"/>
      <c r="HC190" s="48"/>
      <c r="HD190" s="48"/>
      <c r="HE190" s="48"/>
      <c r="HF190" s="13"/>
      <c r="HG190" s="13"/>
      <c r="HH190" s="13"/>
    </row>
    <row r="191" spans="1:216" ht="16.5" customHeight="1">
      <c r="A191" s="1"/>
      <c r="B191" s="3"/>
      <c r="C191" s="3"/>
      <c r="D191" s="12"/>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26"/>
      <c r="FL191" s="26"/>
      <c r="FM191" s="47"/>
      <c r="FN191" s="47"/>
      <c r="FO191" s="47"/>
      <c r="FP191" s="47"/>
      <c r="FQ191" s="47"/>
      <c r="FR191" s="47"/>
      <c r="FS191" s="49"/>
      <c r="FT191" s="49"/>
      <c r="FU191" s="47"/>
      <c r="FV191" s="47"/>
      <c r="FW191" s="47"/>
      <c r="FX191" s="47"/>
      <c r="FY191" s="47"/>
      <c r="FZ191" s="94"/>
      <c r="GA191" s="49"/>
      <c r="GB191" s="49" t="e">
        <f ca="1">GB190+GB181</f>
        <v>#VALUE!</v>
      </c>
      <c r="GC191" s="49"/>
      <c r="GD191" s="49"/>
      <c r="GE191" s="49"/>
      <c r="GF191" s="49"/>
      <c r="GG191" s="49"/>
      <c r="GH191" s="49"/>
      <c r="GI191" s="49"/>
      <c r="GJ191" s="49"/>
      <c r="GK191" s="49"/>
      <c r="GL191" s="49"/>
      <c r="GM191" s="49"/>
      <c r="GN191" s="49"/>
      <c r="GO191" s="49"/>
      <c r="GP191" s="49"/>
      <c r="GQ191" s="49"/>
      <c r="GR191" s="49"/>
      <c r="GS191" s="49"/>
      <c r="GT191" s="49"/>
      <c r="GU191" s="49"/>
      <c r="GV191" s="49"/>
      <c r="GW191" s="49"/>
      <c r="GX191" s="49"/>
      <c r="GY191" s="49"/>
      <c r="GZ191" s="49"/>
      <c r="HA191" s="49"/>
      <c r="HB191" s="49"/>
      <c r="HC191" s="48"/>
      <c r="HD191" s="48"/>
      <c r="HE191" s="48"/>
      <c r="HF191" s="13"/>
      <c r="HG191" s="13"/>
      <c r="HH191" s="13"/>
    </row>
    <row r="192" spans="1:216" ht="16.5" customHeight="1">
      <c r="A192" s="1"/>
      <c r="B192" s="3"/>
      <c r="C192" s="3"/>
      <c r="D192" s="12"/>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26"/>
      <c r="FL192" s="26"/>
      <c r="FM192" s="47"/>
      <c r="FN192" s="47"/>
      <c r="FO192" s="47"/>
      <c r="FP192" s="47"/>
      <c r="FQ192" s="47"/>
      <c r="FR192" s="47"/>
      <c r="FS192" s="49"/>
      <c r="FT192" s="49"/>
      <c r="FU192" s="47"/>
      <c r="FV192" s="47"/>
      <c r="FW192" s="47"/>
      <c r="FX192" s="47"/>
      <c r="FY192" s="47"/>
      <c r="FZ192" s="94"/>
      <c r="GA192" s="49"/>
      <c r="GB192" s="49"/>
      <c r="GC192" s="49"/>
      <c r="GD192" s="49"/>
      <c r="GE192" s="49"/>
      <c r="GF192" s="49"/>
      <c r="GG192" s="49"/>
      <c r="GH192" s="49"/>
      <c r="GI192" s="49"/>
      <c r="GJ192" s="49"/>
      <c r="GK192" s="49"/>
      <c r="GL192" s="49"/>
      <c r="GM192" s="49"/>
      <c r="GN192" s="49"/>
      <c r="GO192" s="49"/>
      <c r="GP192" s="49"/>
      <c r="GQ192" s="49"/>
      <c r="GR192" s="49"/>
      <c r="GS192" s="49"/>
      <c r="GT192" s="49"/>
      <c r="GU192" s="49"/>
      <c r="GV192" s="49"/>
      <c r="GW192" s="49"/>
      <c r="GX192" s="49"/>
      <c r="GY192" s="49"/>
      <c r="GZ192" s="49"/>
      <c r="HA192" s="49"/>
      <c r="HB192" s="49"/>
      <c r="HC192" s="48"/>
      <c r="HD192" s="48"/>
      <c r="HE192" s="48"/>
      <c r="HF192" s="13"/>
      <c r="HG192" s="13"/>
      <c r="HH192" s="13"/>
    </row>
    <row r="193" spans="1:216" ht="16.5" customHeight="1">
      <c r="A193" s="1"/>
      <c r="B193" s="3"/>
      <c r="C193" s="3"/>
      <c r="D193" s="12"/>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26"/>
      <c r="FL193" s="26"/>
      <c r="FM193" s="47"/>
      <c r="FN193" s="47"/>
      <c r="FO193" s="47"/>
      <c r="FP193" s="47"/>
      <c r="FQ193" s="47"/>
      <c r="FR193" s="47"/>
      <c r="FS193" s="49"/>
      <c r="FT193" s="49"/>
      <c r="FU193" s="47"/>
      <c r="FV193" s="47"/>
      <c r="FW193" s="47"/>
      <c r="FX193" s="47"/>
      <c r="FY193" s="47"/>
      <c r="FZ193" s="94"/>
      <c r="GA193" s="49"/>
      <c r="GB193" s="49"/>
      <c r="GC193" s="49"/>
      <c r="GD193" s="49"/>
      <c r="GE193" s="49"/>
      <c r="GF193" s="49"/>
      <c r="GG193" s="49"/>
      <c r="GH193" s="49"/>
      <c r="GI193" s="49"/>
      <c r="GJ193" s="49"/>
      <c r="GK193" s="49"/>
      <c r="GL193" s="49"/>
      <c r="GM193" s="49"/>
      <c r="GN193" s="49"/>
      <c r="GO193" s="49"/>
      <c r="GP193" s="49"/>
      <c r="GQ193" s="49"/>
      <c r="GR193" s="49"/>
      <c r="GS193" s="49"/>
      <c r="GT193" s="49"/>
      <c r="GU193" s="49"/>
      <c r="GV193" s="49"/>
      <c r="GW193" s="49"/>
      <c r="GX193" s="49"/>
      <c r="GY193" s="49"/>
      <c r="GZ193" s="49"/>
      <c r="HA193" s="49"/>
      <c r="HB193" s="49"/>
      <c r="HC193" s="48"/>
      <c r="HD193" s="48"/>
      <c r="HE193" s="48"/>
      <c r="HF193" s="13"/>
      <c r="HG193" s="13"/>
      <c r="HH193" s="13"/>
    </row>
    <row r="194" spans="1:216" ht="16.95" customHeight="1">
      <c r="A194" s="1"/>
      <c r="B194" s="3"/>
      <c r="C194" s="3"/>
      <c r="D194" s="12" t="str">
        <f ca="1">IF(FO166=0,"","Hier is de omzet maximaal bij een hoeveelheid van "&amp;GC185&amp;" stuks. De totale")</f>
        <v/>
      </c>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26"/>
      <c r="FL194" s="26"/>
      <c r="FM194" s="47"/>
      <c r="FN194" s="47"/>
      <c r="FO194" s="47"/>
      <c r="FP194" s="47"/>
      <c r="FQ194" s="47"/>
      <c r="FR194" s="47"/>
      <c r="FS194" s="49"/>
      <c r="FT194" s="49"/>
      <c r="FU194" s="49"/>
      <c r="FV194" s="49"/>
      <c r="FW194" s="49"/>
      <c r="FX194" s="49"/>
      <c r="FY194" s="47"/>
      <c r="FZ194" s="94"/>
      <c r="GA194" s="49"/>
      <c r="GB194" s="49"/>
      <c r="GC194" s="49"/>
      <c r="GD194" s="49"/>
      <c r="GE194" s="49"/>
      <c r="GF194" s="49"/>
      <c r="GG194" s="49"/>
      <c r="GH194" s="49"/>
      <c r="GI194" s="49"/>
      <c r="GJ194" s="49"/>
      <c r="GK194" s="49"/>
      <c r="GL194" s="49"/>
      <c r="GM194" s="49"/>
      <c r="GN194" s="49"/>
      <c r="GO194" s="49"/>
      <c r="GP194" s="49"/>
      <c r="GQ194" s="49"/>
      <c r="GR194" s="49"/>
      <c r="GS194" s="49"/>
      <c r="GT194" s="49"/>
      <c r="GU194" s="49"/>
      <c r="GV194" s="49"/>
      <c r="GW194" s="49"/>
      <c r="GX194" s="49"/>
      <c r="GY194" s="49"/>
      <c r="GZ194" s="49"/>
      <c r="HA194" s="49"/>
      <c r="HB194" s="49"/>
      <c r="HC194" s="48"/>
      <c r="HD194" s="48"/>
      <c r="HE194" s="48"/>
      <c r="HF194" s="13"/>
      <c r="HG194" s="13"/>
      <c r="HH194" s="13"/>
    </row>
    <row r="195" spans="1:216" ht="16.95" customHeight="1">
      <c r="A195" s="1"/>
      <c r="B195" s="3"/>
      <c r="C195" s="3"/>
      <c r="D195" s="12" t="str">
        <f ca="1">IF(FO166=0,"","opbrengst is dan € "&amp;-GD177*GC185^2+GE177*GC185&amp;" en de totale kosten zijn € "&amp;GG177+GF177*GC185&amp;" en de totale")</f>
        <v/>
      </c>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26"/>
      <c r="FL195" s="26"/>
      <c r="FM195" s="47"/>
      <c r="FN195" s="47"/>
      <c r="FO195" s="47"/>
      <c r="FP195" s="47"/>
      <c r="FQ195" s="47"/>
      <c r="FR195" s="47"/>
      <c r="FS195" s="49"/>
      <c r="FT195" s="49"/>
      <c r="FU195" s="49"/>
      <c r="FV195" s="49"/>
      <c r="FW195" s="49"/>
      <c r="FX195" s="49"/>
      <c r="FY195" s="47"/>
      <c r="FZ195" s="94"/>
      <c r="GA195" s="49"/>
      <c r="GB195" s="49"/>
      <c r="GC195" s="49"/>
      <c r="GD195" s="49"/>
      <c r="GE195" s="49"/>
      <c r="GF195" s="49"/>
      <c r="GG195" s="49"/>
      <c r="GH195" s="49"/>
      <c r="GI195" s="49"/>
      <c r="GJ195" s="49"/>
      <c r="GK195" s="49"/>
      <c r="GL195" s="49"/>
      <c r="GM195" s="49"/>
      <c r="GN195" s="49"/>
      <c r="GO195" s="49"/>
      <c r="GP195" s="49"/>
      <c r="GQ195" s="49"/>
      <c r="GR195" s="49"/>
      <c r="GS195" s="49"/>
      <c r="GT195" s="49"/>
      <c r="GU195" s="49"/>
      <c r="GV195" s="49"/>
      <c r="GW195" s="49"/>
      <c r="GX195" s="49"/>
      <c r="GY195" s="49"/>
      <c r="GZ195" s="49"/>
      <c r="HA195" s="49"/>
      <c r="HB195" s="49"/>
      <c r="HC195" s="48"/>
      <c r="HD195" s="48"/>
      <c r="HE195" s="48"/>
      <c r="HF195" s="13"/>
      <c r="HG195" s="13"/>
      <c r="HH195" s="13"/>
    </row>
    <row r="196" spans="1:216" ht="16.95" customHeight="1">
      <c r="A196" s="1"/>
      <c r="B196" s="3"/>
      <c r="C196" s="3"/>
      <c r="D196" s="12" t="str">
        <f ca="1">IF(FO166=0,"","winst bij de maximale omzet is dus € "&amp;-GD177*GC185^2+GE177*GC185-(GG177+GF177*GC185)&amp;". We zullen zien dat dit niet")</f>
        <v/>
      </c>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26"/>
      <c r="FL196" s="26"/>
      <c r="FM196" s="48"/>
      <c r="FN196" s="48"/>
      <c r="FO196" s="48"/>
      <c r="FP196" s="48"/>
      <c r="FQ196" s="48"/>
      <c r="FR196" s="48"/>
      <c r="FS196" s="48"/>
      <c r="FT196" s="48"/>
      <c r="FU196" s="48"/>
      <c r="FV196" s="48"/>
      <c r="FW196" s="48"/>
      <c r="FX196" s="48"/>
      <c r="FY196" s="48"/>
      <c r="FZ196" s="94"/>
      <c r="GA196" s="48"/>
      <c r="GB196" s="48"/>
      <c r="GC196" s="49"/>
      <c r="GD196" s="49"/>
      <c r="GE196" s="49"/>
      <c r="GF196" s="49"/>
      <c r="GG196" s="49"/>
      <c r="GH196" s="49"/>
      <c r="GI196" s="49"/>
      <c r="GJ196" s="49"/>
      <c r="GK196" s="49"/>
      <c r="GL196" s="49"/>
      <c r="GM196" s="49"/>
      <c r="GN196" s="49"/>
      <c r="GO196" s="49"/>
      <c r="GP196" s="49"/>
      <c r="GQ196" s="49"/>
      <c r="GR196" s="49"/>
      <c r="GS196" s="49"/>
      <c r="GT196" s="49"/>
      <c r="GU196" s="49"/>
      <c r="GV196" s="49"/>
      <c r="GW196" s="49"/>
      <c r="GX196" s="49"/>
      <c r="GY196" s="49"/>
      <c r="GZ196" s="49"/>
      <c r="HA196" s="49"/>
      <c r="HB196" s="49"/>
      <c r="HC196" s="48"/>
      <c r="HD196" s="48"/>
      <c r="HE196" s="48"/>
      <c r="HF196" s="13"/>
      <c r="HG196" s="13"/>
      <c r="HH196" s="13"/>
    </row>
    <row r="197" spans="1:216" ht="16.95" customHeight="1">
      <c r="A197" s="1"/>
      <c r="B197" s="3"/>
      <c r="C197" s="3"/>
      <c r="D197" s="12" t="str">
        <f ca="1">IF(FO166=0,"","de maximale winst is. We kijken eerst nog even naar de kosten.")</f>
        <v/>
      </c>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26"/>
      <c r="FL197" s="26"/>
      <c r="FM197" s="48"/>
      <c r="FN197" s="48"/>
      <c r="FO197" s="48"/>
      <c r="FP197" s="48"/>
      <c r="FQ197" s="48"/>
      <c r="FR197" s="48"/>
      <c r="FS197" s="48"/>
      <c r="FT197" s="48"/>
      <c r="FU197" s="48"/>
      <c r="FV197" s="48"/>
      <c r="FW197" s="48"/>
      <c r="FX197" s="48"/>
      <c r="FY197" s="48"/>
      <c r="FZ197" s="94"/>
      <c r="GA197" s="48"/>
      <c r="GB197" s="48"/>
      <c r="GC197" s="49"/>
      <c r="GD197" s="49"/>
      <c r="GE197" s="49"/>
      <c r="GF197" s="49"/>
      <c r="GG197" s="49"/>
      <c r="GH197" s="49"/>
      <c r="GI197" s="49"/>
      <c r="GJ197" s="49"/>
      <c r="GK197" s="49"/>
      <c r="GL197" s="49"/>
      <c r="GM197" s="49"/>
      <c r="GN197" s="49"/>
      <c r="GO197" s="49"/>
      <c r="GP197" s="49"/>
      <c r="GQ197" s="49"/>
      <c r="GR197" s="49"/>
      <c r="GS197" s="49"/>
      <c r="GT197" s="49"/>
      <c r="GU197" s="49"/>
      <c r="GV197" s="49"/>
      <c r="GW197" s="49"/>
      <c r="GX197" s="49"/>
      <c r="GY197" s="49"/>
      <c r="GZ197" s="49"/>
      <c r="HA197" s="49"/>
      <c r="HB197" s="49"/>
      <c r="HC197" s="48"/>
      <c r="HD197" s="48"/>
      <c r="HE197" s="48"/>
      <c r="HF197" s="13"/>
      <c r="HG197" s="13"/>
      <c r="HH197" s="13"/>
    </row>
    <row r="198" spans="1:216" ht="11.4" customHeight="1">
      <c r="A198" s="1"/>
      <c r="B198" s="3"/>
      <c r="C198" s="3"/>
      <c r="D198" s="12"/>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f ca="1">IF(AY204="","",IF(AY204=FN171,1,0))</f>
        <v>0</v>
      </c>
      <c r="FI198" s="10"/>
      <c r="FJ198" s="10"/>
      <c r="FK198" s="26"/>
      <c r="FL198" s="26"/>
      <c r="FM198" s="48"/>
      <c r="FN198" s="48"/>
      <c r="FO198" s="48"/>
      <c r="FP198" s="48"/>
      <c r="FQ198" s="48"/>
      <c r="FR198" s="48"/>
      <c r="FS198" s="48"/>
      <c r="FT198" s="48"/>
      <c r="FU198" s="48"/>
      <c r="FV198" s="48"/>
      <c r="FW198" s="48"/>
      <c r="FX198" s="48"/>
      <c r="FY198" s="48"/>
      <c r="FZ198" s="94"/>
      <c r="GA198" s="48"/>
      <c r="GB198" s="48"/>
      <c r="GC198" s="49"/>
      <c r="GD198" s="49"/>
      <c r="GE198" s="49"/>
      <c r="GF198" s="49"/>
      <c r="GG198" s="49"/>
      <c r="GH198" s="49"/>
      <c r="GI198" s="49"/>
      <c r="GJ198" s="49"/>
      <c r="GK198" s="49"/>
      <c r="GL198" s="49"/>
      <c r="GM198" s="49"/>
      <c r="GN198" s="49"/>
      <c r="GO198" s="49"/>
      <c r="GP198" s="49"/>
      <c r="GQ198" s="49"/>
      <c r="GR198" s="49"/>
      <c r="GS198" s="49"/>
      <c r="GT198" s="49"/>
      <c r="GU198" s="49"/>
      <c r="GV198" s="49"/>
      <c r="GW198" s="49"/>
      <c r="GX198" s="49"/>
      <c r="GY198" s="49"/>
      <c r="GZ198" s="49"/>
      <c r="HA198" s="49"/>
      <c r="HB198" s="49"/>
      <c r="HC198" s="48"/>
      <c r="HD198" s="48"/>
      <c r="HE198" s="48"/>
      <c r="HF198" s="13"/>
      <c r="HG198" s="13"/>
      <c r="HH198" s="13"/>
    </row>
    <row r="199" spans="1:216" ht="16.95" customHeight="1">
      <c r="A199" s="1"/>
      <c r="B199" s="3"/>
      <c r="C199" s="3"/>
      <c r="D199" s="12" t="str">
        <f ca="1">IF(FO166=0,"","Hoeveel bedragen volgens deze grafiek de totale constante kosten? Maak")</f>
        <v/>
      </c>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v>10</v>
      </c>
      <c r="FK199" s="26">
        <f>IF($FH$41=0,0,($FN$42/3)*FJ199+($FO$42-35))</f>
        <v>0</v>
      </c>
      <c r="FL199" s="26"/>
      <c r="FM199" s="48"/>
      <c r="FN199" s="48"/>
      <c r="FO199" s="48"/>
      <c r="FP199" s="48"/>
      <c r="FQ199" s="48"/>
      <c r="FR199" s="48"/>
      <c r="FS199" s="48"/>
      <c r="FT199" s="48"/>
      <c r="FU199" s="48"/>
      <c r="FV199" s="48"/>
      <c r="FW199" s="48"/>
      <c r="FX199" s="48"/>
      <c r="FY199" s="48"/>
      <c r="FZ199" s="94"/>
      <c r="GA199" s="48"/>
      <c r="GB199" s="48"/>
      <c r="GC199" s="49"/>
      <c r="GD199" s="49"/>
      <c r="GE199" s="49"/>
      <c r="GF199" s="49"/>
      <c r="GG199" s="49"/>
      <c r="GH199" s="49"/>
      <c r="GI199" s="49"/>
      <c r="GJ199" s="49"/>
      <c r="GK199" s="49"/>
      <c r="GL199" s="49"/>
      <c r="GM199" s="49"/>
      <c r="GN199" s="49"/>
      <c r="GO199" s="49"/>
      <c r="GP199" s="49"/>
      <c r="GQ199" s="49"/>
      <c r="GR199" s="49"/>
      <c r="GS199" s="49"/>
      <c r="GT199" s="49"/>
      <c r="GU199" s="49"/>
      <c r="GV199" s="49"/>
      <c r="GW199" s="49"/>
      <c r="GX199" s="49"/>
      <c r="GY199" s="49"/>
      <c r="GZ199" s="49"/>
      <c r="HA199" s="49"/>
      <c r="HB199" s="49"/>
      <c r="HC199" s="48"/>
      <c r="HD199" s="48"/>
      <c r="HE199" s="48"/>
      <c r="HF199" s="13"/>
      <c r="HG199" s="13"/>
      <c r="HH199" s="13"/>
    </row>
    <row r="200" spans="1:216" ht="16.95" customHeight="1">
      <c r="A200" s="1"/>
      <c r="B200" s="3"/>
      <c r="C200" s="3"/>
      <c r="D200" s="12" t="str">
        <f ca="1">IF(FO166=0,"","een keuze uit de getallen die je ziet staan als je op het vak gaat staan en klikt")</f>
        <v/>
      </c>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26"/>
      <c r="FL200" s="26"/>
      <c r="FM200" s="48"/>
      <c r="FN200" s="48"/>
      <c r="FO200" s="48"/>
      <c r="FP200" s="48"/>
      <c r="FQ200" s="48"/>
      <c r="FR200" s="48"/>
      <c r="FS200" s="48"/>
      <c r="FT200" s="48"/>
      <c r="FU200" s="48"/>
      <c r="FV200" s="48"/>
      <c r="FW200" s="48"/>
      <c r="FX200" s="48"/>
      <c r="FY200" s="48"/>
      <c r="FZ200" s="94"/>
      <c r="GA200" s="48"/>
      <c r="GB200" s="48"/>
      <c r="GC200" s="49"/>
      <c r="GD200" s="49"/>
      <c r="GE200" s="49"/>
      <c r="GF200" s="49"/>
      <c r="GG200" s="49"/>
      <c r="GH200" s="49"/>
      <c r="GI200" s="49"/>
      <c r="GJ200" s="49"/>
      <c r="GK200" s="49"/>
      <c r="GL200" s="49"/>
      <c r="GM200" s="49"/>
      <c r="GN200" s="49"/>
      <c r="GO200" s="49"/>
      <c r="GP200" s="49"/>
      <c r="GQ200" s="49"/>
      <c r="GR200" s="49"/>
      <c r="GS200" s="49"/>
      <c r="GT200" s="49"/>
      <c r="GU200" s="49"/>
      <c r="GV200" s="49"/>
      <c r="GW200" s="49"/>
      <c r="GX200" s="49"/>
      <c r="GY200" s="49"/>
      <c r="GZ200" s="49"/>
      <c r="HA200" s="49"/>
      <c r="HB200" s="49"/>
      <c r="HC200" s="48"/>
      <c r="HD200" s="48"/>
      <c r="HE200" s="48"/>
      <c r="HF200" s="13"/>
      <c r="HG200" s="13"/>
      <c r="HH200" s="13"/>
    </row>
    <row r="201" spans="1:216" ht="16.95" customHeight="1">
      <c r="A201" s="1"/>
      <c r="B201" s="3"/>
      <c r="C201" s="3"/>
      <c r="D201" s="12" t="str">
        <f ca="1">IF(FO166=0,"","op het keuzevakje dat rechts in het vak verschijnt.")</f>
        <v/>
      </c>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26"/>
      <c r="FL201" s="26"/>
      <c r="FM201" s="48"/>
      <c r="FN201" s="48"/>
      <c r="FO201" s="48"/>
      <c r="FP201" s="48"/>
      <c r="FQ201" s="48"/>
      <c r="FR201" s="48"/>
      <c r="FS201" s="48"/>
      <c r="FT201" s="48"/>
      <c r="FU201" s="48"/>
      <c r="FV201" s="48"/>
      <c r="FW201" s="48"/>
      <c r="FX201" s="48"/>
      <c r="FY201" s="48"/>
      <c r="FZ201" s="94"/>
      <c r="GA201" s="48"/>
      <c r="GB201" s="48"/>
      <c r="GC201" s="49"/>
      <c r="GD201" s="49"/>
      <c r="GE201" s="49"/>
      <c r="GF201" s="49"/>
      <c r="GG201" s="49"/>
      <c r="GH201" s="49"/>
      <c r="GI201" s="49"/>
      <c r="GJ201" s="49"/>
      <c r="GK201" s="49"/>
      <c r="GL201" s="49"/>
      <c r="GM201" s="49"/>
      <c r="GN201" s="49"/>
      <c r="GO201" s="49"/>
      <c r="GP201" s="49"/>
      <c r="GQ201" s="49"/>
      <c r="GR201" s="49"/>
      <c r="GS201" s="49"/>
      <c r="GT201" s="49"/>
      <c r="GU201" s="49"/>
      <c r="GV201" s="49"/>
      <c r="GW201" s="49"/>
      <c r="GX201" s="49"/>
      <c r="GY201" s="49"/>
      <c r="GZ201" s="49"/>
      <c r="HA201" s="49"/>
      <c r="HB201" s="49"/>
      <c r="HC201" s="48"/>
      <c r="HD201" s="48"/>
      <c r="HE201" s="48"/>
      <c r="HF201" s="13"/>
      <c r="HG201" s="13"/>
      <c r="HH201" s="13"/>
    </row>
    <row r="202" spans="1:216" ht="9" customHeight="1">
      <c r="A202" s="1"/>
      <c r="B202" s="3"/>
      <c r="C202" s="3"/>
      <c r="D202" s="12"/>
      <c r="E202" s="10"/>
      <c r="F202" s="10"/>
      <c r="G202" s="10"/>
      <c r="H202" s="10"/>
      <c r="I202" s="10"/>
      <c r="J202" s="376"/>
      <c r="K202" s="376"/>
      <c r="L202" s="376"/>
      <c r="M202" s="376"/>
      <c r="N202" s="376"/>
      <c r="O202" s="376"/>
      <c r="P202" s="376"/>
      <c r="Q202" s="376"/>
      <c r="R202" s="376"/>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89"/>
      <c r="BV202" s="89"/>
      <c r="BW202" s="89"/>
      <c r="BX202" s="89"/>
      <c r="BY202" s="89"/>
      <c r="BZ202" s="89"/>
      <c r="CA202" s="89"/>
      <c r="CB202" s="89"/>
      <c r="CC202" s="89"/>
      <c r="CD202" s="89"/>
      <c r="CE202" s="89"/>
      <c r="CF202" s="89"/>
      <c r="CG202" s="89"/>
      <c r="CH202" s="89"/>
      <c r="CI202" s="89"/>
      <c r="CJ202" s="89"/>
      <c r="CK202" s="89"/>
      <c r="CL202" s="89"/>
      <c r="CM202" s="89"/>
      <c r="CN202" s="89"/>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376"/>
      <c r="ER202" s="376"/>
      <c r="ES202" s="376"/>
      <c r="ET202" s="376"/>
      <c r="EU202" s="376"/>
      <c r="EV202" s="376"/>
      <c r="EW202" s="376"/>
      <c r="EX202" s="376"/>
      <c r="EY202" s="376"/>
      <c r="EZ202" s="376"/>
      <c r="FA202" s="376"/>
      <c r="FB202" s="376"/>
      <c r="FC202" s="376"/>
      <c r="FD202" s="376"/>
      <c r="FE202" s="10"/>
      <c r="FF202" s="10"/>
      <c r="FG202" s="26"/>
      <c r="FH202" s="26"/>
      <c r="FI202" s="26"/>
      <c r="FJ202" s="26"/>
      <c r="FK202" s="26"/>
      <c r="FL202" s="26"/>
      <c r="FM202" s="48"/>
      <c r="FN202" s="48"/>
      <c r="FO202" s="48"/>
      <c r="FP202" s="48"/>
      <c r="FQ202" s="48"/>
      <c r="FR202" s="48"/>
      <c r="FS202" s="48"/>
      <c r="FT202" s="48"/>
      <c r="FU202" s="48"/>
      <c r="FV202" s="48"/>
      <c r="FW202" s="48"/>
      <c r="FX202" s="48"/>
      <c r="FY202" s="48"/>
      <c r="FZ202" s="94"/>
      <c r="GA202" s="48"/>
      <c r="GB202" s="48"/>
      <c r="GC202" s="49"/>
      <c r="GD202" s="49"/>
      <c r="GE202" s="49"/>
      <c r="GF202" s="49"/>
      <c r="GG202" s="49"/>
      <c r="GH202" s="49"/>
      <c r="GI202" s="49"/>
      <c r="GJ202" s="49"/>
      <c r="GK202" s="49"/>
      <c r="GL202" s="49"/>
      <c r="GM202" s="49"/>
      <c r="GN202" s="49"/>
      <c r="GO202" s="49"/>
      <c r="GP202" s="49"/>
      <c r="GQ202" s="49"/>
      <c r="GR202" s="49"/>
      <c r="GS202" s="49"/>
      <c r="GT202" s="49"/>
      <c r="GU202" s="49"/>
      <c r="GV202" s="49"/>
      <c r="GW202" s="49"/>
      <c r="GX202" s="49"/>
      <c r="GY202" s="49"/>
      <c r="GZ202" s="49"/>
      <c r="HA202" s="49"/>
      <c r="HB202" s="49"/>
      <c r="HC202" s="48"/>
      <c r="HD202" s="48"/>
      <c r="HE202" s="48"/>
      <c r="HF202" s="13"/>
      <c r="HG202" s="13"/>
      <c r="HH202" s="13"/>
    </row>
    <row r="203" spans="1:216" ht="3.75" customHeight="1">
      <c r="A203" s="1"/>
      <c r="B203" s="3"/>
      <c r="C203" s="3"/>
      <c r="D203" s="12"/>
      <c r="E203" s="10"/>
      <c r="F203" s="10"/>
      <c r="G203" s="10"/>
      <c r="H203" s="10"/>
      <c r="I203" s="10"/>
      <c r="J203" s="10"/>
      <c r="K203" s="10"/>
      <c r="L203" s="10"/>
      <c r="M203" s="10"/>
      <c r="N203" s="10"/>
      <c r="O203" s="10"/>
      <c r="P203" s="10"/>
      <c r="Q203" s="10"/>
      <c r="R203" s="10"/>
      <c r="S203" s="79"/>
      <c r="T203" s="79"/>
      <c r="U203" s="79"/>
      <c r="V203" s="79"/>
      <c r="W203" s="79"/>
      <c r="X203" s="79"/>
      <c r="Y203" s="79"/>
      <c r="Z203" s="79"/>
      <c r="AA203" s="79"/>
      <c r="AB203" s="79"/>
      <c r="AC203" s="79"/>
      <c r="AD203" s="79"/>
      <c r="AE203" s="79"/>
      <c r="AF203" s="79"/>
      <c r="AG203" s="79"/>
      <c r="AH203" s="79"/>
      <c r="AI203" s="79"/>
      <c r="AJ203" s="43"/>
      <c r="AK203" s="43"/>
      <c r="AL203" s="43"/>
      <c r="AM203" s="43"/>
      <c r="AN203" s="43"/>
      <c r="AO203" s="43"/>
      <c r="AP203" s="43"/>
      <c r="AQ203" s="43"/>
      <c r="AR203" s="43"/>
      <c r="AS203" s="43"/>
      <c r="AT203" s="43"/>
      <c r="AU203" s="43"/>
      <c r="AV203" s="43"/>
      <c r="AW203" s="43"/>
      <c r="AX203" s="538" t="str">
        <f ca="1">IF(FO166=0,"",".")</f>
        <v/>
      </c>
      <c r="AY203" s="545"/>
      <c r="AZ203" s="545"/>
      <c r="BA203" s="545"/>
      <c r="BB203" s="545"/>
      <c r="BC203" s="545"/>
      <c r="BD203" s="545"/>
      <c r="BE203" s="545"/>
      <c r="BF203" s="545"/>
      <c r="BG203" s="545"/>
      <c r="BH203" s="545"/>
      <c r="BI203" s="545"/>
      <c r="BJ203" s="545"/>
      <c r="BK203" s="545"/>
      <c r="BL203" s="545"/>
      <c r="BM203" s="545"/>
      <c r="BN203" s="545"/>
      <c r="BO203" s="545"/>
      <c r="BP203" s="370"/>
      <c r="BQ203" s="370"/>
      <c r="BR203" s="370"/>
      <c r="BS203" s="370"/>
      <c r="BT203" s="370"/>
      <c r="BU203" s="370"/>
      <c r="BV203" s="370"/>
      <c r="BW203" s="370"/>
      <c r="BX203" s="370"/>
      <c r="BY203" s="370"/>
      <c r="BZ203" s="370"/>
      <c r="CA203" s="370"/>
      <c r="CB203" s="370"/>
      <c r="CC203" s="370"/>
      <c r="CD203" s="370"/>
      <c r="CE203" s="370"/>
      <c r="CF203" s="370"/>
      <c r="CG203" s="370"/>
      <c r="CH203" s="370"/>
      <c r="CI203" s="370"/>
      <c r="CJ203" s="370"/>
      <c r="CK203" s="370"/>
      <c r="CL203" s="370"/>
      <c r="CM203" s="370"/>
      <c r="CN203" s="370"/>
      <c r="CO203" s="370"/>
      <c r="CP203" s="370"/>
      <c r="CQ203" s="370"/>
      <c r="CR203" s="370"/>
      <c r="CS203" s="370"/>
      <c r="CT203" s="370"/>
      <c r="CU203" s="370"/>
      <c r="CV203" s="370"/>
      <c r="CW203" s="370"/>
      <c r="CX203" s="370"/>
      <c r="CY203" s="370"/>
      <c r="CZ203" s="79"/>
      <c r="DA203" s="79"/>
      <c r="DB203" s="79"/>
      <c r="DC203" s="79"/>
      <c r="DD203" s="79"/>
      <c r="DE203" s="79"/>
      <c r="DF203" s="79"/>
      <c r="DG203" s="79"/>
      <c r="DH203" s="79"/>
      <c r="DI203" s="79"/>
      <c r="DJ203" s="79"/>
      <c r="DK203" s="79"/>
      <c r="DL203" s="79"/>
      <c r="DM203" s="79"/>
      <c r="DN203" s="79"/>
      <c r="DO203" s="79"/>
      <c r="DP203" s="79"/>
      <c r="DQ203" s="79"/>
      <c r="DR203" s="79"/>
      <c r="DS203" s="79"/>
      <c r="DT203" s="79"/>
      <c r="DU203" s="79"/>
      <c r="DV203" s="79"/>
      <c r="DW203" s="79"/>
      <c r="DX203" s="79"/>
      <c r="DY203" s="79"/>
      <c r="DZ203" s="79"/>
      <c r="EA203" s="79"/>
      <c r="EB203" s="79"/>
      <c r="EC203" s="79"/>
      <c r="ED203" s="79"/>
      <c r="EE203" s="79"/>
      <c r="EF203" s="79"/>
      <c r="EG203" s="79"/>
      <c r="EH203" s="79"/>
      <c r="EI203" s="79"/>
      <c r="EJ203" s="79"/>
      <c r="EK203" s="79"/>
      <c r="EL203" s="79"/>
      <c r="EM203" s="79"/>
      <c r="EN203" s="79"/>
      <c r="EO203" s="79"/>
      <c r="EP203" s="79"/>
      <c r="EQ203" s="10"/>
      <c r="ER203" s="10"/>
      <c r="ES203" s="10"/>
      <c r="ET203" s="10"/>
      <c r="EU203" s="10"/>
      <c r="EV203" s="10"/>
      <c r="EW203" s="10"/>
      <c r="EX203" s="10"/>
      <c r="EY203" s="10"/>
      <c r="EZ203" s="10"/>
      <c r="FA203" s="10"/>
      <c r="FB203" s="10"/>
      <c r="FC203" s="10"/>
      <c r="FD203" s="10"/>
      <c r="FE203" s="10"/>
      <c r="FF203" s="10"/>
      <c r="FG203" s="10"/>
      <c r="FH203" s="10"/>
      <c r="FI203" s="10"/>
      <c r="FJ203" s="10"/>
      <c r="FK203" s="26"/>
      <c r="FL203" s="26"/>
      <c r="FM203" s="48"/>
      <c r="FN203" s="48"/>
      <c r="FO203" s="48"/>
      <c r="FP203" s="48"/>
      <c r="FQ203" s="48"/>
      <c r="FR203" s="48"/>
      <c r="FS203" s="48"/>
      <c r="FT203" s="48"/>
      <c r="FU203" s="48"/>
      <c r="FV203" s="48"/>
      <c r="FW203" s="48"/>
      <c r="FX203" s="48"/>
      <c r="FY203" s="48"/>
      <c r="FZ203" s="94"/>
      <c r="GA203" s="48"/>
      <c r="GB203" s="48"/>
      <c r="GC203" s="49"/>
      <c r="GD203" s="49"/>
      <c r="GE203" s="49"/>
      <c r="GF203" s="49"/>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13"/>
      <c r="HG203" s="13"/>
      <c r="HH203" s="13"/>
    </row>
    <row r="204" spans="1:216" ht="16.5" customHeight="1">
      <c r="A204" s="1"/>
      <c r="B204" s="3"/>
      <c r="C204" s="3"/>
      <c r="D204" s="373"/>
      <c r="E204" s="10"/>
      <c r="F204" s="10"/>
      <c r="G204" s="10"/>
      <c r="H204" s="10"/>
      <c r="I204" s="10"/>
      <c r="J204" s="10"/>
      <c r="K204" s="10"/>
      <c r="L204" s="10"/>
      <c r="M204" s="10"/>
      <c r="N204" s="10"/>
      <c r="O204" s="10"/>
      <c r="P204" s="10"/>
      <c r="Q204" s="10"/>
      <c r="R204" s="10"/>
      <c r="S204" s="79"/>
      <c r="T204" s="79"/>
      <c r="U204" s="79"/>
      <c r="V204" s="79"/>
      <c r="W204" s="79"/>
      <c r="X204" s="79"/>
      <c r="Y204" s="79"/>
      <c r="Z204" s="79"/>
      <c r="AA204" s="79"/>
      <c r="AB204" s="79"/>
      <c r="AC204" s="79"/>
      <c r="AD204" s="79"/>
      <c r="AE204" s="79"/>
      <c r="AF204" s="79"/>
      <c r="AG204" s="79"/>
      <c r="AH204" s="79"/>
      <c r="AI204" s="79"/>
      <c r="AJ204" s="43"/>
      <c r="AK204" s="43"/>
      <c r="AL204" s="43"/>
      <c r="AM204" s="43"/>
      <c r="AN204" s="43"/>
      <c r="AO204" s="43"/>
      <c r="AP204" s="43"/>
      <c r="AQ204" s="43"/>
      <c r="AR204" s="43"/>
      <c r="AS204" s="43"/>
      <c r="AT204" s="43"/>
      <c r="AU204" s="153" t="str">
        <f ca="1">IF(FO166=0,"","TCK = ")</f>
        <v/>
      </c>
      <c r="AV204" s="43"/>
      <c r="AW204" s="43"/>
      <c r="AX204" s="368" t="str">
        <f ca="1">IF(FO166=0,"",".")</f>
        <v/>
      </c>
      <c r="AY204" s="634">
        <f ca="1">FS204</f>
        <v>120000</v>
      </c>
      <c r="AZ204" s="635"/>
      <c r="BA204" s="635"/>
      <c r="BB204" s="635"/>
      <c r="BC204" s="635"/>
      <c r="BD204" s="635"/>
      <c r="BE204" s="635"/>
      <c r="BF204" s="635"/>
      <c r="BG204" s="635"/>
      <c r="BH204" s="635"/>
      <c r="BI204" s="635"/>
      <c r="BJ204" s="635"/>
      <c r="BK204" s="635"/>
      <c r="BL204" s="635"/>
      <c r="BM204" s="635"/>
      <c r="BN204" s="635"/>
      <c r="BO204" s="368" t="str">
        <f ca="1">IF(FO166=0,"",".")</f>
        <v/>
      </c>
      <c r="BP204" s="375" t="str">
        <f ca="1">IF(AY204="","",IF(FO204=1," Goed!"," Fout! Je moet naar de TK op de verticale as (dus bij q = 0) kijken."))</f>
        <v xml:space="preserve"> Fout! Je moet naar de TK op de verticale as (dus bij q = 0) kijken.</v>
      </c>
      <c r="BQ204" s="370"/>
      <c r="BR204" s="370"/>
      <c r="BS204" s="370"/>
      <c r="BT204" s="370"/>
      <c r="BU204" s="370"/>
      <c r="BV204" s="370"/>
      <c r="BW204" s="370"/>
      <c r="BX204" s="370"/>
      <c r="BY204" s="370"/>
      <c r="BZ204" s="370"/>
      <c r="CA204" s="370"/>
      <c r="CB204" s="370"/>
      <c r="CC204" s="370"/>
      <c r="CD204" s="370"/>
      <c r="CE204" s="370"/>
      <c r="CF204" s="370"/>
      <c r="CG204" s="370"/>
      <c r="CH204" s="370"/>
      <c r="CI204" s="370"/>
      <c r="CJ204" s="370"/>
      <c r="CK204" s="370"/>
      <c r="CL204" s="370"/>
      <c r="CM204" s="370"/>
      <c r="CN204" s="370"/>
      <c r="CO204" s="370"/>
      <c r="CP204" s="370"/>
      <c r="CQ204" s="370"/>
      <c r="CR204" s="370"/>
      <c r="CS204" s="370"/>
      <c r="CT204" s="370"/>
      <c r="CU204" s="370"/>
      <c r="CV204" s="370"/>
      <c r="CW204" s="370"/>
      <c r="CX204" s="370"/>
      <c r="CY204" s="79"/>
      <c r="CZ204" s="79"/>
      <c r="DA204" s="79"/>
      <c r="DB204" s="79"/>
      <c r="DC204" s="79"/>
      <c r="DD204" s="79"/>
      <c r="DE204" s="79"/>
      <c r="DF204" s="79"/>
      <c r="DG204" s="79"/>
      <c r="DH204" s="79"/>
      <c r="DI204" s="79"/>
      <c r="DJ204" s="79"/>
      <c r="DK204" s="79"/>
      <c r="DL204" s="79"/>
      <c r="DM204" s="79"/>
      <c r="DN204" s="79"/>
      <c r="DO204" s="79"/>
      <c r="DP204" s="79"/>
      <c r="DQ204" s="79"/>
      <c r="DR204" s="79"/>
      <c r="DS204" s="79"/>
      <c r="DT204" s="79"/>
      <c r="DU204" s="79"/>
      <c r="DV204" s="79"/>
      <c r="DW204" s="79"/>
      <c r="DX204" s="79"/>
      <c r="DY204" s="79"/>
      <c r="DZ204" s="79"/>
      <c r="EA204" s="79"/>
      <c r="EB204" s="79"/>
      <c r="EC204" s="79"/>
      <c r="ED204" s="79"/>
      <c r="EE204" s="79"/>
      <c r="EF204" s="79"/>
      <c r="EG204" s="79"/>
      <c r="EH204" s="79"/>
      <c r="EI204" s="79"/>
      <c r="EJ204" s="79"/>
      <c r="EK204" s="79"/>
      <c r="EL204" s="79"/>
      <c r="EM204" s="79"/>
      <c r="EN204" s="79"/>
      <c r="EO204" s="79"/>
      <c r="EP204" s="79"/>
      <c r="EQ204" s="10"/>
      <c r="ER204" s="10"/>
      <c r="ES204" s="10"/>
      <c r="ET204" s="10"/>
      <c r="EU204" s="10"/>
      <c r="EV204" s="10"/>
      <c r="EW204" s="10"/>
      <c r="EX204" s="10"/>
      <c r="EY204" s="10"/>
      <c r="EZ204" s="10"/>
      <c r="FA204" s="10"/>
      <c r="FB204" s="10"/>
      <c r="FC204" s="10"/>
      <c r="FD204" s="10"/>
      <c r="FE204" s="10"/>
      <c r="FF204" s="10"/>
      <c r="FG204" s="10"/>
      <c r="FH204" s="10"/>
      <c r="FI204" s="10"/>
      <c r="FJ204" s="10"/>
      <c r="FK204" s="26"/>
      <c r="FL204" s="26"/>
      <c r="FM204" s="48"/>
      <c r="FN204" s="48"/>
      <c r="FO204" s="48">
        <f ca="1">IF(programma!B1="X",1,IF(FO166=0,0,IF(AY204="",0,IF(AND(AY204&gt;=FS204-0.0001,AY204&lt;=FS204+0.0001),1,0))))</f>
        <v>0</v>
      </c>
      <c r="FP204" s="48"/>
      <c r="FQ204" s="48"/>
      <c r="FR204" s="381">
        <v>0</v>
      </c>
      <c r="FS204" s="381">
        <f ca="1">IF(FO1=0,"",GG177)</f>
        <v>120000</v>
      </c>
      <c r="FT204" s="381" t="e">
        <f ca="1">GG177+GF177*GC185</f>
        <v>#VALUE!</v>
      </c>
      <c r="FU204" s="48"/>
      <c r="FV204" s="48"/>
      <c r="FW204" s="48"/>
      <c r="FX204" s="48"/>
      <c r="FY204" s="48"/>
      <c r="FZ204" s="94"/>
      <c r="GA204" s="48"/>
      <c r="GB204" s="48"/>
      <c r="GC204" s="49"/>
      <c r="GD204" s="49"/>
      <c r="GE204" s="49"/>
      <c r="GF204" s="49"/>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13"/>
      <c r="HG204" s="13"/>
      <c r="HH204" s="13"/>
    </row>
    <row r="205" spans="1:216" ht="3.75" customHeight="1">
      <c r="A205" s="1"/>
      <c r="B205" s="3"/>
      <c r="C205" s="3"/>
      <c r="D205" s="373"/>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376"/>
      <c r="AK205" s="376"/>
      <c r="AL205" s="376"/>
      <c r="AM205" s="376"/>
      <c r="AN205" s="376"/>
      <c r="AO205" s="376"/>
      <c r="AP205" s="376"/>
      <c r="AQ205" s="376"/>
      <c r="AR205" s="376"/>
      <c r="AS205" s="376"/>
      <c r="AT205" s="376"/>
      <c r="AU205" s="376"/>
      <c r="AV205" s="376"/>
      <c r="AW205" s="376"/>
      <c r="AX205" s="538" t="str">
        <f ca="1">IF(FO166=0,"",".")</f>
        <v/>
      </c>
      <c r="AY205" s="545"/>
      <c r="AZ205" s="545"/>
      <c r="BA205" s="545"/>
      <c r="BB205" s="545"/>
      <c r="BC205" s="545"/>
      <c r="BD205" s="545"/>
      <c r="BE205" s="545"/>
      <c r="BF205" s="545"/>
      <c r="BG205" s="545"/>
      <c r="BH205" s="545"/>
      <c r="BI205" s="545"/>
      <c r="BJ205" s="545"/>
      <c r="BK205" s="545"/>
      <c r="BL205" s="545"/>
      <c r="BM205" s="545"/>
      <c r="BN205" s="545"/>
      <c r="BO205" s="545"/>
      <c r="BP205" s="370"/>
      <c r="BQ205" s="370"/>
      <c r="BR205" s="370"/>
      <c r="BS205" s="370"/>
      <c r="BT205" s="370"/>
      <c r="BU205" s="370"/>
      <c r="BV205" s="370"/>
      <c r="BW205" s="370"/>
      <c r="BX205" s="370"/>
      <c r="BY205" s="370"/>
      <c r="BZ205" s="370"/>
      <c r="CA205" s="370"/>
      <c r="CB205" s="370"/>
      <c r="CC205" s="370"/>
      <c r="CD205" s="370"/>
      <c r="CE205" s="370"/>
      <c r="CF205" s="370"/>
      <c r="CG205" s="370"/>
      <c r="CH205" s="370"/>
      <c r="CI205" s="370"/>
      <c r="CJ205" s="370"/>
      <c r="CK205" s="370"/>
      <c r="CL205" s="370"/>
      <c r="CM205" s="370"/>
      <c r="CN205" s="370"/>
      <c r="CO205" s="370"/>
      <c r="CP205" s="370"/>
      <c r="CQ205" s="370"/>
      <c r="CR205" s="370"/>
      <c r="CS205" s="370"/>
      <c r="CT205" s="370"/>
      <c r="CU205" s="370"/>
      <c r="CV205" s="370"/>
      <c r="CW205" s="370"/>
      <c r="CX205" s="370"/>
      <c r="CY205" s="37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26"/>
      <c r="FL205" s="26"/>
      <c r="FM205" s="48"/>
      <c r="FN205" s="48"/>
      <c r="FO205" s="48"/>
      <c r="FP205" s="48"/>
      <c r="FQ205" s="48"/>
      <c r="FR205" s="48"/>
      <c r="FS205" s="48"/>
      <c r="FT205" s="48"/>
      <c r="FU205" s="48"/>
      <c r="FV205" s="48"/>
      <c r="FW205" s="48"/>
      <c r="FX205" s="48"/>
      <c r="FY205" s="48"/>
      <c r="FZ205" s="94"/>
      <c r="GA205" s="48"/>
      <c r="GB205" s="48"/>
      <c r="GC205" s="49"/>
      <c r="GD205" s="49"/>
      <c r="GE205" s="49"/>
      <c r="GF205" s="49"/>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13"/>
      <c r="HG205" s="13"/>
      <c r="HH205" s="13"/>
    </row>
    <row r="206" spans="1:216" ht="11.4" customHeight="1">
      <c r="A206" s="1"/>
      <c r="B206" s="3"/>
      <c r="C206" s="3"/>
      <c r="D206" s="373"/>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376"/>
      <c r="AK206" s="376"/>
      <c r="AL206" s="376"/>
      <c r="AM206" s="376"/>
      <c r="AN206" s="376"/>
      <c r="AO206" s="376"/>
      <c r="AP206" s="376"/>
      <c r="AQ206" s="376"/>
      <c r="AR206" s="376"/>
      <c r="AS206" s="376"/>
      <c r="AT206" s="376"/>
      <c r="AU206" s="376"/>
      <c r="AV206" s="376"/>
      <c r="AW206" s="376"/>
      <c r="AX206" s="368"/>
      <c r="AY206" s="367"/>
      <c r="AZ206" s="367"/>
      <c r="BA206" s="367"/>
      <c r="BB206" s="367"/>
      <c r="BC206" s="367"/>
      <c r="BD206" s="367"/>
      <c r="BE206" s="367"/>
      <c r="BF206" s="367"/>
      <c r="BG206" s="367"/>
      <c r="BH206" s="367"/>
      <c r="BI206" s="367"/>
      <c r="BJ206" s="367"/>
      <c r="BK206" s="367"/>
      <c r="BL206" s="367"/>
      <c r="BM206" s="367"/>
      <c r="BN206" s="367"/>
      <c r="BO206" s="367"/>
      <c r="BP206" s="370"/>
      <c r="BQ206" s="370"/>
      <c r="BR206" s="370"/>
      <c r="BS206" s="370"/>
      <c r="BT206" s="370"/>
      <c r="BU206" s="370"/>
      <c r="BV206" s="370"/>
      <c r="BW206" s="370"/>
      <c r="BX206" s="370"/>
      <c r="BY206" s="370"/>
      <c r="BZ206" s="370"/>
      <c r="CA206" s="370"/>
      <c r="CB206" s="370"/>
      <c r="CC206" s="370"/>
      <c r="CD206" s="370"/>
      <c r="CE206" s="370"/>
      <c r="CF206" s="370"/>
      <c r="CG206" s="370"/>
      <c r="CH206" s="370"/>
      <c r="CI206" s="370"/>
      <c r="CJ206" s="370"/>
      <c r="CK206" s="370"/>
      <c r="CL206" s="370"/>
      <c r="CM206" s="370"/>
      <c r="CN206" s="370"/>
      <c r="CO206" s="370"/>
      <c r="CP206" s="370"/>
      <c r="CQ206" s="370"/>
      <c r="CR206" s="370"/>
      <c r="CS206" s="370"/>
      <c r="CT206" s="370"/>
      <c r="CU206" s="370"/>
      <c r="CV206" s="370"/>
      <c r="CW206" s="370"/>
      <c r="CX206" s="370"/>
      <c r="CY206" s="37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26"/>
      <c r="FL206" s="26"/>
      <c r="FM206" s="48"/>
      <c r="FN206" s="48"/>
      <c r="FO206" s="48"/>
      <c r="FP206" s="48"/>
      <c r="FQ206" s="48"/>
      <c r="FR206" s="48"/>
      <c r="FS206" s="48"/>
      <c r="FT206" s="48"/>
      <c r="FU206" s="48"/>
      <c r="FV206" s="48"/>
      <c r="FW206" s="48"/>
      <c r="FX206" s="48"/>
      <c r="FY206" s="48"/>
      <c r="FZ206" s="94"/>
      <c r="GA206" s="48"/>
      <c r="GB206" s="48"/>
      <c r="GC206" s="49"/>
      <c r="GD206" s="49"/>
      <c r="GE206" s="49"/>
      <c r="GF206" s="49"/>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13"/>
      <c r="HG206" s="13"/>
      <c r="HH206" s="13"/>
    </row>
    <row r="207" spans="1:216" ht="16.95" customHeight="1">
      <c r="A207" s="1"/>
      <c r="B207" s="3"/>
      <c r="C207" s="3"/>
      <c r="D207" s="12" t="str">
        <f ca="1">IF(FO204=0,"","Je ziet dat de Totale Kosten met € "&amp;GF177*GC185&amp;" (= € "&amp;GG177+GF177*GC185&amp;" - € "&amp;FS204&amp;") stijgen")</f>
        <v/>
      </c>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t="str">
        <f>IF(AY213="","",IF(AY213=FN177,1,0))</f>
        <v/>
      </c>
      <c r="FI207" s="10"/>
      <c r="FJ207" s="10"/>
      <c r="FK207" s="26"/>
      <c r="FL207" s="26"/>
      <c r="FM207" s="48"/>
      <c r="FN207" s="48"/>
      <c r="FO207" s="48"/>
      <c r="FP207" s="48"/>
      <c r="FQ207" s="48"/>
      <c r="FR207" s="48"/>
      <c r="FS207" s="48"/>
      <c r="FT207" s="48"/>
      <c r="FU207" s="48"/>
      <c r="FV207" s="48"/>
      <c r="FW207" s="48"/>
      <c r="FX207" s="48"/>
      <c r="FY207" s="48"/>
      <c r="FZ207" s="94"/>
      <c r="GA207" s="48"/>
      <c r="GB207" s="48"/>
      <c r="GC207" s="49"/>
      <c r="GD207" s="49"/>
      <c r="GE207" s="49"/>
      <c r="GF207" s="49"/>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13"/>
      <c r="HG207" s="13"/>
      <c r="HH207" s="13"/>
    </row>
    <row r="208" spans="1:216" ht="16.95" customHeight="1">
      <c r="A208" s="1"/>
      <c r="B208" s="3"/>
      <c r="C208" s="3"/>
      <c r="D208" s="12" t="str">
        <f ca="1">IF(FO204=0,"","als de hoeveelheid met "&amp;GC185&amp;" stuks (van 0 naar "&amp;GC185&amp;") toeneemt. Hoeveel")</f>
        <v/>
      </c>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v>10</v>
      </c>
      <c r="FK208" s="26">
        <f>IF($FH$41=0,0,($FN$42/3)*FJ208+($FO$42-35))</f>
        <v>0</v>
      </c>
      <c r="FL208" s="26"/>
      <c r="FM208" s="48"/>
      <c r="FN208" s="48"/>
      <c r="FO208" s="48"/>
      <c r="FP208" s="48"/>
      <c r="FQ208" s="48"/>
      <c r="FR208" s="48"/>
      <c r="FS208" s="48"/>
      <c r="FT208" s="48"/>
      <c r="FU208" s="48"/>
      <c r="FV208" s="48"/>
      <c r="FW208" s="48"/>
      <c r="FX208" s="48"/>
      <c r="FY208" s="48"/>
      <c r="FZ208" s="94"/>
      <c r="GA208" s="48"/>
      <c r="GB208" s="48"/>
      <c r="GC208" s="49"/>
      <c r="GD208" s="49"/>
      <c r="GE208" s="49"/>
      <c r="GF208" s="49"/>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13"/>
      <c r="HG208" s="13"/>
      <c r="HH208" s="13"/>
    </row>
    <row r="209" spans="1:216" ht="16.95" customHeight="1">
      <c r="A209" s="1"/>
      <c r="B209" s="3"/>
      <c r="C209" s="3"/>
      <c r="D209" s="12" t="str">
        <f ca="1">IF(FO204=0,"","zijn dus de variabele kosten per stuk (= gemiddelde variabele kosten)?")</f>
        <v/>
      </c>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26"/>
      <c r="FL209" s="26"/>
      <c r="FM209" s="48"/>
      <c r="FN209" s="48"/>
      <c r="FO209" s="48"/>
      <c r="FP209" s="48"/>
      <c r="FQ209" s="48"/>
      <c r="FR209" s="48"/>
      <c r="FS209" s="48"/>
      <c r="FT209" s="48"/>
      <c r="FU209" s="48"/>
      <c r="FV209" s="48"/>
      <c r="FW209" s="48"/>
      <c r="FX209" s="48"/>
      <c r="FY209" s="48"/>
      <c r="FZ209" s="94"/>
      <c r="GA209" s="48"/>
      <c r="GB209" s="48"/>
      <c r="GC209" s="49"/>
      <c r="GD209" s="49"/>
      <c r="GE209" s="49"/>
      <c r="GF209" s="49"/>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13"/>
      <c r="HG209" s="13"/>
      <c r="HH209" s="13"/>
    </row>
    <row r="210" spans="1:216" ht="16.95" customHeight="1">
      <c r="A210" s="1"/>
      <c r="B210" s="3"/>
      <c r="C210" s="3"/>
      <c r="D210" s="12" t="str">
        <f ca="1">IF(FO204=0,"","Die moet je nu zelf kunnen berekenen.")</f>
        <v/>
      </c>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26"/>
      <c r="FL210" s="26"/>
      <c r="FM210" s="48"/>
      <c r="FN210" s="48"/>
      <c r="FO210" s="48"/>
      <c r="FP210" s="48"/>
      <c r="FQ210" s="48"/>
      <c r="FR210" s="48"/>
      <c r="FS210" s="48"/>
      <c r="FT210" s="48"/>
      <c r="FU210" s="48"/>
      <c r="FV210" s="48"/>
      <c r="FW210" s="48"/>
      <c r="FX210" s="48"/>
      <c r="FY210" s="48"/>
      <c r="FZ210" s="94"/>
      <c r="GA210" s="48"/>
      <c r="GB210" s="48"/>
      <c r="GC210" s="49"/>
      <c r="GD210" s="49"/>
      <c r="GE210" s="49"/>
      <c r="GF210" s="49"/>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13"/>
      <c r="HG210" s="13"/>
      <c r="HH210" s="13"/>
    </row>
    <row r="211" spans="1:216" ht="9" customHeight="1">
      <c r="A211" s="1"/>
      <c r="B211" s="3"/>
      <c r="C211" s="3"/>
      <c r="D211" s="12"/>
      <c r="E211" s="10"/>
      <c r="F211" s="10"/>
      <c r="G211" s="10"/>
      <c r="H211" s="10"/>
      <c r="I211" s="10"/>
      <c r="J211" s="376"/>
      <c r="K211" s="376"/>
      <c r="L211" s="376"/>
      <c r="M211" s="376"/>
      <c r="N211" s="376"/>
      <c r="O211" s="376"/>
      <c r="P211" s="376"/>
      <c r="Q211" s="376"/>
      <c r="R211" s="376"/>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89"/>
      <c r="BV211" s="89"/>
      <c r="BW211" s="89"/>
      <c r="BX211" s="89"/>
      <c r="BY211" s="89"/>
      <c r="BZ211" s="89"/>
      <c r="CA211" s="89"/>
      <c r="CB211" s="89"/>
      <c r="CC211" s="89"/>
      <c r="CD211" s="89"/>
      <c r="CE211" s="89"/>
      <c r="CF211" s="89"/>
      <c r="CG211" s="89"/>
      <c r="CH211" s="89"/>
      <c r="CI211" s="89"/>
      <c r="CJ211" s="89"/>
      <c r="CK211" s="89"/>
      <c r="CL211" s="89"/>
      <c r="CM211" s="89"/>
      <c r="CN211" s="89"/>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376"/>
      <c r="ER211" s="376"/>
      <c r="ES211" s="376"/>
      <c r="ET211" s="376"/>
      <c r="EU211" s="376"/>
      <c r="EV211" s="376"/>
      <c r="EW211" s="376"/>
      <c r="EX211" s="376"/>
      <c r="EY211" s="376"/>
      <c r="EZ211" s="376"/>
      <c r="FA211" s="376"/>
      <c r="FB211" s="376"/>
      <c r="FC211" s="376"/>
      <c r="FD211" s="376"/>
      <c r="FE211" s="10"/>
      <c r="FF211" s="10"/>
      <c r="FG211" s="26"/>
      <c r="FH211" s="26"/>
      <c r="FI211" s="26"/>
      <c r="FJ211" s="26"/>
      <c r="FK211" s="26"/>
      <c r="FL211" s="26"/>
      <c r="FM211" s="48"/>
      <c r="FN211" s="48"/>
      <c r="FO211" s="48"/>
      <c r="FP211" s="48"/>
      <c r="FQ211" s="48"/>
      <c r="FR211" s="48"/>
      <c r="FS211" s="48"/>
      <c r="FT211" s="48"/>
      <c r="FU211" s="48"/>
      <c r="FV211" s="48"/>
      <c r="FW211" s="48"/>
      <c r="FX211" s="48"/>
      <c r="FY211" s="48"/>
      <c r="FZ211" s="94"/>
      <c r="GA211" s="48"/>
      <c r="GB211" s="48"/>
      <c r="GC211" s="49"/>
      <c r="GD211" s="49"/>
      <c r="GE211" s="49"/>
      <c r="GF211" s="49"/>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13"/>
      <c r="HG211" s="13"/>
      <c r="HH211" s="13"/>
    </row>
    <row r="212" spans="1:216" ht="3.75" customHeight="1">
      <c r="A212" s="1"/>
      <c r="B212" s="3"/>
      <c r="C212" s="3"/>
      <c r="D212" s="12"/>
      <c r="E212" s="10"/>
      <c r="F212" s="10"/>
      <c r="G212" s="10"/>
      <c r="H212" s="10"/>
      <c r="I212" s="10"/>
      <c r="J212" s="10"/>
      <c r="K212" s="10"/>
      <c r="L212" s="10"/>
      <c r="M212" s="10"/>
      <c r="N212" s="10"/>
      <c r="O212" s="10"/>
      <c r="P212" s="10"/>
      <c r="Q212" s="10"/>
      <c r="R212" s="10"/>
      <c r="S212" s="79"/>
      <c r="T212" s="79"/>
      <c r="U212" s="79"/>
      <c r="V212" s="79"/>
      <c r="W212" s="79"/>
      <c r="X212" s="79"/>
      <c r="Y212" s="79"/>
      <c r="Z212" s="79"/>
      <c r="AA212" s="79"/>
      <c r="AB212" s="79"/>
      <c r="AC212" s="79"/>
      <c r="AD212" s="79"/>
      <c r="AE212" s="79"/>
      <c r="AF212" s="79"/>
      <c r="AG212" s="79"/>
      <c r="AH212" s="79"/>
      <c r="AI212" s="79"/>
      <c r="AJ212" s="43"/>
      <c r="AK212" s="43"/>
      <c r="AL212" s="43"/>
      <c r="AM212" s="43"/>
      <c r="AN212" s="43"/>
      <c r="AO212" s="43"/>
      <c r="AP212" s="43"/>
      <c r="AQ212" s="43"/>
      <c r="AR212" s="43"/>
      <c r="AS212" s="43"/>
      <c r="AT212" s="43"/>
      <c r="AU212" s="43"/>
      <c r="AV212" s="43"/>
      <c r="AW212" s="43"/>
      <c r="AX212" s="538" t="str">
        <f ca="1">IF(FO204=0,"",".")</f>
        <v/>
      </c>
      <c r="AY212" s="545"/>
      <c r="AZ212" s="545"/>
      <c r="BA212" s="545"/>
      <c r="BB212" s="545"/>
      <c r="BC212" s="545"/>
      <c r="BD212" s="545"/>
      <c r="BE212" s="545"/>
      <c r="BF212" s="545"/>
      <c r="BG212" s="545"/>
      <c r="BH212" s="545"/>
      <c r="BI212" s="545"/>
      <c r="BJ212" s="545"/>
      <c r="BK212" s="545"/>
      <c r="BL212" s="545"/>
      <c r="BM212" s="545"/>
      <c r="BN212" s="545"/>
      <c r="BO212" s="545"/>
      <c r="BP212" s="196"/>
      <c r="BQ212" s="196"/>
      <c r="BR212" s="196"/>
      <c r="BS212" s="196"/>
      <c r="BT212" s="196"/>
      <c r="BU212" s="196"/>
      <c r="BV212" s="196"/>
      <c r="BW212" s="196"/>
      <c r="BX212" s="196"/>
      <c r="BY212" s="196"/>
      <c r="BZ212" s="196"/>
      <c r="CA212" s="196"/>
      <c r="CB212" s="196"/>
      <c r="CC212" s="196"/>
      <c r="CD212" s="196"/>
      <c r="CE212" s="196"/>
      <c r="CF212" s="196"/>
      <c r="CG212" s="196"/>
      <c r="CH212" s="196"/>
      <c r="CI212" s="196"/>
      <c r="CJ212" s="196"/>
      <c r="CK212" s="196"/>
      <c r="CL212" s="196"/>
      <c r="CM212" s="196"/>
      <c r="CN212" s="196"/>
      <c r="CO212" s="196"/>
      <c r="CP212" s="196"/>
      <c r="CQ212" s="196"/>
      <c r="CR212" s="196"/>
      <c r="CS212" s="196"/>
      <c r="CT212" s="196"/>
      <c r="CU212" s="196"/>
      <c r="CV212" s="196"/>
      <c r="CW212" s="196"/>
      <c r="CX212" s="196"/>
      <c r="CY212" s="196"/>
      <c r="CZ212" s="79"/>
      <c r="DA212" s="79"/>
      <c r="DB212" s="79"/>
      <c r="DC212" s="79"/>
      <c r="DD212" s="79"/>
      <c r="DE212" s="79"/>
      <c r="DF212" s="79"/>
      <c r="DG212" s="79"/>
      <c r="DH212" s="79"/>
      <c r="DI212" s="79"/>
      <c r="DJ212" s="79"/>
      <c r="DK212" s="79"/>
      <c r="DL212" s="79"/>
      <c r="DM212" s="79"/>
      <c r="DN212" s="79"/>
      <c r="DO212" s="79"/>
      <c r="DP212" s="79"/>
      <c r="DQ212" s="79"/>
      <c r="DR212" s="79"/>
      <c r="DS212" s="79"/>
      <c r="DT212" s="79"/>
      <c r="DU212" s="79"/>
      <c r="DV212" s="79"/>
      <c r="DW212" s="79"/>
      <c r="DX212" s="79"/>
      <c r="DY212" s="79"/>
      <c r="DZ212" s="79"/>
      <c r="EA212" s="79"/>
      <c r="EB212" s="79"/>
      <c r="EC212" s="79"/>
      <c r="ED212" s="79"/>
      <c r="EE212" s="79"/>
      <c r="EF212" s="79"/>
      <c r="EG212" s="79"/>
      <c r="EH212" s="79"/>
      <c r="EI212" s="79"/>
      <c r="EJ212" s="79"/>
      <c r="EK212" s="79"/>
      <c r="EL212" s="79"/>
      <c r="EM212" s="79"/>
      <c r="EN212" s="79"/>
      <c r="EO212" s="79"/>
      <c r="EP212" s="79"/>
      <c r="EQ212" s="10"/>
      <c r="ER212" s="10"/>
      <c r="ES212" s="10"/>
      <c r="ET212" s="10"/>
      <c r="EU212" s="10"/>
      <c r="EV212" s="10"/>
      <c r="EW212" s="10"/>
      <c r="EX212" s="10"/>
      <c r="EY212" s="10"/>
      <c r="EZ212" s="10"/>
      <c r="FA212" s="10"/>
      <c r="FB212" s="10"/>
      <c r="FC212" s="10"/>
      <c r="FD212" s="10"/>
      <c r="FE212" s="10"/>
      <c r="FF212" s="10"/>
      <c r="FG212" s="10"/>
      <c r="FH212" s="10"/>
      <c r="FI212" s="10"/>
      <c r="FJ212" s="10"/>
      <c r="FK212" s="26"/>
      <c r="FL212" s="26"/>
      <c r="FM212" s="48"/>
      <c r="FN212" s="48"/>
      <c r="FO212" s="48"/>
      <c r="FP212" s="48"/>
      <c r="FQ212" s="48"/>
      <c r="FR212" s="48"/>
      <c r="FS212" s="48"/>
      <c r="FT212" s="48"/>
      <c r="FU212" s="48"/>
      <c r="FV212" s="48"/>
      <c r="FW212" s="48"/>
      <c r="FX212" s="48"/>
      <c r="FY212" s="48"/>
      <c r="FZ212" s="94"/>
      <c r="GA212" s="48"/>
      <c r="GB212" s="48"/>
      <c r="GC212" s="49"/>
      <c r="GD212" s="49"/>
      <c r="GE212" s="49"/>
      <c r="GF212" s="49"/>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13"/>
      <c r="HG212" s="13"/>
      <c r="HH212" s="13"/>
    </row>
    <row r="213" spans="1:216" ht="16.5" customHeight="1">
      <c r="A213" s="1"/>
      <c r="B213" s="476"/>
      <c r="C213" s="3"/>
      <c r="D213" s="38"/>
      <c r="E213" s="10"/>
      <c r="F213" s="10"/>
      <c r="G213" s="10"/>
      <c r="H213" s="10"/>
      <c r="I213" s="10"/>
      <c r="J213" s="10"/>
      <c r="K213" s="10"/>
      <c r="L213" s="10"/>
      <c r="M213" s="10"/>
      <c r="N213" s="10"/>
      <c r="O213" s="10"/>
      <c r="P213" s="10"/>
      <c r="Q213" s="10"/>
      <c r="R213" s="10"/>
      <c r="S213" s="79"/>
      <c r="T213" s="79"/>
      <c r="U213" s="79"/>
      <c r="V213" s="79"/>
      <c r="W213" s="79"/>
      <c r="X213" s="79"/>
      <c r="Y213" s="79"/>
      <c r="Z213" s="79"/>
      <c r="AA213" s="79"/>
      <c r="AB213" s="79"/>
      <c r="AC213" s="79"/>
      <c r="AD213" s="79"/>
      <c r="AE213" s="79"/>
      <c r="AF213" s="79"/>
      <c r="AG213" s="79"/>
      <c r="AH213" s="79"/>
      <c r="AI213" s="79"/>
      <c r="AJ213" s="43"/>
      <c r="AK213" s="43"/>
      <c r="AL213" s="43"/>
      <c r="AM213" s="43"/>
      <c r="AN213" s="43"/>
      <c r="AO213" s="43"/>
      <c r="AP213" s="43"/>
      <c r="AQ213" s="43"/>
      <c r="AR213" s="43"/>
      <c r="AS213" s="43"/>
      <c r="AT213" s="43"/>
      <c r="AU213" s="153" t="str">
        <f ca="1">IF(FO204=0,"","GVK = ")</f>
        <v/>
      </c>
      <c r="AV213" s="43"/>
      <c r="AW213" s="43"/>
      <c r="AX213" s="195" t="str">
        <f ca="1">IF(FO204=0,"",".")</f>
        <v/>
      </c>
      <c r="AY213" s="627"/>
      <c r="AZ213" s="619"/>
      <c r="BA213" s="619"/>
      <c r="BB213" s="619"/>
      <c r="BC213" s="619"/>
      <c r="BD213" s="619"/>
      <c r="BE213" s="619"/>
      <c r="BF213" s="619"/>
      <c r="BG213" s="619"/>
      <c r="BH213" s="619"/>
      <c r="BI213" s="619"/>
      <c r="BJ213" s="619"/>
      <c r="BK213" s="619"/>
      <c r="BL213" s="619"/>
      <c r="BM213" s="619"/>
      <c r="BN213" s="619"/>
      <c r="BO213" s="195" t="str">
        <f ca="1">IF(FO204=0,"",".")</f>
        <v/>
      </c>
      <c r="BP213" s="207" t="str">
        <f>IF(AY213="","",IF(AND(programma!$A$301="uitwerking",$B213="X"),FM213,IF(AY213=FN213,"Goed!","Fout! Je moet kijken hoeveel de TK stijgen als de hoeveelheid met 1 toeneemt.")))</f>
        <v/>
      </c>
      <c r="BQ213" s="196"/>
      <c r="BR213" s="196"/>
      <c r="BS213" s="196"/>
      <c r="BT213" s="196"/>
      <c r="BU213" s="196"/>
      <c r="BV213" s="196"/>
      <c r="BW213" s="196"/>
      <c r="BX213" s="196"/>
      <c r="BY213" s="196"/>
      <c r="BZ213" s="196"/>
      <c r="CA213" s="196"/>
      <c r="CB213" s="196"/>
      <c r="CC213" s="196"/>
      <c r="CD213" s="196"/>
      <c r="CE213" s="196"/>
      <c r="CF213" s="196"/>
      <c r="CG213" s="196"/>
      <c r="CH213" s="196"/>
      <c r="CI213" s="196"/>
      <c r="CJ213" s="196"/>
      <c r="CK213" s="196"/>
      <c r="CL213" s="196"/>
      <c r="CM213" s="196"/>
      <c r="CN213" s="196"/>
      <c r="CO213" s="196"/>
      <c r="CP213" s="196"/>
      <c r="CQ213" s="196"/>
      <c r="CR213" s="196"/>
      <c r="CS213" s="196"/>
      <c r="CT213" s="196"/>
      <c r="CU213" s="196"/>
      <c r="CV213" s="196"/>
      <c r="CW213" s="196"/>
      <c r="CX213" s="196"/>
      <c r="CY213" s="79"/>
      <c r="CZ213" s="79"/>
      <c r="DA213" s="79"/>
      <c r="DB213" s="79"/>
      <c r="DC213" s="79"/>
      <c r="DD213" s="79"/>
      <c r="DE213" s="79"/>
      <c r="DF213" s="79"/>
      <c r="DG213" s="79"/>
      <c r="DH213" s="79"/>
      <c r="DI213" s="79"/>
      <c r="DJ213" s="79"/>
      <c r="DK213" s="79"/>
      <c r="DL213" s="79"/>
      <c r="DM213" s="79"/>
      <c r="DN213" s="79"/>
      <c r="DO213" s="79"/>
      <c r="DP213" s="79"/>
      <c r="DQ213" s="79"/>
      <c r="DR213" s="79"/>
      <c r="DS213" s="79"/>
      <c r="DT213" s="79"/>
      <c r="DU213" s="79"/>
      <c r="DV213" s="79"/>
      <c r="DW213" s="79"/>
      <c r="DX213" s="79"/>
      <c r="DY213" s="79"/>
      <c r="DZ213" s="79"/>
      <c r="EA213" s="79"/>
      <c r="EB213" s="79"/>
      <c r="EC213" s="79"/>
      <c r="ED213" s="79"/>
      <c r="EE213" s="79"/>
      <c r="EF213" s="79"/>
      <c r="EG213" s="79"/>
      <c r="EH213" s="79"/>
      <c r="EI213" s="79"/>
      <c r="EJ213" s="79"/>
      <c r="EK213" s="79"/>
      <c r="EL213" s="79"/>
      <c r="EM213" s="79"/>
      <c r="EN213" s="79"/>
      <c r="EO213" s="79"/>
      <c r="EP213" s="79"/>
      <c r="EQ213" s="10"/>
      <c r="ER213" s="10"/>
      <c r="ES213" s="10"/>
      <c r="ET213" s="10"/>
      <c r="EU213" s="10"/>
      <c r="EV213" s="10"/>
      <c r="EW213" s="10"/>
      <c r="EX213" s="10"/>
      <c r="EY213" s="10"/>
      <c r="EZ213" s="10"/>
      <c r="FA213" s="10"/>
      <c r="FB213" s="10"/>
      <c r="FC213" s="10"/>
      <c r="FD213" s="10"/>
      <c r="FE213" s="10"/>
      <c r="FF213" s="10"/>
      <c r="FG213" s="10"/>
      <c r="FH213" s="10"/>
      <c r="FI213" s="10"/>
      <c r="FJ213" s="10"/>
      <c r="FK213" s="26"/>
      <c r="FL213" s="26"/>
      <c r="FM213" s="381" t="e">
        <f ca="1">"€ "&amp;GF177*GC185&amp;" / "&amp;GC185&amp;" = € "&amp;FN213</f>
        <v>#VALUE!</v>
      </c>
      <c r="FN213" s="381">
        <f ca="1">IF(FO1=0,"",GF177)</f>
        <v>120</v>
      </c>
      <c r="FO213" s="48">
        <f ca="1">IF(programma!B1="X",1,IF(FO204=0,0,IF(AY213="",0,IF(AND(AY213&gt;=GF177-0.0001,AY213&lt;=GF177+0.0001),1,0))))</f>
        <v>0</v>
      </c>
      <c r="FP213" s="48"/>
      <c r="FQ213" s="48"/>
      <c r="FR213" s="48"/>
      <c r="FS213" s="48"/>
      <c r="FT213" s="48"/>
      <c r="FU213" s="48"/>
      <c r="FV213" s="48"/>
      <c r="FW213" s="48"/>
      <c r="FX213" s="48"/>
      <c r="FY213" s="48"/>
      <c r="FZ213" s="94"/>
      <c r="GA213" s="48"/>
      <c r="GB213" s="48"/>
      <c r="GC213" s="49"/>
      <c r="GD213" s="49"/>
      <c r="GE213" s="49"/>
      <c r="GF213" s="49"/>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13"/>
      <c r="HG213" s="13"/>
      <c r="HH213" s="13"/>
    </row>
    <row r="214" spans="1:216" ht="3.75" customHeight="1">
      <c r="A214" s="1"/>
      <c r="B214" s="3"/>
      <c r="C214" s="3"/>
      <c r="D214" s="38"/>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26"/>
      <c r="AK214" s="126"/>
      <c r="AL214" s="126"/>
      <c r="AM214" s="126"/>
      <c r="AN214" s="126"/>
      <c r="AO214" s="126"/>
      <c r="AP214" s="126"/>
      <c r="AQ214" s="126"/>
      <c r="AR214" s="126"/>
      <c r="AS214" s="126"/>
      <c r="AT214" s="126"/>
      <c r="AU214" s="126"/>
      <c r="AV214" s="126"/>
      <c r="AW214" s="126"/>
      <c r="AX214" s="538" t="str">
        <f ca="1">IF(FO204=0,"",".")</f>
        <v/>
      </c>
      <c r="AY214" s="545"/>
      <c r="AZ214" s="545"/>
      <c r="BA214" s="545"/>
      <c r="BB214" s="545"/>
      <c r="BC214" s="545"/>
      <c r="BD214" s="545"/>
      <c r="BE214" s="545"/>
      <c r="BF214" s="545"/>
      <c r="BG214" s="545"/>
      <c r="BH214" s="545"/>
      <c r="BI214" s="545"/>
      <c r="BJ214" s="545"/>
      <c r="BK214" s="545"/>
      <c r="BL214" s="545"/>
      <c r="BM214" s="545"/>
      <c r="BN214" s="545"/>
      <c r="BO214" s="545"/>
      <c r="BP214" s="196"/>
      <c r="BQ214" s="196"/>
      <c r="BR214" s="196"/>
      <c r="BS214" s="196"/>
      <c r="BT214" s="196"/>
      <c r="BU214" s="196"/>
      <c r="BV214" s="196"/>
      <c r="BW214" s="196"/>
      <c r="BX214" s="196"/>
      <c r="BY214" s="196"/>
      <c r="BZ214" s="196"/>
      <c r="CA214" s="196"/>
      <c r="CB214" s="196"/>
      <c r="CC214" s="196"/>
      <c r="CD214" s="196"/>
      <c r="CE214" s="196"/>
      <c r="CF214" s="196"/>
      <c r="CG214" s="196"/>
      <c r="CH214" s="196"/>
      <c r="CI214" s="196"/>
      <c r="CJ214" s="196"/>
      <c r="CK214" s="196"/>
      <c r="CL214" s="196"/>
      <c r="CM214" s="196"/>
      <c r="CN214" s="196"/>
      <c r="CO214" s="196"/>
      <c r="CP214" s="196"/>
      <c r="CQ214" s="196"/>
      <c r="CR214" s="196"/>
      <c r="CS214" s="196"/>
      <c r="CT214" s="196"/>
      <c r="CU214" s="196"/>
      <c r="CV214" s="196"/>
      <c r="CW214" s="196"/>
      <c r="CX214" s="196"/>
      <c r="CY214" s="196"/>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26"/>
      <c r="FL214" s="26"/>
      <c r="FM214" s="48"/>
      <c r="FN214" s="48"/>
      <c r="FO214" s="48"/>
      <c r="FP214" s="48"/>
      <c r="FQ214" s="48"/>
      <c r="FR214" s="48"/>
      <c r="FS214" s="48"/>
      <c r="FT214" s="48"/>
      <c r="FU214" s="48"/>
      <c r="FV214" s="48"/>
      <c r="FW214" s="48"/>
      <c r="FX214" s="48"/>
      <c r="FY214" s="48"/>
      <c r="FZ214" s="94"/>
      <c r="GA214" s="48"/>
      <c r="GB214" s="48"/>
      <c r="GC214" s="49"/>
      <c r="GD214" s="49"/>
      <c r="GE214" s="49"/>
      <c r="GF214" s="49"/>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13"/>
      <c r="HG214" s="13"/>
      <c r="HH214" s="13"/>
    </row>
    <row r="215" spans="1:216" ht="11.4" customHeight="1">
      <c r="A215" s="1"/>
      <c r="B215" s="3"/>
      <c r="C215" s="3"/>
      <c r="D215" s="373"/>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376"/>
      <c r="AK215" s="376"/>
      <c r="AL215" s="376"/>
      <c r="AM215" s="376"/>
      <c r="AN215" s="376"/>
      <c r="AO215" s="376"/>
      <c r="AP215" s="376"/>
      <c r="AQ215" s="376"/>
      <c r="AR215" s="376"/>
      <c r="AS215" s="376"/>
      <c r="AT215" s="376"/>
      <c r="AU215" s="376"/>
      <c r="AV215" s="376"/>
      <c r="AW215" s="376"/>
      <c r="AX215" s="368"/>
      <c r="AY215" s="367"/>
      <c r="AZ215" s="367"/>
      <c r="BA215" s="367"/>
      <c r="BB215" s="367"/>
      <c r="BC215" s="367"/>
      <c r="BD215" s="367"/>
      <c r="BE215" s="367"/>
      <c r="BF215" s="367"/>
      <c r="BG215" s="367"/>
      <c r="BH215" s="367"/>
      <c r="BI215" s="367"/>
      <c r="BJ215" s="367"/>
      <c r="BK215" s="367"/>
      <c r="BL215" s="367"/>
      <c r="BM215" s="367"/>
      <c r="BN215" s="367"/>
      <c r="BO215" s="367"/>
      <c r="BP215" s="370"/>
      <c r="BQ215" s="370"/>
      <c r="BR215" s="370"/>
      <c r="BS215" s="370"/>
      <c r="BT215" s="370"/>
      <c r="BU215" s="370"/>
      <c r="BV215" s="370"/>
      <c r="BW215" s="370"/>
      <c r="BX215" s="370"/>
      <c r="BY215" s="370"/>
      <c r="BZ215" s="370"/>
      <c r="CA215" s="370"/>
      <c r="CB215" s="370"/>
      <c r="CC215" s="370"/>
      <c r="CD215" s="370"/>
      <c r="CE215" s="370"/>
      <c r="CF215" s="370"/>
      <c r="CG215" s="370"/>
      <c r="CH215" s="370"/>
      <c r="CI215" s="370"/>
      <c r="CJ215" s="370"/>
      <c r="CK215" s="370"/>
      <c r="CL215" s="370"/>
      <c r="CM215" s="370"/>
      <c r="CN215" s="370"/>
      <c r="CO215" s="370"/>
      <c r="CP215" s="370"/>
      <c r="CQ215" s="370"/>
      <c r="CR215" s="370"/>
      <c r="CS215" s="370"/>
      <c r="CT215" s="370"/>
      <c r="CU215" s="370"/>
      <c r="CV215" s="370"/>
      <c r="CW215" s="370"/>
      <c r="CX215" s="370"/>
      <c r="CY215" s="37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26"/>
      <c r="FL215" s="26"/>
      <c r="FM215" s="48"/>
      <c r="FN215" s="48"/>
      <c r="FO215" s="48"/>
      <c r="FP215" s="48"/>
      <c r="FQ215" s="48"/>
      <c r="FR215" s="48"/>
      <c r="FS215" s="48"/>
      <c r="FT215" s="48"/>
      <c r="FU215" s="48"/>
      <c r="FV215" s="48"/>
      <c r="FW215" s="48"/>
      <c r="FX215" s="48"/>
      <c r="FY215" s="48"/>
      <c r="FZ215" s="94"/>
      <c r="GA215" s="48"/>
      <c r="GB215" s="48"/>
      <c r="GC215" s="49"/>
      <c r="GD215" s="49"/>
      <c r="GE215" s="49"/>
      <c r="GF215" s="49"/>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13"/>
      <c r="HG215" s="13"/>
      <c r="HH215" s="13"/>
    </row>
    <row r="216" spans="1:216" ht="16.5" customHeight="1">
      <c r="A216" s="1"/>
      <c r="B216" s="3"/>
      <c r="C216" s="3"/>
      <c r="D216" s="373" t="str">
        <f ca="1">IF(FO213=1,"De TK-functie luidt dus TK = "&amp;FN213&amp;"q + "&amp;FS204&amp;" (terwijl de TO-functie luidt","")</f>
        <v/>
      </c>
      <c r="E216" s="10"/>
      <c r="F216" s="10"/>
      <c r="G216" s="10"/>
      <c r="H216" s="10"/>
      <c r="I216" s="10"/>
      <c r="J216" s="10"/>
      <c r="K216" s="10"/>
      <c r="L216" s="10"/>
      <c r="M216" s="10"/>
      <c r="N216" s="10"/>
      <c r="O216" s="10"/>
      <c r="P216" s="10"/>
      <c r="Q216" s="10"/>
      <c r="R216" s="10"/>
      <c r="S216" s="79"/>
      <c r="T216" s="79"/>
      <c r="U216" s="79"/>
      <c r="V216" s="79"/>
      <c r="W216" s="79"/>
      <c r="X216" s="79"/>
      <c r="Y216" s="79"/>
      <c r="Z216" s="79"/>
      <c r="AA216" s="79"/>
      <c r="AB216" s="79"/>
      <c r="AC216" s="79"/>
      <c r="AD216" s="79"/>
      <c r="AE216" s="79"/>
      <c r="AF216" s="79"/>
      <c r="AG216" s="79"/>
      <c r="AH216" s="79"/>
      <c r="AI216" s="79"/>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141"/>
      <c r="BV216" s="141"/>
      <c r="BW216" s="141"/>
      <c r="BX216" s="141"/>
      <c r="BY216" s="141"/>
      <c r="BZ216" s="141"/>
      <c r="CA216" s="141"/>
      <c r="CB216" s="141"/>
      <c r="CC216" s="141"/>
      <c r="CD216" s="141"/>
      <c r="CE216" s="141"/>
      <c r="CF216" s="141"/>
      <c r="CG216" s="141"/>
      <c r="CH216" s="141"/>
      <c r="CI216" s="141"/>
      <c r="CJ216" s="141"/>
      <c r="CK216" s="141"/>
      <c r="CL216" s="141"/>
      <c r="CM216" s="141"/>
      <c r="CN216" s="141"/>
      <c r="CO216" s="141"/>
      <c r="CP216" s="141"/>
      <c r="CQ216" s="141"/>
      <c r="CR216" s="141"/>
      <c r="CS216" s="368"/>
      <c r="CT216" s="370"/>
      <c r="CU216" s="370"/>
      <c r="CV216" s="370"/>
      <c r="CW216" s="370"/>
      <c r="CX216" s="370"/>
      <c r="CY216" s="370"/>
      <c r="CZ216" s="370"/>
      <c r="DA216" s="370"/>
      <c r="DB216" s="370"/>
      <c r="DC216" s="370"/>
      <c r="DD216" s="370"/>
      <c r="DE216" s="370"/>
      <c r="DF216" s="370"/>
      <c r="DG216" s="370"/>
      <c r="DH216" s="370"/>
      <c r="DI216" s="370"/>
      <c r="DJ216" s="370"/>
      <c r="DK216" s="370"/>
      <c r="DL216" s="370"/>
      <c r="DM216" s="370"/>
      <c r="DN216" s="370"/>
      <c r="DO216" s="370"/>
      <c r="DP216" s="370"/>
      <c r="DQ216" s="370"/>
      <c r="DR216" s="370"/>
      <c r="DS216" s="370"/>
      <c r="DT216" s="370"/>
      <c r="DU216" s="370"/>
      <c r="DV216" s="370"/>
      <c r="DW216" s="370"/>
      <c r="DX216" s="370"/>
      <c r="DY216" s="370"/>
      <c r="DZ216" s="370"/>
      <c r="EA216" s="370"/>
      <c r="EB216" s="370"/>
      <c r="EC216" s="370"/>
      <c r="ED216" s="370"/>
      <c r="EE216" s="370"/>
      <c r="EF216" s="370"/>
      <c r="EG216" s="370"/>
      <c r="EH216" s="370"/>
      <c r="EI216" s="370"/>
      <c r="EJ216" s="370"/>
      <c r="EK216" s="370"/>
      <c r="EL216" s="370"/>
      <c r="EM216" s="370"/>
      <c r="EN216" s="370"/>
      <c r="EO216" s="370"/>
      <c r="EP216" s="370"/>
      <c r="EQ216" s="370"/>
      <c r="ER216" s="370"/>
      <c r="ES216" s="370"/>
      <c r="ET216" s="370"/>
      <c r="EU216" s="10"/>
      <c r="EV216" s="10"/>
      <c r="EW216" s="10"/>
      <c r="EX216" s="10"/>
      <c r="EY216" s="10"/>
      <c r="EZ216" s="10"/>
      <c r="FA216" s="10"/>
      <c r="FB216" s="10"/>
      <c r="FC216" s="10"/>
      <c r="FD216" s="10"/>
      <c r="FE216" s="10"/>
      <c r="FF216" s="10"/>
      <c r="FG216" s="10"/>
      <c r="FH216" s="10"/>
      <c r="FI216" s="10"/>
      <c r="FJ216" s="10"/>
      <c r="FK216" s="26"/>
      <c r="FL216" s="26"/>
      <c r="FM216" s="48"/>
      <c r="FN216" s="48"/>
      <c r="FO216" s="50"/>
      <c r="FP216" s="50"/>
      <c r="FQ216" s="48"/>
      <c r="FR216" s="48"/>
      <c r="FS216" s="48"/>
      <c r="FT216" s="48"/>
      <c r="FU216" s="48"/>
      <c r="FV216" s="48"/>
      <c r="FW216" s="48"/>
      <c r="FX216" s="48"/>
      <c r="FY216" s="48"/>
      <c r="FZ216" s="94"/>
      <c r="GA216" s="48"/>
      <c r="GB216" s="48"/>
      <c r="GC216" s="49"/>
      <c r="GD216" s="49"/>
      <c r="GE216" s="49"/>
      <c r="GF216" s="49"/>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13"/>
      <c r="HG216" s="13"/>
      <c r="HH216" s="13"/>
    </row>
    <row r="217" spans="1:216" ht="16.5" customHeight="1">
      <c r="A217" s="1"/>
      <c r="B217" s="3"/>
      <c r="C217" s="3"/>
      <c r="D217" s="373" t="str">
        <f ca="1">IF(FO213=1,"TO = "&amp;-GD177&amp;"q² + "&amp;+GE177&amp;"q).","")</f>
        <v/>
      </c>
      <c r="E217" s="10"/>
      <c r="F217" s="10"/>
      <c r="G217" s="10"/>
      <c r="H217" s="10"/>
      <c r="I217" s="10"/>
      <c r="J217" s="10"/>
      <c r="K217" s="10"/>
      <c r="L217" s="10"/>
      <c r="M217" s="10"/>
      <c r="N217" s="10"/>
      <c r="O217" s="10"/>
      <c r="P217" s="10"/>
      <c r="Q217" s="10"/>
      <c r="R217" s="10"/>
      <c r="S217" s="79"/>
      <c r="T217" s="79"/>
      <c r="U217" s="79"/>
      <c r="V217" s="79"/>
      <c r="W217" s="79"/>
      <c r="X217" s="79"/>
      <c r="Y217" s="79"/>
      <c r="Z217" s="79"/>
      <c r="AA217" s="79"/>
      <c r="AB217" s="79"/>
      <c r="AC217" s="79"/>
      <c r="AD217" s="79"/>
      <c r="AE217" s="79"/>
      <c r="AF217" s="79"/>
      <c r="AG217" s="79"/>
      <c r="AH217" s="79"/>
      <c r="AI217" s="79"/>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141"/>
      <c r="BV217" s="141"/>
      <c r="BW217" s="141"/>
      <c r="BX217" s="141"/>
      <c r="BY217" s="141"/>
      <c r="BZ217" s="141"/>
      <c r="CA217" s="141"/>
      <c r="CB217" s="141"/>
      <c r="CC217" s="141"/>
      <c r="CD217" s="141"/>
      <c r="CE217" s="141"/>
      <c r="CF217" s="141"/>
      <c r="CG217" s="141"/>
      <c r="CH217" s="141"/>
      <c r="CI217" s="141"/>
      <c r="CJ217" s="141"/>
      <c r="CK217" s="141"/>
      <c r="CL217" s="141"/>
      <c r="CM217" s="141"/>
      <c r="CN217" s="141"/>
      <c r="CO217" s="141"/>
      <c r="CP217" s="141"/>
      <c r="CQ217" s="141"/>
      <c r="CR217" s="141"/>
      <c r="CS217" s="368"/>
      <c r="CT217" s="370"/>
      <c r="CU217" s="370"/>
      <c r="CV217" s="370"/>
      <c r="CW217" s="370"/>
      <c r="CX217" s="370"/>
      <c r="CY217" s="370"/>
      <c r="CZ217" s="370"/>
      <c r="DA217" s="370"/>
      <c r="DB217" s="370"/>
      <c r="DC217" s="370"/>
      <c r="DD217" s="370"/>
      <c r="DE217" s="370"/>
      <c r="DF217" s="370"/>
      <c r="DG217" s="370"/>
      <c r="DH217" s="370"/>
      <c r="DI217" s="370"/>
      <c r="DJ217" s="370"/>
      <c r="DK217" s="370"/>
      <c r="DL217" s="370"/>
      <c r="DM217" s="370"/>
      <c r="DN217" s="370"/>
      <c r="DO217" s="370"/>
      <c r="DP217" s="370"/>
      <c r="DQ217" s="370"/>
      <c r="DR217" s="370"/>
      <c r="DS217" s="370"/>
      <c r="DT217" s="370"/>
      <c r="DU217" s="370"/>
      <c r="DV217" s="370"/>
      <c r="DW217" s="370"/>
      <c r="DX217" s="370"/>
      <c r="DY217" s="370"/>
      <c r="DZ217" s="370"/>
      <c r="EA217" s="370"/>
      <c r="EB217" s="370"/>
      <c r="EC217" s="370"/>
      <c r="ED217" s="370"/>
      <c r="EE217" s="370"/>
      <c r="EF217" s="370"/>
      <c r="EG217" s="370"/>
      <c r="EH217" s="370"/>
      <c r="EI217" s="370"/>
      <c r="EJ217" s="370"/>
      <c r="EK217" s="370"/>
      <c r="EL217" s="370"/>
      <c r="EM217" s="370"/>
      <c r="EN217" s="370"/>
      <c r="EO217" s="370"/>
      <c r="EP217" s="370"/>
      <c r="EQ217" s="370"/>
      <c r="ER217" s="370"/>
      <c r="ES217" s="370"/>
      <c r="ET217" s="370"/>
      <c r="EU217" s="10"/>
      <c r="EV217" s="10"/>
      <c r="EW217" s="10"/>
      <c r="EX217" s="10"/>
      <c r="EY217" s="10"/>
      <c r="EZ217" s="10"/>
      <c r="FA217" s="10"/>
      <c r="FB217" s="10"/>
      <c r="FC217" s="10"/>
      <c r="FD217" s="10"/>
      <c r="FE217" s="10"/>
      <c r="FF217" s="10"/>
      <c r="FG217" s="10"/>
      <c r="FH217" s="10"/>
      <c r="FI217" s="10"/>
      <c r="FJ217" s="10"/>
      <c r="FK217" s="26"/>
      <c r="FL217" s="26"/>
      <c r="FM217" s="48"/>
      <c r="FN217" s="48"/>
      <c r="FO217" s="50"/>
      <c r="FP217" s="50"/>
      <c r="FQ217" s="48"/>
      <c r="FR217" s="48"/>
      <c r="FS217" s="48"/>
      <c r="FT217" s="48"/>
      <c r="FU217" s="48"/>
      <c r="FV217" s="48"/>
      <c r="FW217" s="48"/>
      <c r="FX217" s="48"/>
      <c r="FY217" s="48"/>
      <c r="FZ217" s="94"/>
      <c r="GA217" s="48"/>
      <c r="GB217" s="48"/>
      <c r="GC217" s="49"/>
      <c r="GD217" s="49"/>
      <c r="GE217" s="49"/>
      <c r="GF217" s="49"/>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13"/>
      <c r="HG217" s="13"/>
      <c r="HH217" s="13"/>
    </row>
    <row r="218" spans="1:216" ht="16.5" customHeight="1">
      <c r="A218" s="1"/>
      <c r="B218" s="3"/>
      <c r="C218" s="3"/>
      <c r="D218" s="373"/>
      <c r="E218" s="10"/>
      <c r="F218" s="10"/>
      <c r="G218" s="10"/>
      <c r="H218" s="10"/>
      <c r="I218" s="10"/>
      <c r="J218" s="10"/>
      <c r="K218" s="10"/>
      <c r="L218" s="10"/>
      <c r="M218" s="10"/>
      <c r="N218" s="10"/>
      <c r="O218" s="10"/>
      <c r="P218" s="10"/>
      <c r="Q218" s="10"/>
      <c r="R218" s="10"/>
      <c r="S218" s="79"/>
      <c r="T218" s="79"/>
      <c r="U218" s="79"/>
      <c r="V218" s="79"/>
      <c r="W218" s="79"/>
      <c r="X218" s="79"/>
      <c r="Y218" s="79"/>
      <c r="Z218" s="79"/>
      <c r="AA218" s="79"/>
      <c r="AB218" s="79"/>
      <c r="AC218" s="79"/>
      <c r="AD218" s="79"/>
      <c r="AE218" s="79"/>
      <c r="AF218" s="79"/>
      <c r="AG218" s="79"/>
      <c r="AH218" s="79"/>
      <c r="AI218" s="79"/>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141"/>
      <c r="BV218" s="141"/>
      <c r="BW218" s="141"/>
      <c r="BX218" s="141"/>
      <c r="BY218" s="141"/>
      <c r="BZ218" s="141"/>
      <c r="CA218" s="141"/>
      <c r="CB218" s="141"/>
      <c r="CC218" s="141"/>
      <c r="CD218" s="141"/>
      <c r="CE218" s="141"/>
      <c r="CF218" s="141"/>
      <c r="CG218" s="141"/>
      <c r="CH218" s="141"/>
      <c r="CI218" s="141"/>
      <c r="CJ218" s="141"/>
      <c r="CK218" s="141"/>
      <c r="CL218" s="141"/>
      <c r="CM218" s="141"/>
      <c r="CN218" s="141"/>
      <c r="CO218" s="141"/>
      <c r="CP218" s="141"/>
      <c r="CQ218" s="141"/>
      <c r="CR218" s="141"/>
      <c r="CS218" s="368"/>
      <c r="CT218" s="370"/>
      <c r="CU218" s="370"/>
      <c r="CV218" s="370"/>
      <c r="CW218" s="370"/>
      <c r="CX218" s="370"/>
      <c r="CY218" s="370"/>
      <c r="CZ218" s="370"/>
      <c r="DA218" s="370"/>
      <c r="DB218" s="370"/>
      <c r="DC218" s="370"/>
      <c r="DD218" s="370"/>
      <c r="DE218" s="370"/>
      <c r="DF218" s="370"/>
      <c r="DG218" s="370"/>
      <c r="DH218" s="370"/>
      <c r="DI218" s="370"/>
      <c r="DJ218" s="370"/>
      <c r="DK218" s="370"/>
      <c r="DL218" s="370"/>
      <c r="DM218" s="370"/>
      <c r="DN218" s="370"/>
      <c r="DO218" s="370"/>
      <c r="DP218" s="370"/>
      <c r="DQ218" s="370"/>
      <c r="DR218" s="370"/>
      <c r="DS218" s="370"/>
      <c r="DT218" s="370"/>
      <c r="DU218" s="370"/>
      <c r="DV218" s="370"/>
      <c r="DW218" s="370"/>
      <c r="DX218" s="370"/>
      <c r="DY218" s="370"/>
      <c r="DZ218" s="370"/>
      <c r="EA218" s="370"/>
      <c r="EB218" s="370"/>
      <c r="EC218" s="370"/>
      <c r="ED218" s="370"/>
      <c r="EE218" s="370"/>
      <c r="EF218" s="370"/>
      <c r="EG218" s="370"/>
      <c r="EH218" s="370"/>
      <c r="EI218" s="370"/>
      <c r="EJ218" s="370"/>
      <c r="EK218" s="370"/>
      <c r="EL218" s="370"/>
      <c r="EM218" s="370"/>
      <c r="EN218" s="370"/>
      <c r="EO218" s="370"/>
      <c r="EP218" s="370"/>
      <c r="EQ218" s="370"/>
      <c r="ER218" s="370"/>
      <c r="ES218" s="370"/>
      <c r="ET218" s="370"/>
      <c r="EU218" s="10"/>
      <c r="EV218" s="10"/>
      <c r="EW218" s="10"/>
      <c r="EX218" s="10"/>
      <c r="EY218" s="10"/>
      <c r="EZ218" s="10"/>
      <c r="FA218" s="10"/>
      <c r="FB218" s="10"/>
      <c r="FC218" s="10"/>
      <c r="FD218" s="10"/>
      <c r="FE218" s="10"/>
      <c r="FF218" s="10"/>
      <c r="FG218" s="10"/>
      <c r="FH218" s="10"/>
      <c r="FI218" s="10"/>
      <c r="FJ218" s="10"/>
      <c r="FK218" s="26"/>
      <c r="FL218" s="26"/>
      <c r="FM218" s="48"/>
      <c r="FN218" s="48"/>
      <c r="FO218" s="50"/>
      <c r="FP218" s="50"/>
      <c r="FQ218" s="48"/>
      <c r="FR218" s="48"/>
      <c r="FS218" s="48"/>
      <c r="FT218" s="48"/>
      <c r="FU218" s="48"/>
      <c r="FV218" s="48"/>
      <c r="FW218" s="48"/>
      <c r="FX218" s="48"/>
      <c r="FY218" s="48"/>
      <c r="FZ218" s="94"/>
      <c r="GA218" s="48"/>
      <c r="GB218" s="48"/>
      <c r="GC218" s="49"/>
      <c r="GD218" s="49"/>
      <c r="GE218" s="49"/>
      <c r="GF218" s="49"/>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13"/>
      <c r="HG218" s="13"/>
      <c r="HH218" s="13"/>
    </row>
    <row r="219" spans="1:216" ht="16.95" customHeight="1">
      <c r="A219" s="1"/>
      <c r="B219" s="3"/>
      <c r="C219" s="3"/>
      <c r="D219" s="12" t="str">
        <f ca="1">IF(FO213=1,"Kijk je naar de grafiek dan zie je dat er twee break-even-punten zijn. Het mag","")</f>
        <v/>
      </c>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26"/>
      <c r="FL219" s="26"/>
      <c r="FM219" s="48"/>
      <c r="FN219" s="48"/>
      <c r="FO219" s="48"/>
      <c r="FP219" s="48"/>
      <c r="FQ219" s="48"/>
      <c r="FR219" s="48"/>
      <c r="FS219" s="48"/>
      <c r="FT219" s="48"/>
      <c r="FU219" s="48"/>
      <c r="FV219" s="48"/>
      <c r="FW219" s="48"/>
      <c r="FX219" s="48"/>
      <c r="FY219" s="48"/>
      <c r="FZ219" s="48"/>
      <c r="GA219" s="48"/>
      <c r="GB219" s="48"/>
      <c r="GC219" s="49"/>
      <c r="GD219" s="49"/>
      <c r="GE219" s="49"/>
      <c r="GF219" s="49"/>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13"/>
      <c r="HG219" s="13"/>
      <c r="HH219" s="13"/>
    </row>
    <row r="220" spans="1:216" ht="16.95" customHeight="1">
      <c r="A220" s="1"/>
      <c r="B220" s="3"/>
      <c r="C220" s="3"/>
      <c r="D220" s="12" t="str">
        <f ca="1">IF(FO213=1,"duidelijk zijn dat ergens tussen deze twee punten in de winst maximaal is. De","")</f>
        <v/>
      </c>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26"/>
      <c r="FL220" s="26"/>
      <c r="FM220" s="48"/>
      <c r="FN220" s="48"/>
      <c r="FO220" s="48"/>
      <c r="FP220" s="48"/>
      <c r="FQ220" s="48"/>
      <c r="FR220" s="48"/>
      <c r="FS220" s="48"/>
      <c r="FT220" s="48"/>
      <c r="FU220" s="48"/>
      <c r="FV220" s="48"/>
      <c r="FW220" s="48"/>
      <c r="FX220" s="48"/>
      <c r="FY220" s="48"/>
      <c r="FZ220" s="48"/>
      <c r="GA220" s="48"/>
      <c r="GB220" s="48"/>
      <c r="GC220" s="49"/>
      <c r="GD220" s="49"/>
      <c r="GE220" s="49"/>
      <c r="GF220" s="49"/>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13"/>
      <c r="HG220" s="13"/>
      <c r="HH220" s="13"/>
    </row>
    <row r="221" spans="1:216" ht="16.95" customHeight="1">
      <c r="A221" s="1"/>
      <c r="B221" s="3"/>
      <c r="C221" s="3"/>
      <c r="D221" s="12" t="str">
        <f ca="1">IF(FO213=1,"vraag is waar?","")</f>
        <v/>
      </c>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26"/>
      <c r="FL221" s="26"/>
      <c r="FM221" s="48"/>
      <c r="FN221" s="48"/>
      <c r="FO221" s="48"/>
      <c r="FP221" s="48"/>
      <c r="FQ221" s="48"/>
      <c r="FR221" s="48"/>
      <c r="FS221" s="48"/>
      <c r="FT221" s="48"/>
      <c r="FU221" s="48"/>
      <c r="FV221" s="48"/>
      <c r="FW221" s="48"/>
      <c r="FX221" s="48"/>
      <c r="FY221" s="48"/>
      <c r="FZ221" s="48"/>
      <c r="GA221" s="48"/>
      <c r="GB221" s="48"/>
      <c r="GC221" s="49"/>
      <c r="GD221" s="49"/>
      <c r="GE221" s="49"/>
      <c r="GF221" s="49"/>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13"/>
      <c r="HG221" s="13"/>
      <c r="HH221" s="13"/>
    </row>
    <row r="222" spans="1:216" ht="16.95" customHeight="1">
      <c r="A222" s="1"/>
      <c r="B222" s="3"/>
      <c r="C222" s="3"/>
      <c r="D222" s="12"/>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26"/>
      <c r="FL222" s="26"/>
      <c r="FM222" s="47"/>
      <c r="FN222" s="47"/>
      <c r="FO222" s="47"/>
      <c r="FP222" s="47"/>
      <c r="FQ222" s="47"/>
      <c r="FR222" s="47"/>
      <c r="FS222" s="49"/>
      <c r="FT222" s="49"/>
      <c r="FU222" s="49"/>
      <c r="FV222" s="49"/>
      <c r="FW222" s="49"/>
      <c r="FX222" s="49"/>
      <c r="FY222" s="47"/>
      <c r="FZ222" s="47"/>
      <c r="GA222" s="49"/>
      <c r="GB222" s="49"/>
      <c r="GC222" s="49"/>
      <c r="GD222" s="49"/>
      <c r="GE222" s="49"/>
      <c r="GF222" s="49"/>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13"/>
      <c r="HG222" s="13"/>
      <c r="HH222" s="13"/>
    </row>
    <row r="223" spans="1:216" ht="16.95" customHeight="1">
      <c r="A223" s="1"/>
      <c r="B223" s="3"/>
      <c r="C223" s="3"/>
      <c r="D223" s="12" t="str">
        <f ca="1">IF(FO213=1,"Kijk je naar de richtingscoëfficiënt van de TO- en die van de TK-lijn bij","")</f>
        <v/>
      </c>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26"/>
      <c r="FL223" s="26"/>
      <c r="FM223" s="47"/>
      <c r="FN223" s="47"/>
      <c r="FO223" s="47"/>
      <c r="FP223" s="47"/>
      <c r="FQ223" s="47"/>
      <c r="FR223" s="47"/>
      <c r="FS223" s="49"/>
      <c r="FT223" s="49"/>
      <c r="FU223" s="49"/>
      <c r="FV223" s="49"/>
      <c r="FW223" s="49"/>
      <c r="FX223" s="49"/>
      <c r="FY223" s="47"/>
      <c r="FZ223" s="47"/>
      <c r="GA223" s="49"/>
      <c r="GB223" s="49"/>
      <c r="GC223" s="49"/>
      <c r="GD223" s="49"/>
      <c r="GE223" s="49"/>
      <c r="GF223" s="49"/>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13"/>
      <c r="HG223" s="13"/>
      <c r="HH223" s="13"/>
    </row>
    <row r="224" spans="1:216" ht="16.95" customHeight="1">
      <c r="A224" s="1"/>
      <c r="B224" s="3"/>
      <c r="C224" s="3"/>
      <c r="D224" s="12" t="str">
        <f ca="1">IF(FO213=1,"maximale omzet, dan zie je direct dat de maximale winst niet wordt bereikt","")</f>
        <v/>
      </c>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26"/>
      <c r="FL224" s="26"/>
      <c r="FM224" s="47"/>
      <c r="FN224" s="47"/>
      <c r="FO224" s="47"/>
      <c r="FP224" s="47"/>
      <c r="FQ224" s="47"/>
      <c r="FR224" s="47"/>
      <c r="FS224" s="49"/>
      <c r="FT224" s="49"/>
      <c r="FU224" s="49"/>
      <c r="FV224" s="49"/>
      <c r="FW224" s="49"/>
      <c r="FX224" s="49"/>
      <c r="FY224" s="47"/>
      <c r="FZ224" s="47"/>
      <c r="GA224" s="49"/>
      <c r="GB224" s="49"/>
      <c r="GC224" s="49"/>
      <c r="GD224" s="49"/>
      <c r="GE224" s="49"/>
      <c r="GF224" s="49"/>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13"/>
      <c r="HG224" s="13"/>
      <c r="HH224" s="13"/>
    </row>
    <row r="225" spans="1:216" ht="16.95" customHeight="1">
      <c r="A225" s="1"/>
      <c r="B225" s="3"/>
      <c r="C225" s="3"/>
      <c r="D225" s="12" t="str">
        <f ca="1">IF(FO213=1,"bij de hoeveelheid waarbij sprake is van maximale omzet. De marginale","")</f>
        <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26"/>
      <c r="FL225" s="26"/>
      <c r="FM225" s="47"/>
      <c r="FN225" s="47"/>
      <c r="FO225" s="47"/>
      <c r="FP225" s="47"/>
      <c r="FQ225" s="47"/>
      <c r="FR225" s="47"/>
      <c r="FS225" s="49"/>
      <c r="FT225" s="49"/>
      <c r="FU225" s="49"/>
      <c r="FV225" s="49"/>
      <c r="FW225" s="49"/>
      <c r="FX225" s="49"/>
      <c r="FY225" s="47"/>
      <c r="FZ225" s="47"/>
      <c r="GA225" s="49"/>
      <c r="GB225" s="49"/>
      <c r="GC225" s="49"/>
      <c r="GD225" s="49"/>
      <c r="GE225" s="49"/>
      <c r="GF225" s="49"/>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13"/>
      <c r="HG225" s="13"/>
      <c r="HH225" s="13"/>
    </row>
    <row r="226" spans="1:216" ht="16.95" customHeight="1">
      <c r="A226" s="1"/>
      <c r="B226" s="3"/>
      <c r="C226" s="3"/>
      <c r="D226" s="12" t="str">
        <f ca="1">IF(FO213=1,"opbrengst is bij deze hoeveelheid namelijk nul, terwijl de marginale","")</f>
        <v/>
      </c>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26"/>
      <c r="FL226" s="26"/>
      <c r="FM226" s="47"/>
      <c r="FN226" s="47"/>
      <c r="FO226" s="47"/>
      <c r="FP226" s="47"/>
      <c r="FQ226" s="47"/>
      <c r="FR226" s="47"/>
      <c r="FS226" s="49"/>
      <c r="FT226" s="49"/>
      <c r="FU226" s="49"/>
      <c r="FV226" s="49"/>
      <c r="FW226" s="49"/>
      <c r="FX226" s="49"/>
      <c r="FY226" s="47"/>
      <c r="FZ226" s="47"/>
      <c r="GA226" s="49"/>
      <c r="GB226" s="49"/>
      <c r="GC226" s="49"/>
      <c r="GD226" s="49"/>
      <c r="GE226" s="49"/>
      <c r="GF226" s="49"/>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13"/>
      <c r="HG226" s="13"/>
      <c r="HH226" s="13"/>
    </row>
    <row r="227" spans="1:216" ht="16.95" customHeight="1">
      <c r="A227" s="1"/>
      <c r="B227" s="3"/>
      <c r="C227" s="3"/>
      <c r="D227" s="12" t="str">
        <f ca="1">IF(FO213=1,"kosten stijgen. Dat betekent dat de totale winst bij deze hoeveelheid al aan","")</f>
        <v/>
      </c>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26"/>
      <c r="FL227" s="26"/>
      <c r="FM227" s="47"/>
      <c r="FN227" s="47"/>
      <c r="FO227" s="47"/>
      <c r="FP227" s="47"/>
      <c r="FQ227" s="47"/>
      <c r="FR227" s="47"/>
      <c r="FS227" s="49"/>
      <c r="FT227" s="49"/>
      <c r="FU227" s="49"/>
      <c r="FV227" s="49"/>
      <c r="FW227" s="49"/>
      <c r="FX227" s="49"/>
      <c r="FY227" s="47"/>
      <c r="FZ227" s="47"/>
      <c r="GA227" s="49"/>
      <c r="GB227" s="49"/>
      <c r="GC227" s="49"/>
      <c r="GD227" s="49"/>
      <c r="GE227" s="49"/>
      <c r="GF227" s="49"/>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13"/>
      <c r="HG227" s="13"/>
      <c r="HH227" s="13"/>
    </row>
    <row r="228" spans="1:216" ht="16.95" customHeight="1">
      <c r="A228" s="1"/>
      <c r="B228" s="3"/>
      <c r="C228" s="3"/>
      <c r="D228" s="12" t="str">
        <f ca="1">IF(FO213=1,"het dalen is. De volgende tekeningen laten dat zien. De blauwe lijn geeft","")</f>
        <v/>
      </c>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26"/>
      <c r="FL228" s="26"/>
      <c r="FM228" s="47"/>
      <c r="FN228" s="47"/>
      <c r="FO228" s="47"/>
      <c r="FP228" s="47"/>
      <c r="FQ228" s="47"/>
      <c r="FR228" s="47"/>
      <c r="FS228" s="49"/>
      <c r="FT228" s="49"/>
      <c r="FU228" s="49"/>
      <c r="FV228" s="49"/>
      <c r="FW228" s="49"/>
      <c r="FX228" s="49"/>
      <c r="FY228" s="47"/>
      <c r="FZ228" s="47"/>
      <c r="GA228" s="49"/>
      <c r="GB228" s="49"/>
      <c r="GC228" s="49"/>
      <c r="GD228" s="49"/>
      <c r="GE228" s="49"/>
      <c r="GF228" s="49"/>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13"/>
      <c r="HG228" s="13"/>
      <c r="HH228" s="13"/>
    </row>
    <row r="229" spans="1:216" ht="16.95" customHeight="1">
      <c r="A229" s="1"/>
      <c r="B229" s="3"/>
      <c r="C229" s="3"/>
      <c r="D229" s="12" t="str">
        <f ca="1">IF(FO213=1,"ruwweg het verloop van TO aan en de rode die van TK. De groene pijlen","")</f>
        <v/>
      </c>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26"/>
      <c r="FL229" s="26"/>
      <c r="FM229" s="47"/>
      <c r="FN229" s="47"/>
      <c r="FO229" s="47"/>
      <c r="FP229" s="47"/>
      <c r="FQ229" s="47"/>
      <c r="FR229" s="47"/>
      <c r="FS229" s="49"/>
      <c r="FT229" s="49"/>
      <c r="FU229" s="49"/>
      <c r="FV229" s="49"/>
      <c r="FW229" s="49"/>
      <c r="FX229" s="49"/>
      <c r="FY229" s="47"/>
      <c r="FZ229" s="47"/>
      <c r="GA229" s="49"/>
      <c r="GB229" s="49"/>
      <c r="GC229" s="49"/>
      <c r="GD229" s="49"/>
      <c r="GE229" s="49"/>
      <c r="GF229" s="49"/>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13"/>
      <c r="HG229" s="13"/>
      <c r="HH229" s="13"/>
    </row>
    <row r="230" spans="1:216" ht="16.95" customHeight="1">
      <c r="A230" s="1"/>
      <c r="B230" s="3"/>
      <c r="C230" s="3"/>
      <c r="D230" s="12" t="str">
        <f ca="1">IF(FO213=1,"geven aan hoe je de omvang van de totale winst moet meten.","")</f>
        <v/>
      </c>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26"/>
      <c r="FL230" s="26"/>
      <c r="FM230" s="47"/>
      <c r="FN230" s="47"/>
      <c r="FO230" s="47"/>
      <c r="FP230" s="47"/>
      <c r="FQ230" s="47"/>
      <c r="FR230" s="47"/>
      <c r="FS230" s="49"/>
      <c r="FT230" s="49"/>
      <c r="FU230" s="49"/>
      <c r="FV230" s="49"/>
      <c r="FW230" s="49"/>
      <c r="FX230" s="49"/>
      <c r="FY230" s="47"/>
      <c r="FZ230" s="47"/>
      <c r="GA230" s="49"/>
      <c r="GB230" s="49"/>
      <c r="GC230" s="49"/>
      <c r="GD230" s="49"/>
      <c r="GE230" s="49"/>
      <c r="GF230" s="49"/>
      <c r="GG230" s="48"/>
      <c r="GH230" s="48"/>
      <c r="GI230" s="48"/>
      <c r="GJ230" s="48"/>
      <c r="GK230" s="48"/>
      <c r="GL230" s="48"/>
      <c r="GM230" s="48"/>
      <c r="GN230" s="48"/>
      <c r="GO230" s="48"/>
      <c r="GP230" s="48"/>
      <c r="GQ230" s="48"/>
      <c r="GR230" s="48"/>
      <c r="GS230" s="48"/>
      <c r="GT230" s="48"/>
      <c r="GU230" s="48"/>
      <c r="GV230" s="48"/>
      <c r="GW230" s="48"/>
      <c r="GX230" s="48"/>
      <c r="GY230" s="48"/>
      <c r="GZ230" s="48"/>
      <c r="HA230" s="48"/>
      <c r="HB230" s="48"/>
      <c r="HC230" s="48"/>
      <c r="HD230" s="48"/>
      <c r="HE230" s="48"/>
      <c r="HF230" s="13"/>
      <c r="HG230" s="13"/>
      <c r="HH230" s="13"/>
    </row>
    <row r="231" spans="1:216" ht="16.5" customHeight="1">
      <c r="A231" s="1"/>
      <c r="B231" s="3"/>
      <c r="C231" s="3"/>
      <c r="D231" s="38"/>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26"/>
      <c r="FL231" s="26"/>
      <c r="FM231" s="47"/>
      <c r="FN231" s="47"/>
      <c r="FO231" s="47"/>
      <c r="FP231" s="47"/>
      <c r="FQ231" s="47"/>
      <c r="FR231" s="79"/>
      <c r="FS231" s="79"/>
      <c r="FT231" s="79"/>
      <c r="FU231" s="79"/>
      <c r="FV231" s="79"/>
      <c r="FW231" s="49"/>
      <c r="FX231" s="49"/>
      <c r="FY231" s="47"/>
      <c r="FZ231" s="103"/>
      <c r="GA231" s="49"/>
      <c r="GB231" s="49"/>
      <c r="GC231" s="49"/>
      <c r="GD231" s="49"/>
      <c r="GE231" s="49"/>
      <c r="GF231" s="49"/>
      <c r="GG231" s="48"/>
      <c r="GH231" s="48"/>
      <c r="GI231" s="48"/>
      <c r="GJ231" s="48"/>
      <c r="GK231" s="48"/>
      <c r="GL231" s="48"/>
      <c r="GM231" s="48"/>
      <c r="GN231" s="48"/>
      <c r="GO231" s="48"/>
      <c r="GP231" s="48"/>
      <c r="GQ231" s="48"/>
      <c r="GR231" s="48"/>
      <c r="GS231" s="48"/>
      <c r="GT231" s="48"/>
      <c r="GU231" s="48"/>
      <c r="GV231" s="48"/>
      <c r="GW231" s="48"/>
      <c r="GX231" s="48"/>
      <c r="GY231" s="48"/>
      <c r="GZ231" s="48"/>
      <c r="HA231" s="48"/>
      <c r="HB231" s="48"/>
      <c r="HC231" s="48"/>
      <c r="HD231" s="48"/>
      <c r="HE231" s="48"/>
      <c r="HF231" s="13"/>
      <c r="HG231" s="13"/>
      <c r="HH231" s="13"/>
    </row>
    <row r="232" spans="1:216" ht="16.5" customHeight="1">
      <c r="A232" s="1"/>
      <c r="B232" s="3"/>
      <c r="C232" s="3"/>
      <c r="D232" s="38"/>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26"/>
      <c r="FL232" s="26"/>
      <c r="FM232" s="47"/>
      <c r="FN232" s="47"/>
      <c r="FO232" s="47"/>
      <c r="FP232" s="47"/>
      <c r="FQ232" s="47"/>
      <c r="FR232" s="79"/>
      <c r="FS232" s="79"/>
      <c r="FT232" s="79"/>
      <c r="FU232" s="79"/>
      <c r="FV232" s="79"/>
      <c r="FW232" s="49"/>
      <c r="FX232" s="49"/>
      <c r="FY232" s="47"/>
      <c r="FZ232" s="103"/>
      <c r="GA232" s="49"/>
      <c r="GB232" s="49"/>
      <c r="GC232" s="49"/>
      <c r="GD232" s="49"/>
      <c r="GE232" s="49"/>
      <c r="GF232" s="49"/>
      <c r="GG232" s="48"/>
      <c r="GH232" s="48"/>
      <c r="GI232" s="48"/>
      <c r="GJ232" s="48"/>
      <c r="GK232" s="48"/>
      <c r="GL232" s="48"/>
      <c r="GM232" s="48"/>
      <c r="GN232" s="48"/>
      <c r="GO232" s="48"/>
      <c r="GP232" s="48"/>
      <c r="GQ232" s="48"/>
      <c r="GR232" s="48"/>
      <c r="GS232" s="48"/>
      <c r="GT232" s="48"/>
      <c r="GU232" s="48"/>
      <c r="GV232" s="48"/>
      <c r="GW232" s="48"/>
      <c r="GX232" s="48"/>
      <c r="GY232" s="48"/>
      <c r="GZ232" s="48"/>
      <c r="HA232" s="48"/>
      <c r="HB232" s="48"/>
      <c r="HC232" s="48"/>
      <c r="HD232" s="48"/>
      <c r="HE232" s="48"/>
      <c r="HF232" s="13"/>
      <c r="HG232" s="13"/>
      <c r="HH232" s="13"/>
    </row>
    <row r="233" spans="1:216" ht="16.5" customHeight="1">
      <c r="A233" s="1"/>
      <c r="B233" s="3"/>
      <c r="C233" s="3"/>
      <c r="D233" s="38"/>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26"/>
      <c r="FL233" s="26"/>
      <c r="FM233" s="47"/>
      <c r="FN233" s="47"/>
      <c r="FO233" s="47"/>
      <c r="FP233" s="47"/>
      <c r="FQ233" s="47"/>
      <c r="FR233" s="79"/>
      <c r="FS233" s="79"/>
      <c r="FT233" s="79"/>
      <c r="FU233" s="79"/>
      <c r="FV233" s="79"/>
      <c r="FW233" s="49"/>
      <c r="FX233" s="49"/>
      <c r="FY233" s="47"/>
      <c r="FZ233" s="103"/>
      <c r="GA233" s="49"/>
      <c r="GB233" s="49"/>
      <c r="GC233" s="49"/>
      <c r="GD233" s="49"/>
      <c r="GE233" s="49"/>
      <c r="GF233" s="49"/>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13"/>
      <c r="HG233" s="13"/>
      <c r="HH233" s="13"/>
    </row>
    <row r="234" spans="1:216" ht="16.5" customHeight="1">
      <c r="A234" s="1"/>
      <c r="B234" s="3"/>
      <c r="C234" s="3"/>
      <c r="D234" s="38"/>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26"/>
      <c r="FL234" s="26"/>
      <c r="FM234" s="47"/>
      <c r="FN234" s="47"/>
      <c r="FO234" s="47"/>
      <c r="FP234" s="47"/>
      <c r="FQ234" s="47"/>
      <c r="FR234" s="79"/>
      <c r="FS234" s="79"/>
      <c r="FT234" s="79"/>
      <c r="FU234" s="79"/>
      <c r="FV234" s="79"/>
      <c r="FW234" s="49"/>
      <c r="FX234" s="49"/>
      <c r="FY234" s="47"/>
      <c r="FZ234" s="103"/>
      <c r="GA234" s="49"/>
      <c r="GB234" s="49"/>
      <c r="GC234" s="49"/>
      <c r="GD234" s="49"/>
      <c r="GE234" s="49"/>
      <c r="GF234" s="49"/>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13"/>
      <c r="HG234" s="13"/>
      <c r="HH234" s="13"/>
    </row>
    <row r="235" spans="1:216" ht="16.5" customHeight="1">
      <c r="A235" s="1"/>
      <c r="B235" s="3"/>
      <c r="C235" s="3"/>
      <c r="D235" s="38"/>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26"/>
      <c r="FL235" s="26"/>
      <c r="FM235" s="47"/>
      <c r="FN235" s="47"/>
      <c r="FO235" s="47"/>
      <c r="FP235" s="47"/>
      <c r="FQ235" s="47"/>
      <c r="FR235" s="79"/>
      <c r="FS235" s="79"/>
      <c r="FT235" s="79"/>
      <c r="FU235" s="79"/>
      <c r="FV235" s="79"/>
      <c r="FW235" s="49"/>
      <c r="FX235" s="49"/>
      <c r="FY235" s="47"/>
      <c r="FZ235" s="103"/>
      <c r="GA235" s="49"/>
      <c r="GB235" s="49"/>
      <c r="GC235" s="49"/>
      <c r="GD235" s="49"/>
      <c r="GE235" s="49"/>
      <c r="GF235" s="49"/>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13"/>
      <c r="HG235" s="13"/>
      <c r="HH235" s="13"/>
    </row>
    <row r="236" spans="1:216" ht="16.5" customHeight="1">
      <c r="A236" s="1"/>
      <c r="B236" s="3"/>
      <c r="C236" s="3"/>
      <c r="D236" s="38"/>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26"/>
      <c r="FL236" s="26"/>
      <c r="FM236" s="47"/>
      <c r="FN236" s="47"/>
      <c r="FO236" s="47"/>
      <c r="FP236" s="47"/>
      <c r="FQ236" s="47"/>
      <c r="FR236" s="47"/>
      <c r="FS236" s="49"/>
      <c r="FT236" s="49"/>
      <c r="FU236" s="49"/>
      <c r="FV236" s="49"/>
      <c r="FW236" s="49"/>
      <c r="FX236" s="49"/>
      <c r="FY236" s="47"/>
      <c r="FZ236" s="103"/>
      <c r="GA236" s="49"/>
      <c r="GB236" s="49"/>
      <c r="GC236" s="49"/>
      <c r="GD236" s="49"/>
      <c r="GE236" s="49"/>
      <c r="GF236" s="49"/>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13"/>
      <c r="HG236" s="13"/>
      <c r="HH236" s="13"/>
    </row>
    <row r="237" spans="1:216" ht="16.5" customHeight="1">
      <c r="A237" s="1"/>
      <c r="B237" s="3"/>
      <c r="C237" s="3"/>
      <c r="D237" s="38"/>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26"/>
      <c r="FL237" s="26"/>
      <c r="FM237" s="47"/>
      <c r="FN237" s="47"/>
      <c r="FO237" s="47"/>
      <c r="FP237" s="47"/>
      <c r="FQ237" s="47"/>
      <c r="FR237" s="47"/>
      <c r="FS237" s="49"/>
      <c r="FT237" s="49"/>
      <c r="FU237" s="49"/>
      <c r="FV237" s="49"/>
      <c r="FW237" s="49"/>
      <c r="FX237" s="49"/>
      <c r="FY237" s="47"/>
      <c r="FZ237" s="103"/>
      <c r="GA237" s="49"/>
      <c r="GB237" s="49"/>
      <c r="GC237" s="49"/>
      <c r="GD237" s="49"/>
      <c r="GE237" s="49"/>
      <c r="GF237" s="49"/>
      <c r="GG237" s="48"/>
      <c r="GH237" s="48"/>
      <c r="GI237" s="48"/>
      <c r="GJ237" s="48"/>
      <c r="GK237" s="48"/>
      <c r="GL237" s="48"/>
      <c r="GM237" s="48"/>
      <c r="GN237" s="48"/>
      <c r="GO237" s="48"/>
      <c r="GP237" s="48"/>
      <c r="GQ237" s="48"/>
      <c r="GR237" s="48"/>
      <c r="GS237" s="48"/>
      <c r="GT237" s="48"/>
      <c r="GU237" s="48"/>
      <c r="GV237" s="48"/>
      <c r="GW237" s="48"/>
      <c r="GX237" s="48"/>
      <c r="GY237" s="48"/>
      <c r="GZ237" s="48"/>
      <c r="HA237" s="48"/>
      <c r="HB237" s="48"/>
      <c r="HC237" s="48"/>
      <c r="HD237" s="48"/>
      <c r="HE237" s="48"/>
      <c r="HF237" s="13"/>
      <c r="HG237" s="13"/>
      <c r="HH237" s="13"/>
    </row>
    <row r="238" spans="1:216" ht="16.5" customHeight="1">
      <c r="A238" s="1"/>
      <c r="B238" s="3"/>
      <c r="C238" s="3"/>
      <c r="D238" s="38"/>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26"/>
      <c r="FL238" s="26"/>
      <c r="FM238" s="47"/>
      <c r="FN238" s="47"/>
      <c r="FO238" s="47"/>
      <c r="FP238" s="47"/>
      <c r="FQ238" s="47"/>
      <c r="FR238" s="47"/>
      <c r="FS238" s="49"/>
      <c r="FT238" s="49"/>
      <c r="FU238" s="49"/>
      <c r="FV238" s="49"/>
      <c r="FW238" s="49"/>
      <c r="FX238" s="49"/>
      <c r="FY238" s="47"/>
      <c r="FZ238" s="103"/>
      <c r="GA238" s="49"/>
      <c r="GB238" s="49"/>
      <c r="GC238" s="49"/>
      <c r="GD238" s="49"/>
      <c r="GE238" s="49"/>
      <c r="GF238" s="49"/>
      <c r="GG238" s="48"/>
      <c r="GH238" s="48"/>
      <c r="GI238" s="48"/>
      <c r="GJ238" s="48"/>
      <c r="GK238" s="48"/>
      <c r="GL238" s="48"/>
      <c r="GM238" s="48"/>
      <c r="GN238" s="48"/>
      <c r="GO238" s="48"/>
      <c r="GP238" s="48"/>
      <c r="GQ238" s="48"/>
      <c r="GR238" s="48"/>
      <c r="GS238" s="48"/>
      <c r="GT238" s="48"/>
      <c r="GU238" s="48"/>
      <c r="GV238" s="48"/>
      <c r="GW238" s="48"/>
      <c r="GX238" s="48"/>
      <c r="GY238" s="48"/>
      <c r="GZ238" s="48"/>
      <c r="HA238" s="48"/>
      <c r="HB238" s="48"/>
      <c r="HC238" s="48"/>
      <c r="HD238" s="48"/>
      <c r="HE238" s="48"/>
      <c r="HF238" s="13"/>
      <c r="HG238" s="13"/>
      <c r="HH238" s="13"/>
    </row>
    <row r="239" spans="1:216" ht="16.5" customHeight="1">
      <c r="A239" s="1"/>
      <c r="B239" s="3"/>
      <c r="C239" s="3"/>
      <c r="D239" s="38"/>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26"/>
      <c r="FL239" s="26"/>
      <c r="FM239" s="47"/>
      <c r="FN239" s="47"/>
      <c r="FO239" s="47"/>
      <c r="FP239" s="47"/>
      <c r="FQ239" s="47"/>
      <c r="FR239" s="47"/>
      <c r="FS239" s="49"/>
      <c r="FT239" s="49"/>
      <c r="FU239" s="49"/>
      <c r="FV239" s="49"/>
      <c r="FW239" s="49"/>
      <c r="FX239" s="49"/>
      <c r="FY239" s="47"/>
      <c r="FZ239" s="103"/>
      <c r="GA239" s="49"/>
      <c r="GB239" s="49"/>
      <c r="GC239" s="49"/>
      <c r="GD239" s="49"/>
      <c r="GE239" s="49"/>
      <c r="GF239" s="49"/>
      <c r="GG239" s="48"/>
      <c r="GH239" s="48"/>
      <c r="GI239" s="48"/>
      <c r="GJ239" s="48"/>
      <c r="GK239" s="48"/>
      <c r="GL239" s="48"/>
      <c r="GM239" s="48"/>
      <c r="GN239" s="48"/>
      <c r="GO239" s="48"/>
      <c r="GP239" s="48"/>
      <c r="GQ239" s="48"/>
      <c r="GR239" s="48"/>
      <c r="GS239" s="48"/>
      <c r="GT239" s="48"/>
      <c r="GU239" s="48"/>
      <c r="GV239" s="48"/>
      <c r="GW239" s="48"/>
      <c r="GX239" s="48"/>
      <c r="GY239" s="48"/>
      <c r="GZ239" s="48"/>
      <c r="HA239" s="48"/>
      <c r="HB239" s="48"/>
      <c r="HC239" s="48"/>
      <c r="HD239" s="48"/>
      <c r="HE239" s="48"/>
      <c r="HF239" s="13"/>
      <c r="HG239" s="13"/>
      <c r="HH239" s="13"/>
    </row>
    <row r="240" spans="1:216" ht="16.5" customHeight="1">
      <c r="A240" s="1"/>
      <c r="B240" s="3"/>
      <c r="C240" s="3"/>
      <c r="D240" s="38"/>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26"/>
      <c r="FL240" s="26"/>
      <c r="FM240" s="47"/>
      <c r="FN240" s="47"/>
      <c r="FO240" s="47"/>
      <c r="FP240" s="47"/>
      <c r="FQ240" s="47"/>
      <c r="FR240" s="47"/>
      <c r="FS240" s="49"/>
      <c r="FT240" s="49"/>
      <c r="FU240" s="49"/>
      <c r="FV240" s="49"/>
      <c r="FW240" s="49"/>
      <c r="FX240" s="49"/>
      <c r="FY240" s="47"/>
      <c r="FZ240" s="103"/>
      <c r="GA240" s="49"/>
      <c r="GB240" s="49"/>
      <c r="GC240" s="49"/>
      <c r="GD240" s="49"/>
      <c r="GE240" s="49"/>
      <c r="GF240" s="49"/>
      <c r="GG240" s="48"/>
      <c r="GH240" s="48"/>
      <c r="GI240" s="48"/>
      <c r="GJ240" s="48"/>
      <c r="GK240" s="48"/>
      <c r="GL240" s="48"/>
      <c r="GM240" s="48"/>
      <c r="GN240" s="48"/>
      <c r="GO240" s="48"/>
      <c r="GP240" s="48"/>
      <c r="GQ240" s="48"/>
      <c r="GR240" s="48"/>
      <c r="GS240" s="48"/>
      <c r="GT240" s="48"/>
      <c r="GU240" s="48"/>
      <c r="GV240" s="48"/>
      <c r="GW240" s="48"/>
      <c r="GX240" s="48"/>
      <c r="GY240" s="48"/>
      <c r="GZ240" s="48"/>
      <c r="HA240" s="48"/>
      <c r="HB240" s="48"/>
      <c r="HC240" s="48"/>
      <c r="HD240" s="48"/>
      <c r="HE240" s="48"/>
      <c r="HF240" s="13"/>
      <c r="HG240" s="13"/>
      <c r="HH240" s="13"/>
    </row>
    <row r="241" spans="1:216" ht="16.95" customHeight="1">
      <c r="A241" s="1"/>
      <c r="B241" s="3"/>
      <c r="C241" s="3"/>
      <c r="D241" s="12" t="str">
        <f ca="1">IF(FO213=1,"Zoals je kunt zien neemt de totale winst toe als de totale opbrengst harder","")</f>
        <v/>
      </c>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26"/>
      <c r="FL241" s="26"/>
      <c r="FM241" s="47"/>
      <c r="FN241" s="47"/>
      <c r="FO241" s="47"/>
      <c r="FP241" s="47"/>
      <c r="FQ241" s="47"/>
      <c r="FR241" s="47"/>
      <c r="FS241" s="49"/>
      <c r="FT241" s="49"/>
      <c r="FU241" s="49"/>
      <c r="FV241" s="49"/>
      <c r="FW241" s="49"/>
      <c r="FX241" s="49"/>
      <c r="FY241" s="47"/>
      <c r="FZ241" s="47"/>
      <c r="GA241" s="49"/>
      <c r="GB241" s="49"/>
      <c r="GC241" s="49"/>
      <c r="GD241" s="49"/>
      <c r="GE241" s="49"/>
      <c r="GF241" s="49"/>
      <c r="GG241" s="48"/>
      <c r="GH241" s="48"/>
      <c r="GI241" s="48"/>
      <c r="GJ241" s="48"/>
      <c r="GK241" s="48"/>
      <c r="GL241" s="48"/>
      <c r="GM241" s="48"/>
      <c r="GN241" s="48"/>
      <c r="GO241" s="48"/>
      <c r="GP241" s="48"/>
      <c r="GQ241" s="48"/>
      <c r="GR241" s="48"/>
      <c r="GS241" s="48"/>
      <c r="GT241" s="48"/>
      <c r="GU241" s="48"/>
      <c r="GV241" s="48"/>
      <c r="GW241" s="48"/>
      <c r="GX241" s="48"/>
      <c r="GY241" s="48"/>
      <c r="GZ241" s="48"/>
      <c r="HA241" s="48"/>
      <c r="HB241" s="48"/>
      <c r="HC241" s="48"/>
      <c r="HD241" s="48"/>
      <c r="HE241" s="48"/>
      <c r="HF241" s="13"/>
      <c r="HG241" s="13"/>
      <c r="HH241" s="13"/>
    </row>
    <row r="242" spans="1:216" ht="16.95" customHeight="1">
      <c r="A242" s="1"/>
      <c r="B242" s="3"/>
      <c r="C242" s="3"/>
      <c r="D242" s="12" t="str">
        <f ca="1">IF(FO213=1,"stijgt dan de totale kosten, dus als MO &gt; MK. De totale winst blijft gelijk als","")</f>
        <v/>
      </c>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26"/>
      <c r="FL242" s="26"/>
      <c r="FM242" s="47"/>
      <c r="FN242" s="47"/>
      <c r="FO242" s="47"/>
      <c r="FP242" s="47"/>
      <c r="FQ242" s="47"/>
      <c r="FR242" s="47"/>
      <c r="FS242" s="49"/>
      <c r="FT242" s="49"/>
      <c r="FU242" s="49"/>
      <c r="FV242" s="49"/>
      <c r="FW242" s="49"/>
      <c r="FX242" s="49"/>
      <c r="FY242" s="47"/>
      <c r="FZ242" s="47"/>
      <c r="GA242" s="49"/>
      <c r="GB242" s="49"/>
      <c r="GC242" s="49"/>
      <c r="GD242" s="49"/>
      <c r="GE242" s="49"/>
      <c r="GF242" s="49"/>
      <c r="GG242" s="48"/>
      <c r="GH242" s="48"/>
      <c r="GI242" s="48"/>
      <c r="GJ242" s="48"/>
      <c r="GK242" s="48"/>
      <c r="GL242" s="48"/>
      <c r="GM242" s="48"/>
      <c r="GN242" s="48"/>
      <c r="GO242" s="48"/>
      <c r="GP242" s="48"/>
      <c r="GQ242" s="48"/>
      <c r="GR242" s="48"/>
      <c r="GS242" s="48"/>
      <c r="GT242" s="48"/>
      <c r="GU242" s="48"/>
      <c r="GV242" s="48"/>
      <c r="GW242" s="48"/>
      <c r="GX242" s="48"/>
      <c r="GY242" s="48"/>
      <c r="GZ242" s="48"/>
      <c r="HA242" s="48"/>
      <c r="HB242" s="48"/>
      <c r="HC242" s="48"/>
      <c r="HD242" s="48"/>
      <c r="HE242" s="48"/>
      <c r="HF242" s="13"/>
      <c r="HG242" s="13"/>
      <c r="HH242" s="13"/>
    </row>
    <row r="243" spans="1:216" ht="16.95" customHeight="1">
      <c r="A243" s="1"/>
      <c r="B243" s="3"/>
      <c r="C243" s="3"/>
      <c r="D243" s="12" t="str">
        <f ca="1">IF(FO213=1,"de stijging van de totale opbrengst gelijk is aan de stijging van de totale","")</f>
        <v/>
      </c>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26"/>
      <c r="FL243" s="26"/>
      <c r="FM243" s="47"/>
      <c r="FN243" s="47"/>
      <c r="FO243" s="47"/>
      <c r="FP243" s="47"/>
      <c r="FQ243" s="47"/>
      <c r="FR243" s="47"/>
      <c r="FS243" s="49"/>
      <c r="FT243" s="49"/>
      <c r="FU243" s="49"/>
      <c r="FV243" s="49"/>
      <c r="FW243" s="49"/>
      <c r="FX243" s="49"/>
      <c r="FY243" s="47"/>
      <c r="FZ243" s="47"/>
      <c r="GA243" s="49"/>
      <c r="GB243" s="49"/>
      <c r="GC243" s="49"/>
      <c r="GD243" s="49"/>
      <c r="GE243" s="49"/>
      <c r="GF243" s="49"/>
      <c r="GG243" s="48"/>
      <c r="GH243" s="48"/>
      <c r="GI243" s="48"/>
      <c r="GJ243" s="48"/>
      <c r="GK243" s="48"/>
      <c r="GL243" s="48"/>
      <c r="GM243" s="48"/>
      <c r="GN243" s="48"/>
      <c r="GO243" s="48"/>
      <c r="GP243" s="48"/>
      <c r="GQ243" s="48"/>
      <c r="GR243" s="48"/>
      <c r="GS243" s="48"/>
      <c r="GT243" s="48"/>
      <c r="GU243" s="48"/>
      <c r="GV243" s="48"/>
      <c r="GW243" s="48"/>
      <c r="GX243" s="48"/>
      <c r="GY243" s="48"/>
      <c r="GZ243" s="48"/>
      <c r="HA243" s="48"/>
      <c r="HB243" s="48"/>
      <c r="HC243" s="48"/>
      <c r="HD243" s="48"/>
      <c r="HE243" s="48"/>
      <c r="HF243" s="13"/>
      <c r="HG243" s="13"/>
      <c r="HH243" s="13"/>
    </row>
    <row r="244" spans="1:216" ht="16.95" customHeight="1">
      <c r="A244" s="1"/>
      <c r="B244" s="3"/>
      <c r="C244" s="3"/>
      <c r="D244" s="12" t="str">
        <f ca="1">IF(FO213=1,"kosten, dus als MO = MK. De totale winst daalt als de totale opbrengst","")</f>
        <v/>
      </c>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26"/>
      <c r="FL244" s="26"/>
      <c r="FM244" s="47"/>
      <c r="FN244" s="47"/>
      <c r="FO244" s="47"/>
      <c r="FP244" s="47"/>
      <c r="FQ244" s="47"/>
      <c r="FR244" s="47"/>
      <c r="FS244" s="49"/>
      <c r="FT244" s="49"/>
      <c r="FU244" s="49"/>
      <c r="FV244" s="49"/>
      <c r="FW244" s="49"/>
      <c r="FX244" s="49"/>
      <c r="FY244" s="47"/>
      <c r="FZ244" s="47"/>
      <c r="GA244" s="49"/>
      <c r="GB244" s="49"/>
      <c r="GC244" s="49"/>
      <c r="GD244" s="49"/>
      <c r="GE244" s="49"/>
      <c r="GF244" s="49"/>
      <c r="GG244" s="48"/>
      <c r="GH244" s="48"/>
      <c r="GI244" s="48"/>
      <c r="GJ244" s="48"/>
      <c r="GK244" s="48"/>
      <c r="GL244" s="48"/>
      <c r="GM244" s="48"/>
      <c r="GN244" s="48"/>
      <c r="GO244" s="48"/>
      <c r="GP244" s="48"/>
      <c r="GQ244" s="48"/>
      <c r="GR244" s="48"/>
      <c r="GS244" s="48"/>
      <c r="GT244" s="48"/>
      <c r="GU244" s="48"/>
      <c r="GV244" s="48"/>
      <c r="GW244" s="48"/>
      <c r="GX244" s="48"/>
      <c r="GY244" s="48"/>
      <c r="GZ244" s="48"/>
      <c r="HA244" s="48"/>
      <c r="HB244" s="48"/>
      <c r="HC244" s="48"/>
      <c r="HD244" s="48"/>
      <c r="HE244" s="48"/>
      <c r="HF244" s="13"/>
      <c r="HG244" s="13"/>
      <c r="HH244" s="13"/>
    </row>
    <row r="245" spans="1:216" ht="16.95" customHeight="1">
      <c r="A245" s="1"/>
      <c r="B245" s="3"/>
      <c r="C245" s="3"/>
      <c r="D245" s="12" t="str">
        <f ca="1">IF(FO213=1,"minder hard stijgt dan de totale kosten, dus als MO &lt; MK. Hieruit kun je","")</f>
        <v/>
      </c>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26"/>
      <c r="FL245" s="26"/>
      <c r="FM245" s="47"/>
      <c r="FN245" s="47"/>
      <c r="FO245" s="47"/>
      <c r="FP245" s="47"/>
      <c r="FQ245" s="47"/>
      <c r="FR245" s="47"/>
      <c r="FS245" s="49"/>
      <c r="FT245" s="49"/>
      <c r="FU245" s="49"/>
      <c r="FV245" s="49"/>
      <c r="FW245" s="49"/>
      <c r="FX245" s="49"/>
      <c r="FY245" s="47"/>
      <c r="FZ245" s="47"/>
      <c r="GA245" s="49"/>
      <c r="GB245" s="49"/>
      <c r="GC245" s="49"/>
      <c r="GD245" s="49"/>
      <c r="GE245" s="49"/>
      <c r="GF245" s="49"/>
      <c r="GG245" s="48"/>
      <c r="GH245" s="48"/>
      <c r="GI245" s="48"/>
      <c r="GJ245" s="48"/>
      <c r="GK245" s="48"/>
      <c r="GL245" s="48"/>
      <c r="GM245" s="48"/>
      <c r="GN245" s="48"/>
      <c r="GO245" s="48"/>
      <c r="GP245" s="48"/>
      <c r="GQ245" s="48"/>
      <c r="GR245" s="48"/>
      <c r="GS245" s="48"/>
      <c r="GT245" s="48"/>
      <c r="GU245" s="48"/>
      <c r="GV245" s="48"/>
      <c r="GW245" s="48"/>
      <c r="GX245" s="48"/>
      <c r="GY245" s="48"/>
      <c r="GZ245" s="48"/>
      <c r="HA245" s="48"/>
      <c r="HB245" s="48"/>
      <c r="HC245" s="48"/>
      <c r="HD245" s="48"/>
      <c r="HE245" s="48"/>
      <c r="HF245" s="13"/>
      <c r="HG245" s="13"/>
      <c r="HH245" s="13"/>
    </row>
    <row r="246" spans="1:216" ht="16.95" customHeight="1">
      <c r="A246" s="1"/>
      <c r="B246" s="3"/>
      <c r="C246" s="3"/>
      <c r="D246" s="12" t="str">
        <f ca="1">IF(FO213=1,"concluderen wat moet gelden bij de hoeveelheid waarbij de winst maximaal","")</f>
        <v/>
      </c>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26"/>
      <c r="FL246" s="26"/>
      <c r="FM246" s="47"/>
      <c r="FN246" s="47"/>
      <c r="FO246" s="47"/>
      <c r="FP246" s="47"/>
      <c r="FQ246" s="47"/>
      <c r="FR246" s="47"/>
      <c r="FS246" s="49"/>
      <c r="FT246" s="49"/>
      <c r="FU246" s="49"/>
      <c r="FV246" s="49"/>
      <c r="FW246" s="49"/>
      <c r="FX246" s="49"/>
      <c r="FY246" s="47"/>
      <c r="FZ246" s="47"/>
      <c r="GA246" s="49"/>
      <c r="GB246" s="49"/>
      <c r="GC246" s="49"/>
      <c r="GD246" s="49"/>
      <c r="GE246" s="49"/>
      <c r="GF246" s="49"/>
      <c r="GG246" s="48"/>
      <c r="GH246" s="48"/>
      <c r="GI246" s="48"/>
      <c r="GJ246" s="48"/>
      <c r="GK246" s="48"/>
      <c r="GL246" s="48"/>
      <c r="GM246" s="48"/>
      <c r="GN246" s="48"/>
      <c r="GO246" s="48"/>
      <c r="GP246" s="48"/>
      <c r="GQ246" s="48"/>
      <c r="GR246" s="48"/>
      <c r="GS246" s="48"/>
      <c r="GT246" s="48"/>
      <c r="GU246" s="48"/>
      <c r="GV246" s="48"/>
      <c r="GW246" s="48"/>
      <c r="GX246" s="48"/>
      <c r="GY246" s="48"/>
      <c r="GZ246" s="48"/>
      <c r="HA246" s="48"/>
      <c r="HB246" s="48"/>
      <c r="HC246" s="48"/>
      <c r="HD246" s="48"/>
      <c r="HE246" s="48"/>
      <c r="HF246" s="13"/>
      <c r="HG246" s="13"/>
      <c r="HH246" s="13"/>
    </row>
    <row r="247" spans="1:216" ht="16.95" customHeight="1">
      <c r="A247" s="1"/>
      <c r="B247" s="3"/>
      <c r="C247" s="3"/>
      <c r="D247" s="12" t="str">
        <f ca="1">IF(FO213=1,"is als je uitgaat van een situatie waarbij eerst MO &gt; MK, dan MO = MK en","")</f>
        <v/>
      </c>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26"/>
      <c r="FL247" s="26"/>
      <c r="FM247" s="47"/>
      <c r="FN247" s="47"/>
      <c r="FO247" s="47"/>
      <c r="FP247" s="47"/>
      <c r="FQ247" s="47"/>
      <c r="FR247" s="47"/>
      <c r="FS247" s="49"/>
      <c r="FT247" s="49"/>
      <c r="FU247" s="49"/>
      <c r="FV247" s="49"/>
      <c r="FW247" s="49"/>
      <c r="FX247" s="49"/>
      <c r="FY247" s="47"/>
      <c r="FZ247" s="47"/>
      <c r="GA247" s="49"/>
      <c r="GB247" s="49"/>
      <c r="GC247" s="49"/>
      <c r="GD247" s="49"/>
      <c r="GE247" s="49"/>
      <c r="GF247" s="49"/>
      <c r="GG247" s="48"/>
      <c r="GH247" s="48"/>
      <c r="GI247" s="48"/>
      <c r="GJ247" s="48"/>
      <c r="GK247" s="48"/>
      <c r="GL247" s="48"/>
      <c r="GM247" s="48"/>
      <c r="GN247" s="48"/>
      <c r="GO247" s="48"/>
      <c r="GP247" s="48"/>
      <c r="GQ247" s="48"/>
      <c r="GR247" s="48"/>
      <c r="GS247" s="48"/>
      <c r="GT247" s="48"/>
      <c r="GU247" s="48"/>
      <c r="GV247" s="48"/>
      <c r="GW247" s="48"/>
      <c r="GX247" s="48"/>
      <c r="GY247" s="48"/>
      <c r="GZ247" s="48"/>
      <c r="HA247" s="48"/>
      <c r="HB247" s="48"/>
      <c r="HC247" s="48"/>
      <c r="HD247" s="48"/>
      <c r="HE247" s="48"/>
      <c r="HF247" s="13"/>
      <c r="HG247" s="13"/>
      <c r="HH247" s="13"/>
    </row>
    <row r="248" spans="1:216" ht="16.95" customHeight="1">
      <c r="A248" s="1"/>
      <c r="B248" s="3"/>
      <c r="C248" s="3"/>
      <c r="D248" s="12" t="str">
        <f ca="1">IF(FO213=1,"daarna MO &lt; MK (dus de drie grafieken van links naar rechts laat aansluiten).","")</f>
        <v/>
      </c>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26"/>
      <c r="FL248" s="26"/>
      <c r="FM248" s="47"/>
      <c r="FN248" s="47"/>
      <c r="FO248" s="47"/>
      <c r="FP248" s="47"/>
      <c r="FQ248" s="47"/>
      <c r="FR248" s="47"/>
      <c r="FS248" s="49"/>
      <c r="FT248" s="49"/>
      <c r="FU248" s="49"/>
      <c r="FV248" s="49"/>
      <c r="FW248" s="49"/>
      <c r="FX248" s="49"/>
      <c r="FY248" s="47"/>
      <c r="FZ248" s="47"/>
      <c r="GA248" s="49"/>
      <c r="GB248" s="49"/>
      <c r="GC248" s="49"/>
      <c r="GD248" s="49"/>
      <c r="GE248" s="49"/>
      <c r="GF248" s="49"/>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13"/>
      <c r="HG248" s="13"/>
      <c r="HH248" s="13"/>
    </row>
    <row r="249" spans="1:216" ht="11.25" customHeight="1">
      <c r="A249" s="1"/>
      <c r="B249" s="3"/>
      <c r="C249" s="3"/>
      <c r="D249" s="373"/>
      <c r="E249" s="376"/>
      <c r="F249" s="10"/>
      <c r="G249" s="10"/>
      <c r="H249" s="10"/>
      <c r="I249" s="10"/>
      <c r="J249" s="10"/>
      <c r="K249" s="10"/>
      <c r="L249" s="10"/>
      <c r="M249" s="10"/>
      <c r="N249" s="10"/>
      <c r="O249" s="10"/>
      <c r="P249" s="10"/>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c r="BY249" s="126"/>
      <c r="BZ249" s="126"/>
      <c r="CA249" s="126"/>
      <c r="CB249" s="126"/>
      <c r="CC249" s="126"/>
      <c r="CD249" s="126"/>
      <c r="CE249" s="126"/>
      <c r="CF249" s="126"/>
      <c r="CG249" s="126"/>
      <c r="CH249" s="126"/>
      <c r="CI249" s="126"/>
      <c r="CJ249" s="126"/>
      <c r="CK249" s="126"/>
      <c r="CL249" s="126"/>
      <c r="CM249" s="126"/>
      <c r="CN249" s="126"/>
      <c r="CO249" s="126"/>
      <c r="CP249" s="126"/>
      <c r="CQ249" s="126"/>
      <c r="CR249" s="126"/>
      <c r="CS249" s="126"/>
      <c r="CT249" s="126"/>
      <c r="CU249" s="126"/>
      <c r="CV249" s="126"/>
      <c r="CW249" s="126"/>
      <c r="CX249" s="126"/>
      <c r="CY249" s="126"/>
      <c r="CZ249" s="126"/>
      <c r="DA249" s="126"/>
      <c r="DB249" s="126"/>
      <c r="DC249" s="126"/>
      <c r="DD249" s="126"/>
      <c r="DE249" s="126"/>
      <c r="DF249" s="126"/>
      <c r="DG249" s="126"/>
      <c r="DH249" s="126"/>
      <c r="DI249" s="126"/>
      <c r="DJ249" s="126"/>
      <c r="DK249" s="126"/>
      <c r="DL249" s="126"/>
      <c r="DM249" s="126"/>
      <c r="DN249" s="126"/>
      <c r="DO249" s="126"/>
      <c r="DP249" s="126"/>
      <c r="DQ249" s="126"/>
      <c r="DR249" s="126"/>
      <c r="DS249" s="126"/>
      <c r="DT249" s="126"/>
      <c r="DU249" s="126"/>
      <c r="DV249" s="126"/>
      <c r="DW249" s="126"/>
      <c r="DX249" s="126"/>
      <c r="DY249" s="126"/>
      <c r="DZ249" s="126"/>
      <c r="EA249" s="126"/>
      <c r="EB249" s="126"/>
      <c r="EC249" s="126"/>
      <c r="ED249" s="126"/>
      <c r="EE249" s="126"/>
      <c r="EF249" s="126"/>
      <c r="EG249" s="126"/>
      <c r="EH249" s="126"/>
      <c r="EI249" s="126"/>
      <c r="EJ249" s="126"/>
      <c r="EK249" s="126"/>
      <c r="EL249" s="126"/>
      <c r="EM249" s="126"/>
      <c r="EN249" s="126"/>
      <c r="EO249" s="126"/>
      <c r="EP249" s="126"/>
      <c r="EQ249" s="126"/>
      <c r="ER249" s="126"/>
      <c r="ES249" s="10"/>
      <c r="ET249" s="10"/>
      <c r="EU249" s="10"/>
      <c r="EV249" s="10"/>
      <c r="EW249" s="10"/>
      <c r="EX249" s="10"/>
      <c r="EY249" s="10"/>
      <c r="EZ249" s="10"/>
      <c r="FA249" s="10"/>
      <c r="FB249" s="10"/>
      <c r="FC249" s="10"/>
      <c r="FD249" s="10"/>
      <c r="FE249" s="10"/>
      <c r="FF249" s="10"/>
      <c r="FG249" s="10"/>
      <c r="FH249" s="10"/>
      <c r="FI249" s="10"/>
      <c r="FJ249" s="10"/>
      <c r="FK249" s="26"/>
      <c r="FL249" s="26"/>
      <c r="FM249" s="47"/>
      <c r="FN249" s="47"/>
      <c r="FO249" s="47"/>
      <c r="FP249" s="47"/>
      <c r="FQ249" s="47"/>
      <c r="FR249" s="47"/>
      <c r="FS249" s="49"/>
      <c r="FT249" s="49"/>
      <c r="FU249" s="49"/>
      <c r="FV249" s="49"/>
      <c r="FW249" s="49"/>
      <c r="FX249" s="49"/>
      <c r="FY249" s="47"/>
      <c r="FZ249" s="103"/>
      <c r="GA249" s="49"/>
      <c r="GB249" s="49"/>
      <c r="GC249" s="49"/>
      <c r="GD249" s="49"/>
      <c r="GE249" s="49"/>
      <c r="GF249" s="49"/>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13"/>
      <c r="HG249" s="13"/>
      <c r="HH249" s="13"/>
    </row>
    <row r="250" spans="1:216" ht="3.75" customHeight="1">
      <c r="A250" s="1"/>
      <c r="B250" s="3"/>
      <c r="C250" s="3"/>
      <c r="D250" s="373"/>
      <c r="E250" s="376"/>
      <c r="F250" s="10"/>
      <c r="G250" s="10"/>
      <c r="H250" s="10"/>
      <c r="I250" s="10"/>
      <c r="J250" s="10"/>
      <c r="K250" s="10"/>
      <c r="L250" s="10"/>
      <c r="M250" s="10"/>
      <c r="N250" s="10"/>
      <c r="O250" s="10"/>
      <c r="P250" s="10"/>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c r="BY250" s="126"/>
      <c r="BZ250" s="126"/>
      <c r="CA250" s="126"/>
      <c r="CB250" s="126"/>
      <c r="CC250" s="126"/>
      <c r="CD250" s="126"/>
      <c r="CE250" s="126"/>
      <c r="CF250" s="126"/>
      <c r="CG250" s="126"/>
      <c r="CH250" s="126"/>
      <c r="CI250" s="126"/>
      <c r="CJ250" s="126"/>
      <c r="CK250" s="126"/>
      <c r="CL250" s="126"/>
      <c r="CM250" s="126"/>
      <c r="CN250" s="126"/>
      <c r="CO250" s="126"/>
      <c r="CP250" s="126"/>
      <c r="CQ250" s="126"/>
      <c r="CR250" s="126"/>
      <c r="CS250" s="126"/>
      <c r="CT250" s="126"/>
      <c r="CU250" s="126"/>
      <c r="CV250" s="126"/>
      <c r="CW250" s="126"/>
      <c r="CX250" s="43"/>
      <c r="CY250" s="43"/>
      <c r="CZ250" s="43"/>
      <c r="DA250" s="43"/>
      <c r="DB250" s="43"/>
      <c r="DC250" s="43"/>
      <c r="DD250" s="43"/>
      <c r="DE250" s="43"/>
      <c r="DF250" s="43"/>
      <c r="DG250" s="538" t="str">
        <f ca="1">IF(FO213=0,"",".")</f>
        <v/>
      </c>
      <c r="DH250" s="545"/>
      <c r="DI250" s="545"/>
      <c r="DJ250" s="545"/>
      <c r="DK250" s="545"/>
      <c r="DL250" s="545"/>
      <c r="DM250" s="545"/>
      <c r="DN250" s="545"/>
      <c r="DO250" s="545"/>
      <c r="DP250" s="545"/>
      <c r="DQ250" s="545"/>
      <c r="DR250" s="545"/>
      <c r="DS250" s="545"/>
      <c r="DT250" s="545"/>
      <c r="DU250" s="545"/>
      <c r="DV250" s="545"/>
      <c r="DW250" s="545"/>
      <c r="DX250" s="545"/>
      <c r="DY250" s="196"/>
      <c r="DZ250" s="196"/>
      <c r="EA250" s="196"/>
      <c r="EB250" s="196"/>
      <c r="EC250" s="196"/>
      <c r="ED250" s="196"/>
      <c r="EE250" s="196"/>
      <c r="EF250" s="196"/>
      <c r="EG250" s="196"/>
      <c r="EH250" s="196"/>
      <c r="EI250" s="196"/>
      <c r="EJ250" s="196"/>
      <c r="EK250" s="196"/>
      <c r="EL250" s="196"/>
      <c r="EM250" s="196"/>
      <c r="EN250" s="196"/>
      <c r="EO250" s="196"/>
      <c r="EP250" s="196"/>
      <c r="EQ250" s="196"/>
      <c r="ER250" s="196"/>
      <c r="ES250" s="196"/>
      <c r="ET250" s="196"/>
      <c r="EU250" s="196"/>
      <c r="EV250" s="196"/>
      <c r="EW250" s="196"/>
      <c r="EX250" s="196"/>
      <c r="EY250" s="196"/>
      <c r="EZ250" s="10"/>
      <c r="FA250" s="10"/>
      <c r="FB250" s="10"/>
      <c r="FC250" s="10"/>
      <c r="FD250" s="10"/>
      <c r="FE250" s="10"/>
      <c r="FF250" s="10"/>
      <c r="FG250" s="10"/>
      <c r="FH250" s="10"/>
      <c r="FI250" s="10"/>
      <c r="FJ250" s="10"/>
      <c r="FK250" s="26"/>
      <c r="FL250" s="26"/>
      <c r="FM250" s="47"/>
      <c r="FN250" s="47"/>
      <c r="FO250" s="47"/>
      <c r="FP250" s="47"/>
      <c r="FQ250" s="47"/>
      <c r="FR250" s="47"/>
      <c r="FS250" s="49"/>
      <c r="FT250" s="49"/>
      <c r="FU250" s="49"/>
      <c r="FV250" s="49"/>
      <c r="FW250" s="49"/>
      <c r="FX250" s="49"/>
      <c r="FY250" s="47"/>
      <c r="FZ250" s="103"/>
      <c r="GA250" s="49"/>
      <c r="GB250" s="49"/>
      <c r="GC250" s="49"/>
      <c r="GD250" s="49"/>
      <c r="GE250" s="49"/>
      <c r="GF250" s="49"/>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13"/>
      <c r="HG250" s="13"/>
      <c r="HH250" s="13"/>
    </row>
    <row r="251" spans="1:216" ht="16.5" customHeight="1">
      <c r="A251" s="1"/>
      <c r="B251" s="3"/>
      <c r="C251" s="3"/>
      <c r="D251" s="43"/>
      <c r="E251" s="376"/>
      <c r="F251" s="10"/>
      <c r="G251" s="10"/>
      <c r="H251" s="10"/>
      <c r="I251" s="10"/>
      <c r="J251" s="10"/>
      <c r="K251" s="10"/>
      <c r="L251" s="10"/>
      <c r="M251" s="10"/>
      <c r="N251" s="10"/>
      <c r="O251" s="10"/>
      <c r="P251" s="10"/>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c r="BY251" s="126"/>
      <c r="BZ251" s="126"/>
      <c r="CA251" s="126"/>
      <c r="CB251" s="126"/>
      <c r="CC251" s="126"/>
      <c r="CD251" s="126"/>
      <c r="CE251" s="126"/>
      <c r="CF251" s="126"/>
      <c r="CG251" s="126"/>
      <c r="CH251" s="126"/>
      <c r="CI251" s="126"/>
      <c r="CJ251" s="126"/>
      <c r="CK251" s="126"/>
      <c r="CL251" s="126"/>
      <c r="CM251" s="126"/>
      <c r="CN251" s="126"/>
      <c r="CO251" s="126"/>
      <c r="CP251" s="126"/>
      <c r="CQ251" s="126"/>
      <c r="CR251" s="126"/>
      <c r="CS251" s="126"/>
      <c r="CT251" s="126"/>
      <c r="CU251" s="126"/>
      <c r="CV251" s="126"/>
      <c r="CW251" s="126"/>
      <c r="CX251" s="43"/>
      <c r="CY251" s="43"/>
      <c r="CZ251" s="43"/>
      <c r="DA251" s="43"/>
      <c r="DB251" s="43"/>
      <c r="DC251" s="43"/>
      <c r="DD251" s="43"/>
      <c r="DE251" s="182" t="str">
        <f ca="1">IF(FO213=1,"De totale winst (TW) is maximaal bij de hoeveelheid waarbij geldt dat:","")</f>
        <v/>
      </c>
      <c r="DF251" s="43"/>
      <c r="DG251" s="195" t="str">
        <f ca="1">IF(FO213=0,"",".")</f>
        <v/>
      </c>
      <c r="DH251" s="641"/>
      <c r="DI251" s="555"/>
      <c r="DJ251" s="555"/>
      <c r="DK251" s="555"/>
      <c r="DL251" s="555"/>
      <c r="DM251" s="555"/>
      <c r="DN251" s="555"/>
      <c r="DO251" s="555"/>
      <c r="DP251" s="555"/>
      <c r="DQ251" s="555"/>
      <c r="DR251" s="555"/>
      <c r="DS251" s="555"/>
      <c r="DT251" s="555"/>
      <c r="DU251" s="555"/>
      <c r="DV251" s="555"/>
      <c r="DW251" s="555"/>
      <c r="DX251" s="226" t="str">
        <f ca="1">IF(FO213=0,"",".")</f>
        <v/>
      </c>
      <c r="DY251" s="196"/>
      <c r="DZ251" s="207" t="str">
        <f ca="1">IF(FO213=0,"",IF(DH251="","",IF(FO251=1,"Goed!",IF(DH251=FP251,"Fout! De TW stijgt dan nog!","Fout! De TW is dan aan het dalen!"))))</f>
        <v/>
      </c>
      <c r="EA251" s="196"/>
      <c r="EB251" s="196"/>
      <c r="EC251" s="196"/>
      <c r="ED251" s="196"/>
      <c r="EE251" s="196"/>
      <c r="EF251" s="196"/>
      <c r="EG251" s="196"/>
      <c r="EH251" s="196"/>
      <c r="EI251" s="196"/>
      <c r="EJ251" s="196"/>
      <c r="EK251" s="196"/>
      <c r="EL251" s="196"/>
      <c r="EM251" s="196"/>
      <c r="EN251" s="196"/>
      <c r="EO251" s="196"/>
      <c r="EP251" s="196"/>
      <c r="EQ251" s="196"/>
      <c r="ER251" s="196"/>
      <c r="ES251" s="196"/>
      <c r="ET251" s="196"/>
      <c r="EU251" s="196"/>
      <c r="EV251" s="196"/>
      <c r="EW251" s="196"/>
      <c r="EX251" s="196"/>
      <c r="EY251" s="195"/>
      <c r="EZ251" s="10"/>
      <c r="FA251" s="10"/>
      <c r="FB251" s="10"/>
      <c r="FC251" s="10"/>
      <c r="FD251" s="10"/>
      <c r="FE251" s="10"/>
      <c r="FF251" s="10"/>
      <c r="FG251" s="10"/>
      <c r="FH251" s="10"/>
      <c r="FI251" s="10"/>
      <c r="FJ251" s="10"/>
      <c r="FK251" s="26"/>
      <c r="FL251" s="26"/>
      <c r="FM251" s="48"/>
      <c r="FN251" s="48" t="str">
        <f ca="1">IF(FO1=0,"",FQ251)</f>
        <v>MO = MK</v>
      </c>
      <c r="FO251" s="48">
        <f ca="1">IF(programma!B1="X",1,IF(FO213=0,0,IF(DH251=FQ251,1,0)))</f>
        <v>0</v>
      </c>
      <c r="FP251" s="48" t="s">
        <v>49</v>
      </c>
      <c r="FQ251" s="48" t="s">
        <v>48</v>
      </c>
      <c r="FR251" s="48" t="s">
        <v>47</v>
      </c>
      <c r="FS251" s="49"/>
      <c r="FT251" s="49"/>
      <c r="FU251" s="49"/>
      <c r="FV251" s="49"/>
      <c r="FW251" s="49"/>
      <c r="FX251" s="49"/>
      <c r="FY251" s="47"/>
      <c r="FZ251" s="103"/>
      <c r="GA251" s="49"/>
      <c r="GB251" s="49"/>
      <c r="GC251" s="49"/>
      <c r="GD251" s="49"/>
      <c r="GE251" s="49"/>
      <c r="GF251" s="49"/>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13"/>
      <c r="HG251" s="13"/>
      <c r="HH251" s="13"/>
    </row>
    <row r="252" spans="1:216" ht="3.75" customHeight="1">
      <c r="A252" s="1"/>
      <c r="B252" s="3"/>
      <c r="C252" s="3"/>
      <c r="D252" s="373"/>
      <c r="E252" s="376"/>
      <c r="F252" s="10"/>
      <c r="G252" s="10"/>
      <c r="H252" s="10"/>
      <c r="I252" s="10"/>
      <c r="J252" s="10"/>
      <c r="K252" s="10"/>
      <c r="L252" s="10"/>
      <c r="M252" s="10"/>
      <c r="N252" s="10"/>
      <c r="O252" s="10"/>
      <c r="P252" s="10"/>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c r="BY252" s="126"/>
      <c r="BZ252" s="126"/>
      <c r="CA252" s="126"/>
      <c r="CB252" s="126"/>
      <c r="CC252" s="126"/>
      <c r="CD252" s="126"/>
      <c r="CE252" s="126"/>
      <c r="CF252" s="126"/>
      <c r="CG252" s="126"/>
      <c r="CH252" s="126"/>
      <c r="CI252" s="126"/>
      <c r="CJ252" s="126"/>
      <c r="CK252" s="126"/>
      <c r="CL252" s="126"/>
      <c r="CM252" s="126"/>
      <c r="CN252" s="126"/>
      <c r="CO252" s="126"/>
      <c r="CP252" s="126"/>
      <c r="CQ252" s="126"/>
      <c r="CR252" s="126"/>
      <c r="CS252" s="126"/>
      <c r="CT252" s="126"/>
      <c r="CU252" s="126"/>
      <c r="CV252" s="126"/>
      <c r="CW252" s="126"/>
      <c r="CX252" s="43"/>
      <c r="CY252" s="43"/>
      <c r="CZ252" s="43"/>
      <c r="DA252" s="43"/>
      <c r="DB252" s="43"/>
      <c r="DC252" s="43"/>
      <c r="DD252" s="43"/>
      <c r="DE252" s="43"/>
      <c r="DF252" s="43"/>
      <c r="DG252" s="538" t="str">
        <f ca="1">IF(FO213=0,"",".")</f>
        <v/>
      </c>
      <c r="DH252" s="545"/>
      <c r="DI252" s="545"/>
      <c r="DJ252" s="545"/>
      <c r="DK252" s="545"/>
      <c r="DL252" s="545"/>
      <c r="DM252" s="545"/>
      <c r="DN252" s="545"/>
      <c r="DO252" s="545"/>
      <c r="DP252" s="545"/>
      <c r="DQ252" s="545"/>
      <c r="DR252" s="545"/>
      <c r="DS252" s="545"/>
      <c r="DT252" s="545"/>
      <c r="DU252" s="545"/>
      <c r="DV252" s="545"/>
      <c r="DW252" s="545"/>
      <c r="DX252" s="545"/>
      <c r="DY252" s="196"/>
      <c r="DZ252" s="196"/>
      <c r="EA252" s="196"/>
      <c r="EB252" s="196"/>
      <c r="EC252" s="196"/>
      <c r="ED252" s="196"/>
      <c r="EE252" s="196"/>
      <c r="EF252" s="196"/>
      <c r="EG252" s="196"/>
      <c r="EH252" s="196"/>
      <c r="EI252" s="196"/>
      <c r="EJ252" s="196"/>
      <c r="EK252" s="196"/>
      <c r="EL252" s="196"/>
      <c r="EM252" s="196"/>
      <c r="EN252" s="196"/>
      <c r="EO252" s="196"/>
      <c r="EP252" s="196"/>
      <c r="EQ252" s="196"/>
      <c r="ER252" s="196"/>
      <c r="ES252" s="196"/>
      <c r="ET252" s="196"/>
      <c r="EU252" s="196"/>
      <c r="EV252" s="196"/>
      <c r="EW252" s="196"/>
      <c r="EX252" s="196"/>
      <c r="EY252" s="196"/>
      <c r="EZ252" s="10"/>
      <c r="FA252" s="10"/>
      <c r="FB252" s="10"/>
      <c r="FC252" s="10"/>
      <c r="FD252" s="10"/>
      <c r="FE252" s="10"/>
      <c r="FF252" s="10"/>
      <c r="FG252" s="10"/>
      <c r="FH252" s="10"/>
      <c r="FI252" s="10"/>
      <c r="FJ252" s="10"/>
      <c r="FK252" s="26"/>
      <c r="FL252" s="26"/>
      <c r="FM252" s="47"/>
      <c r="FN252" s="47"/>
      <c r="FO252" s="47"/>
      <c r="FP252" s="47"/>
      <c r="FQ252" s="47"/>
      <c r="FR252" s="47"/>
      <c r="FS252" s="49"/>
      <c r="FT252" s="49"/>
      <c r="FU252" s="49"/>
      <c r="FV252" s="49"/>
      <c r="FW252" s="49"/>
      <c r="FX252" s="49"/>
      <c r="FY252" s="47"/>
      <c r="FZ252" s="103"/>
      <c r="GA252" s="49"/>
      <c r="GB252" s="49"/>
      <c r="GC252" s="49"/>
      <c r="GD252" s="49"/>
      <c r="GE252" s="49"/>
      <c r="GF252" s="49"/>
      <c r="GG252" s="48"/>
      <c r="GH252" s="48"/>
      <c r="GI252" s="48"/>
      <c r="GJ252" s="48"/>
      <c r="GK252" s="48"/>
      <c r="GL252" s="48"/>
      <c r="GM252" s="48"/>
      <c r="GN252" s="48"/>
      <c r="GO252" s="48"/>
      <c r="GP252" s="48"/>
      <c r="GQ252" s="48"/>
      <c r="GR252" s="48"/>
      <c r="GS252" s="48"/>
      <c r="GT252" s="48"/>
      <c r="GU252" s="48"/>
      <c r="GV252" s="48"/>
      <c r="GW252" s="48"/>
      <c r="GX252" s="48"/>
      <c r="GY252" s="48"/>
      <c r="GZ252" s="48"/>
      <c r="HA252" s="48"/>
      <c r="HB252" s="48"/>
      <c r="HC252" s="48"/>
      <c r="HD252" s="48"/>
      <c r="HE252" s="48"/>
      <c r="HF252" s="13"/>
      <c r="HG252" s="13"/>
      <c r="HH252" s="13"/>
    </row>
    <row r="253" spans="1:216" ht="16.5" customHeight="1">
      <c r="A253" s="1"/>
      <c r="B253" s="3"/>
      <c r="C253" s="3"/>
      <c r="D253" s="373"/>
      <c r="E253" s="376"/>
      <c r="F253" s="10"/>
      <c r="G253" s="10"/>
      <c r="H253" s="10"/>
      <c r="I253" s="10"/>
      <c r="J253" s="10"/>
      <c r="K253" s="10"/>
      <c r="L253" s="10"/>
      <c r="M253" s="10"/>
      <c r="N253" s="10"/>
      <c r="O253" s="10"/>
      <c r="P253" s="10"/>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c r="BY253" s="126"/>
      <c r="BZ253" s="126"/>
      <c r="CA253" s="126"/>
      <c r="CB253" s="126"/>
      <c r="CC253" s="126"/>
      <c r="CD253" s="126"/>
      <c r="CE253" s="126"/>
      <c r="CF253" s="126"/>
      <c r="CG253" s="126"/>
      <c r="CH253" s="126"/>
      <c r="CI253" s="126"/>
      <c r="CJ253" s="126"/>
      <c r="CK253" s="126"/>
      <c r="CL253" s="126"/>
      <c r="CM253" s="126"/>
      <c r="CN253" s="126"/>
      <c r="CO253" s="126"/>
      <c r="CP253" s="126"/>
      <c r="CQ253" s="126"/>
      <c r="CR253" s="126"/>
      <c r="CS253" s="126"/>
      <c r="CT253" s="126"/>
      <c r="CU253" s="126"/>
      <c r="CV253" s="126"/>
      <c r="CW253" s="126"/>
      <c r="CX253" s="43"/>
      <c r="CY253" s="43"/>
      <c r="CZ253" s="43"/>
      <c r="DA253" s="43"/>
      <c r="DB253" s="43"/>
      <c r="DC253" s="43"/>
      <c r="DD253" s="43"/>
      <c r="DE253" s="43"/>
      <c r="DF253" s="43"/>
      <c r="DG253" s="195"/>
      <c r="DH253" s="197"/>
      <c r="DI253" s="197"/>
      <c r="DJ253" s="197"/>
      <c r="DK253" s="197"/>
      <c r="DL253" s="197"/>
      <c r="DM253" s="197"/>
      <c r="DN253" s="197"/>
      <c r="DO253" s="197"/>
      <c r="DP253" s="197"/>
      <c r="DQ253" s="197"/>
      <c r="DR253" s="197"/>
      <c r="DS253" s="197"/>
      <c r="DT253" s="197"/>
      <c r="DU253" s="197"/>
      <c r="DV253" s="197"/>
      <c r="DW253" s="197"/>
      <c r="DX253" s="197"/>
      <c r="DY253" s="196"/>
      <c r="DZ253" s="196"/>
      <c r="EA253" s="196"/>
      <c r="EB253" s="196"/>
      <c r="EC253" s="196"/>
      <c r="ED253" s="196"/>
      <c r="EE253" s="196"/>
      <c r="EF253" s="196"/>
      <c r="EG253" s="196"/>
      <c r="EH253" s="196"/>
      <c r="EI253" s="196"/>
      <c r="EJ253" s="196"/>
      <c r="EK253" s="196"/>
      <c r="EL253" s="196"/>
      <c r="EM253" s="196"/>
      <c r="EN253" s="196"/>
      <c r="EO253" s="196"/>
      <c r="EP253" s="196"/>
      <c r="EQ253" s="196"/>
      <c r="ER253" s="196"/>
      <c r="ES253" s="196"/>
      <c r="ET253" s="196"/>
      <c r="EU253" s="196"/>
      <c r="EV253" s="196"/>
      <c r="EW253" s="196"/>
      <c r="EX253" s="196"/>
      <c r="EY253" s="196"/>
      <c r="EZ253" s="10"/>
      <c r="FA253" s="10"/>
      <c r="FB253" s="10"/>
      <c r="FC253" s="10"/>
      <c r="FD253" s="10"/>
      <c r="FE253" s="10"/>
      <c r="FF253" s="10"/>
      <c r="FG253" s="10"/>
      <c r="FH253" s="10"/>
      <c r="FI253" s="10"/>
      <c r="FJ253" s="10"/>
      <c r="FK253" s="26"/>
      <c r="FL253" s="26"/>
      <c r="FM253" s="47"/>
      <c r="FN253" s="47"/>
      <c r="FO253" s="47"/>
      <c r="FP253" s="47"/>
      <c r="FQ253" s="47"/>
      <c r="FR253" s="47"/>
      <c r="FS253" s="49"/>
      <c r="FT253" s="49"/>
      <c r="FU253" s="49"/>
      <c r="FV253" s="49"/>
      <c r="FW253" s="49"/>
      <c r="FX253" s="49"/>
      <c r="FY253" s="47"/>
      <c r="FZ253" s="103"/>
      <c r="GA253" s="49"/>
      <c r="GB253" s="49"/>
      <c r="GC253" s="49"/>
      <c r="GD253" s="49"/>
      <c r="GE253" s="49"/>
      <c r="GF253" s="49"/>
      <c r="GG253" s="48"/>
      <c r="GH253" s="48"/>
      <c r="GI253" s="48"/>
      <c r="GJ253" s="48"/>
      <c r="GK253" s="48"/>
      <c r="GL253" s="48"/>
      <c r="GM253" s="48"/>
      <c r="GN253" s="48"/>
      <c r="GO253" s="48"/>
      <c r="GP253" s="48"/>
      <c r="GQ253" s="48"/>
      <c r="GR253" s="48"/>
      <c r="GS253" s="48"/>
      <c r="GT253" s="48"/>
      <c r="GU253" s="48"/>
      <c r="GV253" s="48"/>
      <c r="GW253" s="48"/>
      <c r="GX253" s="48"/>
      <c r="GY253" s="48"/>
      <c r="GZ253" s="48"/>
      <c r="HA253" s="48"/>
      <c r="HB253" s="48"/>
      <c r="HC253" s="48"/>
      <c r="HD253" s="48"/>
      <c r="HE253" s="48"/>
      <c r="HF253" s="13"/>
      <c r="HG253" s="13"/>
      <c r="HH253" s="13"/>
    </row>
    <row r="254" spans="1:216" ht="16.95" customHeight="1">
      <c r="A254" s="1"/>
      <c r="B254" s="3"/>
      <c r="C254" s="3"/>
      <c r="D254" s="12" t="b">
        <f ca="1">IF(FO251=1,"Als je de productie alleen met hele eenheid uitbreidt, maakt het voor de totale")</f>
        <v>0</v>
      </c>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26"/>
      <c r="FL254" s="26"/>
      <c r="FM254" s="47"/>
      <c r="FN254" s="47"/>
      <c r="FO254" s="47"/>
      <c r="FP254" s="47"/>
      <c r="FQ254" s="47"/>
      <c r="FR254" s="47"/>
      <c r="FS254" s="49"/>
      <c r="FT254" s="49"/>
      <c r="FU254" s="49"/>
      <c r="FV254" s="49"/>
      <c r="FW254" s="49"/>
      <c r="FX254" s="49"/>
      <c r="FY254" s="47"/>
      <c r="FZ254" s="47"/>
      <c r="GA254" s="49"/>
      <c r="GB254" s="49"/>
      <c r="GC254" s="49"/>
      <c r="GD254" s="49"/>
      <c r="GE254" s="49"/>
      <c r="GF254" s="49"/>
      <c r="GG254" s="48"/>
      <c r="GH254" s="48"/>
      <c r="GI254" s="48"/>
      <c r="GJ254" s="48"/>
      <c r="GK254" s="48"/>
      <c r="GL254" s="48"/>
      <c r="GM254" s="48"/>
      <c r="GN254" s="48"/>
      <c r="GO254" s="48"/>
      <c r="GP254" s="48"/>
      <c r="GQ254" s="48"/>
      <c r="GR254" s="48"/>
      <c r="GS254" s="48"/>
      <c r="GT254" s="48"/>
      <c r="GU254" s="48"/>
      <c r="GV254" s="48"/>
      <c r="GW254" s="48"/>
      <c r="GX254" s="48"/>
      <c r="GY254" s="48"/>
      <c r="GZ254" s="48"/>
      <c r="HA254" s="48"/>
      <c r="HB254" s="48"/>
      <c r="HC254" s="48"/>
      <c r="HD254" s="48"/>
      <c r="HE254" s="48"/>
      <c r="HF254" s="13"/>
      <c r="HG254" s="13"/>
      <c r="HH254" s="13"/>
    </row>
    <row r="255" spans="1:216" ht="16.95" customHeight="1">
      <c r="A255" s="1"/>
      <c r="B255" s="3"/>
      <c r="C255" s="3"/>
      <c r="D255" s="12" t="b">
        <f ca="1">IF(FO251=1,"winst niet uit of je de eenheid waarbij geldt dat MO = MK wel of niet produceert.")</f>
        <v>0</v>
      </c>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26"/>
      <c r="FL255" s="26"/>
      <c r="FM255" s="47"/>
      <c r="FN255" s="47"/>
      <c r="FO255" s="47"/>
      <c r="FP255" s="47"/>
      <c r="FQ255" s="47"/>
      <c r="FR255" s="47"/>
      <c r="FS255" s="49"/>
      <c r="FT255" s="49"/>
      <c r="FU255" s="49"/>
      <c r="FV255" s="49"/>
      <c r="FW255" s="49"/>
      <c r="FX255" s="49"/>
      <c r="FY255" s="47"/>
      <c r="FZ255" s="47"/>
      <c r="GA255" s="49"/>
      <c r="GB255" s="49"/>
      <c r="GC255" s="49"/>
      <c r="GD255" s="49"/>
      <c r="GE255" s="49"/>
      <c r="GF255" s="49"/>
      <c r="GG255" s="48"/>
      <c r="GH255" s="48"/>
      <c r="GI255" s="48"/>
      <c r="GJ255" s="48"/>
      <c r="GK255" s="48"/>
      <c r="GL255" s="48"/>
      <c r="GM255" s="48"/>
      <c r="GN255" s="48"/>
      <c r="GO255" s="48"/>
      <c r="GP255" s="48"/>
      <c r="GQ255" s="48"/>
      <c r="GR255" s="48"/>
      <c r="GS255" s="48"/>
      <c r="GT255" s="48"/>
      <c r="GU255" s="48"/>
      <c r="GV255" s="48"/>
      <c r="GW255" s="48"/>
      <c r="GX255" s="48"/>
      <c r="GY255" s="48"/>
      <c r="GZ255" s="48"/>
      <c r="HA255" s="48"/>
      <c r="HB255" s="48"/>
      <c r="HC255" s="48"/>
      <c r="HD255" s="48"/>
      <c r="HE255" s="48"/>
      <c r="HF255" s="13"/>
      <c r="HG255" s="13"/>
      <c r="HH255" s="13"/>
    </row>
    <row r="256" spans="1:216" ht="16.95" customHeight="1">
      <c r="A256" s="1"/>
      <c r="B256" s="3"/>
      <c r="C256" s="3"/>
      <c r="D256" s="12" t="b">
        <f ca="1">IF(FO251=1,"Hieronder laten we dat met blokjes zien. Je ziet dat bij q = 0 alleen sprake is van")</f>
        <v>0</v>
      </c>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26"/>
      <c r="FL256" s="26"/>
      <c r="FM256" s="47"/>
      <c r="FN256" s="47"/>
      <c r="FO256" s="47"/>
      <c r="FP256" s="47"/>
      <c r="FQ256" s="47"/>
      <c r="FR256" s="47"/>
      <c r="FS256" s="49"/>
      <c r="FT256" s="49"/>
      <c r="FU256" s="49"/>
      <c r="FV256" s="49"/>
      <c r="FW256" s="49"/>
      <c r="FX256" s="49"/>
      <c r="FY256" s="47"/>
      <c r="FZ256" s="47"/>
      <c r="GA256" s="49"/>
      <c r="GB256" s="49"/>
      <c r="GC256" s="49"/>
      <c r="GD256" s="49"/>
      <c r="GE256" s="49"/>
      <c r="GF256" s="49"/>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13"/>
      <c r="HG256" s="13"/>
      <c r="HH256" s="13"/>
    </row>
    <row r="257" spans="1:216" ht="16.95" customHeight="1">
      <c r="A257" s="1"/>
      <c r="B257" s="3"/>
      <c r="C257" s="3"/>
      <c r="D257" s="12" t="str">
        <f ca="1">IF(FO251=0,"","constante kosten. Er is uitgegaan van de prijsafzetfunctie p = -q + 9 en van € 2")</f>
        <v/>
      </c>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462"/>
      <c r="AG257" s="462"/>
      <c r="AH257" s="462"/>
      <c r="AI257" s="462"/>
      <c r="AJ257" s="462"/>
      <c r="AK257" s="462"/>
      <c r="AL257" s="462"/>
      <c r="AM257" s="462"/>
      <c r="AN257" s="462"/>
      <c r="AO257" s="462"/>
      <c r="AP257" s="462"/>
      <c r="AQ257" s="462"/>
      <c r="AR257" s="462"/>
      <c r="AS257" s="462"/>
      <c r="AT257" s="462"/>
      <c r="AU257" s="462"/>
      <c r="AV257" s="462"/>
      <c r="AW257" s="462"/>
      <c r="AX257" s="462"/>
      <c r="AY257" s="462"/>
      <c r="AZ257" s="462"/>
      <c r="BA257" s="462"/>
      <c r="BB257" s="462"/>
      <c r="BC257" s="462"/>
      <c r="BD257" s="462"/>
      <c r="BE257" s="462"/>
      <c r="BF257" s="462"/>
      <c r="BG257" s="462"/>
      <c r="BH257" s="462"/>
      <c r="BI257" s="462"/>
      <c r="BJ257" s="462"/>
      <c r="BK257" s="462"/>
      <c r="BL257" s="462"/>
      <c r="BM257" s="462"/>
      <c r="BN257" s="462"/>
      <c r="BO257" s="462"/>
      <c r="BP257" s="462"/>
      <c r="BQ257" s="462"/>
      <c r="BR257" s="462"/>
      <c r="BS257" s="462"/>
      <c r="BT257" s="462"/>
      <c r="BU257" s="462"/>
      <c r="BV257" s="462"/>
      <c r="BW257" s="462"/>
      <c r="BX257" s="462"/>
      <c r="BY257" s="462"/>
      <c r="BZ257" s="462"/>
      <c r="CA257" s="462"/>
      <c r="CB257" s="462"/>
      <c r="CC257" s="462"/>
      <c r="CD257" s="462"/>
      <c r="CE257" s="462"/>
      <c r="CF257" s="462"/>
      <c r="CG257" s="462"/>
      <c r="CH257" s="462"/>
      <c r="CI257" s="462"/>
      <c r="CJ257" s="462"/>
      <c r="CK257" s="462"/>
      <c r="CL257" s="462"/>
      <c r="CM257" s="462"/>
      <c r="CN257" s="462"/>
      <c r="CO257" s="462"/>
      <c r="CP257" s="462"/>
      <c r="CQ257" s="462"/>
      <c r="CR257" s="462"/>
      <c r="CS257" s="462"/>
      <c r="CT257" s="462"/>
      <c r="CU257" s="462"/>
      <c r="CV257" s="462"/>
      <c r="CW257" s="462"/>
      <c r="CX257" s="462"/>
      <c r="CY257" s="462"/>
      <c r="CZ257" s="462"/>
      <c r="DA257" s="462"/>
      <c r="DB257" s="462"/>
      <c r="DC257" s="462"/>
      <c r="DD257" s="462"/>
      <c r="DE257" s="462"/>
      <c r="DF257" s="462"/>
      <c r="DG257" s="462"/>
      <c r="DH257" s="462"/>
      <c r="DI257" s="462"/>
      <c r="DJ257" s="462"/>
      <c r="DK257" s="462"/>
      <c r="DL257" s="462"/>
      <c r="DM257" s="462"/>
      <c r="DN257" s="462"/>
      <c r="DO257" s="462"/>
      <c r="DP257" s="462"/>
      <c r="DQ257" s="462"/>
      <c r="DR257" s="462"/>
      <c r="DS257" s="462"/>
      <c r="DT257" s="462"/>
      <c r="DU257" s="462"/>
      <c r="DV257" s="462"/>
      <c r="DW257" s="462"/>
      <c r="DX257" s="462"/>
      <c r="DY257" s="462"/>
      <c r="DZ257" s="462"/>
      <c r="EA257" s="462"/>
      <c r="EB257" s="462"/>
      <c r="EC257" s="462"/>
      <c r="ED257" s="462"/>
      <c r="EE257" s="462"/>
      <c r="EF257" s="462"/>
      <c r="EG257" s="462"/>
      <c r="EH257" s="462"/>
      <c r="EI257" s="462"/>
      <c r="EJ257" s="462"/>
      <c r="EK257" s="462"/>
      <c r="EL257" s="462"/>
      <c r="EM257" s="462"/>
      <c r="EN257" s="462"/>
      <c r="EO257" s="462"/>
      <c r="EP257" s="462"/>
      <c r="EQ257" s="462"/>
      <c r="ER257" s="462"/>
      <c r="ES257" s="462"/>
      <c r="ET257" s="462"/>
      <c r="EU257" s="462"/>
      <c r="EV257" s="462"/>
      <c r="EW257" s="462"/>
      <c r="EX257" s="462"/>
      <c r="EY257" s="462"/>
      <c r="EZ257" s="462"/>
      <c r="FA257" s="462"/>
      <c r="FB257" s="462"/>
      <c r="FC257" s="462"/>
      <c r="FD257" s="462"/>
      <c r="FE257" s="462"/>
      <c r="FF257" s="462"/>
      <c r="FG257" s="462"/>
      <c r="FH257" s="462"/>
      <c r="FI257" s="462"/>
      <c r="FJ257" s="462"/>
      <c r="FK257" s="43"/>
      <c r="FL257" s="43"/>
      <c r="FM257" s="47"/>
      <c r="FN257" s="47"/>
      <c r="FO257" s="47"/>
      <c r="FP257" s="47"/>
      <c r="FQ257" s="47"/>
      <c r="FR257" s="47"/>
      <c r="FS257" s="49"/>
      <c r="FT257" s="49"/>
      <c r="FU257" s="49"/>
      <c r="FV257" s="49"/>
      <c r="FW257" s="49"/>
      <c r="FX257" s="49"/>
      <c r="FY257" s="47"/>
      <c r="FZ257" s="94"/>
      <c r="GA257" s="49"/>
      <c r="GB257" s="49"/>
      <c r="GC257" s="49"/>
      <c r="GD257" s="49"/>
      <c r="GE257" s="49"/>
      <c r="GF257" s="49"/>
      <c r="GG257" s="48"/>
      <c r="GH257" s="48"/>
      <c r="GI257" s="48"/>
      <c r="GJ257" s="48"/>
      <c r="GK257" s="48"/>
      <c r="GL257" s="48"/>
      <c r="GM257" s="48"/>
      <c r="GN257" s="48"/>
      <c r="GO257" s="48"/>
      <c r="GP257" s="48"/>
      <c r="GQ257" s="48"/>
      <c r="GR257" s="48"/>
      <c r="GS257" s="48"/>
      <c r="GT257" s="48"/>
      <c r="GU257" s="48"/>
      <c r="GV257" s="48"/>
      <c r="GW257" s="48"/>
      <c r="GX257" s="48"/>
      <c r="GY257" s="48"/>
      <c r="GZ257" s="48"/>
      <c r="HA257" s="48"/>
      <c r="HB257" s="48"/>
      <c r="HC257" s="48"/>
      <c r="HD257" s="48"/>
      <c r="HE257" s="48"/>
      <c r="HF257" s="13"/>
      <c r="HG257" s="13"/>
      <c r="HH257" s="13"/>
    </row>
    <row r="258" spans="1:216" ht="16.95" customHeight="1">
      <c r="A258" s="1"/>
      <c r="B258" s="3"/>
      <c r="C258" s="3"/>
      <c r="D258" s="12" t="str">
        <f ca="1">IF(FO251=0,"","variabele kosten per eenheid. Ga op het zwartomrande vak staan en kies voor 1,")</f>
        <v/>
      </c>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462"/>
      <c r="AG258" s="462"/>
      <c r="AH258" s="462"/>
      <c r="AI258" s="462"/>
      <c r="AJ258" s="462"/>
      <c r="AK258" s="462"/>
      <c r="AL258" s="462"/>
      <c r="AM258" s="462"/>
      <c r="AN258" s="462"/>
      <c r="AO258" s="462"/>
      <c r="AP258" s="462"/>
      <c r="AQ258" s="462"/>
      <c r="AR258" s="462"/>
      <c r="AS258" s="462"/>
      <c r="AT258" s="462"/>
      <c r="AU258" s="462"/>
      <c r="AV258" s="462"/>
      <c r="AW258" s="462"/>
      <c r="AX258" s="462"/>
      <c r="AY258" s="462"/>
      <c r="AZ258" s="462"/>
      <c r="BA258" s="462"/>
      <c r="BB258" s="462"/>
      <c r="BC258" s="462"/>
      <c r="BD258" s="462"/>
      <c r="BE258" s="462"/>
      <c r="BF258" s="462"/>
      <c r="BG258" s="462"/>
      <c r="BH258" s="462"/>
      <c r="BI258" s="462"/>
      <c r="BJ258" s="462"/>
      <c r="BK258" s="462"/>
      <c r="BL258" s="462"/>
      <c r="BM258" s="462"/>
      <c r="BN258" s="462"/>
      <c r="BO258" s="462"/>
      <c r="BP258" s="462"/>
      <c r="BQ258" s="462"/>
      <c r="BR258" s="462"/>
      <c r="BS258" s="462"/>
      <c r="BT258" s="462"/>
      <c r="BU258" s="462"/>
      <c r="BV258" s="462"/>
      <c r="BW258" s="462"/>
      <c r="BX258" s="462"/>
      <c r="BY258" s="462"/>
      <c r="BZ258" s="462"/>
      <c r="CA258" s="462"/>
      <c r="CB258" s="462"/>
      <c r="CC258" s="462"/>
      <c r="CD258" s="462"/>
      <c r="CE258" s="462"/>
      <c r="CF258" s="462"/>
      <c r="CG258" s="462"/>
      <c r="CH258" s="462"/>
      <c r="CI258" s="462"/>
      <c r="CJ258" s="462"/>
      <c r="CK258" s="462"/>
      <c r="CL258" s="462"/>
      <c r="CM258" s="462"/>
      <c r="CN258" s="462"/>
      <c r="CO258" s="462"/>
      <c r="CP258" s="462"/>
      <c r="CQ258" s="462"/>
      <c r="CR258" s="462"/>
      <c r="CS258" s="462"/>
      <c r="CT258" s="462"/>
      <c r="CU258" s="462"/>
      <c r="CV258" s="462"/>
      <c r="CW258" s="462"/>
      <c r="CX258" s="462"/>
      <c r="CY258" s="462"/>
      <c r="CZ258" s="462"/>
      <c r="DA258" s="462"/>
      <c r="DB258" s="462"/>
      <c r="DC258" s="462"/>
      <c r="DD258" s="462"/>
      <c r="DE258" s="462"/>
      <c r="DF258" s="462"/>
      <c r="DG258" s="462"/>
      <c r="DH258" s="462"/>
      <c r="DI258" s="462"/>
      <c r="DJ258" s="462"/>
      <c r="DK258" s="462"/>
      <c r="DL258" s="462"/>
      <c r="DM258" s="462"/>
      <c r="DN258" s="462"/>
      <c r="DO258" s="462"/>
      <c r="DP258" s="462"/>
      <c r="DQ258" s="462"/>
      <c r="DR258" s="462"/>
      <c r="DS258" s="462"/>
      <c r="DT258" s="462"/>
      <c r="DU258" s="462"/>
      <c r="DV258" s="462"/>
      <c r="DW258" s="462"/>
      <c r="DX258" s="462"/>
      <c r="DY258" s="462"/>
      <c r="DZ258" s="462"/>
      <c r="EA258" s="462"/>
      <c r="EB258" s="462"/>
      <c r="EC258" s="462"/>
      <c r="ED258" s="462"/>
      <c r="EE258" s="462"/>
      <c r="EF258" s="462"/>
      <c r="EG258" s="462"/>
      <c r="EH258" s="462"/>
      <c r="EI258" s="462"/>
      <c r="EJ258" s="462"/>
      <c r="EK258" s="462"/>
      <c r="EL258" s="462"/>
      <c r="EM258" s="462"/>
      <c r="EN258" s="462"/>
      <c r="EO258" s="462"/>
      <c r="EP258" s="462"/>
      <c r="EQ258" s="462"/>
      <c r="ER258" s="462"/>
      <c r="ES258" s="462"/>
      <c r="ET258" s="462"/>
      <c r="EU258" s="462"/>
      <c r="EV258" s="462"/>
      <c r="EW258" s="462"/>
      <c r="EX258" s="462"/>
      <c r="EY258" s="462"/>
      <c r="EZ258" s="462"/>
      <c r="FA258" s="462"/>
      <c r="FB258" s="462"/>
      <c r="FC258" s="462"/>
      <c r="FD258" s="462"/>
      <c r="FE258" s="462"/>
      <c r="FF258" s="458"/>
      <c r="FG258" s="43"/>
      <c r="FH258" s="351"/>
      <c r="FI258" s="351"/>
      <c r="FJ258" s="351"/>
      <c r="FK258" s="351"/>
      <c r="FL258" s="351"/>
      <c r="FM258" s="93"/>
      <c r="FN258" s="93"/>
      <c r="FO258" s="459"/>
      <c r="FP258" s="459"/>
      <c r="FQ258" s="116"/>
      <c r="FR258" s="116"/>
      <c r="FS258" s="338"/>
      <c r="FT258" s="338"/>
      <c r="FU258" s="338"/>
      <c r="FV258" s="338"/>
      <c r="FW258" s="338"/>
      <c r="FX258" s="338"/>
      <c r="FY258" s="338"/>
      <c r="FZ258" s="338"/>
      <c r="GA258" s="338"/>
      <c r="GB258" s="338"/>
      <c r="GC258" s="338"/>
      <c r="GD258" s="338"/>
      <c r="GE258" s="338"/>
      <c r="GF258" s="338"/>
      <c r="GG258" s="338"/>
      <c r="GH258" s="338"/>
      <c r="GI258" s="338"/>
      <c r="GJ258" s="48"/>
      <c r="GK258" s="48"/>
      <c r="GL258" s="48"/>
      <c r="GM258" s="48"/>
      <c r="GN258" s="48"/>
      <c r="GO258" s="48"/>
      <c r="GP258" s="48"/>
      <c r="GQ258" s="48"/>
      <c r="GR258" s="48"/>
      <c r="GS258" s="48"/>
      <c r="GT258" s="48"/>
      <c r="GU258" s="48"/>
      <c r="GV258" s="48"/>
      <c r="GW258" s="48"/>
      <c r="GX258" s="48"/>
      <c r="GY258" s="48"/>
      <c r="GZ258" s="48"/>
      <c r="HA258" s="48"/>
      <c r="HB258" s="48"/>
      <c r="HC258" s="48"/>
      <c r="HD258" s="48"/>
      <c r="HE258" s="48"/>
    </row>
    <row r="259" spans="1:216" ht="16.95" customHeight="1">
      <c r="A259" s="1"/>
      <c r="B259" s="3"/>
      <c r="C259" s="3"/>
      <c r="D259" s="12" t="str">
        <f ca="1">IF(FO251=0,"","dan 2 enzovoorts.")</f>
        <v/>
      </c>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462"/>
      <c r="AG259" s="462"/>
      <c r="AH259" s="462"/>
      <c r="AI259" s="462"/>
      <c r="AJ259" s="462"/>
      <c r="AK259" s="462"/>
      <c r="AL259" s="462"/>
      <c r="AM259" s="462"/>
      <c r="AN259" s="462"/>
      <c r="AO259" s="462"/>
      <c r="AP259" s="462"/>
      <c r="AQ259" s="462"/>
      <c r="AR259" s="462"/>
      <c r="AS259" s="462"/>
      <c r="AT259" s="462"/>
      <c r="AU259" s="462"/>
      <c r="AV259" s="462"/>
      <c r="AW259" s="462"/>
      <c r="AX259" s="462"/>
      <c r="AY259" s="462"/>
      <c r="AZ259" s="462"/>
      <c r="BA259" s="462"/>
      <c r="BB259" s="462"/>
      <c r="BC259" s="462"/>
      <c r="BD259" s="462"/>
      <c r="BE259" s="462"/>
      <c r="BF259" s="462"/>
      <c r="BG259" s="462"/>
      <c r="BH259" s="462"/>
      <c r="BI259" s="462"/>
      <c r="BJ259" s="462"/>
      <c r="BK259" s="462"/>
      <c r="BL259" s="462"/>
      <c r="BM259" s="462"/>
      <c r="BN259" s="462"/>
      <c r="BO259" s="462"/>
      <c r="BP259" s="462"/>
      <c r="BQ259" s="462"/>
      <c r="BR259" s="462"/>
      <c r="BS259" s="462"/>
      <c r="BT259" s="462"/>
      <c r="BU259" s="462"/>
      <c r="BV259" s="462"/>
      <c r="BW259" s="462"/>
      <c r="BX259" s="462"/>
      <c r="BY259" s="462"/>
      <c r="BZ259" s="462"/>
      <c r="CA259" s="462"/>
      <c r="CB259" s="462"/>
      <c r="CC259" s="462"/>
      <c r="CD259" s="462"/>
      <c r="CE259" s="462"/>
      <c r="CF259" s="462"/>
      <c r="CG259" s="462"/>
      <c r="CH259" s="462"/>
      <c r="CI259" s="462"/>
      <c r="CJ259" s="462"/>
      <c r="CK259" s="462"/>
      <c r="CL259" s="462"/>
      <c r="CM259" s="462"/>
      <c r="CN259" s="462"/>
      <c r="CO259" s="462"/>
      <c r="CP259" s="462"/>
      <c r="CQ259" s="462"/>
      <c r="CR259" s="462"/>
      <c r="CS259" s="462"/>
      <c r="CT259" s="462"/>
      <c r="CU259" s="462"/>
      <c r="CV259" s="462"/>
      <c r="CW259" s="462"/>
      <c r="CX259" s="462"/>
      <c r="CY259" s="462"/>
      <c r="CZ259" s="462"/>
      <c r="DA259" s="462"/>
      <c r="DB259" s="462"/>
      <c r="DC259" s="462"/>
      <c r="DD259" s="462"/>
      <c r="DE259" s="462"/>
      <c r="DF259" s="462"/>
      <c r="DG259" s="462"/>
      <c r="DH259" s="462"/>
      <c r="DI259" s="462"/>
      <c r="DJ259" s="462"/>
      <c r="DK259" s="462"/>
      <c r="DL259" s="462"/>
      <c r="DM259" s="462"/>
      <c r="DN259" s="462"/>
      <c r="DO259" s="462"/>
      <c r="DP259" s="462"/>
      <c r="DQ259" s="462"/>
      <c r="DR259" s="462"/>
      <c r="DS259" s="462"/>
      <c r="DT259" s="462"/>
      <c r="DU259" s="462"/>
      <c r="DV259" s="462"/>
      <c r="DW259" s="462"/>
      <c r="DX259" s="462"/>
      <c r="DY259" s="462"/>
      <c r="DZ259" s="462"/>
      <c r="EA259" s="462"/>
      <c r="EB259" s="462"/>
      <c r="EC259" s="462"/>
      <c r="ED259" s="462"/>
      <c r="EE259" s="462"/>
      <c r="EF259" s="462"/>
      <c r="EG259" s="462"/>
      <c r="EH259" s="462"/>
      <c r="EI259" s="462"/>
      <c r="EJ259" s="462"/>
      <c r="EK259" s="462"/>
      <c r="EL259" s="462"/>
      <c r="EM259" s="462"/>
      <c r="EN259" s="462"/>
      <c r="EO259" s="462"/>
      <c r="EP259" s="462"/>
      <c r="EQ259" s="462"/>
      <c r="ER259" s="462"/>
      <c r="ES259" s="462"/>
      <c r="ET259" s="462"/>
      <c r="EU259" s="462"/>
      <c r="EV259" s="462"/>
      <c r="EW259" s="462"/>
      <c r="EX259" s="462"/>
      <c r="EY259" s="462"/>
      <c r="EZ259" s="462"/>
      <c r="FA259" s="462"/>
      <c r="FB259" s="462"/>
      <c r="FC259" s="462"/>
      <c r="FD259" s="462"/>
      <c r="FE259" s="462"/>
      <c r="FF259" s="458"/>
      <c r="FG259" s="43"/>
      <c r="FH259" s="351"/>
      <c r="FI259" s="351"/>
      <c r="FJ259" s="351"/>
      <c r="FK259" s="351"/>
      <c r="FL259" s="351"/>
      <c r="FM259" s="93"/>
      <c r="FN259" s="93"/>
      <c r="FO259" s="459"/>
      <c r="FP259" s="459"/>
      <c r="FQ259" s="116"/>
      <c r="FR259" s="116"/>
      <c r="FS259" s="338"/>
      <c r="FT259" s="338"/>
      <c r="FU259" s="338"/>
      <c r="FV259" s="338"/>
      <c r="FW259" s="338"/>
      <c r="FX259" s="338"/>
      <c r="FY259" s="338"/>
      <c r="FZ259" s="338"/>
      <c r="GA259" s="338"/>
      <c r="GB259" s="338"/>
      <c r="GC259" s="338"/>
      <c r="GD259" s="338"/>
      <c r="GE259" s="338"/>
      <c r="GF259" s="338"/>
      <c r="GG259" s="338"/>
      <c r="GH259" s="338"/>
      <c r="GI259" s="33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row>
    <row r="260" spans="1:216" ht="10.199999999999999" customHeight="1">
      <c r="A260" s="1"/>
      <c r="B260" s="3"/>
      <c r="C260" s="3"/>
      <c r="D260" s="12"/>
      <c r="E260" s="461"/>
      <c r="F260" s="461"/>
      <c r="G260" s="461"/>
      <c r="H260" s="43"/>
      <c r="I260" s="43"/>
      <c r="J260" s="43"/>
      <c r="K260" s="43"/>
      <c r="L260" s="43"/>
      <c r="M260" s="43"/>
      <c r="N260" s="43"/>
      <c r="O260" s="43"/>
      <c r="P260" s="43"/>
      <c r="Q260" s="43"/>
      <c r="R260" s="43"/>
      <c r="S260" s="43"/>
      <c r="T260" s="43"/>
      <c r="U260" s="43"/>
      <c r="V260" s="43"/>
      <c r="W260" s="43"/>
      <c r="X260" s="43"/>
      <c r="Y260" s="460"/>
      <c r="Z260" s="460"/>
      <c r="AA260" s="460"/>
      <c r="AB260" s="43"/>
      <c r="AC260" s="43"/>
      <c r="AD260" s="43"/>
      <c r="AE260" s="43"/>
      <c r="AF260" s="622" t="str">
        <f ca="1">IF(FO251=0,"",IF(FP262=1,"Als de productie 1 in plaats van 0 stuks is, kun je een prijs vragen van  -1 x 1 + 9 =
€ 8. TO stijgt van € 0 naar € 8, dus MO = € 8. MK = € 2, dus MO &gt; MK en je ziet dat het resultaat (TW) is verbeterd. Kies nu voor 2.",IF(FP262=2,"Als de productie 2 in plaats van 1 stuk is, kun je een prijs vragen van  -1 x 2 + 9 =
€ 7. TO stijgt van € 8 naar € 14, dus MO = € 6. MK = € 2 , dus MO &gt; MK en je ziet dat het resultaat (TW) is verbeterd. Kies nu voor 3.",IF(FP262=3,"Als de productie 3 in plaats van 2 stuks is, kun je een prijs vragen van  -1 x 3 + 9 =
€ 6. TO stijgt van € 14 naar € 18, dus MO = € 4. MK = € 2 , dus MO &gt; MK en je ziet dat het resultaat (TW) is verbeterd. Kies nu voor 4.",IF(FP262=4,"Als de productie 4 in plaats van 3 stuks is, kun je een prijs vragen van  -1 x 4 + 9 =
€ 5. TO stijgt van € 18 naar € 20, dus MO = € 2. MK = € 2 , dus MO = MK en je ziet dat het resultaat (TW) hetzelfde blijft. Kies nu voor 5.",IF(FP262=5,"Als de productie 5 in plaats van 4 stuks is, kun je een prijs vragen van  -1 x 5 + 9 =
€ 4. TO blijft nu € 20, dus MO = € 0. MK = € 2 , dus MO &lt; MK en je ziet dat het resultaat (TW) is verslechterd.","Bij een productie van 0 stuks is de prijs -1 x 0 + 9 = € 9, maar omdat je niets verkoopt, geldt TO = € 0. Ook TVK = € 0, vandaar dat aleen het blokje van de TCK te zien is."))))))</f>
        <v/>
      </c>
      <c r="AG260" s="623"/>
      <c r="AH260" s="623"/>
      <c r="AI260" s="623"/>
      <c r="AJ260" s="623"/>
      <c r="AK260" s="623"/>
      <c r="AL260" s="623"/>
      <c r="AM260" s="623"/>
      <c r="AN260" s="623"/>
      <c r="AO260" s="623"/>
      <c r="AP260" s="623"/>
      <c r="AQ260" s="623"/>
      <c r="AR260" s="623"/>
      <c r="AS260" s="623"/>
      <c r="AT260" s="623"/>
      <c r="AU260" s="623"/>
      <c r="AV260" s="623"/>
      <c r="AW260" s="623"/>
      <c r="AX260" s="623"/>
      <c r="AY260" s="623"/>
      <c r="AZ260" s="623"/>
      <c r="BA260" s="623"/>
      <c r="BB260" s="623"/>
      <c r="BC260" s="623"/>
      <c r="BD260" s="623"/>
      <c r="BE260" s="623"/>
      <c r="BF260" s="623"/>
      <c r="BG260" s="623"/>
      <c r="BH260" s="623"/>
      <c r="BI260" s="623"/>
      <c r="BJ260" s="623"/>
      <c r="BK260" s="623"/>
      <c r="BL260" s="623"/>
      <c r="BM260" s="623"/>
      <c r="BN260" s="623"/>
      <c r="BO260" s="623"/>
      <c r="BP260" s="623"/>
      <c r="BQ260" s="623"/>
      <c r="BR260" s="623"/>
      <c r="BS260" s="623"/>
      <c r="BT260" s="623"/>
      <c r="BU260" s="623"/>
      <c r="BV260" s="623"/>
      <c r="BW260" s="623"/>
      <c r="BX260" s="623"/>
      <c r="BY260" s="623"/>
      <c r="BZ260" s="623"/>
      <c r="CA260" s="623"/>
      <c r="CB260" s="623"/>
      <c r="CC260" s="623"/>
      <c r="CD260" s="623"/>
      <c r="CE260" s="623"/>
      <c r="CF260" s="623"/>
      <c r="CG260" s="623"/>
      <c r="CH260" s="623"/>
      <c r="CI260" s="623"/>
      <c r="CJ260" s="623"/>
      <c r="CK260" s="623"/>
      <c r="CL260" s="623"/>
      <c r="CM260" s="623"/>
      <c r="CN260" s="623"/>
      <c r="CO260" s="623"/>
      <c r="CP260" s="623"/>
      <c r="CQ260" s="623"/>
      <c r="CR260" s="623"/>
      <c r="CS260" s="623"/>
      <c r="CT260" s="623"/>
      <c r="CU260" s="623"/>
      <c r="CV260" s="623"/>
      <c r="CW260" s="623"/>
      <c r="CX260" s="623"/>
      <c r="CY260" s="623"/>
      <c r="CZ260" s="623"/>
      <c r="DA260" s="623"/>
      <c r="DB260" s="623"/>
      <c r="DC260" s="623"/>
      <c r="DD260" s="623"/>
      <c r="DE260" s="623"/>
      <c r="DF260" s="623"/>
      <c r="DG260" s="623"/>
      <c r="DH260" s="623"/>
      <c r="DI260" s="623"/>
      <c r="DJ260" s="623"/>
      <c r="DK260" s="623"/>
      <c r="DL260" s="623"/>
      <c r="DM260" s="623"/>
      <c r="DN260" s="623"/>
      <c r="DO260" s="623"/>
      <c r="DP260" s="623"/>
      <c r="DQ260" s="623"/>
      <c r="DR260" s="623"/>
      <c r="DS260" s="623"/>
      <c r="DT260" s="623"/>
      <c r="DU260" s="623"/>
      <c r="DV260" s="623"/>
      <c r="DW260" s="623"/>
      <c r="DX260" s="623"/>
      <c r="DY260" s="623"/>
      <c r="DZ260" s="623"/>
      <c r="EA260" s="623"/>
      <c r="EB260" s="623"/>
      <c r="EC260" s="623"/>
      <c r="ED260" s="623"/>
      <c r="EE260" s="623"/>
      <c r="EF260" s="623"/>
      <c r="EG260" s="623"/>
      <c r="EH260" s="623"/>
      <c r="EI260" s="623"/>
      <c r="EJ260" s="623"/>
      <c r="EK260" s="623"/>
      <c r="EL260" s="623"/>
      <c r="EM260" s="623"/>
      <c r="EN260" s="623"/>
      <c r="EO260" s="623"/>
      <c r="EP260" s="623"/>
      <c r="EQ260" s="623"/>
      <c r="ER260" s="623"/>
      <c r="ES260" s="623"/>
      <c r="ET260" s="623"/>
      <c r="EU260" s="623"/>
      <c r="EV260" s="623"/>
      <c r="EW260" s="623"/>
      <c r="EX260" s="623"/>
      <c r="EY260" s="623"/>
      <c r="EZ260" s="623"/>
      <c r="FA260" s="623"/>
      <c r="FB260" s="623"/>
      <c r="FC260" s="43"/>
      <c r="FD260" s="43"/>
      <c r="FE260" s="43"/>
      <c r="FF260" s="43"/>
      <c r="FG260" s="43"/>
      <c r="FH260" s="351"/>
      <c r="FI260" s="351"/>
      <c r="FJ260" s="351"/>
      <c r="FK260" s="351"/>
      <c r="FL260" s="351"/>
      <c r="FM260" s="93"/>
      <c r="FN260" s="93"/>
      <c r="FO260" s="93"/>
      <c r="FP260" s="170"/>
      <c r="FQ260" s="170"/>
      <c r="FR260" s="170"/>
      <c r="FS260" s="170"/>
      <c r="FT260" s="170"/>
      <c r="FU260" s="170"/>
      <c r="FV260" s="170"/>
      <c r="FW260" s="170"/>
      <c r="FX260" s="170"/>
      <c r="FY260" s="338"/>
      <c r="FZ260" s="338"/>
      <c r="GA260" s="338"/>
      <c r="GB260" s="338"/>
      <c r="GC260" s="338"/>
      <c r="GD260" s="338"/>
      <c r="GE260" s="338"/>
      <c r="GF260" s="338"/>
      <c r="GG260" s="338"/>
      <c r="GH260" s="338"/>
      <c r="GI260" s="338"/>
      <c r="GJ260" s="48"/>
      <c r="GK260" s="48"/>
      <c r="GL260" s="48"/>
      <c r="GM260" s="48"/>
      <c r="GN260" s="48"/>
      <c r="GO260" s="48"/>
      <c r="GP260" s="48"/>
      <c r="GQ260" s="48"/>
      <c r="GR260" s="48"/>
      <c r="GS260" s="48"/>
      <c r="GT260" s="48"/>
      <c r="GU260" s="48"/>
      <c r="GV260" s="48"/>
      <c r="GW260" s="48"/>
      <c r="GX260" s="48"/>
      <c r="GY260" s="48"/>
      <c r="GZ260" s="48"/>
      <c r="HA260" s="48"/>
      <c r="HB260" s="48"/>
      <c r="HC260" s="48"/>
      <c r="HD260" s="48"/>
      <c r="HE260" s="48"/>
    </row>
    <row r="261" spans="1:216" ht="3.75" customHeight="1">
      <c r="A261" s="1"/>
      <c r="B261" s="3"/>
      <c r="C261" s="3"/>
      <c r="D261" s="12"/>
      <c r="E261" s="461"/>
      <c r="F261" s="461"/>
      <c r="G261" s="461"/>
      <c r="H261" s="43"/>
      <c r="I261" s="43"/>
      <c r="J261" s="43"/>
      <c r="K261" s="43"/>
      <c r="L261" s="43"/>
      <c r="M261" s="43"/>
      <c r="N261" s="43"/>
      <c r="O261" s="43"/>
      <c r="P261" s="43"/>
      <c r="Q261" s="43"/>
      <c r="R261" s="43"/>
      <c r="S261" s="43"/>
      <c r="T261" s="43"/>
      <c r="U261" s="43"/>
      <c r="V261" s="43"/>
      <c r="W261" s="545" t="str">
        <f ca="1">IF(FO251=0,"","`")</f>
        <v/>
      </c>
      <c r="X261" s="545"/>
      <c r="Y261" s="545"/>
      <c r="Z261" s="545"/>
      <c r="AA261" s="545"/>
      <c r="AB261" s="545"/>
      <c r="AC261" s="545"/>
      <c r="AD261" s="43"/>
      <c r="AE261" s="43"/>
      <c r="AF261" s="623"/>
      <c r="AG261" s="623"/>
      <c r="AH261" s="623"/>
      <c r="AI261" s="623"/>
      <c r="AJ261" s="623"/>
      <c r="AK261" s="623"/>
      <c r="AL261" s="623"/>
      <c r="AM261" s="623"/>
      <c r="AN261" s="623"/>
      <c r="AO261" s="623"/>
      <c r="AP261" s="623"/>
      <c r="AQ261" s="623"/>
      <c r="AR261" s="623"/>
      <c r="AS261" s="623"/>
      <c r="AT261" s="623"/>
      <c r="AU261" s="623"/>
      <c r="AV261" s="623"/>
      <c r="AW261" s="623"/>
      <c r="AX261" s="623"/>
      <c r="AY261" s="623"/>
      <c r="AZ261" s="623"/>
      <c r="BA261" s="623"/>
      <c r="BB261" s="623"/>
      <c r="BC261" s="623"/>
      <c r="BD261" s="623"/>
      <c r="BE261" s="623"/>
      <c r="BF261" s="623"/>
      <c r="BG261" s="623"/>
      <c r="BH261" s="623"/>
      <c r="BI261" s="623"/>
      <c r="BJ261" s="623"/>
      <c r="BK261" s="623"/>
      <c r="BL261" s="623"/>
      <c r="BM261" s="623"/>
      <c r="BN261" s="623"/>
      <c r="BO261" s="623"/>
      <c r="BP261" s="623"/>
      <c r="BQ261" s="623"/>
      <c r="BR261" s="623"/>
      <c r="BS261" s="623"/>
      <c r="BT261" s="623"/>
      <c r="BU261" s="623"/>
      <c r="BV261" s="623"/>
      <c r="BW261" s="623"/>
      <c r="BX261" s="623"/>
      <c r="BY261" s="623"/>
      <c r="BZ261" s="623"/>
      <c r="CA261" s="623"/>
      <c r="CB261" s="623"/>
      <c r="CC261" s="623"/>
      <c r="CD261" s="623"/>
      <c r="CE261" s="623"/>
      <c r="CF261" s="623"/>
      <c r="CG261" s="623"/>
      <c r="CH261" s="623"/>
      <c r="CI261" s="623"/>
      <c r="CJ261" s="623"/>
      <c r="CK261" s="623"/>
      <c r="CL261" s="623"/>
      <c r="CM261" s="623"/>
      <c r="CN261" s="623"/>
      <c r="CO261" s="623"/>
      <c r="CP261" s="623"/>
      <c r="CQ261" s="623"/>
      <c r="CR261" s="623"/>
      <c r="CS261" s="623"/>
      <c r="CT261" s="623"/>
      <c r="CU261" s="623"/>
      <c r="CV261" s="623"/>
      <c r="CW261" s="623"/>
      <c r="CX261" s="623"/>
      <c r="CY261" s="623"/>
      <c r="CZ261" s="623"/>
      <c r="DA261" s="623"/>
      <c r="DB261" s="623"/>
      <c r="DC261" s="623"/>
      <c r="DD261" s="623"/>
      <c r="DE261" s="623"/>
      <c r="DF261" s="623"/>
      <c r="DG261" s="623"/>
      <c r="DH261" s="623"/>
      <c r="DI261" s="623"/>
      <c r="DJ261" s="623"/>
      <c r="DK261" s="623"/>
      <c r="DL261" s="623"/>
      <c r="DM261" s="623"/>
      <c r="DN261" s="623"/>
      <c r="DO261" s="623"/>
      <c r="DP261" s="623"/>
      <c r="DQ261" s="623"/>
      <c r="DR261" s="623"/>
      <c r="DS261" s="623"/>
      <c r="DT261" s="623"/>
      <c r="DU261" s="623"/>
      <c r="DV261" s="623"/>
      <c r="DW261" s="623"/>
      <c r="DX261" s="623"/>
      <c r="DY261" s="623"/>
      <c r="DZ261" s="623"/>
      <c r="EA261" s="623"/>
      <c r="EB261" s="623"/>
      <c r="EC261" s="623"/>
      <c r="ED261" s="623"/>
      <c r="EE261" s="623"/>
      <c r="EF261" s="623"/>
      <c r="EG261" s="623"/>
      <c r="EH261" s="623"/>
      <c r="EI261" s="623"/>
      <c r="EJ261" s="623"/>
      <c r="EK261" s="623"/>
      <c r="EL261" s="623"/>
      <c r="EM261" s="623"/>
      <c r="EN261" s="623"/>
      <c r="EO261" s="623"/>
      <c r="EP261" s="623"/>
      <c r="EQ261" s="623"/>
      <c r="ER261" s="623"/>
      <c r="ES261" s="623"/>
      <c r="ET261" s="623"/>
      <c r="EU261" s="623"/>
      <c r="EV261" s="623"/>
      <c r="EW261" s="623"/>
      <c r="EX261" s="623"/>
      <c r="EY261" s="623"/>
      <c r="EZ261" s="623"/>
      <c r="FA261" s="623"/>
      <c r="FB261" s="623"/>
      <c r="FC261" s="43"/>
      <c r="FD261" s="43"/>
      <c r="FE261" s="43"/>
      <c r="FF261" s="43"/>
      <c r="FG261" s="43"/>
      <c r="FH261" s="351"/>
      <c r="FI261" s="351"/>
      <c r="FJ261" s="351"/>
      <c r="FK261" s="351"/>
      <c r="FL261" s="351"/>
      <c r="FM261" s="93"/>
      <c r="FN261" s="93"/>
      <c r="FO261" s="93"/>
      <c r="FP261" s="170"/>
      <c r="FQ261" s="170"/>
      <c r="FR261" s="170"/>
      <c r="FS261" s="170"/>
      <c r="FT261" s="170"/>
      <c r="FU261" s="170"/>
      <c r="FV261" s="170"/>
      <c r="FW261" s="170"/>
      <c r="FX261" s="170"/>
      <c r="FY261" s="338"/>
      <c r="FZ261" s="338"/>
      <c r="GA261" s="338"/>
      <c r="GB261" s="338"/>
      <c r="GC261" s="338"/>
      <c r="GD261" s="338"/>
      <c r="GE261" s="338"/>
      <c r="GF261" s="338"/>
      <c r="GG261" s="338"/>
      <c r="GH261" s="338"/>
      <c r="GI261" s="338"/>
      <c r="GJ261" s="48"/>
      <c r="GK261" s="48"/>
      <c r="GL261" s="48"/>
      <c r="GM261" s="48"/>
      <c r="GN261" s="48"/>
      <c r="GO261" s="48"/>
      <c r="GP261" s="48"/>
      <c r="GQ261" s="48"/>
      <c r="GR261" s="48"/>
      <c r="GS261" s="48"/>
      <c r="GT261" s="48"/>
      <c r="GU261" s="48"/>
      <c r="GV261" s="48"/>
      <c r="GW261" s="48"/>
      <c r="GX261" s="48"/>
      <c r="GY261" s="48"/>
      <c r="GZ261" s="48"/>
      <c r="HA261" s="48"/>
      <c r="HB261" s="48"/>
      <c r="HC261" s="48"/>
      <c r="HD261" s="48"/>
      <c r="HE261" s="48"/>
    </row>
    <row r="262" spans="1:216" ht="16.5" customHeight="1">
      <c r="A262" s="1"/>
      <c r="B262" s="3"/>
      <c r="C262" s="3"/>
      <c r="D262" s="12"/>
      <c r="E262" s="461"/>
      <c r="F262" s="461"/>
      <c r="G262" s="461"/>
      <c r="H262" s="43"/>
      <c r="I262" s="43"/>
      <c r="J262" s="43"/>
      <c r="K262" s="43"/>
      <c r="L262" s="43"/>
      <c r="M262" s="43"/>
      <c r="N262" s="43"/>
      <c r="O262" s="43"/>
      <c r="P262" s="43"/>
      <c r="Q262" s="43"/>
      <c r="R262" s="43"/>
      <c r="S262" s="43"/>
      <c r="T262" s="43"/>
      <c r="U262" s="43"/>
      <c r="V262" s="43"/>
      <c r="W262" s="43" t="str">
        <f ca="1">IF(FO251=0,"","`")</f>
        <v/>
      </c>
      <c r="X262" s="610"/>
      <c r="Y262" s="610"/>
      <c r="Z262" s="610"/>
      <c r="AA262" s="610"/>
      <c r="AB262" s="610"/>
      <c r="AC262" s="156" t="str">
        <f ca="1">IF(FO251=0,"","`")</f>
        <v/>
      </c>
      <c r="AD262" s="43"/>
      <c r="AE262" s="43"/>
      <c r="AF262" s="623"/>
      <c r="AG262" s="623"/>
      <c r="AH262" s="623"/>
      <c r="AI262" s="623"/>
      <c r="AJ262" s="623"/>
      <c r="AK262" s="623"/>
      <c r="AL262" s="623"/>
      <c r="AM262" s="623"/>
      <c r="AN262" s="623"/>
      <c r="AO262" s="623"/>
      <c r="AP262" s="623"/>
      <c r="AQ262" s="623"/>
      <c r="AR262" s="623"/>
      <c r="AS262" s="623"/>
      <c r="AT262" s="623"/>
      <c r="AU262" s="623"/>
      <c r="AV262" s="623"/>
      <c r="AW262" s="623"/>
      <c r="AX262" s="623"/>
      <c r="AY262" s="623"/>
      <c r="AZ262" s="623"/>
      <c r="BA262" s="623"/>
      <c r="BB262" s="623"/>
      <c r="BC262" s="623"/>
      <c r="BD262" s="623"/>
      <c r="BE262" s="623"/>
      <c r="BF262" s="623"/>
      <c r="BG262" s="623"/>
      <c r="BH262" s="623"/>
      <c r="BI262" s="623"/>
      <c r="BJ262" s="623"/>
      <c r="BK262" s="623"/>
      <c r="BL262" s="623"/>
      <c r="BM262" s="623"/>
      <c r="BN262" s="623"/>
      <c r="BO262" s="623"/>
      <c r="BP262" s="623"/>
      <c r="BQ262" s="623"/>
      <c r="BR262" s="623"/>
      <c r="BS262" s="623"/>
      <c r="BT262" s="623"/>
      <c r="BU262" s="623"/>
      <c r="BV262" s="623"/>
      <c r="BW262" s="623"/>
      <c r="BX262" s="623"/>
      <c r="BY262" s="623"/>
      <c r="BZ262" s="623"/>
      <c r="CA262" s="623"/>
      <c r="CB262" s="623"/>
      <c r="CC262" s="623"/>
      <c r="CD262" s="623"/>
      <c r="CE262" s="623"/>
      <c r="CF262" s="623"/>
      <c r="CG262" s="623"/>
      <c r="CH262" s="623"/>
      <c r="CI262" s="623"/>
      <c r="CJ262" s="623"/>
      <c r="CK262" s="623"/>
      <c r="CL262" s="623"/>
      <c r="CM262" s="623"/>
      <c r="CN262" s="623"/>
      <c r="CO262" s="623"/>
      <c r="CP262" s="623"/>
      <c r="CQ262" s="623"/>
      <c r="CR262" s="623"/>
      <c r="CS262" s="623"/>
      <c r="CT262" s="623"/>
      <c r="CU262" s="623"/>
      <c r="CV262" s="623"/>
      <c r="CW262" s="623"/>
      <c r="CX262" s="623"/>
      <c r="CY262" s="623"/>
      <c r="CZ262" s="623"/>
      <c r="DA262" s="623"/>
      <c r="DB262" s="623"/>
      <c r="DC262" s="623"/>
      <c r="DD262" s="623"/>
      <c r="DE262" s="623"/>
      <c r="DF262" s="623"/>
      <c r="DG262" s="623"/>
      <c r="DH262" s="623"/>
      <c r="DI262" s="623"/>
      <c r="DJ262" s="623"/>
      <c r="DK262" s="623"/>
      <c r="DL262" s="623"/>
      <c r="DM262" s="623"/>
      <c r="DN262" s="623"/>
      <c r="DO262" s="623"/>
      <c r="DP262" s="623"/>
      <c r="DQ262" s="623"/>
      <c r="DR262" s="623"/>
      <c r="DS262" s="623"/>
      <c r="DT262" s="623"/>
      <c r="DU262" s="623"/>
      <c r="DV262" s="623"/>
      <c r="DW262" s="623"/>
      <c r="DX262" s="623"/>
      <c r="DY262" s="623"/>
      <c r="DZ262" s="623"/>
      <c r="EA262" s="623"/>
      <c r="EB262" s="623"/>
      <c r="EC262" s="623"/>
      <c r="ED262" s="623"/>
      <c r="EE262" s="623"/>
      <c r="EF262" s="623"/>
      <c r="EG262" s="623"/>
      <c r="EH262" s="623"/>
      <c r="EI262" s="623"/>
      <c r="EJ262" s="623"/>
      <c r="EK262" s="623"/>
      <c r="EL262" s="623"/>
      <c r="EM262" s="623"/>
      <c r="EN262" s="623"/>
      <c r="EO262" s="623"/>
      <c r="EP262" s="623"/>
      <c r="EQ262" s="623"/>
      <c r="ER262" s="623"/>
      <c r="ES262" s="623"/>
      <c r="ET262" s="623"/>
      <c r="EU262" s="623"/>
      <c r="EV262" s="623"/>
      <c r="EW262" s="623"/>
      <c r="EX262" s="623"/>
      <c r="EY262" s="623"/>
      <c r="EZ262" s="623"/>
      <c r="FA262" s="623"/>
      <c r="FB262" s="623"/>
      <c r="FC262" s="43"/>
      <c r="FD262" s="43"/>
      <c r="FE262" s="43"/>
      <c r="FF262" s="43"/>
      <c r="FG262" s="43"/>
      <c r="FH262" s="351"/>
      <c r="FI262" s="351"/>
      <c r="FJ262" s="351"/>
      <c r="FK262" s="351"/>
      <c r="FL262" s="351"/>
      <c r="FM262" s="93"/>
      <c r="FN262" s="93">
        <f ca="1">IF(programma!B1="X",1,IF(FO251=0,0,IF(programma!E5="docentversie",1,IF(X262=FU262,1,0))))</f>
        <v>0</v>
      </c>
      <c r="FO262" s="93"/>
      <c r="FP262" s="170">
        <f ca="1">IF(FO251=0,0,IF(X262="",0,X262))</f>
        <v>0</v>
      </c>
      <c r="FQ262" s="170">
        <v>1</v>
      </c>
      <c r="FR262" s="170">
        <v>2</v>
      </c>
      <c r="FS262" s="170">
        <v>3</v>
      </c>
      <c r="FT262" s="170">
        <v>4</v>
      </c>
      <c r="FU262" s="170">
        <v>5</v>
      </c>
      <c r="FV262" s="170"/>
      <c r="FW262" s="170"/>
      <c r="FX262" s="170"/>
      <c r="FY262" s="338"/>
      <c r="FZ262" s="338"/>
      <c r="GA262" s="338"/>
      <c r="GB262" s="338"/>
      <c r="GC262" s="338"/>
      <c r="GD262" s="338"/>
      <c r="GE262" s="338"/>
      <c r="GF262" s="338"/>
      <c r="GG262" s="338"/>
      <c r="GH262" s="338"/>
      <c r="GI262" s="33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row>
    <row r="263" spans="1:216" ht="3.75" customHeight="1">
      <c r="A263" s="1"/>
      <c r="B263" s="3"/>
      <c r="C263" s="3"/>
      <c r="D263" s="12"/>
      <c r="E263" s="461"/>
      <c r="F263" s="461"/>
      <c r="G263" s="461"/>
      <c r="H263" s="43"/>
      <c r="I263" s="43"/>
      <c r="J263" s="43"/>
      <c r="K263" s="43"/>
      <c r="L263" s="43"/>
      <c r="M263" s="43"/>
      <c r="N263" s="43"/>
      <c r="O263" s="43"/>
      <c r="P263" s="43"/>
      <c r="Q263" s="43"/>
      <c r="R263" s="43"/>
      <c r="S263" s="43"/>
      <c r="T263" s="43"/>
      <c r="U263" s="43"/>
      <c r="V263" s="43"/>
      <c r="W263" s="545" t="str">
        <f ca="1">IF(FO251=0,"","`")</f>
        <v/>
      </c>
      <c r="X263" s="545"/>
      <c r="Y263" s="545"/>
      <c r="Z263" s="545"/>
      <c r="AA263" s="545"/>
      <c r="AB263" s="545"/>
      <c r="AC263" s="545"/>
      <c r="AD263" s="146"/>
      <c r="AE263" s="146"/>
      <c r="AF263" s="623"/>
      <c r="AG263" s="623"/>
      <c r="AH263" s="623"/>
      <c r="AI263" s="623"/>
      <c r="AJ263" s="623"/>
      <c r="AK263" s="623"/>
      <c r="AL263" s="623"/>
      <c r="AM263" s="623"/>
      <c r="AN263" s="623"/>
      <c r="AO263" s="623"/>
      <c r="AP263" s="623"/>
      <c r="AQ263" s="623"/>
      <c r="AR263" s="623"/>
      <c r="AS263" s="623"/>
      <c r="AT263" s="623"/>
      <c r="AU263" s="623"/>
      <c r="AV263" s="623"/>
      <c r="AW263" s="623"/>
      <c r="AX263" s="623"/>
      <c r="AY263" s="623"/>
      <c r="AZ263" s="623"/>
      <c r="BA263" s="623"/>
      <c r="BB263" s="623"/>
      <c r="BC263" s="623"/>
      <c r="BD263" s="623"/>
      <c r="BE263" s="623"/>
      <c r="BF263" s="623"/>
      <c r="BG263" s="623"/>
      <c r="BH263" s="623"/>
      <c r="BI263" s="623"/>
      <c r="BJ263" s="623"/>
      <c r="BK263" s="623"/>
      <c r="BL263" s="623"/>
      <c r="BM263" s="623"/>
      <c r="BN263" s="623"/>
      <c r="BO263" s="623"/>
      <c r="BP263" s="623"/>
      <c r="BQ263" s="623"/>
      <c r="BR263" s="623"/>
      <c r="BS263" s="623"/>
      <c r="BT263" s="623"/>
      <c r="BU263" s="623"/>
      <c r="BV263" s="623"/>
      <c r="BW263" s="623"/>
      <c r="BX263" s="623"/>
      <c r="BY263" s="623"/>
      <c r="BZ263" s="623"/>
      <c r="CA263" s="623"/>
      <c r="CB263" s="623"/>
      <c r="CC263" s="623"/>
      <c r="CD263" s="623"/>
      <c r="CE263" s="623"/>
      <c r="CF263" s="623"/>
      <c r="CG263" s="623"/>
      <c r="CH263" s="623"/>
      <c r="CI263" s="623"/>
      <c r="CJ263" s="623"/>
      <c r="CK263" s="623"/>
      <c r="CL263" s="623"/>
      <c r="CM263" s="623"/>
      <c r="CN263" s="623"/>
      <c r="CO263" s="623"/>
      <c r="CP263" s="623"/>
      <c r="CQ263" s="623"/>
      <c r="CR263" s="623"/>
      <c r="CS263" s="623"/>
      <c r="CT263" s="623"/>
      <c r="CU263" s="623"/>
      <c r="CV263" s="623"/>
      <c r="CW263" s="623"/>
      <c r="CX263" s="623"/>
      <c r="CY263" s="623"/>
      <c r="CZ263" s="623"/>
      <c r="DA263" s="623"/>
      <c r="DB263" s="623"/>
      <c r="DC263" s="623"/>
      <c r="DD263" s="623"/>
      <c r="DE263" s="623"/>
      <c r="DF263" s="623"/>
      <c r="DG263" s="623"/>
      <c r="DH263" s="623"/>
      <c r="DI263" s="623"/>
      <c r="DJ263" s="623"/>
      <c r="DK263" s="623"/>
      <c r="DL263" s="623"/>
      <c r="DM263" s="623"/>
      <c r="DN263" s="623"/>
      <c r="DO263" s="623"/>
      <c r="DP263" s="623"/>
      <c r="DQ263" s="623"/>
      <c r="DR263" s="623"/>
      <c r="DS263" s="623"/>
      <c r="DT263" s="623"/>
      <c r="DU263" s="623"/>
      <c r="DV263" s="623"/>
      <c r="DW263" s="623"/>
      <c r="DX263" s="623"/>
      <c r="DY263" s="623"/>
      <c r="DZ263" s="623"/>
      <c r="EA263" s="623"/>
      <c r="EB263" s="623"/>
      <c r="EC263" s="623"/>
      <c r="ED263" s="623"/>
      <c r="EE263" s="623"/>
      <c r="EF263" s="623"/>
      <c r="EG263" s="623"/>
      <c r="EH263" s="623"/>
      <c r="EI263" s="623"/>
      <c r="EJ263" s="623"/>
      <c r="EK263" s="623"/>
      <c r="EL263" s="623"/>
      <c r="EM263" s="623"/>
      <c r="EN263" s="623"/>
      <c r="EO263" s="623"/>
      <c r="EP263" s="623"/>
      <c r="EQ263" s="623"/>
      <c r="ER263" s="623"/>
      <c r="ES263" s="623"/>
      <c r="ET263" s="623"/>
      <c r="EU263" s="623"/>
      <c r="EV263" s="623"/>
      <c r="EW263" s="623"/>
      <c r="EX263" s="623"/>
      <c r="EY263" s="623"/>
      <c r="EZ263" s="623"/>
      <c r="FA263" s="623"/>
      <c r="FB263" s="623"/>
      <c r="FC263" s="43"/>
      <c r="FD263" s="43"/>
      <c r="FE263" s="43"/>
      <c r="FF263" s="43"/>
      <c r="FG263" s="43"/>
      <c r="FH263" s="351"/>
      <c r="FI263" s="351"/>
      <c r="FJ263" s="351"/>
      <c r="FK263" s="351"/>
      <c r="FL263" s="351"/>
      <c r="FM263" s="93"/>
      <c r="FN263" s="93"/>
      <c r="FO263" s="93"/>
      <c r="FP263" s="170"/>
      <c r="FQ263" s="170"/>
      <c r="FR263" s="170"/>
      <c r="FS263" s="170"/>
      <c r="FT263" s="170"/>
      <c r="FU263" s="170"/>
      <c r="FV263" s="170"/>
      <c r="FW263" s="170"/>
      <c r="FX263" s="170"/>
      <c r="FY263" s="338"/>
      <c r="FZ263" s="338"/>
      <c r="GA263" s="338"/>
      <c r="GB263" s="338"/>
      <c r="GC263" s="338"/>
      <c r="GD263" s="338"/>
      <c r="GE263" s="338"/>
      <c r="GF263" s="338"/>
      <c r="GG263" s="338"/>
      <c r="GH263" s="338"/>
      <c r="GI263" s="338"/>
      <c r="GJ263" s="48"/>
      <c r="GK263" s="48"/>
      <c r="GL263" s="48"/>
      <c r="GM263" s="48"/>
      <c r="GN263" s="48"/>
      <c r="GO263" s="48"/>
      <c r="GP263" s="48"/>
      <c r="GQ263" s="48"/>
      <c r="GR263" s="48"/>
      <c r="GS263" s="48"/>
      <c r="GT263" s="48"/>
      <c r="GU263" s="48"/>
      <c r="GV263" s="48"/>
      <c r="GW263" s="48"/>
      <c r="GX263" s="48"/>
      <c r="GY263" s="48"/>
      <c r="GZ263" s="48"/>
      <c r="HA263" s="48"/>
      <c r="HB263" s="48"/>
      <c r="HC263" s="48"/>
      <c r="HD263" s="48"/>
      <c r="HE263" s="48"/>
    </row>
    <row r="264" spans="1:216" ht="16.95" customHeight="1">
      <c r="A264" s="1"/>
      <c r="B264" s="3"/>
      <c r="C264" s="3"/>
      <c r="D264" s="12"/>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623"/>
      <c r="AG264" s="623"/>
      <c r="AH264" s="623"/>
      <c r="AI264" s="623"/>
      <c r="AJ264" s="623"/>
      <c r="AK264" s="623"/>
      <c r="AL264" s="623"/>
      <c r="AM264" s="623"/>
      <c r="AN264" s="623"/>
      <c r="AO264" s="623"/>
      <c r="AP264" s="623"/>
      <c r="AQ264" s="623"/>
      <c r="AR264" s="623"/>
      <c r="AS264" s="623"/>
      <c r="AT264" s="623"/>
      <c r="AU264" s="623"/>
      <c r="AV264" s="623"/>
      <c r="AW264" s="623"/>
      <c r="AX264" s="623"/>
      <c r="AY264" s="623"/>
      <c r="AZ264" s="623"/>
      <c r="BA264" s="623"/>
      <c r="BB264" s="623"/>
      <c r="BC264" s="623"/>
      <c r="BD264" s="623"/>
      <c r="BE264" s="623"/>
      <c r="BF264" s="623"/>
      <c r="BG264" s="623"/>
      <c r="BH264" s="623"/>
      <c r="BI264" s="623"/>
      <c r="BJ264" s="623"/>
      <c r="BK264" s="623"/>
      <c r="BL264" s="623"/>
      <c r="BM264" s="623"/>
      <c r="BN264" s="623"/>
      <c r="BO264" s="623"/>
      <c r="BP264" s="623"/>
      <c r="BQ264" s="623"/>
      <c r="BR264" s="623"/>
      <c r="BS264" s="623"/>
      <c r="BT264" s="623"/>
      <c r="BU264" s="623"/>
      <c r="BV264" s="623"/>
      <c r="BW264" s="623"/>
      <c r="BX264" s="623"/>
      <c r="BY264" s="623"/>
      <c r="BZ264" s="623"/>
      <c r="CA264" s="623"/>
      <c r="CB264" s="623"/>
      <c r="CC264" s="623"/>
      <c r="CD264" s="623"/>
      <c r="CE264" s="623"/>
      <c r="CF264" s="623"/>
      <c r="CG264" s="623"/>
      <c r="CH264" s="623"/>
      <c r="CI264" s="623"/>
      <c r="CJ264" s="623"/>
      <c r="CK264" s="623"/>
      <c r="CL264" s="623"/>
      <c r="CM264" s="623"/>
      <c r="CN264" s="623"/>
      <c r="CO264" s="623"/>
      <c r="CP264" s="623"/>
      <c r="CQ264" s="623"/>
      <c r="CR264" s="623"/>
      <c r="CS264" s="623"/>
      <c r="CT264" s="623"/>
      <c r="CU264" s="623"/>
      <c r="CV264" s="623"/>
      <c r="CW264" s="623"/>
      <c r="CX264" s="623"/>
      <c r="CY264" s="623"/>
      <c r="CZ264" s="623"/>
      <c r="DA264" s="623"/>
      <c r="DB264" s="623"/>
      <c r="DC264" s="623"/>
      <c r="DD264" s="623"/>
      <c r="DE264" s="623"/>
      <c r="DF264" s="623"/>
      <c r="DG264" s="623"/>
      <c r="DH264" s="623"/>
      <c r="DI264" s="623"/>
      <c r="DJ264" s="623"/>
      <c r="DK264" s="623"/>
      <c r="DL264" s="623"/>
      <c r="DM264" s="623"/>
      <c r="DN264" s="623"/>
      <c r="DO264" s="623"/>
      <c r="DP264" s="623"/>
      <c r="DQ264" s="623"/>
      <c r="DR264" s="623"/>
      <c r="DS264" s="623"/>
      <c r="DT264" s="623"/>
      <c r="DU264" s="623"/>
      <c r="DV264" s="623"/>
      <c r="DW264" s="623"/>
      <c r="DX264" s="623"/>
      <c r="DY264" s="623"/>
      <c r="DZ264" s="623"/>
      <c r="EA264" s="623"/>
      <c r="EB264" s="623"/>
      <c r="EC264" s="623"/>
      <c r="ED264" s="623"/>
      <c r="EE264" s="623"/>
      <c r="EF264" s="623"/>
      <c r="EG264" s="623"/>
      <c r="EH264" s="623"/>
      <c r="EI264" s="623"/>
      <c r="EJ264" s="623"/>
      <c r="EK264" s="623"/>
      <c r="EL264" s="623"/>
      <c r="EM264" s="623"/>
      <c r="EN264" s="623"/>
      <c r="EO264" s="623"/>
      <c r="EP264" s="623"/>
      <c r="EQ264" s="623"/>
      <c r="ER264" s="623"/>
      <c r="ES264" s="623"/>
      <c r="ET264" s="623"/>
      <c r="EU264" s="623"/>
      <c r="EV264" s="623"/>
      <c r="EW264" s="623"/>
      <c r="EX264" s="623"/>
      <c r="EY264" s="623"/>
      <c r="EZ264" s="623"/>
      <c r="FA264" s="623"/>
      <c r="FB264" s="623"/>
      <c r="FC264" s="462"/>
      <c r="FD264" s="462"/>
      <c r="FE264" s="462"/>
      <c r="FF264" s="458"/>
      <c r="FG264" s="43"/>
      <c r="FH264" s="351"/>
      <c r="FI264" s="351"/>
      <c r="FJ264" s="351"/>
      <c r="FK264" s="351"/>
      <c r="FL264" s="351"/>
      <c r="FM264" s="93"/>
      <c r="FN264" s="93"/>
      <c r="FO264" s="459"/>
      <c r="FP264" s="459"/>
      <c r="FQ264" s="116"/>
      <c r="FR264" s="116"/>
      <c r="FS264" s="338"/>
      <c r="FT264" s="338"/>
      <c r="FU264" s="338"/>
      <c r="FV264" s="338"/>
      <c r="FW264" s="338"/>
      <c r="FX264" s="338"/>
      <c r="FY264" s="338"/>
      <c r="FZ264" s="338"/>
      <c r="GA264" s="338"/>
      <c r="GB264" s="338"/>
      <c r="GC264" s="338"/>
      <c r="GD264" s="338"/>
      <c r="GE264" s="338"/>
      <c r="GF264" s="338"/>
      <c r="GG264" s="338"/>
      <c r="GH264" s="338"/>
      <c r="GI264" s="338"/>
      <c r="GJ264" s="48"/>
      <c r="GK264" s="48"/>
      <c r="GL264" s="48"/>
      <c r="GM264" s="48"/>
      <c r="GN264" s="48"/>
      <c r="GO264" s="48"/>
      <c r="GP264" s="48"/>
      <c r="GQ264" s="48"/>
      <c r="GR264" s="48"/>
      <c r="GS264" s="48"/>
      <c r="GT264" s="48"/>
      <c r="GU264" s="48"/>
      <c r="GV264" s="48"/>
      <c r="GW264" s="48"/>
      <c r="GX264" s="48"/>
      <c r="GY264" s="48"/>
      <c r="GZ264" s="48"/>
      <c r="HA264" s="48"/>
      <c r="HB264" s="48"/>
      <c r="HC264" s="48"/>
      <c r="HD264" s="48"/>
      <c r="HE264" s="48"/>
    </row>
    <row r="265" spans="1:216" ht="10.8" customHeight="1">
      <c r="A265" s="1"/>
      <c r="B265" s="3"/>
      <c r="C265" s="3"/>
      <c r="D265" s="12"/>
      <c r="E265" s="10"/>
      <c r="F265" s="10"/>
      <c r="G265" s="10"/>
      <c r="H265" s="639" t="str">
        <f ca="1">IF(FP262 = 5,"Merk op dat bij q = 4 geldt dat MO = MK en dat
bij deze hoeveelheid de winst niet meer stijgt.",IF(FP262=1,"De TO is op dezelfde hoogte als de TVK gezet om goed uit te laten komen dat beide afhangen van de hoeveelheid product en dat met wat er overblijft als je de TVK van de TO aftrekt, je de TCK kunt terugverdienen.",""))</f>
        <v/>
      </c>
      <c r="I265" s="606"/>
      <c r="J265" s="606"/>
      <c r="K265" s="606"/>
      <c r="L265" s="606"/>
      <c r="M265" s="606"/>
      <c r="N265" s="606"/>
      <c r="O265" s="606"/>
      <c r="P265" s="606"/>
      <c r="Q265" s="606"/>
      <c r="R265" s="606"/>
      <c r="S265" s="606"/>
      <c r="T265" s="606"/>
      <c r="U265" s="606"/>
      <c r="V265" s="606"/>
      <c r="W265" s="606"/>
      <c r="X265" s="606"/>
      <c r="Y265" s="606"/>
      <c r="Z265" s="606"/>
      <c r="AA265" s="606"/>
      <c r="AB265" s="606"/>
      <c r="AC265" s="606"/>
      <c r="AD265" s="606"/>
      <c r="AE265" s="606"/>
      <c r="AF265" s="606"/>
      <c r="AG265" s="606"/>
      <c r="AH265" s="606"/>
      <c r="AI265" s="606"/>
      <c r="AJ265" s="606"/>
      <c r="AK265" s="606"/>
      <c r="AL265" s="606"/>
      <c r="AM265" s="606"/>
      <c r="AN265" s="606"/>
      <c r="AO265" s="606"/>
      <c r="AP265" s="606"/>
      <c r="AQ265" s="606"/>
      <c r="AR265" s="606"/>
      <c r="AS265" s="606"/>
      <c r="AT265" s="606"/>
      <c r="AU265" s="606"/>
      <c r="AV265" s="606"/>
      <c r="AW265" s="606"/>
      <c r="AX265" s="606"/>
      <c r="AY265" s="606"/>
      <c r="AZ265" s="606"/>
      <c r="BA265" s="606"/>
      <c r="BB265" s="606"/>
      <c r="BC265" s="606"/>
      <c r="BD265" s="606"/>
      <c r="BE265" s="606"/>
      <c r="BF265" s="606"/>
      <c r="BG265" s="606"/>
      <c r="BH265" s="606"/>
      <c r="BI265" s="606"/>
      <c r="BJ265" s="606"/>
      <c r="BK265" s="606"/>
      <c r="BL265" s="606"/>
      <c r="BM265" s="606"/>
      <c r="BN265" s="606"/>
      <c r="BO265" s="606"/>
      <c r="BP265" s="606"/>
      <c r="BQ265" s="606"/>
      <c r="BR265" s="606"/>
      <c r="BS265" s="606"/>
      <c r="BT265" s="606"/>
      <c r="BU265" s="606"/>
      <c r="BV265" s="606"/>
      <c r="BW265" s="606"/>
      <c r="BX265" s="606"/>
      <c r="BY265" s="606"/>
      <c r="BZ265" s="606"/>
      <c r="CA265" s="606"/>
      <c r="CB265" s="606"/>
      <c r="CC265" s="606"/>
      <c r="CD265" s="606"/>
      <c r="CE265" s="606"/>
      <c r="CF265" s="606"/>
      <c r="CG265" s="606"/>
      <c r="CH265" s="606"/>
      <c r="CI265" s="606"/>
      <c r="CJ265" s="606"/>
      <c r="CK265" s="463"/>
      <c r="CL265" s="463"/>
      <c r="CM265" s="463"/>
      <c r="CN265" s="463"/>
      <c r="CO265" s="463"/>
      <c r="CP265" s="463"/>
      <c r="CQ265" s="463"/>
      <c r="CR265" s="463"/>
      <c r="CS265" s="463"/>
      <c r="CT265" s="463"/>
      <c r="CU265" s="463"/>
      <c r="CV265" s="463"/>
      <c r="CW265" s="463"/>
      <c r="CX265" s="463"/>
      <c r="CY265" s="463"/>
      <c r="CZ265" s="463"/>
      <c r="DA265" s="463"/>
      <c r="DB265" s="463"/>
      <c r="DC265" s="463"/>
      <c r="DD265" s="463"/>
      <c r="DE265" s="463"/>
      <c r="DF265" s="463"/>
      <c r="DG265" s="463"/>
      <c r="DH265" s="463"/>
      <c r="DI265" s="463"/>
      <c r="DJ265" s="463"/>
      <c r="DK265" s="463"/>
      <c r="DL265" s="463"/>
      <c r="DM265" s="463"/>
      <c r="DN265" s="463"/>
      <c r="DO265" s="463"/>
      <c r="DP265" s="463"/>
      <c r="DQ265" s="463"/>
      <c r="DR265" s="463"/>
      <c r="DS265" s="463"/>
      <c r="DT265" s="463"/>
      <c r="DU265" s="463"/>
      <c r="DV265" s="463"/>
      <c r="DW265" s="463"/>
      <c r="DX265" s="463"/>
      <c r="DY265" s="463"/>
      <c r="DZ265" s="463"/>
      <c r="EA265" s="463"/>
      <c r="EB265" s="463"/>
      <c r="EC265" s="463"/>
      <c r="ED265" s="463"/>
      <c r="EE265" s="463"/>
      <c r="EF265" s="463"/>
      <c r="EG265" s="463"/>
      <c r="EH265" s="463"/>
      <c r="EI265" s="463"/>
      <c r="EJ265" s="463"/>
      <c r="EK265" s="463"/>
      <c r="EL265" s="463"/>
      <c r="EM265" s="463"/>
      <c r="EN265" s="463"/>
      <c r="EO265" s="463"/>
      <c r="EP265" s="463"/>
      <c r="EQ265" s="463"/>
      <c r="ER265" s="463"/>
      <c r="ES265" s="463"/>
      <c r="ET265" s="463"/>
      <c r="EU265" s="463"/>
      <c r="EV265" s="463"/>
      <c r="EW265" s="463"/>
      <c r="EX265" s="463"/>
      <c r="EY265" s="463"/>
      <c r="EZ265" s="463"/>
      <c r="FA265" s="463"/>
      <c r="FB265" s="463"/>
      <c r="FC265" s="462"/>
      <c r="FD265" s="462"/>
      <c r="FE265" s="462"/>
      <c r="FF265" s="458"/>
      <c r="FG265" s="43"/>
      <c r="FH265" s="351"/>
      <c r="FI265" s="351"/>
      <c r="FJ265" s="351"/>
      <c r="FK265" s="351"/>
      <c r="FL265" s="351"/>
      <c r="FM265" s="93"/>
      <c r="FN265" s="93"/>
      <c r="FO265" s="459"/>
      <c r="FP265" s="459"/>
      <c r="FQ265" s="116"/>
      <c r="FR265" s="116"/>
      <c r="FS265" s="338"/>
      <c r="FT265" s="338"/>
      <c r="FU265" s="338"/>
      <c r="FV265" s="338"/>
      <c r="FW265" s="338"/>
      <c r="FX265" s="338"/>
      <c r="FY265" s="338"/>
      <c r="FZ265" s="338"/>
      <c r="GA265" s="338"/>
      <c r="GB265" s="338"/>
      <c r="GC265" s="338"/>
      <c r="GD265" s="338"/>
      <c r="GE265" s="338"/>
      <c r="GF265" s="338"/>
      <c r="GG265" s="338"/>
      <c r="GH265" s="338"/>
      <c r="GI265" s="33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row>
    <row r="266" spans="1:216" ht="16.95" customHeight="1">
      <c r="A266" s="1"/>
      <c r="B266" s="3"/>
      <c r="C266" s="3"/>
      <c r="D266" s="12"/>
      <c r="E266" s="10"/>
      <c r="F266" s="10"/>
      <c r="G266" s="10"/>
      <c r="H266" s="606"/>
      <c r="I266" s="606"/>
      <c r="J266" s="606"/>
      <c r="K266" s="606"/>
      <c r="L266" s="606"/>
      <c r="M266" s="606"/>
      <c r="N266" s="606"/>
      <c r="O266" s="606"/>
      <c r="P266" s="606"/>
      <c r="Q266" s="606"/>
      <c r="R266" s="606"/>
      <c r="S266" s="606"/>
      <c r="T266" s="606"/>
      <c r="U266" s="606"/>
      <c r="V266" s="606"/>
      <c r="W266" s="606"/>
      <c r="X266" s="606"/>
      <c r="Y266" s="606"/>
      <c r="Z266" s="606"/>
      <c r="AA266" s="606"/>
      <c r="AB266" s="606"/>
      <c r="AC266" s="606"/>
      <c r="AD266" s="606"/>
      <c r="AE266" s="606"/>
      <c r="AF266" s="606"/>
      <c r="AG266" s="606"/>
      <c r="AH266" s="606"/>
      <c r="AI266" s="606"/>
      <c r="AJ266" s="606"/>
      <c r="AK266" s="606"/>
      <c r="AL266" s="606"/>
      <c r="AM266" s="606"/>
      <c r="AN266" s="606"/>
      <c r="AO266" s="606"/>
      <c r="AP266" s="606"/>
      <c r="AQ266" s="606"/>
      <c r="AR266" s="606"/>
      <c r="AS266" s="606"/>
      <c r="AT266" s="606"/>
      <c r="AU266" s="606"/>
      <c r="AV266" s="606"/>
      <c r="AW266" s="606"/>
      <c r="AX266" s="606"/>
      <c r="AY266" s="606"/>
      <c r="AZ266" s="606"/>
      <c r="BA266" s="606"/>
      <c r="BB266" s="606"/>
      <c r="BC266" s="606"/>
      <c r="BD266" s="606"/>
      <c r="BE266" s="606"/>
      <c r="BF266" s="606"/>
      <c r="BG266" s="606"/>
      <c r="BH266" s="606"/>
      <c r="BI266" s="606"/>
      <c r="BJ266" s="606"/>
      <c r="BK266" s="606"/>
      <c r="BL266" s="606"/>
      <c r="BM266" s="606"/>
      <c r="BN266" s="606"/>
      <c r="BO266" s="606"/>
      <c r="BP266" s="606"/>
      <c r="BQ266" s="606"/>
      <c r="BR266" s="606"/>
      <c r="BS266" s="606"/>
      <c r="BT266" s="606"/>
      <c r="BU266" s="606"/>
      <c r="BV266" s="606"/>
      <c r="BW266" s="606"/>
      <c r="BX266" s="606"/>
      <c r="BY266" s="606"/>
      <c r="BZ266" s="606"/>
      <c r="CA266" s="606"/>
      <c r="CB266" s="606"/>
      <c r="CC266" s="606"/>
      <c r="CD266" s="606"/>
      <c r="CE266" s="606"/>
      <c r="CF266" s="606"/>
      <c r="CG266" s="606"/>
      <c r="CH266" s="606"/>
      <c r="CI266" s="606"/>
      <c r="CJ266" s="606"/>
      <c r="CK266" s="463"/>
      <c r="CL266" s="463"/>
      <c r="CM266" s="463"/>
      <c r="CN266" s="463"/>
      <c r="CO266" s="463"/>
      <c r="CP266" s="463"/>
      <c r="CQ266" s="463"/>
      <c r="CR266" s="463"/>
      <c r="CS266" s="463"/>
      <c r="CT266" s="463"/>
      <c r="CU266" s="463"/>
      <c r="CV266" s="463"/>
      <c r="CW266" s="463"/>
      <c r="CX266" s="463"/>
      <c r="CY266" s="463"/>
      <c r="CZ266" s="463"/>
      <c r="DA266" s="463"/>
      <c r="DB266" s="463"/>
      <c r="DC266" s="463"/>
      <c r="DD266" s="463"/>
      <c r="DE266" s="463"/>
      <c r="DF266" s="463"/>
      <c r="DG266" s="463"/>
      <c r="DH266" s="463"/>
      <c r="DI266" s="463"/>
      <c r="DJ266" s="463"/>
      <c r="DK266" s="463"/>
      <c r="DL266" s="463"/>
      <c r="DM266" s="463"/>
      <c r="DN266" s="463"/>
      <c r="DO266" s="463"/>
      <c r="DP266" s="463"/>
      <c r="DQ266" s="463"/>
      <c r="DR266" s="463"/>
      <c r="DS266" s="463"/>
      <c r="DT266" s="463"/>
      <c r="DU266" s="463"/>
      <c r="DV266" s="463"/>
      <c r="DW266" s="463"/>
      <c r="DX266" s="463"/>
      <c r="DY266" s="464" t="str">
        <f ca="1">IF(FP262&gt;=4,"TW = € 4","")</f>
        <v/>
      </c>
      <c r="DZ266" s="463"/>
      <c r="EA266" s="463"/>
      <c r="EB266" s="463"/>
      <c r="EC266" s="463"/>
      <c r="ED266" s="463"/>
      <c r="EE266" s="463"/>
      <c r="EF266" s="463"/>
      <c r="EG266" s="463"/>
      <c r="EH266" s="463"/>
      <c r="EI266" s="463"/>
      <c r="EP266" s="463"/>
      <c r="EQ266" s="463"/>
      <c r="ER266" s="463"/>
      <c r="ES266" s="463"/>
      <c r="ET266" s="463"/>
      <c r="EU266" s="463"/>
      <c r="EV266" s="463"/>
      <c r="EW266" s="463"/>
      <c r="EX266" s="463"/>
      <c r="EY266" s="463"/>
      <c r="EZ266" s="463"/>
      <c r="FA266" s="464" t="str">
        <f ca="1">IF(FP262&gt;=5,"TW = € 2","")</f>
        <v/>
      </c>
      <c r="FB266" s="463"/>
      <c r="FC266" s="463"/>
      <c r="FD266" s="463"/>
      <c r="FE266" s="463"/>
      <c r="FF266" s="463"/>
      <c r="FG266" s="463"/>
      <c r="FH266" s="463"/>
      <c r="FI266" s="463"/>
      <c r="FJ266" s="463"/>
      <c r="FK266" s="463"/>
      <c r="FO266" s="47"/>
      <c r="FP266" s="47"/>
      <c r="FQ266" s="47"/>
      <c r="FR266" s="47"/>
      <c r="FS266" s="49"/>
      <c r="FT266" s="49"/>
      <c r="FU266" s="49"/>
      <c r="FV266" s="49"/>
      <c r="FW266" s="49"/>
      <c r="FX266" s="49"/>
      <c r="FY266" s="47"/>
      <c r="FZ266" s="47"/>
      <c r="GA266" s="49"/>
      <c r="GB266" s="49"/>
      <c r="GC266" s="49"/>
      <c r="GD266" s="49"/>
      <c r="GE266" s="49"/>
      <c r="GF266" s="49"/>
      <c r="GG266" s="48"/>
      <c r="GH266" s="48"/>
      <c r="GI266" s="48"/>
      <c r="GJ266" s="48"/>
      <c r="GK266" s="48"/>
      <c r="GL266" s="48"/>
      <c r="GM266" s="48"/>
      <c r="GN266" s="48"/>
      <c r="GO266" s="48"/>
      <c r="GP266" s="48"/>
      <c r="GQ266" s="48"/>
      <c r="GR266" s="48"/>
      <c r="GS266" s="48"/>
      <c r="GT266" s="48"/>
      <c r="GU266" s="48"/>
      <c r="GV266" s="48"/>
      <c r="GW266" s="48"/>
      <c r="GX266" s="48"/>
      <c r="GY266" s="48"/>
      <c r="GZ266" s="48"/>
      <c r="HA266" s="48"/>
      <c r="HB266" s="48"/>
      <c r="HC266" s="48"/>
      <c r="HD266" s="48"/>
      <c r="HE266" s="48"/>
      <c r="HF266" s="13"/>
      <c r="HG266" s="13"/>
      <c r="HH266" s="13"/>
    </row>
    <row r="267" spans="1:216" ht="16.95" customHeight="1">
      <c r="A267" s="1"/>
      <c r="B267" s="3"/>
      <c r="C267" s="3"/>
      <c r="D267" s="12"/>
      <c r="E267" s="10"/>
      <c r="F267" s="10"/>
      <c r="G267" s="10"/>
      <c r="H267" s="606"/>
      <c r="I267" s="606"/>
      <c r="J267" s="606"/>
      <c r="K267" s="606"/>
      <c r="L267" s="606"/>
      <c r="M267" s="606"/>
      <c r="N267" s="606"/>
      <c r="O267" s="606"/>
      <c r="P267" s="606"/>
      <c r="Q267" s="606"/>
      <c r="R267" s="606"/>
      <c r="S267" s="606"/>
      <c r="T267" s="606"/>
      <c r="U267" s="606"/>
      <c r="V267" s="606"/>
      <c r="W267" s="606"/>
      <c r="X267" s="606"/>
      <c r="Y267" s="606"/>
      <c r="Z267" s="606"/>
      <c r="AA267" s="606"/>
      <c r="AB267" s="606"/>
      <c r="AC267" s="606"/>
      <c r="AD267" s="606"/>
      <c r="AE267" s="606"/>
      <c r="AF267" s="606"/>
      <c r="AG267" s="606"/>
      <c r="AH267" s="606"/>
      <c r="AI267" s="606"/>
      <c r="AJ267" s="606"/>
      <c r="AK267" s="606"/>
      <c r="AL267" s="606"/>
      <c r="AM267" s="606"/>
      <c r="AN267" s="606"/>
      <c r="AO267" s="606"/>
      <c r="AP267" s="606"/>
      <c r="AQ267" s="606"/>
      <c r="AR267" s="606"/>
      <c r="AS267" s="606"/>
      <c r="AT267" s="606"/>
      <c r="AU267" s="606"/>
      <c r="AV267" s="606"/>
      <c r="AW267" s="606"/>
      <c r="AX267" s="606"/>
      <c r="AY267" s="606"/>
      <c r="AZ267" s="606"/>
      <c r="BA267" s="606"/>
      <c r="BB267" s="606"/>
      <c r="BC267" s="606"/>
      <c r="BD267" s="606"/>
      <c r="BE267" s="606"/>
      <c r="BF267" s="606"/>
      <c r="BG267" s="606"/>
      <c r="BH267" s="606"/>
      <c r="BI267" s="606"/>
      <c r="BJ267" s="606"/>
      <c r="BK267" s="606"/>
      <c r="BL267" s="606"/>
      <c r="BM267" s="606"/>
      <c r="BN267" s="606"/>
      <c r="BO267" s="606"/>
      <c r="BP267" s="606"/>
      <c r="BQ267" s="606"/>
      <c r="BR267" s="606"/>
      <c r="BS267" s="606"/>
      <c r="BT267" s="606"/>
      <c r="BU267" s="606"/>
      <c r="BV267" s="606"/>
      <c r="BW267" s="606"/>
      <c r="BX267" s="606"/>
      <c r="BY267" s="606"/>
      <c r="BZ267" s="606"/>
      <c r="CA267" s="606"/>
      <c r="CB267" s="606"/>
      <c r="CC267" s="606"/>
      <c r="CD267" s="606"/>
      <c r="CE267" s="606"/>
      <c r="CF267" s="606"/>
      <c r="CG267" s="606"/>
      <c r="CH267" s="606"/>
      <c r="CI267" s="606"/>
      <c r="CJ267" s="606"/>
      <c r="CK267" s="10"/>
      <c r="CL267" s="10"/>
      <c r="CM267" s="10"/>
      <c r="CN267" s="10"/>
      <c r="CO267" s="10"/>
      <c r="CP267" s="10"/>
      <c r="CQ267" s="10"/>
      <c r="CR267" s="10"/>
      <c r="CS267" s="10"/>
      <c r="CT267" s="10"/>
      <c r="CU267" s="10"/>
      <c r="CV267" s="10"/>
      <c r="CW267" s="464" t="str">
        <f ca="1">IF(FP262&gt;=3,"TW = € 4","")</f>
        <v/>
      </c>
      <c r="CX267" s="10"/>
      <c r="CY267" s="10"/>
      <c r="CZ267" s="10"/>
      <c r="DA267" s="10"/>
      <c r="DB267" s="10"/>
      <c r="DC267" s="10"/>
      <c r="DD267" s="10"/>
      <c r="DE267" s="10"/>
      <c r="DF267" s="10"/>
      <c r="DG267" s="10"/>
      <c r="DH267" s="10"/>
      <c r="DI267" s="10"/>
      <c r="DJ267" s="10"/>
      <c r="DK267" s="10"/>
      <c r="DL267" s="10"/>
      <c r="DM267" s="10"/>
      <c r="DN267" s="630" t="str">
        <f ca="1">IF(FP262&gt;=4,"€ 2","")</f>
        <v/>
      </c>
      <c r="DO267" s="630"/>
      <c r="DP267" s="630"/>
      <c r="DQ267" s="630"/>
      <c r="DR267" s="630"/>
      <c r="DS267" s="630"/>
      <c r="DT267" s="630"/>
      <c r="DU267" s="630"/>
      <c r="DV267" s="630"/>
      <c r="DW267" s="630"/>
      <c r="DX267" s="630"/>
      <c r="DY267" s="10"/>
      <c r="DZ267" s="10"/>
      <c r="EA267" s="10"/>
      <c r="EB267" s="10"/>
      <c r="EC267" s="10"/>
      <c r="ED267" s="10"/>
      <c r="EE267" s="10"/>
      <c r="EF267" s="10"/>
      <c r="EG267" s="10"/>
      <c r="EH267" s="10"/>
      <c r="EI267" s="10"/>
      <c r="EP267" s="633" t="str">
        <f ca="1">IF(FP262&gt;=5,"€ 20","")</f>
        <v/>
      </c>
      <c r="EQ267" s="633"/>
      <c r="ER267" s="633"/>
      <c r="ES267" s="633"/>
      <c r="ET267" s="633"/>
      <c r="EU267" s="633"/>
      <c r="EV267" s="633"/>
      <c r="EW267" s="633"/>
      <c r="EX267" s="633"/>
      <c r="EY267" s="633"/>
      <c r="EZ267" s="633"/>
      <c r="FA267" s="10"/>
      <c r="FB267" s="10"/>
      <c r="FC267" s="10"/>
      <c r="FD267" s="10"/>
      <c r="FE267" s="10"/>
      <c r="FF267" s="10"/>
      <c r="FG267" s="10"/>
      <c r="FH267" s="10"/>
      <c r="FI267" s="10"/>
      <c r="FJ267" s="10"/>
      <c r="FK267" s="10"/>
      <c r="FO267" s="47"/>
      <c r="FP267" s="47"/>
      <c r="FQ267" s="47"/>
      <c r="FR267" s="47"/>
      <c r="FS267" s="49"/>
      <c r="FT267" s="49"/>
      <c r="FU267" s="49"/>
      <c r="FV267" s="49"/>
      <c r="FW267" s="49"/>
      <c r="FX267" s="49"/>
      <c r="FY267" s="47"/>
      <c r="FZ267" s="47"/>
      <c r="GA267" s="49"/>
      <c r="GB267" s="49"/>
      <c r="GC267" s="49"/>
      <c r="GD267" s="49"/>
      <c r="GE267" s="49"/>
      <c r="GF267" s="49"/>
      <c r="GG267" s="48"/>
      <c r="GH267" s="48"/>
      <c r="GI267" s="48"/>
      <c r="GJ267" s="48"/>
      <c r="GK267" s="48"/>
      <c r="GL267" s="48"/>
      <c r="GM267" s="48"/>
      <c r="GN267" s="48"/>
      <c r="GO267" s="48"/>
      <c r="GP267" s="48"/>
      <c r="GQ267" s="48"/>
      <c r="GR267" s="48"/>
      <c r="GS267" s="48"/>
      <c r="GT267" s="48"/>
      <c r="GU267" s="48"/>
      <c r="GV267" s="48"/>
      <c r="GW267" s="48"/>
      <c r="GX267" s="48"/>
      <c r="GY267" s="48"/>
      <c r="GZ267" s="48"/>
      <c r="HA267" s="48"/>
      <c r="HB267" s="48"/>
      <c r="HC267" s="48"/>
      <c r="HD267" s="48"/>
      <c r="HE267" s="48"/>
      <c r="HF267" s="13"/>
      <c r="HG267" s="13"/>
      <c r="HH267" s="13"/>
    </row>
    <row r="268" spans="1:216" ht="16.95" customHeight="1">
      <c r="A268" s="1"/>
      <c r="B268" s="3"/>
      <c r="C268" s="3"/>
      <c r="D268" s="12"/>
      <c r="E268" s="10"/>
      <c r="F268" s="10"/>
      <c r="G268" s="10"/>
      <c r="H268" s="606"/>
      <c r="I268" s="606"/>
      <c r="J268" s="606"/>
      <c r="K268" s="606"/>
      <c r="L268" s="606"/>
      <c r="M268" s="606"/>
      <c r="N268" s="606"/>
      <c r="O268" s="606"/>
      <c r="P268" s="606"/>
      <c r="Q268" s="606"/>
      <c r="R268" s="606"/>
      <c r="S268" s="606"/>
      <c r="T268" s="606"/>
      <c r="U268" s="606"/>
      <c r="V268" s="606"/>
      <c r="W268" s="606"/>
      <c r="X268" s="606"/>
      <c r="Y268" s="606"/>
      <c r="Z268" s="606"/>
      <c r="AA268" s="606"/>
      <c r="AB268" s="606"/>
      <c r="AC268" s="606"/>
      <c r="AD268" s="606"/>
      <c r="AE268" s="606"/>
      <c r="AF268" s="606"/>
      <c r="AG268" s="606"/>
      <c r="AH268" s="606"/>
      <c r="AI268" s="606"/>
      <c r="AJ268" s="606"/>
      <c r="AK268" s="606"/>
      <c r="AL268" s="606"/>
      <c r="AM268" s="606"/>
      <c r="AN268" s="606"/>
      <c r="AO268" s="606"/>
      <c r="AP268" s="606"/>
      <c r="AQ268" s="606"/>
      <c r="AR268" s="606"/>
      <c r="AS268" s="606"/>
      <c r="AT268" s="606"/>
      <c r="AU268" s="606"/>
      <c r="AV268" s="606"/>
      <c r="AW268" s="606"/>
      <c r="AX268" s="606"/>
      <c r="AY268" s="606"/>
      <c r="AZ268" s="606"/>
      <c r="BA268" s="606"/>
      <c r="BB268" s="606"/>
      <c r="BC268" s="606"/>
      <c r="BD268" s="606"/>
      <c r="BE268" s="606"/>
      <c r="BF268" s="606"/>
      <c r="BG268" s="606"/>
      <c r="BH268" s="606"/>
      <c r="BI268" s="606"/>
      <c r="BJ268" s="606"/>
      <c r="BK268" s="606"/>
      <c r="BL268" s="606"/>
      <c r="BM268" s="606"/>
      <c r="BN268" s="606"/>
      <c r="BO268" s="606"/>
      <c r="BP268" s="606"/>
      <c r="BQ268" s="606"/>
      <c r="BR268" s="606"/>
      <c r="BS268" s="606"/>
      <c r="BT268" s="606"/>
      <c r="BU268" s="606"/>
      <c r="BV268" s="606"/>
      <c r="BW268" s="606"/>
      <c r="BX268" s="606"/>
      <c r="BY268" s="606"/>
      <c r="BZ268" s="606"/>
      <c r="CA268" s="606"/>
      <c r="CB268" s="606"/>
      <c r="CC268" s="606"/>
      <c r="CD268" s="606"/>
      <c r="CE268" s="606"/>
      <c r="CF268" s="606"/>
      <c r="CG268" s="606"/>
      <c r="CH268" s="606"/>
      <c r="CI268" s="606"/>
      <c r="CJ268" s="606"/>
      <c r="CK268" s="10"/>
      <c r="CL268" s="633" t="str">
        <f ca="1">IF(FP262&gt;=3,"€ 4","")</f>
        <v/>
      </c>
      <c r="CM268" s="633"/>
      <c r="CN268" s="633"/>
      <c r="CO268" s="633"/>
      <c r="CP268" s="633"/>
      <c r="CQ268" s="633"/>
      <c r="CR268" s="633"/>
      <c r="CS268" s="633"/>
      <c r="CT268" s="633"/>
      <c r="CU268" s="633"/>
      <c r="CV268" s="633"/>
      <c r="CW268" s="10"/>
      <c r="CX268" s="10"/>
      <c r="CY268" s="10"/>
      <c r="CZ268" s="10"/>
      <c r="DA268" s="10"/>
      <c r="DB268" s="10"/>
      <c r="DC268" s="10"/>
      <c r="DD268" s="10"/>
      <c r="DE268" s="10"/>
      <c r="DF268" s="10"/>
      <c r="DG268" s="10"/>
      <c r="DH268" s="10"/>
      <c r="DI268" s="10"/>
      <c r="DJ268" s="10"/>
      <c r="DK268" s="10"/>
      <c r="DL268" s="10"/>
      <c r="DM268" s="10"/>
      <c r="DN268" s="633" t="str">
        <f ca="1">IF(FP262&gt;=4,"€ 18","")</f>
        <v/>
      </c>
      <c r="DO268" s="633"/>
      <c r="DP268" s="633"/>
      <c r="DQ268" s="633"/>
      <c r="DR268" s="633"/>
      <c r="DS268" s="633"/>
      <c r="DT268" s="633"/>
      <c r="DU268" s="633"/>
      <c r="DV268" s="633"/>
      <c r="DW268" s="633"/>
      <c r="DX268" s="633"/>
      <c r="DY268" s="10"/>
      <c r="DZ268" s="10"/>
      <c r="EA268" s="10"/>
      <c r="EB268" s="10"/>
      <c r="EC268" s="10"/>
      <c r="ED268" s="10"/>
      <c r="EE268" s="10"/>
      <c r="EF268" s="10"/>
      <c r="EG268" s="10"/>
      <c r="EH268" s="10"/>
      <c r="EI268" s="10"/>
      <c r="EP268" s="633"/>
      <c r="EQ268" s="633"/>
      <c r="ER268" s="633"/>
      <c r="ES268" s="633"/>
      <c r="ET268" s="633"/>
      <c r="EU268" s="633"/>
      <c r="EV268" s="633"/>
      <c r="EW268" s="633"/>
      <c r="EX268" s="633"/>
      <c r="EY268" s="633"/>
      <c r="EZ268" s="633"/>
      <c r="FA268" s="10"/>
      <c r="FB268" s="10"/>
      <c r="FC268" s="10"/>
      <c r="FD268" s="10"/>
      <c r="FE268" s="10"/>
      <c r="FF268" s="10"/>
      <c r="FG268" s="10"/>
      <c r="FH268" s="10"/>
      <c r="FI268" s="10"/>
      <c r="FJ268" s="10"/>
      <c r="FK268" s="10"/>
      <c r="FO268" s="47"/>
      <c r="FP268" s="47"/>
      <c r="FQ268" s="47"/>
      <c r="FR268" s="47"/>
      <c r="FS268" s="49"/>
      <c r="FT268" s="49"/>
      <c r="FU268" s="49"/>
      <c r="FV268" s="49"/>
      <c r="FW268" s="49"/>
      <c r="FX268" s="49"/>
      <c r="FY268" s="47"/>
      <c r="FZ268" s="47"/>
      <c r="GA268" s="49"/>
      <c r="GB268" s="49"/>
      <c r="GC268" s="49"/>
      <c r="GD268" s="49"/>
      <c r="GE268" s="49"/>
      <c r="GF268" s="49"/>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13"/>
      <c r="HG268" s="13"/>
      <c r="HH268" s="13"/>
    </row>
    <row r="269" spans="1:216" ht="16.95" customHeight="1">
      <c r="A269" s="1"/>
      <c r="B269" s="3"/>
      <c r="C269" s="3"/>
      <c r="D269" s="12"/>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464" t="str">
        <f ca="1">IF(FP262&gt;=2,"TW = € 2","")</f>
        <v/>
      </c>
      <c r="BV269" s="10"/>
      <c r="BW269" s="10"/>
      <c r="BX269" s="10"/>
      <c r="BY269" s="10"/>
      <c r="BZ269" s="10"/>
      <c r="CA269" s="10"/>
      <c r="CB269" s="10"/>
      <c r="CC269" s="10"/>
      <c r="CD269" s="10"/>
      <c r="CE269" s="10"/>
      <c r="CF269" s="10"/>
      <c r="CG269" s="10"/>
      <c r="CH269" s="10"/>
      <c r="CI269" s="10"/>
      <c r="CJ269" s="10"/>
      <c r="CK269" s="10"/>
      <c r="CL269" s="633"/>
      <c r="CM269" s="633"/>
      <c r="CN269" s="633"/>
      <c r="CO269" s="633"/>
      <c r="CP269" s="633"/>
      <c r="CQ269" s="633"/>
      <c r="CR269" s="633"/>
      <c r="CS269" s="633"/>
      <c r="CT269" s="633"/>
      <c r="CU269" s="633"/>
      <c r="CV269" s="633"/>
      <c r="CW269" s="10"/>
      <c r="CX269" s="10"/>
      <c r="CY269" s="10"/>
      <c r="CZ269" s="10"/>
      <c r="DA269" s="10"/>
      <c r="DB269" s="10"/>
      <c r="DC269" s="10"/>
      <c r="DD269" s="10"/>
      <c r="DE269" s="10"/>
      <c r="DF269" s="10"/>
      <c r="DG269" s="10"/>
      <c r="DH269" s="10"/>
      <c r="DI269" s="10"/>
      <c r="DJ269" s="10"/>
      <c r="DK269" s="10"/>
      <c r="DL269" s="10"/>
      <c r="DM269" s="10"/>
      <c r="DN269" s="633"/>
      <c r="DO269" s="633"/>
      <c r="DP269" s="633"/>
      <c r="DQ269" s="633"/>
      <c r="DR269" s="633"/>
      <c r="DS269" s="633"/>
      <c r="DT269" s="633"/>
      <c r="DU269" s="633"/>
      <c r="DV269" s="633"/>
      <c r="DW269" s="633"/>
      <c r="DX269" s="633"/>
      <c r="DY269" s="10"/>
      <c r="DZ269" s="10"/>
      <c r="EA269" s="10"/>
      <c r="EB269" s="10"/>
      <c r="EC269" s="10"/>
      <c r="ED269" s="10"/>
      <c r="EE269" s="10"/>
      <c r="EF269" s="10"/>
      <c r="EG269" s="10"/>
      <c r="EH269" s="10"/>
      <c r="EI269" s="10"/>
      <c r="EP269" s="632"/>
      <c r="EQ269" s="632"/>
      <c r="ER269" s="632"/>
      <c r="ES269" s="632"/>
      <c r="ET269" s="632"/>
      <c r="EU269" s="632"/>
      <c r="EV269" s="632"/>
      <c r="EW269" s="632"/>
      <c r="EX269" s="632"/>
      <c r="EY269" s="632"/>
      <c r="EZ269" s="632"/>
      <c r="FA269" s="10"/>
      <c r="FB269" s="10"/>
      <c r="FC269" s="10"/>
      <c r="FD269" s="10"/>
      <c r="FE269" s="10"/>
      <c r="FF269" s="10"/>
      <c r="FG269" s="10"/>
      <c r="FH269" s="10"/>
      <c r="FI269" s="10"/>
      <c r="FJ269" s="10"/>
      <c r="FK269" s="10"/>
      <c r="FO269" s="47"/>
      <c r="FP269" s="47"/>
      <c r="FQ269" s="47"/>
      <c r="FR269" s="47"/>
      <c r="FS269" s="49"/>
      <c r="FT269" s="49"/>
      <c r="FU269" s="49"/>
      <c r="FV269" s="49"/>
      <c r="FW269" s="49"/>
      <c r="FX269" s="49"/>
      <c r="FY269" s="47"/>
      <c r="FZ269" s="47"/>
      <c r="GA269" s="49"/>
      <c r="GB269" s="49"/>
      <c r="GC269" s="49"/>
      <c r="GD269" s="49"/>
      <c r="GE269" s="49"/>
      <c r="GF269" s="49"/>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13"/>
      <c r="HG269" s="13"/>
      <c r="HH269" s="13"/>
    </row>
    <row r="270" spans="1:216" ht="16.95" customHeight="1">
      <c r="A270" s="1"/>
      <c r="B270" s="3"/>
      <c r="C270" s="3"/>
      <c r="D270" s="12"/>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633" t="str">
        <f ca="1">IF(FP262&gt;=2,"€ 6","")</f>
        <v/>
      </c>
      <c r="BK270" s="632"/>
      <c r="BL270" s="632"/>
      <c r="BM270" s="632"/>
      <c r="BN270" s="632"/>
      <c r="BO270" s="632"/>
      <c r="BP270" s="632"/>
      <c r="BQ270" s="632"/>
      <c r="BR270" s="632"/>
      <c r="BS270" s="632"/>
      <c r="BT270" s="632"/>
      <c r="BU270" s="10"/>
      <c r="BV270" s="10"/>
      <c r="BW270" s="10"/>
      <c r="BX270" s="10"/>
      <c r="BY270" s="10"/>
      <c r="BZ270" s="10"/>
      <c r="CA270" s="10"/>
      <c r="CB270" s="10"/>
      <c r="CC270" s="10"/>
      <c r="CD270" s="10"/>
      <c r="CE270" s="10"/>
      <c r="CF270" s="10"/>
      <c r="CG270" s="10"/>
      <c r="CH270" s="10"/>
      <c r="CI270" s="10"/>
      <c r="CJ270" s="10"/>
      <c r="CK270" s="10"/>
      <c r="CL270" s="633" t="str">
        <f ca="1">IF(FP262&gt;=3,"€ 14","")</f>
        <v/>
      </c>
      <c r="CM270" s="632"/>
      <c r="CN270" s="632"/>
      <c r="CO270" s="632"/>
      <c r="CP270" s="632"/>
      <c r="CQ270" s="632"/>
      <c r="CR270" s="632"/>
      <c r="CS270" s="632"/>
      <c r="CT270" s="632"/>
      <c r="CU270" s="632"/>
      <c r="CV270" s="632"/>
      <c r="CW270" s="10"/>
      <c r="CX270" s="10"/>
      <c r="CY270" s="10"/>
      <c r="CZ270" s="10"/>
      <c r="DA270" s="10"/>
      <c r="DB270" s="10"/>
      <c r="DC270" s="10"/>
      <c r="DD270" s="10"/>
      <c r="DE270" s="10"/>
      <c r="DF270" s="10"/>
      <c r="DG270" s="10"/>
      <c r="DH270" s="10"/>
      <c r="DI270" s="10"/>
      <c r="DJ270" s="10"/>
      <c r="DK270" s="10"/>
      <c r="DL270" s="10"/>
      <c r="DM270" s="10"/>
      <c r="DN270" s="632"/>
      <c r="DO270" s="632"/>
      <c r="DP270" s="632"/>
      <c r="DQ270" s="632"/>
      <c r="DR270" s="632"/>
      <c r="DS270" s="632"/>
      <c r="DT270" s="632"/>
      <c r="DU270" s="632"/>
      <c r="DV270" s="632"/>
      <c r="DW270" s="632"/>
      <c r="DX270" s="632"/>
      <c r="DY270" s="10"/>
      <c r="DZ270" s="10"/>
      <c r="EA270" s="10"/>
      <c r="EB270" s="10"/>
      <c r="EC270" s="10"/>
      <c r="ED270" s="10"/>
      <c r="EE270" s="10"/>
      <c r="EF270" s="10"/>
      <c r="EG270" s="10"/>
      <c r="EH270" s="10"/>
      <c r="EI270" s="10"/>
      <c r="EP270" s="632"/>
      <c r="EQ270" s="632"/>
      <c r="ER270" s="632"/>
      <c r="ES270" s="632"/>
      <c r="ET270" s="632"/>
      <c r="EU270" s="632"/>
      <c r="EV270" s="632"/>
      <c r="EW270" s="632"/>
      <c r="EX270" s="632"/>
      <c r="EY270" s="632"/>
      <c r="EZ270" s="632"/>
      <c r="FA270" s="10"/>
      <c r="FB270" s="10"/>
      <c r="FC270" s="10"/>
      <c r="FD270" s="10"/>
      <c r="FE270" s="10"/>
      <c r="FF270" s="10"/>
      <c r="FG270" s="10"/>
      <c r="FH270" s="10"/>
      <c r="FI270" s="10"/>
      <c r="FJ270" s="10"/>
      <c r="FK270" s="10"/>
      <c r="FO270" s="47"/>
      <c r="FP270" s="47"/>
      <c r="FQ270" s="47"/>
      <c r="FR270" s="47"/>
      <c r="FS270" s="49"/>
      <c r="FT270" s="49"/>
      <c r="FU270" s="49"/>
      <c r="FV270" s="49"/>
      <c r="FW270" s="49"/>
      <c r="FX270" s="49"/>
      <c r="FY270" s="47"/>
      <c r="FZ270" s="47"/>
      <c r="GA270" s="49"/>
      <c r="GB270" s="49"/>
      <c r="GC270" s="49"/>
      <c r="GD270" s="49"/>
      <c r="GE270" s="49"/>
      <c r="GF270" s="49"/>
      <c r="GG270" s="48"/>
      <c r="GH270" s="48"/>
      <c r="GI270" s="48"/>
      <c r="GJ270" s="48"/>
      <c r="GK270" s="48"/>
      <c r="GL270" s="48"/>
      <c r="GM270" s="48"/>
      <c r="GN270" s="48"/>
      <c r="GO270" s="48"/>
      <c r="GP270" s="48"/>
      <c r="GQ270" s="48"/>
      <c r="GR270" s="48"/>
      <c r="GS270" s="48"/>
      <c r="GT270" s="48"/>
      <c r="GU270" s="48"/>
      <c r="GV270" s="48"/>
      <c r="GW270" s="48"/>
      <c r="GX270" s="48"/>
      <c r="GY270" s="48"/>
      <c r="GZ270" s="48"/>
      <c r="HA270" s="48"/>
      <c r="HB270" s="48"/>
      <c r="HC270" s="48"/>
      <c r="HD270" s="48"/>
      <c r="HE270" s="48"/>
      <c r="HF270" s="13"/>
      <c r="HG270" s="13"/>
      <c r="HH270" s="13"/>
    </row>
    <row r="271" spans="1:216" ht="16.5" customHeight="1">
      <c r="A271" s="1"/>
      <c r="B271" s="3"/>
      <c r="C271" s="3"/>
      <c r="D271" s="460"/>
      <c r="E271" s="462"/>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S271" s="10"/>
      <c r="AT271" s="10"/>
      <c r="AU271" s="10"/>
      <c r="AV271" s="10"/>
      <c r="AW271" s="10"/>
      <c r="AX271" s="10"/>
      <c r="AY271" s="10"/>
      <c r="AZ271" s="10"/>
      <c r="BA271" s="10"/>
      <c r="BB271" s="10"/>
      <c r="BC271" s="10"/>
      <c r="BD271" s="10"/>
      <c r="BE271" s="10"/>
      <c r="BF271" s="10"/>
      <c r="BG271" s="10"/>
      <c r="BH271" s="10"/>
      <c r="BI271" s="10"/>
      <c r="BJ271" s="632"/>
      <c r="BK271" s="632"/>
      <c r="BL271" s="632"/>
      <c r="BM271" s="632"/>
      <c r="BN271" s="632"/>
      <c r="BO271" s="632"/>
      <c r="BP271" s="632"/>
      <c r="BQ271" s="632"/>
      <c r="BR271" s="632"/>
      <c r="BS271" s="632"/>
      <c r="BT271" s="632"/>
      <c r="BU271" s="10"/>
      <c r="BV271" s="10"/>
      <c r="BW271" s="10"/>
      <c r="BX271" s="10"/>
      <c r="BY271" s="10"/>
      <c r="BZ271" s="10"/>
      <c r="CA271" s="10"/>
      <c r="CB271" s="10"/>
      <c r="CC271" s="10"/>
      <c r="CD271" s="10"/>
      <c r="CE271" s="10"/>
      <c r="CF271" s="10"/>
      <c r="CG271" s="10"/>
      <c r="CH271" s="10"/>
      <c r="CI271" s="10"/>
      <c r="CJ271" s="10"/>
      <c r="CK271" s="10"/>
      <c r="CL271" s="632"/>
      <c r="CM271" s="632"/>
      <c r="CN271" s="632"/>
      <c r="CO271" s="632"/>
      <c r="CP271" s="632"/>
      <c r="CQ271" s="632"/>
      <c r="CR271" s="632"/>
      <c r="CS271" s="632"/>
      <c r="CT271" s="632"/>
      <c r="CU271" s="632"/>
      <c r="CV271" s="632"/>
      <c r="CW271" s="10"/>
      <c r="CX271" s="10"/>
      <c r="CY271" s="10"/>
      <c r="CZ271" s="10"/>
      <c r="DA271" s="10"/>
      <c r="DB271" s="10"/>
      <c r="DC271" s="10"/>
      <c r="DD271" s="10"/>
      <c r="DE271" s="10"/>
      <c r="DF271" s="10"/>
      <c r="DG271" s="10"/>
      <c r="DH271" s="10"/>
      <c r="DI271" s="10"/>
      <c r="DJ271" s="10"/>
      <c r="DK271" s="10"/>
      <c r="DL271" s="10"/>
      <c r="DM271" s="10"/>
      <c r="DN271" s="632"/>
      <c r="DO271" s="632"/>
      <c r="DP271" s="632"/>
      <c r="DQ271" s="632"/>
      <c r="DR271" s="632"/>
      <c r="DS271" s="632"/>
      <c r="DT271" s="632"/>
      <c r="DU271" s="632"/>
      <c r="DV271" s="632"/>
      <c r="DW271" s="632"/>
      <c r="DX271" s="632"/>
      <c r="DY271" s="10"/>
      <c r="DZ271" s="10"/>
      <c r="EA271" s="10"/>
      <c r="EB271" s="10"/>
      <c r="EC271" s="10"/>
      <c r="ED271" s="10"/>
      <c r="EE271" s="10"/>
      <c r="EF271" s="10"/>
      <c r="EG271" s="10"/>
      <c r="EH271" s="10"/>
      <c r="EI271" s="10"/>
      <c r="EP271" s="632"/>
      <c r="EQ271" s="632"/>
      <c r="ER271" s="632"/>
      <c r="ES271" s="632"/>
      <c r="ET271" s="632"/>
      <c r="EU271" s="632"/>
      <c r="EV271" s="632"/>
      <c r="EW271" s="632"/>
      <c r="EX271" s="632"/>
      <c r="EY271" s="632"/>
      <c r="EZ271" s="632"/>
      <c r="FA271" s="10"/>
      <c r="FB271" s="10"/>
      <c r="FC271" s="10"/>
      <c r="FD271" s="10"/>
      <c r="FE271" s="10"/>
      <c r="FF271" s="10"/>
      <c r="FG271" s="10"/>
      <c r="FH271" s="10"/>
      <c r="FI271" s="10"/>
      <c r="FJ271" s="10"/>
      <c r="FK271" s="10"/>
      <c r="FO271" s="47"/>
      <c r="FP271" s="47"/>
      <c r="FQ271" s="47"/>
      <c r="FR271" s="47"/>
      <c r="FS271" s="49"/>
      <c r="FT271" s="49"/>
      <c r="FU271" s="49"/>
      <c r="FV271" s="49"/>
      <c r="FW271" s="49"/>
      <c r="FX271" s="49"/>
      <c r="FY271" s="47"/>
      <c r="FZ271" s="103"/>
      <c r="GA271" s="49"/>
      <c r="GB271" s="49"/>
      <c r="GC271" s="49"/>
      <c r="GD271" s="49"/>
      <c r="GE271" s="49"/>
      <c r="GF271" s="49"/>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13"/>
      <c r="HG271" s="13"/>
      <c r="HH271" s="13"/>
    </row>
    <row r="272" spans="1:216" ht="16.5" customHeight="1">
      <c r="A272" s="1"/>
      <c r="B272" s="3"/>
      <c r="C272" s="3"/>
      <c r="D272" s="460"/>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c r="AA272" s="462"/>
      <c r="AB272" s="462"/>
      <c r="AC272" s="462"/>
      <c r="AD272" s="462"/>
      <c r="AE272" s="462"/>
      <c r="AF272" s="462"/>
      <c r="AG272" s="462"/>
      <c r="AH272" s="462"/>
      <c r="AI272" s="462"/>
      <c r="AJ272" s="462"/>
      <c r="AK272" s="462"/>
      <c r="AL272" s="462"/>
      <c r="AM272" s="462"/>
      <c r="AN272" s="462"/>
      <c r="AO272" s="462"/>
      <c r="AP272" s="462"/>
      <c r="AQ272" s="462"/>
      <c r="AR272" s="464" t="str">
        <f ca="1">IF(FP262&gt;=1,"TW = - € 2","")</f>
        <v/>
      </c>
      <c r="AS272" s="462"/>
      <c r="AT272" s="462"/>
      <c r="AU272" s="462"/>
      <c r="AV272" s="462"/>
      <c r="AW272" s="462"/>
      <c r="AX272" s="462"/>
      <c r="AY272" s="462"/>
      <c r="AZ272" s="462"/>
      <c r="BA272" s="462"/>
      <c r="BB272" s="462"/>
      <c r="BC272" s="462"/>
      <c r="BD272" s="462"/>
      <c r="BE272" s="462"/>
      <c r="BF272" s="462"/>
      <c r="BG272" s="462"/>
      <c r="BH272" s="462"/>
      <c r="BI272" s="462"/>
      <c r="BJ272" s="632"/>
      <c r="BK272" s="632"/>
      <c r="BL272" s="632"/>
      <c r="BM272" s="632"/>
      <c r="BN272" s="632"/>
      <c r="BO272" s="632"/>
      <c r="BP272" s="632"/>
      <c r="BQ272" s="632"/>
      <c r="BR272" s="632"/>
      <c r="BS272" s="632"/>
      <c r="BT272" s="632"/>
      <c r="BU272" s="462"/>
      <c r="BV272" s="462"/>
      <c r="BW272" s="462"/>
      <c r="BX272" s="462"/>
      <c r="BY272" s="462"/>
      <c r="BZ272" s="462"/>
      <c r="CA272" s="462"/>
      <c r="CB272" s="462"/>
      <c r="CC272" s="462"/>
      <c r="CD272" s="462"/>
      <c r="CE272" s="462"/>
      <c r="CF272" s="462"/>
      <c r="CG272" s="462"/>
      <c r="CH272" s="462"/>
      <c r="CI272" s="462"/>
      <c r="CJ272" s="462"/>
      <c r="CK272" s="462"/>
      <c r="CL272" s="632"/>
      <c r="CM272" s="632"/>
      <c r="CN272" s="632"/>
      <c r="CO272" s="632"/>
      <c r="CP272" s="632"/>
      <c r="CQ272" s="632"/>
      <c r="CR272" s="632"/>
      <c r="CS272" s="632"/>
      <c r="CT272" s="632"/>
      <c r="CU272" s="632"/>
      <c r="CV272" s="632"/>
      <c r="CW272" s="462"/>
      <c r="CX272" s="462"/>
      <c r="CY272" s="462"/>
      <c r="CZ272" s="462"/>
      <c r="DA272" s="462"/>
      <c r="DB272" s="462"/>
      <c r="DC272" s="462"/>
      <c r="DD272" s="462"/>
      <c r="DE272" s="462"/>
      <c r="DF272" s="462"/>
      <c r="DG272" s="462"/>
      <c r="DH272" s="458"/>
      <c r="DI272" s="458"/>
      <c r="DJ272" s="458"/>
      <c r="DK272" s="458"/>
      <c r="DL272" s="458"/>
      <c r="DM272" s="456"/>
      <c r="DN272" s="632"/>
      <c r="DO272" s="632"/>
      <c r="DP272" s="632"/>
      <c r="DQ272" s="632"/>
      <c r="DR272" s="632"/>
      <c r="DS272" s="632"/>
      <c r="DT272" s="632"/>
      <c r="DU272" s="632"/>
      <c r="DV272" s="632"/>
      <c r="DW272" s="632"/>
      <c r="DX272" s="632"/>
      <c r="DY272" s="462"/>
      <c r="DZ272" s="462"/>
      <c r="EA272" s="462"/>
      <c r="EB272" s="462"/>
      <c r="EC272" s="462"/>
      <c r="ED272" s="462"/>
      <c r="EE272" s="462"/>
      <c r="EF272" s="462"/>
      <c r="EG272" s="462"/>
      <c r="EH272" s="462"/>
      <c r="EI272" s="462"/>
      <c r="EP272" s="632"/>
      <c r="EQ272" s="632"/>
      <c r="ER272" s="632"/>
      <c r="ES272" s="632"/>
      <c r="ET272" s="632"/>
      <c r="EU272" s="632"/>
      <c r="EV272" s="632"/>
      <c r="EW272" s="632"/>
      <c r="EX272" s="632"/>
      <c r="EY272" s="632"/>
      <c r="EZ272" s="632"/>
      <c r="FA272" s="630" t="str">
        <f ca="1">IF(FP262&gt;=5,"€ 2","")</f>
        <v/>
      </c>
      <c r="FB272" s="630"/>
      <c r="FC272" s="630"/>
      <c r="FD272" s="630"/>
      <c r="FE272" s="630"/>
      <c r="FF272" s="630"/>
      <c r="FG272" s="630"/>
      <c r="FH272" s="630"/>
      <c r="FI272" s="630"/>
      <c r="FJ272" s="630"/>
      <c r="FK272" s="630"/>
      <c r="FO272" s="47"/>
      <c r="FP272" s="47"/>
      <c r="FQ272" s="47"/>
      <c r="FR272" s="47"/>
      <c r="FS272" s="49"/>
      <c r="FT272" s="49"/>
      <c r="FU272" s="49"/>
      <c r="FV272" s="49"/>
      <c r="FW272" s="49"/>
      <c r="FX272" s="49"/>
      <c r="FY272" s="47"/>
      <c r="FZ272" s="103"/>
      <c r="GA272" s="49"/>
      <c r="GB272" s="49"/>
      <c r="GC272" s="49"/>
      <c r="GD272" s="49"/>
      <c r="GE272" s="49"/>
      <c r="GF272" s="49"/>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13"/>
      <c r="HG272" s="13"/>
      <c r="HH272" s="13"/>
    </row>
    <row r="273" spans="1:216" ht="16.5" customHeight="1">
      <c r="A273" s="1"/>
      <c r="B273" s="3"/>
      <c r="C273" s="3"/>
      <c r="D273" s="460"/>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c r="AA273" s="462"/>
      <c r="AB273" s="462"/>
      <c r="AC273" s="462"/>
      <c r="AD273" s="462"/>
      <c r="AE273" s="462"/>
      <c r="AF273" s="462"/>
      <c r="AG273" s="462"/>
      <c r="AH273" s="631" t="str">
        <f ca="1">IF(FP262&gt;=1,"€ 8","")</f>
        <v/>
      </c>
      <c r="AI273" s="632"/>
      <c r="AJ273" s="632"/>
      <c r="AK273" s="632"/>
      <c r="AL273" s="632"/>
      <c r="AM273" s="632"/>
      <c r="AN273" s="632"/>
      <c r="AO273" s="632"/>
      <c r="AP273" s="632"/>
      <c r="AQ273" s="632"/>
      <c r="AR273" s="632"/>
      <c r="AS273" s="462"/>
      <c r="AT273" s="462"/>
      <c r="AU273" s="462"/>
      <c r="AV273" s="462"/>
      <c r="AW273" s="462"/>
      <c r="AX273" s="462"/>
      <c r="AY273" s="462"/>
      <c r="AZ273" s="462"/>
      <c r="BA273" s="462"/>
      <c r="BB273" s="462"/>
      <c r="BC273" s="462"/>
      <c r="BD273" s="462"/>
      <c r="BE273" s="462"/>
      <c r="BF273" s="462"/>
      <c r="BG273" s="462"/>
      <c r="BH273" s="462"/>
      <c r="BI273" s="462"/>
      <c r="BJ273" s="631" t="str">
        <f ca="1">IF(FP262&gt;=2,"€ 8","")</f>
        <v/>
      </c>
      <c r="BK273" s="632"/>
      <c r="BL273" s="632"/>
      <c r="BM273" s="632"/>
      <c r="BN273" s="632"/>
      <c r="BO273" s="632"/>
      <c r="BP273" s="632"/>
      <c r="BQ273" s="632"/>
      <c r="BR273" s="632"/>
      <c r="BS273" s="632"/>
      <c r="BT273" s="632"/>
      <c r="BU273" s="462"/>
      <c r="BV273" s="462"/>
      <c r="BW273" s="462"/>
      <c r="BX273" s="462"/>
      <c r="BY273" s="462"/>
      <c r="BZ273" s="462"/>
      <c r="CA273" s="462"/>
      <c r="CB273" s="462"/>
      <c r="CC273" s="462"/>
      <c r="CD273" s="462"/>
      <c r="CE273" s="462"/>
      <c r="CF273" s="462"/>
      <c r="CG273" s="462"/>
      <c r="CH273" s="462"/>
      <c r="CI273" s="462"/>
      <c r="CJ273" s="462"/>
      <c r="CK273" s="462"/>
      <c r="CL273" s="632"/>
      <c r="CM273" s="632"/>
      <c r="CN273" s="632"/>
      <c r="CO273" s="632"/>
      <c r="CP273" s="632"/>
      <c r="CQ273" s="632"/>
      <c r="CR273" s="632"/>
      <c r="CS273" s="632"/>
      <c r="CT273" s="632"/>
      <c r="CU273" s="632"/>
      <c r="CV273" s="632"/>
      <c r="CW273" s="462"/>
      <c r="CX273" s="462"/>
      <c r="CY273" s="462"/>
      <c r="CZ273" s="462"/>
      <c r="DA273" s="462"/>
      <c r="DB273" s="462"/>
      <c r="DC273" s="462"/>
      <c r="DD273" s="462"/>
      <c r="DE273" s="462"/>
      <c r="DF273" s="462"/>
      <c r="DG273" s="462"/>
      <c r="DH273" s="458"/>
      <c r="DI273" s="458"/>
      <c r="DJ273" s="458"/>
      <c r="DK273" s="458"/>
      <c r="DL273" s="458"/>
      <c r="DM273" s="456"/>
      <c r="DN273" s="632"/>
      <c r="DO273" s="632"/>
      <c r="DP273" s="632"/>
      <c r="DQ273" s="632"/>
      <c r="DR273" s="632"/>
      <c r="DS273" s="632"/>
      <c r="DT273" s="632"/>
      <c r="DU273" s="632"/>
      <c r="DV273" s="632"/>
      <c r="DW273" s="632"/>
      <c r="DX273" s="632"/>
      <c r="DY273" s="630" t="str">
        <f ca="1">IF(FP262&gt;=4,"€ 2","")</f>
        <v/>
      </c>
      <c r="DZ273" s="630"/>
      <c r="EA273" s="630"/>
      <c r="EB273" s="630"/>
      <c r="EC273" s="630"/>
      <c r="ED273" s="630"/>
      <c r="EE273" s="630"/>
      <c r="EF273" s="630"/>
      <c r="EG273" s="630"/>
      <c r="EH273" s="630"/>
      <c r="EI273" s="630"/>
      <c r="EP273" s="632"/>
      <c r="EQ273" s="632"/>
      <c r="ER273" s="632"/>
      <c r="ES273" s="632"/>
      <c r="ET273" s="632"/>
      <c r="EU273" s="632"/>
      <c r="EV273" s="632"/>
      <c r="EW273" s="632"/>
      <c r="EX273" s="632"/>
      <c r="EY273" s="632"/>
      <c r="EZ273" s="632"/>
      <c r="FA273" s="630" t="str">
        <f ca="1">IF(FP262&gt;=5,"€ 8","")</f>
        <v/>
      </c>
      <c r="FB273" s="630"/>
      <c r="FC273" s="630"/>
      <c r="FD273" s="630"/>
      <c r="FE273" s="630"/>
      <c r="FF273" s="630"/>
      <c r="FG273" s="630"/>
      <c r="FH273" s="630"/>
      <c r="FI273" s="630"/>
      <c r="FJ273" s="630"/>
      <c r="FK273" s="630"/>
      <c r="FO273" s="47"/>
      <c r="FP273" s="47"/>
      <c r="FQ273" s="47"/>
      <c r="FR273" s="47"/>
      <c r="FS273" s="49"/>
      <c r="FT273" s="49"/>
      <c r="FU273" s="49"/>
      <c r="FV273" s="49"/>
      <c r="FW273" s="49"/>
      <c r="FX273" s="49"/>
      <c r="FY273" s="47"/>
      <c r="FZ273" s="103"/>
      <c r="GA273" s="49"/>
      <c r="GB273" s="49"/>
      <c r="GC273" s="49"/>
      <c r="GD273" s="49"/>
      <c r="GE273" s="49"/>
      <c r="GF273" s="49"/>
      <c r="GG273" s="48"/>
      <c r="GH273" s="48"/>
      <c r="GI273" s="48"/>
      <c r="GJ273" s="48"/>
      <c r="GK273" s="48"/>
      <c r="GL273" s="48"/>
      <c r="GM273" s="48"/>
      <c r="GN273" s="48"/>
      <c r="GO273" s="48"/>
      <c r="GP273" s="48"/>
      <c r="GQ273" s="48"/>
      <c r="GR273" s="48"/>
      <c r="GS273" s="48"/>
      <c r="GT273" s="48"/>
      <c r="GU273" s="48"/>
      <c r="GV273" s="48"/>
      <c r="GW273" s="48"/>
      <c r="GX273" s="48"/>
      <c r="GY273" s="48"/>
      <c r="GZ273" s="48"/>
      <c r="HA273" s="48"/>
      <c r="HB273" s="48"/>
      <c r="HC273" s="48"/>
      <c r="HD273" s="48"/>
      <c r="HE273" s="48"/>
      <c r="HF273" s="13"/>
      <c r="HG273" s="13"/>
      <c r="HH273" s="13"/>
    </row>
    <row r="274" spans="1:216" ht="16.5" customHeight="1">
      <c r="A274" s="1"/>
      <c r="B274" s="3"/>
      <c r="C274" s="3"/>
      <c r="D274" s="460"/>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c r="AA274" s="462"/>
      <c r="AB274" s="462"/>
      <c r="AC274" s="462"/>
      <c r="AD274" s="462"/>
      <c r="AE274" s="462"/>
      <c r="AF274" s="462"/>
      <c r="AG274" s="462"/>
      <c r="AH274" s="632"/>
      <c r="AI274" s="632"/>
      <c r="AJ274" s="632"/>
      <c r="AK274" s="632"/>
      <c r="AL274" s="632"/>
      <c r="AM274" s="632"/>
      <c r="AN274" s="632"/>
      <c r="AO274" s="632"/>
      <c r="AP274" s="632"/>
      <c r="AQ274" s="632"/>
      <c r="AR274" s="632"/>
      <c r="AS274" s="462"/>
      <c r="AT274" s="462"/>
      <c r="AU274" s="462"/>
      <c r="AV274" s="462"/>
      <c r="AW274" s="462"/>
      <c r="AX274" s="462"/>
      <c r="AY274" s="462"/>
      <c r="AZ274" s="462"/>
      <c r="BA274" s="462"/>
      <c r="BB274" s="462"/>
      <c r="BC274" s="462"/>
      <c r="BD274" s="462"/>
      <c r="BE274" s="462"/>
      <c r="BF274" s="462"/>
      <c r="BG274" s="462"/>
      <c r="BH274" s="462"/>
      <c r="BI274" s="462"/>
      <c r="BJ274" s="632"/>
      <c r="BK274" s="632"/>
      <c r="BL274" s="632"/>
      <c r="BM274" s="632"/>
      <c r="BN274" s="632"/>
      <c r="BO274" s="632"/>
      <c r="BP274" s="632"/>
      <c r="BQ274" s="632"/>
      <c r="BR274" s="632"/>
      <c r="BS274" s="632"/>
      <c r="BT274" s="632"/>
      <c r="BU274" s="462"/>
      <c r="BV274" s="462"/>
      <c r="BW274" s="462"/>
      <c r="BX274" s="462"/>
      <c r="BY274" s="462"/>
      <c r="BZ274" s="462"/>
      <c r="CA274" s="462"/>
      <c r="CB274" s="462"/>
      <c r="CC274" s="462"/>
      <c r="CD274" s="462"/>
      <c r="CE274" s="462"/>
      <c r="CF274" s="462"/>
      <c r="CG274" s="462"/>
      <c r="CH274" s="462"/>
      <c r="CI274" s="462"/>
      <c r="CJ274" s="462"/>
      <c r="CK274" s="462"/>
      <c r="CL274" s="632"/>
      <c r="CM274" s="632"/>
      <c r="CN274" s="632"/>
      <c r="CO274" s="632"/>
      <c r="CP274" s="632"/>
      <c r="CQ274" s="632"/>
      <c r="CR274" s="632"/>
      <c r="CS274" s="632"/>
      <c r="CT274" s="632"/>
      <c r="CU274" s="632"/>
      <c r="CV274" s="632"/>
      <c r="CW274" s="630" t="str">
        <f ca="1">IF(FP262&gt;=3,"€ 2","")</f>
        <v/>
      </c>
      <c r="CX274" s="630"/>
      <c r="CY274" s="630"/>
      <c r="CZ274" s="630"/>
      <c r="DA274" s="630"/>
      <c r="DB274" s="630"/>
      <c r="DC274" s="630"/>
      <c r="DD274" s="630"/>
      <c r="DE274" s="630"/>
      <c r="DF274" s="630"/>
      <c r="DG274" s="630"/>
      <c r="DH274" s="458"/>
      <c r="DI274" s="458"/>
      <c r="DJ274" s="458"/>
      <c r="DK274" s="458"/>
      <c r="DL274" s="458"/>
      <c r="DM274" s="456"/>
      <c r="DN274" s="632"/>
      <c r="DO274" s="632"/>
      <c r="DP274" s="632"/>
      <c r="DQ274" s="632"/>
      <c r="DR274" s="632"/>
      <c r="DS274" s="632"/>
      <c r="DT274" s="632"/>
      <c r="DU274" s="632"/>
      <c r="DV274" s="632"/>
      <c r="DW274" s="632"/>
      <c r="DX274" s="632"/>
      <c r="DY274" s="630" t="str">
        <f ca="1">IF(FP262&gt;=4,"€ 6","")</f>
        <v/>
      </c>
      <c r="DZ274" s="630"/>
      <c r="EA274" s="630"/>
      <c r="EB274" s="630"/>
      <c r="EC274" s="630"/>
      <c r="ED274" s="630"/>
      <c r="EE274" s="630"/>
      <c r="EF274" s="630"/>
      <c r="EG274" s="630"/>
      <c r="EH274" s="630"/>
      <c r="EI274" s="630"/>
      <c r="EP274" s="632"/>
      <c r="EQ274" s="632"/>
      <c r="ER274" s="632"/>
      <c r="ES274" s="632"/>
      <c r="ET274" s="632"/>
      <c r="EU274" s="632"/>
      <c r="EV274" s="632"/>
      <c r="EW274" s="632"/>
      <c r="EX274" s="632"/>
      <c r="EY274" s="632"/>
      <c r="EZ274" s="632"/>
      <c r="FA274" s="532"/>
      <c r="FB274" s="532"/>
      <c r="FC274" s="532"/>
      <c r="FD274" s="532"/>
      <c r="FE274" s="532"/>
      <c r="FF274" s="532"/>
      <c r="FG274" s="532"/>
      <c r="FH274" s="532"/>
      <c r="FI274" s="532"/>
      <c r="FJ274" s="532"/>
      <c r="FK274" s="532"/>
      <c r="FO274" s="47"/>
      <c r="FP274" s="47"/>
      <c r="FQ274" s="47"/>
      <c r="FR274" s="47"/>
      <c r="FS274" s="49"/>
      <c r="FT274" s="49"/>
      <c r="FU274" s="49"/>
      <c r="FV274" s="49"/>
      <c r="FW274" s="49"/>
      <c r="FX274" s="49"/>
      <c r="FY274" s="47"/>
      <c r="FZ274" s="103"/>
      <c r="GA274" s="49"/>
      <c r="GB274" s="49"/>
      <c r="GC274" s="49"/>
      <c r="GD274" s="49"/>
      <c r="GE274" s="49"/>
      <c r="GF274" s="49"/>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13"/>
      <c r="HG274" s="13"/>
      <c r="HH274" s="13"/>
    </row>
    <row r="275" spans="1:216" ht="16.5" customHeight="1">
      <c r="A275" s="1"/>
      <c r="B275" s="3"/>
      <c r="C275" s="3"/>
      <c r="D275" s="460"/>
      <c r="E275" s="462"/>
      <c r="F275" s="462"/>
      <c r="G275" s="462"/>
      <c r="H275" s="462"/>
      <c r="I275" s="462"/>
      <c r="J275" s="462"/>
      <c r="K275" s="462"/>
      <c r="L275" s="462"/>
      <c r="M275" s="462"/>
      <c r="N275" s="462"/>
      <c r="O275" s="462"/>
      <c r="Q275" s="462"/>
      <c r="R275" s="462"/>
      <c r="S275" s="462"/>
      <c r="T275" s="462"/>
      <c r="U275" s="462"/>
      <c r="V275" s="462"/>
      <c r="W275" s="462"/>
      <c r="X275" s="462"/>
      <c r="Y275" s="462"/>
      <c r="Z275" s="462"/>
      <c r="AA275" s="462"/>
      <c r="AB275" s="462"/>
      <c r="AC275" s="462"/>
      <c r="AD275" s="462"/>
      <c r="AE275" s="462"/>
      <c r="AF275" s="462"/>
      <c r="AG275" s="462"/>
      <c r="AH275" s="632"/>
      <c r="AI275" s="632"/>
      <c r="AJ275" s="632"/>
      <c r="AK275" s="632"/>
      <c r="AL275" s="632"/>
      <c r="AM275" s="632"/>
      <c r="AN275" s="632"/>
      <c r="AO275" s="632"/>
      <c r="AP275" s="632"/>
      <c r="AQ275" s="632"/>
      <c r="AR275" s="632"/>
      <c r="AS275" s="462"/>
      <c r="AT275" s="462"/>
      <c r="AU275" s="462"/>
      <c r="AV275" s="462"/>
      <c r="AW275" s="462"/>
      <c r="AX275" s="462"/>
      <c r="AY275" s="462"/>
      <c r="AZ275" s="462"/>
      <c r="BA275" s="462"/>
      <c r="BB275" s="462"/>
      <c r="BC275" s="462"/>
      <c r="BD275" s="462"/>
      <c r="BE275" s="462"/>
      <c r="BF275" s="462"/>
      <c r="BG275" s="462"/>
      <c r="BH275" s="462"/>
      <c r="BI275" s="462"/>
      <c r="BJ275" s="632"/>
      <c r="BK275" s="632"/>
      <c r="BL275" s="632"/>
      <c r="BM275" s="632"/>
      <c r="BN275" s="632"/>
      <c r="BO275" s="632"/>
      <c r="BP275" s="632"/>
      <c r="BQ275" s="632"/>
      <c r="BR275" s="632"/>
      <c r="BS275" s="632"/>
      <c r="BT275" s="632"/>
      <c r="BU275" s="630" t="str">
        <f ca="1">IF(FP262&gt;=2,"€ 2","")</f>
        <v/>
      </c>
      <c r="BV275" s="630"/>
      <c r="BW275" s="630"/>
      <c r="BX275" s="630"/>
      <c r="BY275" s="630"/>
      <c r="BZ275" s="630"/>
      <c r="CA275" s="630"/>
      <c r="CB275" s="630"/>
      <c r="CC275" s="630"/>
      <c r="CD275" s="630"/>
      <c r="CE275" s="630"/>
      <c r="CF275" s="462"/>
      <c r="CG275" s="462"/>
      <c r="CH275" s="462"/>
      <c r="CI275" s="462"/>
      <c r="CJ275" s="462"/>
      <c r="CK275" s="462"/>
      <c r="CL275" s="632"/>
      <c r="CM275" s="632"/>
      <c r="CN275" s="632"/>
      <c r="CO275" s="632"/>
      <c r="CP275" s="632"/>
      <c r="CQ275" s="632"/>
      <c r="CR275" s="632"/>
      <c r="CS275" s="632"/>
      <c r="CT275" s="632"/>
      <c r="CU275" s="632"/>
      <c r="CV275" s="632"/>
      <c r="CW275" s="630" t="str">
        <f ca="1">IF(FP262&gt;=3,"€ 4","")</f>
        <v/>
      </c>
      <c r="CX275" s="630"/>
      <c r="CY275" s="630"/>
      <c r="CZ275" s="630"/>
      <c r="DA275" s="630"/>
      <c r="DB275" s="630"/>
      <c r="DC275" s="630"/>
      <c r="DD275" s="630"/>
      <c r="DE275" s="630"/>
      <c r="DF275" s="630"/>
      <c r="DG275" s="630"/>
      <c r="DH275" s="458"/>
      <c r="DI275" s="458"/>
      <c r="DJ275" s="458"/>
      <c r="DK275" s="458"/>
      <c r="DL275" s="458"/>
      <c r="DM275" s="456"/>
      <c r="DN275" s="632"/>
      <c r="DO275" s="632"/>
      <c r="DP275" s="632"/>
      <c r="DQ275" s="632"/>
      <c r="DR275" s="632"/>
      <c r="DS275" s="632"/>
      <c r="DT275" s="632"/>
      <c r="DU275" s="632"/>
      <c r="DV275" s="632"/>
      <c r="DW275" s="632"/>
      <c r="DX275" s="632"/>
      <c r="DY275" s="532"/>
      <c r="DZ275" s="532"/>
      <c r="EA275" s="532"/>
      <c r="EB275" s="532"/>
      <c r="EC275" s="532"/>
      <c r="ED275" s="532"/>
      <c r="EE275" s="532"/>
      <c r="EF275" s="532"/>
      <c r="EG275" s="532"/>
      <c r="EH275" s="532"/>
      <c r="EI275" s="532"/>
      <c r="EP275" s="632"/>
      <c r="EQ275" s="632"/>
      <c r="ER275" s="632"/>
      <c r="ES275" s="632"/>
      <c r="ET275" s="632"/>
      <c r="EU275" s="632"/>
      <c r="EV275" s="632"/>
      <c r="EW275" s="632"/>
      <c r="EX275" s="632"/>
      <c r="EY275" s="632"/>
      <c r="EZ275" s="632"/>
      <c r="FA275" s="532"/>
      <c r="FB275" s="532"/>
      <c r="FC275" s="532"/>
      <c r="FD275" s="532"/>
      <c r="FE275" s="532"/>
      <c r="FF275" s="532"/>
      <c r="FG275" s="532"/>
      <c r="FH275" s="532"/>
      <c r="FI275" s="532"/>
      <c r="FJ275" s="532"/>
      <c r="FK275" s="532"/>
      <c r="FO275" s="47"/>
      <c r="FP275" s="47"/>
      <c r="FQ275" s="47"/>
      <c r="FR275" s="47"/>
      <c r="FS275" s="49"/>
      <c r="FT275" s="49"/>
      <c r="FU275" s="49"/>
      <c r="FV275" s="49"/>
      <c r="FW275" s="49"/>
      <c r="FX275" s="49"/>
      <c r="FY275" s="47"/>
      <c r="FZ275" s="103"/>
      <c r="GA275" s="49"/>
      <c r="GB275" s="49"/>
      <c r="GC275" s="49"/>
      <c r="GD275" s="49"/>
      <c r="GE275" s="49"/>
      <c r="GF275" s="49"/>
      <c r="GG275" s="48"/>
      <c r="GH275" s="48"/>
      <c r="GI275" s="48"/>
      <c r="GJ275" s="48"/>
      <c r="GK275" s="48"/>
      <c r="GL275" s="48"/>
      <c r="GM275" s="48"/>
      <c r="GN275" s="48"/>
      <c r="GO275" s="48"/>
      <c r="GP275" s="48"/>
      <c r="GQ275" s="48"/>
      <c r="GR275" s="48"/>
      <c r="GS275" s="48"/>
      <c r="GT275" s="48"/>
      <c r="GU275" s="48"/>
      <c r="GV275" s="48"/>
      <c r="GW275" s="48"/>
      <c r="GX275" s="48"/>
      <c r="GY275" s="48"/>
      <c r="GZ275" s="48"/>
      <c r="HA275" s="48"/>
      <c r="HB275" s="48"/>
      <c r="HC275" s="48"/>
      <c r="HD275" s="48"/>
      <c r="HE275" s="48"/>
      <c r="HF275" s="13"/>
      <c r="HG275" s="13"/>
      <c r="HH275" s="13"/>
    </row>
    <row r="276" spans="1:216" ht="16.8" customHeight="1">
      <c r="A276" s="1"/>
      <c r="B276" s="3"/>
      <c r="C276" s="3"/>
      <c r="D276" s="460"/>
      <c r="E276" s="462"/>
      <c r="F276" s="462"/>
      <c r="G276" s="462"/>
      <c r="H276" s="462"/>
      <c r="I276" s="462"/>
      <c r="J276" s="462"/>
      <c r="K276" s="462"/>
      <c r="L276" s="462"/>
      <c r="M276" s="462"/>
      <c r="N276" s="462"/>
      <c r="O276" s="462"/>
      <c r="P276" s="464" t="str">
        <f ca="1">IF(FO251=0,"","TW = - € 8")</f>
        <v/>
      </c>
      <c r="Q276" s="462"/>
      <c r="R276" s="462"/>
      <c r="S276" s="462"/>
      <c r="T276" s="462"/>
      <c r="U276" s="462"/>
      <c r="V276" s="462"/>
      <c r="W276" s="462"/>
      <c r="X276" s="462"/>
      <c r="Y276" s="462"/>
      <c r="Z276" s="462"/>
      <c r="AA276" s="462"/>
      <c r="AB276" s="462"/>
      <c r="AC276" s="462"/>
      <c r="AD276" s="462"/>
      <c r="AE276" s="462"/>
      <c r="AF276" s="462"/>
      <c r="AG276" s="462"/>
      <c r="AH276" s="632"/>
      <c r="AI276" s="632"/>
      <c r="AJ276" s="632"/>
      <c r="AK276" s="632"/>
      <c r="AL276" s="632"/>
      <c r="AM276" s="632"/>
      <c r="AN276" s="632"/>
      <c r="AO276" s="632"/>
      <c r="AP276" s="632"/>
      <c r="AQ276" s="632"/>
      <c r="AR276" s="632"/>
      <c r="AS276" s="630" t="str">
        <f ca="1">IF(FP262&gt;=1,"€ 2","")</f>
        <v/>
      </c>
      <c r="AT276" s="630"/>
      <c r="AU276" s="630"/>
      <c r="AV276" s="630"/>
      <c r="AW276" s="630"/>
      <c r="AX276" s="630"/>
      <c r="AY276" s="630"/>
      <c r="AZ276" s="630"/>
      <c r="BA276" s="630"/>
      <c r="BB276" s="630"/>
      <c r="BC276" s="630"/>
      <c r="BD276" s="462"/>
      <c r="BE276" s="462"/>
      <c r="BF276" s="462"/>
      <c r="BG276" s="462"/>
      <c r="BH276" s="462"/>
      <c r="BI276" s="462"/>
      <c r="BJ276" s="632"/>
      <c r="BK276" s="632"/>
      <c r="BL276" s="632"/>
      <c r="BM276" s="632"/>
      <c r="BN276" s="632"/>
      <c r="BO276" s="632"/>
      <c r="BP276" s="632"/>
      <c r="BQ276" s="632"/>
      <c r="BR276" s="632"/>
      <c r="BS276" s="632"/>
      <c r="BT276" s="632"/>
      <c r="BU276" s="630" t="str">
        <f ca="1">IF(FP262&gt;=2,"€ 2","")</f>
        <v/>
      </c>
      <c r="BV276" s="630"/>
      <c r="BW276" s="630"/>
      <c r="BX276" s="630"/>
      <c r="BY276" s="630"/>
      <c r="BZ276" s="630"/>
      <c r="CA276" s="630"/>
      <c r="CB276" s="630"/>
      <c r="CC276" s="630"/>
      <c r="CD276" s="630"/>
      <c r="CE276" s="630"/>
      <c r="CF276" s="462"/>
      <c r="CG276" s="462"/>
      <c r="CH276" s="462"/>
      <c r="CI276" s="462"/>
      <c r="CJ276" s="462"/>
      <c r="CK276" s="462"/>
      <c r="CL276" s="632"/>
      <c r="CM276" s="632"/>
      <c r="CN276" s="632"/>
      <c r="CO276" s="632"/>
      <c r="CP276" s="632"/>
      <c r="CQ276" s="632"/>
      <c r="CR276" s="632"/>
      <c r="CS276" s="632"/>
      <c r="CT276" s="632"/>
      <c r="CU276" s="632"/>
      <c r="CV276" s="632"/>
      <c r="CW276" s="532"/>
      <c r="CX276" s="532"/>
      <c r="CY276" s="532"/>
      <c r="CZ276" s="532"/>
      <c r="DA276" s="532"/>
      <c r="DB276" s="532"/>
      <c r="DC276" s="532"/>
      <c r="DD276" s="532"/>
      <c r="DE276" s="532"/>
      <c r="DF276" s="532"/>
      <c r="DG276" s="532"/>
      <c r="DH276" s="458"/>
      <c r="DI276" s="458"/>
      <c r="DJ276" s="458"/>
      <c r="DK276" s="458"/>
      <c r="DL276" s="458"/>
      <c r="DM276" s="456"/>
      <c r="DN276" s="632"/>
      <c r="DO276" s="632"/>
      <c r="DP276" s="632"/>
      <c r="DQ276" s="632"/>
      <c r="DR276" s="632"/>
      <c r="DS276" s="632"/>
      <c r="DT276" s="632"/>
      <c r="DU276" s="632"/>
      <c r="DV276" s="632"/>
      <c r="DW276" s="632"/>
      <c r="DX276" s="632"/>
      <c r="DY276" s="532"/>
      <c r="DZ276" s="532"/>
      <c r="EA276" s="532"/>
      <c r="EB276" s="532"/>
      <c r="EC276" s="532"/>
      <c r="ED276" s="532"/>
      <c r="EE276" s="532"/>
      <c r="EF276" s="532"/>
      <c r="EG276" s="532"/>
      <c r="EH276" s="532"/>
      <c r="EI276" s="532"/>
      <c r="EP276" s="532"/>
      <c r="EQ276" s="532"/>
      <c r="ER276" s="532"/>
      <c r="ES276" s="532"/>
      <c r="ET276" s="532"/>
      <c r="EU276" s="532"/>
      <c r="EV276" s="532"/>
      <c r="EW276" s="532"/>
      <c r="EX276" s="532"/>
      <c r="EY276" s="532"/>
      <c r="EZ276" s="532"/>
      <c r="FA276" s="532"/>
      <c r="FB276" s="532"/>
      <c r="FC276" s="532"/>
      <c r="FD276" s="532"/>
      <c r="FE276" s="532"/>
      <c r="FF276" s="532"/>
      <c r="FG276" s="532"/>
      <c r="FH276" s="532"/>
      <c r="FI276" s="532"/>
      <c r="FJ276" s="532"/>
      <c r="FK276" s="532"/>
      <c r="FO276" s="47"/>
      <c r="FP276" s="47"/>
      <c r="FQ276" s="47"/>
      <c r="FR276" s="47"/>
      <c r="FS276" s="49"/>
      <c r="FT276" s="49"/>
      <c r="FU276" s="49"/>
      <c r="FV276" s="49"/>
      <c r="FW276" s="49"/>
      <c r="FX276" s="49"/>
      <c r="FY276" s="47"/>
      <c r="FZ276" s="103"/>
      <c r="GA276" s="49"/>
      <c r="GB276" s="49"/>
      <c r="GC276" s="49"/>
      <c r="GD276" s="49"/>
      <c r="GE276" s="49"/>
      <c r="GF276" s="49"/>
      <c r="GG276" s="48"/>
      <c r="GH276" s="48"/>
      <c r="GI276" s="48"/>
      <c r="GJ276" s="48"/>
      <c r="GK276" s="48"/>
      <c r="GL276" s="48"/>
      <c r="GM276" s="48"/>
      <c r="GN276" s="48"/>
      <c r="GO276" s="48"/>
      <c r="GP276" s="48"/>
      <c r="GQ276" s="48"/>
      <c r="GR276" s="48"/>
      <c r="GS276" s="48"/>
      <c r="GT276" s="48"/>
      <c r="GU276" s="48"/>
      <c r="GV276" s="48"/>
      <c r="GW276" s="48"/>
      <c r="GX276" s="48"/>
      <c r="GY276" s="48"/>
      <c r="GZ276" s="48"/>
      <c r="HA276" s="48"/>
      <c r="HB276" s="48"/>
      <c r="HC276" s="48"/>
      <c r="HD276" s="48"/>
      <c r="HE276" s="48"/>
      <c r="HF276" s="13"/>
      <c r="HG276" s="13"/>
      <c r="HH276" s="13"/>
    </row>
    <row r="277" spans="1:216" ht="16.8" customHeight="1">
      <c r="A277" s="1"/>
      <c r="B277" s="3"/>
      <c r="C277" s="3"/>
      <c r="D277" s="460"/>
      <c r="E277" s="462"/>
      <c r="F277" s="638" t="str">
        <f ca="1">IF(FO251=0,"","TCK = € 8")</f>
        <v/>
      </c>
      <c r="G277" s="638"/>
      <c r="H277" s="638"/>
      <c r="I277" s="638"/>
      <c r="J277" s="638"/>
      <c r="K277" s="638"/>
      <c r="L277" s="638"/>
      <c r="M277" s="638"/>
      <c r="N277" s="638"/>
      <c r="O277" s="638"/>
      <c r="P277" s="638"/>
      <c r="Q277" s="638"/>
      <c r="R277" s="638"/>
      <c r="S277" s="638"/>
      <c r="T277" s="638"/>
      <c r="U277" s="638"/>
      <c r="V277" s="638"/>
      <c r="W277" s="638"/>
      <c r="X277" s="638"/>
      <c r="Y277" s="638"/>
      <c r="Z277" s="638"/>
      <c r="AA277" s="638"/>
      <c r="AB277" s="462"/>
      <c r="AC277" s="462"/>
      <c r="AD277" s="462"/>
      <c r="AE277" s="462"/>
      <c r="AF277" s="462"/>
      <c r="AG277" s="462"/>
      <c r="AH277" s="638" t="str">
        <f ca="1">IF(FP262&gt;=1,"TCK = € 8","")</f>
        <v/>
      </c>
      <c r="AI277" s="638"/>
      <c r="AJ277" s="638"/>
      <c r="AK277" s="638"/>
      <c r="AL277" s="638"/>
      <c r="AM277" s="638"/>
      <c r="AN277" s="638"/>
      <c r="AO277" s="638"/>
      <c r="AP277" s="638"/>
      <c r="AQ277" s="638"/>
      <c r="AR277" s="638"/>
      <c r="AS277" s="638"/>
      <c r="AT277" s="638"/>
      <c r="AU277" s="638"/>
      <c r="AV277" s="638"/>
      <c r="AW277" s="638"/>
      <c r="AX277" s="638"/>
      <c r="AY277" s="638"/>
      <c r="AZ277" s="638"/>
      <c r="BA277" s="638"/>
      <c r="BB277" s="638"/>
      <c r="BC277" s="638"/>
      <c r="BD277" s="462"/>
      <c r="BE277" s="462"/>
      <c r="BF277" s="462"/>
      <c r="BG277" s="462"/>
      <c r="BH277" s="462"/>
      <c r="BI277" s="462"/>
      <c r="BJ277" s="638" t="str">
        <f ca="1">IF(FP262&gt;=2,"TCK = € 8","")</f>
        <v/>
      </c>
      <c r="BK277" s="638"/>
      <c r="BL277" s="638"/>
      <c r="BM277" s="638"/>
      <c r="BN277" s="638"/>
      <c r="BO277" s="638"/>
      <c r="BP277" s="638"/>
      <c r="BQ277" s="638"/>
      <c r="BR277" s="638"/>
      <c r="BS277" s="638"/>
      <c r="BT277" s="638"/>
      <c r="BU277" s="638"/>
      <c r="BV277" s="638"/>
      <c r="BW277" s="638"/>
      <c r="BX277" s="638"/>
      <c r="BY277" s="638"/>
      <c r="BZ277" s="638"/>
      <c r="CA277" s="638"/>
      <c r="CB277" s="638"/>
      <c r="CC277" s="638"/>
      <c r="CD277" s="638"/>
      <c r="CE277" s="638"/>
      <c r="CF277" s="462"/>
      <c r="CG277" s="462"/>
      <c r="CH277" s="462"/>
      <c r="CI277" s="462"/>
      <c r="CJ277" s="462"/>
      <c r="CK277" s="462"/>
      <c r="CL277" s="638" t="str">
        <f ca="1">IF(FP262&gt;=3,"TCK = € 8","")</f>
        <v/>
      </c>
      <c r="CM277" s="638"/>
      <c r="CN277" s="638"/>
      <c r="CO277" s="638"/>
      <c r="CP277" s="638"/>
      <c r="CQ277" s="638"/>
      <c r="CR277" s="638"/>
      <c r="CS277" s="638"/>
      <c r="CT277" s="638"/>
      <c r="CU277" s="638"/>
      <c r="CV277" s="638"/>
      <c r="CW277" s="638"/>
      <c r="CX277" s="638"/>
      <c r="CY277" s="638"/>
      <c r="CZ277" s="638"/>
      <c r="DA277" s="638"/>
      <c r="DB277" s="638"/>
      <c r="DC277" s="638"/>
      <c r="DD277" s="638"/>
      <c r="DE277" s="638"/>
      <c r="DF277" s="638"/>
      <c r="DG277" s="638"/>
      <c r="DH277" s="458"/>
      <c r="DI277" s="458"/>
      <c r="DJ277" s="458"/>
      <c r="DK277" s="458"/>
      <c r="DL277" s="458"/>
      <c r="DM277" s="456"/>
      <c r="DN277" s="638" t="str">
        <f ca="1">IF(FP262&gt;=4,"TCK = € 8","")</f>
        <v/>
      </c>
      <c r="DO277" s="638"/>
      <c r="DP277" s="638"/>
      <c r="DQ277" s="638"/>
      <c r="DR277" s="638"/>
      <c r="DS277" s="638"/>
      <c r="DT277" s="638"/>
      <c r="DU277" s="638"/>
      <c r="DV277" s="638"/>
      <c r="DW277" s="638"/>
      <c r="DX277" s="638"/>
      <c r="DY277" s="638"/>
      <c r="DZ277" s="638"/>
      <c r="EA277" s="638"/>
      <c r="EB277" s="638"/>
      <c r="EC277" s="638"/>
      <c r="ED277" s="638"/>
      <c r="EE277" s="638"/>
      <c r="EF277" s="638"/>
      <c r="EG277" s="638"/>
      <c r="EH277" s="638"/>
      <c r="EI277" s="638"/>
      <c r="EP277" s="638" t="str">
        <f ca="1">IF(FP262&gt;=5,"TCK = € 8","")</f>
        <v/>
      </c>
      <c r="EQ277" s="638"/>
      <c r="ER277" s="638"/>
      <c r="ES277" s="638"/>
      <c r="ET277" s="638"/>
      <c r="EU277" s="638"/>
      <c r="EV277" s="638"/>
      <c r="EW277" s="638"/>
      <c r="EX277" s="638"/>
      <c r="EY277" s="638"/>
      <c r="EZ277" s="638"/>
      <c r="FA277" s="638"/>
      <c r="FB277" s="638"/>
      <c r="FC277" s="638"/>
      <c r="FD277" s="638"/>
      <c r="FE277" s="638"/>
      <c r="FF277" s="638"/>
      <c r="FG277" s="638"/>
      <c r="FH277" s="638"/>
      <c r="FI277" s="638"/>
      <c r="FJ277" s="638"/>
      <c r="FK277" s="638"/>
      <c r="FO277" s="47"/>
      <c r="FP277" s="47"/>
      <c r="FQ277" s="47"/>
      <c r="FR277" s="47"/>
      <c r="FS277" s="49"/>
      <c r="FT277" s="49"/>
      <c r="FU277" s="49"/>
      <c r="FV277" s="49"/>
      <c r="FW277" s="49"/>
      <c r="FX277" s="49"/>
      <c r="FY277" s="47"/>
      <c r="FZ277" s="103"/>
      <c r="GA277" s="49"/>
      <c r="GB277" s="49"/>
      <c r="GC277" s="49"/>
      <c r="GD277" s="49"/>
      <c r="GE277" s="49"/>
      <c r="GF277" s="49"/>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13"/>
      <c r="HG277" s="13"/>
      <c r="HH277" s="13"/>
    </row>
    <row r="278" spans="1:216" ht="16.5" customHeight="1">
      <c r="A278" s="1"/>
      <c r="B278" s="3"/>
      <c r="C278" s="3"/>
      <c r="D278" s="460"/>
      <c r="E278" s="462"/>
      <c r="F278" s="638"/>
      <c r="G278" s="638"/>
      <c r="H278" s="638"/>
      <c r="I278" s="638"/>
      <c r="J278" s="638"/>
      <c r="K278" s="638"/>
      <c r="L278" s="638"/>
      <c r="M278" s="638"/>
      <c r="N278" s="638"/>
      <c r="O278" s="638"/>
      <c r="P278" s="638"/>
      <c r="Q278" s="638"/>
      <c r="R278" s="638"/>
      <c r="S278" s="638"/>
      <c r="T278" s="638"/>
      <c r="U278" s="638"/>
      <c r="V278" s="638"/>
      <c r="W278" s="638"/>
      <c r="X278" s="638"/>
      <c r="Y278" s="638"/>
      <c r="Z278" s="638"/>
      <c r="AA278" s="638"/>
      <c r="AB278" s="462"/>
      <c r="AC278" s="462"/>
      <c r="AD278" s="462"/>
      <c r="AE278" s="462"/>
      <c r="AF278" s="462"/>
      <c r="AG278" s="462"/>
      <c r="AH278" s="638"/>
      <c r="AI278" s="638"/>
      <c r="AJ278" s="638"/>
      <c r="AK278" s="638"/>
      <c r="AL278" s="638"/>
      <c r="AM278" s="638"/>
      <c r="AN278" s="638"/>
      <c r="AO278" s="638"/>
      <c r="AP278" s="638"/>
      <c r="AQ278" s="638"/>
      <c r="AR278" s="638"/>
      <c r="AS278" s="638"/>
      <c r="AT278" s="638"/>
      <c r="AU278" s="638"/>
      <c r="AV278" s="638"/>
      <c r="AW278" s="638"/>
      <c r="AX278" s="638"/>
      <c r="AY278" s="638"/>
      <c r="AZ278" s="638"/>
      <c r="BA278" s="638"/>
      <c r="BB278" s="638"/>
      <c r="BC278" s="638"/>
      <c r="BD278" s="462"/>
      <c r="BE278" s="462"/>
      <c r="BF278" s="462"/>
      <c r="BG278" s="462"/>
      <c r="BH278" s="462"/>
      <c r="BI278" s="462"/>
      <c r="BJ278" s="638"/>
      <c r="BK278" s="638"/>
      <c r="BL278" s="638"/>
      <c r="BM278" s="638"/>
      <c r="BN278" s="638"/>
      <c r="BO278" s="638"/>
      <c r="BP278" s="638"/>
      <c r="BQ278" s="638"/>
      <c r="BR278" s="638"/>
      <c r="BS278" s="638"/>
      <c r="BT278" s="638"/>
      <c r="BU278" s="638"/>
      <c r="BV278" s="638"/>
      <c r="BW278" s="638"/>
      <c r="BX278" s="638"/>
      <c r="BY278" s="638"/>
      <c r="BZ278" s="638"/>
      <c r="CA278" s="638"/>
      <c r="CB278" s="638"/>
      <c r="CC278" s="638"/>
      <c r="CD278" s="638"/>
      <c r="CE278" s="638"/>
      <c r="CF278" s="462"/>
      <c r="CG278" s="462"/>
      <c r="CH278" s="462"/>
      <c r="CI278" s="462"/>
      <c r="CJ278" s="462"/>
      <c r="CK278" s="462"/>
      <c r="CL278" s="638"/>
      <c r="CM278" s="638"/>
      <c r="CN278" s="638"/>
      <c r="CO278" s="638"/>
      <c r="CP278" s="638"/>
      <c r="CQ278" s="638"/>
      <c r="CR278" s="638"/>
      <c r="CS278" s="638"/>
      <c r="CT278" s="638"/>
      <c r="CU278" s="638"/>
      <c r="CV278" s="638"/>
      <c r="CW278" s="638"/>
      <c r="CX278" s="638"/>
      <c r="CY278" s="638"/>
      <c r="CZ278" s="638"/>
      <c r="DA278" s="638"/>
      <c r="DB278" s="638"/>
      <c r="DC278" s="638"/>
      <c r="DD278" s="638"/>
      <c r="DE278" s="638"/>
      <c r="DF278" s="638"/>
      <c r="DG278" s="638"/>
      <c r="DH278" s="458"/>
      <c r="DI278" s="458"/>
      <c r="DJ278" s="458"/>
      <c r="DK278" s="458"/>
      <c r="DL278" s="458"/>
      <c r="DM278" s="456"/>
      <c r="DN278" s="638"/>
      <c r="DO278" s="638"/>
      <c r="DP278" s="638"/>
      <c r="DQ278" s="638"/>
      <c r="DR278" s="638"/>
      <c r="DS278" s="638"/>
      <c r="DT278" s="638"/>
      <c r="DU278" s="638"/>
      <c r="DV278" s="638"/>
      <c r="DW278" s="638"/>
      <c r="DX278" s="638"/>
      <c r="DY278" s="638"/>
      <c r="DZ278" s="638"/>
      <c r="EA278" s="638"/>
      <c r="EB278" s="638"/>
      <c r="EC278" s="638"/>
      <c r="ED278" s="638"/>
      <c r="EE278" s="638"/>
      <c r="EF278" s="638"/>
      <c r="EG278" s="638"/>
      <c r="EH278" s="638"/>
      <c r="EI278" s="638"/>
      <c r="EP278" s="638"/>
      <c r="EQ278" s="638"/>
      <c r="ER278" s="638"/>
      <c r="ES278" s="638"/>
      <c r="ET278" s="638"/>
      <c r="EU278" s="638"/>
      <c r="EV278" s="638"/>
      <c r="EW278" s="638"/>
      <c r="EX278" s="638"/>
      <c r="EY278" s="638"/>
      <c r="EZ278" s="638"/>
      <c r="FA278" s="638"/>
      <c r="FB278" s="638"/>
      <c r="FC278" s="638"/>
      <c r="FD278" s="638"/>
      <c r="FE278" s="638"/>
      <c r="FF278" s="638"/>
      <c r="FG278" s="638"/>
      <c r="FH278" s="638"/>
      <c r="FI278" s="638"/>
      <c r="FJ278" s="638"/>
      <c r="FK278" s="638"/>
      <c r="FO278" s="47"/>
      <c r="FP278" s="47"/>
      <c r="FQ278" s="47"/>
      <c r="FR278" s="47"/>
      <c r="FS278" s="49"/>
      <c r="FT278" s="49"/>
      <c r="FU278" s="49"/>
      <c r="FV278" s="49"/>
      <c r="FW278" s="49"/>
      <c r="FX278" s="49"/>
      <c r="FY278" s="47"/>
      <c r="FZ278" s="103"/>
      <c r="GA278" s="49"/>
      <c r="GB278" s="49"/>
      <c r="GC278" s="49"/>
      <c r="GD278" s="49"/>
      <c r="GE278" s="49"/>
      <c r="GF278" s="49"/>
      <c r="GG278" s="48"/>
      <c r="GH278" s="48"/>
      <c r="GI278" s="48"/>
      <c r="GJ278" s="48"/>
      <c r="GK278" s="48"/>
      <c r="GL278" s="48"/>
      <c r="GM278" s="48"/>
      <c r="GN278" s="48"/>
      <c r="GO278" s="48"/>
      <c r="GP278" s="48"/>
      <c r="GQ278" s="48"/>
      <c r="GR278" s="48"/>
      <c r="GS278" s="48"/>
      <c r="GT278" s="48"/>
      <c r="GU278" s="48"/>
      <c r="GV278" s="48"/>
      <c r="GW278" s="48"/>
      <c r="GX278" s="48"/>
      <c r="GY278" s="48"/>
      <c r="GZ278" s="48"/>
      <c r="HA278" s="48"/>
      <c r="HB278" s="48"/>
      <c r="HC278" s="48"/>
      <c r="HD278" s="48"/>
      <c r="HE278" s="48"/>
      <c r="HF278" s="13"/>
      <c r="HG278" s="13"/>
      <c r="HH278" s="13"/>
    </row>
    <row r="279" spans="1:216" ht="6" customHeight="1">
      <c r="A279" s="1"/>
      <c r="B279" s="3"/>
      <c r="C279" s="3"/>
      <c r="D279" s="12"/>
      <c r="E279" s="10"/>
      <c r="F279" s="462"/>
      <c r="G279" s="462"/>
      <c r="H279" s="462"/>
      <c r="I279" s="462"/>
      <c r="J279" s="462"/>
      <c r="K279" s="462"/>
      <c r="L279" s="462"/>
      <c r="M279" s="462"/>
      <c r="N279" s="462"/>
      <c r="O279" s="462"/>
      <c r="P279" s="462"/>
      <c r="Q279" s="462"/>
      <c r="R279" s="462"/>
      <c r="S279" s="462"/>
      <c r="T279" s="462"/>
      <c r="U279" s="462"/>
      <c r="V279" s="462"/>
      <c r="W279" s="462"/>
      <c r="X279" s="462"/>
      <c r="Y279" s="462"/>
      <c r="Z279" s="462"/>
      <c r="AA279" s="462"/>
      <c r="AB279" s="462"/>
      <c r="AC279" s="462"/>
      <c r="AD279" s="462"/>
      <c r="AE279" s="462"/>
      <c r="AF279" s="462"/>
      <c r="AG279" s="462"/>
      <c r="AH279" s="462"/>
      <c r="AI279" s="462"/>
      <c r="AJ279" s="462"/>
      <c r="AK279" s="462"/>
      <c r="AL279" s="462"/>
      <c r="AM279" s="462"/>
      <c r="AN279" s="462"/>
      <c r="AO279" s="462"/>
      <c r="AP279" s="462"/>
      <c r="AQ279" s="462"/>
      <c r="AR279" s="462"/>
      <c r="AS279" s="462"/>
      <c r="AT279" s="462"/>
      <c r="AU279" s="462"/>
      <c r="AV279" s="462"/>
      <c r="AW279" s="462"/>
      <c r="AX279" s="462"/>
      <c r="AY279" s="462"/>
      <c r="AZ279" s="462"/>
      <c r="BA279" s="462"/>
      <c r="BB279" s="462"/>
      <c r="BC279" s="462"/>
      <c r="BD279" s="462"/>
      <c r="BE279" s="462"/>
      <c r="BF279" s="462"/>
      <c r="BG279" s="462"/>
      <c r="BH279" s="462"/>
      <c r="BI279" s="462"/>
      <c r="BJ279" s="462"/>
      <c r="BK279" s="462"/>
      <c r="BL279" s="462"/>
      <c r="BM279" s="462"/>
      <c r="BN279" s="462"/>
      <c r="BO279" s="462"/>
      <c r="BP279" s="462"/>
      <c r="BQ279" s="462"/>
      <c r="BR279" s="462"/>
      <c r="BS279" s="462"/>
      <c r="BT279" s="462"/>
      <c r="BU279" s="462"/>
      <c r="BV279" s="462"/>
      <c r="BW279" s="462"/>
      <c r="BX279" s="462"/>
      <c r="BY279" s="462"/>
      <c r="BZ279" s="462"/>
      <c r="CA279" s="462"/>
      <c r="CB279" s="462"/>
      <c r="CC279" s="462"/>
      <c r="CD279" s="462"/>
      <c r="CE279" s="462"/>
      <c r="CF279" s="462"/>
      <c r="CG279" s="462"/>
      <c r="CH279" s="462"/>
      <c r="CI279" s="462"/>
      <c r="CJ279" s="462"/>
      <c r="CK279" s="462"/>
      <c r="CL279" s="43"/>
      <c r="CM279" s="43"/>
      <c r="CN279" s="43"/>
      <c r="CO279" s="43"/>
      <c r="CP279" s="43"/>
      <c r="CQ279" s="43"/>
      <c r="CR279" s="43"/>
      <c r="CS279" s="43"/>
      <c r="CT279" s="43"/>
      <c r="CU279" s="457"/>
      <c r="CV279" s="458"/>
      <c r="CW279" s="458"/>
      <c r="CX279" s="458"/>
      <c r="CY279" s="458"/>
      <c r="CZ279" s="458"/>
      <c r="DA279" s="458"/>
      <c r="DB279" s="458"/>
      <c r="DC279" s="458"/>
      <c r="DD279" s="458"/>
      <c r="DE279" s="458"/>
      <c r="DF279" s="458"/>
      <c r="DG279" s="458"/>
      <c r="DH279" s="458"/>
      <c r="DI279" s="458"/>
      <c r="DJ279" s="458"/>
      <c r="DK279" s="458"/>
      <c r="DL279" s="458"/>
      <c r="DM279" s="456"/>
      <c r="DN279" s="456"/>
      <c r="DO279" s="456"/>
      <c r="DP279" s="456"/>
      <c r="DQ279" s="456"/>
      <c r="DR279" s="456"/>
      <c r="DS279" s="456"/>
      <c r="DT279" s="456"/>
      <c r="DU279" s="456"/>
      <c r="DV279" s="456"/>
      <c r="DW279" s="456"/>
      <c r="DX279" s="456"/>
      <c r="DY279" s="456"/>
      <c r="DZ279" s="456"/>
      <c r="EA279" s="456"/>
      <c r="EB279" s="456"/>
      <c r="EC279" s="456"/>
      <c r="ED279" s="456"/>
      <c r="EE279" s="456"/>
      <c r="EF279" s="456"/>
      <c r="EG279" s="456"/>
      <c r="EH279" s="456"/>
      <c r="EI279" s="456"/>
      <c r="EP279" s="456"/>
      <c r="EQ279" s="456"/>
      <c r="ER279" s="456"/>
      <c r="ES279" s="456"/>
      <c r="ET279" s="456"/>
      <c r="EU279" s="456"/>
      <c r="EV279" s="456"/>
      <c r="EW279" s="456"/>
      <c r="EX279" s="456"/>
      <c r="EY279" s="456"/>
      <c r="EZ279" s="456"/>
      <c r="FA279" s="456"/>
      <c r="FB279" s="456"/>
      <c r="FC279" s="456"/>
      <c r="FD279" s="456"/>
      <c r="FE279" s="456"/>
      <c r="FF279" s="456"/>
      <c r="FG279" s="456"/>
      <c r="FH279" s="456"/>
      <c r="FI279" s="456"/>
      <c r="FJ279" s="456"/>
      <c r="FK279" s="456"/>
      <c r="FO279" s="47"/>
      <c r="FP279" s="47"/>
      <c r="FQ279" s="47"/>
      <c r="FR279" s="47"/>
      <c r="FS279" s="49"/>
      <c r="FT279" s="49"/>
      <c r="FU279" s="49"/>
      <c r="FV279" s="49"/>
      <c r="FW279" s="49"/>
      <c r="FX279" s="49"/>
      <c r="FY279" s="47"/>
      <c r="FZ279" s="94"/>
      <c r="GA279" s="49"/>
      <c r="GB279" s="49"/>
      <c r="GC279" s="49"/>
      <c r="GD279" s="49"/>
      <c r="GE279" s="49"/>
      <c r="GF279" s="49"/>
      <c r="GG279" s="48"/>
      <c r="GH279" s="48"/>
      <c r="GI279" s="48"/>
      <c r="GJ279" s="48"/>
      <c r="GK279" s="48"/>
      <c r="GL279" s="48"/>
      <c r="GM279" s="48"/>
      <c r="GN279" s="48"/>
      <c r="GO279" s="48"/>
      <c r="GP279" s="48"/>
      <c r="GQ279" s="48"/>
      <c r="GR279" s="48"/>
      <c r="GS279" s="48"/>
      <c r="GT279" s="48"/>
      <c r="GU279" s="48"/>
      <c r="GV279" s="48"/>
      <c r="GW279" s="48"/>
      <c r="GX279" s="48"/>
      <c r="GY279" s="48"/>
      <c r="GZ279" s="48"/>
      <c r="HA279" s="48"/>
      <c r="HB279" s="48"/>
      <c r="HC279" s="48"/>
      <c r="HD279" s="48"/>
      <c r="HE279" s="48"/>
      <c r="HF279" s="13"/>
      <c r="HG279" s="13"/>
      <c r="HH279" s="13"/>
    </row>
    <row r="280" spans="1:216" ht="16.5" customHeight="1">
      <c r="A280" s="1"/>
      <c r="B280" s="3"/>
      <c r="C280" s="3"/>
      <c r="D280" s="460"/>
      <c r="E280" s="462"/>
      <c r="F280" s="10"/>
      <c r="G280" s="10"/>
      <c r="H280" s="10"/>
      <c r="I280" s="10"/>
      <c r="J280" s="10"/>
      <c r="K280" s="10"/>
      <c r="L280" s="10"/>
      <c r="M280" s="10"/>
      <c r="N280" s="10"/>
      <c r="O280" s="10"/>
      <c r="P280" s="464" t="str">
        <f ca="1">IF(FO251=0,"","als q = 0")</f>
        <v/>
      </c>
      <c r="Q280" s="10"/>
      <c r="R280" s="10"/>
      <c r="S280" s="10"/>
      <c r="T280" s="10"/>
      <c r="U280" s="10"/>
      <c r="V280" s="10"/>
      <c r="W280" s="10"/>
      <c r="X280" s="10"/>
      <c r="Y280" s="10"/>
      <c r="Z280" s="10"/>
      <c r="AA280" s="10"/>
      <c r="AB280" s="10"/>
      <c r="AC280" s="10"/>
      <c r="AD280" s="10"/>
      <c r="AE280" s="10"/>
      <c r="AF280" s="10"/>
      <c r="AG280" s="10"/>
      <c r="AR280" s="464" t="str">
        <f ca="1">IF(FP262&gt;=1,"als q = 1","")</f>
        <v/>
      </c>
      <c r="BU280" s="464" t="str">
        <f ca="1">IF(FP262&gt;=2,"als q = 2","")</f>
        <v/>
      </c>
      <c r="CW280" s="464" t="str">
        <f ca="1">IF(FP262&gt;=3,"als q = 3","")</f>
        <v/>
      </c>
      <c r="DZ280" s="464" t="str">
        <f ca="1">IF(FP262&gt;=4,"als q = 4","")</f>
        <v/>
      </c>
      <c r="EH280" s="10"/>
      <c r="EI280" s="10"/>
      <c r="FB280" s="464" t="str">
        <f ca="1">IF(FP262&gt;=5,"als q = 5","")</f>
        <v/>
      </c>
      <c r="FJ280" s="10"/>
      <c r="FK280" s="10"/>
      <c r="FO280" s="47"/>
      <c r="FP280" s="47"/>
      <c r="FQ280" s="47"/>
      <c r="FR280" s="47"/>
      <c r="FS280" s="49"/>
      <c r="FT280" s="49"/>
      <c r="FU280" s="49"/>
      <c r="FV280" s="49"/>
      <c r="FW280" s="49"/>
      <c r="FX280" s="49"/>
      <c r="FY280" s="47"/>
      <c r="FZ280" s="103"/>
      <c r="GA280" s="49"/>
      <c r="GB280" s="49"/>
      <c r="GC280" s="49"/>
      <c r="GD280" s="49"/>
      <c r="GE280" s="49"/>
      <c r="GF280" s="49"/>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13"/>
      <c r="HG280" s="13"/>
      <c r="HH280" s="13"/>
    </row>
    <row r="281" spans="1:216" ht="16.5" customHeight="1">
      <c r="A281" s="1"/>
      <c r="B281" s="3"/>
      <c r="C281" s="3"/>
      <c r="D281" s="460"/>
      <c r="FK281" s="26"/>
      <c r="FL281" s="26"/>
      <c r="FM281" s="47"/>
      <c r="FN281" s="47"/>
      <c r="FO281" s="47"/>
      <c r="FP281" s="47"/>
      <c r="FQ281" s="47"/>
      <c r="FR281" s="47"/>
      <c r="FS281" s="49"/>
      <c r="FT281" s="49"/>
      <c r="FU281" s="49"/>
      <c r="FV281" s="49"/>
      <c r="FW281" s="49"/>
      <c r="FX281" s="49"/>
      <c r="FY281" s="47"/>
      <c r="FZ281" s="103"/>
      <c r="GA281" s="49"/>
      <c r="GB281" s="49"/>
      <c r="GC281" s="49"/>
      <c r="GD281" s="49"/>
      <c r="GE281" s="49"/>
      <c r="GF281" s="49"/>
      <c r="GG281" s="48"/>
      <c r="GH281" s="48"/>
      <c r="GI281" s="48"/>
      <c r="GJ281" s="48"/>
      <c r="GK281" s="48"/>
      <c r="GL281" s="48"/>
      <c r="GM281" s="48"/>
      <c r="GN281" s="48"/>
      <c r="GO281" s="48"/>
      <c r="GP281" s="48"/>
      <c r="GQ281" s="48"/>
      <c r="GR281" s="48"/>
      <c r="GS281" s="48"/>
      <c r="GT281" s="48"/>
      <c r="GU281" s="48"/>
      <c r="GV281" s="48"/>
      <c r="GW281" s="48"/>
      <c r="GX281" s="48"/>
      <c r="GY281" s="48"/>
      <c r="GZ281" s="48"/>
      <c r="HA281" s="48"/>
      <c r="HB281" s="48"/>
      <c r="HC281" s="48"/>
      <c r="HD281" s="48"/>
      <c r="HE281" s="48"/>
      <c r="HF281" s="13"/>
      <c r="HG281" s="13"/>
      <c r="HH281" s="13"/>
    </row>
    <row r="282" spans="1:216" ht="16.5" customHeight="1">
      <c r="A282" s="1"/>
      <c r="B282" s="3"/>
      <c r="C282" s="3"/>
      <c r="D282" s="460" t="str">
        <f ca="1">IF(FN262=0,"","Ga je uit van een kostenfunctie (en een ononderbroken kostenlijn en")</f>
        <v/>
      </c>
      <c r="FL282" s="26"/>
      <c r="FM282" s="47"/>
      <c r="FN282" s="47"/>
      <c r="FO282" s="47"/>
      <c r="FP282" s="47"/>
      <c r="FQ282" s="47"/>
      <c r="FR282" s="47"/>
      <c r="FS282" s="49"/>
      <c r="FT282" s="49"/>
      <c r="FU282" s="49"/>
      <c r="FV282" s="49"/>
      <c r="FW282" s="49"/>
      <c r="FX282" s="49"/>
      <c r="FY282" s="47"/>
      <c r="FZ282" s="103"/>
      <c r="GA282" s="49"/>
      <c r="GB282" s="49"/>
      <c r="GC282" s="49"/>
      <c r="GD282" s="49"/>
      <c r="GE282" s="49"/>
      <c r="GF282" s="49"/>
      <c r="GG282" s="48"/>
      <c r="GH282" s="48"/>
      <c r="GI282" s="48"/>
      <c r="GJ282" s="48"/>
      <c r="GK282" s="48"/>
      <c r="GL282" s="48"/>
      <c r="GM282" s="48"/>
      <c r="GN282" s="48"/>
      <c r="GO282" s="48"/>
      <c r="GP282" s="48"/>
      <c r="GQ282" s="48"/>
      <c r="GR282" s="48"/>
      <c r="GS282" s="48"/>
      <c r="GT282" s="48"/>
      <c r="GU282" s="48"/>
      <c r="GV282" s="48"/>
      <c r="GW282" s="48"/>
      <c r="GX282" s="48"/>
      <c r="GY282" s="48"/>
      <c r="GZ282" s="48"/>
      <c r="HA282" s="48"/>
      <c r="HB282" s="48"/>
      <c r="HC282" s="48"/>
      <c r="HD282" s="48"/>
      <c r="HE282" s="48"/>
      <c r="HF282" s="13"/>
      <c r="HG282" s="13"/>
      <c r="HH282" s="13"/>
    </row>
    <row r="283" spans="1:216" ht="16.5" customHeight="1">
      <c r="A283" s="1"/>
      <c r="B283" s="3"/>
      <c r="C283" s="3"/>
      <c r="D283" s="460" t="str">
        <f ca="1">IF(FN262=0,"","opbrengstlijn), dan ga je er vanuit dat het product oneindig deelbaar is")</f>
        <v/>
      </c>
      <c r="FL283" s="26"/>
      <c r="FM283" s="47"/>
      <c r="FN283" s="47"/>
      <c r="FO283" s="47"/>
      <c r="FP283" s="47"/>
      <c r="FQ283" s="47"/>
      <c r="FR283" s="47"/>
      <c r="FS283" s="49"/>
      <c r="FT283" s="49"/>
      <c r="FU283" s="49"/>
      <c r="FV283" s="49"/>
      <c r="FW283" s="49"/>
      <c r="FX283" s="49"/>
      <c r="FY283" s="47"/>
      <c r="FZ283" s="103"/>
      <c r="GA283" s="49"/>
      <c r="GB283" s="49"/>
      <c r="GC283" s="49"/>
      <c r="GD283" s="49"/>
      <c r="GE283" s="49"/>
      <c r="GF283" s="49"/>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13"/>
      <c r="HG283" s="13"/>
      <c r="HH283" s="13"/>
    </row>
    <row r="284" spans="1:216" ht="16.5" customHeight="1">
      <c r="A284" s="1"/>
      <c r="B284" s="3"/>
      <c r="C284" s="3"/>
      <c r="D284" s="466" t="str">
        <f ca="1">IF(FN262=0,"","en zul je doorgaan totdat MO = MK.")</f>
        <v/>
      </c>
      <c r="FK284" s="26"/>
      <c r="FL284" s="26"/>
      <c r="FM284" s="47"/>
      <c r="FN284" s="47"/>
      <c r="FO284" s="47"/>
      <c r="FP284" s="47"/>
      <c r="FQ284" s="47"/>
      <c r="FR284" s="47"/>
      <c r="FS284" s="49"/>
      <c r="FT284" s="49"/>
      <c r="FU284" s="49"/>
      <c r="FV284" s="49"/>
      <c r="FW284" s="49"/>
      <c r="FX284" s="49"/>
      <c r="FY284" s="47"/>
      <c r="FZ284" s="103"/>
      <c r="GA284" s="49"/>
      <c r="GB284" s="49"/>
      <c r="GC284" s="49"/>
      <c r="GD284" s="49"/>
      <c r="GE284" s="49"/>
      <c r="GF284" s="49"/>
      <c r="GG284" s="48"/>
      <c r="GH284" s="48"/>
      <c r="GI284" s="48"/>
      <c r="GJ284" s="48"/>
      <c r="GK284" s="48"/>
      <c r="GL284" s="48"/>
      <c r="GM284" s="48"/>
      <c r="GN284" s="48"/>
      <c r="GO284" s="48"/>
      <c r="GP284" s="48"/>
      <c r="GQ284" s="48"/>
      <c r="GR284" s="48"/>
      <c r="GS284" s="48"/>
      <c r="GT284" s="48"/>
      <c r="GU284" s="48"/>
      <c r="GV284" s="48"/>
      <c r="GW284" s="48"/>
      <c r="GX284" s="48"/>
      <c r="GY284" s="48"/>
      <c r="GZ284" s="48"/>
      <c r="HA284" s="48"/>
      <c r="HB284" s="48"/>
      <c r="HC284" s="48"/>
      <c r="HD284" s="48"/>
      <c r="HE284" s="48"/>
      <c r="HF284" s="13"/>
      <c r="HG284" s="13"/>
      <c r="HH284" s="13"/>
    </row>
    <row r="285" spans="1:216" ht="16.5" customHeight="1">
      <c r="A285" s="1"/>
      <c r="B285" s="3"/>
      <c r="C285" s="3"/>
      <c r="D285" s="466"/>
      <c r="FK285" s="26"/>
      <c r="FL285" s="26"/>
      <c r="FM285" s="47"/>
      <c r="FN285" s="47"/>
      <c r="FO285" s="47"/>
      <c r="FP285" s="47"/>
      <c r="FQ285" s="47"/>
      <c r="FR285" s="47"/>
      <c r="FS285" s="49"/>
      <c r="FT285" s="49"/>
      <c r="FU285" s="49"/>
      <c r="FV285" s="49"/>
      <c r="FW285" s="49"/>
      <c r="FX285" s="49"/>
      <c r="FY285" s="47"/>
      <c r="FZ285" s="103"/>
      <c r="GA285" s="49"/>
      <c r="GB285" s="49"/>
      <c r="GC285" s="49"/>
      <c r="GD285" s="49"/>
      <c r="GE285" s="49"/>
      <c r="GF285" s="49"/>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13"/>
      <c r="HG285" s="13"/>
      <c r="HH285" s="13"/>
    </row>
    <row r="286" spans="1:216" ht="16.5" customHeight="1">
      <c r="A286" s="1"/>
      <c r="B286" s="3"/>
      <c r="C286" s="3"/>
      <c r="D286" s="460" t="str">
        <f ca="1">IF(FN262=0,"","Dat als je uitgaat van functies, maximale winst wordt gemaakt bij die q,")</f>
        <v/>
      </c>
      <c r="FK286" s="26"/>
      <c r="FL286" s="26"/>
      <c r="FM286" s="47"/>
      <c r="FN286" s="47"/>
      <c r="FO286" s="47"/>
      <c r="FP286" s="47"/>
      <c r="FQ286" s="47"/>
      <c r="FR286" s="47"/>
      <c r="FS286" s="49"/>
      <c r="FT286" s="49"/>
      <c r="FU286" s="49"/>
      <c r="FV286" s="49"/>
      <c r="FW286" s="49"/>
      <c r="FX286" s="49"/>
      <c r="FY286" s="47"/>
      <c r="FZ286" s="103"/>
      <c r="GA286" s="49"/>
      <c r="GB286" s="49"/>
      <c r="GC286" s="49"/>
      <c r="GD286" s="49"/>
      <c r="GE286" s="49"/>
      <c r="GF286" s="49"/>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13"/>
      <c r="HG286" s="13"/>
      <c r="HH286" s="13"/>
    </row>
    <row r="287" spans="1:216" ht="16.5" customHeight="1">
      <c r="A287" s="1"/>
      <c r="B287" s="3"/>
      <c r="C287" s="3"/>
      <c r="D287" s="460" t="str">
        <f ca="1">IF(FN262=0,"","waarbij geldt dat MO = MK, kun je ook met behulp van de TW-functie")</f>
        <v/>
      </c>
      <c r="FK287" s="26"/>
      <c r="FL287" s="26"/>
      <c r="FM287" s="47"/>
      <c r="FN287" s="47"/>
      <c r="FO287" s="47"/>
      <c r="FP287" s="47"/>
      <c r="FQ287" s="47"/>
      <c r="FR287" s="47"/>
      <c r="FS287" s="49"/>
      <c r="FT287" s="49"/>
      <c r="FU287" s="49"/>
      <c r="FV287" s="49"/>
      <c r="FW287" s="49"/>
      <c r="FX287" s="49"/>
      <c r="FY287" s="47"/>
      <c r="FZ287" s="103"/>
      <c r="GA287" s="49"/>
      <c r="GB287" s="49"/>
      <c r="GC287" s="49"/>
      <c r="GD287" s="49"/>
      <c r="GE287" s="49"/>
      <c r="GF287" s="49"/>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13"/>
      <c r="HG287" s="13"/>
      <c r="HH287" s="13"/>
    </row>
    <row r="288" spans="1:216" ht="16.95" customHeight="1">
      <c r="A288" s="1"/>
      <c r="B288" s="3"/>
      <c r="C288" s="3"/>
      <c r="D288" s="373" t="str">
        <f ca="1">IF(FN262=1,"laten zien. Net zoals de omzet maximaal is als geldt dat MO = 0, is de","")</f>
        <v/>
      </c>
      <c r="FK288" s="26"/>
      <c r="FL288" s="26"/>
      <c r="FM288" s="47"/>
      <c r="FN288" s="47"/>
      <c r="FO288" s="47"/>
      <c r="FP288" s="47"/>
      <c r="FQ288" s="47"/>
      <c r="FR288" s="47"/>
      <c r="FS288" s="49"/>
      <c r="FT288" s="49"/>
      <c r="FU288" s="49"/>
      <c r="FV288" s="49"/>
      <c r="FW288" s="49"/>
      <c r="FX288" s="49"/>
      <c r="FY288" s="47"/>
      <c r="FZ288" s="103"/>
      <c r="GA288" s="49"/>
      <c r="GB288" s="49"/>
      <c r="GC288" s="49"/>
      <c r="GD288" s="49"/>
      <c r="GE288" s="49"/>
      <c r="GF288" s="49"/>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13"/>
      <c r="HG288" s="13"/>
      <c r="HH288" s="13"/>
    </row>
    <row r="289" spans="1:216" ht="16.95" customHeight="1">
      <c r="A289" s="1"/>
      <c r="B289" s="3"/>
      <c r="C289" s="3"/>
      <c r="D289" s="373" t="b">
        <f ca="1">IF(FN262=1,"winst maximaal als geldt dat MW = 0 (MW = marginale winst). Omdat")</f>
        <v>0</v>
      </c>
      <c r="FK289" s="26"/>
      <c r="FL289" s="26"/>
      <c r="FM289" s="47"/>
      <c r="FN289" s="47"/>
      <c r="FO289" s="47"/>
      <c r="FP289" s="47"/>
      <c r="FQ289" s="47"/>
      <c r="FR289" s="47"/>
      <c r="FS289" s="49"/>
      <c r="FT289" s="49"/>
      <c r="FU289" s="49"/>
      <c r="FV289" s="49"/>
      <c r="FW289" s="49"/>
      <c r="FX289" s="49"/>
      <c r="FY289" s="47"/>
      <c r="FZ289" s="103"/>
      <c r="GA289" s="49"/>
      <c r="GB289" s="49"/>
      <c r="GC289" s="49"/>
      <c r="GD289" s="49"/>
      <c r="GE289" s="49"/>
      <c r="GF289" s="49"/>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13"/>
      <c r="HG289" s="13"/>
      <c r="HH289" s="13"/>
    </row>
    <row r="290" spans="1:216" ht="16.95" customHeight="1">
      <c r="A290" s="1"/>
      <c r="B290" s="3"/>
      <c r="C290" s="3"/>
      <c r="D290" s="373" t="b">
        <f ca="1">IF(FN262=1,"geldt dat MW = MO - MK, geldt dat je maximale winst bereikt bij die q")</f>
        <v>0</v>
      </c>
      <c r="FK290" s="26"/>
      <c r="FL290" s="26"/>
      <c r="FM290" s="47"/>
      <c r="FN290" s="47"/>
      <c r="FO290" s="47"/>
      <c r="FP290" s="47"/>
      <c r="FQ290" s="47"/>
      <c r="FR290" s="47"/>
      <c r="FS290" s="49"/>
      <c r="FT290" s="49"/>
      <c r="FU290" s="49"/>
      <c r="FV290" s="49"/>
      <c r="FW290" s="49"/>
      <c r="FX290" s="49"/>
      <c r="FY290" s="47"/>
      <c r="FZ290" s="103"/>
      <c r="GA290" s="49"/>
      <c r="GB290" s="49"/>
      <c r="GC290" s="49"/>
      <c r="GD290" s="49"/>
      <c r="GE290" s="49"/>
      <c r="GF290" s="49"/>
      <c r="GG290" s="48"/>
      <c r="GH290" s="48"/>
      <c r="GI290" s="48"/>
      <c r="GJ290" s="48"/>
      <c r="GK290" s="48"/>
      <c r="GL290" s="48"/>
      <c r="GM290" s="48"/>
      <c r="GN290" s="48"/>
      <c r="GO290" s="48"/>
      <c r="GP290" s="48"/>
      <c r="GQ290" s="48"/>
      <c r="GR290" s="48"/>
      <c r="GS290" s="48"/>
      <c r="GT290" s="48"/>
      <c r="GU290" s="48"/>
      <c r="GV290" s="48"/>
      <c r="GW290" s="48"/>
      <c r="GX290" s="48"/>
      <c r="GY290" s="48"/>
      <c r="GZ290" s="48"/>
      <c r="HA290" s="48"/>
      <c r="HB290" s="48"/>
      <c r="HC290" s="48"/>
      <c r="HD290" s="48"/>
      <c r="HE290" s="48"/>
      <c r="HF290" s="13"/>
      <c r="HG290" s="13"/>
      <c r="HH290" s="13"/>
    </row>
    <row r="291" spans="1:216" ht="16.95" customHeight="1">
      <c r="A291" s="1"/>
      <c r="B291" s="3"/>
      <c r="C291" s="3"/>
      <c r="D291" s="373" t="b">
        <f ca="1">IF(FN262=1,"waarbij geldt dat MO - MK = 0 en dus waarbij geldt dat MO = MK.")</f>
        <v>0</v>
      </c>
      <c r="E291" s="376"/>
      <c r="F291" s="10"/>
      <c r="G291" s="10"/>
      <c r="H291" s="10"/>
      <c r="I291" s="10"/>
      <c r="J291" s="10"/>
      <c r="K291" s="10"/>
      <c r="L291" s="10"/>
      <c r="M291" s="10"/>
      <c r="N291" s="10"/>
      <c r="O291" s="10"/>
      <c r="P291" s="10"/>
      <c r="Q291" s="376"/>
      <c r="R291" s="376"/>
      <c r="S291" s="376"/>
      <c r="T291" s="376"/>
      <c r="U291" s="376"/>
      <c r="V291" s="376"/>
      <c r="W291" s="376"/>
      <c r="X291" s="376"/>
      <c r="Y291" s="376"/>
      <c r="Z291" s="376"/>
      <c r="AA291" s="376"/>
      <c r="AB291" s="376"/>
      <c r="AC291" s="376"/>
      <c r="AD291" s="376"/>
      <c r="AE291" s="376"/>
      <c r="AF291" s="376"/>
      <c r="AG291" s="376"/>
      <c r="AH291" s="376"/>
      <c r="AI291" s="376"/>
      <c r="AJ291" s="376"/>
      <c r="AK291" s="376"/>
      <c r="AL291" s="376"/>
      <c r="AM291" s="376"/>
      <c r="AN291" s="376"/>
      <c r="AO291" s="376"/>
      <c r="AP291" s="376"/>
      <c r="AQ291" s="376"/>
      <c r="AR291" s="376"/>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c r="CV291" s="376"/>
      <c r="CW291" s="376"/>
      <c r="CX291" s="43"/>
      <c r="CY291" s="43"/>
      <c r="CZ291" s="43"/>
      <c r="DA291" s="43"/>
      <c r="DB291" s="43"/>
      <c r="DC291" s="43"/>
      <c r="DD291" s="43"/>
      <c r="DE291" s="43"/>
      <c r="DF291" s="43"/>
      <c r="DG291" s="368"/>
      <c r="DH291" s="367"/>
      <c r="DI291" s="367"/>
      <c r="DJ291" s="367"/>
      <c r="DK291" s="367"/>
      <c r="DL291" s="367"/>
      <c r="DM291" s="367"/>
      <c r="DN291" s="367"/>
      <c r="DO291" s="367"/>
      <c r="DP291" s="367"/>
      <c r="DQ291" s="367"/>
      <c r="DR291" s="367"/>
      <c r="DS291" s="367"/>
      <c r="DT291" s="367"/>
      <c r="DU291" s="367"/>
      <c r="DV291" s="367"/>
      <c r="DW291" s="367"/>
      <c r="DX291" s="367"/>
      <c r="DY291" s="370"/>
      <c r="DZ291" s="370"/>
      <c r="EA291" s="370"/>
      <c r="EB291" s="370"/>
      <c r="EC291" s="370"/>
      <c r="ED291" s="370"/>
      <c r="EE291" s="370"/>
      <c r="EF291" s="370"/>
      <c r="EG291" s="370"/>
      <c r="EH291" s="370"/>
      <c r="EI291" s="370"/>
      <c r="EJ291" s="370"/>
      <c r="EK291" s="370"/>
      <c r="EL291" s="370"/>
      <c r="EM291" s="370"/>
      <c r="EN291" s="370"/>
      <c r="EO291" s="370"/>
      <c r="EP291" s="370"/>
      <c r="EQ291" s="370"/>
      <c r="ER291" s="370"/>
      <c r="ES291" s="370"/>
      <c r="ET291" s="370"/>
      <c r="EU291" s="370"/>
      <c r="EV291" s="370"/>
      <c r="EW291" s="370"/>
      <c r="EX291" s="370"/>
      <c r="EY291" s="370"/>
      <c r="EZ291" s="10"/>
      <c r="FA291" s="10"/>
      <c r="FB291" s="10"/>
      <c r="FC291" s="10"/>
      <c r="FD291" s="10"/>
      <c r="FE291" s="10"/>
      <c r="FF291" s="10"/>
      <c r="FG291" s="10"/>
      <c r="FH291" s="10"/>
      <c r="FI291" s="10"/>
      <c r="FJ291" s="10"/>
      <c r="FK291" s="26"/>
      <c r="FL291" s="26"/>
      <c r="FM291" s="47"/>
      <c r="FN291" s="47"/>
      <c r="FO291" s="47"/>
      <c r="FP291" s="47"/>
      <c r="FQ291" s="47"/>
      <c r="FR291" s="47"/>
      <c r="FS291" s="49"/>
      <c r="FT291" s="49"/>
      <c r="FU291" s="49"/>
      <c r="FV291" s="49"/>
      <c r="FW291" s="49"/>
      <c r="FX291" s="49"/>
      <c r="FY291" s="47"/>
      <c r="FZ291" s="103"/>
      <c r="GA291" s="49"/>
      <c r="GB291" s="49"/>
      <c r="GC291" s="49"/>
      <c r="GD291" s="49"/>
      <c r="GE291" s="49"/>
      <c r="GF291" s="49"/>
      <c r="GG291" s="48"/>
      <c r="GH291" s="48"/>
      <c r="GI291" s="48"/>
      <c r="GJ291" s="48"/>
      <c r="GK291" s="48"/>
      <c r="GL291" s="48"/>
      <c r="GM291" s="48"/>
      <c r="GN291" s="48"/>
      <c r="GO291" s="48"/>
      <c r="GP291" s="48"/>
      <c r="GQ291" s="48"/>
      <c r="GR291" s="48"/>
      <c r="GS291" s="48"/>
      <c r="GT291" s="48"/>
      <c r="GU291" s="48"/>
      <c r="GV291" s="48"/>
      <c r="GW291" s="48"/>
      <c r="GX291" s="48"/>
      <c r="GY291" s="48"/>
      <c r="GZ291" s="48"/>
      <c r="HA291" s="48"/>
      <c r="HB291" s="48"/>
      <c r="HC291" s="48"/>
      <c r="HD291" s="48"/>
      <c r="HE291" s="48"/>
      <c r="HF291" s="13"/>
      <c r="HG291" s="13"/>
      <c r="HH291" s="13"/>
    </row>
    <row r="292" spans="1:216" ht="16.95" customHeight="1">
      <c r="A292" s="1"/>
      <c r="B292" s="3"/>
      <c r="C292" s="3"/>
      <c r="D292" s="460"/>
      <c r="E292" s="462"/>
      <c r="F292" s="10"/>
      <c r="G292" s="10"/>
      <c r="H292" s="10"/>
      <c r="I292" s="10"/>
      <c r="J292" s="10"/>
      <c r="K292" s="10"/>
      <c r="L292" s="10"/>
      <c r="M292" s="10"/>
      <c r="N292" s="10"/>
      <c r="O292" s="10"/>
      <c r="P292" s="10"/>
      <c r="Q292" s="462"/>
      <c r="R292" s="462"/>
      <c r="S292" s="462"/>
      <c r="T292" s="462"/>
      <c r="U292" s="462"/>
      <c r="V292" s="462"/>
      <c r="W292" s="462"/>
      <c r="X292" s="462"/>
      <c r="Y292" s="462"/>
      <c r="Z292" s="462"/>
      <c r="AA292" s="462"/>
      <c r="AB292" s="462"/>
      <c r="AC292" s="462"/>
      <c r="AD292" s="462"/>
      <c r="AE292" s="462"/>
      <c r="AF292" s="462"/>
      <c r="AG292" s="462"/>
      <c r="AH292" s="462"/>
      <c r="AI292" s="462"/>
      <c r="AJ292" s="462"/>
      <c r="AK292" s="462"/>
      <c r="AL292" s="462"/>
      <c r="AM292" s="462"/>
      <c r="AN292" s="462"/>
      <c r="AO292" s="462"/>
      <c r="AP292" s="462"/>
      <c r="AQ292" s="462"/>
      <c r="AR292" s="462"/>
      <c r="AS292" s="462"/>
      <c r="AT292" s="462"/>
      <c r="AU292" s="462"/>
      <c r="AV292" s="462"/>
      <c r="AW292" s="462"/>
      <c r="AX292" s="462"/>
      <c r="AY292" s="462"/>
      <c r="AZ292" s="462"/>
      <c r="BA292" s="462"/>
      <c r="BB292" s="462"/>
      <c r="BC292" s="462"/>
      <c r="BD292" s="462"/>
      <c r="BE292" s="462"/>
      <c r="BF292" s="462"/>
      <c r="BG292" s="462"/>
      <c r="BH292" s="462"/>
      <c r="BI292" s="462"/>
      <c r="BJ292" s="462"/>
      <c r="BK292" s="462"/>
      <c r="BL292" s="462"/>
      <c r="BM292" s="462"/>
      <c r="BN292" s="462"/>
      <c r="BO292" s="462"/>
      <c r="BP292" s="462"/>
      <c r="BQ292" s="462"/>
      <c r="BR292" s="462"/>
      <c r="BS292" s="462"/>
      <c r="BT292" s="462"/>
      <c r="BU292" s="462"/>
      <c r="BV292" s="462"/>
      <c r="BW292" s="462"/>
      <c r="BX292" s="462"/>
      <c r="BY292" s="462"/>
      <c r="BZ292" s="462"/>
      <c r="CA292" s="462"/>
      <c r="CB292" s="462"/>
      <c r="CC292" s="462"/>
      <c r="CD292" s="462"/>
      <c r="CE292" s="462"/>
      <c r="CF292" s="462"/>
      <c r="CG292" s="462"/>
      <c r="CH292" s="462"/>
      <c r="CI292" s="462"/>
      <c r="CJ292" s="462"/>
      <c r="CK292" s="462"/>
      <c r="CL292" s="462"/>
      <c r="CM292" s="462"/>
      <c r="CN292" s="462"/>
      <c r="CO292" s="462"/>
      <c r="CP292" s="462"/>
      <c r="CQ292" s="462"/>
      <c r="CR292" s="462"/>
      <c r="CS292" s="462"/>
      <c r="CT292" s="462"/>
      <c r="CU292" s="462"/>
      <c r="CV292" s="462"/>
      <c r="CW292" s="462"/>
      <c r="CX292" s="43"/>
      <c r="CY292" s="43"/>
      <c r="CZ292" s="43"/>
      <c r="DA292" s="43"/>
      <c r="DB292" s="43"/>
      <c r="DC292" s="43"/>
      <c r="DD292" s="43"/>
      <c r="DE292" s="43"/>
      <c r="DF292" s="43"/>
      <c r="DG292" s="457"/>
      <c r="DH292" s="458"/>
      <c r="DI292" s="458"/>
      <c r="DJ292" s="458"/>
      <c r="DK292" s="458"/>
      <c r="DL292" s="458"/>
      <c r="DM292" s="458"/>
      <c r="DN292" s="458"/>
      <c r="DO292" s="458"/>
      <c r="DP292" s="458"/>
      <c r="DQ292" s="458"/>
      <c r="DR292" s="458"/>
      <c r="DS292" s="458"/>
      <c r="DT292" s="458"/>
      <c r="DU292" s="458"/>
      <c r="DV292" s="458"/>
      <c r="DW292" s="458"/>
      <c r="DX292" s="458"/>
      <c r="DY292" s="456"/>
      <c r="DZ292" s="456"/>
      <c r="EA292" s="456"/>
      <c r="EB292" s="456"/>
      <c r="EC292" s="456"/>
      <c r="ED292" s="456"/>
      <c r="EE292" s="456"/>
      <c r="EF292" s="456"/>
      <c r="EG292" s="456"/>
      <c r="EH292" s="456"/>
      <c r="EI292" s="456"/>
      <c r="EJ292" s="456"/>
      <c r="EK292" s="456"/>
      <c r="EL292" s="456"/>
      <c r="EM292" s="456"/>
      <c r="EN292" s="456"/>
      <c r="EO292" s="456"/>
      <c r="EP292" s="456"/>
      <c r="EQ292" s="456"/>
      <c r="ER292" s="456"/>
      <c r="ES292" s="456"/>
      <c r="ET292" s="456"/>
      <c r="EU292" s="456"/>
      <c r="EV292" s="456"/>
      <c r="EW292" s="456"/>
      <c r="EX292" s="456"/>
      <c r="EY292" s="456"/>
      <c r="EZ292" s="10"/>
      <c r="FA292" s="10"/>
      <c r="FB292" s="10"/>
      <c r="FC292" s="10"/>
      <c r="FD292" s="10"/>
      <c r="FE292" s="10"/>
      <c r="FF292" s="10"/>
      <c r="FG292" s="10"/>
      <c r="FH292" s="10"/>
      <c r="FI292" s="10"/>
      <c r="FJ292" s="10"/>
      <c r="FK292" s="26"/>
      <c r="FL292" s="26"/>
      <c r="FM292" s="47"/>
      <c r="FN292" s="47"/>
      <c r="FO292" s="47"/>
      <c r="FP292" s="47"/>
      <c r="FQ292" s="47"/>
      <c r="FR292" s="47"/>
      <c r="FS292" s="49"/>
      <c r="FT292" s="49"/>
      <c r="FU292" s="49"/>
      <c r="FV292" s="49"/>
      <c r="FW292" s="49"/>
      <c r="FX292" s="49"/>
      <c r="FY292" s="47"/>
      <c r="FZ292" s="103"/>
      <c r="GA292" s="49"/>
      <c r="GB292" s="49"/>
      <c r="GC292" s="49"/>
      <c r="GD292" s="49"/>
      <c r="GE292" s="49"/>
      <c r="GF292" s="49"/>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13"/>
      <c r="HG292" s="13"/>
      <c r="HH292" s="13"/>
    </row>
    <row r="293" spans="1:216" ht="16.95" customHeight="1">
      <c r="A293" s="1"/>
      <c r="B293" s="3"/>
      <c r="C293" s="3"/>
      <c r="D293" s="373" t="b">
        <f ca="1">IF(FN262=1,"Hieronder is de TK-functie uit de vorige grafiek vervangen door de functie")</f>
        <v>0</v>
      </c>
      <c r="E293" s="376"/>
      <c r="F293" s="10"/>
      <c r="G293" s="10"/>
      <c r="H293" s="10"/>
      <c r="I293" s="10"/>
      <c r="J293" s="10"/>
      <c r="K293" s="10"/>
      <c r="L293" s="10"/>
      <c r="M293" s="10"/>
      <c r="N293" s="10"/>
      <c r="O293" s="10"/>
      <c r="P293" s="10"/>
      <c r="Q293" s="376"/>
      <c r="R293" s="376"/>
      <c r="S293" s="376"/>
      <c r="T293" s="376"/>
      <c r="U293" s="376"/>
      <c r="V293" s="376"/>
      <c r="W293" s="376"/>
      <c r="X293" s="376"/>
      <c r="Y293" s="376"/>
      <c r="Z293" s="376"/>
      <c r="AA293" s="376"/>
      <c r="AB293" s="376"/>
      <c r="AC293" s="376"/>
      <c r="AD293" s="376"/>
      <c r="AE293" s="376"/>
      <c r="AF293" s="376"/>
      <c r="AG293" s="376"/>
      <c r="AH293" s="376"/>
      <c r="AI293" s="376"/>
      <c r="AJ293" s="376"/>
      <c r="AK293" s="376"/>
      <c r="AL293" s="376"/>
      <c r="AM293" s="376"/>
      <c r="AN293" s="376"/>
      <c r="AO293" s="376"/>
      <c r="AP293" s="376"/>
      <c r="AQ293" s="376"/>
      <c r="AR293" s="376"/>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c r="CV293" s="376"/>
      <c r="CW293" s="376"/>
      <c r="CX293" s="43"/>
      <c r="CY293" s="43"/>
      <c r="CZ293" s="43"/>
      <c r="DA293" s="43"/>
      <c r="DB293" s="43"/>
      <c r="DC293" s="43"/>
      <c r="DD293" s="43"/>
      <c r="DE293" s="43"/>
      <c r="DF293" s="43"/>
      <c r="DG293" s="368"/>
      <c r="DH293" s="367"/>
      <c r="DI293" s="367"/>
      <c r="DJ293" s="367"/>
      <c r="DK293" s="367"/>
      <c r="DL293" s="367"/>
      <c r="DM293" s="367"/>
      <c r="DN293" s="367"/>
      <c r="DO293" s="367"/>
      <c r="DP293" s="367"/>
      <c r="DQ293" s="367"/>
      <c r="DR293" s="367"/>
      <c r="DS293" s="367"/>
      <c r="DT293" s="367"/>
      <c r="DU293" s="367"/>
      <c r="DV293" s="367"/>
      <c r="DW293" s="367"/>
      <c r="DX293" s="367"/>
      <c r="DY293" s="370"/>
      <c r="DZ293" s="370"/>
      <c r="EA293" s="370"/>
      <c r="EB293" s="370"/>
      <c r="EC293" s="370"/>
      <c r="ED293" s="370"/>
      <c r="EE293" s="370"/>
      <c r="EF293" s="370"/>
      <c r="EG293" s="370"/>
      <c r="EH293" s="370"/>
      <c r="EI293" s="370"/>
      <c r="EJ293" s="370"/>
      <c r="EK293" s="370"/>
      <c r="EL293" s="370"/>
      <c r="EM293" s="370"/>
      <c r="EN293" s="370"/>
      <c r="EO293" s="370"/>
      <c r="EP293" s="370"/>
      <c r="EQ293" s="370"/>
      <c r="ER293" s="370"/>
      <c r="ES293" s="370"/>
      <c r="ET293" s="370"/>
      <c r="EU293" s="370"/>
      <c r="EV293" s="370"/>
      <c r="EW293" s="370"/>
      <c r="EX293" s="370"/>
      <c r="EY293" s="370"/>
      <c r="EZ293" s="10"/>
      <c r="FA293" s="10"/>
      <c r="FB293" s="10"/>
      <c r="FC293" s="10"/>
      <c r="FD293" s="10"/>
      <c r="FE293" s="10"/>
      <c r="FF293" s="10"/>
      <c r="FG293" s="10"/>
      <c r="FH293" s="10"/>
      <c r="FI293" s="10"/>
      <c r="FJ293" s="10"/>
      <c r="FK293" s="26"/>
      <c r="FL293" s="26"/>
      <c r="FM293" s="47"/>
      <c r="FN293" s="47"/>
      <c r="FO293" s="47"/>
      <c r="FP293" s="47"/>
      <c r="FQ293" s="47"/>
      <c r="FR293" s="47"/>
      <c r="FS293" s="49"/>
      <c r="FT293" s="49"/>
      <c r="FU293" s="49"/>
      <c r="FV293" s="49"/>
      <c r="FW293" s="49"/>
      <c r="FX293" s="49"/>
      <c r="FY293" s="47"/>
      <c r="FZ293" s="103"/>
      <c r="GA293" s="49"/>
      <c r="GB293" s="49"/>
      <c r="GC293" s="49"/>
      <c r="GD293" s="49"/>
      <c r="GE293" s="49"/>
      <c r="GF293" s="49"/>
      <c r="GG293" s="48"/>
      <c r="GH293" s="48"/>
      <c r="GI293" s="48"/>
      <c r="GJ293" s="48"/>
      <c r="GK293" s="48"/>
      <c r="GL293" s="48"/>
      <c r="GM293" s="48"/>
      <c r="GN293" s="48"/>
      <c r="GO293" s="48"/>
      <c r="GP293" s="48"/>
      <c r="GQ293" s="48"/>
      <c r="GR293" s="48"/>
      <c r="GS293" s="48"/>
      <c r="GT293" s="48"/>
      <c r="GU293" s="48"/>
      <c r="GV293" s="48"/>
      <c r="GW293" s="48"/>
      <c r="GX293" s="48"/>
      <c r="GY293" s="48"/>
      <c r="GZ293" s="48"/>
      <c r="HA293" s="48"/>
      <c r="HB293" s="48"/>
      <c r="HC293" s="48"/>
      <c r="HD293" s="48"/>
      <c r="HE293" s="48"/>
      <c r="HF293" s="13"/>
      <c r="HG293" s="13"/>
      <c r="HH293" s="13"/>
    </row>
    <row r="294" spans="1:216" ht="16.95" customHeight="1">
      <c r="A294" s="1"/>
      <c r="B294" s="3"/>
      <c r="C294" s="3"/>
      <c r="D294" s="373" t="b">
        <f ca="1">IF(FN262=1,"van de totale winst (TW). De TO-lijn (de blauwe lijn) is hetzelfde gebleven.")</f>
        <v>0</v>
      </c>
      <c r="E294" s="376"/>
      <c r="F294" s="10"/>
      <c r="G294" s="10"/>
      <c r="H294" s="10"/>
      <c r="I294" s="10"/>
      <c r="J294" s="10"/>
      <c r="K294" s="10"/>
      <c r="L294" s="10"/>
      <c r="M294" s="10"/>
      <c r="N294" s="10"/>
      <c r="O294" s="10"/>
      <c r="P294" s="10"/>
      <c r="Q294" s="376"/>
      <c r="R294" s="376"/>
      <c r="S294" s="376"/>
      <c r="T294" s="376"/>
      <c r="U294" s="376"/>
      <c r="V294" s="376"/>
      <c r="W294" s="376"/>
      <c r="X294" s="376"/>
      <c r="Y294" s="376"/>
      <c r="Z294" s="376"/>
      <c r="AA294" s="376"/>
      <c r="AB294" s="376"/>
      <c r="AC294" s="376"/>
      <c r="AD294" s="376"/>
      <c r="AE294" s="376"/>
      <c r="AF294" s="376"/>
      <c r="AG294" s="376"/>
      <c r="AH294" s="376"/>
      <c r="AI294" s="376"/>
      <c r="AJ294" s="376"/>
      <c r="AK294" s="376"/>
      <c r="AL294" s="376"/>
      <c r="AM294" s="376"/>
      <c r="AN294" s="376"/>
      <c r="AO294" s="376"/>
      <c r="AP294" s="376"/>
      <c r="AQ294" s="376"/>
      <c r="AR294" s="376"/>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c r="CV294" s="376"/>
      <c r="CW294" s="376"/>
      <c r="CX294" s="43"/>
      <c r="CY294" s="43"/>
      <c r="CZ294" s="43"/>
      <c r="DA294" s="43"/>
      <c r="DB294" s="43"/>
      <c r="DC294" s="43"/>
      <c r="DD294" s="43"/>
      <c r="DE294" s="43"/>
      <c r="DF294" s="43"/>
      <c r="DG294" s="368"/>
      <c r="DH294" s="367"/>
      <c r="DI294" s="367"/>
      <c r="DJ294" s="367"/>
      <c r="DK294" s="367"/>
      <c r="DL294" s="367"/>
      <c r="DM294" s="367"/>
      <c r="DN294" s="367"/>
      <c r="DO294" s="367"/>
      <c r="DP294" s="367"/>
      <c r="DQ294" s="367"/>
      <c r="DR294" s="367"/>
      <c r="DS294" s="367"/>
      <c r="DT294" s="367"/>
      <c r="DU294" s="367"/>
      <c r="DV294" s="367"/>
      <c r="DW294" s="367"/>
      <c r="DX294" s="367"/>
      <c r="DY294" s="370"/>
      <c r="DZ294" s="370"/>
      <c r="EA294" s="370"/>
      <c r="EB294" s="370"/>
      <c r="EC294" s="370"/>
      <c r="ED294" s="370"/>
      <c r="EE294" s="370"/>
      <c r="EF294" s="370"/>
      <c r="EG294" s="370"/>
      <c r="EH294" s="370"/>
      <c r="EI294" s="370"/>
      <c r="EJ294" s="370"/>
      <c r="EK294" s="370"/>
      <c r="EL294" s="370"/>
      <c r="EM294" s="370"/>
      <c r="EN294" s="370"/>
      <c r="EO294" s="370"/>
      <c r="EP294" s="370"/>
      <c r="EQ294" s="370"/>
      <c r="ER294" s="370"/>
      <c r="ES294" s="370"/>
      <c r="ET294" s="370"/>
      <c r="EU294" s="370"/>
      <c r="EV294" s="370"/>
      <c r="EW294" s="370"/>
      <c r="EX294" s="370"/>
      <c r="EY294" s="370"/>
      <c r="EZ294" s="10"/>
      <c r="FA294" s="10"/>
      <c r="FB294" s="10"/>
      <c r="FC294" s="10"/>
      <c r="FD294" s="10"/>
      <c r="FE294" s="10"/>
      <c r="FF294" s="10"/>
      <c r="FG294" s="10"/>
      <c r="FH294" s="10"/>
      <c r="FI294" s="10"/>
      <c r="FJ294" s="10"/>
      <c r="FK294" s="26"/>
      <c r="FL294" s="26"/>
      <c r="FM294" s="47"/>
      <c r="FN294" s="47"/>
      <c r="FO294" s="47"/>
      <c r="FP294" s="47"/>
      <c r="FQ294" s="47"/>
      <c r="FR294" s="47"/>
      <c r="FS294" s="49"/>
      <c r="FT294" s="49"/>
      <c r="FU294" s="49"/>
      <c r="FV294" s="49"/>
      <c r="FW294" s="49"/>
      <c r="FX294" s="49"/>
      <c r="FY294" s="47"/>
      <c r="FZ294" s="103"/>
      <c r="GA294" s="49"/>
      <c r="GB294" s="49"/>
      <c r="GC294" s="49"/>
      <c r="GD294" s="49"/>
      <c r="GE294" s="49"/>
      <c r="GF294" s="49"/>
      <c r="GG294" s="48"/>
      <c r="GH294" s="48"/>
      <c r="GI294" s="48"/>
      <c r="GJ294" s="48"/>
      <c r="GK294" s="48"/>
      <c r="GL294" s="48"/>
      <c r="GM294" s="48"/>
      <c r="GN294" s="48"/>
      <c r="GO294" s="48"/>
      <c r="GP294" s="48"/>
      <c r="GQ294" s="48"/>
      <c r="GR294" s="48"/>
      <c r="GS294" s="48"/>
      <c r="GT294" s="48"/>
      <c r="GU294" s="48"/>
      <c r="GV294" s="48"/>
      <c r="GW294" s="48"/>
      <c r="GX294" s="48"/>
      <c r="GY294" s="48"/>
      <c r="GZ294" s="48"/>
      <c r="HA294" s="48"/>
      <c r="HB294" s="48"/>
      <c r="HC294" s="48"/>
      <c r="HD294" s="48"/>
      <c r="HE294" s="48"/>
      <c r="HF294" s="13"/>
      <c r="HG294" s="13"/>
      <c r="HH294" s="13"/>
    </row>
    <row r="295" spans="1:216" ht="16.95" customHeight="1">
      <c r="A295" s="1"/>
      <c r="B295" s="3"/>
      <c r="C295" s="3"/>
      <c r="D295" s="373" t="b">
        <f ca="1">IF(FN262=1,"Je kunt duidelijk zien dat de hoeveelheid waarbij de omzet maximaal is")</f>
        <v>0</v>
      </c>
      <c r="E295" s="376"/>
      <c r="F295" s="10"/>
      <c r="G295" s="10"/>
      <c r="H295" s="10"/>
      <c r="I295" s="10"/>
      <c r="J295" s="10"/>
      <c r="K295" s="10"/>
      <c r="L295" s="10"/>
      <c r="M295" s="10"/>
      <c r="N295" s="10"/>
      <c r="O295" s="10"/>
      <c r="P295" s="10"/>
      <c r="Q295" s="376"/>
      <c r="R295" s="376"/>
      <c r="S295" s="376"/>
      <c r="T295" s="376"/>
      <c r="U295" s="376"/>
      <c r="V295" s="376"/>
      <c r="W295" s="376"/>
      <c r="X295" s="376"/>
      <c r="Y295" s="376"/>
      <c r="Z295" s="376"/>
      <c r="AA295" s="376"/>
      <c r="AB295" s="376"/>
      <c r="AC295" s="376"/>
      <c r="AD295" s="376"/>
      <c r="AE295" s="376"/>
      <c r="AF295" s="376"/>
      <c r="AG295" s="376"/>
      <c r="AH295" s="376"/>
      <c r="AI295" s="376"/>
      <c r="AJ295" s="376"/>
      <c r="AK295" s="376"/>
      <c r="AL295" s="376"/>
      <c r="AM295" s="376"/>
      <c r="AN295" s="376"/>
      <c r="AO295" s="376"/>
      <c r="AP295" s="376"/>
      <c r="AQ295" s="376"/>
      <c r="AR295" s="376"/>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c r="CV295" s="376"/>
      <c r="CW295" s="376"/>
      <c r="CX295" s="43"/>
      <c r="CY295" s="43"/>
      <c r="CZ295" s="43"/>
      <c r="DA295" s="43"/>
      <c r="DB295" s="43"/>
      <c r="DC295" s="43"/>
      <c r="DD295" s="43"/>
      <c r="DE295" s="43"/>
      <c r="DF295" s="43"/>
      <c r="DG295" s="368"/>
      <c r="DH295" s="367"/>
      <c r="DI295" s="367"/>
      <c r="DJ295" s="367"/>
      <c r="DK295" s="367"/>
      <c r="DL295" s="367"/>
      <c r="DM295" s="367"/>
      <c r="DN295" s="367"/>
      <c r="DO295" s="367"/>
      <c r="DP295" s="367"/>
      <c r="DQ295" s="367"/>
      <c r="DR295" s="367"/>
      <c r="DS295" s="367"/>
      <c r="DT295" s="367"/>
      <c r="DU295" s="367"/>
      <c r="DV295" s="367"/>
      <c r="DW295" s="367"/>
      <c r="DX295" s="367"/>
      <c r="DY295" s="370"/>
      <c r="DZ295" s="370"/>
      <c r="EA295" s="370"/>
      <c r="EB295" s="370"/>
      <c r="EC295" s="370"/>
      <c r="ED295" s="370"/>
      <c r="EE295" s="370"/>
      <c r="EF295" s="370"/>
      <c r="EG295" s="370"/>
      <c r="EH295" s="370"/>
      <c r="EI295" s="370"/>
      <c r="EJ295" s="370"/>
      <c r="EK295" s="370"/>
      <c r="EL295" s="370"/>
      <c r="EM295" s="370"/>
      <c r="EN295" s="370"/>
      <c r="EO295" s="370"/>
      <c r="EP295" s="370"/>
      <c r="EQ295" s="370"/>
      <c r="ER295" s="370"/>
      <c r="ES295" s="370"/>
      <c r="ET295" s="370"/>
      <c r="EU295" s="370"/>
      <c r="EV295" s="370"/>
      <c r="EW295" s="370"/>
      <c r="EX295" s="370"/>
      <c r="EY295" s="370"/>
      <c r="EZ295" s="10"/>
      <c r="FA295" s="10"/>
      <c r="FB295" s="10"/>
      <c r="FC295" s="10"/>
      <c r="FD295" s="10"/>
      <c r="FE295" s="10"/>
      <c r="FF295" s="10"/>
      <c r="FG295" s="10"/>
      <c r="FH295" s="10"/>
      <c r="FI295" s="10"/>
      <c r="FJ295" s="10"/>
      <c r="FK295" s="26"/>
      <c r="FL295" s="26"/>
      <c r="FM295" s="47"/>
      <c r="FN295" s="47"/>
      <c r="FO295" s="47"/>
      <c r="FP295" s="47"/>
      <c r="FQ295" s="47"/>
      <c r="FR295" s="47"/>
      <c r="FS295" s="49"/>
      <c r="FT295" s="49"/>
      <c r="FU295" s="49"/>
      <c r="FV295" s="49"/>
      <c r="FW295" s="49"/>
      <c r="FX295" s="49"/>
      <c r="FY295" s="47"/>
      <c r="FZ295" s="103"/>
      <c r="GA295" s="49"/>
      <c r="GB295" s="49"/>
      <c r="GC295" s="49"/>
      <c r="GD295" s="49"/>
      <c r="GE295" s="49"/>
      <c r="GF295" s="49"/>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13"/>
      <c r="HG295" s="13"/>
      <c r="HH295" s="13"/>
    </row>
    <row r="296" spans="1:216" ht="16.95" customHeight="1">
      <c r="A296" s="1"/>
      <c r="B296" s="3"/>
      <c r="C296" s="3"/>
      <c r="D296" s="373" t="b">
        <f ca="1">IF(FN262=1,"iets verder ligt dan de hoeveelheid waarbij de winst maximaal is. Je kunt")</f>
        <v>0</v>
      </c>
      <c r="E296" s="376"/>
      <c r="F296" s="10"/>
      <c r="G296" s="10"/>
      <c r="H296" s="10"/>
      <c r="I296" s="10"/>
      <c r="J296" s="10"/>
      <c r="K296" s="10"/>
      <c r="L296" s="10"/>
      <c r="M296" s="10"/>
      <c r="N296" s="10"/>
      <c r="O296" s="10"/>
      <c r="P296" s="10"/>
      <c r="Q296" s="376"/>
      <c r="R296" s="376"/>
      <c r="S296" s="376"/>
      <c r="T296" s="376"/>
      <c r="U296" s="376"/>
      <c r="V296" s="376"/>
      <c r="W296" s="376"/>
      <c r="X296" s="376"/>
      <c r="Y296" s="376"/>
      <c r="Z296" s="376"/>
      <c r="AA296" s="376"/>
      <c r="AB296" s="376"/>
      <c r="AC296" s="376"/>
      <c r="AD296" s="376"/>
      <c r="AE296" s="376"/>
      <c r="AF296" s="376"/>
      <c r="AG296" s="376"/>
      <c r="AH296" s="376"/>
      <c r="AI296" s="376"/>
      <c r="AJ296" s="376"/>
      <c r="AK296" s="376"/>
      <c r="AL296" s="376"/>
      <c r="AM296" s="376"/>
      <c r="AN296" s="376"/>
      <c r="AO296" s="376"/>
      <c r="AP296" s="376"/>
      <c r="AQ296" s="376"/>
      <c r="AR296" s="376"/>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c r="CV296" s="376"/>
      <c r="CW296" s="376"/>
      <c r="CX296" s="43"/>
      <c r="CY296" s="43"/>
      <c r="CZ296" s="43"/>
      <c r="DA296" s="43"/>
      <c r="DB296" s="43"/>
      <c r="DC296" s="43"/>
      <c r="DD296" s="43"/>
      <c r="DE296" s="43"/>
      <c r="DF296" s="43"/>
      <c r="DG296" s="368"/>
      <c r="DH296" s="367"/>
      <c r="DI296" s="367"/>
      <c r="DJ296" s="367"/>
      <c r="DK296" s="367"/>
      <c r="DL296" s="367"/>
      <c r="DM296" s="367"/>
      <c r="DN296" s="367"/>
      <c r="DO296" s="367"/>
      <c r="DP296" s="367"/>
      <c r="DQ296" s="367"/>
      <c r="DR296" s="367"/>
      <c r="DS296" s="367"/>
      <c r="DT296" s="367"/>
      <c r="DU296" s="367"/>
      <c r="DV296" s="367"/>
      <c r="DW296" s="367"/>
      <c r="DX296" s="367"/>
      <c r="DY296" s="370"/>
      <c r="DZ296" s="370"/>
      <c r="EA296" s="370"/>
      <c r="EB296" s="370"/>
      <c r="EC296" s="370"/>
      <c r="ED296" s="370"/>
      <c r="EE296" s="370"/>
      <c r="EF296" s="370"/>
      <c r="EG296" s="370"/>
      <c r="EH296" s="370"/>
      <c r="EI296" s="370"/>
      <c r="EJ296" s="370"/>
      <c r="EK296" s="370"/>
      <c r="EL296" s="370"/>
      <c r="EM296" s="370"/>
      <c r="EN296" s="370"/>
      <c r="EO296" s="370"/>
      <c r="EP296" s="370"/>
      <c r="EQ296" s="370"/>
      <c r="ER296" s="370"/>
      <c r="ES296" s="370"/>
      <c r="ET296" s="370"/>
      <c r="EU296" s="370"/>
      <c r="EV296" s="370"/>
      <c r="EW296" s="370"/>
      <c r="EX296" s="370"/>
      <c r="EY296" s="370"/>
      <c r="EZ296" s="10"/>
      <c r="FA296" s="10"/>
      <c r="FB296" s="10"/>
      <c r="FC296" s="10"/>
      <c r="FD296" s="10"/>
      <c r="FE296" s="10"/>
      <c r="FF296" s="10"/>
      <c r="FG296" s="10"/>
      <c r="FH296" s="10"/>
      <c r="FI296" s="10"/>
      <c r="FJ296" s="10"/>
      <c r="FK296" s="26"/>
      <c r="FL296" s="26"/>
      <c r="FM296" s="47"/>
      <c r="FN296" s="47"/>
      <c r="FO296" s="47"/>
      <c r="FP296" s="47"/>
      <c r="FQ296" s="47"/>
      <c r="FR296" s="47"/>
      <c r="FS296" s="49"/>
      <c r="FT296" s="49"/>
      <c r="FU296" s="49"/>
      <c r="FV296" s="49"/>
      <c r="FW296" s="49"/>
      <c r="FX296" s="49"/>
      <c r="FY296" s="47"/>
      <c r="FZ296" s="103"/>
      <c r="GA296" s="49"/>
      <c r="GB296" s="49"/>
      <c r="GC296" s="49"/>
      <c r="GD296" s="49"/>
      <c r="GE296" s="49"/>
      <c r="GF296" s="49"/>
      <c r="GG296" s="48"/>
      <c r="GH296" s="48"/>
      <c r="GI296" s="48"/>
      <c r="GJ296" s="48"/>
      <c r="GK296" s="48"/>
      <c r="GL296" s="48"/>
      <c r="GM296" s="48"/>
      <c r="GN296" s="48"/>
      <c r="GO296" s="48"/>
      <c r="GP296" s="48"/>
      <c r="GQ296" s="48"/>
      <c r="GR296" s="48"/>
      <c r="GS296" s="48"/>
      <c r="GT296" s="48"/>
      <c r="GU296" s="48"/>
      <c r="GV296" s="48"/>
      <c r="GW296" s="48"/>
      <c r="GX296" s="48"/>
      <c r="GY296" s="48"/>
      <c r="GZ296" s="48"/>
      <c r="HA296" s="48"/>
      <c r="HB296" s="48"/>
      <c r="HC296" s="48"/>
      <c r="HD296" s="48"/>
      <c r="HE296" s="48"/>
      <c r="HF296" s="13"/>
      <c r="HG296" s="13"/>
      <c r="HH296" s="13"/>
    </row>
    <row r="297" spans="1:216" ht="16.95" customHeight="1">
      <c r="A297" s="1"/>
      <c r="B297" s="3"/>
      <c r="C297" s="3"/>
      <c r="D297" s="460" t="b">
        <f ca="1">IF(FN262=1,"ook zien dat dit veroorzaakt wordt door door de variabele kosten. Doordat")</f>
        <v>0</v>
      </c>
      <c r="E297" s="462"/>
      <c r="F297" s="10"/>
      <c r="G297" s="10"/>
      <c r="H297" s="10"/>
      <c r="I297" s="10"/>
      <c r="J297" s="10"/>
      <c r="K297" s="10"/>
      <c r="L297" s="10"/>
      <c r="M297" s="10"/>
      <c r="N297" s="10"/>
      <c r="O297" s="10"/>
      <c r="P297" s="10"/>
      <c r="Q297" s="462"/>
      <c r="R297" s="462"/>
      <c r="S297" s="462"/>
      <c r="T297" s="462"/>
      <c r="U297" s="462"/>
      <c r="V297" s="462"/>
      <c r="W297" s="462"/>
      <c r="X297" s="462"/>
      <c r="Y297" s="462"/>
      <c r="Z297" s="462"/>
      <c r="AA297" s="462"/>
      <c r="AB297" s="462"/>
      <c r="AC297" s="462"/>
      <c r="AD297" s="462"/>
      <c r="AE297" s="462"/>
      <c r="AF297" s="462"/>
      <c r="AG297" s="462"/>
      <c r="AH297" s="462"/>
      <c r="AI297" s="462"/>
      <c r="AJ297" s="462"/>
      <c r="AK297" s="462"/>
      <c r="AL297" s="462"/>
      <c r="AM297" s="462"/>
      <c r="AN297" s="462"/>
      <c r="AO297" s="462"/>
      <c r="AP297" s="462"/>
      <c r="AQ297" s="462"/>
      <c r="AR297" s="462"/>
      <c r="AS297" s="462"/>
      <c r="AT297" s="462"/>
      <c r="AU297" s="462"/>
      <c r="AV297" s="462"/>
      <c r="AW297" s="462"/>
      <c r="AX297" s="462"/>
      <c r="AY297" s="462"/>
      <c r="AZ297" s="462"/>
      <c r="BA297" s="462"/>
      <c r="BB297" s="462"/>
      <c r="BC297" s="462"/>
      <c r="BD297" s="462"/>
      <c r="BE297" s="462"/>
      <c r="BF297" s="462"/>
      <c r="BG297" s="462"/>
      <c r="BH297" s="462"/>
      <c r="BI297" s="462"/>
      <c r="BJ297" s="462"/>
      <c r="BK297" s="462"/>
      <c r="BL297" s="462"/>
      <c r="BM297" s="462"/>
      <c r="BN297" s="462"/>
      <c r="BO297" s="462"/>
      <c r="BP297" s="462"/>
      <c r="BQ297" s="462"/>
      <c r="BR297" s="462"/>
      <c r="BS297" s="462"/>
      <c r="BT297" s="462"/>
      <c r="BU297" s="462"/>
      <c r="BV297" s="462"/>
      <c r="BW297" s="462"/>
      <c r="BX297" s="462"/>
      <c r="BY297" s="462"/>
      <c r="BZ297" s="462"/>
      <c r="CA297" s="462"/>
      <c r="CB297" s="462"/>
      <c r="CC297" s="462"/>
      <c r="CD297" s="462"/>
      <c r="CE297" s="462"/>
      <c r="CF297" s="462"/>
      <c r="CG297" s="462"/>
      <c r="CH297" s="462"/>
      <c r="CI297" s="462"/>
      <c r="CJ297" s="462"/>
      <c r="CK297" s="462"/>
      <c r="CL297" s="462"/>
      <c r="CM297" s="462"/>
      <c r="CN297" s="462"/>
      <c r="CO297" s="462"/>
      <c r="CP297" s="462"/>
      <c r="CQ297" s="462"/>
      <c r="CR297" s="462"/>
      <c r="CS297" s="462"/>
      <c r="CT297" s="462"/>
      <c r="CU297" s="462"/>
      <c r="CV297" s="462"/>
      <c r="CW297" s="462"/>
      <c r="CX297" s="43"/>
      <c r="CY297" s="43"/>
      <c r="CZ297" s="43"/>
      <c r="DA297" s="43"/>
      <c r="DB297" s="43"/>
      <c r="DC297" s="43"/>
      <c r="DD297" s="43"/>
      <c r="DE297" s="43"/>
      <c r="DF297" s="43"/>
      <c r="DG297" s="457"/>
      <c r="DH297" s="458"/>
      <c r="DI297" s="458"/>
      <c r="DJ297" s="458"/>
      <c r="DK297" s="458"/>
      <c r="DL297" s="458"/>
      <c r="DM297" s="458"/>
      <c r="DN297" s="458"/>
      <c r="DO297" s="458"/>
      <c r="DP297" s="458"/>
      <c r="DQ297" s="458"/>
      <c r="DR297" s="458"/>
      <c r="DS297" s="458"/>
      <c r="DT297" s="458"/>
      <c r="DU297" s="458"/>
      <c r="DV297" s="458"/>
      <c r="DW297" s="458"/>
      <c r="DX297" s="458"/>
      <c r="DY297" s="456"/>
      <c r="DZ297" s="456"/>
      <c r="EA297" s="456"/>
      <c r="EB297" s="456"/>
      <c r="EC297" s="456"/>
      <c r="ED297" s="456"/>
      <c r="EE297" s="456"/>
      <c r="EF297" s="456"/>
      <c r="EG297" s="456"/>
      <c r="EH297" s="456"/>
      <c r="EI297" s="456"/>
      <c r="EJ297" s="456"/>
      <c r="EK297" s="456"/>
      <c r="EL297" s="456"/>
      <c r="EM297" s="456"/>
      <c r="EN297" s="456"/>
      <c r="EO297" s="456"/>
      <c r="EP297" s="456"/>
      <c r="EQ297" s="456"/>
      <c r="ER297" s="456"/>
      <c r="ES297" s="456"/>
      <c r="ET297" s="456"/>
      <c r="EU297" s="456"/>
      <c r="EV297" s="456"/>
      <c r="EW297" s="456"/>
      <c r="EX297" s="456"/>
      <c r="EY297" s="456"/>
      <c r="EZ297" s="10"/>
      <c r="FA297" s="10"/>
      <c r="FB297" s="10"/>
      <c r="FC297" s="10"/>
      <c r="FD297" s="10"/>
      <c r="FE297" s="10"/>
      <c r="FF297" s="10"/>
      <c r="FG297" s="10"/>
      <c r="FH297" s="10"/>
      <c r="FI297" s="10"/>
      <c r="FJ297" s="10"/>
      <c r="FK297" s="26"/>
      <c r="FL297" s="26"/>
      <c r="FM297" s="47"/>
      <c r="FN297" s="47"/>
      <c r="FO297" s="47"/>
      <c r="FP297" s="47"/>
      <c r="FQ297" s="47"/>
      <c r="FR297" s="47"/>
      <c r="FS297" s="49"/>
      <c r="FT297" s="49"/>
      <c r="FU297" s="49"/>
      <c r="FV297" s="49"/>
      <c r="FW297" s="49"/>
      <c r="FX297" s="49"/>
      <c r="FY297" s="47"/>
      <c r="FZ297" s="103"/>
      <c r="GA297" s="49"/>
      <c r="GB297" s="49"/>
      <c r="GC297" s="49"/>
      <c r="GD297" s="49"/>
      <c r="GE297" s="49"/>
      <c r="GF297" s="49"/>
      <c r="GG297" s="48"/>
      <c r="GH297" s="48"/>
      <c r="GI297" s="48"/>
      <c r="GJ297" s="48"/>
      <c r="GK297" s="48"/>
      <c r="GL297" s="48"/>
      <c r="GM297" s="48"/>
      <c r="GN297" s="48"/>
      <c r="GO297" s="48"/>
      <c r="GP297" s="48"/>
      <c r="GQ297" s="48"/>
      <c r="GR297" s="48"/>
      <c r="GS297" s="48"/>
      <c r="GT297" s="48"/>
      <c r="GU297" s="48"/>
      <c r="GV297" s="48"/>
      <c r="GW297" s="48"/>
      <c r="GX297" s="48"/>
      <c r="GY297" s="48"/>
      <c r="GZ297" s="48"/>
      <c r="HA297" s="48"/>
      <c r="HB297" s="48"/>
      <c r="HC297" s="48"/>
      <c r="HD297" s="48"/>
      <c r="HE297" s="48"/>
      <c r="HF297" s="13"/>
      <c r="HG297" s="13"/>
      <c r="HH297" s="13"/>
    </row>
    <row r="298" spans="1:216" ht="16.95" customHeight="1">
      <c r="A298" s="1"/>
      <c r="B298" s="3"/>
      <c r="C298" s="3"/>
      <c r="D298" s="373" t="b">
        <f ca="1">IF(FN262=1,"die als totaalbedrag toenemen komt de TW-lijn steeds verder onder de")</f>
        <v>0</v>
      </c>
      <c r="E298" s="376"/>
      <c r="F298" s="10"/>
      <c r="G298" s="10"/>
      <c r="H298" s="10"/>
      <c r="I298" s="10"/>
      <c r="J298" s="10"/>
      <c r="K298" s="10"/>
      <c r="L298" s="10"/>
      <c r="M298" s="10"/>
      <c r="N298" s="10"/>
      <c r="O298" s="10"/>
      <c r="P298" s="10"/>
      <c r="Q298" s="376"/>
      <c r="R298" s="376"/>
      <c r="S298" s="376"/>
      <c r="T298" s="376"/>
      <c r="U298" s="376"/>
      <c r="V298" s="376"/>
      <c r="W298" s="376"/>
      <c r="X298" s="376"/>
      <c r="Y298" s="376"/>
      <c r="Z298" s="376"/>
      <c r="AA298" s="376"/>
      <c r="AB298" s="376"/>
      <c r="AC298" s="376"/>
      <c r="AD298" s="376"/>
      <c r="AE298" s="376"/>
      <c r="AF298" s="376"/>
      <c r="AG298" s="376"/>
      <c r="AH298" s="376"/>
      <c r="AI298" s="376"/>
      <c r="AJ298" s="376"/>
      <c r="AK298" s="376"/>
      <c r="AL298" s="376"/>
      <c r="AM298" s="376"/>
      <c r="AN298" s="376"/>
      <c r="AO298" s="376"/>
      <c r="AP298" s="376"/>
      <c r="AQ298" s="376"/>
      <c r="AR298" s="376"/>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c r="CV298" s="376"/>
      <c r="CW298" s="376"/>
      <c r="CX298" s="43"/>
      <c r="CY298" s="43"/>
      <c r="CZ298" s="43"/>
      <c r="DA298" s="43"/>
      <c r="DB298" s="43"/>
      <c r="DC298" s="43"/>
      <c r="DD298" s="43"/>
      <c r="DE298" s="43"/>
      <c r="DF298" s="43"/>
      <c r="DG298" s="368"/>
      <c r="DH298" s="367"/>
      <c r="DI298" s="367"/>
      <c r="DJ298" s="367"/>
      <c r="DK298" s="367"/>
      <c r="DL298" s="367"/>
      <c r="DM298" s="367"/>
      <c r="DN298" s="367"/>
      <c r="DO298" s="367"/>
      <c r="DP298" s="367"/>
      <c r="DQ298" s="367"/>
      <c r="DR298" s="367"/>
      <c r="DS298" s="367"/>
      <c r="DT298" s="367"/>
      <c r="DU298" s="367"/>
      <c r="DV298" s="367"/>
      <c r="DW298" s="367"/>
      <c r="DX298" s="367"/>
      <c r="DY298" s="370"/>
      <c r="DZ298" s="370"/>
      <c r="EA298" s="370"/>
      <c r="EB298" s="370"/>
      <c r="EC298" s="370"/>
      <c r="ED298" s="370"/>
      <c r="EE298" s="370"/>
      <c r="EF298" s="370"/>
      <c r="EG298" s="370"/>
      <c r="EH298" s="370"/>
      <c r="EI298" s="370"/>
      <c r="EJ298" s="370"/>
      <c r="EK298" s="370"/>
      <c r="EL298" s="370"/>
      <c r="EM298" s="370"/>
      <c r="EN298" s="370"/>
      <c r="EO298" s="370"/>
      <c r="EP298" s="370"/>
      <c r="EQ298" s="370"/>
      <c r="ER298" s="370"/>
      <c r="ES298" s="370"/>
      <c r="ET298" s="370"/>
      <c r="EU298" s="370"/>
      <c r="EV298" s="370"/>
      <c r="EW298" s="370"/>
      <c r="EX298" s="370"/>
      <c r="EY298" s="370"/>
      <c r="EZ298" s="10"/>
      <c r="FA298" s="10"/>
      <c r="FB298" s="10"/>
      <c r="FC298" s="10"/>
      <c r="FD298" s="10"/>
      <c r="FE298" s="10"/>
      <c r="FF298" s="10"/>
      <c r="FG298" s="10"/>
      <c r="FH298" s="10"/>
      <c r="FI298" s="10"/>
      <c r="FJ298" s="10"/>
      <c r="FK298" s="26"/>
      <c r="FL298" s="26"/>
      <c r="FM298" s="47"/>
      <c r="FN298" s="47"/>
      <c r="FO298" s="47"/>
      <c r="FP298" s="47"/>
      <c r="FQ298" s="47"/>
      <c r="FR298" s="47"/>
      <c r="FS298" s="49"/>
      <c r="FT298" s="49"/>
      <c r="FU298" s="49"/>
      <c r="FV298" s="49"/>
      <c r="FW298" s="49"/>
      <c r="FX298" s="49"/>
      <c r="FY298" s="47"/>
      <c r="FZ298" s="103"/>
      <c r="GA298" s="49"/>
      <c r="GB298" s="49"/>
      <c r="GC298" s="49"/>
      <c r="GD298" s="49"/>
      <c r="GE298" s="49"/>
      <c r="GF298" s="49"/>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13"/>
      <c r="HG298" s="13"/>
      <c r="HH298" s="13"/>
    </row>
    <row r="299" spans="1:216" ht="16.95" customHeight="1">
      <c r="A299" s="1"/>
      <c r="B299" s="3"/>
      <c r="C299" s="3"/>
      <c r="D299" s="373" t="b">
        <f ca="1">IF(FN262=1,"TO-lijn te liggen. Kijk maar naar de afstand tussen de TO- en TW-lijn bij")</f>
        <v>0</v>
      </c>
      <c r="E299" s="376"/>
      <c r="F299" s="10"/>
      <c r="G299" s="10"/>
      <c r="H299" s="10"/>
      <c r="I299" s="10"/>
      <c r="J299" s="10"/>
      <c r="K299" s="10"/>
      <c r="L299" s="10"/>
      <c r="M299" s="10"/>
      <c r="N299" s="10"/>
      <c r="O299" s="10"/>
      <c r="P299" s="10"/>
      <c r="Q299" s="376"/>
      <c r="R299" s="376"/>
      <c r="S299" s="376"/>
      <c r="T299" s="376"/>
      <c r="U299" s="376"/>
      <c r="V299" s="376"/>
      <c r="W299" s="376"/>
      <c r="X299" s="376"/>
      <c r="Y299" s="376"/>
      <c r="Z299" s="376"/>
      <c r="AA299" s="376"/>
      <c r="AB299" s="376"/>
      <c r="AC299" s="376"/>
      <c r="AD299" s="376"/>
      <c r="AE299" s="376"/>
      <c r="AF299" s="376"/>
      <c r="AG299" s="376"/>
      <c r="AH299" s="376"/>
      <c r="AI299" s="376"/>
      <c r="AJ299" s="376"/>
      <c r="AK299" s="376"/>
      <c r="AL299" s="376"/>
      <c r="AM299" s="376"/>
      <c r="AN299" s="376"/>
      <c r="AO299" s="376"/>
      <c r="AP299" s="376"/>
      <c r="AQ299" s="376"/>
      <c r="AR299" s="376"/>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c r="CV299" s="376"/>
      <c r="CW299" s="376"/>
      <c r="CX299" s="43"/>
      <c r="CY299" s="43"/>
      <c r="CZ299" s="43"/>
      <c r="DA299" s="43"/>
      <c r="DB299" s="43"/>
      <c r="DC299" s="43"/>
      <c r="DD299" s="43"/>
      <c r="DE299" s="43"/>
      <c r="DF299" s="43"/>
      <c r="DG299" s="368"/>
      <c r="DH299" s="367"/>
      <c r="DI299" s="367"/>
      <c r="DJ299" s="367"/>
      <c r="DK299" s="367"/>
      <c r="DL299" s="367"/>
      <c r="DM299" s="367"/>
      <c r="DN299" s="367"/>
      <c r="DO299" s="367"/>
      <c r="DP299" s="367"/>
      <c r="DQ299" s="367"/>
      <c r="DR299" s="367"/>
      <c r="DS299" s="367"/>
      <c r="DT299" s="367"/>
      <c r="DU299" s="367"/>
      <c r="DV299" s="367"/>
      <c r="DW299" s="367"/>
      <c r="DX299" s="367"/>
      <c r="DY299" s="370"/>
      <c r="DZ299" s="370"/>
      <c r="EA299" s="370"/>
      <c r="EB299" s="370"/>
      <c r="EC299" s="370"/>
      <c r="ED299" s="370"/>
      <c r="EE299" s="370"/>
      <c r="EF299" s="370"/>
      <c r="EG299" s="370"/>
      <c r="EH299" s="370"/>
      <c r="EI299" s="370"/>
      <c r="EJ299" s="370"/>
      <c r="EK299" s="370"/>
      <c r="EL299" s="370"/>
      <c r="EM299" s="370"/>
      <c r="EN299" s="370"/>
      <c r="EO299" s="370"/>
      <c r="EP299" s="370"/>
      <c r="EQ299" s="370"/>
      <c r="ER299" s="370"/>
      <c r="ES299" s="370"/>
      <c r="ET299" s="370"/>
      <c r="EU299" s="370"/>
      <c r="EV299" s="370"/>
      <c r="EW299" s="370"/>
      <c r="EX299" s="370"/>
      <c r="EY299" s="370"/>
      <c r="EZ299" s="10"/>
      <c r="FA299" s="10"/>
      <c r="FB299" s="10"/>
      <c r="FC299" s="10"/>
      <c r="FD299" s="10"/>
      <c r="FE299" s="10"/>
      <c r="FF299" s="10"/>
      <c r="FG299" s="10"/>
      <c r="FH299" s="10"/>
      <c r="FI299" s="10"/>
      <c r="FJ299" s="10"/>
      <c r="FK299" s="26"/>
      <c r="FL299" s="26"/>
      <c r="FM299" s="47"/>
      <c r="FN299" s="47"/>
      <c r="FO299" s="47"/>
      <c r="FP299" s="47"/>
      <c r="FQ299" s="47"/>
      <c r="FR299" s="47"/>
      <c r="FS299" s="49"/>
      <c r="FT299" s="49"/>
      <c r="FU299" s="49"/>
      <c r="FV299" s="49"/>
      <c r="FW299" s="49"/>
      <c r="FX299" s="49"/>
      <c r="FY299" s="47"/>
      <c r="FZ299" s="103"/>
      <c r="GA299" s="49"/>
      <c r="GB299" s="49"/>
      <c r="GC299" s="49"/>
      <c r="GD299" s="49"/>
      <c r="GE299" s="49"/>
      <c r="GF299" s="49"/>
      <c r="GG299" s="48"/>
      <c r="GH299" s="48"/>
      <c r="GI299" s="48"/>
      <c r="GJ299" s="48"/>
      <c r="GK299" s="48"/>
      <c r="GL299" s="48"/>
      <c r="GM299" s="48"/>
      <c r="GN299" s="48"/>
      <c r="GO299" s="48"/>
      <c r="GP299" s="48"/>
      <c r="GQ299" s="48"/>
      <c r="GR299" s="48"/>
      <c r="GS299" s="48"/>
      <c r="GT299" s="48"/>
      <c r="GU299" s="48"/>
      <c r="GV299" s="48"/>
      <c r="GW299" s="48"/>
      <c r="GX299" s="48"/>
      <c r="GY299" s="48"/>
      <c r="GZ299" s="48"/>
      <c r="HA299" s="48"/>
      <c r="HB299" s="48"/>
      <c r="HC299" s="48"/>
      <c r="HD299" s="48"/>
      <c r="HE299" s="48"/>
      <c r="HF299" s="13"/>
      <c r="HG299" s="13"/>
      <c r="HH299" s="13"/>
    </row>
    <row r="300" spans="1:216" ht="16.95" customHeight="1">
      <c r="A300" s="1"/>
      <c r="B300" s="3"/>
      <c r="C300" s="3"/>
      <c r="D300" s="373" t="b">
        <f ca="1">IF(FN262=1,"q = 0, bij de maximale omzet en bij het eind.")</f>
        <v>0</v>
      </c>
      <c r="E300" s="376"/>
      <c r="F300" s="10"/>
      <c r="G300" s="10"/>
      <c r="H300" s="10"/>
      <c r="I300" s="10"/>
      <c r="J300" s="10"/>
      <c r="K300" s="10"/>
      <c r="L300" s="10"/>
      <c r="M300" s="10"/>
      <c r="N300" s="10"/>
      <c r="O300" s="10"/>
      <c r="P300" s="10"/>
      <c r="Q300" s="376"/>
      <c r="R300" s="376"/>
      <c r="S300" s="376"/>
      <c r="T300" s="376"/>
      <c r="U300" s="376"/>
      <c r="V300" s="376"/>
      <c r="W300" s="376"/>
      <c r="X300" s="376"/>
      <c r="Y300" s="376"/>
      <c r="Z300" s="376"/>
      <c r="AA300" s="376"/>
      <c r="AB300" s="376"/>
      <c r="AC300" s="376"/>
      <c r="AD300" s="376"/>
      <c r="AE300" s="376"/>
      <c r="AF300" s="376"/>
      <c r="AG300" s="376"/>
      <c r="AH300" s="376"/>
      <c r="AI300" s="376"/>
      <c r="AJ300" s="376"/>
      <c r="AK300" s="376"/>
      <c r="AL300" s="376"/>
      <c r="AM300" s="376"/>
      <c r="AN300" s="376"/>
      <c r="AO300" s="376"/>
      <c r="AP300" s="376"/>
      <c r="AQ300" s="376"/>
      <c r="AR300" s="376"/>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c r="CV300" s="376"/>
      <c r="CW300" s="376"/>
      <c r="CX300" s="43"/>
      <c r="CY300" s="43"/>
      <c r="CZ300" s="43"/>
      <c r="DA300" s="43"/>
      <c r="DB300" s="43"/>
      <c r="DC300" s="43"/>
      <c r="DD300" s="43"/>
      <c r="DE300" s="43"/>
      <c r="DF300" s="43"/>
      <c r="DG300" s="368"/>
      <c r="DH300" s="367"/>
      <c r="DI300" s="367"/>
      <c r="DJ300" s="367"/>
      <c r="DK300" s="367"/>
      <c r="DL300" s="367"/>
      <c r="DM300" s="367"/>
      <c r="DN300" s="367"/>
      <c r="DO300" s="367"/>
      <c r="DP300" s="367"/>
      <c r="DQ300" s="367"/>
      <c r="DR300" s="367"/>
      <c r="DS300" s="367"/>
      <c r="DT300" s="367"/>
      <c r="DU300" s="367"/>
      <c r="DV300" s="367"/>
      <c r="DW300" s="367"/>
      <c r="DX300" s="367"/>
      <c r="DY300" s="370"/>
      <c r="DZ300" s="370"/>
      <c r="EA300" s="370"/>
      <c r="EB300" s="370"/>
      <c r="EC300" s="370"/>
      <c r="ED300" s="370"/>
      <c r="EE300" s="370"/>
      <c r="EF300" s="370"/>
      <c r="EG300" s="370"/>
      <c r="EH300" s="370"/>
      <c r="EI300" s="370"/>
      <c r="EJ300" s="370"/>
      <c r="EK300" s="370"/>
      <c r="EL300" s="370"/>
      <c r="EM300" s="370"/>
      <c r="EN300" s="370"/>
      <c r="EO300" s="370"/>
      <c r="EP300" s="370"/>
      <c r="EQ300" s="370"/>
      <c r="ER300" s="370"/>
      <c r="ES300" s="370"/>
      <c r="ET300" s="370"/>
      <c r="EU300" s="370"/>
      <c r="EV300" s="370"/>
      <c r="EW300" s="370"/>
      <c r="EX300" s="370"/>
      <c r="EY300" s="370"/>
      <c r="EZ300" s="10"/>
      <c r="FA300" s="10"/>
      <c r="FB300" s="10"/>
      <c r="FC300" s="10"/>
      <c r="FD300" s="10"/>
      <c r="FE300" s="10"/>
      <c r="FF300" s="10"/>
      <c r="FG300" s="10"/>
      <c r="FH300" s="10"/>
      <c r="FI300" s="10"/>
      <c r="FJ300" s="10"/>
      <c r="FK300" s="26"/>
      <c r="FL300" s="26"/>
      <c r="FM300" s="47"/>
      <c r="FN300" s="47"/>
      <c r="FO300" s="47"/>
      <c r="FP300" s="47"/>
      <c r="FQ300" s="47"/>
      <c r="FR300" s="47"/>
      <c r="FS300" s="49"/>
      <c r="FT300" s="49"/>
      <c r="FU300" s="49"/>
      <c r="FV300" s="49"/>
      <c r="FW300" s="49"/>
      <c r="FX300" s="49"/>
      <c r="FY300" s="47"/>
      <c r="FZ300" s="103"/>
      <c r="GA300" s="49"/>
      <c r="GB300" s="49"/>
      <c r="GC300" s="49"/>
      <c r="GD300" s="49"/>
      <c r="GE300" s="49"/>
      <c r="GF300" s="49"/>
      <c r="GG300" s="48"/>
      <c r="GH300" s="48"/>
      <c r="GI300" s="48"/>
      <c r="GJ300" s="48"/>
      <c r="GK300" s="48"/>
      <c r="GL300" s="48"/>
      <c r="GM300" s="48"/>
      <c r="GN300" s="48"/>
      <c r="GO300" s="48"/>
      <c r="GP300" s="48"/>
      <c r="GQ300" s="48"/>
      <c r="GR300" s="48"/>
      <c r="GS300" s="48"/>
      <c r="GT300" s="48"/>
      <c r="GU300" s="48"/>
      <c r="GV300" s="48"/>
      <c r="GW300" s="48"/>
      <c r="GX300" s="48"/>
      <c r="GY300" s="48"/>
      <c r="GZ300" s="48"/>
      <c r="HA300" s="48"/>
      <c r="HB300" s="48"/>
      <c r="HC300" s="48"/>
      <c r="HD300" s="48"/>
      <c r="HE300" s="48"/>
      <c r="HF300" s="13"/>
      <c r="HG300" s="13"/>
      <c r="HH300" s="13"/>
    </row>
    <row r="301" spans="1:216" ht="8.4" customHeight="1">
      <c r="A301" s="1"/>
      <c r="B301" s="3"/>
      <c r="C301" s="3"/>
      <c r="D301" s="373"/>
      <c r="E301" s="376"/>
      <c r="F301" s="10"/>
      <c r="G301" s="10"/>
      <c r="H301" s="10"/>
      <c r="I301" s="10"/>
      <c r="J301" s="10"/>
      <c r="K301" s="10"/>
      <c r="L301" s="10"/>
      <c r="M301" s="10"/>
      <c r="N301" s="10"/>
      <c r="O301" s="10"/>
      <c r="P301" s="10"/>
      <c r="Q301" s="376"/>
      <c r="R301" s="376"/>
      <c r="S301" s="376"/>
      <c r="T301" s="376"/>
      <c r="U301" s="376"/>
      <c r="V301" s="376"/>
      <c r="W301" s="376"/>
      <c r="X301" s="376"/>
      <c r="Y301" s="376"/>
      <c r="Z301" s="376"/>
      <c r="AA301" s="376"/>
      <c r="AB301" s="376"/>
      <c r="AC301" s="376"/>
      <c r="AD301" s="376"/>
      <c r="AE301" s="376"/>
      <c r="AF301" s="376"/>
      <c r="AG301" s="376"/>
      <c r="AH301" s="376"/>
      <c r="AI301" s="376"/>
      <c r="AJ301" s="376"/>
      <c r="AK301" s="376"/>
      <c r="AL301" s="376"/>
      <c r="AM301" s="376"/>
      <c r="AN301" s="376"/>
      <c r="AO301" s="376"/>
      <c r="AP301" s="376"/>
      <c r="AQ301" s="376"/>
      <c r="AR301" s="376"/>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c r="CV301" s="376"/>
      <c r="CW301" s="376"/>
      <c r="CX301" s="43"/>
      <c r="CY301" s="43"/>
      <c r="CZ301" s="43"/>
      <c r="DA301" s="43"/>
      <c r="DB301" s="43"/>
      <c r="DC301" s="43"/>
      <c r="DD301" s="43"/>
      <c r="DE301" s="43"/>
      <c r="DF301" s="43"/>
      <c r="DG301" s="368"/>
      <c r="DH301" s="367"/>
      <c r="DI301" s="367"/>
      <c r="DJ301" s="367"/>
      <c r="DK301" s="367"/>
      <c r="DL301" s="367"/>
      <c r="DM301" s="367"/>
      <c r="DN301" s="367"/>
      <c r="DO301" s="367"/>
      <c r="DP301" s="367"/>
      <c r="DQ301" s="367"/>
      <c r="DR301" s="367"/>
      <c r="DS301" s="367"/>
      <c r="DT301" s="367"/>
      <c r="DU301" s="367"/>
      <c r="DV301" s="367"/>
      <c r="DW301" s="367"/>
      <c r="DX301" s="367"/>
      <c r="DY301" s="370"/>
      <c r="DZ301" s="370"/>
      <c r="EA301" s="370"/>
      <c r="EB301" s="370"/>
      <c r="EC301" s="370"/>
      <c r="ED301" s="370"/>
      <c r="EE301" s="370"/>
      <c r="EF301" s="370"/>
      <c r="EG301" s="370"/>
      <c r="EH301" s="370"/>
      <c r="EI301" s="370"/>
      <c r="EJ301" s="370"/>
      <c r="EK301" s="370"/>
      <c r="EL301" s="370"/>
      <c r="EM301" s="370"/>
      <c r="EN301" s="370"/>
      <c r="EO301" s="370"/>
      <c r="EP301" s="370"/>
      <c r="EQ301" s="370"/>
      <c r="ER301" s="370"/>
      <c r="ES301" s="370"/>
      <c r="ET301" s="370"/>
      <c r="EU301" s="370"/>
      <c r="EV301" s="370"/>
      <c r="EW301" s="370"/>
      <c r="EX301" s="370"/>
      <c r="EY301" s="370"/>
      <c r="EZ301" s="10"/>
      <c r="FA301" s="10"/>
      <c r="FB301" s="10"/>
      <c r="FC301" s="10"/>
      <c r="FD301" s="10"/>
      <c r="FE301" s="10"/>
      <c r="FF301" s="10"/>
      <c r="FG301" s="10"/>
      <c r="FH301" s="10"/>
      <c r="FI301" s="10"/>
      <c r="FJ301" s="10"/>
      <c r="FK301" s="26"/>
      <c r="FL301" s="26"/>
      <c r="FM301" s="47"/>
      <c r="FN301" s="47"/>
      <c r="FO301" s="47"/>
      <c r="FP301" s="47"/>
      <c r="FQ301" s="47"/>
      <c r="FR301" s="47"/>
      <c r="FS301" s="49"/>
      <c r="FT301" s="49"/>
      <c r="FU301" s="49"/>
      <c r="FV301" s="49"/>
      <c r="FW301" s="49"/>
      <c r="FX301" s="49"/>
      <c r="FY301" s="47"/>
      <c r="FZ301" s="103"/>
      <c r="GA301" s="49"/>
      <c r="GB301" s="49"/>
      <c r="GC301" s="49"/>
      <c r="GD301" s="49"/>
      <c r="GE301" s="49"/>
      <c r="GF301" s="49"/>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13"/>
      <c r="HG301" s="13"/>
      <c r="HH301" s="13"/>
    </row>
    <row r="302" spans="1:216" ht="16.5" customHeight="1">
      <c r="A302" s="1"/>
      <c r="B302" s="3"/>
      <c r="C302" s="3"/>
      <c r="D302" s="373"/>
      <c r="E302" s="376"/>
      <c r="F302" s="10"/>
      <c r="G302" s="10"/>
      <c r="H302" s="10"/>
      <c r="I302" s="10"/>
      <c r="J302" s="10"/>
      <c r="K302" s="10"/>
      <c r="L302" s="10"/>
      <c r="M302" s="10"/>
      <c r="N302" s="10"/>
      <c r="O302" s="10"/>
      <c r="P302" s="10"/>
      <c r="Q302" s="376"/>
      <c r="R302" s="376"/>
      <c r="S302" s="376"/>
      <c r="T302" s="376"/>
      <c r="U302" s="376"/>
      <c r="V302" s="376"/>
      <c r="W302" s="376"/>
      <c r="X302" s="376"/>
      <c r="Y302" s="376"/>
      <c r="Z302" s="376"/>
      <c r="AA302" s="376"/>
      <c r="AB302" s="376"/>
      <c r="AC302" s="376"/>
      <c r="AD302" s="376"/>
      <c r="AE302" s="376"/>
      <c r="AF302" s="376"/>
      <c r="AG302" s="376"/>
      <c r="AH302" s="376"/>
      <c r="AI302" s="376"/>
      <c r="AJ302" s="376"/>
      <c r="AK302" s="376"/>
      <c r="AL302" s="376"/>
      <c r="AM302" s="376"/>
      <c r="AN302" s="376"/>
      <c r="AO302" s="376"/>
      <c r="AP302" s="376"/>
      <c r="AQ302" s="376"/>
      <c r="AR302" s="376"/>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c r="CV302" s="376"/>
      <c r="CW302" s="376"/>
      <c r="CX302" s="43"/>
      <c r="CY302" s="43"/>
      <c r="CZ302" s="43"/>
      <c r="DA302" s="43"/>
      <c r="DB302" s="43"/>
      <c r="DC302" s="43"/>
      <c r="DD302" s="43"/>
      <c r="DE302" s="43"/>
      <c r="DF302" s="43"/>
      <c r="DG302" s="368"/>
      <c r="DH302" s="367"/>
      <c r="DI302" s="367"/>
      <c r="DJ302" s="367"/>
      <c r="DK302" s="367"/>
      <c r="DL302" s="367"/>
      <c r="DM302" s="367"/>
      <c r="DN302" s="367"/>
      <c r="DO302" s="367"/>
      <c r="DP302" s="367"/>
      <c r="DQ302" s="367"/>
      <c r="DR302" s="367"/>
      <c r="DS302" s="367"/>
      <c r="DT302" s="367"/>
      <c r="DU302" s="367"/>
      <c r="DV302" s="367"/>
      <c r="DW302" s="367"/>
      <c r="DX302" s="367"/>
      <c r="DY302" s="370"/>
      <c r="DZ302" s="370"/>
      <c r="EA302" s="370"/>
      <c r="EB302" s="370"/>
      <c r="EC302" s="370"/>
      <c r="ED302" s="370"/>
      <c r="EE302" s="370"/>
      <c r="EF302" s="370"/>
      <c r="EG302" s="370"/>
      <c r="EH302" s="370"/>
      <c r="EI302" s="370"/>
      <c r="EJ302" s="370"/>
      <c r="EK302" s="370"/>
      <c r="EL302" s="370"/>
      <c r="EM302" s="370"/>
      <c r="EN302" s="370"/>
      <c r="EO302" s="370"/>
      <c r="EP302" s="370"/>
      <c r="EQ302" s="370"/>
      <c r="ER302" s="370"/>
      <c r="ES302" s="370"/>
      <c r="ET302" s="370"/>
      <c r="EU302" s="370"/>
      <c r="EV302" s="370"/>
      <c r="EW302" s="370"/>
      <c r="EX302" s="370"/>
      <c r="EY302" s="370"/>
      <c r="EZ302" s="10"/>
      <c r="FA302" s="10"/>
      <c r="FB302" s="10"/>
      <c r="FC302" s="10"/>
      <c r="FD302" s="10"/>
      <c r="FE302" s="10"/>
      <c r="FF302" s="10"/>
      <c r="FG302" s="10"/>
      <c r="FH302" s="10"/>
      <c r="FI302" s="10"/>
      <c r="FJ302" s="10"/>
      <c r="FK302" s="26"/>
      <c r="FL302" s="26"/>
      <c r="FM302" s="47"/>
      <c r="FN302" s="47"/>
      <c r="FO302" s="47"/>
      <c r="FP302" s="47"/>
      <c r="FQ302" s="47"/>
      <c r="FR302" s="47"/>
      <c r="FS302" s="49"/>
      <c r="FT302" s="49"/>
      <c r="FU302" s="49"/>
      <c r="FV302" s="49"/>
      <c r="FW302" s="49"/>
      <c r="FX302" s="49"/>
      <c r="FY302" s="47"/>
      <c r="FZ302" s="103"/>
      <c r="GA302" s="49"/>
      <c r="GB302" s="49"/>
      <c r="GC302" s="49"/>
      <c r="GD302" s="49"/>
      <c r="GE302" s="49"/>
      <c r="GF302" s="49"/>
      <c r="GG302" s="48"/>
      <c r="GH302" s="48"/>
      <c r="GI302" s="48"/>
      <c r="GJ302" s="48"/>
      <c r="GK302" s="48"/>
      <c r="GL302" s="48"/>
      <c r="GM302" s="48"/>
      <c r="GN302" s="48"/>
      <c r="GO302" s="48"/>
      <c r="GP302" s="48"/>
      <c r="GQ302" s="48"/>
      <c r="GR302" s="48"/>
      <c r="GS302" s="48"/>
      <c r="GT302" s="48"/>
      <c r="GU302" s="48"/>
      <c r="GV302" s="48"/>
      <c r="GW302" s="48"/>
      <c r="GX302" s="48"/>
      <c r="GY302" s="48"/>
      <c r="GZ302" s="48"/>
      <c r="HA302" s="48"/>
      <c r="HB302" s="48"/>
      <c r="HC302" s="48"/>
      <c r="HD302" s="48"/>
      <c r="HE302" s="48"/>
      <c r="HF302" s="13"/>
      <c r="HG302" s="13"/>
      <c r="HH302" s="13"/>
    </row>
    <row r="303" spans="1:216" ht="16.5" customHeight="1">
      <c r="A303" s="1"/>
      <c r="B303" s="3"/>
      <c r="C303" s="3"/>
      <c r="D303" s="373"/>
      <c r="E303" s="376"/>
      <c r="F303" s="10"/>
      <c r="G303" s="10"/>
      <c r="H303" s="10"/>
      <c r="I303" s="10"/>
      <c r="J303" s="10"/>
      <c r="K303" s="10"/>
      <c r="L303" s="10"/>
      <c r="M303" s="10"/>
      <c r="N303" s="10"/>
      <c r="O303" s="10"/>
      <c r="P303" s="10"/>
      <c r="Q303" s="376"/>
      <c r="R303" s="376"/>
      <c r="S303" s="376"/>
      <c r="T303" s="376"/>
      <c r="U303" s="376"/>
      <c r="V303" s="376"/>
      <c r="W303" s="376"/>
      <c r="X303" s="376"/>
      <c r="Y303" s="376"/>
      <c r="Z303" s="376"/>
      <c r="AA303" s="376"/>
      <c r="AB303" s="376"/>
      <c r="AC303" s="376"/>
      <c r="AD303" s="376"/>
      <c r="AE303" s="376"/>
      <c r="AF303" s="376"/>
      <c r="AG303" s="376"/>
      <c r="AH303" s="376"/>
      <c r="AI303" s="376"/>
      <c r="AJ303" s="376"/>
      <c r="AK303" s="376"/>
      <c r="AL303" s="376"/>
      <c r="AM303" s="376"/>
      <c r="AN303" s="376"/>
      <c r="AO303" s="376"/>
      <c r="AP303" s="376"/>
      <c r="AQ303" s="376"/>
      <c r="AR303" s="376"/>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c r="CV303" s="376"/>
      <c r="CW303" s="376"/>
      <c r="CX303" s="43"/>
      <c r="CY303" s="43"/>
      <c r="CZ303" s="43"/>
      <c r="DA303" s="43"/>
      <c r="DB303" s="43"/>
      <c r="DC303" s="43"/>
      <c r="DD303" s="43"/>
      <c r="DE303" s="43"/>
      <c r="DF303" s="43"/>
      <c r="DG303" s="368"/>
      <c r="DH303" s="367"/>
      <c r="DI303" s="367"/>
      <c r="DJ303" s="367"/>
      <c r="DK303" s="367"/>
      <c r="DL303" s="367"/>
      <c r="DM303" s="367"/>
      <c r="DN303" s="367"/>
      <c r="DO303" s="367"/>
      <c r="DP303" s="367"/>
      <c r="DQ303" s="367"/>
      <c r="DR303" s="367"/>
      <c r="DS303" s="367"/>
      <c r="DT303" s="367"/>
      <c r="DU303" s="367"/>
      <c r="DV303" s="367"/>
      <c r="DW303" s="367"/>
      <c r="DX303" s="367"/>
      <c r="DY303" s="370"/>
      <c r="DZ303" s="370"/>
      <c r="EA303" s="370"/>
      <c r="EB303" s="370"/>
      <c r="EC303" s="370"/>
      <c r="ED303" s="370"/>
      <c r="EE303" s="370"/>
      <c r="EF303" s="370"/>
      <c r="EG303" s="370"/>
      <c r="EH303" s="370"/>
      <c r="EI303" s="370"/>
      <c r="EJ303" s="370"/>
      <c r="EK303" s="370"/>
      <c r="EL303" s="370"/>
      <c r="EM303" s="370"/>
      <c r="EN303" s="370"/>
      <c r="EO303" s="370"/>
      <c r="EP303" s="370"/>
      <c r="EQ303" s="370"/>
      <c r="ER303" s="370"/>
      <c r="ES303" s="370"/>
      <c r="ET303" s="370"/>
      <c r="EU303" s="370"/>
      <c r="EV303" s="370"/>
      <c r="EW303" s="370"/>
      <c r="EX303" s="370"/>
      <c r="EY303" s="370"/>
      <c r="EZ303" s="10"/>
      <c r="FA303" s="10"/>
      <c r="FB303" s="10"/>
      <c r="FC303" s="10"/>
      <c r="FD303" s="10"/>
      <c r="FE303" s="10"/>
      <c r="FF303" s="10"/>
      <c r="FG303" s="10"/>
      <c r="FH303" s="10"/>
      <c r="FI303" s="10"/>
      <c r="FJ303" s="10"/>
      <c r="FK303" s="26"/>
      <c r="FL303" s="26"/>
      <c r="FM303" s="47"/>
      <c r="FN303" s="47"/>
      <c r="FO303" s="47"/>
      <c r="FP303" s="47"/>
      <c r="FQ303" s="47"/>
      <c r="FR303" s="47"/>
      <c r="FS303" s="49"/>
      <c r="FT303" s="49"/>
      <c r="FU303" s="49"/>
      <c r="FV303" s="49"/>
      <c r="FW303" s="49"/>
      <c r="FX303" s="49"/>
      <c r="FY303" s="47"/>
      <c r="FZ303" s="103"/>
      <c r="GA303" s="49"/>
      <c r="GB303" s="49"/>
      <c r="GC303" s="49"/>
      <c r="GD303" s="49"/>
      <c r="GE303" s="49"/>
      <c r="GF303" s="49"/>
      <c r="GG303" s="48"/>
      <c r="GH303" s="48"/>
      <c r="GI303" s="48"/>
      <c r="GJ303" s="48"/>
      <c r="GK303" s="48"/>
      <c r="GL303" s="48"/>
      <c r="GM303" s="48"/>
      <c r="GN303" s="48"/>
      <c r="GO303" s="48"/>
      <c r="GP303" s="48"/>
      <c r="GQ303" s="48"/>
      <c r="GR303" s="48"/>
      <c r="GS303" s="48"/>
      <c r="GT303" s="48"/>
      <c r="GU303" s="48"/>
      <c r="GV303" s="48"/>
      <c r="GW303" s="48"/>
      <c r="GX303" s="48"/>
      <c r="GY303" s="48"/>
      <c r="GZ303" s="48"/>
      <c r="HA303" s="48"/>
      <c r="HB303" s="48"/>
      <c r="HC303" s="48"/>
      <c r="HD303" s="48"/>
      <c r="HE303" s="48"/>
      <c r="HF303" s="13"/>
      <c r="HG303" s="13"/>
      <c r="HH303" s="13"/>
    </row>
    <row r="304" spans="1:216" ht="16.5" customHeight="1">
      <c r="A304" s="1"/>
      <c r="B304" s="3"/>
      <c r="C304" s="3"/>
      <c r="D304" s="373"/>
      <c r="E304" s="376"/>
      <c r="F304" s="10"/>
      <c r="G304" s="10"/>
      <c r="H304" s="10"/>
      <c r="I304" s="10"/>
      <c r="J304" s="10"/>
      <c r="K304" s="10"/>
      <c r="L304" s="10"/>
      <c r="M304" s="10"/>
      <c r="N304" s="10"/>
      <c r="O304" s="10"/>
      <c r="P304" s="10"/>
      <c r="Q304" s="376"/>
      <c r="R304" s="376"/>
      <c r="S304" s="376"/>
      <c r="T304" s="376"/>
      <c r="U304" s="376"/>
      <c r="V304" s="376"/>
      <c r="W304" s="376"/>
      <c r="X304" s="376"/>
      <c r="Y304" s="376"/>
      <c r="Z304" s="376"/>
      <c r="AA304" s="376"/>
      <c r="AB304" s="376"/>
      <c r="AC304" s="376"/>
      <c r="AD304" s="376"/>
      <c r="AE304" s="376"/>
      <c r="AF304" s="376"/>
      <c r="AG304" s="376"/>
      <c r="AH304" s="376"/>
      <c r="AI304" s="376"/>
      <c r="AJ304" s="376"/>
      <c r="AK304" s="376"/>
      <c r="AL304" s="376"/>
      <c r="AM304" s="376"/>
      <c r="AN304" s="376"/>
      <c r="AO304" s="376"/>
      <c r="AP304" s="376"/>
      <c r="AQ304" s="376"/>
      <c r="AR304" s="376"/>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c r="CV304" s="376"/>
      <c r="CW304" s="376"/>
      <c r="CX304" s="43"/>
      <c r="CY304" s="43"/>
      <c r="CZ304" s="43"/>
      <c r="DA304" s="43"/>
      <c r="DB304" s="43"/>
      <c r="DC304" s="43"/>
      <c r="DD304" s="43"/>
      <c r="DE304" s="43"/>
      <c r="DF304" s="43"/>
      <c r="DG304" s="368"/>
      <c r="DH304" s="367"/>
      <c r="DI304" s="367"/>
      <c r="DJ304" s="367"/>
      <c r="DK304" s="367"/>
      <c r="DL304" s="367"/>
      <c r="DM304" s="367"/>
      <c r="DN304" s="367"/>
      <c r="DO304" s="367"/>
      <c r="DP304" s="367"/>
      <c r="DQ304" s="367"/>
      <c r="DR304" s="367"/>
      <c r="DS304" s="367"/>
      <c r="DT304" s="367"/>
      <c r="DU304" s="367"/>
      <c r="DV304" s="367"/>
      <c r="DW304" s="367"/>
      <c r="DX304" s="367"/>
      <c r="DY304" s="370"/>
      <c r="DZ304" s="370"/>
      <c r="EA304" s="370"/>
      <c r="EB304" s="370"/>
      <c r="EC304" s="370"/>
      <c r="ED304" s="370"/>
      <c r="EE304" s="370"/>
      <c r="EF304" s="370"/>
      <c r="EG304" s="370"/>
      <c r="EH304" s="370"/>
      <c r="EI304" s="370"/>
      <c r="EJ304" s="370"/>
      <c r="EK304" s="370"/>
      <c r="EL304" s="370"/>
      <c r="EM304" s="370"/>
      <c r="EN304" s="370"/>
      <c r="EO304" s="370"/>
      <c r="EP304" s="370"/>
      <c r="EQ304" s="370"/>
      <c r="ER304" s="370"/>
      <c r="ES304" s="370"/>
      <c r="ET304" s="370"/>
      <c r="EU304" s="370"/>
      <c r="EV304" s="370"/>
      <c r="EW304" s="370"/>
      <c r="EX304" s="370"/>
      <c r="EY304" s="370"/>
      <c r="EZ304" s="10"/>
      <c r="FA304" s="10"/>
      <c r="FB304" s="10"/>
      <c r="FC304" s="10"/>
      <c r="FD304" s="10"/>
      <c r="FE304" s="10"/>
      <c r="FF304" s="10"/>
      <c r="FG304" s="10"/>
      <c r="FH304" s="10"/>
      <c r="FI304" s="10"/>
      <c r="FJ304" s="10"/>
      <c r="FK304" s="26"/>
      <c r="FL304" s="26"/>
      <c r="FM304" s="47"/>
      <c r="FN304" s="47"/>
      <c r="FO304" s="47"/>
      <c r="FP304" s="47"/>
      <c r="FQ304" s="47"/>
      <c r="FR304" s="47"/>
      <c r="FS304" s="49"/>
      <c r="FT304" s="49"/>
      <c r="FU304" s="49"/>
      <c r="FV304" s="49"/>
      <c r="FW304" s="49"/>
      <c r="FX304" s="49"/>
      <c r="FY304" s="47"/>
      <c r="FZ304" s="103"/>
      <c r="GA304" s="49"/>
      <c r="GB304" s="49"/>
      <c r="GC304" s="49"/>
      <c r="GD304" s="49"/>
      <c r="GE304" s="49"/>
      <c r="GF304" s="49"/>
      <c r="GG304" s="48"/>
      <c r="GH304" s="48"/>
      <c r="GI304" s="48"/>
      <c r="GJ304" s="48"/>
      <c r="GK304" s="48"/>
      <c r="GL304" s="48"/>
      <c r="GM304" s="48"/>
      <c r="GN304" s="48"/>
      <c r="GO304" s="48"/>
      <c r="GP304" s="48"/>
      <c r="GQ304" s="48"/>
      <c r="GR304" s="48"/>
      <c r="GS304" s="48"/>
      <c r="GT304" s="48"/>
      <c r="GU304" s="48"/>
      <c r="GV304" s="48"/>
      <c r="GW304" s="48"/>
      <c r="GX304" s="48"/>
      <c r="GY304" s="48"/>
      <c r="GZ304" s="48"/>
      <c r="HA304" s="48"/>
      <c r="HB304" s="48"/>
      <c r="HC304" s="48"/>
      <c r="HD304" s="48"/>
      <c r="HE304" s="48"/>
      <c r="HF304" s="13"/>
      <c r="HG304" s="13"/>
      <c r="HH304" s="13"/>
    </row>
    <row r="305" spans="1:216" ht="16.5" customHeight="1">
      <c r="A305" s="1"/>
      <c r="B305" s="3"/>
      <c r="C305" s="3"/>
      <c r="D305" s="373"/>
      <c r="E305" s="376"/>
      <c r="F305" s="10"/>
      <c r="G305" s="10"/>
      <c r="H305" s="10"/>
      <c r="I305" s="10"/>
      <c r="J305" s="10"/>
      <c r="K305" s="10"/>
      <c r="L305" s="10"/>
      <c r="M305" s="10"/>
      <c r="N305" s="10"/>
      <c r="O305" s="10"/>
      <c r="P305" s="10"/>
      <c r="Q305" s="376"/>
      <c r="R305" s="376"/>
      <c r="S305" s="376"/>
      <c r="T305" s="376"/>
      <c r="U305" s="376"/>
      <c r="V305" s="376"/>
      <c r="W305" s="376"/>
      <c r="X305" s="376"/>
      <c r="Y305" s="376"/>
      <c r="Z305" s="376"/>
      <c r="AA305" s="376"/>
      <c r="AB305" s="376"/>
      <c r="AC305" s="376"/>
      <c r="AD305" s="376"/>
      <c r="AE305" s="376"/>
      <c r="AF305" s="376"/>
      <c r="AG305" s="376"/>
      <c r="AH305" s="376"/>
      <c r="AI305" s="376"/>
      <c r="AJ305" s="376"/>
      <c r="AK305" s="376"/>
      <c r="AL305" s="376"/>
      <c r="AM305" s="376"/>
      <c r="AN305" s="376"/>
      <c r="AO305" s="376"/>
      <c r="AP305" s="376"/>
      <c r="AQ305" s="376"/>
      <c r="AR305" s="376"/>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c r="CV305" s="376"/>
      <c r="CW305" s="376"/>
      <c r="CX305" s="43"/>
      <c r="CY305" s="43"/>
      <c r="CZ305" s="43"/>
      <c r="DA305" s="43"/>
      <c r="DB305" s="43"/>
      <c r="DC305" s="43"/>
      <c r="DD305" s="43"/>
      <c r="DE305" s="43"/>
      <c r="DF305" s="43"/>
      <c r="DG305" s="368"/>
      <c r="DH305" s="367"/>
      <c r="DI305" s="367"/>
      <c r="DJ305" s="367"/>
      <c r="DK305" s="367"/>
      <c r="DL305" s="367"/>
      <c r="DM305" s="367"/>
      <c r="DN305" s="367"/>
      <c r="DO305" s="367"/>
      <c r="DP305" s="367"/>
      <c r="DQ305" s="367"/>
      <c r="DR305" s="367"/>
      <c r="DS305" s="367"/>
      <c r="DT305" s="367"/>
      <c r="DU305" s="367"/>
      <c r="DV305" s="367"/>
      <c r="DW305" s="367"/>
      <c r="DX305" s="367"/>
      <c r="DY305" s="370"/>
      <c r="DZ305" s="370"/>
      <c r="EA305" s="370"/>
      <c r="EB305" s="370"/>
      <c r="EC305" s="370"/>
      <c r="ED305" s="370"/>
      <c r="EE305" s="370"/>
      <c r="EF305" s="370"/>
      <c r="EG305" s="370"/>
      <c r="EH305" s="370"/>
      <c r="EI305" s="370"/>
      <c r="EJ305" s="370"/>
      <c r="EK305" s="370"/>
      <c r="EL305" s="370"/>
      <c r="EM305" s="370"/>
      <c r="EN305" s="370"/>
      <c r="EO305" s="370"/>
      <c r="EP305" s="370"/>
      <c r="EQ305" s="370"/>
      <c r="ER305" s="370"/>
      <c r="ES305" s="370"/>
      <c r="ET305" s="370"/>
      <c r="EU305" s="370"/>
      <c r="EV305" s="370"/>
      <c r="EW305" s="370"/>
      <c r="EX305" s="370"/>
      <c r="EY305" s="370"/>
      <c r="EZ305" s="10"/>
      <c r="FA305" s="10"/>
      <c r="FB305" s="10"/>
      <c r="FC305" s="10"/>
      <c r="FD305" s="10"/>
      <c r="FE305" s="10"/>
      <c r="FF305" s="10"/>
      <c r="FG305" s="10"/>
      <c r="FH305" s="10"/>
      <c r="FI305" s="10"/>
      <c r="FJ305" s="10"/>
      <c r="FK305" s="26"/>
      <c r="FL305" s="26"/>
      <c r="FM305" s="47"/>
      <c r="FN305" s="47"/>
      <c r="FO305" s="47"/>
      <c r="FP305" s="47"/>
      <c r="FQ305" s="47"/>
      <c r="FR305" s="47"/>
      <c r="FS305" s="49"/>
      <c r="FT305" s="49"/>
      <c r="FU305" s="49"/>
      <c r="FV305" s="49"/>
      <c r="FW305" s="49"/>
      <c r="FX305" s="49"/>
      <c r="FY305" s="47"/>
      <c r="FZ305" s="103"/>
      <c r="GA305" s="49"/>
      <c r="GB305" s="49"/>
      <c r="GC305" s="49"/>
      <c r="GD305" s="49"/>
      <c r="GE305" s="49"/>
      <c r="GF305" s="49"/>
      <c r="GG305" s="48"/>
      <c r="GH305" s="48"/>
      <c r="GI305" s="48"/>
      <c r="GJ305" s="48"/>
      <c r="GK305" s="48"/>
      <c r="GL305" s="48"/>
      <c r="GM305" s="48"/>
      <c r="GN305" s="48"/>
      <c r="GO305" s="48"/>
      <c r="GP305" s="48"/>
      <c r="GQ305" s="48"/>
      <c r="GR305" s="48"/>
      <c r="GS305" s="48"/>
      <c r="GT305" s="48"/>
      <c r="GU305" s="48"/>
      <c r="GV305" s="48"/>
      <c r="GW305" s="48"/>
      <c r="GX305" s="48"/>
      <c r="GY305" s="48"/>
      <c r="GZ305" s="48"/>
      <c r="HA305" s="48"/>
      <c r="HB305" s="48"/>
      <c r="HC305" s="48"/>
      <c r="HD305" s="48"/>
      <c r="HE305" s="48"/>
      <c r="HF305" s="13"/>
      <c r="HG305" s="13"/>
      <c r="HH305" s="13"/>
    </row>
    <row r="306" spans="1:216" ht="16.5" customHeight="1">
      <c r="A306" s="1"/>
      <c r="B306" s="3"/>
      <c r="C306" s="3"/>
      <c r="D306" s="373"/>
      <c r="E306" s="376"/>
      <c r="F306" s="10"/>
      <c r="G306" s="10"/>
      <c r="H306" s="10"/>
      <c r="I306" s="10"/>
      <c r="J306" s="10"/>
      <c r="K306" s="10"/>
      <c r="L306" s="10"/>
      <c r="M306" s="10"/>
      <c r="N306" s="10"/>
      <c r="O306" s="10"/>
      <c r="P306" s="10"/>
      <c r="Q306" s="376"/>
      <c r="R306" s="376"/>
      <c r="S306" s="376"/>
      <c r="T306" s="376"/>
      <c r="U306" s="376"/>
      <c r="V306" s="376"/>
      <c r="W306" s="376"/>
      <c r="X306" s="376"/>
      <c r="Y306" s="376"/>
      <c r="Z306" s="376"/>
      <c r="AA306" s="376"/>
      <c r="AB306" s="376"/>
      <c r="AC306" s="376"/>
      <c r="AD306" s="376"/>
      <c r="AE306" s="376"/>
      <c r="AF306" s="376"/>
      <c r="AG306" s="376"/>
      <c r="AH306" s="376"/>
      <c r="AI306" s="376"/>
      <c r="AJ306" s="376"/>
      <c r="AK306" s="376"/>
      <c r="AL306" s="376"/>
      <c r="AM306" s="376"/>
      <c r="AN306" s="376"/>
      <c r="AO306" s="376"/>
      <c r="AP306" s="376"/>
      <c r="AQ306" s="376"/>
      <c r="AR306" s="376"/>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c r="CV306" s="376"/>
      <c r="CW306" s="376"/>
      <c r="CX306" s="43"/>
      <c r="CY306" s="43"/>
      <c r="CZ306" s="43"/>
      <c r="DA306" s="43"/>
      <c r="DB306" s="43"/>
      <c r="DC306" s="43"/>
      <c r="DD306" s="43"/>
      <c r="DE306" s="43"/>
      <c r="DF306" s="43"/>
      <c r="DG306" s="368"/>
      <c r="DH306" s="367"/>
      <c r="DI306" s="367"/>
      <c r="DJ306" s="367"/>
      <c r="DK306" s="367"/>
      <c r="DL306" s="367"/>
      <c r="DM306" s="367"/>
      <c r="DN306" s="367"/>
      <c r="DO306" s="367"/>
      <c r="DP306" s="367"/>
      <c r="DQ306" s="367"/>
      <c r="DR306" s="367"/>
      <c r="DS306" s="367"/>
      <c r="DT306" s="367"/>
      <c r="DU306" s="367"/>
      <c r="DV306" s="367"/>
      <c r="DW306" s="367"/>
      <c r="DX306" s="367"/>
      <c r="DY306" s="370"/>
      <c r="DZ306" s="370"/>
      <c r="EA306" s="370"/>
      <c r="EB306" s="370"/>
      <c r="EC306" s="370"/>
      <c r="ED306" s="370"/>
      <c r="EE306" s="370"/>
      <c r="EF306" s="370"/>
      <c r="EG306" s="370"/>
      <c r="EH306" s="370"/>
      <c r="EI306" s="370"/>
      <c r="EJ306" s="370"/>
      <c r="EK306" s="370"/>
      <c r="EL306" s="370"/>
      <c r="EM306" s="370"/>
      <c r="EN306" s="370"/>
      <c r="EO306" s="370"/>
      <c r="EP306" s="370"/>
      <c r="EQ306" s="370"/>
      <c r="ER306" s="370"/>
      <c r="ES306" s="370"/>
      <c r="ET306" s="370"/>
      <c r="EU306" s="370"/>
      <c r="EV306" s="370"/>
      <c r="EW306" s="370"/>
      <c r="EX306" s="370"/>
      <c r="EY306" s="370"/>
      <c r="EZ306" s="10"/>
      <c r="FA306" s="10"/>
      <c r="FB306" s="10"/>
      <c r="FC306" s="10"/>
      <c r="FD306" s="10"/>
      <c r="FE306" s="10"/>
      <c r="FF306" s="10"/>
      <c r="FG306" s="10"/>
      <c r="FH306" s="10"/>
      <c r="FI306" s="10"/>
      <c r="FJ306" s="10"/>
      <c r="FK306" s="26"/>
      <c r="FL306" s="26"/>
      <c r="FM306" s="47"/>
      <c r="FN306" s="47"/>
      <c r="FO306" s="47"/>
      <c r="FP306" s="47"/>
      <c r="FQ306" s="47"/>
      <c r="FR306" s="47"/>
      <c r="FS306" s="49"/>
      <c r="FT306" s="49"/>
      <c r="FU306" s="49"/>
      <c r="FV306" s="49"/>
      <c r="FW306" s="49"/>
      <c r="FX306" s="49"/>
      <c r="FY306" s="47"/>
      <c r="FZ306" s="103"/>
      <c r="GA306" s="49"/>
      <c r="GB306" s="49"/>
      <c r="GC306" s="49"/>
      <c r="GD306" s="49"/>
      <c r="GE306" s="49"/>
      <c r="GF306" s="49"/>
      <c r="GG306" s="48"/>
      <c r="GH306" s="48"/>
      <c r="GI306" s="48"/>
      <c r="GJ306" s="48"/>
      <c r="GK306" s="48"/>
      <c r="GL306" s="48"/>
      <c r="GM306" s="48"/>
      <c r="GN306" s="48"/>
      <c r="GO306" s="48"/>
      <c r="GP306" s="48"/>
      <c r="GQ306" s="48"/>
      <c r="GR306" s="48"/>
      <c r="GS306" s="48"/>
      <c r="GT306" s="48"/>
      <c r="GU306" s="48"/>
      <c r="GV306" s="48"/>
      <c r="GW306" s="48"/>
      <c r="GX306" s="48"/>
      <c r="GY306" s="48"/>
      <c r="GZ306" s="48"/>
      <c r="HA306" s="48"/>
      <c r="HB306" s="48"/>
      <c r="HC306" s="48"/>
      <c r="HD306" s="48"/>
      <c r="HE306" s="48"/>
      <c r="HF306" s="13"/>
      <c r="HG306" s="13"/>
      <c r="HH306" s="13"/>
    </row>
    <row r="307" spans="1:216" ht="16.5" customHeight="1">
      <c r="A307" s="1"/>
      <c r="B307" s="3"/>
      <c r="C307" s="3"/>
      <c r="D307" s="373"/>
      <c r="E307" s="376"/>
      <c r="F307" s="10"/>
      <c r="G307" s="10"/>
      <c r="H307" s="10"/>
      <c r="I307" s="10"/>
      <c r="J307" s="10"/>
      <c r="K307" s="10"/>
      <c r="L307" s="10"/>
      <c r="M307" s="10"/>
      <c r="N307" s="10"/>
      <c r="O307" s="10"/>
      <c r="P307" s="10"/>
      <c r="Q307" s="376"/>
      <c r="R307" s="376"/>
      <c r="S307" s="376"/>
      <c r="T307" s="376"/>
      <c r="U307" s="376"/>
      <c r="V307" s="376"/>
      <c r="W307" s="376"/>
      <c r="X307" s="376"/>
      <c r="Y307" s="376"/>
      <c r="Z307" s="376"/>
      <c r="AA307" s="376"/>
      <c r="AB307" s="376"/>
      <c r="AC307" s="376"/>
      <c r="AD307" s="376"/>
      <c r="AE307" s="376"/>
      <c r="AF307" s="376"/>
      <c r="AG307" s="376"/>
      <c r="AH307" s="376"/>
      <c r="AI307" s="376"/>
      <c r="AJ307" s="376"/>
      <c r="AK307" s="376"/>
      <c r="AL307" s="376"/>
      <c r="AM307" s="376"/>
      <c r="AN307" s="376"/>
      <c r="AO307" s="376"/>
      <c r="AP307" s="376"/>
      <c r="AQ307" s="376"/>
      <c r="AR307" s="376"/>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c r="CV307" s="376"/>
      <c r="CW307" s="376"/>
      <c r="CX307" s="43"/>
      <c r="CY307" s="43"/>
      <c r="CZ307" s="43"/>
      <c r="DA307" s="43"/>
      <c r="DB307" s="43"/>
      <c r="DC307" s="43"/>
      <c r="DD307" s="43"/>
      <c r="DE307" s="43"/>
      <c r="DF307" s="43"/>
      <c r="DG307" s="368"/>
      <c r="DH307" s="367"/>
      <c r="DI307" s="367"/>
      <c r="DJ307" s="367"/>
      <c r="DK307" s="367"/>
      <c r="DL307" s="367"/>
      <c r="DM307" s="367"/>
      <c r="DN307" s="367"/>
      <c r="DO307" s="367"/>
      <c r="DP307" s="367"/>
      <c r="DQ307" s="367"/>
      <c r="DR307" s="367"/>
      <c r="DS307" s="367"/>
      <c r="DT307" s="367"/>
      <c r="DU307" s="367"/>
      <c r="DV307" s="367"/>
      <c r="DW307" s="367"/>
      <c r="DX307" s="367"/>
      <c r="DY307" s="370"/>
      <c r="DZ307" s="370"/>
      <c r="EA307" s="370"/>
      <c r="EB307" s="370"/>
      <c r="EC307" s="370"/>
      <c r="ED307" s="370"/>
      <c r="EE307" s="370"/>
      <c r="EF307" s="370"/>
      <c r="EG307" s="370"/>
      <c r="EH307" s="370"/>
      <c r="EI307" s="370"/>
      <c r="EJ307" s="370"/>
      <c r="EK307" s="370"/>
      <c r="EL307" s="370"/>
      <c r="EM307" s="370"/>
      <c r="EN307" s="370"/>
      <c r="EO307" s="370"/>
      <c r="EP307" s="370"/>
      <c r="EQ307" s="370"/>
      <c r="ER307" s="370"/>
      <c r="ES307" s="370"/>
      <c r="ET307" s="370"/>
      <c r="EU307" s="370"/>
      <c r="EV307" s="370"/>
      <c r="EW307" s="370"/>
      <c r="EX307" s="370"/>
      <c r="EY307" s="370"/>
      <c r="EZ307" s="10"/>
      <c r="FA307" s="10"/>
      <c r="FB307" s="10"/>
      <c r="FC307" s="10"/>
      <c r="FD307" s="10"/>
      <c r="FE307" s="10"/>
      <c r="FF307" s="10"/>
      <c r="FG307" s="10"/>
      <c r="FH307" s="10"/>
      <c r="FI307" s="10"/>
      <c r="FJ307" s="10"/>
      <c r="FK307" s="26"/>
      <c r="FL307" s="26"/>
      <c r="FM307" s="47"/>
      <c r="FN307" s="47"/>
      <c r="FO307" s="47"/>
      <c r="FP307" s="47"/>
      <c r="FQ307" s="47"/>
      <c r="FR307" s="47"/>
      <c r="FS307" s="49"/>
      <c r="FT307" s="49"/>
      <c r="FU307" s="49"/>
      <c r="FV307" s="49"/>
      <c r="FW307" s="49"/>
      <c r="FX307" s="49"/>
      <c r="FY307" s="47"/>
      <c r="FZ307" s="103"/>
      <c r="GA307" s="49"/>
      <c r="GB307" s="49"/>
      <c r="GC307" s="49"/>
      <c r="GD307" s="49"/>
      <c r="GE307" s="49"/>
      <c r="GF307" s="49"/>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13"/>
      <c r="HG307" s="13"/>
      <c r="HH307" s="13"/>
    </row>
    <row r="308" spans="1:216" ht="16.5" customHeight="1">
      <c r="A308" s="1"/>
      <c r="B308" s="3"/>
      <c r="C308" s="3"/>
      <c r="D308" s="373"/>
      <c r="E308" s="376"/>
      <c r="F308" s="10"/>
      <c r="G308" s="10"/>
      <c r="H308" s="10"/>
      <c r="I308" s="10"/>
      <c r="J308" s="10"/>
      <c r="K308" s="10"/>
      <c r="L308" s="10"/>
      <c r="M308" s="10"/>
      <c r="N308" s="10"/>
      <c r="O308" s="10"/>
      <c r="P308" s="10"/>
      <c r="Q308" s="376"/>
      <c r="R308" s="376"/>
      <c r="S308" s="376"/>
      <c r="T308" s="376"/>
      <c r="U308" s="376"/>
      <c r="V308" s="376"/>
      <c r="W308" s="376"/>
      <c r="X308" s="376"/>
      <c r="Y308" s="376"/>
      <c r="Z308" s="376"/>
      <c r="AA308" s="376"/>
      <c r="AB308" s="376"/>
      <c r="AC308" s="376"/>
      <c r="AD308" s="376"/>
      <c r="AE308" s="376"/>
      <c r="AF308" s="376"/>
      <c r="AG308" s="376"/>
      <c r="AH308" s="376"/>
      <c r="AI308" s="376"/>
      <c r="AJ308" s="376"/>
      <c r="AK308" s="376"/>
      <c r="AL308" s="376"/>
      <c r="AM308" s="376"/>
      <c r="AN308" s="376"/>
      <c r="AO308" s="376"/>
      <c r="AP308" s="376"/>
      <c r="AQ308" s="376"/>
      <c r="AR308" s="376"/>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c r="CV308" s="376"/>
      <c r="CW308" s="376"/>
      <c r="CX308" s="43"/>
      <c r="CY308" s="43"/>
      <c r="CZ308" s="43"/>
      <c r="DA308" s="43"/>
      <c r="DB308" s="43"/>
      <c r="DC308" s="43"/>
      <c r="DD308" s="43"/>
      <c r="DE308" s="43"/>
      <c r="DF308" s="43"/>
      <c r="DG308" s="368"/>
      <c r="DH308" s="367"/>
      <c r="DI308" s="367"/>
      <c r="DJ308" s="367"/>
      <c r="DK308" s="367"/>
      <c r="DL308" s="367"/>
      <c r="DM308" s="367"/>
      <c r="DN308" s="367"/>
      <c r="DO308" s="367"/>
      <c r="DP308" s="367"/>
      <c r="DQ308" s="367"/>
      <c r="DR308" s="367"/>
      <c r="DS308" s="367"/>
      <c r="DT308" s="367"/>
      <c r="DU308" s="367"/>
      <c r="DV308" s="367"/>
      <c r="DW308" s="367"/>
      <c r="DX308" s="367"/>
      <c r="DY308" s="370"/>
      <c r="DZ308" s="370"/>
      <c r="EA308" s="370"/>
      <c r="EB308" s="370"/>
      <c r="EC308" s="370"/>
      <c r="ED308" s="370"/>
      <c r="EE308" s="370"/>
      <c r="EF308" s="370"/>
      <c r="EG308" s="370"/>
      <c r="EH308" s="370"/>
      <c r="EI308" s="370"/>
      <c r="EJ308" s="370"/>
      <c r="EK308" s="370"/>
      <c r="EL308" s="370"/>
      <c r="EM308" s="370"/>
      <c r="EN308" s="370"/>
      <c r="EO308" s="370"/>
      <c r="EP308" s="370"/>
      <c r="EQ308" s="370"/>
      <c r="ER308" s="370"/>
      <c r="ES308" s="370"/>
      <c r="ET308" s="370"/>
      <c r="EU308" s="370"/>
      <c r="EV308" s="370"/>
      <c r="EW308" s="370"/>
      <c r="EX308" s="370"/>
      <c r="EY308" s="370"/>
      <c r="EZ308" s="10"/>
      <c r="FA308" s="10"/>
      <c r="FB308" s="10"/>
      <c r="FC308" s="10"/>
      <c r="FD308" s="10"/>
      <c r="FE308" s="10"/>
      <c r="FF308" s="10"/>
      <c r="FG308" s="10"/>
      <c r="FH308" s="10"/>
      <c r="FI308" s="10"/>
      <c r="FJ308" s="10"/>
      <c r="FK308" s="26"/>
      <c r="FL308" s="26"/>
      <c r="FM308" s="47"/>
      <c r="FN308" s="47"/>
      <c r="FO308" s="47"/>
      <c r="FP308" s="47"/>
      <c r="FQ308" s="47"/>
      <c r="FR308" s="47"/>
      <c r="FS308" s="49"/>
      <c r="FT308" s="49"/>
      <c r="FU308" s="49"/>
      <c r="FV308" s="49"/>
      <c r="FW308" s="49"/>
      <c r="FX308" s="49"/>
      <c r="FY308" s="47"/>
      <c r="FZ308" s="103"/>
      <c r="GA308" s="49"/>
      <c r="GB308" s="49"/>
      <c r="GC308" s="49"/>
      <c r="GD308" s="49"/>
      <c r="GE308" s="49"/>
      <c r="GF308" s="49"/>
      <c r="GG308" s="48"/>
      <c r="GH308" s="48"/>
      <c r="GI308" s="48"/>
      <c r="GJ308" s="48"/>
      <c r="GK308" s="48"/>
      <c r="GL308" s="48"/>
      <c r="GM308" s="48"/>
      <c r="GN308" s="48"/>
      <c r="GO308" s="48"/>
      <c r="GP308" s="48"/>
      <c r="GQ308" s="48"/>
      <c r="GR308" s="48"/>
      <c r="GS308" s="48"/>
      <c r="GT308" s="48"/>
      <c r="GU308" s="48"/>
      <c r="GV308" s="48"/>
      <c r="GW308" s="48"/>
      <c r="GX308" s="48"/>
      <c r="GY308" s="48"/>
      <c r="GZ308" s="48"/>
      <c r="HA308" s="48"/>
      <c r="HB308" s="48"/>
      <c r="HC308" s="48"/>
      <c r="HD308" s="48"/>
      <c r="HE308" s="48"/>
      <c r="HF308" s="13"/>
      <c r="HG308" s="13"/>
      <c r="HH308" s="13"/>
    </row>
    <row r="309" spans="1:216" ht="16.5" customHeight="1">
      <c r="A309" s="1"/>
      <c r="B309" s="3"/>
      <c r="C309" s="3"/>
      <c r="D309" s="373"/>
      <c r="E309" s="376"/>
      <c r="F309" s="10"/>
      <c r="G309" s="10"/>
      <c r="H309" s="10"/>
      <c r="I309" s="10"/>
      <c r="J309" s="10"/>
      <c r="K309" s="10"/>
      <c r="L309" s="10"/>
      <c r="M309" s="10"/>
      <c r="N309" s="10"/>
      <c r="O309" s="10"/>
      <c r="P309" s="10"/>
      <c r="Q309" s="376"/>
      <c r="R309" s="376"/>
      <c r="S309" s="376"/>
      <c r="T309" s="376"/>
      <c r="U309" s="376"/>
      <c r="V309" s="376"/>
      <c r="W309" s="376"/>
      <c r="X309" s="376"/>
      <c r="Y309" s="376"/>
      <c r="Z309" s="376"/>
      <c r="AA309" s="376"/>
      <c r="AB309" s="376"/>
      <c r="AC309" s="376"/>
      <c r="AD309" s="376"/>
      <c r="AE309" s="376"/>
      <c r="AF309" s="376"/>
      <c r="AG309" s="376"/>
      <c r="AH309" s="376"/>
      <c r="AI309" s="376"/>
      <c r="AJ309" s="376"/>
      <c r="AK309" s="376"/>
      <c r="AL309" s="376"/>
      <c r="AM309" s="376"/>
      <c r="AN309" s="376"/>
      <c r="AO309" s="376"/>
      <c r="AP309" s="376"/>
      <c r="AQ309" s="376"/>
      <c r="AR309" s="376"/>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c r="CV309" s="376"/>
      <c r="CW309" s="376"/>
      <c r="CX309" s="43"/>
      <c r="CY309" s="43"/>
      <c r="CZ309" s="43"/>
      <c r="DA309" s="43"/>
      <c r="DB309" s="43"/>
      <c r="DC309" s="43"/>
      <c r="DD309" s="43"/>
      <c r="DE309" s="43"/>
      <c r="DF309" s="43"/>
      <c r="DG309" s="368"/>
      <c r="DH309" s="367"/>
      <c r="DI309" s="367"/>
      <c r="DJ309" s="367"/>
      <c r="DK309" s="367"/>
      <c r="DL309" s="367"/>
      <c r="DM309" s="367"/>
      <c r="DN309" s="367"/>
      <c r="DO309" s="367"/>
      <c r="DP309" s="367"/>
      <c r="DQ309" s="367"/>
      <c r="DR309" s="367"/>
      <c r="DS309" s="367"/>
      <c r="DT309" s="367"/>
      <c r="DU309" s="367"/>
      <c r="DV309" s="367"/>
      <c r="DW309" s="367"/>
      <c r="DX309" s="367"/>
      <c r="DY309" s="370"/>
      <c r="DZ309" s="370"/>
      <c r="EA309" s="370"/>
      <c r="EB309" s="370"/>
      <c r="EC309" s="370"/>
      <c r="ED309" s="370"/>
      <c r="EE309" s="370"/>
      <c r="EF309" s="370"/>
      <c r="EG309" s="370"/>
      <c r="EH309" s="370"/>
      <c r="EI309" s="370"/>
      <c r="EJ309" s="370"/>
      <c r="EK309" s="370"/>
      <c r="EL309" s="370"/>
      <c r="EM309" s="370"/>
      <c r="EN309" s="370"/>
      <c r="EO309" s="370"/>
      <c r="EP309" s="370"/>
      <c r="EQ309" s="370"/>
      <c r="ER309" s="370"/>
      <c r="ES309" s="370"/>
      <c r="ET309" s="370"/>
      <c r="EU309" s="370"/>
      <c r="EV309" s="370"/>
      <c r="EW309" s="370"/>
      <c r="EX309" s="370"/>
      <c r="EY309" s="370"/>
      <c r="EZ309" s="10"/>
      <c r="FA309" s="10"/>
      <c r="FB309" s="10"/>
      <c r="FC309" s="10"/>
      <c r="FD309" s="10"/>
      <c r="FE309" s="10"/>
      <c r="FF309" s="10"/>
      <c r="FG309" s="10"/>
      <c r="FH309" s="10"/>
      <c r="FI309" s="10"/>
      <c r="FJ309" s="10"/>
      <c r="FK309" s="26"/>
      <c r="FL309" s="26"/>
      <c r="FM309" s="47"/>
      <c r="FN309" s="47"/>
      <c r="FO309" s="47"/>
      <c r="FP309" s="47"/>
      <c r="FQ309" s="47"/>
      <c r="FR309" s="47"/>
      <c r="FS309" s="49"/>
      <c r="FT309" s="49"/>
      <c r="FU309" s="49"/>
      <c r="FV309" s="49"/>
      <c r="FW309" s="49"/>
      <c r="FX309" s="49"/>
      <c r="FY309" s="47"/>
      <c r="FZ309" s="103"/>
      <c r="GA309" s="49"/>
      <c r="GB309" s="49"/>
      <c r="GC309" s="49"/>
      <c r="GD309" s="49"/>
      <c r="GE309" s="49"/>
      <c r="GF309" s="49"/>
      <c r="GG309" s="48"/>
      <c r="GH309" s="48"/>
      <c r="GI309" s="48"/>
      <c r="GJ309" s="48"/>
      <c r="GK309" s="48"/>
      <c r="GL309" s="48"/>
      <c r="GM309" s="48"/>
      <c r="GN309" s="48"/>
      <c r="GO309" s="48"/>
      <c r="GP309" s="48"/>
      <c r="GQ309" s="48"/>
      <c r="GR309" s="48"/>
      <c r="GS309" s="48"/>
      <c r="GT309" s="48"/>
      <c r="GU309" s="48"/>
      <c r="GV309" s="48"/>
      <c r="GW309" s="48"/>
      <c r="GX309" s="48"/>
      <c r="GY309" s="48"/>
      <c r="GZ309" s="48"/>
      <c r="HA309" s="48"/>
      <c r="HB309" s="48"/>
      <c r="HC309" s="48"/>
      <c r="HD309" s="48"/>
      <c r="HE309" s="48"/>
      <c r="HF309" s="13"/>
      <c r="HG309" s="13"/>
      <c r="HH309" s="13"/>
    </row>
    <row r="310" spans="1:216" ht="16.5" customHeight="1">
      <c r="A310" s="1"/>
      <c r="B310" s="3"/>
      <c r="C310" s="3"/>
      <c r="D310" s="373"/>
      <c r="E310" s="376"/>
      <c r="F310" s="10"/>
      <c r="G310" s="10"/>
      <c r="H310" s="10"/>
      <c r="I310" s="10"/>
      <c r="J310" s="10"/>
      <c r="K310" s="10"/>
      <c r="L310" s="10"/>
      <c r="M310" s="10"/>
      <c r="N310" s="10"/>
      <c r="O310" s="10"/>
      <c r="P310" s="10"/>
      <c r="Q310" s="376"/>
      <c r="R310" s="376"/>
      <c r="S310" s="376"/>
      <c r="T310" s="376"/>
      <c r="U310" s="376"/>
      <c r="V310" s="376"/>
      <c r="W310" s="376"/>
      <c r="X310" s="376"/>
      <c r="Y310" s="376"/>
      <c r="Z310" s="376"/>
      <c r="AA310" s="376"/>
      <c r="AB310" s="376"/>
      <c r="AC310" s="376"/>
      <c r="AD310" s="376"/>
      <c r="AE310" s="376"/>
      <c r="AF310" s="376"/>
      <c r="AG310" s="376"/>
      <c r="AH310" s="376"/>
      <c r="AI310" s="376"/>
      <c r="AJ310" s="376"/>
      <c r="AK310" s="376"/>
      <c r="AL310" s="376"/>
      <c r="AM310" s="376"/>
      <c r="AN310" s="376"/>
      <c r="AO310" s="376"/>
      <c r="AP310" s="376"/>
      <c r="AQ310" s="376"/>
      <c r="AR310" s="376"/>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c r="CV310" s="376"/>
      <c r="CW310" s="376"/>
      <c r="CX310" s="43"/>
      <c r="CY310" s="43"/>
      <c r="CZ310" s="43"/>
      <c r="DA310" s="43"/>
      <c r="DB310" s="43"/>
      <c r="DC310" s="43"/>
      <c r="DD310" s="43"/>
      <c r="DE310" s="43"/>
      <c r="DF310" s="43"/>
      <c r="DG310" s="368"/>
      <c r="DH310" s="367"/>
      <c r="DI310" s="367"/>
      <c r="DJ310" s="367"/>
      <c r="DK310" s="367"/>
      <c r="DL310" s="367"/>
      <c r="DM310" s="367"/>
      <c r="DN310" s="367"/>
      <c r="DO310" s="367"/>
      <c r="DP310" s="367"/>
      <c r="DQ310" s="367"/>
      <c r="DR310" s="367"/>
      <c r="DS310" s="367"/>
      <c r="DT310" s="367"/>
      <c r="DU310" s="367"/>
      <c r="DV310" s="367"/>
      <c r="DW310" s="367"/>
      <c r="DX310" s="367"/>
      <c r="DY310" s="370"/>
      <c r="DZ310" s="370"/>
      <c r="EA310" s="370"/>
      <c r="EB310" s="370"/>
      <c r="EC310" s="370"/>
      <c r="ED310" s="370"/>
      <c r="EE310" s="370"/>
      <c r="EF310" s="370"/>
      <c r="EG310" s="370"/>
      <c r="EH310" s="370"/>
      <c r="EI310" s="370"/>
      <c r="EJ310" s="370"/>
      <c r="EK310" s="370"/>
      <c r="EL310" s="370"/>
      <c r="EM310" s="370"/>
      <c r="EN310" s="370"/>
      <c r="EO310" s="370"/>
      <c r="EP310" s="370"/>
      <c r="EQ310" s="370"/>
      <c r="ER310" s="370"/>
      <c r="ES310" s="370"/>
      <c r="ET310" s="370"/>
      <c r="EU310" s="370"/>
      <c r="EV310" s="370"/>
      <c r="EW310" s="370"/>
      <c r="EX310" s="370"/>
      <c r="EY310" s="370"/>
      <c r="EZ310" s="10"/>
      <c r="FA310" s="10"/>
      <c r="FB310" s="10"/>
      <c r="FC310" s="10"/>
      <c r="FD310" s="10"/>
      <c r="FE310" s="10"/>
      <c r="FF310" s="10"/>
      <c r="FG310" s="10"/>
      <c r="FH310" s="10"/>
      <c r="FI310" s="10"/>
      <c r="FJ310" s="10"/>
      <c r="FK310" s="26"/>
      <c r="FL310" s="26"/>
      <c r="FM310" s="47"/>
      <c r="FN310" s="47"/>
      <c r="FO310" s="47"/>
      <c r="FP310" s="47"/>
      <c r="FQ310" s="47"/>
      <c r="FR310" s="47"/>
      <c r="FS310" s="49"/>
      <c r="FT310" s="49"/>
      <c r="FU310" s="49"/>
      <c r="FV310" s="49"/>
      <c r="FW310" s="49"/>
      <c r="FX310" s="49"/>
      <c r="FY310" s="47"/>
      <c r="FZ310" s="103"/>
      <c r="GA310" s="49"/>
      <c r="GB310" s="49"/>
      <c r="GC310" s="49"/>
      <c r="GD310" s="49"/>
      <c r="GE310" s="49"/>
      <c r="GF310" s="49"/>
      <c r="GG310" s="48"/>
      <c r="GH310" s="48"/>
      <c r="GI310" s="48"/>
      <c r="GJ310" s="48"/>
      <c r="GK310" s="48"/>
      <c r="GL310" s="48"/>
      <c r="GM310" s="48"/>
      <c r="GN310" s="48"/>
      <c r="GO310" s="48"/>
      <c r="GP310" s="48"/>
      <c r="GQ310" s="48"/>
      <c r="GR310" s="48"/>
      <c r="GS310" s="48"/>
      <c r="GT310" s="48"/>
      <c r="GU310" s="48"/>
      <c r="GV310" s="48"/>
      <c r="GW310" s="48"/>
      <c r="GX310" s="48"/>
      <c r="GY310" s="48"/>
      <c r="GZ310" s="48"/>
      <c r="HA310" s="48"/>
      <c r="HB310" s="48"/>
      <c r="HC310" s="48"/>
      <c r="HD310" s="48"/>
      <c r="HE310" s="48"/>
      <c r="HF310" s="13"/>
      <c r="HG310" s="13"/>
      <c r="HH310" s="13"/>
    </row>
    <row r="311" spans="1:216" ht="16.5" customHeight="1">
      <c r="A311" s="1"/>
      <c r="B311" s="3"/>
      <c r="C311" s="3"/>
      <c r="D311" s="373"/>
      <c r="E311" s="376"/>
      <c r="F311" s="10"/>
      <c r="G311" s="10"/>
      <c r="H311" s="10"/>
      <c r="I311" s="10"/>
      <c r="J311" s="10"/>
      <c r="K311" s="10"/>
      <c r="L311" s="10"/>
      <c r="M311" s="10"/>
      <c r="N311" s="10"/>
      <c r="O311" s="10"/>
      <c r="P311" s="10"/>
      <c r="Q311" s="376"/>
      <c r="R311" s="376"/>
      <c r="S311" s="376"/>
      <c r="T311" s="376"/>
      <c r="U311" s="376"/>
      <c r="V311" s="376"/>
      <c r="W311" s="376"/>
      <c r="X311" s="376"/>
      <c r="Y311" s="376"/>
      <c r="Z311" s="376"/>
      <c r="AA311" s="376"/>
      <c r="AB311" s="376"/>
      <c r="AC311" s="376"/>
      <c r="AD311" s="376"/>
      <c r="AE311" s="376"/>
      <c r="AF311" s="376"/>
      <c r="AG311" s="376"/>
      <c r="AH311" s="376"/>
      <c r="AI311" s="376"/>
      <c r="AJ311" s="376"/>
      <c r="AK311" s="376"/>
      <c r="AL311" s="376"/>
      <c r="AM311" s="376"/>
      <c r="AN311" s="376"/>
      <c r="AO311" s="376"/>
      <c r="AP311" s="376"/>
      <c r="AQ311" s="376"/>
      <c r="AR311" s="376"/>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c r="CV311" s="376"/>
      <c r="CW311" s="376"/>
      <c r="CX311" s="43"/>
      <c r="CY311" s="43"/>
      <c r="CZ311" s="43"/>
      <c r="DA311" s="43"/>
      <c r="DB311" s="43"/>
      <c r="DC311" s="43"/>
      <c r="DD311" s="43"/>
      <c r="DE311" s="43"/>
      <c r="DF311" s="43"/>
      <c r="DG311" s="368"/>
      <c r="DH311" s="367"/>
      <c r="DI311" s="367"/>
      <c r="DJ311" s="367"/>
      <c r="DK311" s="367"/>
      <c r="DL311" s="367"/>
      <c r="DM311" s="367"/>
      <c r="DN311" s="367"/>
      <c r="DO311" s="367"/>
      <c r="DP311" s="367"/>
      <c r="DQ311" s="367"/>
      <c r="DR311" s="367"/>
      <c r="DS311" s="367"/>
      <c r="DT311" s="367"/>
      <c r="DU311" s="367"/>
      <c r="DV311" s="367"/>
      <c r="DW311" s="367"/>
      <c r="DX311" s="367"/>
      <c r="DY311" s="370"/>
      <c r="DZ311" s="370"/>
      <c r="EA311" s="370"/>
      <c r="EB311" s="370"/>
      <c r="EC311" s="370"/>
      <c r="ED311" s="370"/>
      <c r="EE311" s="370"/>
      <c r="EF311" s="370"/>
      <c r="EG311" s="370"/>
      <c r="EH311" s="370"/>
      <c r="EI311" s="370"/>
      <c r="EJ311" s="370"/>
      <c r="EK311" s="370"/>
      <c r="EL311" s="370"/>
      <c r="EM311" s="370"/>
      <c r="EN311" s="370"/>
      <c r="EO311" s="370"/>
      <c r="EP311" s="370"/>
      <c r="EQ311" s="370"/>
      <c r="ER311" s="370"/>
      <c r="ES311" s="370"/>
      <c r="ET311" s="370"/>
      <c r="EU311" s="370"/>
      <c r="EV311" s="370"/>
      <c r="EW311" s="370"/>
      <c r="EX311" s="370"/>
      <c r="EY311" s="370"/>
      <c r="EZ311" s="10"/>
      <c r="FA311" s="10"/>
      <c r="FB311" s="10"/>
      <c r="FC311" s="10"/>
      <c r="FD311" s="10"/>
      <c r="FE311" s="10"/>
      <c r="FF311" s="10"/>
      <c r="FG311" s="10"/>
      <c r="FH311" s="10"/>
      <c r="FI311" s="10"/>
      <c r="FJ311" s="10"/>
      <c r="FK311" s="26"/>
      <c r="FL311" s="26"/>
      <c r="FM311" s="47"/>
      <c r="FN311" s="47"/>
      <c r="FO311" s="47"/>
      <c r="FP311" s="47"/>
      <c r="FQ311" s="47"/>
      <c r="FR311" s="47"/>
      <c r="FS311" s="49"/>
      <c r="FT311" s="49"/>
      <c r="FU311" s="49"/>
      <c r="FV311" s="49"/>
      <c r="FW311" s="49"/>
      <c r="FX311" s="49"/>
      <c r="FY311" s="47"/>
      <c r="FZ311" s="103"/>
      <c r="GA311" s="49"/>
      <c r="GB311" s="49"/>
      <c r="GC311" s="49"/>
      <c r="GD311" s="49"/>
      <c r="GE311" s="49"/>
      <c r="GF311" s="49"/>
      <c r="GG311" s="48"/>
      <c r="GH311" s="48"/>
      <c r="GI311" s="48"/>
      <c r="GJ311" s="48"/>
      <c r="GK311" s="48"/>
      <c r="GL311" s="48"/>
      <c r="GM311" s="48"/>
      <c r="GN311" s="48"/>
      <c r="GO311" s="48"/>
      <c r="GP311" s="48"/>
      <c r="GQ311" s="48"/>
      <c r="GR311" s="48"/>
      <c r="GS311" s="48"/>
      <c r="GT311" s="48"/>
      <c r="GU311" s="48"/>
      <c r="GV311" s="48"/>
      <c r="GW311" s="48"/>
      <c r="GX311" s="48"/>
      <c r="GY311" s="48"/>
      <c r="GZ311" s="48"/>
      <c r="HA311" s="48"/>
      <c r="HB311" s="48"/>
      <c r="HC311" s="48"/>
      <c r="HD311" s="48"/>
      <c r="HE311" s="48"/>
      <c r="HF311" s="13"/>
      <c r="HG311" s="13"/>
      <c r="HH311" s="13"/>
    </row>
    <row r="312" spans="1:216" ht="16.5" customHeight="1">
      <c r="A312" s="1"/>
      <c r="B312" s="3"/>
      <c r="C312" s="3"/>
      <c r="D312" s="373"/>
      <c r="E312" s="376"/>
      <c r="F312" s="10"/>
      <c r="G312" s="10"/>
      <c r="H312" s="10"/>
      <c r="I312" s="10"/>
      <c r="J312" s="10"/>
      <c r="K312" s="10"/>
      <c r="L312" s="10"/>
      <c r="M312" s="10"/>
      <c r="N312" s="10"/>
      <c r="O312" s="10"/>
      <c r="P312" s="10"/>
      <c r="Q312" s="376"/>
      <c r="R312" s="376"/>
      <c r="S312" s="376"/>
      <c r="T312" s="376"/>
      <c r="U312" s="376"/>
      <c r="V312" s="376"/>
      <c r="W312" s="376"/>
      <c r="X312" s="376"/>
      <c r="Y312" s="376"/>
      <c r="Z312" s="376"/>
      <c r="AA312" s="376"/>
      <c r="AB312" s="376"/>
      <c r="AC312" s="376"/>
      <c r="AD312" s="376"/>
      <c r="AE312" s="376"/>
      <c r="AF312" s="376"/>
      <c r="AG312" s="376"/>
      <c r="AH312" s="376"/>
      <c r="AI312" s="376"/>
      <c r="AJ312" s="376"/>
      <c r="AK312" s="376"/>
      <c r="AL312" s="376"/>
      <c r="AM312" s="376"/>
      <c r="AN312" s="376"/>
      <c r="AO312" s="376"/>
      <c r="AP312" s="376"/>
      <c r="AQ312" s="376"/>
      <c r="AR312" s="376"/>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c r="CV312" s="376"/>
      <c r="CW312" s="376"/>
      <c r="CX312" s="43"/>
      <c r="CY312" s="43"/>
      <c r="CZ312" s="43"/>
      <c r="DA312" s="43"/>
      <c r="DB312" s="43"/>
      <c r="DC312" s="43"/>
      <c r="DD312" s="43"/>
      <c r="DE312" s="43"/>
      <c r="DF312" s="43"/>
      <c r="DG312" s="368"/>
      <c r="DH312" s="367"/>
      <c r="DI312" s="367"/>
      <c r="DJ312" s="367"/>
      <c r="DK312" s="367"/>
      <c r="DL312" s="367"/>
      <c r="DM312" s="367"/>
      <c r="DN312" s="367"/>
      <c r="DO312" s="367"/>
      <c r="DP312" s="367"/>
      <c r="DQ312" s="367"/>
      <c r="DR312" s="367"/>
      <c r="DS312" s="367"/>
      <c r="DT312" s="367"/>
      <c r="DU312" s="367"/>
      <c r="DV312" s="367"/>
      <c r="DW312" s="367"/>
      <c r="DX312" s="367"/>
      <c r="DY312" s="370"/>
      <c r="DZ312" s="370"/>
      <c r="EA312" s="370"/>
      <c r="EB312" s="370"/>
      <c r="EC312" s="370"/>
      <c r="ED312" s="370"/>
      <c r="EE312" s="370"/>
      <c r="EF312" s="370"/>
      <c r="EG312" s="370"/>
      <c r="EH312" s="370"/>
      <c r="EI312" s="370"/>
      <c r="EJ312" s="370"/>
      <c r="EK312" s="370"/>
      <c r="EL312" s="370"/>
      <c r="EM312" s="370"/>
      <c r="EN312" s="370"/>
      <c r="EO312" s="370"/>
      <c r="EP312" s="370"/>
      <c r="EQ312" s="370"/>
      <c r="ER312" s="370"/>
      <c r="ES312" s="370"/>
      <c r="ET312" s="370"/>
      <c r="EU312" s="370"/>
      <c r="EV312" s="370"/>
      <c r="EW312" s="370"/>
      <c r="EX312" s="370"/>
      <c r="EY312" s="370"/>
      <c r="EZ312" s="10"/>
      <c r="FA312" s="10"/>
      <c r="FB312" s="10"/>
      <c r="FC312" s="10"/>
      <c r="FD312" s="10"/>
      <c r="FE312" s="10"/>
      <c r="FF312" s="10"/>
      <c r="FG312" s="10"/>
      <c r="FH312" s="10"/>
      <c r="FI312" s="10"/>
      <c r="FJ312" s="10"/>
      <c r="FK312" s="26"/>
      <c r="FL312" s="26"/>
      <c r="FM312" s="47"/>
      <c r="FN312" s="47"/>
      <c r="FO312" s="47"/>
      <c r="FP312" s="47"/>
      <c r="FQ312" s="47"/>
      <c r="FR312" s="47"/>
      <c r="FS312" s="49"/>
      <c r="FT312" s="49"/>
      <c r="FU312" s="49"/>
      <c r="FV312" s="49"/>
      <c r="FW312" s="49"/>
      <c r="FX312" s="49"/>
      <c r="FY312" s="47"/>
      <c r="FZ312" s="103"/>
      <c r="GA312" s="49"/>
      <c r="GB312" s="49"/>
      <c r="GC312" s="49"/>
      <c r="GD312" s="49"/>
      <c r="GE312" s="49"/>
      <c r="GF312" s="49"/>
      <c r="GG312" s="48"/>
      <c r="GH312" s="48"/>
      <c r="GI312" s="48"/>
      <c r="GJ312" s="48"/>
      <c r="GK312" s="48"/>
      <c r="GL312" s="48"/>
      <c r="GM312" s="48"/>
      <c r="GN312" s="48"/>
      <c r="GO312" s="48"/>
      <c r="GP312" s="48"/>
      <c r="GQ312" s="48"/>
      <c r="GR312" s="48"/>
      <c r="GS312" s="48"/>
      <c r="GT312" s="48"/>
      <c r="GU312" s="48"/>
      <c r="GV312" s="48"/>
      <c r="GW312" s="48"/>
      <c r="GX312" s="48"/>
      <c r="GY312" s="48"/>
      <c r="GZ312" s="48"/>
      <c r="HA312" s="48"/>
      <c r="HB312" s="48"/>
      <c r="HC312" s="48"/>
      <c r="HD312" s="48"/>
      <c r="HE312" s="48"/>
      <c r="HF312" s="13"/>
      <c r="HG312" s="13"/>
      <c r="HH312" s="13"/>
    </row>
    <row r="313" spans="1:216" ht="16.5" customHeight="1">
      <c r="A313" s="1"/>
      <c r="B313" s="3"/>
      <c r="C313" s="3"/>
      <c r="D313" s="373"/>
      <c r="E313" s="376"/>
      <c r="F313" s="10"/>
      <c r="G313" s="10"/>
      <c r="H313" s="10"/>
      <c r="I313" s="10"/>
      <c r="J313" s="10"/>
      <c r="K313" s="10"/>
      <c r="L313" s="10"/>
      <c r="M313" s="10"/>
      <c r="N313" s="10"/>
      <c r="O313" s="10"/>
      <c r="P313" s="10"/>
      <c r="Q313" s="376"/>
      <c r="R313" s="376"/>
      <c r="S313" s="376"/>
      <c r="T313" s="376"/>
      <c r="U313" s="376"/>
      <c r="V313" s="376"/>
      <c r="W313" s="376"/>
      <c r="X313" s="376"/>
      <c r="Y313" s="376"/>
      <c r="Z313" s="376"/>
      <c r="AA313" s="376"/>
      <c r="AB313" s="376"/>
      <c r="AC313" s="376"/>
      <c r="AD313" s="376"/>
      <c r="AE313" s="376"/>
      <c r="AF313" s="376"/>
      <c r="AG313" s="376"/>
      <c r="AH313" s="376"/>
      <c r="AI313" s="376"/>
      <c r="AJ313" s="376"/>
      <c r="AK313" s="376"/>
      <c r="AL313" s="376"/>
      <c r="AM313" s="376"/>
      <c r="AN313" s="376"/>
      <c r="AO313" s="376"/>
      <c r="AP313" s="376"/>
      <c r="AQ313" s="376"/>
      <c r="AR313" s="376"/>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c r="CV313" s="376"/>
      <c r="CW313" s="376"/>
      <c r="CX313" s="43"/>
      <c r="CY313" s="43"/>
      <c r="CZ313" s="43"/>
      <c r="DA313" s="43"/>
      <c r="DB313" s="43"/>
      <c r="DC313" s="43"/>
      <c r="DD313" s="43"/>
      <c r="DE313" s="43"/>
      <c r="DF313" s="43"/>
      <c r="DG313" s="368"/>
      <c r="DH313" s="367"/>
      <c r="DI313" s="367"/>
      <c r="DJ313" s="367"/>
      <c r="DK313" s="367"/>
      <c r="DL313" s="367"/>
      <c r="DM313" s="367"/>
      <c r="DN313" s="367"/>
      <c r="DO313" s="367"/>
      <c r="DP313" s="367"/>
      <c r="DQ313" s="367"/>
      <c r="DR313" s="367"/>
      <c r="DS313" s="367"/>
      <c r="DT313" s="367"/>
      <c r="DU313" s="367"/>
      <c r="DV313" s="367"/>
      <c r="DW313" s="367"/>
      <c r="DX313" s="367"/>
      <c r="DY313" s="370"/>
      <c r="DZ313" s="370"/>
      <c r="EA313" s="370"/>
      <c r="EB313" s="370"/>
      <c r="EC313" s="370"/>
      <c r="ED313" s="370"/>
      <c r="EE313" s="370"/>
      <c r="EF313" s="370"/>
      <c r="EG313" s="370"/>
      <c r="EH313" s="370"/>
      <c r="EI313" s="370"/>
      <c r="EJ313" s="370"/>
      <c r="EK313" s="370"/>
      <c r="EL313" s="370"/>
      <c r="EM313" s="370"/>
      <c r="EN313" s="370"/>
      <c r="EO313" s="370"/>
      <c r="EP313" s="370"/>
      <c r="EQ313" s="370"/>
      <c r="ER313" s="370"/>
      <c r="ES313" s="370"/>
      <c r="ET313" s="370"/>
      <c r="EU313" s="370"/>
      <c r="EV313" s="370"/>
      <c r="EW313" s="370"/>
      <c r="EX313" s="370"/>
      <c r="EY313" s="370"/>
      <c r="EZ313" s="10"/>
      <c r="FA313" s="10"/>
      <c r="FB313" s="10"/>
      <c r="FC313" s="10"/>
      <c r="FD313" s="10"/>
      <c r="FE313" s="10"/>
      <c r="FF313" s="10"/>
      <c r="FG313" s="10"/>
      <c r="FH313" s="10"/>
      <c r="FI313" s="10"/>
      <c r="FJ313" s="10"/>
      <c r="FK313" s="26"/>
      <c r="FL313" s="26"/>
      <c r="FM313" s="47"/>
      <c r="FN313" s="47"/>
      <c r="FO313" s="47"/>
      <c r="FP313" s="47"/>
      <c r="FQ313" s="47"/>
      <c r="FR313" s="47"/>
      <c r="FS313" s="49"/>
      <c r="FT313" s="49"/>
      <c r="FU313" s="49"/>
      <c r="FV313" s="49"/>
      <c r="FW313" s="49"/>
      <c r="FX313" s="49"/>
      <c r="FY313" s="47"/>
      <c r="FZ313" s="103"/>
      <c r="GA313" s="49"/>
      <c r="GB313" s="49"/>
      <c r="GC313" s="49"/>
      <c r="GD313" s="49"/>
      <c r="GE313" s="49"/>
      <c r="GF313" s="49"/>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13"/>
      <c r="HG313" s="13"/>
      <c r="HH313" s="13"/>
    </row>
    <row r="314" spans="1:216" ht="16.5" customHeight="1">
      <c r="A314" s="1"/>
      <c r="B314" s="3"/>
      <c r="C314" s="3"/>
      <c r="D314" s="373"/>
      <c r="E314" s="376"/>
      <c r="F314" s="10"/>
      <c r="G314" s="10"/>
      <c r="H314" s="10"/>
      <c r="I314" s="10"/>
      <c r="J314" s="10"/>
      <c r="K314" s="10"/>
      <c r="L314" s="10"/>
      <c r="M314" s="10"/>
      <c r="N314" s="10"/>
      <c r="O314" s="10"/>
      <c r="P314" s="10"/>
      <c r="Q314" s="376"/>
      <c r="R314" s="376"/>
      <c r="S314" s="376"/>
      <c r="T314" s="376"/>
      <c r="U314" s="376"/>
      <c r="V314" s="376"/>
      <c r="W314" s="376"/>
      <c r="X314" s="376"/>
      <c r="Y314" s="376"/>
      <c r="Z314" s="376"/>
      <c r="AA314" s="376"/>
      <c r="AB314" s="376"/>
      <c r="AC314" s="376"/>
      <c r="AD314" s="376"/>
      <c r="AE314" s="376"/>
      <c r="AF314" s="376"/>
      <c r="AG314" s="376"/>
      <c r="AH314" s="376"/>
      <c r="AI314" s="376"/>
      <c r="AJ314" s="376"/>
      <c r="AK314" s="376"/>
      <c r="AL314" s="376"/>
      <c r="AM314" s="376"/>
      <c r="AN314" s="376"/>
      <c r="AO314" s="376"/>
      <c r="AP314" s="376"/>
      <c r="AQ314" s="376"/>
      <c r="AR314" s="376"/>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c r="CV314" s="376"/>
      <c r="CW314" s="376"/>
      <c r="CX314" s="43"/>
      <c r="CY314" s="43"/>
      <c r="CZ314" s="43"/>
      <c r="DA314" s="43"/>
      <c r="DB314" s="43"/>
      <c r="DC314" s="43"/>
      <c r="DD314" s="43"/>
      <c r="DE314" s="43"/>
      <c r="DF314" s="43"/>
      <c r="DG314" s="368"/>
      <c r="DH314" s="367"/>
      <c r="DI314" s="367"/>
      <c r="DJ314" s="367"/>
      <c r="DK314" s="367"/>
      <c r="DL314" s="367"/>
      <c r="DM314" s="367"/>
      <c r="DN314" s="367"/>
      <c r="DO314" s="367"/>
      <c r="DP314" s="367"/>
      <c r="DQ314" s="367"/>
      <c r="DR314" s="367"/>
      <c r="DS314" s="367"/>
      <c r="DT314" s="367"/>
      <c r="DU314" s="367"/>
      <c r="DV314" s="367"/>
      <c r="DW314" s="367"/>
      <c r="DX314" s="367"/>
      <c r="DY314" s="370"/>
      <c r="DZ314" s="370"/>
      <c r="EA314" s="370"/>
      <c r="EB314" s="370"/>
      <c r="EC314" s="370"/>
      <c r="ED314" s="370"/>
      <c r="EE314" s="370"/>
      <c r="EF314" s="370"/>
      <c r="EG314" s="370"/>
      <c r="EH314" s="370"/>
      <c r="EI314" s="370"/>
      <c r="EJ314" s="370"/>
      <c r="EK314" s="370"/>
      <c r="EL314" s="370"/>
      <c r="EM314" s="370"/>
      <c r="EN314" s="370"/>
      <c r="EO314" s="370"/>
      <c r="EP314" s="370"/>
      <c r="EQ314" s="370"/>
      <c r="ER314" s="370"/>
      <c r="ES314" s="370"/>
      <c r="ET314" s="370"/>
      <c r="EU314" s="370"/>
      <c r="EV314" s="370"/>
      <c r="EW314" s="370"/>
      <c r="EX314" s="370"/>
      <c r="EY314" s="370"/>
      <c r="EZ314" s="10"/>
      <c r="FA314" s="10"/>
      <c r="FB314" s="10"/>
      <c r="FC314" s="10"/>
      <c r="FD314" s="10"/>
      <c r="FE314" s="10"/>
      <c r="FF314" s="10"/>
      <c r="FG314" s="10"/>
      <c r="FH314" s="10"/>
      <c r="FI314" s="10"/>
      <c r="FJ314" s="10"/>
      <c r="FK314" s="26"/>
      <c r="FL314" s="26"/>
      <c r="FM314" s="47"/>
      <c r="FN314" s="47"/>
      <c r="FO314" s="47"/>
      <c r="FP314" s="47"/>
      <c r="FQ314" s="47"/>
      <c r="FR314" s="47"/>
      <c r="FS314" s="49"/>
      <c r="FT314" s="49"/>
      <c r="FU314" s="49"/>
      <c r="FV314" s="49"/>
      <c r="FW314" s="49"/>
      <c r="FX314" s="49"/>
      <c r="FY314" s="47"/>
      <c r="FZ314" s="103"/>
      <c r="GA314" s="49"/>
      <c r="GB314" s="49"/>
      <c r="GC314" s="49"/>
      <c r="GD314" s="49"/>
      <c r="GE314" s="49"/>
      <c r="GF314" s="49"/>
      <c r="GG314" s="48"/>
      <c r="GH314" s="48"/>
      <c r="GI314" s="48"/>
      <c r="GJ314" s="48"/>
      <c r="GK314" s="48"/>
      <c r="GL314" s="48"/>
      <c r="GM314" s="48"/>
      <c r="GN314" s="48"/>
      <c r="GO314" s="48"/>
      <c r="GP314" s="48"/>
      <c r="GQ314" s="48"/>
      <c r="GR314" s="48"/>
      <c r="GS314" s="48"/>
      <c r="GT314" s="48"/>
      <c r="GU314" s="48"/>
      <c r="GV314" s="48"/>
      <c r="GW314" s="48"/>
      <c r="GX314" s="48"/>
      <c r="GY314" s="48"/>
      <c r="GZ314" s="48"/>
      <c r="HA314" s="48"/>
      <c r="HB314" s="48"/>
      <c r="HC314" s="48"/>
      <c r="HD314" s="48"/>
      <c r="HE314" s="48"/>
      <c r="HF314" s="13"/>
      <c r="HG314" s="13"/>
      <c r="HH314" s="13"/>
    </row>
    <row r="315" spans="1:216" ht="16.5" customHeight="1">
      <c r="A315" s="1"/>
      <c r="B315" s="3"/>
      <c r="C315" s="3"/>
      <c r="D315" s="373"/>
      <c r="E315" s="376"/>
      <c r="F315" s="10"/>
      <c r="G315" s="10"/>
      <c r="H315" s="10"/>
      <c r="I315" s="10"/>
      <c r="J315" s="10"/>
      <c r="K315" s="10"/>
      <c r="L315" s="10"/>
      <c r="M315" s="10"/>
      <c r="N315" s="10"/>
      <c r="O315" s="10"/>
      <c r="P315" s="10"/>
      <c r="Q315" s="376"/>
      <c r="R315" s="376"/>
      <c r="S315" s="376"/>
      <c r="T315" s="376"/>
      <c r="U315" s="376"/>
      <c r="V315" s="376"/>
      <c r="W315" s="376"/>
      <c r="X315" s="376"/>
      <c r="Y315" s="376"/>
      <c r="Z315" s="376"/>
      <c r="AA315" s="376"/>
      <c r="AB315" s="376"/>
      <c r="AC315" s="376"/>
      <c r="AD315" s="376"/>
      <c r="AE315" s="376"/>
      <c r="AF315" s="376"/>
      <c r="AG315" s="376"/>
      <c r="AH315" s="376"/>
      <c r="AI315" s="376"/>
      <c r="AJ315" s="376"/>
      <c r="AK315" s="376"/>
      <c r="AL315" s="376"/>
      <c r="AM315" s="376"/>
      <c r="AN315" s="376"/>
      <c r="AO315" s="376"/>
      <c r="AP315" s="376"/>
      <c r="AQ315" s="376"/>
      <c r="AR315" s="376"/>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c r="CV315" s="376"/>
      <c r="CW315" s="376"/>
      <c r="CX315" s="43"/>
      <c r="CY315" s="43"/>
      <c r="CZ315" s="43"/>
      <c r="DA315" s="43"/>
      <c r="DB315" s="43"/>
      <c r="DC315" s="43"/>
      <c r="DD315" s="43"/>
      <c r="DE315" s="43"/>
      <c r="DF315" s="43"/>
      <c r="DG315" s="368"/>
      <c r="DH315" s="367"/>
      <c r="DI315" s="367"/>
      <c r="DJ315" s="367"/>
      <c r="DK315" s="367"/>
      <c r="DL315" s="367"/>
      <c r="DM315" s="367"/>
      <c r="DN315" s="367"/>
      <c r="DO315" s="367"/>
      <c r="DP315" s="367"/>
      <c r="DQ315" s="367"/>
      <c r="DR315" s="367"/>
      <c r="DS315" s="367"/>
      <c r="DT315" s="367"/>
      <c r="DU315" s="367"/>
      <c r="DV315" s="367"/>
      <c r="DW315" s="367"/>
      <c r="DX315" s="367"/>
      <c r="DY315" s="370"/>
      <c r="DZ315" s="370"/>
      <c r="EA315" s="370"/>
      <c r="EB315" s="370"/>
      <c r="EC315" s="370"/>
      <c r="ED315" s="370"/>
      <c r="EE315" s="370"/>
      <c r="EF315" s="370"/>
      <c r="EG315" s="370"/>
      <c r="EH315" s="370"/>
      <c r="EI315" s="370"/>
      <c r="EJ315" s="370"/>
      <c r="EK315" s="370"/>
      <c r="EL315" s="370"/>
      <c r="EM315" s="370"/>
      <c r="EN315" s="370"/>
      <c r="EO315" s="370"/>
      <c r="EP315" s="370"/>
      <c r="EQ315" s="370"/>
      <c r="ER315" s="370"/>
      <c r="ES315" s="370"/>
      <c r="ET315" s="370"/>
      <c r="EU315" s="370"/>
      <c r="EV315" s="370"/>
      <c r="EW315" s="370"/>
      <c r="EX315" s="370"/>
      <c r="EY315" s="370"/>
      <c r="EZ315" s="10"/>
      <c r="FA315" s="10"/>
      <c r="FB315" s="10"/>
      <c r="FC315" s="10"/>
      <c r="FD315" s="10"/>
      <c r="FE315" s="10"/>
      <c r="FF315" s="10"/>
      <c r="FG315" s="10"/>
      <c r="FH315" s="10"/>
      <c r="FI315" s="10"/>
      <c r="FJ315" s="10"/>
      <c r="FK315" s="26"/>
      <c r="FL315" s="26"/>
      <c r="FM315" s="47"/>
      <c r="FN315" s="47"/>
      <c r="FO315" s="47"/>
      <c r="FP315" s="47"/>
      <c r="FQ315" s="47"/>
      <c r="FR315" s="47"/>
      <c r="FS315" s="49"/>
      <c r="FT315" s="49"/>
      <c r="FU315" s="49"/>
      <c r="FV315" s="49"/>
      <c r="FW315" s="49"/>
      <c r="FX315" s="49"/>
      <c r="FY315" s="47"/>
      <c r="FZ315" s="103"/>
      <c r="GA315" s="49"/>
      <c r="GB315" s="49"/>
      <c r="GC315" s="49"/>
      <c r="GD315" s="49"/>
      <c r="GE315" s="49"/>
      <c r="GF315" s="49"/>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13"/>
      <c r="HG315" s="13"/>
      <c r="HH315" s="13"/>
    </row>
    <row r="316" spans="1:216" ht="16.5" customHeight="1">
      <c r="A316" s="1"/>
      <c r="B316" s="3"/>
      <c r="C316" s="3"/>
      <c r="D316" s="373"/>
      <c r="E316" s="376"/>
      <c r="F316" s="10"/>
      <c r="G316" s="10"/>
      <c r="H316" s="10"/>
      <c r="I316" s="10"/>
      <c r="J316" s="10"/>
      <c r="K316" s="10"/>
      <c r="L316" s="10"/>
      <c r="M316" s="10"/>
      <c r="N316" s="10"/>
      <c r="O316" s="10"/>
      <c r="P316" s="10"/>
      <c r="Q316" s="376"/>
      <c r="R316" s="376"/>
      <c r="S316" s="376"/>
      <c r="T316" s="376"/>
      <c r="U316" s="376"/>
      <c r="V316" s="376"/>
      <c r="W316" s="376"/>
      <c r="X316" s="376"/>
      <c r="Y316" s="376"/>
      <c r="Z316" s="376"/>
      <c r="AA316" s="376"/>
      <c r="AB316" s="376"/>
      <c r="AC316" s="376"/>
      <c r="AD316" s="376"/>
      <c r="AE316" s="376"/>
      <c r="AF316" s="376"/>
      <c r="AG316" s="376"/>
      <c r="AH316" s="376"/>
      <c r="AI316" s="376"/>
      <c r="AJ316" s="376"/>
      <c r="AK316" s="376"/>
      <c r="AL316" s="376"/>
      <c r="AM316" s="376"/>
      <c r="AN316" s="376"/>
      <c r="AO316" s="376"/>
      <c r="AP316" s="376"/>
      <c r="AQ316" s="376"/>
      <c r="AR316" s="376"/>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c r="CV316" s="376"/>
      <c r="CW316" s="376"/>
      <c r="CX316" s="43"/>
      <c r="CY316" s="43"/>
      <c r="CZ316" s="43"/>
      <c r="DA316" s="43"/>
      <c r="DB316" s="43"/>
      <c r="DC316" s="43"/>
      <c r="DD316" s="43"/>
      <c r="DE316" s="43"/>
      <c r="DF316" s="43"/>
      <c r="DG316" s="368"/>
      <c r="DH316" s="367"/>
      <c r="DI316" s="367"/>
      <c r="DJ316" s="367"/>
      <c r="DK316" s="367"/>
      <c r="DL316" s="367"/>
      <c r="DM316" s="367"/>
      <c r="DN316" s="367"/>
      <c r="DO316" s="367"/>
      <c r="DP316" s="367"/>
      <c r="DQ316" s="367"/>
      <c r="DR316" s="367"/>
      <c r="DS316" s="367"/>
      <c r="DT316" s="367"/>
      <c r="DU316" s="367"/>
      <c r="DV316" s="367"/>
      <c r="DW316" s="367"/>
      <c r="DX316" s="367"/>
      <c r="DY316" s="370"/>
      <c r="DZ316" s="370"/>
      <c r="EA316" s="370"/>
      <c r="EB316" s="370"/>
      <c r="EC316" s="370"/>
      <c r="ED316" s="370"/>
      <c r="EE316" s="370"/>
      <c r="EF316" s="370"/>
      <c r="EG316" s="370"/>
      <c r="EH316" s="370"/>
      <c r="EI316" s="370"/>
      <c r="EJ316" s="370"/>
      <c r="EK316" s="370"/>
      <c r="EL316" s="370"/>
      <c r="EM316" s="370"/>
      <c r="EN316" s="370"/>
      <c r="EO316" s="370"/>
      <c r="EP316" s="370"/>
      <c r="EQ316" s="370"/>
      <c r="ER316" s="370"/>
      <c r="ES316" s="370"/>
      <c r="ET316" s="370"/>
      <c r="EU316" s="370"/>
      <c r="EV316" s="370"/>
      <c r="EW316" s="370"/>
      <c r="EX316" s="370"/>
      <c r="EY316" s="370"/>
      <c r="EZ316" s="10"/>
      <c r="FA316" s="10"/>
      <c r="FB316" s="10"/>
      <c r="FC316" s="10"/>
      <c r="FD316" s="10"/>
      <c r="FE316" s="10"/>
      <c r="FF316" s="10"/>
      <c r="FG316" s="10"/>
      <c r="FH316" s="10"/>
      <c r="FI316" s="10"/>
      <c r="FJ316" s="10"/>
      <c r="FK316" s="26"/>
      <c r="FL316" s="26"/>
      <c r="FM316" s="47"/>
      <c r="FN316" s="47"/>
      <c r="FO316" s="47"/>
      <c r="FP316" s="47"/>
      <c r="FQ316" s="47"/>
      <c r="FR316" s="47"/>
      <c r="FS316" s="49"/>
      <c r="FT316" s="49"/>
      <c r="FU316" s="49"/>
      <c r="FV316" s="49"/>
      <c r="FW316" s="49"/>
      <c r="FX316" s="49"/>
      <c r="FY316" s="47"/>
      <c r="FZ316" s="103"/>
      <c r="GA316" s="49"/>
      <c r="GB316" s="49"/>
      <c r="GC316" s="49"/>
      <c r="GD316" s="49"/>
      <c r="GE316" s="49"/>
      <c r="GF316" s="49"/>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13"/>
      <c r="HG316" s="13"/>
      <c r="HH316" s="13"/>
    </row>
    <row r="317" spans="1:216" ht="16.5" customHeight="1">
      <c r="A317" s="1"/>
      <c r="B317" s="3"/>
      <c r="C317" s="3"/>
      <c r="D317" s="373"/>
      <c r="E317" s="376"/>
      <c r="F317" s="10"/>
      <c r="G317" s="10"/>
      <c r="H317" s="10"/>
      <c r="I317" s="10"/>
      <c r="J317" s="10"/>
      <c r="K317" s="10"/>
      <c r="L317" s="10"/>
      <c r="M317" s="10"/>
      <c r="N317" s="10"/>
      <c r="O317" s="10"/>
      <c r="P317" s="10"/>
      <c r="Q317" s="376"/>
      <c r="R317" s="376"/>
      <c r="S317" s="376"/>
      <c r="T317" s="376"/>
      <c r="U317" s="376"/>
      <c r="V317" s="376"/>
      <c r="W317" s="376"/>
      <c r="X317" s="376"/>
      <c r="Y317" s="376"/>
      <c r="Z317" s="376"/>
      <c r="AA317" s="376"/>
      <c r="AB317" s="376"/>
      <c r="AC317" s="376"/>
      <c r="AD317" s="376"/>
      <c r="AE317" s="376"/>
      <c r="AF317" s="376"/>
      <c r="AG317" s="376"/>
      <c r="AH317" s="376"/>
      <c r="AI317" s="376"/>
      <c r="AJ317" s="376"/>
      <c r="AK317" s="376"/>
      <c r="AL317" s="376"/>
      <c r="AM317" s="376"/>
      <c r="AN317" s="376"/>
      <c r="AO317" s="376"/>
      <c r="AP317" s="376"/>
      <c r="AQ317" s="376"/>
      <c r="AR317" s="376"/>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c r="CV317" s="376"/>
      <c r="CW317" s="376"/>
      <c r="CX317" s="43"/>
      <c r="CY317" s="43"/>
      <c r="CZ317" s="43"/>
      <c r="DA317" s="43"/>
      <c r="DB317" s="43"/>
      <c r="DC317" s="43"/>
      <c r="DD317" s="43"/>
      <c r="DE317" s="43"/>
      <c r="DF317" s="43"/>
      <c r="DG317" s="368"/>
      <c r="DH317" s="367"/>
      <c r="DI317" s="367"/>
      <c r="DJ317" s="367"/>
      <c r="DK317" s="367"/>
      <c r="DL317" s="367"/>
      <c r="DM317" s="367"/>
      <c r="DN317" s="367"/>
      <c r="DO317" s="367"/>
      <c r="DP317" s="367"/>
      <c r="DQ317" s="367"/>
      <c r="DR317" s="367"/>
      <c r="DS317" s="367"/>
      <c r="DT317" s="367"/>
      <c r="DU317" s="367"/>
      <c r="DV317" s="367"/>
      <c r="DW317" s="367"/>
      <c r="DX317" s="367"/>
      <c r="DY317" s="370"/>
      <c r="DZ317" s="370"/>
      <c r="EA317" s="370"/>
      <c r="EB317" s="370"/>
      <c r="EC317" s="370"/>
      <c r="ED317" s="370"/>
      <c r="EE317" s="370"/>
      <c r="EF317" s="370"/>
      <c r="EG317" s="370"/>
      <c r="EH317" s="370"/>
      <c r="EI317" s="370"/>
      <c r="EJ317" s="370"/>
      <c r="EK317" s="370"/>
      <c r="EL317" s="370"/>
      <c r="EM317" s="370"/>
      <c r="EN317" s="370"/>
      <c r="EO317" s="370"/>
      <c r="EP317" s="370"/>
      <c r="EQ317" s="370"/>
      <c r="ER317" s="370"/>
      <c r="ES317" s="370"/>
      <c r="ET317" s="370"/>
      <c r="EU317" s="370"/>
      <c r="EV317" s="370"/>
      <c r="EW317" s="370"/>
      <c r="EX317" s="370"/>
      <c r="EY317" s="370"/>
      <c r="EZ317" s="10"/>
      <c r="FA317" s="10"/>
      <c r="FB317" s="10"/>
      <c r="FC317" s="10"/>
      <c r="FD317" s="10"/>
      <c r="FE317" s="10"/>
      <c r="FF317" s="10"/>
      <c r="FG317" s="10"/>
      <c r="FH317" s="10"/>
      <c r="FI317" s="10"/>
      <c r="FJ317" s="10"/>
      <c r="FK317" s="26"/>
      <c r="FL317" s="26"/>
      <c r="FM317" s="47"/>
      <c r="FN317" s="47"/>
      <c r="FO317" s="47"/>
      <c r="FP317" s="47"/>
      <c r="FQ317" s="47"/>
      <c r="FR317" s="47"/>
      <c r="FS317" s="49"/>
      <c r="FT317" s="49"/>
      <c r="FU317" s="49"/>
      <c r="FV317" s="49"/>
      <c r="FW317" s="49"/>
      <c r="FX317" s="49"/>
      <c r="FY317" s="47"/>
      <c r="FZ317" s="103"/>
      <c r="GA317" s="49"/>
      <c r="GB317" s="49"/>
      <c r="GC317" s="49"/>
      <c r="GD317" s="49"/>
      <c r="GE317" s="49"/>
      <c r="GF317" s="49"/>
      <c r="GG317" s="48"/>
      <c r="GH317" s="48"/>
      <c r="GI317" s="48"/>
      <c r="GJ317" s="48"/>
      <c r="GK317" s="48"/>
      <c r="GL317" s="48"/>
      <c r="GM317" s="48"/>
      <c r="GN317" s="48"/>
      <c r="GO317" s="48"/>
      <c r="GP317" s="48"/>
      <c r="GQ317" s="48"/>
      <c r="GR317" s="48"/>
      <c r="GS317" s="48"/>
      <c r="GT317" s="48"/>
      <c r="GU317" s="48"/>
      <c r="GV317" s="48"/>
      <c r="GW317" s="48"/>
      <c r="GX317" s="48"/>
      <c r="GY317" s="48"/>
      <c r="GZ317" s="48"/>
      <c r="HA317" s="48"/>
      <c r="HB317" s="48"/>
      <c r="HC317" s="48"/>
      <c r="HD317" s="48"/>
      <c r="HE317" s="48"/>
      <c r="HF317" s="13"/>
      <c r="HG317" s="13"/>
      <c r="HH317" s="13"/>
    </row>
    <row r="318" spans="1:216" ht="16.95" customHeight="1">
      <c r="A318" s="1"/>
      <c r="B318" s="3"/>
      <c r="C318" s="3"/>
      <c r="D318" s="373" t="str">
        <f ca="1">IF(FN262=0,"","Met een beetje nadenken moet je kunnen beantwoorden wanneer wel geldt")</f>
        <v/>
      </c>
      <c r="E318" s="376"/>
      <c r="F318" s="10"/>
      <c r="G318" s="10"/>
      <c r="H318" s="10"/>
      <c r="I318" s="10"/>
      <c r="J318" s="10"/>
      <c r="K318" s="10"/>
      <c r="L318" s="10"/>
      <c r="M318" s="10"/>
      <c r="N318" s="10"/>
      <c r="O318" s="10"/>
      <c r="P318" s="10"/>
      <c r="Q318" s="376"/>
      <c r="R318" s="376"/>
      <c r="S318" s="376"/>
      <c r="T318" s="376"/>
      <c r="U318" s="376"/>
      <c r="V318" s="376"/>
      <c r="W318" s="376"/>
      <c r="X318" s="376"/>
      <c r="Y318" s="376"/>
      <c r="Z318" s="376"/>
      <c r="AA318" s="376"/>
      <c r="AB318" s="376"/>
      <c r="AC318" s="376"/>
      <c r="AD318" s="376"/>
      <c r="AE318" s="376"/>
      <c r="AF318" s="376"/>
      <c r="AG318" s="376"/>
      <c r="AH318" s="376"/>
      <c r="AI318" s="376"/>
      <c r="AJ318" s="376"/>
      <c r="AK318" s="376"/>
      <c r="AL318" s="376"/>
      <c r="AM318" s="376"/>
      <c r="AN318" s="376"/>
      <c r="AO318" s="376"/>
      <c r="AP318" s="376"/>
      <c r="AQ318" s="376"/>
      <c r="AR318" s="376"/>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c r="CV318" s="376"/>
      <c r="CW318" s="376"/>
      <c r="CX318" s="43"/>
      <c r="CY318" s="43"/>
      <c r="CZ318" s="43"/>
      <c r="DA318" s="43"/>
      <c r="DB318" s="43"/>
      <c r="DC318" s="43"/>
      <c r="DD318" s="43"/>
      <c r="DE318" s="43"/>
      <c r="DF318" s="43"/>
      <c r="DG318" s="368"/>
      <c r="DH318" s="367"/>
      <c r="DI318" s="367"/>
      <c r="DJ318" s="367"/>
      <c r="DK318" s="367"/>
      <c r="DL318" s="367"/>
      <c r="DM318" s="367"/>
      <c r="DN318" s="367"/>
      <c r="DO318" s="367"/>
      <c r="DP318" s="367"/>
      <c r="DQ318" s="367"/>
      <c r="DR318" s="367"/>
      <c r="DS318" s="367"/>
      <c r="DT318" s="367"/>
      <c r="DU318" s="367"/>
      <c r="DV318" s="367"/>
      <c r="DW318" s="367"/>
      <c r="DX318" s="367"/>
      <c r="DY318" s="370"/>
      <c r="DZ318" s="370"/>
      <c r="EA318" s="370"/>
      <c r="EB318" s="370"/>
      <c r="EC318" s="370"/>
      <c r="ED318" s="370"/>
      <c r="EE318" s="370"/>
      <c r="EF318" s="370"/>
      <c r="EG318" s="370"/>
      <c r="EH318" s="370"/>
      <c r="EI318" s="370"/>
      <c r="EJ318" s="370"/>
      <c r="EK318" s="370"/>
      <c r="EL318" s="370"/>
      <c r="EM318" s="370"/>
      <c r="EN318" s="370"/>
      <c r="EO318" s="370"/>
      <c r="EP318" s="370"/>
      <c r="EQ318" s="370"/>
      <c r="ER318" s="370"/>
      <c r="ES318" s="370"/>
      <c r="ET318" s="370"/>
      <c r="EU318" s="370"/>
      <c r="EV318" s="370"/>
      <c r="EW318" s="370"/>
      <c r="EX318" s="370"/>
      <c r="EY318" s="370"/>
      <c r="EZ318" s="10"/>
      <c r="FA318" s="10"/>
      <c r="FB318" s="10"/>
      <c r="FC318" s="10"/>
      <c r="FD318" s="10"/>
      <c r="FE318" s="10"/>
      <c r="FF318" s="10"/>
      <c r="FG318" s="10"/>
      <c r="FH318" s="10"/>
      <c r="FI318" s="10"/>
      <c r="FJ318" s="10"/>
      <c r="FK318" s="26"/>
      <c r="FL318" s="26"/>
      <c r="FM318" s="47"/>
      <c r="FN318" s="47"/>
      <c r="FO318" s="47"/>
      <c r="FP318" s="47"/>
      <c r="FQ318" s="47"/>
      <c r="FR318" s="47"/>
      <c r="FS318" s="49"/>
      <c r="FT318" s="49"/>
      <c r="FU318" s="49"/>
      <c r="FV318" s="49"/>
      <c r="FW318" s="49"/>
      <c r="FX318" s="49"/>
      <c r="FY318" s="47"/>
      <c r="FZ318" s="103"/>
      <c r="GA318" s="49"/>
      <c r="GB318" s="49"/>
      <c r="GC318" s="49"/>
      <c r="GD318" s="49"/>
      <c r="GE318" s="49"/>
      <c r="GF318" s="49"/>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13"/>
      <c r="HG318" s="13"/>
      <c r="HH318" s="13"/>
    </row>
    <row r="319" spans="1:216" ht="16.95" customHeight="1">
      <c r="A319" s="1"/>
      <c r="B319" s="3"/>
      <c r="C319" s="3"/>
      <c r="D319" s="373" t="str">
        <f ca="1">IF(FN262=0,"","dat de hoeveelheid waarbij maximale omzet wordt gemaakt, samenvalt met")</f>
        <v/>
      </c>
      <c r="E319" s="376"/>
      <c r="F319" s="10"/>
      <c r="G319" s="10"/>
      <c r="H319" s="10"/>
      <c r="I319" s="10"/>
      <c r="J319" s="10"/>
      <c r="K319" s="10"/>
      <c r="L319" s="10"/>
      <c r="M319" s="10"/>
      <c r="N319" s="10"/>
      <c r="O319" s="10"/>
      <c r="P319" s="10"/>
      <c r="Q319" s="376"/>
      <c r="R319" s="376"/>
      <c r="S319" s="376"/>
      <c r="T319" s="376"/>
      <c r="U319" s="376"/>
      <c r="V319" s="376"/>
      <c r="W319" s="376"/>
      <c r="X319" s="376"/>
      <c r="Y319" s="376"/>
      <c r="Z319" s="376"/>
      <c r="AA319" s="376"/>
      <c r="AB319" s="376"/>
      <c r="AC319" s="376"/>
      <c r="AD319" s="376"/>
      <c r="AE319" s="376"/>
      <c r="AF319" s="376"/>
      <c r="AG319" s="376"/>
      <c r="AH319" s="376"/>
      <c r="AI319" s="376"/>
      <c r="AJ319" s="376"/>
      <c r="AK319" s="376"/>
      <c r="AL319" s="376"/>
      <c r="AM319" s="376"/>
      <c r="AN319" s="376"/>
      <c r="AO319" s="376"/>
      <c r="AP319" s="376"/>
      <c r="AQ319" s="376"/>
      <c r="AR319" s="376"/>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c r="CV319" s="376"/>
      <c r="CW319" s="376"/>
      <c r="CX319" s="43"/>
      <c r="CY319" s="43"/>
      <c r="CZ319" s="43"/>
      <c r="DA319" s="43"/>
      <c r="DB319" s="43"/>
      <c r="DC319" s="43"/>
      <c r="DD319" s="43"/>
      <c r="DE319" s="43"/>
      <c r="DF319" s="43"/>
      <c r="DG319" s="368"/>
      <c r="DH319" s="367"/>
      <c r="DI319" s="367"/>
      <c r="DJ319" s="367"/>
      <c r="DK319" s="367"/>
      <c r="DL319" s="367"/>
      <c r="DM319" s="367"/>
      <c r="DN319" s="367"/>
      <c r="DO319" s="367"/>
      <c r="DP319" s="367"/>
      <c r="DQ319" s="367"/>
      <c r="DR319" s="367"/>
      <c r="DS319" s="367"/>
      <c r="DT319" s="367"/>
      <c r="DU319" s="367"/>
      <c r="DV319" s="367"/>
      <c r="DW319" s="367"/>
      <c r="DX319" s="367"/>
      <c r="DY319" s="370"/>
      <c r="DZ319" s="370"/>
      <c r="EA319" s="370"/>
      <c r="EB319" s="370"/>
      <c r="EC319" s="370"/>
      <c r="ED319" s="370"/>
      <c r="EE319" s="370"/>
      <c r="EF319" s="370"/>
      <c r="EG319" s="370"/>
      <c r="EH319" s="370"/>
      <c r="EI319" s="370"/>
      <c r="EJ319" s="370"/>
      <c r="EK319" s="370"/>
      <c r="EL319" s="370"/>
      <c r="EM319" s="370"/>
      <c r="EN319" s="370"/>
      <c r="EO319" s="370"/>
      <c r="EP319" s="370"/>
      <c r="EQ319" s="370"/>
      <c r="ER319" s="370"/>
      <c r="ES319" s="370"/>
      <c r="ET319" s="370"/>
      <c r="EU319" s="370"/>
      <c r="EV319" s="370"/>
      <c r="EW319" s="370"/>
      <c r="EX319" s="370"/>
      <c r="EY319" s="370"/>
      <c r="EZ319" s="10"/>
      <c r="FA319" s="10"/>
      <c r="FB319" s="10"/>
      <c r="FC319" s="10"/>
      <c r="FD319" s="10"/>
      <c r="FE319" s="10"/>
      <c r="FF319" s="10"/>
      <c r="FG319" s="10"/>
      <c r="FH319" s="10"/>
      <c r="FI319" s="10"/>
      <c r="FJ319" s="10"/>
      <c r="FK319" s="26"/>
      <c r="FL319" s="26"/>
      <c r="FM319" s="47"/>
      <c r="FN319" s="47"/>
      <c r="FO319" s="47"/>
      <c r="FP319" s="47"/>
      <c r="FQ319" s="47"/>
      <c r="FR319" s="47"/>
      <c r="FS319" s="49"/>
      <c r="FT319" s="49"/>
      <c r="FU319" s="49"/>
      <c r="FV319" s="49"/>
      <c r="FW319" s="49"/>
      <c r="FX319" s="49"/>
      <c r="FY319" s="47"/>
      <c r="FZ319" s="103"/>
      <c r="GA319" s="49"/>
      <c r="GB319" s="49"/>
      <c r="GC319" s="49"/>
      <c r="GD319" s="49"/>
      <c r="GE319" s="49"/>
      <c r="GF319" s="49"/>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13"/>
      <c r="HG319" s="13"/>
      <c r="HH319" s="13"/>
    </row>
    <row r="320" spans="1:216" ht="16.95" customHeight="1">
      <c r="A320" s="1"/>
      <c r="B320" s="3"/>
      <c r="C320" s="3"/>
      <c r="D320" s="373" t="str">
        <f ca="1">IF(FN262=0,"","de hoeveelheid waarbij maximale winst wordt gemaakt.")</f>
        <v/>
      </c>
      <c r="E320" s="376"/>
      <c r="F320" s="10"/>
      <c r="G320" s="10"/>
      <c r="H320" s="10"/>
      <c r="I320" s="10"/>
      <c r="J320" s="10"/>
      <c r="K320" s="10"/>
      <c r="L320" s="10"/>
      <c r="M320" s="10"/>
      <c r="N320" s="10"/>
      <c r="O320" s="10"/>
      <c r="P320" s="10"/>
      <c r="Q320" s="376"/>
      <c r="R320" s="376"/>
      <c r="S320" s="376"/>
      <c r="T320" s="376"/>
      <c r="U320" s="376"/>
      <c r="V320" s="376"/>
      <c r="W320" s="376"/>
      <c r="X320" s="376"/>
      <c r="Y320" s="376"/>
      <c r="Z320" s="376"/>
      <c r="AA320" s="376"/>
      <c r="AB320" s="376"/>
      <c r="AC320" s="376"/>
      <c r="AD320" s="376"/>
      <c r="AE320" s="376"/>
      <c r="AF320" s="376"/>
      <c r="AG320" s="376"/>
      <c r="AH320" s="376"/>
      <c r="AI320" s="376"/>
      <c r="AJ320" s="376"/>
      <c r="AK320" s="376"/>
      <c r="AL320" s="376"/>
      <c r="AM320" s="376"/>
      <c r="AN320" s="376"/>
      <c r="AO320" s="376"/>
      <c r="AP320" s="376"/>
      <c r="AQ320" s="376"/>
      <c r="AR320" s="376"/>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c r="CV320" s="376"/>
      <c r="CW320" s="376"/>
      <c r="CX320" s="43"/>
      <c r="CY320" s="43"/>
      <c r="CZ320" s="43"/>
      <c r="DA320" s="43"/>
      <c r="DB320" s="43"/>
      <c r="DC320" s="43"/>
      <c r="DD320" s="43"/>
      <c r="DE320" s="43"/>
      <c r="DF320" s="43"/>
      <c r="DG320" s="368"/>
      <c r="DH320" s="367"/>
      <c r="DI320" s="367"/>
      <c r="DJ320" s="367"/>
      <c r="DK320" s="367"/>
      <c r="DL320" s="367"/>
      <c r="DM320" s="367"/>
      <c r="DN320" s="367"/>
      <c r="DO320" s="367"/>
      <c r="DP320" s="367"/>
      <c r="DQ320" s="367"/>
      <c r="DR320" s="367"/>
      <c r="DS320" s="367"/>
      <c r="DT320" s="367"/>
      <c r="DU320" s="367"/>
      <c r="DV320" s="367"/>
      <c r="DW320" s="367"/>
      <c r="DX320" s="367"/>
      <c r="DY320" s="370"/>
      <c r="DZ320" s="370"/>
      <c r="EA320" s="370"/>
      <c r="EB320" s="370"/>
      <c r="EC320" s="370"/>
      <c r="ED320" s="370"/>
      <c r="EE320" s="370"/>
      <c r="EF320" s="370"/>
      <c r="EG320" s="370"/>
      <c r="EH320" s="370"/>
      <c r="EI320" s="370"/>
      <c r="EJ320" s="370"/>
      <c r="EK320" s="370"/>
      <c r="EL320" s="370"/>
      <c r="EM320" s="370"/>
      <c r="EN320" s="370"/>
      <c r="EO320" s="370"/>
      <c r="EP320" s="370"/>
      <c r="EQ320" s="370"/>
      <c r="ER320" s="370"/>
      <c r="ES320" s="370"/>
      <c r="ET320" s="370"/>
      <c r="EU320" s="370"/>
      <c r="EV320" s="370"/>
      <c r="EW320" s="370"/>
      <c r="EX320" s="370"/>
      <c r="EY320" s="370"/>
      <c r="EZ320" s="10"/>
      <c r="FA320" s="10"/>
      <c r="FB320" s="10"/>
      <c r="FC320" s="10"/>
      <c r="FD320" s="10"/>
      <c r="FE320" s="10"/>
      <c r="FF320" s="10"/>
      <c r="FG320" s="10"/>
      <c r="FH320" s="10"/>
      <c r="FI320" s="10"/>
      <c r="FJ320" s="10"/>
      <c r="FK320" s="26"/>
      <c r="FL320" s="26"/>
      <c r="FM320" s="47"/>
      <c r="FN320" s="47"/>
      <c r="FO320" s="47"/>
      <c r="FP320" s="47"/>
      <c r="FQ320" s="47"/>
      <c r="FR320" s="47"/>
      <c r="FS320" s="49"/>
      <c r="FT320" s="49"/>
      <c r="FU320" s="49"/>
      <c r="FV320" s="49"/>
      <c r="FW320" s="49"/>
      <c r="FX320" s="49"/>
      <c r="FY320" s="47"/>
      <c r="FZ320" s="103"/>
      <c r="GA320" s="49"/>
      <c r="GB320" s="49"/>
      <c r="GC320" s="49"/>
      <c r="GD320" s="49"/>
      <c r="GE320" s="49"/>
      <c r="GF320" s="49"/>
      <c r="GG320" s="48"/>
      <c r="GH320" s="48"/>
      <c r="GI320" s="48"/>
      <c r="GJ320" s="48"/>
      <c r="GK320" s="48"/>
      <c r="GL320" s="48"/>
      <c r="GM320" s="48"/>
      <c r="GN320" s="48"/>
      <c r="GO320" s="48"/>
      <c r="GP320" s="48"/>
      <c r="GQ320" s="48"/>
      <c r="GR320" s="48"/>
      <c r="GS320" s="48"/>
      <c r="GT320" s="48"/>
      <c r="GU320" s="48"/>
      <c r="GV320" s="48"/>
      <c r="GW320" s="48"/>
      <c r="GX320" s="48"/>
      <c r="GY320" s="48"/>
      <c r="GZ320" s="48"/>
      <c r="HA320" s="48"/>
      <c r="HB320" s="48"/>
      <c r="HC320" s="48"/>
      <c r="HD320" s="48"/>
      <c r="HE320" s="48"/>
      <c r="HF320" s="13"/>
      <c r="HG320" s="13"/>
      <c r="HH320" s="13"/>
    </row>
    <row r="321" spans="1:216" ht="13.5" customHeight="1">
      <c r="A321" s="1"/>
      <c r="B321" s="3"/>
      <c r="C321" s="3"/>
      <c r="D321" s="43"/>
      <c r="E321" s="79"/>
      <c r="F321" s="79"/>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79"/>
      <c r="CX321" s="79"/>
      <c r="CY321" s="79"/>
      <c r="CZ321" s="79"/>
      <c r="DA321" s="79"/>
      <c r="DB321" s="79"/>
      <c r="DC321" s="79"/>
      <c r="DD321" s="79"/>
      <c r="DE321" s="79"/>
      <c r="DF321" s="79"/>
      <c r="DG321" s="79"/>
      <c r="DH321" s="79"/>
      <c r="DI321" s="79"/>
      <c r="DJ321" s="79"/>
      <c r="DK321" s="79"/>
      <c r="DL321" s="79"/>
      <c r="DM321" s="79"/>
      <c r="DN321" s="79"/>
      <c r="DO321" s="79"/>
      <c r="DP321" s="79"/>
      <c r="DQ321" s="79"/>
      <c r="DR321" s="79"/>
      <c r="DS321" s="79"/>
      <c r="DT321" s="79"/>
      <c r="DU321" s="79"/>
      <c r="DV321" s="79"/>
      <c r="DW321" s="79"/>
      <c r="DX321" s="79"/>
      <c r="DY321" s="79"/>
      <c r="DZ321" s="79"/>
      <c r="EA321" s="79"/>
      <c r="EB321" s="79"/>
      <c r="EC321" s="79"/>
      <c r="ED321" s="79"/>
      <c r="EE321" s="79"/>
      <c r="EF321" s="79"/>
      <c r="EG321" s="79"/>
      <c r="EH321" s="79"/>
      <c r="EI321" s="79"/>
      <c r="EJ321" s="79"/>
      <c r="EK321" s="79"/>
      <c r="EL321" s="79"/>
      <c r="EM321" s="79"/>
      <c r="EN321" s="79"/>
      <c r="EO321" s="79"/>
      <c r="EP321" s="79"/>
      <c r="EQ321" s="79"/>
      <c r="ER321" s="79"/>
      <c r="ES321" s="79"/>
      <c r="ET321" s="79"/>
      <c r="EU321" s="79"/>
      <c r="EV321" s="79"/>
      <c r="EW321" s="79"/>
      <c r="EX321" s="79"/>
      <c r="EY321" s="79"/>
      <c r="EZ321" s="79"/>
      <c r="FA321" s="79"/>
      <c r="FB321" s="79"/>
      <c r="FC321" s="79"/>
      <c r="FD321" s="79"/>
      <c r="FE321" s="79"/>
      <c r="FF321" s="79"/>
      <c r="FG321" s="79"/>
      <c r="FH321" s="79"/>
      <c r="FI321" s="79"/>
      <c r="FJ321" s="79"/>
      <c r="FK321" s="79"/>
      <c r="FL321" s="79"/>
      <c r="FM321" s="470"/>
      <c r="FN321" s="79"/>
      <c r="FO321" s="79"/>
      <c r="FP321" s="79"/>
      <c r="FQ321" s="79"/>
      <c r="FR321" s="79"/>
      <c r="FS321" s="79"/>
      <c r="FT321" s="79"/>
      <c r="FU321" s="49"/>
      <c r="FV321" s="49"/>
      <c r="FW321" s="49"/>
      <c r="FX321" s="49"/>
      <c r="FY321" s="47"/>
      <c r="FZ321" s="47"/>
      <c r="GA321" s="49"/>
      <c r="GB321" s="49"/>
      <c r="GC321" s="49">
        <f>GC289</f>
        <v>0</v>
      </c>
      <c r="GD321" s="49"/>
      <c r="GE321" s="49"/>
      <c r="GF321" s="49"/>
      <c r="GG321" s="48"/>
      <c r="GH321" s="48"/>
      <c r="GI321" s="48"/>
      <c r="GJ321" s="48"/>
      <c r="GK321" s="48"/>
      <c r="GL321" s="48"/>
      <c r="GM321" s="48"/>
      <c r="GN321" s="94"/>
      <c r="GO321" s="48"/>
      <c r="GP321" s="48"/>
      <c r="GQ321" s="48"/>
      <c r="GR321" s="48"/>
      <c r="GS321" s="48"/>
      <c r="GT321" s="48"/>
      <c r="GU321" s="48"/>
      <c r="GV321" s="48"/>
      <c r="GW321" s="48"/>
      <c r="GX321" s="48"/>
      <c r="GY321" s="48"/>
      <c r="GZ321" s="48"/>
      <c r="HA321" s="48"/>
      <c r="HB321" s="48"/>
      <c r="HC321" s="48"/>
      <c r="HD321" s="48"/>
      <c r="HE321" s="48"/>
      <c r="HF321" s="13"/>
      <c r="HG321" s="13"/>
      <c r="HH321" s="13"/>
    </row>
    <row r="322" spans="1:216" ht="3.75" customHeight="1">
      <c r="A322" s="1"/>
      <c r="B322" s="3"/>
      <c r="C322" s="3"/>
      <c r="D322" s="43"/>
      <c r="E322" s="376"/>
      <c r="F322" s="376"/>
      <c r="G322" s="376"/>
      <c r="H322" s="376"/>
      <c r="I322" s="538" t="str">
        <f ca="1">IF(FN262=0,"",".")</f>
        <v/>
      </c>
      <c r="J322" s="554"/>
      <c r="K322" s="554"/>
      <c r="L322" s="554"/>
      <c r="M322" s="554"/>
      <c r="N322" s="554"/>
      <c r="O322" s="554"/>
      <c r="P322" s="554"/>
      <c r="Q322" s="554"/>
      <c r="R322" s="554"/>
      <c r="S322" s="554"/>
      <c r="T322" s="554"/>
      <c r="U322" s="554"/>
      <c r="V322" s="554"/>
      <c r="W322" s="554"/>
      <c r="X322" s="554"/>
      <c r="Y322" s="554"/>
      <c r="Z322" s="554"/>
      <c r="AA322" s="554"/>
      <c r="AB322" s="554"/>
      <c r="AC322" s="554"/>
      <c r="AD322" s="554"/>
      <c r="AE322" s="554"/>
      <c r="AF322" s="554"/>
      <c r="AG322" s="554"/>
      <c r="AH322" s="554"/>
      <c r="AI322" s="554"/>
      <c r="AJ322" s="554"/>
      <c r="AK322" s="554"/>
      <c r="AL322" s="554"/>
      <c r="AM322" s="554"/>
      <c r="AN322" s="554"/>
      <c r="AO322" s="554"/>
      <c r="AP322" s="554"/>
      <c r="AQ322" s="554"/>
      <c r="AR322" s="554"/>
      <c r="AS322" s="554"/>
      <c r="AT322" s="554"/>
      <c r="AU322" s="554"/>
      <c r="AV322" s="554"/>
      <c r="AW322" s="554"/>
      <c r="AX322" s="554"/>
      <c r="AY322" s="554"/>
      <c r="AZ322" s="554"/>
      <c r="BA322" s="554"/>
      <c r="BB322" s="554"/>
      <c r="BC322" s="554"/>
      <c r="BD322" s="554"/>
      <c r="BE322" s="554"/>
      <c r="BF322" s="554"/>
      <c r="BG322" s="554"/>
      <c r="BH322" s="554"/>
      <c r="BI322" s="554"/>
      <c r="BJ322" s="554"/>
      <c r="BK322" s="554"/>
      <c r="BL322" s="554"/>
      <c r="BM322" s="554"/>
      <c r="BN322" s="367"/>
      <c r="BO322" s="367"/>
      <c r="BP322" s="367"/>
      <c r="BQ322" s="351"/>
      <c r="BR322" s="351"/>
      <c r="BS322" s="351"/>
      <c r="BT322" s="351"/>
      <c r="BU322" s="367"/>
      <c r="BV322" s="367"/>
      <c r="BW322" s="367"/>
      <c r="BX322" s="367"/>
      <c r="BY322" s="367"/>
      <c r="BZ322" s="367"/>
      <c r="CA322" s="367"/>
      <c r="CB322" s="367"/>
      <c r="CC322" s="367"/>
      <c r="CD322" s="367"/>
      <c r="CE322" s="367"/>
      <c r="CF322" s="372"/>
      <c r="CG322" s="372"/>
      <c r="CH322" s="376"/>
      <c r="CI322" s="376"/>
      <c r="CJ322" s="376"/>
      <c r="CK322" s="376"/>
      <c r="CL322" s="376"/>
      <c r="CM322" s="351"/>
      <c r="CN322" s="351"/>
      <c r="CO322" s="351"/>
      <c r="CP322" s="351"/>
      <c r="CQ322" s="351"/>
      <c r="CR322" s="351"/>
      <c r="CS322" s="351"/>
      <c r="CT322" s="351"/>
      <c r="CU322" s="351"/>
      <c r="CV322" s="351"/>
      <c r="DU322" s="376"/>
      <c r="DV322" s="376"/>
      <c r="DW322" s="376"/>
      <c r="DX322" s="376"/>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26"/>
      <c r="FL322" s="26"/>
      <c r="FM322" s="49"/>
      <c r="FN322" s="49"/>
      <c r="FO322" s="49"/>
      <c r="FP322" s="49"/>
      <c r="FQ322" s="49"/>
      <c r="FR322" s="49"/>
      <c r="FS322" s="49"/>
      <c r="FT322" s="49"/>
      <c r="FU322" s="47"/>
      <c r="FV322" s="47"/>
      <c r="FW322" s="47"/>
      <c r="FX322" s="47"/>
      <c r="FY322" s="47"/>
      <c r="FZ322" s="47"/>
      <c r="GA322" s="49"/>
      <c r="GB322" s="49"/>
      <c r="GC322" s="49">
        <f>GC290</f>
        <v>0</v>
      </c>
      <c r="GD322" s="49"/>
      <c r="GE322" s="49"/>
      <c r="GF322" s="49"/>
      <c r="GG322" s="48"/>
      <c r="GH322" s="48"/>
      <c r="GI322" s="48"/>
      <c r="GJ322" s="48"/>
      <c r="GK322" s="48"/>
      <c r="GL322" s="48"/>
      <c r="GM322" s="48"/>
      <c r="GN322" s="94"/>
      <c r="GO322" s="48"/>
      <c r="GP322" s="48"/>
      <c r="GQ322" s="48"/>
      <c r="GR322" s="48"/>
      <c r="GS322" s="48"/>
      <c r="GT322" s="48"/>
      <c r="GU322" s="48"/>
      <c r="GV322" s="48"/>
      <c r="GW322" s="48"/>
      <c r="GX322" s="48"/>
      <c r="GY322" s="48"/>
      <c r="GZ322" s="48"/>
      <c r="HA322" s="48"/>
      <c r="HB322" s="48"/>
      <c r="HC322" s="48"/>
      <c r="HD322" s="48"/>
      <c r="HE322" s="48"/>
      <c r="HF322" s="13"/>
      <c r="HG322" s="13"/>
      <c r="HH322" s="13"/>
    </row>
    <row r="323" spans="1:216" ht="16.5" customHeight="1">
      <c r="A323" s="1"/>
      <c r="B323" s="3"/>
      <c r="C323" s="3"/>
      <c r="D323" s="43"/>
      <c r="E323" s="376"/>
      <c r="F323" s="376"/>
      <c r="G323" s="376"/>
      <c r="H323" s="376"/>
      <c r="I323" s="368" t="str">
        <f ca="1">IF(FN262=0,"",".")</f>
        <v/>
      </c>
      <c r="J323" s="628"/>
      <c r="K323" s="629"/>
      <c r="L323" s="629"/>
      <c r="M323" s="629"/>
      <c r="N323" s="629"/>
      <c r="O323" s="629"/>
      <c r="P323" s="629"/>
      <c r="Q323" s="629"/>
      <c r="R323" s="629"/>
      <c r="S323" s="629"/>
      <c r="T323" s="629"/>
      <c r="U323" s="629"/>
      <c r="V323" s="629"/>
      <c r="W323" s="629"/>
      <c r="X323" s="629"/>
      <c r="Y323" s="629"/>
      <c r="Z323" s="629"/>
      <c r="AA323" s="629"/>
      <c r="AB323" s="629"/>
      <c r="AC323" s="629"/>
      <c r="AD323" s="629"/>
      <c r="AE323" s="629"/>
      <c r="AF323" s="629"/>
      <c r="AG323" s="629"/>
      <c r="AH323" s="629"/>
      <c r="AI323" s="629"/>
      <c r="AJ323" s="629"/>
      <c r="AK323" s="629"/>
      <c r="AL323" s="629"/>
      <c r="AM323" s="629"/>
      <c r="AN323" s="629"/>
      <c r="AO323" s="629"/>
      <c r="AP323" s="629"/>
      <c r="AQ323" s="629"/>
      <c r="AR323" s="629"/>
      <c r="AS323" s="629"/>
      <c r="AT323" s="629"/>
      <c r="AU323" s="629"/>
      <c r="AV323" s="629"/>
      <c r="AW323" s="629"/>
      <c r="AX323" s="629"/>
      <c r="AY323" s="629"/>
      <c r="AZ323" s="629"/>
      <c r="BA323" s="629"/>
      <c r="BB323" s="629"/>
      <c r="BC323" s="629"/>
      <c r="BD323" s="629"/>
      <c r="BE323" s="629"/>
      <c r="BF323" s="629"/>
      <c r="BG323" s="629"/>
      <c r="BH323" s="629"/>
      <c r="BI323" s="629"/>
      <c r="BJ323" s="629"/>
      <c r="BK323" s="629"/>
      <c r="BL323" s="629"/>
      <c r="BM323" s="226" t="str">
        <f ca="1">IF(FN262=0,"",".")</f>
        <v/>
      </c>
      <c r="BN323" s="376"/>
      <c r="BO323" s="118" t="str">
        <f ca="1">IF(FN262=0,"",IF(J323="","",IF(FO323=1,"Goed! Dus alleen als er geen of alleen constante kosten zijn, geldt q max. omzet = q  max. winst.","Fout! Denk eens goed na!")))</f>
        <v/>
      </c>
      <c r="BP323" s="376"/>
      <c r="BQ323" s="351"/>
      <c r="BR323" s="351"/>
      <c r="BS323" s="351"/>
      <c r="BT323" s="351"/>
      <c r="BU323" s="376"/>
      <c r="BV323" s="382"/>
      <c r="BW323" s="382"/>
      <c r="BX323" s="382"/>
      <c r="BY323" s="382"/>
      <c r="BZ323" s="382"/>
      <c r="CA323" s="382"/>
      <c r="CB323" s="382"/>
      <c r="CC323" s="382"/>
      <c r="CD323" s="382"/>
      <c r="CE323" s="383"/>
      <c r="CF323" s="383"/>
      <c r="CL323" s="376"/>
      <c r="CM323" s="351"/>
      <c r="CN323" s="351"/>
      <c r="CO323" s="351"/>
      <c r="CP323" s="351"/>
      <c r="CQ323" s="351"/>
      <c r="CR323" s="351"/>
      <c r="CS323" s="351"/>
      <c r="CT323" s="351"/>
      <c r="CU323" s="351"/>
      <c r="CV323" s="351"/>
      <c r="DU323" s="376"/>
      <c r="DV323" s="376"/>
      <c r="DW323" s="376"/>
      <c r="DX323" s="376"/>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26"/>
      <c r="FL323" s="26"/>
      <c r="FM323" s="48"/>
      <c r="FN323" s="48" t="str">
        <f ca="1">IF(FO1=0,"",FS323)</f>
        <v>alleen als er geen variabele kosten zijn</v>
      </c>
      <c r="FO323" s="48">
        <f ca="1">IF(programma!B1="X",1,IF(FN262=0,0,IF(J323=FS323,1,0)))</f>
        <v>0</v>
      </c>
      <c r="FP323" s="49"/>
      <c r="FQ323" s="135" t="s">
        <v>209</v>
      </c>
      <c r="FR323" s="135" t="s">
        <v>210</v>
      </c>
      <c r="FS323" s="135" t="s">
        <v>211</v>
      </c>
      <c r="FT323" s="135"/>
      <c r="FU323" s="47"/>
      <c r="FV323" s="47"/>
      <c r="FW323" s="47"/>
      <c r="FX323" s="47"/>
      <c r="FY323" s="47"/>
      <c r="FZ323" s="47"/>
      <c r="GA323" s="49"/>
      <c r="GB323" s="49"/>
      <c r="GC323" s="49">
        <f>GC291</f>
        <v>0</v>
      </c>
      <c r="GD323" s="49"/>
      <c r="GE323" s="49"/>
      <c r="GF323" s="49"/>
      <c r="GG323" s="48"/>
      <c r="GH323" s="48"/>
      <c r="GI323" s="48"/>
      <c r="GJ323" s="48"/>
      <c r="GK323" s="48"/>
      <c r="GL323" s="48"/>
      <c r="GM323" s="48"/>
      <c r="GN323" s="94"/>
      <c r="GO323" s="48"/>
      <c r="GP323" s="48"/>
      <c r="GQ323" s="48"/>
      <c r="GR323" s="48"/>
      <c r="GS323" s="48"/>
      <c r="GT323" s="48"/>
      <c r="GU323" s="48"/>
      <c r="GV323" s="48"/>
      <c r="GW323" s="48"/>
      <c r="GX323" s="48"/>
      <c r="GY323" s="48"/>
      <c r="GZ323" s="48"/>
      <c r="HA323" s="48"/>
      <c r="HB323" s="48"/>
      <c r="HC323" s="48"/>
      <c r="HD323" s="48"/>
      <c r="HE323" s="48"/>
      <c r="HF323" s="13"/>
      <c r="HG323" s="13"/>
      <c r="HH323" s="13"/>
    </row>
    <row r="324" spans="1:216" ht="3.75" customHeight="1">
      <c r="A324" s="1"/>
      <c r="B324" s="3"/>
      <c r="C324" s="3"/>
      <c r="D324" s="373"/>
      <c r="E324" s="376"/>
      <c r="F324" s="376"/>
      <c r="G324" s="376"/>
      <c r="H324" s="376"/>
      <c r="I324" s="538" t="str">
        <f ca="1">IF(FN262=0,"",".")</f>
        <v/>
      </c>
      <c r="J324" s="554"/>
      <c r="K324" s="554"/>
      <c r="L324" s="554"/>
      <c r="M324" s="554"/>
      <c r="N324" s="554"/>
      <c r="O324" s="554"/>
      <c r="P324" s="554"/>
      <c r="Q324" s="554"/>
      <c r="R324" s="554"/>
      <c r="S324" s="554"/>
      <c r="T324" s="554"/>
      <c r="U324" s="554"/>
      <c r="V324" s="554"/>
      <c r="W324" s="554"/>
      <c r="X324" s="554"/>
      <c r="Y324" s="554"/>
      <c r="Z324" s="554"/>
      <c r="AA324" s="554"/>
      <c r="AB324" s="554"/>
      <c r="AC324" s="554"/>
      <c r="AD324" s="554"/>
      <c r="AE324" s="554"/>
      <c r="AF324" s="554"/>
      <c r="AG324" s="554"/>
      <c r="AH324" s="554"/>
      <c r="AI324" s="554"/>
      <c r="AJ324" s="554"/>
      <c r="AK324" s="554"/>
      <c r="AL324" s="554"/>
      <c r="AM324" s="554"/>
      <c r="AN324" s="554"/>
      <c r="AO324" s="554"/>
      <c r="AP324" s="554"/>
      <c r="AQ324" s="554"/>
      <c r="AR324" s="554"/>
      <c r="AS324" s="554"/>
      <c r="AT324" s="554"/>
      <c r="AU324" s="554"/>
      <c r="AV324" s="554"/>
      <c r="AW324" s="554"/>
      <c r="AX324" s="554"/>
      <c r="AY324" s="554"/>
      <c r="AZ324" s="554"/>
      <c r="BA324" s="554"/>
      <c r="BB324" s="554"/>
      <c r="BC324" s="554"/>
      <c r="BD324" s="554"/>
      <c r="BE324" s="554"/>
      <c r="BF324" s="554"/>
      <c r="BG324" s="554"/>
      <c r="BH324" s="554"/>
      <c r="BI324" s="554"/>
      <c r="BJ324" s="554"/>
      <c r="BK324" s="554"/>
      <c r="BL324" s="554"/>
      <c r="BM324" s="554"/>
      <c r="BN324" s="368"/>
      <c r="BO324" s="372"/>
      <c r="BP324" s="372"/>
      <c r="BQ324" s="351"/>
      <c r="BR324" s="351"/>
      <c r="BS324" s="351"/>
      <c r="BT324" s="351"/>
      <c r="BU324" s="372"/>
      <c r="BV324" s="372"/>
      <c r="BW324" s="372"/>
      <c r="BX324" s="372"/>
      <c r="BY324" s="372"/>
      <c r="BZ324" s="372"/>
      <c r="CA324" s="372"/>
      <c r="CB324" s="315"/>
      <c r="CC324" s="315"/>
      <c r="CD324" s="315"/>
      <c r="CE324" s="315"/>
      <c r="CF324" s="315"/>
      <c r="CG324" s="315"/>
      <c r="CH324" s="376"/>
      <c r="CI324" s="376"/>
      <c r="CJ324" s="376"/>
      <c r="CK324" s="376"/>
      <c r="CL324" s="376"/>
      <c r="CM324" s="351"/>
      <c r="CN324" s="351"/>
      <c r="CO324" s="351"/>
      <c r="CP324" s="351"/>
      <c r="CQ324" s="351"/>
      <c r="CR324" s="351"/>
      <c r="CS324" s="351"/>
      <c r="CT324" s="351"/>
      <c r="CU324" s="351"/>
      <c r="CV324" s="351"/>
      <c r="DU324" s="376"/>
      <c r="DV324" s="376"/>
      <c r="DW324" s="376"/>
      <c r="DX324" s="376"/>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49"/>
      <c r="FN324" s="49"/>
      <c r="FO324" s="49"/>
      <c r="FP324" s="49"/>
      <c r="FQ324" s="49"/>
      <c r="FR324" s="49"/>
      <c r="FS324" s="49"/>
      <c r="FT324" s="49"/>
      <c r="FU324" s="47"/>
      <c r="FV324" s="47"/>
      <c r="FW324" s="47"/>
      <c r="FX324" s="47"/>
      <c r="FY324" s="47"/>
      <c r="FZ324" s="47"/>
      <c r="GA324" s="49"/>
      <c r="GB324" s="49"/>
      <c r="GC324" s="49">
        <f>GC293</f>
        <v>0</v>
      </c>
      <c r="GD324" s="49"/>
      <c r="GE324" s="49"/>
      <c r="GF324" s="49"/>
      <c r="GG324" s="48"/>
      <c r="GH324" s="48"/>
      <c r="GI324" s="48"/>
      <c r="GJ324" s="48"/>
      <c r="GK324" s="48"/>
      <c r="GL324" s="48"/>
      <c r="GM324" s="48"/>
      <c r="GN324" s="94"/>
      <c r="GO324" s="48"/>
      <c r="GP324" s="48"/>
      <c r="GQ324" s="48"/>
      <c r="GR324" s="48"/>
      <c r="GS324" s="48"/>
      <c r="GT324" s="48"/>
      <c r="GU324" s="48"/>
      <c r="GV324" s="48"/>
      <c r="GW324" s="48"/>
      <c r="GX324" s="48"/>
      <c r="GY324" s="48"/>
      <c r="GZ324" s="48"/>
      <c r="HA324" s="48"/>
      <c r="HB324" s="48"/>
      <c r="HC324" s="48"/>
      <c r="HD324" s="48"/>
      <c r="HE324" s="48"/>
      <c r="HF324" s="13"/>
      <c r="HG324" s="13"/>
      <c r="HH324" s="13"/>
    </row>
    <row r="325" spans="1:216" ht="16.5" customHeight="1">
      <c r="A325" s="1"/>
      <c r="B325" s="3"/>
      <c r="C325" s="3"/>
      <c r="D325" s="373"/>
      <c r="E325" s="376"/>
      <c r="F325" s="10"/>
      <c r="G325" s="376"/>
      <c r="H325" s="376"/>
      <c r="I325" s="351"/>
      <c r="J325" s="351"/>
      <c r="K325" s="351"/>
      <c r="L325" s="351"/>
      <c r="M325" s="351"/>
      <c r="N325" s="351"/>
      <c r="O325" s="351"/>
      <c r="P325" s="351"/>
      <c r="Q325" s="351"/>
      <c r="R325" s="351"/>
      <c r="S325" s="351"/>
      <c r="T325" s="351"/>
      <c r="U325" s="351"/>
      <c r="V325" s="351"/>
      <c r="W325" s="351"/>
      <c r="X325" s="351"/>
      <c r="Y325" s="351"/>
      <c r="Z325" s="351"/>
      <c r="AA325" s="351"/>
      <c r="AB325" s="351"/>
      <c r="AC325" s="351"/>
      <c r="AD325" s="351"/>
      <c r="AE325" s="351"/>
      <c r="AF325" s="351"/>
      <c r="AG325" s="351"/>
      <c r="AH325" s="351"/>
      <c r="AI325" s="351"/>
      <c r="AJ325" s="351"/>
      <c r="AK325" s="351"/>
      <c r="AL325" s="351"/>
      <c r="AM325" s="351"/>
      <c r="AN325" s="351"/>
      <c r="AO325" s="351"/>
      <c r="AP325" s="351"/>
      <c r="AQ325" s="351"/>
      <c r="AR325" s="351"/>
      <c r="AS325" s="351"/>
      <c r="AT325" s="351"/>
      <c r="AU325" s="351"/>
      <c r="AV325" s="351"/>
      <c r="AW325" s="351"/>
      <c r="AX325" s="351"/>
      <c r="AY325" s="351"/>
      <c r="AZ325" s="351"/>
      <c r="BA325" s="351"/>
      <c r="BB325" s="351"/>
      <c r="BC325" s="351"/>
      <c r="BD325" s="351"/>
      <c r="BE325" s="351"/>
      <c r="BF325" s="351"/>
      <c r="BG325" s="351"/>
      <c r="BH325" s="351"/>
      <c r="BI325" s="351"/>
      <c r="BJ325" s="351"/>
      <c r="BK325" s="351"/>
      <c r="BL325" s="351"/>
      <c r="BM325" s="351"/>
      <c r="BN325" s="351"/>
      <c r="BO325" s="351"/>
      <c r="BP325" s="351"/>
      <c r="BQ325" s="351"/>
      <c r="BR325" s="351"/>
      <c r="BS325" s="351"/>
      <c r="BT325" s="351"/>
      <c r="BU325" s="351"/>
      <c r="BV325" s="351"/>
      <c r="BW325" s="351"/>
      <c r="BX325" s="351"/>
      <c r="BY325" s="351"/>
      <c r="BZ325" s="351"/>
      <c r="CA325" s="351"/>
      <c r="CB325" s="351"/>
      <c r="CC325" s="351"/>
      <c r="CD325" s="351"/>
      <c r="CE325" s="351"/>
      <c r="CF325" s="351"/>
      <c r="CG325" s="351"/>
      <c r="CH325" s="351"/>
      <c r="CI325" s="351"/>
      <c r="CJ325" s="351"/>
      <c r="CK325" s="351"/>
      <c r="CL325" s="351"/>
      <c r="CM325" s="376"/>
      <c r="CN325" s="376"/>
      <c r="CO325" s="376"/>
      <c r="CP325" s="376"/>
      <c r="CQ325" s="376"/>
      <c r="CR325" s="376"/>
      <c r="CS325" s="376"/>
      <c r="CT325" s="376"/>
      <c r="CU325" s="376"/>
      <c r="CV325" s="376"/>
      <c r="CW325" s="376"/>
      <c r="CX325" s="43"/>
      <c r="CY325" s="43"/>
      <c r="CZ325" s="43"/>
      <c r="DA325" s="43"/>
      <c r="DB325" s="43"/>
      <c r="DC325" s="43"/>
      <c r="DD325" s="43"/>
      <c r="DE325" s="43"/>
      <c r="DF325" s="43"/>
      <c r="DG325" s="368"/>
      <c r="DH325" s="367"/>
      <c r="DI325" s="367"/>
      <c r="DJ325" s="367"/>
      <c r="DK325" s="367"/>
      <c r="DL325" s="367"/>
      <c r="DM325" s="367"/>
      <c r="DN325" s="367"/>
      <c r="DO325" s="367"/>
      <c r="DP325" s="367"/>
      <c r="DQ325" s="367"/>
      <c r="DR325" s="367"/>
      <c r="DS325" s="367"/>
      <c r="DT325" s="367"/>
      <c r="DU325" s="367"/>
      <c r="DV325" s="367"/>
      <c r="DW325" s="367"/>
      <c r="DX325" s="367"/>
      <c r="DY325" s="370"/>
      <c r="DZ325" s="370"/>
      <c r="EA325" s="370"/>
      <c r="EB325" s="370"/>
      <c r="EC325" s="370"/>
      <c r="ED325" s="370"/>
      <c r="EE325" s="370"/>
      <c r="EF325" s="370"/>
      <c r="EG325" s="370"/>
      <c r="EH325" s="370"/>
      <c r="EI325" s="370"/>
      <c r="EJ325" s="370"/>
      <c r="EK325" s="370"/>
      <c r="EL325" s="370"/>
      <c r="EM325" s="370"/>
      <c r="EN325" s="370"/>
      <c r="EO325" s="370"/>
      <c r="EP325" s="370"/>
      <c r="EQ325" s="370"/>
      <c r="ER325" s="370"/>
      <c r="ES325" s="370"/>
      <c r="ET325" s="370"/>
      <c r="EU325" s="370"/>
      <c r="EV325" s="370"/>
      <c r="EW325" s="370"/>
      <c r="EX325" s="370"/>
      <c r="EY325" s="370"/>
      <c r="EZ325" s="10"/>
      <c r="FA325" s="10"/>
      <c r="FB325" s="10"/>
      <c r="FC325" s="10"/>
      <c r="FD325" s="10"/>
      <c r="FE325" s="10"/>
      <c r="FF325" s="10"/>
      <c r="FG325" s="10"/>
      <c r="FH325" s="10"/>
      <c r="FI325" s="10"/>
      <c r="FJ325" s="10"/>
      <c r="FK325" s="26"/>
      <c r="FL325" s="26"/>
      <c r="FM325" s="47"/>
      <c r="FN325" s="47"/>
      <c r="FO325" s="47"/>
      <c r="FP325" s="47"/>
      <c r="FQ325" s="47"/>
      <c r="FR325" s="47"/>
      <c r="FS325" s="49"/>
      <c r="FT325" s="49"/>
      <c r="FU325" s="49"/>
      <c r="FV325" s="49"/>
      <c r="FW325" s="49"/>
      <c r="FX325" s="49"/>
      <c r="FY325" s="47"/>
      <c r="FZ325" s="103"/>
      <c r="GA325" s="49"/>
      <c r="GB325" s="49"/>
      <c r="GC325" s="49"/>
      <c r="GD325" s="49"/>
      <c r="GE325" s="49"/>
      <c r="GF325" s="49"/>
      <c r="GG325" s="49"/>
      <c r="GH325" s="49"/>
      <c r="GI325" s="49"/>
      <c r="GJ325" s="49"/>
      <c r="GK325" s="49"/>
      <c r="GL325" s="49"/>
      <c r="GM325" s="49"/>
      <c r="GN325" s="49"/>
      <c r="GO325" s="49"/>
      <c r="GP325" s="49"/>
      <c r="GQ325" s="49"/>
      <c r="GR325" s="49"/>
      <c r="GS325" s="49"/>
      <c r="GT325" s="49"/>
      <c r="GU325" s="49"/>
      <c r="GV325" s="49"/>
      <c r="GW325" s="49"/>
      <c r="GX325" s="49"/>
      <c r="GY325" s="49"/>
      <c r="GZ325" s="49"/>
      <c r="HA325" s="49"/>
      <c r="HB325" s="48"/>
      <c r="HC325" s="48"/>
      <c r="HD325" s="48"/>
      <c r="HE325" s="48"/>
      <c r="HF325" s="13"/>
      <c r="HG325" s="13"/>
      <c r="HH325" s="13"/>
    </row>
    <row r="326" spans="1:216" ht="16.95" customHeight="1">
      <c r="A326" s="1"/>
      <c r="B326" s="3"/>
      <c r="C326" s="3"/>
      <c r="D326" s="12" t="str">
        <f ca="1">IF(FO323=0,"","De meeste ondernemers streven naar maximale winst. Krijg je alleen de")</f>
        <v/>
      </c>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26"/>
      <c r="FL326" s="26"/>
      <c r="FM326" s="47"/>
      <c r="FN326" s="47"/>
      <c r="FO326" s="47"/>
      <c r="FP326" s="47"/>
      <c r="FQ326" s="47"/>
      <c r="FR326" s="47"/>
      <c r="FS326" s="49"/>
      <c r="FT326" s="49"/>
      <c r="FU326" s="49"/>
      <c r="FV326" s="49"/>
      <c r="FW326" s="49"/>
      <c r="FX326" s="49"/>
      <c r="FY326" s="47"/>
      <c r="FZ326" s="47"/>
      <c r="GA326" s="49"/>
      <c r="GB326" s="49"/>
      <c r="GC326" s="49"/>
      <c r="GD326" s="49"/>
      <c r="GE326" s="49"/>
      <c r="GF326" s="49"/>
      <c r="GG326" s="49"/>
      <c r="GH326" s="49"/>
      <c r="GI326" s="49"/>
      <c r="GJ326" s="49"/>
      <c r="GK326" s="49"/>
      <c r="GL326" s="49"/>
      <c r="GM326" s="49"/>
      <c r="GN326" s="49"/>
      <c r="GO326" s="49"/>
      <c r="GP326" s="49"/>
      <c r="GQ326" s="49"/>
      <c r="GR326" s="49"/>
      <c r="GS326" s="49"/>
      <c r="GT326" s="49"/>
      <c r="GU326" s="49"/>
      <c r="GV326" s="49"/>
      <c r="GW326" s="49"/>
      <c r="GX326" s="49"/>
      <c r="GY326" s="49"/>
      <c r="GZ326" s="49"/>
      <c r="HA326" s="49"/>
      <c r="HB326" s="48"/>
      <c r="HC326" s="48"/>
      <c r="HD326" s="48"/>
      <c r="HE326" s="48"/>
      <c r="HF326" s="13"/>
      <c r="HG326" s="13"/>
      <c r="HH326" s="13"/>
    </row>
    <row r="327" spans="1:216" ht="16.95" customHeight="1">
      <c r="A327" s="1"/>
      <c r="B327" s="3"/>
      <c r="C327" s="3"/>
      <c r="D327" s="12" t="str">
        <f ca="1">IF(FO323=0,"","TO- en TW-lijn gegeven, dan moet je dus met behulp van een raaklijn")</f>
        <v/>
      </c>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26"/>
      <c r="FL327" s="26"/>
      <c r="FM327" s="47"/>
      <c r="FN327" s="47"/>
      <c r="FO327" s="47"/>
      <c r="FP327" s="47"/>
      <c r="FQ327" s="47"/>
      <c r="FR327" s="47"/>
      <c r="FS327" s="49"/>
      <c r="FT327" s="49"/>
      <c r="FU327" s="49"/>
      <c r="FV327" s="49"/>
      <c r="FW327" s="49"/>
      <c r="FX327" s="49"/>
      <c r="FY327" s="47"/>
      <c r="FZ327" s="47"/>
      <c r="GA327" s="49"/>
      <c r="GB327" s="49"/>
      <c r="GC327" s="49"/>
      <c r="GD327" s="49"/>
      <c r="GE327" s="49"/>
      <c r="GF327" s="49"/>
      <c r="GG327" s="49"/>
      <c r="GH327" s="49"/>
      <c r="GI327" s="49"/>
      <c r="GJ327" s="49"/>
      <c r="GK327" s="49"/>
      <c r="GL327" s="49"/>
      <c r="GM327" s="49"/>
      <c r="GN327" s="49"/>
      <c r="GO327" s="49"/>
      <c r="GP327" s="49"/>
      <c r="GQ327" s="49"/>
      <c r="GR327" s="49"/>
      <c r="GS327" s="49"/>
      <c r="GT327" s="49"/>
      <c r="GU327" s="49"/>
      <c r="GV327" s="49"/>
      <c r="GW327" s="49"/>
      <c r="GX327" s="49"/>
      <c r="GY327" s="49"/>
      <c r="GZ327" s="49"/>
      <c r="HA327" s="49"/>
      <c r="HB327" s="48"/>
      <c r="HC327" s="48"/>
      <c r="HD327" s="48"/>
      <c r="HE327" s="48"/>
      <c r="HF327" s="13"/>
      <c r="HG327" s="13"/>
      <c r="HH327" s="13"/>
    </row>
    <row r="328" spans="1:216" ht="16.95" customHeight="1">
      <c r="A328" s="1"/>
      <c r="B328" s="3"/>
      <c r="C328" s="3"/>
      <c r="D328" s="12" t="str">
        <f ca="1">IF(FO323=0,"","bij de TO-lijn kijken waar de richtingscoëfficiënt van deze lijn gelijk is aan")</f>
        <v/>
      </c>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26"/>
      <c r="FL328" s="26"/>
      <c r="FM328" s="47"/>
      <c r="FN328" s="47"/>
      <c r="FO328" s="47"/>
      <c r="FP328" s="47"/>
      <c r="FQ328" s="47"/>
      <c r="FR328" s="47"/>
      <c r="FS328" s="49"/>
      <c r="FT328" s="49"/>
      <c r="FU328" s="49"/>
      <c r="FV328" s="49"/>
      <c r="FW328" s="49"/>
      <c r="FX328" s="49"/>
      <c r="FY328" s="47"/>
      <c r="FZ328" s="47"/>
      <c r="GA328" s="49"/>
      <c r="GB328" s="49"/>
      <c r="GC328" s="49"/>
      <c r="GD328" s="49"/>
      <c r="GE328" s="49"/>
      <c r="GF328" s="49"/>
      <c r="GG328" s="49"/>
      <c r="GH328" s="49"/>
      <c r="GI328" s="49"/>
      <c r="GJ328" s="49"/>
      <c r="GK328" s="49"/>
      <c r="GL328" s="49"/>
      <c r="GM328" s="49"/>
      <c r="GN328" s="49"/>
      <c r="GO328" s="49"/>
      <c r="GP328" s="49"/>
      <c r="GQ328" s="49"/>
      <c r="GR328" s="49"/>
      <c r="GS328" s="49"/>
      <c r="GT328" s="49"/>
      <c r="GU328" s="49"/>
      <c r="GV328" s="49"/>
      <c r="GW328" s="49"/>
      <c r="GX328" s="49"/>
      <c r="GY328" s="49"/>
      <c r="GZ328" s="49"/>
      <c r="HA328" s="49"/>
      <c r="HB328" s="48"/>
      <c r="HC328" s="48"/>
      <c r="HD328" s="48"/>
      <c r="HE328" s="48"/>
      <c r="HF328" s="13"/>
      <c r="HG328" s="13"/>
      <c r="HH328" s="13"/>
    </row>
    <row r="329" spans="1:216" ht="16.95" customHeight="1">
      <c r="A329" s="1"/>
      <c r="B329" s="3"/>
      <c r="C329" s="3"/>
      <c r="D329" s="12" t="str">
        <f ca="1">IF(FO323=0,"","die van TK-lijn. Hieronder verschijnt die raaklijn zodra je in het linkse")</f>
        <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26"/>
      <c r="FL329" s="26"/>
      <c r="FM329" s="47"/>
      <c r="FN329" s="47"/>
      <c r="FO329" s="47"/>
      <c r="FP329" s="47"/>
      <c r="FQ329" s="47"/>
      <c r="FR329" s="47"/>
      <c r="FS329" s="49"/>
      <c r="FT329" s="49"/>
      <c r="FU329" s="49"/>
      <c r="FV329" s="49"/>
      <c r="FW329" s="49"/>
      <c r="FX329" s="49"/>
      <c r="FY329" s="47"/>
      <c r="FZ329" s="47"/>
      <c r="GA329" s="49"/>
      <c r="GB329" s="49"/>
      <c r="GC329" s="49"/>
      <c r="GD329" s="49"/>
      <c r="GE329" s="49"/>
      <c r="GF329" s="49"/>
      <c r="GG329" s="49"/>
      <c r="GH329" s="49"/>
      <c r="GI329" s="49"/>
      <c r="GJ329" s="49"/>
      <c r="GK329" s="49"/>
      <c r="GL329" s="49"/>
      <c r="GM329" s="49"/>
      <c r="GN329" s="49"/>
      <c r="GO329" s="49"/>
      <c r="GP329" s="49"/>
      <c r="GQ329" s="49"/>
      <c r="GR329" s="49"/>
      <c r="GS329" s="49"/>
      <c r="GT329" s="49"/>
      <c r="GU329" s="49"/>
      <c r="GV329" s="49"/>
      <c r="GW329" s="49"/>
      <c r="GX329" s="49"/>
      <c r="GY329" s="49"/>
      <c r="GZ329" s="49"/>
      <c r="HA329" s="49"/>
      <c r="HB329" s="48"/>
      <c r="HC329" s="48"/>
      <c r="HD329" s="48"/>
      <c r="HE329" s="48"/>
      <c r="HF329" s="13"/>
      <c r="HG329" s="13"/>
      <c r="HH329" s="13"/>
    </row>
    <row r="330" spans="1:216" ht="16.95" customHeight="1">
      <c r="A330" s="1"/>
      <c r="B330" s="3"/>
      <c r="C330" s="3"/>
      <c r="D330" s="12" t="str">
        <f ca="1">IF(FO323=0,"","blauwomrande vak gekozen hebt voor maximale winst of maximale omzet.")</f>
        <v/>
      </c>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26"/>
      <c r="FL330" s="26"/>
      <c r="FM330" s="47"/>
      <c r="FN330" s="47"/>
      <c r="FO330" s="47"/>
      <c r="FP330" s="47"/>
      <c r="FQ330" s="47"/>
      <c r="FR330" s="47"/>
      <c r="FS330" s="49"/>
      <c r="FT330" s="49"/>
      <c r="FU330" s="49"/>
      <c r="FV330" s="49"/>
      <c r="FW330" s="49"/>
      <c r="FX330" s="49"/>
      <c r="FY330" s="47"/>
      <c r="FZ330" s="47"/>
      <c r="GA330" s="49"/>
      <c r="GB330" s="49"/>
      <c r="GC330" s="49"/>
      <c r="GD330" s="49"/>
      <c r="GE330" s="49"/>
      <c r="GF330" s="49"/>
      <c r="GG330" s="49"/>
      <c r="GH330" s="49"/>
      <c r="GI330" s="49"/>
      <c r="GJ330" s="49"/>
      <c r="GK330" s="49"/>
      <c r="GL330" s="49"/>
      <c r="GM330" s="49"/>
      <c r="GN330" s="49"/>
      <c r="GO330" s="49"/>
      <c r="GP330" s="49"/>
      <c r="GQ330" s="49"/>
      <c r="GR330" s="49"/>
      <c r="GS330" s="49"/>
      <c r="GT330" s="49"/>
      <c r="GU330" s="49"/>
      <c r="GV330" s="49"/>
      <c r="GW330" s="49"/>
      <c r="GX330" s="49"/>
      <c r="GY330" s="49"/>
      <c r="GZ330" s="49"/>
      <c r="HA330" s="49"/>
      <c r="HB330" s="48"/>
      <c r="HC330" s="48"/>
      <c r="HD330" s="48"/>
      <c r="HE330" s="48"/>
      <c r="HF330" s="13"/>
      <c r="HG330" s="13"/>
      <c r="HH330" s="13"/>
    </row>
    <row r="331" spans="1:216" ht="16.95" customHeight="1">
      <c r="A331" s="1"/>
      <c r="B331" s="3"/>
      <c r="C331" s="3"/>
      <c r="D331" s="12" t="str">
        <f ca="1">IF(FO323=0,"","Kijk ook wat er gebeurt als je voor de andere optie kiest. In het rechtse")</f>
        <v/>
      </c>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26"/>
      <c r="FL331" s="26"/>
      <c r="FM331" s="47"/>
      <c r="FN331" s="47"/>
      <c r="FO331" s="47"/>
      <c r="FP331" s="47"/>
      <c r="FQ331" s="47"/>
      <c r="FR331" s="47"/>
      <c r="FS331" s="49"/>
      <c r="FT331" s="49"/>
      <c r="FU331" s="49"/>
      <c r="FV331" s="49"/>
      <c r="FW331" s="49"/>
      <c r="FX331" s="49"/>
      <c r="FY331" s="47"/>
      <c r="FZ331" s="47"/>
      <c r="GA331" s="49"/>
      <c r="GB331" s="49"/>
      <c r="GC331" s="49"/>
      <c r="GD331" s="49"/>
      <c r="GE331" s="49"/>
      <c r="GF331" s="49"/>
      <c r="GG331" s="49"/>
      <c r="GH331" s="49"/>
      <c r="GI331" s="49"/>
      <c r="GJ331" s="49"/>
      <c r="GK331" s="49"/>
      <c r="GL331" s="49"/>
      <c r="GM331" s="49"/>
      <c r="GN331" s="49"/>
      <c r="GO331" s="49"/>
      <c r="GP331" s="49"/>
      <c r="GQ331" s="49"/>
      <c r="GR331" s="49"/>
      <c r="GS331" s="49"/>
      <c r="GT331" s="49"/>
      <c r="GU331" s="49"/>
      <c r="GV331" s="49"/>
      <c r="GW331" s="49"/>
      <c r="GX331" s="49"/>
      <c r="GY331" s="49"/>
      <c r="GZ331" s="49"/>
      <c r="HA331" s="49"/>
      <c r="HB331" s="48"/>
      <c r="HC331" s="48"/>
      <c r="HD331" s="48"/>
      <c r="HE331" s="48"/>
      <c r="HF331" s="13"/>
      <c r="HG331" s="13"/>
      <c r="HH331" s="13"/>
    </row>
    <row r="332" spans="1:216" ht="16.95" customHeight="1">
      <c r="A332" s="1"/>
      <c r="B332" s="3"/>
      <c r="C332" s="3"/>
      <c r="D332" s="12" t="str">
        <f ca="1">IF(FO323=0,"","blauwomrande vak kun je een ander functievoorschrift kiezen (je ziet dan")</f>
        <v/>
      </c>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26"/>
      <c r="FL332" s="26"/>
      <c r="FM332" s="47"/>
      <c r="FN332" s="47"/>
      <c r="FO332" s="47"/>
      <c r="FP332" s="47"/>
      <c r="FQ332" s="47"/>
      <c r="FR332" s="47"/>
      <c r="FS332" s="49"/>
      <c r="FT332" s="49"/>
      <c r="FU332" s="49"/>
      <c r="FV332" s="49"/>
      <c r="FW332" s="49"/>
      <c r="FX332" s="49"/>
      <c r="FY332" s="47"/>
      <c r="FZ332" s="47"/>
      <c r="GA332" s="49"/>
      <c r="GB332" s="49"/>
      <c r="GC332" s="49"/>
      <c r="GD332" s="49"/>
      <c r="GE332" s="49"/>
      <c r="GF332" s="49"/>
      <c r="GG332" s="49"/>
      <c r="GH332" s="49"/>
      <c r="GI332" s="49"/>
      <c r="GJ332" s="49"/>
      <c r="GK332" s="49"/>
      <c r="GL332" s="49"/>
      <c r="GM332" s="49"/>
      <c r="GN332" s="49"/>
      <c r="GO332" s="49"/>
      <c r="GP332" s="49"/>
      <c r="GQ332" s="49"/>
      <c r="GR332" s="49"/>
      <c r="GS332" s="49"/>
      <c r="GT332" s="49"/>
      <c r="GU332" s="49"/>
      <c r="GV332" s="49"/>
      <c r="GW332" s="49"/>
      <c r="GX332" s="49"/>
      <c r="GY332" s="49"/>
      <c r="GZ332" s="49"/>
      <c r="HA332" s="49"/>
      <c r="HB332" s="48"/>
      <c r="HC332" s="48"/>
      <c r="HD332" s="48"/>
      <c r="HE332" s="48"/>
      <c r="HF332" s="13"/>
      <c r="HG332" s="13"/>
      <c r="HH332" s="13"/>
    </row>
    <row r="333" spans="1:216" ht="16.95" customHeight="1">
      <c r="A333" s="1"/>
      <c r="B333" s="3"/>
      <c r="C333" s="3"/>
      <c r="D333" s="12" t="str">
        <f ca="1">IF(FO323=0,"","de grafiek van vorm veranderen). Je kunt elk heel getal van 1 tot en met 5")</f>
        <v/>
      </c>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26"/>
      <c r="FL333" s="26"/>
      <c r="FM333" s="47"/>
      <c r="FN333" s="47"/>
      <c r="FO333" s="47"/>
      <c r="FP333" s="47"/>
      <c r="FQ333" s="47"/>
      <c r="FR333" s="47"/>
      <c r="FS333" s="49"/>
      <c r="FT333" s="49"/>
      <c r="FU333" s="49"/>
      <c r="FV333" s="49"/>
      <c r="FW333" s="49"/>
      <c r="FX333" s="49"/>
      <c r="FY333" s="47"/>
      <c r="FZ333" s="47"/>
      <c r="GA333" s="49"/>
      <c r="GB333" s="49"/>
      <c r="GC333" s="49"/>
      <c r="GD333" s="49"/>
      <c r="GE333" s="49"/>
      <c r="GF333" s="49"/>
      <c r="GG333" s="49"/>
      <c r="GH333" s="49"/>
      <c r="GI333" s="49"/>
      <c r="GJ333" s="49"/>
      <c r="GK333" s="49"/>
      <c r="GL333" s="49"/>
      <c r="GM333" s="49"/>
      <c r="GN333" s="49"/>
      <c r="GO333" s="49"/>
      <c r="GP333" s="49"/>
      <c r="GQ333" s="49"/>
      <c r="GR333" s="49"/>
      <c r="GS333" s="49"/>
      <c r="GT333" s="49"/>
      <c r="GU333" s="49"/>
      <c r="GV333" s="49"/>
      <c r="GW333" s="49"/>
      <c r="GX333" s="49"/>
      <c r="GY333" s="49"/>
      <c r="GZ333" s="49"/>
      <c r="HA333" s="49"/>
      <c r="HB333" s="48"/>
      <c r="HC333" s="48"/>
      <c r="HD333" s="48"/>
      <c r="HE333" s="48"/>
      <c r="HF333" s="13"/>
      <c r="HG333" s="13"/>
      <c r="HH333" s="13"/>
    </row>
    <row r="334" spans="1:216" ht="16.95" customHeight="1">
      <c r="A334" s="1"/>
      <c r="B334" s="3"/>
      <c r="C334" s="3"/>
      <c r="D334" s="501" t="str">
        <f ca="1">IF(FO323=0,"","invullen. Pas als je bij beide vakken iets hebt ingevuld, kun je verder.")</f>
        <v/>
      </c>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26"/>
      <c r="FL334" s="26"/>
      <c r="FM334" s="47"/>
      <c r="FN334" s="47"/>
      <c r="FO334" s="47"/>
      <c r="FP334" s="47"/>
      <c r="FQ334" s="47"/>
      <c r="FR334" s="47"/>
      <c r="FS334" s="49"/>
      <c r="FT334" s="49"/>
      <c r="FU334" s="49"/>
      <c r="FV334" s="49"/>
      <c r="FW334" s="49"/>
      <c r="FX334" s="49"/>
      <c r="FY334" s="47"/>
      <c r="FZ334" s="47"/>
      <c r="GA334" s="49"/>
      <c r="GB334" s="49"/>
      <c r="GC334" s="49"/>
      <c r="GD334" s="49">
        <f ca="1">Blad1!AA23</f>
        <v>0</v>
      </c>
      <c r="GE334" s="49" t="e">
        <f ca="1">3*GH343</f>
        <v>#VALUE!</v>
      </c>
      <c r="GF334" s="49" t="e">
        <f ca="1">2*GI343+2*GD343</f>
        <v>#VALUE!</v>
      </c>
      <c r="GG334" s="49" t="e">
        <f ca="1">GJ343-GE343</f>
        <v>#VALUE!</v>
      </c>
      <c r="GH334" s="49" t="e">
        <f ca="1">(-GF334+(GF334^2-4*GE334*GG334)^0.5)/(2*GE334)</f>
        <v>#VALUE!</v>
      </c>
      <c r="GI334" s="49"/>
      <c r="GJ334" s="49">
        <v>2</v>
      </c>
      <c r="GK334" s="49"/>
      <c r="GL334" s="49"/>
      <c r="GM334" s="49"/>
      <c r="GN334" s="49"/>
      <c r="GO334" s="49"/>
      <c r="GP334" s="49"/>
      <c r="GQ334" s="49"/>
      <c r="GR334" s="49"/>
      <c r="GS334" s="49"/>
      <c r="GT334" s="49"/>
      <c r="GU334" s="49"/>
      <c r="GV334" s="49"/>
      <c r="GW334" s="49"/>
      <c r="GX334" s="49"/>
      <c r="GY334" s="49"/>
      <c r="GZ334" s="49"/>
      <c r="HA334" s="49"/>
      <c r="HB334" s="48"/>
      <c r="HC334" s="48"/>
      <c r="HD334" s="48"/>
      <c r="HE334" s="48"/>
      <c r="HF334" s="13"/>
      <c r="HG334" s="13"/>
      <c r="HH334" s="13"/>
    </row>
    <row r="335" spans="1:216" ht="9.75" customHeight="1">
      <c r="A335" s="1"/>
      <c r="B335" s="3"/>
      <c r="C335" s="3"/>
      <c r="D335" s="501"/>
      <c r="E335" s="10"/>
      <c r="F335" s="10"/>
      <c r="G335" s="10"/>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97"/>
      <c r="AY335" s="43"/>
      <c r="AZ335" s="41"/>
      <c r="BA335" s="41"/>
      <c r="BB335" s="41"/>
      <c r="BC335" s="41"/>
      <c r="BD335" s="42"/>
      <c r="BE335" s="41"/>
      <c r="BF335" s="41"/>
      <c r="BG335" s="41"/>
      <c r="BH335" s="41"/>
      <c r="BI335" s="41"/>
      <c r="BJ335" s="41"/>
      <c r="BK335" s="42"/>
      <c r="BL335" s="41"/>
      <c r="BM335" s="41"/>
      <c r="BN335" s="41"/>
      <c r="BO335" s="41"/>
      <c r="BP335" s="41"/>
      <c r="BQ335" s="41"/>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c r="EI335" s="43"/>
      <c r="EJ335" s="43"/>
      <c r="EK335" s="43"/>
      <c r="EL335" s="43"/>
      <c r="EM335" s="43"/>
      <c r="EN335" s="43"/>
      <c r="EO335" s="43"/>
      <c r="EP335" s="43"/>
      <c r="EQ335" s="43"/>
      <c r="ER335" s="43"/>
      <c r="ES335" s="43"/>
      <c r="ET335" s="43"/>
      <c r="EU335" s="43"/>
      <c r="EV335" s="79"/>
      <c r="EW335" s="79"/>
      <c r="EX335" s="79"/>
      <c r="EY335" s="79"/>
      <c r="EZ335" s="79"/>
      <c r="FA335" s="79"/>
      <c r="FB335" s="79"/>
      <c r="FC335" s="79"/>
      <c r="FD335" s="79"/>
      <c r="FE335" s="79"/>
      <c r="FF335" s="79"/>
      <c r="FG335" s="79"/>
      <c r="FH335" s="79"/>
      <c r="FI335" s="79"/>
      <c r="FJ335" s="79"/>
      <c r="FK335" s="79"/>
      <c r="FL335" s="79"/>
      <c r="FM335" s="47"/>
      <c r="FN335" s="47"/>
      <c r="FO335" s="47"/>
      <c r="FP335" s="47"/>
      <c r="FQ335" s="47"/>
      <c r="FR335" s="47"/>
      <c r="FS335" s="49"/>
      <c r="FT335" s="49"/>
      <c r="FU335" s="49"/>
      <c r="FV335" s="49"/>
      <c r="FW335" s="49"/>
      <c r="FX335" s="49"/>
      <c r="FY335" s="47"/>
      <c r="FZ335" s="47"/>
      <c r="GA335" s="49"/>
      <c r="GB335" s="49"/>
      <c r="GC335" s="49"/>
      <c r="GD335" s="49">
        <f ca="1">GD334*4*Blad1!AA22</f>
        <v>0</v>
      </c>
      <c r="GE335" s="49"/>
      <c r="GF335" s="49" t="e">
        <f ca="1">IF(GG337&gt;GG336,GG336,GG337)</f>
        <v>#DIV/0!</v>
      </c>
      <c r="GG335" s="49" t="e">
        <f ca="1">IF(GG337&gt;GG336,GG337,GG336)</f>
        <v>#DIV/0!</v>
      </c>
      <c r="GH335" s="49" t="e">
        <f ca="1">0.25*GG340</f>
        <v>#DIV/0!</v>
      </c>
      <c r="GI335" s="49"/>
      <c r="GJ335" s="49">
        <v>1.7</v>
      </c>
      <c r="GK335" s="49"/>
      <c r="GL335" s="49"/>
      <c r="GM335" s="49" t="s">
        <v>85</v>
      </c>
      <c r="GN335" s="49" t="e">
        <f ca="1">GE343-GL343</f>
        <v>#VALUE!</v>
      </c>
      <c r="GO335" s="49" t="s">
        <v>38</v>
      </c>
      <c r="GP335" s="49" t="s">
        <v>39</v>
      </c>
      <c r="GQ335" s="49" t="s">
        <v>86</v>
      </c>
      <c r="GR335" s="49" t="e">
        <f ca="1">GE343-GN343</f>
        <v>#VALUE!</v>
      </c>
      <c r="GS335" s="49" t="s">
        <v>38</v>
      </c>
      <c r="GT335" s="49" t="s">
        <v>39</v>
      </c>
      <c r="GU335" s="49"/>
      <c r="GV335" s="49"/>
      <c r="GW335" s="49"/>
      <c r="GX335" s="49"/>
      <c r="GY335" s="49"/>
      <c r="GZ335" s="49"/>
      <c r="HA335" s="49"/>
      <c r="HB335" s="48"/>
      <c r="HC335" s="48"/>
      <c r="HD335" s="48"/>
      <c r="HE335" s="48"/>
      <c r="HF335" s="13"/>
      <c r="HG335" s="13"/>
      <c r="HH335" s="13"/>
    </row>
    <row r="336" spans="1:216" ht="3.75" customHeight="1">
      <c r="A336" s="1"/>
      <c r="B336" s="3"/>
      <c r="C336" s="3"/>
      <c r="D336" s="501"/>
      <c r="E336" s="10"/>
      <c r="F336" s="10"/>
      <c r="G336" s="10"/>
      <c r="H336" s="43"/>
      <c r="I336" s="43"/>
      <c r="J336" s="43"/>
      <c r="K336" s="43"/>
      <c r="L336" s="43"/>
      <c r="M336" s="43"/>
      <c r="N336" s="43"/>
      <c r="O336" s="43"/>
      <c r="P336" s="43"/>
      <c r="Q336" s="538" t="str">
        <f ca="1">IF(FO323=0,"",":")</f>
        <v/>
      </c>
      <c r="R336" s="541"/>
      <c r="S336" s="541"/>
      <c r="T336" s="541"/>
      <c r="U336" s="541"/>
      <c r="V336" s="541"/>
      <c r="W336" s="541"/>
      <c r="X336" s="541"/>
      <c r="Y336" s="541"/>
      <c r="Z336" s="541"/>
      <c r="AA336" s="541"/>
      <c r="AB336" s="541"/>
      <c r="AC336" s="541"/>
      <c r="AD336" s="541"/>
      <c r="AE336" s="541"/>
      <c r="AF336" s="541"/>
      <c r="AG336" s="541"/>
      <c r="AH336" s="541"/>
      <c r="AI336" s="541"/>
      <c r="AJ336" s="541"/>
      <c r="AK336" s="541"/>
      <c r="AL336" s="541"/>
      <c r="AM336" s="541"/>
      <c r="AN336" s="545"/>
      <c r="AO336" s="545"/>
      <c r="AP336" s="545"/>
      <c r="AQ336" s="545"/>
      <c r="AR336" s="545"/>
      <c r="AS336" s="545"/>
      <c r="AT336" s="545"/>
      <c r="AU336" s="545"/>
      <c r="AV336" s="545"/>
      <c r="AW336" s="545"/>
      <c r="AX336" s="545"/>
      <c r="AY336" s="545"/>
      <c r="AZ336" s="545"/>
      <c r="BA336" s="545"/>
      <c r="BB336" s="545"/>
      <c r="BC336" s="545"/>
      <c r="BD336" s="545"/>
      <c r="BE336" s="545"/>
      <c r="BF336" s="545"/>
      <c r="BG336" s="545"/>
      <c r="BH336" s="545"/>
      <c r="BI336" s="545"/>
      <c r="BJ336" s="545"/>
      <c r="BK336" s="545"/>
      <c r="BL336" s="545"/>
      <c r="BM336" s="545"/>
      <c r="BN336" s="545"/>
      <c r="BO336" s="545"/>
      <c r="BP336" s="545"/>
      <c r="BQ336" s="545"/>
      <c r="BR336" s="545"/>
      <c r="BS336" s="545"/>
      <c r="BT336" s="545"/>
      <c r="BU336" s="545"/>
      <c r="BV336" s="545"/>
      <c r="BW336" s="545"/>
      <c r="BX336" s="545"/>
      <c r="BY336" s="545"/>
      <c r="BZ336" s="545"/>
      <c r="CA336" s="545"/>
      <c r="CB336" s="545"/>
      <c r="CC336" s="545"/>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538" t="str">
        <f ca="1">IF(FO323=0,"",":")</f>
        <v/>
      </c>
      <c r="DZ336" s="545"/>
      <c r="EA336" s="545"/>
      <c r="EB336" s="545"/>
      <c r="EC336" s="545"/>
      <c r="ED336" s="545"/>
      <c r="EE336" s="545"/>
      <c r="EF336" s="545"/>
      <c r="EG336" s="43"/>
      <c r="EH336" s="43"/>
      <c r="EI336" s="43"/>
      <c r="EJ336" s="43"/>
      <c r="EK336" s="43"/>
      <c r="EL336" s="43"/>
      <c r="EM336" s="43"/>
      <c r="EN336" s="43"/>
      <c r="EO336" s="43"/>
      <c r="EP336" s="43"/>
      <c r="EQ336" s="43"/>
      <c r="ER336" s="43"/>
      <c r="ES336" s="43"/>
      <c r="ET336" s="43"/>
      <c r="EU336" s="43"/>
      <c r="EV336" s="79"/>
      <c r="EW336" s="79"/>
      <c r="EX336" s="79"/>
      <c r="EY336" s="79"/>
      <c r="EZ336" s="79"/>
      <c r="FA336" s="79"/>
      <c r="FB336" s="79"/>
      <c r="FC336" s="79"/>
      <c r="FD336" s="79"/>
      <c r="FE336" s="79"/>
      <c r="FF336" s="79"/>
      <c r="FG336" s="79"/>
      <c r="FH336" s="79"/>
      <c r="FI336" s="79"/>
      <c r="FJ336" s="79"/>
      <c r="FK336" s="79"/>
      <c r="FL336" s="79"/>
      <c r="FM336" s="47"/>
      <c r="FN336" s="47"/>
      <c r="FO336" s="119"/>
      <c r="FP336" s="119"/>
      <c r="FQ336" s="119"/>
      <c r="FR336" s="119"/>
      <c r="FS336" s="49"/>
      <c r="FT336" s="49"/>
      <c r="FU336" s="49"/>
      <c r="FV336" s="49"/>
      <c r="FW336" s="49"/>
      <c r="FX336" s="49"/>
      <c r="FY336" s="47"/>
      <c r="FZ336" s="47"/>
      <c r="GA336" s="49"/>
      <c r="GB336" s="49"/>
      <c r="GC336" s="49"/>
      <c r="GD336" s="49" t="s">
        <v>35</v>
      </c>
      <c r="GE336" s="49"/>
      <c r="GF336" s="49" t="e">
        <f ca="1">IF(0.4*(GH340-GH337)/GF340&gt;0,0.4*(GH340-GH337)/GF340,-0.4*(GH340-GH337)/GF340)</f>
        <v>#DIV/0!</v>
      </c>
      <c r="GG336" s="49" t="e">
        <f ca="1">IF(GF336&lt;1,FLOOR(GF336,0.1),IF(GF336&lt;10,FLOOR(GF336,1),IF(GF336&lt;100,FLOOR(GF336,10),IF(GF336&lt;1000,FLOOR(GF336,100),IF(GF336&lt;10000,FLOOR(GF336,1000),IF(GF336&lt;100000,FLOOR(GF336,10000),FLOOR(GF336,100000)))))))</f>
        <v>#DIV/0!</v>
      </c>
      <c r="GH336" s="49" t="e">
        <f ca="1">IF(GH335&lt;100,FLOOR(GH335,10),IF(GH335&lt;1000,FLOOR(GH335,100),IF(GH335&lt;10000,FLOOR(GH335,1000),IF(GH335&lt;100000,FLOOR(GH335,10000),IF(GH335&lt;1000000,FLOOR(GH335,100000),IF(GH335&lt;10000000,FLOOR(GH335,1000000),FLOOR(GH335,10000000)))))))</f>
        <v>#DIV/0!</v>
      </c>
      <c r="GI336" s="49"/>
      <c r="GJ336" s="49">
        <v>0.6</v>
      </c>
      <c r="GK336" s="49">
        <v>1.7</v>
      </c>
      <c r="GL336" s="49">
        <v>0.6</v>
      </c>
      <c r="GM336" s="49">
        <v>-0.3</v>
      </c>
      <c r="GN336" s="49" t="e">
        <f ca="1">GN335/GM338</f>
        <v>#VALUE!</v>
      </c>
      <c r="GO336" s="49" t="e">
        <f ca="1">(-2*GD343)*GN336+GE343</f>
        <v>#DIV/0!</v>
      </c>
      <c r="GP336" s="49" t="e">
        <f ca="1">2*GK343*GN336^1+GL343</f>
        <v>#VALUE!</v>
      </c>
      <c r="GQ336" s="49">
        <f ca="1">IF(OR(FO339=5,FO339=11,FO339=14,FO339=15,FO339=16,FO339=17,FO339=18,FO339=19,FO339=27,FO339=30,FO339=33,FO339=36,FO339=37,FO339=38,FO339=39,FO339=40),0.9,1.4)</f>
        <v>1.4</v>
      </c>
      <c r="GR336" s="49" t="e">
        <f ca="1">GR335/GQ338</f>
        <v>#VALUE!</v>
      </c>
      <c r="GS336" s="49" t="e">
        <f ca="1">-2*GD343*GR336+GE343</f>
        <v>#DIV/0!</v>
      </c>
      <c r="GT336" s="49" t="e">
        <f ca="1">2*GM343*GR336^1+GN343</f>
        <v>#VALUE!</v>
      </c>
      <c r="GU336" s="49"/>
      <c r="GV336" s="49"/>
      <c r="GW336" s="49"/>
      <c r="GX336" s="49"/>
      <c r="GY336" s="49"/>
      <c r="GZ336" s="49"/>
      <c r="HA336" s="49"/>
      <c r="HB336" s="48"/>
      <c r="HC336" s="48"/>
      <c r="HD336" s="48"/>
      <c r="HE336" s="48"/>
      <c r="HF336" s="13"/>
      <c r="HG336" s="13"/>
      <c r="HH336" s="13"/>
    </row>
    <row r="337" spans="1:216" ht="16.5" customHeight="1">
      <c r="A337" s="1"/>
      <c r="B337" s="3"/>
      <c r="C337" s="3"/>
      <c r="D337" s="501"/>
      <c r="E337" s="10"/>
      <c r="F337" s="10"/>
      <c r="G337" s="10"/>
      <c r="H337" s="43"/>
      <c r="I337" s="43"/>
      <c r="J337" s="43"/>
      <c r="K337" s="43"/>
      <c r="L337" s="43"/>
      <c r="M337" s="43"/>
      <c r="N337" s="43"/>
      <c r="O337" s="201" t="str">
        <f ca="1">IF(FO323=0,"","Punt:")</f>
        <v/>
      </c>
      <c r="P337" s="43"/>
      <c r="Q337" s="195" t="str">
        <f ca="1">IF(FO323=0,"",":")</f>
        <v/>
      </c>
      <c r="R337" s="624"/>
      <c r="S337" s="625"/>
      <c r="T337" s="625"/>
      <c r="U337" s="625"/>
      <c r="V337" s="625"/>
      <c r="W337" s="625"/>
      <c r="X337" s="625"/>
      <c r="Y337" s="625"/>
      <c r="Z337" s="625"/>
      <c r="AA337" s="625"/>
      <c r="AB337" s="625"/>
      <c r="AC337" s="625"/>
      <c r="AD337" s="625"/>
      <c r="AE337" s="625"/>
      <c r="AF337" s="625"/>
      <c r="AG337" s="625"/>
      <c r="AH337" s="625"/>
      <c r="AI337" s="625"/>
      <c r="AJ337" s="625"/>
      <c r="AK337" s="625"/>
      <c r="AL337" s="625"/>
      <c r="AM337" s="625"/>
      <c r="AN337" s="625"/>
      <c r="AO337" s="625"/>
      <c r="AP337" s="625"/>
      <c r="AQ337" s="625"/>
      <c r="AR337" s="625"/>
      <c r="AS337" s="625"/>
      <c r="AT337" s="625"/>
      <c r="AU337" s="625"/>
      <c r="AV337" s="625"/>
      <c r="AW337" s="625"/>
      <c r="AX337" s="625"/>
      <c r="AY337" s="625"/>
      <c r="AZ337" s="625"/>
      <c r="BA337" s="625"/>
      <c r="BB337" s="625"/>
      <c r="BC337" s="625"/>
      <c r="BD337" s="625"/>
      <c r="BE337" s="625"/>
      <c r="BF337" s="625"/>
      <c r="BG337" s="625"/>
      <c r="BH337" s="625"/>
      <c r="BI337" s="625"/>
      <c r="BJ337" s="625"/>
      <c r="BK337" s="625"/>
      <c r="BL337" s="625"/>
      <c r="BM337" s="625"/>
      <c r="BN337" s="625"/>
      <c r="BO337" s="625"/>
      <c r="BP337" s="625"/>
      <c r="BQ337" s="625"/>
      <c r="BR337" s="626"/>
      <c r="BS337" s="626"/>
      <c r="BT337" s="626"/>
      <c r="BU337" s="626"/>
      <c r="BV337" s="626"/>
      <c r="BW337" s="626"/>
      <c r="BX337" s="626"/>
      <c r="BY337" s="626"/>
      <c r="BZ337" s="626"/>
      <c r="CA337" s="626"/>
      <c r="CB337" s="626"/>
      <c r="CC337" s="226" t="str">
        <f ca="1">IF(FO323=0,"",":")</f>
        <v/>
      </c>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201" t="str">
        <f ca="1">IF(FO323=0,"","Functievoorschrift:")</f>
        <v/>
      </c>
      <c r="DX337" s="43"/>
      <c r="DY337" s="195" t="str">
        <f ca="1">IF(FO323=0,"",":")</f>
        <v/>
      </c>
      <c r="DZ337" s="637"/>
      <c r="EA337" s="637"/>
      <c r="EB337" s="637"/>
      <c r="EC337" s="637"/>
      <c r="ED337" s="637"/>
      <c r="EE337" s="637"/>
      <c r="EF337" s="226" t="str">
        <f ca="1">IF(FO323=0,"",":")</f>
        <v/>
      </c>
      <c r="EG337" s="43"/>
      <c r="EH337" s="43"/>
      <c r="EI337" s="43"/>
      <c r="EJ337" s="43"/>
      <c r="EK337" s="43"/>
      <c r="EL337" s="43"/>
      <c r="EM337" s="43"/>
      <c r="EN337" s="43"/>
      <c r="EO337" s="43"/>
      <c r="EP337" s="43"/>
      <c r="EQ337" s="43"/>
      <c r="ER337" s="43"/>
      <c r="ES337" s="43"/>
      <c r="ET337" s="43"/>
      <c r="EU337" s="43"/>
      <c r="EV337" s="79"/>
      <c r="EW337" s="79"/>
      <c r="EX337" s="79"/>
      <c r="EY337" s="79"/>
      <c r="EZ337" s="79"/>
      <c r="FA337" s="79"/>
      <c r="FB337" s="79"/>
      <c r="FC337" s="79"/>
      <c r="FD337" s="79"/>
      <c r="FE337" s="79"/>
      <c r="FF337" s="79"/>
      <c r="FG337" s="79"/>
      <c r="FH337" s="79"/>
      <c r="FI337" s="79"/>
      <c r="FJ337" s="79"/>
      <c r="FK337" s="79"/>
      <c r="FL337" s="79"/>
      <c r="FM337" s="48"/>
      <c r="FN337" s="48">
        <f>IF(R337="",0,1)</f>
        <v>0</v>
      </c>
      <c r="FO337" s="119">
        <f>IF(R337=FP337,1,IF(R337=FQ337,2,IF(R337=FR337,3,IF(R337=FS337,4,1))))</f>
        <v>3</v>
      </c>
      <c r="FP337" s="120" t="s">
        <v>75</v>
      </c>
      <c r="FQ337" s="119" t="s">
        <v>74</v>
      </c>
      <c r="FR337" s="120"/>
      <c r="FS337" s="49">
        <v>1</v>
      </c>
      <c r="FT337" s="49">
        <v>2</v>
      </c>
      <c r="FU337" s="49">
        <v>3</v>
      </c>
      <c r="FV337" s="49">
        <v>4</v>
      </c>
      <c r="FW337" s="49">
        <v>5</v>
      </c>
      <c r="FX337" s="49"/>
      <c r="FY337" s="47"/>
      <c r="FZ337" s="47"/>
      <c r="GA337" s="49"/>
      <c r="GB337" s="49"/>
      <c r="GC337" s="49"/>
      <c r="GD337" s="49" t="e">
        <f ca="1">GF343*(((ROUND(GD335/GD334,2))-GF343)/(2/GD334))+GG343</f>
        <v>#DIV/0!</v>
      </c>
      <c r="GE337" s="49" t="e">
        <f ca="1">((ROUND(GD335/GD334,2))*(((ROUND(GD335/GD334,2))-GF343)/(2/GD334))-(1/GD334)*(((ROUND(GD335/GD334,2))-GF343)/(2/GD334))^2)-GD337</f>
        <v>#DIV/0!</v>
      </c>
      <c r="GF337" s="49" t="e">
        <f ca="1">(GH339-GH336)/GF340</f>
        <v>#DIV/0!</v>
      </c>
      <c r="GG337" s="49" t="e">
        <f ca="1">IF(GF337&lt;1,FLOOR(GF337,0.1),IF(GF337&lt;10,FLOOR(GF337,1),IF(GF337&lt;100,FLOOR(GF337,10),IF(GF337&lt;1000,FLOOR(GF337,100),IF(GF337&lt;10000,FLOOR(GF337,1000),IF(GF337&lt;100000,FLOOR(GF337,10000),FLOOR(GF337,100000)))))))</f>
        <v>#DIV/0!</v>
      </c>
      <c r="GH337" s="49" t="e">
        <f ca="1">2*GH336</f>
        <v>#DIV/0!</v>
      </c>
      <c r="GI337" s="49" t="e">
        <f ca="1">GH334</f>
        <v>#VALUE!</v>
      </c>
      <c r="GJ337" s="49" t="s">
        <v>40</v>
      </c>
      <c r="GK337" s="49" t="e">
        <f ca="1">0.5*-2*GD343*GI337^2+GE343*GI337</f>
        <v>#DIV/0!</v>
      </c>
      <c r="GL337" s="49" t="e">
        <f ca="1">GK337-GI337*GI338</f>
        <v>#DIV/0!</v>
      </c>
      <c r="GM337" s="49">
        <v>0.9</v>
      </c>
      <c r="GN337" s="49" t="s">
        <v>40</v>
      </c>
      <c r="GO337" s="49" t="e">
        <f ca="1">0.5*(-2*GD343)*GN336^2+GE343*GN336</f>
        <v>#DIV/0!</v>
      </c>
      <c r="GP337" s="49" t="e">
        <f ca="1">GO337-GN336*GO336</f>
        <v>#DIV/0!</v>
      </c>
      <c r="GQ337" s="49">
        <v>0.2</v>
      </c>
      <c r="GR337" s="49" t="s">
        <v>40</v>
      </c>
      <c r="GS337" s="49" t="e">
        <f ca="1">0.5*(-2*GD343)*GR336^2+GE343*GR336</f>
        <v>#DIV/0!</v>
      </c>
      <c r="GT337" s="49" t="e">
        <f ca="1">GS337-GR336*GS336</f>
        <v>#DIV/0!</v>
      </c>
      <c r="GU337" s="49"/>
      <c r="GV337" s="49"/>
      <c r="GW337" s="49"/>
      <c r="GX337" s="49"/>
      <c r="GY337" s="49"/>
      <c r="GZ337" s="49"/>
      <c r="HA337" s="49"/>
      <c r="HB337" s="48"/>
      <c r="HC337" s="48"/>
      <c r="HD337" s="48"/>
      <c r="HE337" s="48"/>
      <c r="HF337" s="13"/>
      <c r="HG337" s="13"/>
      <c r="HH337" s="13"/>
    </row>
    <row r="338" spans="1:216" ht="3.75" customHeight="1">
      <c r="A338" s="1"/>
      <c r="B338" s="3"/>
      <c r="C338" s="3"/>
      <c r="D338" s="501"/>
      <c r="E338" s="10"/>
      <c r="F338" s="10"/>
      <c r="G338" s="10"/>
      <c r="H338" s="43"/>
      <c r="I338" s="43"/>
      <c r="J338" s="43"/>
      <c r="K338" s="43"/>
      <c r="L338" s="43"/>
      <c r="M338" s="43"/>
      <c r="N338" s="43"/>
      <c r="O338" s="43"/>
      <c r="P338" s="43"/>
      <c r="Q338" s="538" t="str">
        <f ca="1">IF(FO323=0,"",":")</f>
        <v/>
      </c>
      <c r="R338" s="541"/>
      <c r="S338" s="541"/>
      <c r="T338" s="541"/>
      <c r="U338" s="541"/>
      <c r="V338" s="541"/>
      <c r="W338" s="541"/>
      <c r="X338" s="541"/>
      <c r="Y338" s="541"/>
      <c r="Z338" s="541"/>
      <c r="AA338" s="541"/>
      <c r="AB338" s="541"/>
      <c r="AC338" s="541"/>
      <c r="AD338" s="541"/>
      <c r="AE338" s="541"/>
      <c r="AF338" s="541"/>
      <c r="AG338" s="541"/>
      <c r="AH338" s="541"/>
      <c r="AI338" s="541"/>
      <c r="AJ338" s="541"/>
      <c r="AK338" s="541"/>
      <c r="AL338" s="541"/>
      <c r="AM338" s="541"/>
      <c r="AN338" s="545"/>
      <c r="AO338" s="545"/>
      <c r="AP338" s="545"/>
      <c r="AQ338" s="545"/>
      <c r="AR338" s="545"/>
      <c r="AS338" s="545"/>
      <c r="AT338" s="545"/>
      <c r="AU338" s="545"/>
      <c r="AV338" s="545"/>
      <c r="AW338" s="545"/>
      <c r="AX338" s="545"/>
      <c r="AY338" s="545"/>
      <c r="AZ338" s="545"/>
      <c r="BA338" s="545"/>
      <c r="BB338" s="545"/>
      <c r="BC338" s="545"/>
      <c r="BD338" s="545"/>
      <c r="BE338" s="545"/>
      <c r="BF338" s="545"/>
      <c r="BG338" s="545"/>
      <c r="BH338" s="545"/>
      <c r="BI338" s="545"/>
      <c r="BJ338" s="545"/>
      <c r="BK338" s="545"/>
      <c r="BL338" s="545"/>
      <c r="BM338" s="545"/>
      <c r="BN338" s="545"/>
      <c r="BO338" s="545"/>
      <c r="BP338" s="545"/>
      <c r="BQ338" s="545"/>
      <c r="BR338" s="545"/>
      <c r="BS338" s="545"/>
      <c r="BT338" s="545"/>
      <c r="BU338" s="545"/>
      <c r="BV338" s="545"/>
      <c r="BW338" s="545"/>
      <c r="BX338" s="545"/>
      <c r="BY338" s="545"/>
      <c r="BZ338" s="545"/>
      <c r="CA338" s="545"/>
      <c r="CB338" s="545"/>
      <c r="CC338" s="545"/>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538" t="str">
        <f ca="1">IF(FO323=0,"",":")</f>
        <v/>
      </c>
      <c r="DZ338" s="545"/>
      <c r="EA338" s="545"/>
      <c r="EB338" s="545"/>
      <c r="EC338" s="545"/>
      <c r="ED338" s="545"/>
      <c r="EE338" s="545"/>
      <c r="EF338" s="545"/>
      <c r="EG338" s="43"/>
      <c r="EH338" s="43"/>
      <c r="EI338" s="43"/>
      <c r="EJ338" s="43"/>
      <c r="EK338" s="43"/>
      <c r="EL338" s="43"/>
      <c r="EM338" s="43"/>
      <c r="EN338" s="43"/>
      <c r="EO338" s="43"/>
      <c r="EP338" s="43"/>
      <c r="EQ338" s="43"/>
      <c r="ER338" s="43"/>
      <c r="ES338" s="43"/>
      <c r="ET338" s="43"/>
      <c r="EU338" s="43"/>
      <c r="EV338" s="79"/>
      <c r="EW338" s="79"/>
      <c r="EX338" s="79"/>
      <c r="EY338" s="79"/>
      <c r="EZ338" s="79"/>
      <c r="FA338" s="79"/>
      <c r="FB338" s="79"/>
      <c r="FC338" s="79"/>
      <c r="FD338" s="79"/>
      <c r="FE338" s="79"/>
      <c r="FF338" s="79"/>
      <c r="FG338" s="79"/>
      <c r="FH338" s="79"/>
      <c r="FI338" s="79"/>
      <c r="FJ338" s="79"/>
      <c r="FK338" s="79"/>
      <c r="FL338" s="79"/>
      <c r="FM338" s="47"/>
      <c r="FN338" s="47"/>
      <c r="FO338" s="119"/>
      <c r="FP338" s="119"/>
      <c r="FQ338" s="119"/>
      <c r="FR338" s="119"/>
      <c r="FS338" s="49"/>
      <c r="FT338" s="49"/>
      <c r="FU338" s="49"/>
      <c r="FV338" s="49"/>
      <c r="FW338" s="49"/>
      <c r="FX338" s="49"/>
      <c r="FY338" s="47"/>
      <c r="FZ338" s="47"/>
      <c r="GA338" s="49"/>
      <c r="GB338" s="49"/>
      <c r="GC338" s="49"/>
      <c r="GD338" s="49" t="s">
        <v>36</v>
      </c>
      <c r="GE338" s="49"/>
      <c r="GF338" s="49" t="e">
        <f ca="1">ROUND(GD335/GD334,2)</f>
        <v>#DIV/0!</v>
      </c>
      <c r="GG338" s="49" t="e">
        <f ca="1">ROUND(1/GD334,3)</f>
        <v>#DIV/0!</v>
      </c>
      <c r="GH338" s="49" t="e">
        <f ca="1">0.8*GG340</f>
        <v>#DIV/0!</v>
      </c>
      <c r="GI338" s="49" t="e">
        <f ca="1">-2*GD343*GI337+GE343</f>
        <v>#DIV/0!</v>
      </c>
      <c r="GJ338" s="49" t="s">
        <v>41</v>
      </c>
      <c r="GK338" s="49" t="e">
        <f ca="1">GH343*GI337^3+GI343*GI337^2+GJ343*GI337+GG343</f>
        <v>#VALUE!</v>
      </c>
      <c r="GL338" s="49" t="e">
        <f ca="1">GK338-GI337*GI338</f>
        <v>#VALUE!</v>
      </c>
      <c r="GM338" s="49" t="e">
        <f ca="1">2*GK343-(-2*GD343)</f>
        <v>#VALUE!</v>
      </c>
      <c r="GN338" s="49" t="s">
        <v>41</v>
      </c>
      <c r="GO338" s="49" t="e">
        <f ca="1">GK343*GN336^2+GL343*GN336+GG343</f>
        <v>#VALUE!</v>
      </c>
      <c r="GP338" s="49" t="e">
        <f ca="1">GO338-GN336*GO336</f>
        <v>#VALUE!</v>
      </c>
      <c r="GQ338" s="49" t="e">
        <f ca="1">2*GM343-(-2*GD343)</f>
        <v>#VALUE!</v>
      </c>
      <c r="GR338" s="49" t="s">
        <v>41</v>
      </c>
      <c r="GS338" s="49" t="e">
        <f ca="1">GM343*GR336^2+GN343*GR336+GG343</f>
        <v>#VALUE!</v>
      </c>
      <c r="GT338" s="49" t="e">
        <f ca="1">GS338-GR336*GS336</f>
        <v>#VALUE!</v>
      </c>
      <c r="GU338" s="49"/>
      <c r="GV338" s="49"/>
      <c r="GW338" s="49"/>
      <c r="GX338" s="49"/>
      <c r="GY338" s="49"/>
      <c r="GZ338" s="49"/>
      <c r="HA338" s="49"/>
      <c r="HB338" s="48"/>
      <c r="HC338" s="48"/>
      <c r="HD338" s="48"/>
      <c r="HE338" s="48"/>
      <c r="HF338" s="13"/>
      <c r="HG338" s="13"/>
      <c r="HH338" s="13"/>
    </row>
    <row r="339" spans="1:216" ht="16.5" customHeight="1">
      <c r="A339" s="1"/>
      <c r="B339" s="3"/>
      <c r="C339" s="3"/>
      <c r="D339" s="501"/>
      <c r="E339" s="10"/>
      <c r="F339" s="10"/>
      <c r="G339" s="10"/>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97"/>
      <c r="AY339" s="43"/>
      <c r="AZ339" s="41"/>
      <c r="BA339" s="41"/>
      <c r="BB339" s="41"/>
      <c r="BC339" s="41"/>
      <c r="BD339" s="42"/>
      <c r="BE339" s="41"/>
      <c r="BF339" s="41"/>
      <c r="BG339" s="41"/>
      <c r="BH339" s="41"/>
      <c r="BI339" s="41"/>
      <c r="BJ339" s="41"/>
      <c r="BK339" s="42"/>
      <c r="BL339" s="41"/>
      <c r="BM339" s="41"/>
      <c r="BN339" s="41"/>
      <c r="BO339" s="41"/>
      <c r="BP339" s="41"/>
      <c r="BQ339" s="41"/>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43"/>
      <c r="DT339" s="43"/>
      <c r="DU339" s="43"/>
      <c r="DV339" s="43"/>
      <c r="DW339" s="43"/>
      <c r="DX339" s="43"/>
      <c r="DY339" s="43"/>
      <c r="DZ339" s="43"/>
      <c r="EA339" s="43"/>
      <c r="EB339" s="43"/>
      <c r="EC339" s="43"/>
      <c r="ED339" s="43"/>
      <c r="EE339" s="43"/>
      <c r="EF339" s="43"/>
      <c r="EG339" s="43"/>
      <c r="EH339" s="43"/>
      <c r="EI339" s="43"/>
      <c r="EJ339" s="43"/>
      <c r="EK339" s="43"/>
      <c r="EL339" s="43"/>
      <c r="EM339" s="43"/>
      <c r="EN339" s="43"/>
      <c r="EO339" s="43"/>
      <c r="EP339" s="43"/>
      <c r="EQ339" s="43"/>
      <c r="ER339" s="43"/>
      <c r="ES339" s="43"/>
      <c r="ET339" s="43"/>
      <c r="EU339" s="43"/>
      <c r="EV339" s="79"/>
      <c r="EW339" s="79"/>
      <c r="EX339" s="79"/>
      <c r="EY339" s="79"/>
      <c r="EZ339" s="79"/>
      <c r="FA339" s="79"/>
      <c r="FB339" s="79"/>
      <c r="FC339" s="79"/>
      <c r="FD339" s="79"/>
      <c r="FE339" s="79"/>
      <c r="FF339" s="79"/>
      <c r="FG339" s="79"/>
      <c r="FH339" s="79"/>
      <c r="FI339" s="79"/>
      <c r="FJ339" s="79"/>
      <c r="FK339" s="79"/>
      <c r="FL339" s="79"/>
      <c r="FM339" s="47"/>
      <c r="FN339" s="47"/>
      <c r="FO339" s="142">
        <f ca="1">IF(programma!B1="X",1,IF(FO323=0,0,IF(DZ337="",1,DZ337)))</f>
        <v>0</v>
      </c>
      <c r="FP339" s="48"/>
      <c r="FQ339" s="47"/>
      <c r="FR339" s="47"/>
      <c r="FS339" s="49"/>
      <c r="FT339" s="49"/>
      <c r="FU339" s="49"/>
      <c r="FV339" s="49"/>
      <c r="FW339" s="49"/>
      <c r="FX339" s="49"/>
      <c r="FY339" s="47"/>
      <c r="FZ339" s="47"/>
      <c r="GA339" s="49"/>
      <c r="GB339" s="49"/>
      <c r="GC339" s="49"/>
      <c r="GD339" s="49"/>
      <c r="GE339" s="49"/>
      <c r="GF339" s="49" t="e">
        <f ca="1">(GD335/GD334)/(1/GD334)</f>
        <v>#DIV/0!</v>
      </c>
      <c r="GG339" s="49" t="e">
        <f ca="1">ROUND(1/GD334,3)</f>
        <v>#DIV/0!</v>
      </c>
      <c r="GH339" s="49" t="e">
        <f ca="1">(GH337+GH340)/2</f>
        <v>#DIV/0!</v>
      </c>
      <c r="GI339" s="49"/>
      <c r="GJ339" s="49"/>
      <c r="GK339" s="49"/>
      <c r="GL339" s="49"/>
      <c r="GM339" s="49"/>
      <c r="GN339" s="49"/>
      <c r="GO339" s="49"/>
      <c r="GP339" s="49"/>
      <c r="GQ339" s="49"/>
      <c r="GR339" s="49"/>
      <c r="GS339" s="49"/>
      <c r="GT339" s="49"/>
      <c r="GU339" s="49"/>
      <c r="GV339" s="49"/>
      <c r="GW339" s="49"/>
      <c r="GX339" s="49"/>
      <c r="GY339" s="49"/>
      <c r="GZ339" s="49"/>
      <c r="HA339" s="49"/>
      <c r="HB339" s="48"/>
      <c r="HC339" s="48"/>
      <c r="HD339" s="48"/>
      <c r="HE339" s="48"/>
      <c r="HF339" s="13"/>
      <c r="HG339" s="13"/>
      <c r="HH339" s="13"/>
    </row>
    <row r="340" spans="1:216" ht="16.5" customHeight="1">
      <c r="A340" s="1"/>
      <c r="B340" s="3"/>
      <c r="C340" s="3"/>
      <c r="D340" s="501"/>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26"/>
      <c r="FL340" s="26"/>
      <c r="FM340" s="47"/>
      <c r="FN340" s="47"/>
      <c r="FO340" s="47"/>
      <c r="FP340" s="47"/>
      <c r="FQ340" s="47"/>
      <c r="FR340" s="47"/>
      <c r="FS340" s="49"/>
      <c r="FT340" s="49"/>
      <c r="FU340" s="49"/>
      <c r="FV340" s="49"/>
      <c r="FW340" s="49"/>
      <c r="FX340" s="49"/>
      <c r="FY340" s="47"/>
      <c r="FZ340" s="47"/>
      <c r="GA340" s="49"/>
      <c r="GB340" s="49"/>
      <c r="GC340" s="49"/>
      <c r="GD340" s="49" t="e">
        <f ca="1">IF(GH337&gt;GH336,GH336,GH337)</f>
        <v>#DIV/0!</v>
      </c>
      <c r="GE340" s="49" t="e">
        <f ca="1">IF(GH337&gt;GH336,GH337,GH336)</f>
        <v>#DIV/0!</v>
      </c>
      <c r="GF340" s="49" t="e">
        <f ca="1">ROUND(GD335/GD334,2)/(ROUND(1/GD334,3)*2)</f>
        <v>#DIV/0!</v>
      </c>
      <c r="GG340" s="49" t="e">
        <f ca="1">GF338*GF340-GG338*GF340^2</f>
        <v>#DIV/0!</v>
      </c>
      <c r="GH340" s="49" t="e">
        <f ca="1">IF(GH338&lt;100,FLOOR(GH338,10),IF(GH338&lt;1000,FLOOR(GH338,100),IF(GH338&lt;10000,FLOOR(GH338,1000),IF(GH338&lt;100000,FLOOR(GH338,10000),IF(GH338&lt;1000000,FLOOR(GH338,100000),IF(GH338&lt;10000000,FLOOR(GH338,1000000),FLOOR(GH338,10000000)))))))</f>
        <v>#DIV/0!</v>
      </c>
      <c r="GI340" s="49" t="e">
        <f ca="1">3*GH343*GI337^2+2*GI343*GI337^1+GJ343</f>
        <v>#VALUE!</v>
      </c>
      <c r="GJ340" s="49"/>
      <c r="GK340" s="49"/>
      <c r="GL340" s="49"/>
      <c r="GM340" s="49"/>
      <c r="GN340" s="49"/>
      <c r="GO340" s="49" t="s">
        <v>20</v>
      </c>
      <c r="GP340" s="49" t="s">
        <v>82</v>
      </c>
      <c r="GQ340" s="49" t="s">
        <v>83</v>
      </c>
      <c r="GR340" s="49"/>
      <c r="GS340" s="49"/>
      <c r="GT340" s="49"/>
      <c r="GU340" s="49"/>
      <c r="GV340" s="49"/>
      <c r="GW340" s="49"/>
      <c r="GX340" s="49"/>
      <c r="GY340" s="49"/>
      <c r="GZ340" s="49"/>
      <c r="HA340" s="49"/>
      <c r="HB340" s="48"/>
      <c r="HC340" s="48"/>
      <c r="HD340" s="48"/>
      <c r="HE340" s="48"/>
      <c r="HF340" s="13"/>
      <c r="HG340" s="13"/>
      <c r="HH340" s="13"/>
    </row>
    <row r="341" spans="1:216" ht="15" customHeight="1">
      <c r="A341" s="1"/>
      <c r="B341" s="3"/>
      <c r="C341" s="3"/>
      <c r="D341" s="12"/>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26"/>
      <c r="FL341" s="26"/>
      <c r="FM341" s="47"/>
      <c r="FN341" s="47"/>
      <c r="FO341" s="47"/>
      <c r="FP341" s="47"/>
      <c r="FQ341" s="47"/>
      <c r="FR341" s="47"/>
      <c r="FS341" s="49"/>
      <c r="FT341" s="49"/>
      <c r="FU341" s="47"/>
      <c r="FV341" s="47"/>
      <c r="FW341" s="47"/>
      <c r="FX341" s="47"/>
      <c r="FY341" s="47"/>
      <c r="FZ341" s="47"/>
      <c r="GA341" s="49"/>
      <c r="GB341" s="49"/>
      <c r="GC341" s="49"/>
      <c r="GD341" s="49"/>
      <c r="GE341" s="49"/>
      <c r="GF341" s="49"/>
      <c r="GG341" s="49"/>
      <c r="GH341" s="49"/>
      <c r="GI341" s="49"/>
      <c r="GJ341" s="49"/>
      <c r="GK341" s="49"/>
      <c r="GL341" s="49"/>
      <c r="GM341" s="49"/>
      <c r="GN341" s="49"/>
      <c r="GO341" s="49"/>
      <c r="GP341" s="49"/>
      <c r="GQ341" s="49"/>
      <c r="GR341" s="49"/>
      <c r="GS341" s="49"/>
      <c r="GT341" s="49"/>
      <c r="GU341" s="49"/>
      <c r="GV341" s="49"/>
      <c r="GW341" s="49"/>
      <c r="GX341" s="49"/>
      <c r="GY341" s="49"/>
      <c r="GZ341" s="49"/>
      <c r="HA341" s="49"/>
      <c r="HB341" s="48"/>
      <c r="HC341" s="48"/>
      <c r="HD341" s="48"/>
      <c r="HE341" s="48"/>
      <c r="HF341" s="13"/>
      <c r="HG341" s="13"/>
      <c r="HH341" s="13"/>
    </row>
    <row r="342" spans="1:216" ht="16.5" customHeight="1">
      <c r="A342" s="1"/>
      <c r="B342" s="3"/>
      <c r="C342" s="3"/>
      <c r="D342" s="12"/>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26"/>
      <c r="FL342" s="26"/>
      <c r="FM342" s="47"/>
      <c r="FN342" s="47"/>
      <c r="FO342" s="47"/>
      <c r="FP342" s="47"/>
      <c r="FQ342" s="47"/>
      <c r="FR342" s="47"/>
      <c r="FS342" s="49"/>
      <c r="FT342" s="49"/>
      <c r="FU342" s="47"/>
      <c r="FV342" s="47"/>
      <c r="FW342" s="47"/>
      <c r="FX342" s="47"/>
      <c r="FY342" s="47"/>
      <c r="FZ342" s="47"/>
      <c r="GA342" s="49"/>
      <c r="GB342" s="49"/>
      <c r="GC342" s="49"/>
      <c r="GD342" s="49" t="s">
        <v>77</v>
      </c>
      <c r="GE342" s="49"/>
      <c r="GF342" s="49" t="s">
        <v>78</v>
      </c>
      <c r="GG342" s="49"/>
      <c r="GH342" s="49" t="s">
        <v>79</v>
      </c>
      <c r="GI342" s="49"/>
      <c r="GJ342" s="49"/>
      <c r="GK342" s="49" t="s">
        <v>81</v>
      </c>
      <c r="GL342" s="49"/>
      <c r="GM342" s="49" t="s">
        <v>80</v>
      </c>
      <c r="GN342" s="49"/>
      <c r="GO342" s="49" t="e">
        <f ca="1">-GD343</f>
        <v>#DIV/0!</v>
      </c>
      <c r="GP342" s="49" t="e">
        <f ca="1">GE343-GF343</f>
        <v>#DIV/0!</v>
      </c>
      <c r="GQ342" s="49" t="e">
        <f ca="1">-GG343</f>
        <v>#DIV/0!</v>
      </c>
      <c r="GR342" s="49" t="e">
        <f ca="1">-(GP342-(GP342^2-4*GO342*GQ342)^0.5)/(2*GO342)</f>
        <v>#DIV/0!</v>
      </c>
      <c r="GS342" s="49" t="e">
        <f ca="1">-(GP342+(GP342^2-4*GO342*GQ342)^0.5)/(2*GO342)</f>
        <v>#DIV/0!</v>
      </c>
      <c r="GT342" s="49"/>
      <c r="GU342" s="49"/>
      <c r="GV342" s="49"/>
      <c r="GW342" s="49"/>
      <c r="GX342" s="49"/>
      <c r="GY342" s="49"/>
      <c r="GZ342" s="49"/>
      <c r="HA342" s="49"/>
      <c r="HB342" s="48"/>
      <c r="HC342" s="48"/>
      <c r="HD342" s="48"/>
      <c r="HE342" s="48"/>
      <c r="HF342" s="13"/>
      <c r="HG342" s="13"/>
      <c r="HH342" s="13"/>
    </row>
    <row r="343" spans="1:216" ht="16.5" customHeight="1">
      <c r="A343" s="1"/>
      <c r="B343" s="3"/>
      <c r="C343" s="3"/>
      <c r="D343" s="12"/>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26"/>
      <c r="FL343" s="26"/>
      <c r="FM343" s="47"/>
      <c r="FN343" s="47"/>
      <c r="FO343" s="47"/>
      <c r="FP343" s="47"/>
      <c r="FQ343" s="47"/>
      <c r="FR343" s="47"/>
      <c r="FS343" s="49"/>
      <c r="FT343" s="49"/>
      <c r="FU343" s="47"/>
      <c r="FV343" s="47"/>
      <c r="FW343" s="47"/>
      <c r="FX343" s="47"/>
      <c r="FY343" s="47"/>
      <c r="FZ343" s="47"/>
      <c r="GA343" s="49"/>
      <c r="GB343" s="49"/>
      <c r="GC343" s="49"/>
      <c r="GD343" s="49" t="e">
        <f ca="1">1/(Blad1!AA23)</f>
        <v>#DIV/0!</v>
      </c>
      <c r="GE343" s="49">
        <f ca="1">4*Blad1!AA22</f>
        <v>0</v>
      </c>
      <c r="GF343" s="49" t="e">
        <f ca="1">ROUND((GF335+GG335)/2,0)</f>
        <v>#DIV/0!</v>
      </c>
      <c r="GG343" s="49" t="e">
        <f ca="1">ROUND((GD340+GE340)/2,0)</f>
        <v>#DIV/0!</v>
      </c>
      <c r="GH343" s="49" t="e">
        <f ca="1">GN351*GJ334/GC356^3</f>
        <v>#VALUE!</v>
      </c>
      <c r="GI343" s="49" t="e">
        <f ca="1">-GN351*GJ335/GC356^2</f>
        <v>#VALUE!</v>
      </c>
      <c r="GJ343" s="49" t="e">
        <f ca="1">GN351*GJ336/GC356^1</f>
        <v>#VALUE!</v>
      </c>
      <c r="GK343" s="49" t="e">
        <f ca="1">GN351*GM336/GC356^2</f>
        <v>#VALUE!</v>
      </c>
      <c r="GL343" s="49" t="e">
        <f ca="1">GN351*GM337/GC356^1</f>
        <v>#VALUE!</v>
      </c>
      <c r="GM343" s="49" t="e">
        <f ca="1">GN351*GQ336/GC356^2</f>
        <v>#VALUE!</v>
      </c>
      <c r="GN343" s="49" t="e">
        <f ca="1">GN351*GQ337/GC356^1</f>
        <v>#VALUE!</v>
      </c>
      <c r="GO343" s="49" t="e">
        <f ca="1">-GD343-GK343</f>
        <v>#DIV/0!</v>
      </c>
      <c r="GP343" s="49" t="e">
        <f ca="1">GE343-GL343</f>
        <v>#VALUE!</v>
      </c>
      <c r="GQ343" s="49" t="e">
        <f ca="1">-GG343</f>
        <v>#DIV/0!</v>
      </c>
      <c r="GR343" s="49" t="e">
        <f ca="1">-(GP343-(GP343^2-4*GO343*GQ343)^0.5)/(2*GO343)</f>
        <v>#VALUE!</v>
      </c>
      <c r="GS343" s="49" t="e">
        <f ca="1">-(GP343+(GP343^2-4*GO343*GQ343)^0.5)/(2*GO343)</f>
        <v>#VALUE!</v>
      </c>
      <c r="GT343" s="49"/>
      <c r="GU343" s="49"/>
      <c r="GV343" s="49"/>
      <c r="GW343" s="49"/>
      <c r="GX343" s="49"/>
      <c r="GY343" s="49"/>
      <c r="GZ343" s="49"/>
      <c r="HA343" s="49"/>
      <c r="HB343" s="48"/>
      <c r="HC343" s="48"/>
      <c r="HD343" s="48"/>
      <c r="HE343" s="48"/>
      <c r="HF343" s="13"/>
      <c r="HG343" s="13"/>
      <c r="HH343" s="13"/>
    </row>
    <row r="344" spans="1:216" ht="16.5" customHeight="1">
      <c r="A344" s="1"/>
      <c r="B344" s="3"/>
      <c r="C344" s="3"/>
      <c r="D344" s="12"/>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26"/>
      <c r="FL344" s="26"/>
      <c r="FM344" s="47"/>
      <c r="FN344" s="47"/>
      <c r="FO344" s="47"/>
      <c r="FP344" s="47"/>
      <c r="FQ344" s="47"/>
      <c r="FR344" s="47"/>
      <c r="FS344" s="49"/>
      <c r="FT344" s="49"/>
      <c r="FU344" s="47"/>
      <c r="FV344" s="47"/>
      <c r="FW344" s="47"/>
      <c r="FX344" s="47"/>
      <c r="FY344" s="47"/>
      <c r="FZ344" s="47"/>
      <c r="GA344" s="49"/>
      <c r="GB344" s="49"/>
      <c r="GC344" s="49"/>
      <c r="GD344" s="49"/>
      <c r="GE344" s="49"/>
      <c r="GF344" s="49"/>
      <c r="GG344" s="49"/>
      <c r="GH344" s="49"/>
      <c r="GI344" s="49"/>
      <c r="GJ344" s="49"/>
      <c r="GK344" s="49"/>
      <c r="GL344" s="49"/>
      <c r="GM344" s="49"/>
      <c r="GN344" s="49"/>
      <c r="GO344" s="49" t="e">
        <f ca="1">-GD343-GM343</f>
        <v>#DIV/0!</v>
      </c>
      <c r="GP344" s="49" t="e">
        <f ca="1">GE343-GN343</f>
        <v>#VALUE!</v>
      </c>
      <c r="GQ344" s="49" t="e">
        <f ca="1">-GG343</f>
        <v>#DIV/0!</v>
      </c>
      <c r="GR344" s="49" t="e">
        <f ca="1">-(GP344-(GP344^2-4*GO344*GQ344)^0.5)/(2*GO344)</f>
        <v>#VALUE!</v>
      </c>
      <c r="GS344" s="49" t="e">
        <f ca="1">-(GP344+(GP344^2-4*GO344*GQ344)^0.5)/(2*GO344)</f>
        <v>#VALUE!</v>
      </c>
      <c r="GT344" s="49"/>
      <c r="GU344" s="49"/>
      <c r="GV344" s="49"/>
      <c r="GW344" s="49"/>
      <c r="GX344" s="49"/>
      <c r="GY344" s="49"/>
      <c r="GZ344" s="49"/>
      <c r="HA344" s="49"/>
      <c r="HB344" s="48"/>
      <c r="HC344" s="48"/>
      <c r="HD344" s="48"/>
      <c r="HE344" s="48"/>
      <c r="HF344" s="13"/>
      <c r="HG344" s="13"/>
      <c r="HH344" s="13"/>
    </row>
    <row r="345" spans="1:216" ht="16.5" customHeight="1">
      <c r="A345" s="1"/>
      <c r="B345" s="3"/>
      <c r="C345" s="3"/>
      <c r="D345" s="12"/>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26"/>
      <c r="FL345" s="26"/>
      <c r="FM345" s="47"/>
      <c r="FN345" s="47"/>
      <c r="FO345" s="47"/>
      <c r="FP345" s="47"/>
      <c r="FQ345" s="47"/>
      <c r="FR345" s="47"/>
      <c r="FS345" s="49"/>
      <c r="FT345" s="49"/>
      <c r="FU345" s="47"/>
      <c r="FV345" s="47"/>
      <c r="FW345" s="47"/>
      <c r="FX345" s="47"/>
      <c r="FY345" s="47"/>
      <c r="FZ345" s="47"/>
      <c r="GA345" s="49"/>
      <c r="GB345" s="49"/>
      <c r="GC345" s="49" t="s">
        <v>0</v>
      </c>
      <c r="GD345" s="49" t="s">
        <v>22</v>
      </c>
      <c r="GE345" s="49" t="s">
        <v>37</v>
      </c>
      <c r="GF345" s="49" t="s">
        <v>50</v>
      </c>
      <c r="GG345" s="49" t="s">
        <v>57</v>
      </c>
      <c r="GH345" s="49"/>
      <c r="GI345" s="49" t="s">
        <v>60</v>
      </c>
      <c r="GJ345" s="49"/>
      <c r="GK345" s="49" t="s">
        <v>71</v>
      </c>
      <c r="GL345" s="49" t="s">
        <v>72</v>
      </c>
      <c r="GM345" s="49" t="s">
        <v>73</v>
      </c>
      <c r="GN345" s="49" t="s">
        <v>5</v>
      </c>
      <c r="GO345" s="49" t="s">
        <v>3</v>
      </c>
      <c r="GP345" s="49" t="s">
        <v>58</v>
      </c>
      <c r="GQ345" s="49" t="s">
        <v>88</v>
      </c>
      <c r="GR345" s="49" t="s">
        <v>60</v>
      </c>
      <c r="GS345" s="49"/>
      <c r="GT345" s="49" t="s">
        <v>2</v>
      </c>
      <c r="GU345" s="49" t="s">
        <v>73</v>
      </c>
      <c r="GV345" s="49"/>
      <c r="GW345" s="49"/>
      <c r="GX345" s="49"/>
      <c r="GY345" s="49"/>
      <c r="GZ345" s="49"/>
      <c r="HA345" s="49"/>
      <c r="HB345" s="48"/>
      <c r="HC345" s="48"/>
      <c r="HD345" s="48"/>
      <c r="HE345" s="48"/>
      <c r="HF345" s="13"/>
      <c r="HG345" s="13"/>
      <c r="HH345" s="13"/>
    </row>
    <row r="346" spans="1:216" ht="16.5" customHeight="1">
      <c r="A346" s="1"/>
      <c r="B346" s="3"/>
      <c r="C346" s="3"/>
      <c r="D346" s="12"/>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26"/>
      <c r="FL346" s="26"/>
      <c r="FM346" s="47"/>
      <c r="FN346" s="47"/>
      <c r="FO346" s="47"/>
      <c r="FP346" s="47"/>
      <c r="FQ346" s="47"/>
      <c r="FR346" s="47"/>
      <c r="FS346" s="49"/>
      <c r="FT346" s="49"/>
      <c r="FU346" s="47"/>
      <c r="FV346" s="47"/>
      <c r="FW346" s="47"/>
      <c r="FX346" s="47"/>
      <c r="FY346" s="47"/>
      <c r="FZ346" s="47"/>
      <c r="GA346" s="49"/>
      <c r="GB346" s="49" t="e">
        <f ca="1">0.75*GC347</f>
        <v>#VALUE!</v>
      </c>
      <c r="GC346" s="49" t="str">
        <f ca="1">IF(FO323=1,0,"")</f>
        <v/>
      </c>
      <c r="GD346" s="49">
        <f ca="1">IF(FO323=1,-GD343*GC346+GE343,0)</f>
        <v>0</v>
      </c>
      <c r="GE346" s="49">
        <f ca="1">IF(FO323=1,-2*GD343*GC346+GE343,0)</f>
        <v>0</v>
      </c>
      <c r="GF346" s="49">
        <f ca="1">IF(FO323=1,GF343+GG343/GB346,0)</f>
        <v>0</v>
      </c>
      <c r="GG346" s="49">
        <f ca="1">IF(FO323=1,GF343,0)</f>
        <v>0</v>
      </c>
      <c r="GH346" s="49"/>
      <c r="GI346" s="49">
        <f ca="1">IF(FO323=0,0,IF(FO337=1,GI356,IF(FO337=2,GC351,IF(FO337=3,GR356,0))))</f>
        <v>0</v>
      </c>
      <c r="GJ346" s="49">
        <f ca="1">0*GJ356</f>
        <v>0</v>
      </c>
      <c r="GK346" s="49">
        <f ca="1">0*GK356</f>
        <v>0</v>
      </c>
      <c r="GL346" s="49">
        <f ca="1">GL356</f>
        <v>0</v>
      </c>
      <c r="GM346" s="49">
        <f ca="1">GM356</f>
        <v>0</v>
      </c>
      <c r="GN346" s="49">
        <f ca="1">IF(FO323=0,0,-GD343*GC346^2+GE343*GC346)</f>
        <v>0</v>
      </c>
      <c r="GO346" s="49">
        <f ca="1">IF(FO323=0,0,GF343*GC346+GG343)</f>
        <v>0</v>
      </c>
      <c r="GP346" s="49">
        <f ca="1">IF(FO323=0,0,IF(FO337=1,GF343*GQ346+GG343+GE337,IF(FO337=2,GN351,0)))</f>
        <v>0</v>
      </c>
      <c r="GQ346" s="49">
        <f ca="1">IF(FO323=0,0,IF(FO337=1,GI346-2*GC347,IF(FO337=2,GI346-2*GC347,0)))</f>
        <v>0</v>
      </c>
      <c r="GR346" s="49">
        <f ca="1">IF(FO323=0,0,IF(FO337=3,GR342,IF(FO337=2,GC351,IF(FO337=1,GK356,0))))</f>
        <v>0</v>
      </c>
      <c r="GS346" s="49">
        <f ca="1">0*GS356</f>
        <v>0</v>
      </c>
      <c r="GT346" s="49">
        <f ca="1">IF(FO323=1,GF343*GC346,0)</f>
        <v>0</v>
      </c>
      <c r="GU346" s="49">
        <f ca="1">GU356</f>
        <v>0</v>
      </c>
      <c r="GV346" s="49"/>
      <c r="GW346" s="49"/>
      <c r="GX346" s="49"/>
      <c r="GY346" s="49"/>
      <c r="GZ346" s="49"/>
      <c r="HA346" s="49"/>
      <c r="HB346" s="48"/>
      <c r="HC346" s="48"/>
      <c r="HD346" s="48"/>
      <c r="HE346" s="48"/>
      <c r="HF346" s="13"/>
      <c r="HG346" s="13"/>
      <c r="HH346" s="13"/>
    </row>
    <row r="347" spans="1:216" ht="16.5" customHeight="1">
      <c r="A347" s="1"/>
      <c r="B347" s="3"/>
      <c r="C347" s="3"/>
      <c r="D347" s="12"/>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26"/>
      <c r="FL347" s="26"/>
      <c r="FM347" s="47"/>
      <c r="FN347" s="47"/>
      <c r="FO347" s="47"/>
      <c r="FP347" s="47"/>
      <c r="FQ347" s="47"/>
      <c r="FR347" s="79"/>
      <c r="FS347" s="79"/>
      <c r="FT347" s="79"/>
      <c r="FU347" s="79"/>
      <c r="FV347" s="79"/>
      <c r="FW347" s="47"/>
      <c r="FX347" s="47"/>
      <c r="FY347" s="47"/>
      <c r="FZ347" s="47"/>
      <c r="GA347" s="49"/>
      <c r="GB347" s="49" t="str">
        <f t="shared" ref="GB347:GB355" ca="1" si="7">GC347</f>
        <v/>
      </c>
      <c r="GC347" s="49" t="str">
        <f ca="1">IF(FO323=1,0.1*(GE343/GD343),"")</f>
        <v/>
      </c>
      <c r="GD347" s="49">
        <f ca="1">IF(FO323=1,-GD343*GC347+GE343,0)</f>
        <v>0</v>
      </c>
      <c r="GE347" s="49">
        <f ca="1">IF(FO323=1,-2*GD343*GC347+GE343,0)</f>
        <v>0</v>
      </c>
      <c r="GF347" s="49">
        <f ca="1">IF(FO323=1,GF343+GG343/GB347,0)</f>
        <v>0</v>
      </c>
      <c r="GG347" s="49">
        <f ca="1">IF(FO323=1,GF343,0)</f>
        <v>0</v>
      </c>
      <c r="GH347" s="49"/>
      <c r="GI347" s="49">
        <f ca="1">IF(FO323=0,0,IF(FO337=1,GI356,IF(FO337=2,GC351,IF(FO337=3,GR356,0))))</f>
        <v>0</v>
      </c>
      <c r="GJ347" s="49">
        <f ca="1">IF(FO323=1,0.1*GJ356,0)</f>
        <v>0</v>
      </c>
      <c r="GK347" s="49">
        <f ca="1">0.1*GK356</f>
        <v>0</v>
      </c>
      <c r="GL347" s="49">
        <f ca="1">GL356</f>
        <v>0</v>
      </c>
      <c r="GM347" s="49">
        <f ca="1">GM356</f>
        <v>0</v>
      </c>
      <c r="GN347" s="49">
        <f ca="1">IF(FO323=0,0,-GD343*GC347^2+GE343*GC347)</f>
        <v>0</v>
      </c>
      <c r="GO347" s="49">
        <f ca="1">IF(FO323=0,0,GF343*GC347+GG343)</f>
        <v>0</v>
      </c>
      <c r="GP347" s="49">
        <f ca="1">IF(FO323=0,0,IF(FO337=1,GF343*GQ347+GG343+GE337,IF(FO337=2,GN351,0)))</f>
        <v>0</v>
      </c>
      <c r="GQ347" s="49">
        <f ca="1">IF(FO323=0,0,IF(FO337=1,GI346-1*GC347,IF(FO337=2,GI346-1*GC347,0)))</f>
        <v>0</v>
      </c>
      <c r="GR347" s="49">
        <f ca="1">IF(FO323=0,0,IF(FO337=3,GR342,IF(FO337=2,GC351,IF(FO337=1,GK356,0))))</f>
        <v>0</v>
      </c>
      <c r="GS347" s="49">
        <f ca="1">0.1*GS356</f>
        <v>0</v>
      </c>
      <c r="GT347" s="49">
        <f ca="1">IF(FO323=1,GF343*GC347,0)</f>
        <v>0</v>
      </c>
      <c r="GU347" s="49">
        <f ca="1">GU356</f>
        <v>0</v>
      </c>
      <c r="GV347" s="49"/>
      <c r="GW347" s="49"/>
      <c r="GX347" s="49"/>
      <c r="GY347" s="49"/>
      <c r="GZ347" s="49"/>
      <c r="HA347" s="49"/>
      <c r="HB347" s="48"/>
      <c r="HC347" s="48"/>
      <c r="HD347" s="48"/>
      <c r="HE347" s="48"/>
      <c r="HF347" s="13"/>
      <c r="HG347" s="13"/>
      <c r="HH347" s="13"/>
    </row>
    <row r="348" spans="1:216" ht="16.5" customHeight="1">
      <c r="A348" s="1"/>
      <c r="B348" s="3"/>
      <c r="C348" s="3"/>
      <c r="D348" s="12"/>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26"/>
      <c r="FL348" s="26"/>
      <c r="FM348" s="47"/>
      <c r="FN348" s="47"/>
      <c r="FO348" s="47"/>
      <c r="FP348" s="47"/>
      <c r="FQ348" s="47"/>
      <c r="FR348" s="79"/>
      <c r="FS348" s="79"/>
      <c r="FT348" s="79"/>
      <c r="FU348" s="79"/>
      <c r="FV348" s="79"/>
      <c r="FW348" s="47"/>
      <c r="FX348" s="47"/>
      <c r="FY348" s="47"/>
      <c r="FZ348" s="47"/>
      <c r="GA348" s="49"/>
      <c r="GB348" s="49" t="str">
        <f t="shared" ca="1" si="7"/>
        <v/>
      </c>
      <c r="GC348" s="49" t="str">
        <f ca="1">IF(FO323=1,0.2*(GE343/GD343),"")</f>
        <v/>
      </c>
      <c r="GD348" s="49">
        <f ca="1">IF(FO323=1,-GD343*GC348+GE343,0)</f>
        <v>0</v>
      </c>
      <c r="GE348" s="49">
        <f ca="1">IF(FO323=1,-2*GD343*GC348+GE343,0)</f>
        <v>0</v>
      </c>
      <c r="GF348" s="49">
        <f ca="1">IF(FO323=1,GF343+GG343/GB348,0)</f>
        <v>0</v>
      </c>
      <c r="GG348" s="49">
        <f ca="1">IF(FO323=1,GF343,0)</f>
        <v>0</v>
      </c>
      <c r="GH348" s="49"/>
      <c r="GI348" s="49">
        <f ca="1">IF(FO323=0,0,IF(FO337=1,GI356,IF(FO337=2,GC351,IF(FO337=3,GR356,0))))</f>
        <v>0</v>
      </c>
      <c r="GJ348" s="49">
        <f ca="1">IF(FO323=1,0.2*GJ356,0)</f>
        <v>0</v>
      </c>
      <c r="GK348" s="49">
        <f ca="1">0.2*GK356</f>
        <v>0</v>
      </c>
      <c r="GL348" s="49">
        <f ca="1">GL356</f>
        <v>0</v>
      </c>
      <c r="GM348" s="49">
        <f ca="1">GM356</f>
        <v>0</v>
      </c>
      <c r="GN348" s="49">
        <f ca="1">IF(FO323=0,0,-GD343*GC348^2+GE343*GC348)</f>
        <v>0</v>
      </c>
      <c r="GO348" s="49">
        <f ca="1">IF(FO323=0,0,GF343*GC348+GG343)</f>
        <v>0</v>
      </c>
      <c r="GP348" s="49">
        <f ca="1">IF(FO323=0,0,IF(FO337=1,GF343*GQ348+GG343+GE337,IF(FO337=2,GN351,0)))</f>
        <v>0</v>
      </c>
      <c r="GQ348" s="49">
        <f ca="1">IF(FO323=0,0,IF(FO337=1,GI346,IF(FO337=2,GI346,0)))</f>
        <v>0</v>
      </c>
      <c r="GR348" s="49">
        <f ca="1">IF(FO323=0,0,IF(FO337=3,GR342,IF(FO337=2,GC351,IF(FO337=1,GK356,0))))</f>
        <v>0</v>
      </c>
      <c r="GS348" s="49">
        <f ca="1">0.2*GS356</f>
        <v>0</v>
      </c>
      <c r="GT348" s="49">
        <f ca="1">IF(FO323=1,GF343*GC348,0)</f>
        <v>0</v>
      </c>
      <c r="GU348" s="49">
        <f ca="1">GU356</f>
        <v>0</v>
      </c>
      <c r="GV348" s="49"/>
      <c r="GW348" s="49"/>
      <c r="GX348" s="49"/>
      <c r="GY348" s="49"/>
      <c r="GZ348" s="49"/>
      <c r="HA348" s="49"/>
      <c r="HB348" s="48"/>
      <c r="HC348" s="48"/>
      <c r="HD348" s="48"/>
      <c r="HE348" s="48"/>
      <c r="HF348" s="13"/>
      <c r="HG348" s="13"/>
      <c r="HH348" s="13"/>
    </row>
    <row r="349" spans="1:216" ht="16.5" customHeight="1">
      <c r="A349" s="1"/>
      <c r="B349" s="3"/>
      <c r="C349" s="3"/>
      <c r="D349" s="12"/>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26"/>
      <c r="FL349" s="26"/>
      <c r="FM349" s="47"/>
      <c r="FN349" s="47"/>
      <c r="FO349" s="47"/>
      <c r="FP349" s="47"/>
      <c r="FQ349" s="47"/>
      <c r="FR349" s="79"/>
      <c r="FS349" s="79"/>
      <c r="FT349" s="79"/>
      <c r="FU349" s="79"/>
      <c r="FV349" s="79"/>
      <c r="FW349" s="47"/>
      <c r="FX349" s="47"/>
      <c r="FY349" s="47"/>
      <c r="FZ349" s="47"/>
      <c r="GA349" s="49"/>
      <c r="GB349" s="49" t="str">
        <f t="shared" ca="1" si="7"/>
        <v/>
      </c>
      <c r="GC349" s="49" t="str">
        <f ca="1">IF(FO323=1,0.3*(GE343/GD343),"")</f>
        <v/>
      </c>
      <c r="GD349" s="49">
        <f ca="1">IF(FO323=1,-GD343*GC349+GE343,0)</f>
        <v>0</v>
      </c>
      <c r="GE349" s="49">
        <f ca="1">IF(FO323=1,-2*GD343*GC349+GE343,0)</f>
        <v>0</v>
      </c>
      <c r="GF349" s="49">
        <f ca="1">IF(FO323=1,GF343+GG343/GB349,0)</f>
        <v>0</v>
      </c>
      <c r="GG349" s="49">
        <f ca="1">IF(FO323=1,GF343,0)</f>
        <v>0</v>
      </c>
      <c r="GH349" s="49"/>
      <c r="GI349" s="49">
        <f ca="1">IF(FO323=0,0,IF(FO337=1,GI356,IF(FO337=2,GC351,IF(FO337=3,GR356,0))))</f>
        <v>0</v>
      </c>
      <c r="GJ349" s="49">
        <f ca="1">IF(FO323=1,0.3*GJ356,0)</f>
        <v>0</v>
      </c>
      <c r="GK349" s="49">
        <f ca="1">0.3*GK356</f>
        <v>0</v>
      </c>
      <c r="GL349" s="49">
        <f ca="1">GL356</f>
        <v>0</v>
      </c>
      <c r="GM349" s="49">
        <f ca="1">GM356</f>
        <v>0</v>
      </c>
      <c r="GN349" s="49">
        <f ca="1">IF(FO323=0,0,-GD343*GC349^2+GE343*GC349)</f>
        <v>0</v>
      </c>
      <c r="GO349" s="49">
        <f ca="1">IF(FO323=0,0,GF343*GC349+GG343)</f>
        <v>0</v>
      </c>
      <c r="GP349" s="49">
        <f ca="1">IF(FO323=0,0,IF(FO337=1,GF343*GQ349+GG343+GE337,IF(FO337=2,GN351,0)))</f>
        <v>0</v>
      </c>
      <c r="GQ349" s="49">
        <f ca="1">IF(FO323=0,0,IF(FO337=1,GI346+1*GC347,IF(FO337=2,GI346+1*GC347,0)))</f>
        <v>0</v>
      </c>
      <c r="GR349" s="49">
        <f ca="1">IF(FO323=0,0,IF(FO337=3,GR342,IF(FO337=2,GC351,IF(FO337=1,GK356,0))))</f>
        <v>0</v>
      </c>
      <c r="GS349" s="49">
        <f ca="1">0.3*GS356</f>
        <v>0</v>
      </c>
      <c r="GT349" s="49">
        <f ca="1">IF(FO323=1,GF343*GC349,0)</f>
        <v>0</v>
      </c>
      <c r="GU349" s="49">
        <f ca="1">GU356</f>
        <v>0</v>
      </c>
      <c r="GV349" s="49"/>
      <c r="GW349" s="49"/>
      <c r="GX349" s="49"/>
      <c r="GY349" s="49"/>
      <c r="GZ349" s="49"/>
      <c r="HA349" s="49"/>
      <c r="HB349" s="48"/>
      <c r="HC349" s="48"/>
      <c r="HD349" s="48"/>
      <c r="HE349" s="48"/>
      <c r="HF349" s="13"/>
      <c r="HG349" s="13"/>
      <c r="HH349" s="13"/>
    </row>
    <row r="350" spans="1:216" ht="16.5" customHeight="1">
      <c r="A350" s="1"/>
      <c r="B350" s="3"/>
      <c r="C350" s="3"/>
      <c r="D350" s="12"/>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26"/>
      <c r="FL350" s="26"/>
      <c r="FM350" s="47"/>
      <c r="FN350" s="47"/>
      <c r="FO350" s="47"/>
      <c r="FP350" s="47"/>
      <c r="FQ350" s="47"/>
      <c r="FR350" s="79"/>
      <c r="FS350" s="79"/>
      <c r="FT350" s="79"/>
      <c r="FU350" s="79"/>
      <c r="FV350" s="79"/>
      <c r="FW350" s="47"/>
      <c r="FX350" s="47"/>
      <c r="FY350" s="47"/>
      <c r="FZ350" s="47"/>
      <c r="GA350" s="49"/>
      <c r="GB350" s="49" t="str">
        <f t="shared" ca="1" si="7"/>
        <v/>
      </c>
      <c r="GC350" s="49" t="str">
        <f ca="1">IF(FO323=1,0.4*(GE343/GD343),"")</f>
        <v/>
      </c>
      <c r="GD350" s="49">
        <f ca="1">IF(FO323=1,-GD343*GC350+GE343,0)</f>
        <v>0</v>
      </c>
      <c r="GE350" s="49">
        <f ca="1">IF(FO323=1,-2*GD343*GC350+GE343,0)</f>
        <v>0</v>
      </c>
      <c r="GF350" s="49">
        <f ca="1">IF(FO323=1,GF343+GG343/GB350,0)</f>
        <v>0</v>
      </c>
      <c r="GG350" s="49">
        <f ca="1">IF(FO323=1,GF343,0)</f>
        <v>0</v>
      </c>
      <c r="GH350" s="49"/>
      <c r="GI350" s="49">
        <f ca="1">IF(FO323=0,0,IF(FO337=1,GI356,IF(FO337=2,GC351,IF(FO337=3,GR356,0))))</f>
        <v>0</v>
      </c>
      <c r="GJ350" s="49">
        <f ca="1">IF(FO323=1,0.4*GJ356,0)</f>
        <v>0</v>
      </c>
      <c r="GK350" s="49">
        <f ca="1">0.4*GK356</f>
        <v>0</v>
      </c>
      <c r="GL350" s="49">
        <f ca="1">GL356</f>
        <v>0</v>
      </c>
      <c r="GM350" s="49">
        <f ca="1">GM356</f>
        <v>0</v>
      </c>
      <c r="GN350" s="49">
        <f ca="1">IF(FO323=0,0,-GD343*GC350^2+GE343*GC350)</f>
        <v>0</v>
      </c>
      <c r="GO350" s="49">
        <f ca="1">IF(FO323=0,0,GF343*GC350+GG343)</f>
        <v>0</v>
      </c>
      <c r="GP350" s="49">
        <f ca="1">IF(FO323=0,0,IF(FO337=1,GF343*GQ350+GG343+GE337,IF(FO337=2,GN351,0)))</f>
        <v>0</v>
      </c>
      <c r="GQ350" s="49">
        <f ca="1">IF(FO323=0,0,IF(FO337=1,GI346+2*GC347,IF(FO337=2,GI346+2*GC347,0)))</f>
        <v>0</v>
      </c>
      <c r="GR350" s="49">
        <f ca="1">IF(FO323=0,0,IF(FO337=3,GR342,IF(FO337=2,GC351,IF(FO337=1,GK356,0))))</f>
        <v>0</v>
      </c>
      <c r="GS350" s="49">
        <f ca="1">0.4*GS356</f>
        <v>0</v>
      </c>
      <c r="GT350" s="49">
        <f ca="1">IF(FO323=1,GF343*GC350,0)</f>
        <v>0</v>
      </c>
      <c r="GU350" s="49">
        <f ca="1">GU356</f>
        <v>0</v>
      </c>
      <c r="GV350" s="49"/>
      <c r="GW350" s="49"/>
      <c r="GX350" s="49"/>
      <c r="GY350" s="49"/>
      <c r="GZ350" s="49"/>
      <c r="HA350" s="49"/>
      <c r="HB350" s="48"/>
      <c r="HC350" s="48"/>
      <c r="HD350" s="48"/>
      <c r="HE350" s="48"/>
      <c r="HF350" s="13"/>
      <c r="HG350" s="13"/>
      <c r="HH350" s="13"/>
    </row>
    <row r="351" spans="1:216" ht="16.5" customHeight="1">
      <c r="A351" s="1"/>
      <c r="B351" s="3"/>
      <c r="C351" s="3"/>
      <c r="D351" s="12"/>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26"/>
      <c r="FL351" s="26"/>
      <c r="FM351" s="47"/>
      <c r="FN351" s="47"/>
      <c r="FO351" s="47"/>
      <c r="FP351" s="47"/>
      <c r="FQ351" s="47"/>
      <c r="FR351" s="79"/>
      <c r="FS351" s="79"/>
      <c r="FT351" s="79"/>
      <c r="FU351" s="79"/>
      <c r="FV351" s="79"/>
      <c r="FW351" s="47"/>
      <c r="FX351" s="47"/>
      <c r="FY351" s="47"/>
      <c r="FZ351" s="47"/>
      <c r="GA351" s="49"/>
      <c r="GB351" s="49" t="str">
        <f t="shared" ca="1" si="7"/>
        <v/>
      </c>
      <c r="GC351" s="49" t="str">
        <f ca="1">IF(FO323=1,0.5*(GE343/GD343),"")</f>
        <v/>
      </c>
      <c r="GD351" s="49">
        <f ca="1">IF(FO323=1,-GD343*GC351+GE343,0)</f>
        <v>0</v>
      </c>
      <c r="GE351" s="49">
        <f ca="1">IF(FO323=1,-2*GD343*GC351+GE343,0)</f>
        <v>0</v>
      </c>
      <c r="GF351" s="49">
        <f ca="1">IF(FO323=1,GF343+GG343/GB351,0)</f>
        <v>0</v>
      </c>
      <c r="GG351" s="49">
        <f ca="1">IF(FO323=1,GF343,0)</f>
        <v>0</v>
      </c>
      <c r="GH351" s="49"/>
      <c r="GI351" s="49">
        <f ca="1">IF(FO323=0,0,IF(FO337=1,GI356,IF(FO337=2,GC351,IF(FO337=3,GR356,0))))</f>
        <v>0</v>
      </c>
      <c r="GJ351" s="49">
        <f ca="1">IF(FO323=1,0.5*GJ356,0)</f>
        <v>0</v>
      </c>
      <c r="GK351" s="49">
        <f ca="1">0.5*GK356</f>
        <v>0</v>
      </c>
      <c r="GL351" s="49">
        <f ca="1">GL356</f>
        <v>0</v>
      </c>
      <c r="GM351" s="49">
        <f ca="1">GM356</f>
        <v>0</v>
      </c>
      <c r="GN351" s="49">
        <f ca="1">IF(FO323=0,0,-GD343*GC351^2+GE343*GC351)</f>
        <v>0</v>
      </c>
      <c r="GO351" s="49">
        <f ca="1">IF(FO323=0,0,GF343*GC351+GG343)</f>
        <v>0</v>
      </c>
      <c r="GP351" s="49"/>
      <c r="GQ351" s="49"/>
      <c r="GR351" s="49">
        <f ca="1">IF(FO323=0,0,IF(FO337=3,GR342,IF(FO337=2,GC351,IF(FO337=1,GK356,0))))</f>
        <v>0</v>
      </c>
      <c r="GS351" s="49">
        <f ca="1">0.5*GS356</f>
        <v>0</v>
      </c>
      <c r="GT351" s="49">
        <f ca="1">IF(FO323=1,GF343*GC351,0)</f>
        <v>0</v>
      </c>
      <c r="GU351" s="49">
        <f ca="1">GU356</f>
        <v>0</v>
      </c>
      <c r="GV351" s="49"/>
      <c r="GW351" s="49"/>
      <c r="GX351" s="49"/>
      <c r="GY351" s="49"/>
      <c r="GZ351" s="49"/>
      <c r="HA351" s="49"/>
      <c r="HB351" s="48"/>
      <c r="HC351" s="48"/>
      <c r="HD351" s="48"/>
      <c r="HE351" s="48"/>
      <c r="HF351" s="13"/>
      <c r="HG351" s="13"/>
      <c r="HH351" s="13"/>
    </row>
    <row r="352" spans="1:216" ht="16.5" customHeight="1">
      <c r="A352" s="1"/>
      <c r="B352" s="3"/>
      <c r="C352" s="3"/>
      <c r="D352" s="12"/>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26"/>
      <c r="FL352" s="26"/>
      <c r="FM352" s="47"/>
      <c r="FN352" s="47"/>
      <c r="FO352" s="47"/>
      <c r="FP352" s="47"/>
      <c r="FQ352" s="47"/>
      <c r="FR352" s="79"/>
      <c r="FS352" s="79"/>
      <c r="FT352" s="79"/>
      <c r="FU352" s="79"/>
      <c r="FV352" s="79"/>
      <c r="FW352" s="47"/>
      <c r="FX352" s="47"/>
      <c r="FY352" s="47"/>
      <c r="FZ352" s="47"/>
      <c r="GA352" s="49"/>
      <c r="GB352" s="49" t="str">
        <f t="shared" ca="1" si="7"/>
        <v/>
      </c>
      <c r="GC352" s="49" t="str">
        <f ca="1">IF(FO323=1,0.6*(GE343/GD343),"")</f>
        <v/>
      </c>
      <c r="GD352" s="49">
        <f ca="1">IF(FO323=1,-GD343*GC352+GE343,0)</f>
        <v>0</v>
      </c>
      <c r="GE352" s="49"/>
      <c r="GF352" s="49">
        <f ca="1">IF(FO323=1,GF343+GG343/GB352,0)</f>
        <v>0</v>
      </c>
      <c r="GG352" s="49">
        <f ca="1">IF(FO323=1,GF343,0)</f>
        <v>0</v>
      </c>
      <c r="GH352" s="49"/>
      <c r="GI352" s="49">
        <f ca="1">IF(FO323=0,0,IF(FO337=1,GI356,IF(FO337=2,GC351,IF(FO337=3,GR356,0))))</f>
        <v>0</v>
      </c>
      <c r="GJ352" s="49">
        <f ca="1">IF(FO323=1,0.6*GJ356,0)</f>
        <v>0</v>
      </c>
      <c r="GK352" s="49">
        <f ca="1">0.6*GK356</f>
        <v>0</v>
      </c>
      <c r="GL352" s="49">
        <f ca="1">GL356</f>
        <v>0</v>
      </c>
      <c r="GM352" s="49">
        <f ca="1">GM356</f>
        <v>0</v>
      </c>
      <c r="GN352" s="49">
        <f ca="1">IF(FO323=0,0,-GD343*GC352^2+GE343*GC352)</f>
        <v>0</v>
      </c>
      <c r="GO352" s="49">
        <f ca="1">IF(FO323=0,0,GF343*GC352+GG343)</f>
        <v>0</v>
      </c>
      <c r="GP352" s="49"/>
      <c r="GQ352" s="49"/>
      <c r="GR352" s="49">
        <f ca="1">IF(FO323=0,0,IF(FO337=3,GR342,IF(FO337=2,GC351,IF(FO337=1,GK356,0))))</f>
        <v>0</v>
      </c>
      <c r="GS352" s="49">
        <f ca="1">0.6*GS356</f>
        <v>0</v>
      </c>
      <c r="GT352" s="49">
        <f ca="1">IF(FO323=1,GF343*GC352,0)</f>
        <v>0</v>
      </c>
      <c r="GU352" s="49">
        <f ca="1">GU356</f>
        <v>0</v>
      </c>
      <c r="GV352" s="49"/>
      <c r="GW352" s="49"/>
      <c r="GX352" s="49"/>
      <c r="GY352" s="49"/>
      <c r="GZ352" s="49"/>
      <c r="HA352" s="49"/>
      <c r="HB352" s="48"/>
      <c r="HC352" s="48"/>
      <c r="HD352" s="48"/>
      <c r="HE352" s="48"/>
      <c r="HF352" s="13"/>
      <c r="HG352" s="13"/>
      <c r="HH352" s="13"/>
    </row>
    <row r="353" spans="1:216" ht="16.5" customHeight="1">
      <c r="A353" s="1"/>
      <c r="B353" s="3"/>
      <c r="C353" s="3"/>
      <c r="D353" s="12"/>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26"/>
      <c r="FL353" s="26"/>
      <c r="FM353" s="47"/>
      <c r="FN353" s="47"/>
      <c r="FO353" s="47"/>
      <c r="FP353" s="47"/>
      <c r="FQ353" s="47"/>
      <c r="FR353" s="47"/>
      <c r="FS353" s="49"/>
      <c r="FT353" s="49"/>
      <c r="FU353" s="79"/>
      <c r="FV353" s="47"/>
      <c r="FW353" s="47"/>
      <c r="FX353" s="47"/>
      <c r="FY353" s="47"/>
      <c r="FZ353" s="47"/>
      <c r="GA353" s="49"/>
      <c r="GB353" s="49" t="str">
        <f t="shared" ca="1" si="7"/>
        <v/>
      </c>
      <c r="GC353" s="49" t="str">
        <f ca="1">IF(FO323=1,0.7*(GE343/GD343),"")</f>
        <v/>
      </c>
      <c r="GD353" s="49">
        <f ca="1">IF(FO323=1,-GD343*GC353+GE343,0)</f>
        <v>0</v>
      </c>
      <c r="GE353" s="49"/>
      <c r="GF353" s="49">
        <f ca="1">IF(FO323=1,GF343+GG343/GB353,0)</f>
        <v>0</v>
      </c>
      <c r="GG353" s="49">
        <f ca="1">IF(FO323=1,GF343,0)</f>
        <v>0</v>
      </c>
      <c r="GH353" s="49"/>
      <c r="GI353" s="49">
        <f ca="1">IF(FO323=0,0,IF(FO337=1,GI356,IF(FO337=2,GC351,IF(FO337=3,GR356,0))))</f>
        <v>0</v>
      </c>
      <c r="GJ353" s="49">
        <f ca="1">IF(FO323=1,0.7*GJ356,0)</f>
        <v>0</v>
      </c>
      <c r="GK353" s="49">
        <f ca="1">0.7*GK356</f>
        <v>0</v>
      </c>
      <c r="GL353" s="49">
        <f ca="1">GL356</f>
        <v>0</v>
      </c>
      <c r="GM353" s="49">
        <f ca="1">GM356</f>
        <v>0</v>
      </c>
      <c r="GN353" s="49">
        <f ca="1">IF(FO323=0,0,-GD343*GC353^2+GE343*GC353)</f>
        <v>0</v>
      </c>
      <c r="GO353" s="49">
        <f ca="1">IF(FO323=0,0,GF343*GC353+GG343)</f>
        <v>0</v>
      </c>
      <c r="GP353" s="49"/>
      <c r="GQ353" s="49"/>
      <c r="GR353" s="49">
        <f ca="1">IF(FO323=0,0,IF(FO337=3,GR342,IF(FO337=2,GC351,IF(FO337=1,GK356,0))))</f>
        <v>0</v>
      </c>
      <c r="GS353" s="49">
        <f ca="1">0.7*GS356</f>
        <v>0</v>
      </c>
      <c r="GT353" s="49">
        <f ca="1">IF(FO323=1,GF343*GC353,0)</f>
        <v>0</v>
      </c>
      <c r="GU353" s="49">
        <f ca="1">GU356</f>
        <v>0</v>
      </c>
      <c r="GV353" s="49"/>
      <c r="GW353" s="49"/>
      <c r="GX353" s="49"/>
      <c r="GY353" s="49"/>
      <c r="GZ353" s="49"/>
      <c r="HA353" s="49"/>
      <c r="HB353" s="48"/>
      <c r="HC353" s="48"/>
      <c r="HD353" s="48"/>
      <c r="HE353" s="48"/>
      <c r="HF353" s="13"/>
      <c r="HG353" s="13"/>
      <c r="HH353" s="13"/>
    </row>
    <row r="354" spans="1:216" ht="16.5" customHeight="1">
      <c r="A354" s="1"/>
      <c r="B354" s="3"/>
      <c r="C354" s="3"/>
      <c r="D354" s="12"/>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26"/>
      <c r="FL354" s="26"/>
      <c r="FM354" s="47"/>
      <c r="FN354" s="47"/>
      <c r="FO354" s="47"/>
      <c r="FP354" s="47"/>
      <c r="FQ354" s="47"/>
      <c r="FR354" s="47"/>
      <c r="FS354" s="49"/>
      <c r="FT354" s="49"/>
      <c r="FU354" s="47"/>
      <c r="FV354" s="47"/>
      <c r="FW354" s="47"/>
      <c r="FX354" s="47"/>
      <c r="FY354" s="47"/>
      <c r="FZ354" s="47"/>
      <c r="GA354" s="49"/>
      <c r="GB354" s="49" t="str">
        <f t="shared" ca="1" si="7"/>
        <v/>
      </c>
      <c r="GC354" s="49" t="str">
        <f ca="1">IF(FO323=1,0.8*(GE343/GD343),"")</f>
        <v/>
      </c>
      <c r="GD354" s="49">
        <f ca="1">IF(FO323=1,-GD343*GC354+GE343,0)</f>
        <v>0</v>
      </c>
      <c r="GE354" s="49"/>
      <c r="GF354" s="49">
        <f ca="1">IF(FO323=1,GF343+GG343/GB354,0)</f>
        <v>0</v>
      </c>
      <c r="GG354" s="49">
        <f ca="1">IF(FO323=1,GF343,0)</f>
        <v>0</v>
      </c>
      <c r="GH354" s="49"/>
      <c r="GI354" s="49">
        <f ca="1">IF(FO323=0,0,IF(FO337=1,GI356,IF(FO337=2,GC351,IF(FO337=3,GR356,0))))</f>
        <v>0</v>
      </c>
      <c r="GJ354" s="49">
        <f ca="1">IF(FO323=1,0.8*GJ356,0)</f>
        <v>0</v>
      </c>
      <c r="GK354" s="49">
        <f ca="1">0.8*GK356</f>
        <v>0</v>
      </c>
      <c r="GL354" s="49">
        <f ca="1">GL356</f>
        <v>0</v>
      </c>
      <c r="GM354" s="49">
        <f ca="1">GM356</f>
        <v>0</v>
      </c>
      <c r="GN354" s="49">
        <f ca="1">IF(FO323=0,0,-GD343*GC354^2+GE343*GC354)</f>
        <v>0</v>
      </c>
      <c r="GO354" s="49">
        <f ca="1">IF(FO323=0,0,GF343*GC354+GG343)</f>
        <v>0</v>
      </c>
      <c r="GP354" s="49"/>
      <c r="GQ354" s="49"/>
      <c r="GR354" s="49">
        <f ca="1">IF(FO323=0,0,IF(FO337=3,GR342,IF(FO337=2,GC351,IF(FO337=1,GK356,0))))</f>
        <v>0</v>
      </c>
      <c r="GS354" s="49">
        <f ca="1">0.8*GS356</f>
        <v>0</v>
      </c>
      <c r="GT354" s="49">
        <f ca="1">IF(FO323=1,GF343*GC354,0)</f>
        <v>0</v>
      </c>
      <c r="GU354" s="49">
        <f ca="1">GU356</f>
        <v>0</v>
      </c>
      <c r="GV354" s="49"/>
      <c r="GW354" s="49"/>
      <c r="GX354" s="49"/>
      <c r="GY354" s="49"/>
      <c r="GZ354" s="49"/>
      <c r="HA354" s="49"/>
      <c r="HB354" s="48"/>
      <c r="HC354" s="48"/>
      <c r="HD354" s="48"/>
      <c r="HE354" s="48"/>
      <c r="HF354" s="13"/>
      <c r="HG354" s="13"/>
      <c r="HH354" s="13"/>
    </row>
    <row r="355" spans="1:216" ht="16.5" customHeight="1">
      <c r="A355" s="1"/>
      <c r="B355" s="3"/>
      <c r="C355" s="3"/>
      <c r="D355" s="12"/>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26"/>
      <c r="FL355" s="26"/>
      <c r="FM355" s="47"/>
      <c r="FN355" s="47"/>
      <c r="FO355" s="47"/>
      <c r="FP355" s="47"/>
      <c r="FQ355" s="47"/>
      <c r="FR355" s="47"/>
      <c r="FS355" s="49"/>
      <c r="FT355" s="49"/>
      <c r="FU355" s="47"/>
      <c r="FV355" s="47"/>
      <c r="FW355" s="47"/>
      <c r="FX355" s="47"/>
      <c r="FY355" s="47"/>
      <c r="FZ355" s="47"/>
      <c r="GA355" s="49"/>
      <c r="GB355" s="49" t="str">
        <f t="shared" ca="1" si="7"/>
        <v/>
      </c>
      <c r="GC355" s="49" t="str">
        <f ca="1">IF(FO323=1,0.9*(GE343/GD343),"")</f>
        <v/>
      </c>
      <c r="GD355" s="49">
        <f ca="1">IF(FO323=1,-GD343*GC355+GE343,0)</f>
        <v>0</v>
      </c>
      <c r="GE355" s="49"/>
      <c r="GF355" s="49">
        <f ca="1">IF(FO323=1,GF343+GG343/GB355,0)</f>
        <v>0</v>
      </c>
      <c r="GG355" s="49">
        <f ca="1">IF(FO323=1,GF343,0)</f>
        <v>0</v>
      </c>
      <c r="GH355" s="49"/>
      <c r="GI355" s="49">
        <f ca="1">IF(FO323=0,0,IF(FO337=1,GI356,IF(FO337=2,GC351,IF(FO337=3,GR356,0))))</f>
        <v>0</v>
      </c>
      <c r="GJ355" s="49">
        <f ca="1">IF(FO323=1,0.9*GJ356,0)</f>
        <v>0</v>
      </c>
      <c r="GK355" s="49">
        <f ca="1">0.9*GK356</f>
        <v>0</v>
      </c>
      <c r="GL355" s="49">
        <f ca="1">GL356</f>
        <v>0</v>
      </c>
      <c r="GM355" s="49">
        <f ca="1">GM356</f>
        <v>0</v>
      </c>
      <c r="GN355" s="49">
        <f ca="1">IF(FO323=0,0,-GD343*GC355^2+GE343*GC355)</f>
        <v>0</v>
      </c>
      <c r="GO355" s="49">
        <f ca="1">IF(FO323=0,0,GF343*GC355+GG343)</f>
        <v>0</v>
      </c>
      <c r="GP355" s="49"/>
      <c r="GQ355" s="49"/>
      <c r="GR355" s="49">
        <f ca="1">IF(FO323=0,0,IF(FO337=3,GR342,IF(FO337=2,GC351,IF(FO337=1,GK356,0))))</f>
        <v>0</v>
      </c>
      <c r="GS355" s="49">
        <f ca="1">0.9*GS356</f>
        <v>0</v>
      </c>
      <c r="GT355" s="49">
        <f ca="1">IF(FO323=1,GF343*GC355,0)</f>
        <v>0</v>
      </c>
      <c r="GU355" s="49">
        <f ca="1">GU356</f>
        <v>0</v>
      </c>
      <c r="GV355" s="49"/>
      <c r="GW355" s="49"/>
      <c r="GX355" s="49"/>
      <c r="GY355" s="49"/>
      <c r="GZ355" s="49"/>
      <c r="HA355" s="49"/>
      <c r="HB355" s="48"/>
      <c r="HC355" s="48"/>
      <c r="HD355" s="48"/>
      <c r="HE355" s="48"/>
      <c r="HF355" s="13"/>
      <c r="HG355" s="13"/>
      <c r="HH355" s="13"/>
    </row>
    <row r="356" spans="1:216" ht="16.95" customHeight="1">
      <c r="A356" s="1"/>
      <c r="B356" s="3"/>
      <c r="C356" s="3"/>
      <c r="D356" s="12" t="str">
        <f ca="1">IF(FN356=0,"","Onthou goed dat bij prijzetting de maximale winst bereikt wordt bij de")</f>
        <v/>
      </c>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26"/>
      <c r="FL356" s="26"/>
      <c r="FM356" s="47"/>
      <c r="FN356" s="47">
        <f ca="1">IF(programma!B1="X",1,IF(FO323=0,0,IF(OR(R337="",DZ337=""),0,1)))</f>
        <v>0</v>
      </c>
      <c r="FO356" s="47"/>
      <c r="FP356" s="47"/>
      <c r="FQ356" s="47"/>
      <c r="FR356" s="47"/>
      <c r="FS356" s="49"/>
      <c r="FT356" s="49"/>
      <c r="FU356" s="49"/>
      <c r="FV356" s="49"/>
      <c r="FW356" s="49"/>
      <c r="FX356" s="49"/>
      <c r="FY356" s="47"/>
      <c r="FZ356" s="47"/>
      <c r="GA356" s="49"/>
      <c r="GB356" s="49" t="str">
        <f ca="1">GC356</f>
        <v/>
      </c>
      <c r="GC356" s="49" t="str">
        <f ca="1">IF(FO323=1,(GE343/GD343),"")</f>
        <v/>
      </c>
      <c r="GD356" s="49">
        <f ca="1">IF(FO323=1,-GD343*GC356+GE343,0)</f>
        <v>0</v>
      </c>
      <c r="GE356" s="49"/>
      <c r="GF356" s="49">
        <f ca="1">IF(FO323=1,GF343+GG343/GB356,0)</f>
        <v>0</v>
      </c>
      <c r="GG356" s="49">
        <f ca="1">IF(FO323=1,GF343,0)</f>
        <v>0</v>
      </c>
      <c r="GH356" s="49"/>
      <c r="GI356" s="49">
        <f ca="1">IF(FO323=0,0,IF(FO337=1,-0.5*(GF343-GE343)/GD343,IF(FO337=2,GC351,IF(FO337=3,GR356,0))))</f>
        <v>0</v>
      </c>
      <c r="GJ356" s="49">
        <f ca="1">IF(FO323=1,-GD343*GI356+GE343,0)</f>
        <v>0</v>
      </c>
      <c r="GK356" s="49">
        <f ca="1">IF(FO323=0,0,IF(FO337=2,GC351,IF(FO337=1,-0.5*(GF343-GE343)/GD343,0)))</f>
        <v>0</v>
      </c>
      <c r="GL356" s="49">
        <f ca="1">IF(FO323=0,0,IF(FO337=1,GJ356,IF(FO337=2,GJ356,0)))</f>
        <v>0</v>
      </c>
      <c r="GM356" s="49">
        <f ca="1">IF(FO323=0,0,IF(FO337=1,GF343+GG343/GI356,IF(FO337=2,GF343+GG343/GI356,0)))</f>
        <v>0</v>
      </c>
      <c r="GN356" s="49">
        <f ca="1">IF(FO323=0,0,-GD343*GC356^2+GE343*GC356)</f>
        <v>0</v>
      </c>
      <c r="GO356" s="49">
        <f ca="1">IF(FO323=0,0,GF343*GC356+GG343)</f>
        <v>0</v>
      </c>
      <c r="GP356" s="49"/>
      <c r="GQ356" s="49"/>
      <c r="GR356" s="49">
        <f ca="1">IF(FO323=0,0,IF(FO337=3,GR342,IF(FO337=2,GC351,IF(FO337=1,GK356,0))))</f>
        <v>0</v>
      </c>
      <c r="GS356" s="49">
        <f ca="1">IF(OR(FN337=0,FO323=0),0,-GD343*GR356^2+GE343*GR356)</f>
        <v>0</v>
      </c>
      <c r="GT356" s="49">
        <f ca="1">IF(FO323=1,GF343*GC356,0)</f>
        <v>0</v>
      </c>
      <c r="GU356" s="49">
        <f ca="1">IF(FO323=0,0,IF(FO337=1,GF343,IF(FO337=2,GF343,0)))</f>
        <v>0</v>
      </c>
      <c r="GV356" s="49"/>
      <c r="GW356" s="49"/>
      <c r="GX356" s="49"/>
      <c r="GY356" s="49"/>
      <c r="GZ356" s="49"/>
      <c r="HA356" s="49"/>
      <c r="HB356" s="48"/>
      <c r="HC356" s="48"/>
      <c r="HD356" s="48"/>
      <c r="HE356" s="48"/>
      <c r="HF356" s="13"/>
      <c r="HG356" s="13"/>
      <c r="HH356" s="13"/>
    </row>
    <row r="357" spans="1:216" ht="16.95" customHeight="1">
      <c r="A357" s="1"/>
      <c r="B357" s="3"/>
      <c r="C357" s="3"/>
      <c r="D357" s="12" t="str">
        <f ca="1">IF(FN356=0,"","hoeveelheid waarbij geldt dat MO = MK en dat als er sprake is van variabele")</f>
        <v/>
      </c>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26"/>
      <c r="FL357" s="26"/>
      <c r="FM357" s="47"/>
      <c r="FN357" s="47"/>
      <c r="FO357" s="47"/>
      <c r="FP357" s="47"/>
      <c r="FQ357" s="47"/>
      <c r="FR357" s="47"/>
      <c r="FS357" s="49"/>
      <c r="FT357" s="49"/>
      <c r="FU357" s="49"/>
      <c r="FV357" s="49"/>
      <c r="FW357" s="49"/>
      <c r="FX357" s="49"/>
      <c r="FY357" s="47"/>
      <c r="FZ357" s="47"/>
      <c r="GA357" s="49"/>
      <c r="GB357" s="49" t="e">
        <f ca="1">GB356+GB347</f>
        <v>#VALUE!</v>
      </c>
      <c r="GC357" s="49"/>
      <c r="GD357" s="49"/>
      <c r="GE357" s="49"/>
      <c r="GF357" s="49"/>
      <c r="GG357" s="49"/>
      <c r="GH357" s="49"/>
      <c r="GI357" s="49"/>
      <c r="GJ357" s="49"/>
      <c r="GK357" s="49"/>
      <c r="GL357" s="49"/>
      <c r="GM357" s="49"/>
      <c r="GN357" s="49"/>
      <c r="GO357" s="49"/>
      <c r="GP357" s="49"/>
      <c r="GQ357" s="49"/>
      <c r="GR357" s="49"/>
      <c r="GS357" s="49"/>
      <c r="GT357" s="49"/>
      <c r="GU357" s="49"/>
      <c r="GV357" s="49"/>
      <c r="GW357" s="49"/>
      <c r="GX357" s="49"/>
      <c r="GY357" s="49"/>
      <c r="GZ357" s="49"/>
      <c r="HA357" s="49"/>
      <c r="HB357" s="48"/>
      <c r="HC357" s="48"/>
      <c r="HD357" s="48"/>
      <c r="HE357" s="48"/>
      <c r="HF357" s="13"/>
      <c r="HG357" s="13"/>
      <c r="HH357" s="13"/>
    </row>
    <row r="358" spans="1:216" ht="16.95" customHeight="1">
      <c r="A358" s="1"/>
      <c r="B358" s="3"/>
      <c r="C358" s="3"/>
      <c r="D358" s="12" t="str">
        <f ca="1">IF(FN356=0,"","kosten deze hoeveelheid eerder bereikt wordt dan de hoeveelheid waarbij")</f>
        <v/>
      </c>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26"/>
      <c r="FL358" s="26"/>
      <c r="FM358" s="47"/>
      <c r="FN358" s="47"/>
      <c r="FO358" s="47"/>
      <c r="FP358" s="47"/>
      <c r="FQ358" s="47"/>
      <c r="FR358" s="47"/>
      <c r="FS358" s="49"/>
      <c r="FT358" s="49"/>
      <c r="FU358" s="49"/>
      <c r="FV358" s="49"/>
      <c r="FW358" s="49"/>
      <c r="FX358" s="49"/>
      <c r="FY358" s="47"/>
      <c r="FZ358" s="47"/>
      <c r="GA358" s="49"/>
      <c r="GB358" s="49"/>
      <c r="GC358" s="49"/>
      <c r="GD358" s="49"/>
      <c r="GE358" s="49"/>
      <c r="GF358" s="49"/>
      <c r="GG358" s="49"/>
      <c r="GH358" s="49"/>
      <c r="GI358" s="49"/>
      <c r="GJ358" s="49"/>
      <c r="GK358" s="49"/>
      <c r="GL358" s="49"/>
      <c r="GM358" s="49"/>
      <c r="GN358" s="49"/>
      <c r="GO358" s="49"/>
      <c r="GP358" s="49"/>
      <c r="GQ358" s="49"/>
      <c r="GR358" s="49"/>
      <c r="GS358" s="49"/>
      <c r="GT358" s="49"/>
      <c r="GU358" s="49"/>
      <c r="GV358" s="49"/>
      <c r="GW358" s="49"/>
      <c r="GX358" s="49"/>
      <c r="GY358" s="49"/>
      <c r="GZ358" s="49"/>
      <c r="HA358" s="49"/>
      <c r="HB358" s="48"/>
      <c r="HC358" s="48"/>
      <c r="HD358" s="48"/>
      <c r="HE358" s="48"/>
      <c r="HF358" s="13"/>
      <c r="HG358" s="13"/>
      <c r="HH358" s="13"/>
    </row>
    <row r="359" spans="1:216" ht="16.95" customHeight="1">
      <c r="A359" s="1"/>
      <c r="B359" s="3"/>
      <c r="C359" s="3"/>
      <c r="D359" s="12" t="str">
        <f ca="1">IF(FN356=0,"","maximale omzet wordt bereikt. Ook als er geen of alleen constante kosten")</f>
        <v/>
      </c>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26"/>
      <c r="FL359" s="26"/>
      <c r="FM359" s="47"/>
      <c r="FN359" s="47"/>
      <c r="FO359" s="47"/>
      <c r="FP359" s="47"/>
      <c r="FQ359" s="47"/>
      <c r="FR359" s="47"/>
      <c r="FS359" s="49"/>
      <c r="FT359" s="49"/>
      <c r="FU359" s="49"/>
      <c r="FV359" s="49"/>
      <c r="FW359" s="49"/>
      <c r="FX359" s="49"/>
      <c r="FY359" s="47"/>
      <c r="FZ359" s="47"/>
      <c r="GA359" s="49"/>
      <c r="GB359" s="49"/>
      <c r="GC359" s="49"/>
      <c r="GD359" s="49"/>
      <c r="GE359" s="49"/>
      <c r="GF359" s="49"/>
      <c r="GG359" s="49"/>
      <c r="GH359" s="49"/>
      <c r="GI359" s="49"/>
      <c r="GJ359" s="49"/>
      <c r="GK359" s="49"/>
      <c r="GL359" s="49"/>
      <c r="GM359" s="49"/>
      <c r="GN359" s="49"/>
      <c r="GO359" s="49"/>
      <c r="GP359" s="49"/>
      <c r="GQ359" s="49"/>
      <c r="GR359" s="49"/>
      <c r="GS359" s="49"/>
      <c r="GT359" s="49"/>
      <c r="GU359" s="49"/>
      <c r="GV359" s="49"/>
      <c r="GW359" s="49"/>
      <c r="GX359" s="49"/>
      <c r="GY359" s="49"/>
      <c r="GZ359" s="49"/>
      <c r="HA359" s="49"/>
      <c r="HB359" s="48"/>
      <c r="HC359" s="48"/>
      <c r="HD359" s="48"/>
      <c r="HE359" s="48"/>
      <c r="HF359" s="13"/>
      <c r="HG359" s="13"/>
      <c r="HH359" s="13"/>
    </row>
    <row r="360" spans="1:216" ht="16.95" customHeight="1">
      <c r="A360" s="1"/>
      <c r="B360" s="3"/>
      <c r="C360" s="3"/>
      <c r="D360" s="12" t="str">
        <f ca="1">IF(FN356=0,"","zijn geldt dat maximale winst bereikt wordt bij de hoeveelheid waarbij geldt")</f>
        <v/>
      </c>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26"/>
      <c r="FL360" s="26"/>
      <c r="FM360" s="47"/>
      <c r="FN360" s="47"/>
      <c r="FO360" s="47"/>
      <c r="FP360" s="47"/>
      <c r="FQ360" s="47"/>
      <c r="FR360" s="47"/>
      <c r="FS360" s="49"/>
      <c r="FT360" s="49"/>
      <c r="FU360" s="49"/>
      <c r="FV360" s="49"/>
      <c r="FW360" s="49"/>
      <c r="FX360" s="49"/>
      <c r="FY360" s="47"/>
      <c r="FZ360" s="47"/>
      <c r="GA360" s="49"/>
      <c r="GB360" s="49"/>
      <c r="GC360" s="49"/>
      <c r="GD360" s="49"/>
      <c r="GE360" s="49"/>
      <c r="GF360" s="49"/>
      <c r="GG360" s="49"/>
      <c r="GH360" s="49"/>
      <c r="GI360" s="49"/>
      <c r="GJ360" s="49"/>
      <c r="GK360" s="49"/>
      <c r="GL360" s="49"/>
      <c r="GM360" s="49"/>
      <c r="GN360" s="49"/>
      <c r="GO360" s="49"/>
      <c r="GP360" s="49"/>
      <c r="GQ360" s="49"/>
      <c r="GR360" s="49"/>
      <c r="GS360" s="49"/>
      <c r="GT360" s="49"/>
      <c r="GU360" s="49"/>
      <c r="GV360" s="49"/>
      <c r="GW360" s="49"/>
      <c r="GX360" s="49"/>
      <c r="GY360" s="49"/>
      <c r="GZ360" s="49"/>
      <c r="HA360" s="49"/>
      <c r="HB360" s="48"/>
      <c r="HC360" s="48"/>
      <c r="HD360" s="48"/>
      <c r="HE360" s="48"/>
      <c r="HF360" s="13"/>
      <c r="HG360" s="13"/>
      <c r="HH360" s="13"/>
    </row>
    <row r="361" spans="1:216" ht="16.95" customHeight="1">
      <c r="A361" s="1"/>
      <c r="B361" s="3"/>
      <c r="C361" s="3"/>
      <c r="D361" s="12" t="str">
        <f ca="1">IF(FN356=0,"","dat MO = MK, alleen is daar iets aparts aan de hand met MK. Wat geldt")</f>
        <v/>
      </c>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26"/>
      <c r="FL361" s="26"/>
      <c r="FM361" s="47"/>
      <c r="FN361" s="47"/>
      <c r="FO361" s="47"/>
      <c r="FP361" s="47"/>
      <c r="FQ361" s="47"/>
      <c r="FR361" s="47"/>
      <c r="FS361" s="49"/>
      <c r="FT361" s="49"/>
      <c r="FU361" s="49"/>
      <c r="FV361" s="49"/>
      <c r="FW361" s="49"/>
      <c r="FX361" s="49"/>
      <c r="FY361" s="47"/>
      <c r="FZ361" s="47"/>
      <c r="GA361" s="49"/>
      <c r="GB361" s="49"/>
      <c r="GC361" s="49" t="str">
        <f ca="1">GC346</f>
        <v/>
      </c>
      <c r="GD361" s="49" t="str">
        <f ca="1">GC361</f>
        <v/>
      </c>
      <c r="GE361" s="49"/>
      <c r="GF361" s="49"/>
      <c r="GG361" s="49"/>
      <c r="GH361" s="49"/>
      <c r="GI361" s="49"/>
      <c r="GJ361" s="49"/>
      <c r="GK361" s="49"/>
      <c r="GL361" s="49"/>
      <c r="GM361" s="49"/>
      <c r="GN361" s="49"/>
      <c r="GO361" s="49"/>
      <c r="GP361" s="49"/>
      <c r="GQ361" s="49"/>
      <c r="GR361" s="49"/>
      <c r="GS361" s="49"/>
      <c r="GT361" s="49"/>
      <c r="GU361" s="49"/>
      <c r="GV361" s="49"/>
      <c r="GW361" s="49"/>
      <c r="GX361" s="49"/>
      <c r="GY361" s="49"/>
      <c r="GZ361" s="49"/>
      <c r="HA361" s="49"/>
      <c r="HB361" s="48"/>
      <c r="HC361" s="48"/>
      <c r="HD361" s="48"/>
      <c r="HE361" s="48"/>
      <c r="HF361" s="13"/>
      <c r="HG361" s="13"/>
      <c r="HH361" s="13"/>
    </row>
    <row r="362" spans="1:216" ht="16.95" customHeight="1">
      <c r="A362" s="1"/>
      <c r="B362" s="3"/>
      <c r="C362" s="3"/>
      <c r="D362" s="12" t="str">
        <f ca="1">IF(FN356=0,"","namelijk als er geen kosten zijn of als er alleen maar constante kosten?")</f>
        <v/>
      </c>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c r="CV362" s="376"/>
      <c r="CW362" s="376"/>
      <c r="CX362" s="376"/>
      <c r="CY362" s="376"/>
      <c r="CZ362" s="376"/>
      <c r="DA362" s="376"/>
      <c r="DB362" s="376"/>
      <c r="DC362" s="376"/>
      <c r="DD362" s="376"/>
      <c r="DE362" s="376"/>
      <c r="DF362" s="376"/>
      <c r="DG362" s="376"/>
      <c r="DH362" s="376"/>
      <c r="DI362" s="376"/>
      <c r="DJ362" s="376"/>
      <c r="DK362" s="376"/>
      <c r="DL362" s="376"/>
      <c r="DM362" s="376"/>
      <c r="DN362" s="376"/>
      <c r="DO362" s="376"/>
      <c r="DP362" s="376"/>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26"/>
      <c r="FL362" s="26"/>
      <c r="FM362" s="47"/>
      <c r="FN362" s="47"/>
      <c r="FO362" s="47"/>
      <c r="FP362" s="47"/>
      <c r="FQ362" s="47"/>
      <c r="FR362" s="47"/>
      <c r="FS362" s="49"/>
      <c r="FT362" s="49"/>
      <c r="FU362" s="49"/>
      <c r="FV362" s="49"/>
      <c r="FW362" s="49"/>
      <c r="FX362" s="49"/>
      <c r="FY362" s="47"/>
      <c r="FZ362" s="47"/>
      <c r="GA362" s="49"/>
      <c r="GB362" s="49"/>
      <c r="GC362" s="49"/>
      <c r="GD362" s="49"/>
      <c r="GE362" s="49"/>
      <c r="GF362" s="49"/>
      <c r="GG362" s="49"/>
      <c r="GH362" s="49"/>
      <c r="GI362" s="49"/>
      <c r="GJ362" s="49"/>
      <c r="GK362" s="49"/>
      <c r="GL362" s="49"/>
      <c r="GM362" s="49"/>
      <c r="GN362" s="49"/>
      <c r="GO362" s="49"/>
      <c r="GP362" s="49"/>
      <c r="GQ362" s="49"/>
      <c r="GR362" s="49"/>
      <c r="GS362" s="49"/>
      <c r="GT362" s="49"/>
      <c r="GU362" s="49"/>
      <c r="GV362" s="49"/>
      <c r="GW362" s="49"/>
      <c r="GX362" s="49"/>
      <c r="GY362" s="49"/>
      <c r="GZ362" s="49"/>
      <c r="HA362" s="49"/>
      <c r="HB362" s="48"/>
      <c r="HC362" s="48"/>
      <c r="HD362" s="48"/>
      <c r="HE362" s="48"/>
      <c r="HF362" s="13"/>
      <c r="HG362" s="13"/>
      <c r="HH362" s="13"/>
    </row>
    <row r="363" spans="1:216" ht="8.25" customHeight="1">
      <c r="A363" s="1"/>
      <c r="B363" s="3"/>
      <c r="C363" s="3"/>
      <c r="D363" s="12"/>
      <c r="E363" s="79"/>
      <c r="F363" s="79"/>
      <c r="G363" s="79"/>
      <c r="H363" s="10"/>
      <c r="I363" s="10"/>
      <c r="J363" s="10"/>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c r="CV363" s="376"/>
      <c r="CW363" s="376"/>
      <c r="CX363" s="376"/>
      <c r="CY363" s="376"/>
      <c r="CZ363" s="376"/>
      <c r="DA363" s="376"/>
      <c r="DB363" s="376"/>
      <c r="DC363" s="376"/>
      <c r="DD363" s="376"/>
      <c r="DE363" s="376"/>
      <c r="DF363" s="376"/>
      <c r="DG363" s="376"/>
      <c r="DH363" s="376"/>
      <c r="DI363" s="376"/>
      <c r="DJ363" s="376"/>
      <c r="DK363" s="376"/>
      <c r="DL363" s="376"/>
      <c r="DM363" s="376"/>
      <c r="DN363" s="376"/>
      <c r="DO363" s="376"/>
      <c r="DP363" s="376"/>
      <c r="DQ363" s="126"/>
      <c r="DR363" s="126"/>
      <c r="DS363" s="126"/>
      <c r="DT363" s="126"/>
      <c r="DU363" s="126"/>
      <c r="DV363" s="126"/>
      <c r="DW363" s="126"/>
      <c r="DX363" s="126"/>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26"/>
      <c r="FL363" s="26"/>
      <c r="FM363" s="49"/>
      <c r="FN363" s="49"/>
      <c r="FO363" s="49"/>
      <c r="FP363" s="49"/>
      <c r="FQ363" s="49"/>
      <c r="FR363" s="49"/>
      <c r="FS363" s="49"/>
      <c r="FT363" s="49"/>
      <c r="FU363" s="79"/>
      <c r="FV363" s="79"/>
      <c r="FW363" s="47"/>
      <c r="FX363" s="47"/>
      <c r="FY363" s="47"/>
      <c r="FZ363" s="47"/>
      <c r="GA363" s="49"/>
      <c r="GB363" s="49"/>
      <c r="GC363" s="49"/>
      <c r="GD363" s="49"/>
      <c r="GE363" s="49"/>
      <c r="GF363" s="49"/>
      <c r="GG363" s="49"/>
      <c r="GH363" s="49"/>
      <c r="GI363" s="49"/>
      <c r="GJ363" s="49"/>
      <c r="GK363" s="49"/>
      <c r="GL363" s="49"/>
      <c r="GM363" s="49"/>
      <c r="GN363" s="49"/>
      <c r="GO363" s="49"/>
      <c r="GP363" s="49"/>
      <c r="GQ363" s="49"/>
      <c r="GR363" s="49"/>
      <c r="GS363" s="49"/>
      <c r="GT363" s="49"/>
      <c r="GU363" s="49"/>
      <c r="GV363" s="49"/>
      <c r="GW363" s="49"/>
      <c r="GX363" s="49"/>
      <c r="GY363" s="49"/>
      <c r="GZ363" s="49"/>
      <c r="HA363" s="49"/>
      <c r="HB363" s="48"/>
      <c r="HC363" s="48"/>
      <c r="HD363" s="48"/>
      <c r="HE363" s="48"/>
      <c r="HF363" s="13"/>
      <c r="HG363" s="13"/>
      <c r="HH363" s="13"/>
    </row>
    <row r="364" spans="1:216" ht="3.75" customHeight="1">
      <c r="A364" s="1"/>
      <c r="B364" s="3"/>
      <c r="C364" s="3"/>
      <c r="D364" s="38"/>
      <c r="E364" s="10"/>
      <c r="F364" s="10"/>
      <c r="G364" s="10"/>
      <c r="H364" s="10"/>
      <c r="I364" s="10"/>
      <c r="J364" s="10"/>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376"/>
      <c r="BM364" s="43"/>
      <c r="BN364" s="43"/>
      <c r="BO364" s="43"/>
      <c r="BP364" s="376"/>
      <c r="BQ364" s="538" t="str">
        <f ca="1">IF(FN356=0,"",".")</f>
        <v/>
      </c>
      <c r="BR364" s="545"/>
      <c r="BS364" s="545"/>
      <c r="BT364" s="545"/>
      <c r="BU364" s="545"/>
      <c r="BV364" s="545"/>
      <c r="BW364" s="545"/>
      <c r="BX364" s="545"/>
      <c r="BY364" s="545"/>
      <c r="BZ364" s="545"/>
      <c r="CA364" s="545"/>
      <c r="CB364" s="545"/>
      <c r="CC364" s="545"/>
      <c r="CD364" s="545"/>
      <c r="CE364" s="545"/>
      <c r="CF364" s="545"/>
      <c r="CG364" s="545"/>
      <c r="CH364" s="545"/>
      <c r="CI364" s="370"/>
      <c r="CJ364" s="370"/>
      <c r="CK364" s="370"/>
      <c r="CL364" s="370"/>
      <c r="CM364" s="370"/>
      <c r="CN364" s="376"/>
      <c r="CO364" s="351"/>
      <c r="CP364" s="351"/>
      <c r="CQ364" s="351"/>
      <c r="CR364" s="351"/>
      <c r="CS364" s="351"/>
      <c r="CT364" s="351"/>
      <c r="CU364" s="351"/>
      <c r="CV364" s="351"/>
      <c r="CW364" s="351"/>
      <c r="CX364" s="351"/>
      <c r="CY364" s="351"/>
      <c r="CZ364" s="376"/>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79"/>
      <c r="DZ364" s="79"/>
      <c r="EA364" s="79"/>
      <c r="EB364" s="79"/>
      <c r="EC364" s="79"/>
      <c r="ED364" s="79"/>
      <c r="EE364" s="79"/>
      <c r="EF364" s="79"/>
      <c r="EG364" s="79"/>
      <c r="EH364" s="79"/>
      <c r="EI364" s="79"/>
      <c r="EJ364" s="79"/>
      <c r="EK364" s="79"/>
      <c r="EL364" s="43"/>
      <c r="EM364" s="43"/>
      <c r="EN364" s="43"/>
      <c r="EO364" s="43"/>
      <c r="EP364" s="43"/>
      <c r="EQ364" s="43"/>
      <c r="ER364" s="43"/>
      <c r="ES364" s="79"/>
      <c r="ET364" s="79"/>
      <c r="EU364" s="196"/>
      <c r="EV364" s="196"/>
      <c r="EW364" s="196"/>
      <c r="EX364" s="196"/>
      <c r="EY364" s="196"/>
      <c r="EZ364" s="10"/>
      <c r="FA364" s="10"/>
      <c r="FB364" s="10"/>
      <c r="FC364" s="10"/>
      <c r="FD364" s="10"/>
      <c r="FE364" s="10"/>
      <c r="FF364" s="10"/>
      <c r="FG364" s="10"/>
      <c r="FH364" s="10"/>
      <c r="FI364" s="10"/>
      <c r="FJ364" s="10"/>
      <c r="FK364" s="26"/>
      <c r="FL364" s="26"/>
      <c r="FM364" s="47"/>
      <c r="FN364" s="47"/>
      <c r="FO364" s="47"/>
      <c r="FP364" s="47"/>
      <c r="FQ364" s="47"/>
      <c r="FR364" s="47"/>
      <c r="FS364" s="49"/>
      <c r="FT364" s="49"/>
      <c r="FU364" s="47"/>
      <c r="FV364" s="47"/>
      <c r="FW364" s="47"/>
      <c r="FX364" s="47"/>
      <c r="FY364" s="47"/>
      <c r="FZ364" s="47"/>
      <c r="GA364" s="49"/>
      <c r="GB364" s="49"/>
      <c r="GC364" s="49"/>
      <c r="GD364" s="49"/>
      <c r="GE364" s="49"/>
      <c r="GF364" s="49"/>
      <c r="GG364" s="49"/>
      <c r="GH364" s="49"/>
      <c r="GI364" s="49"/>
      <c r="GJ364" s="49"/>
      <c r="GK364" s="49"/>
      <c r="GL364" s="49"/>
      <c r="GM364" s="49"/>
      <c r="GN364" s="49"/>
      <c r="GO364" s="49"/>
      <c r="GP364" s="49"/>
      <c r="GQ364" s="49"/>
      <c r="GR364" s="49"/>
      <c r="GS364" s="49"/>
      <c r="GT364" s="49"/>
      <c r="GU364" s="49"/>
      <c r="GV364" s="49"/>
      <c r="GW364" s="49"/>
      <c r="GX364" s="49"/>
      <c r="GY364" s="49"/>
      <c r="GZ364" s="49"/>
      <c r="HA364" s="49"/>
      <c r="HB364" s="48"/>
      <c r="HC364" s="48"/>
      <c r="HD364" s="48"/>
      <c r="HE364" s="48"/>
      <c r="HF364" s="13"/>
      <c r="HG364" s="13"/>
      <c r="HH364" s="13"/>
    </row>
    <row r="365" spans="1:216" ht="16.5" customHeight="1">
      <c r="A365" s="1"/>
      <c r="B365" s="3"/>
      <c r="C365" s="3"/>
      <c r="D365" s="43"/>
      <c r="E365" s="10"/>
      <c r="F365" s="10"/>
      <c r="G365" s="10"/>
      <c r="H365" s="10"/>
      <c r="I365" s="10"/>
      <c r="J365" s="10"/>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376"/>
      <c r="BM365" s="43"/>
      <c r="BN365" s="43"/>
      <c r="BO365" s="182" t="str">
        <f ca="1">IF(FN356=0,"","Bij geen of alleen constante kosten geldt:")</f>
        <v/>
      </c>
      <c r="BP365" s="43"/>
      <c r="BQ365" s="43" t="str">
        <f ca="1">IF(FN356=0,"",".")</f>
        <v/>
      </c>
      <c r="BR365" s="636"/>
      <c r="BS365" s="636"/>
      <c r="BT365" s="636"/>
      <c r="BU365" s="636"/>
      <c r="BV365" s="636"/>
      <c r="BW365" s="636"/>
      <c r="BX365" s="636"/>
      <c r="BY365" s="636"/>
      <c r="BZ365" s="636"/>
      <c r="CA365" s="636"/>
      <c r="CB365" s="636"/>
      <c r="CC365" s="636"/>
      <c r="CD365" s="636"/>
      <c r="CE365" s="636"/>
      <c r="CF365" s="636"/>
      <c r="CG365" s="636"/>
      <c r="CH365" s="226" t="str">
        <f ca="1">IF(FN356=0,"",".")</f>
        <v/>
      </c>
      <c r="CI365" s="43"/>
      <c r="CJ365" s="118" t="str">
        <f ca="1">IF(FN356=0,"",IF(BR365="","",IF(FO365=1,"Goed!",IF(BR365=FR365,"Fout! MO wordt na de maximale omzet negatief, MK nooit!","Fout! De MK van constante kosten is bij elke hoeveelheid hetzelfde, MO niet!"))))</f>
        <v/>
      </c>
      <c r="CK365" s="43"/>
      <c r="CL365" s="43"/>
      <c r="CM365" s="43"/>
      <c r="CN365" s="43"/>
      <c r="CO365" s="351"/>
      <c r="CP365" s="351"/>
      <c r="CQ365" s="351"/>
      <c r="CR365" s="351"/>
      <c r="CS365" s="351"/>
      <c r="CT365" s="351"/>
      <c r="CU365" s="351"/>
      <c r="CV365" s="351"/>
      <c r="CW365" s="351"/>
      <c r="CX365" s="351"/>
      <c r="CY365" s="351"/>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79"/>
      <c r="DZ365" s="79"/>
      <c r="EA365" s="79"/>
      <c r="EB365" s="79"/>
      <c r="EC365" s="79"/>
      <c r="ED365" s="196"/>
      <c r="EE365" s="196"/>
      <c r="EF365" s="196"/>
      <c r="EG365" s="196"/>
      <c r="EH365" s="196"/>
      <c r="EI365" s="196"/>
      <c r="EJ365" s="196"/>
      <c r="EK365" s="196"/>
      <c r="EL365" s="196"/>
      <c r="EM365" s="196"/>
      <c r="EN365" s="196"/>
      <c r="EO365" s="196"/>
      <c r="EP365" s="196"/>
      <c r="EQ365" s="196"/>
      <c r="ER365" s="196"/>
      <c r="ES365" s="196"/>
      <c r="ET365" s="196"/>
      <c r="EU365" s="196"/>
      <c r="EV365" s="196"/>
      <c r="EW365" s="196"/>
      <c r="EX365" s="196"/>
      <c r="EY365" s="195"/>
      <c r="EZ365" s="10"/>
      <c r="FA365" s="10"/>
      <c r="FB365" s="10"/>
      <c r="FC365" s="10"/>
      <c r="FD365" s="10"/>
      <c r="FE365" s="10"/>
      <c r="FF365" s="10"/>
      <c r="FG365" s="10"/>
      <c r="FH365" s="10"/>
      <c r="FI365" s="10"/>
      <c r="FJ365" s="10"/>
      <c r="FK365" s="26"/>
      <c r="FL365" s="26"/>
      <c r="FM365" s="470"/>
      <c r="FN365" s="79" t="str">
        <f ca="1">IF(FO1=0,"",FQ365)</f>
        <v>MK = 0</v>
      </c>
      <c r="FO365" s="48">
        <f ca="1">IF(programma!B1="X",1,IF(FN356=0,0,IF(BR365=FQ365,1,0)))</f>
        <v>0</v>
      </c>
      <c r="FP365" s="79" t="s">
        <v>61</v>
      </c>
      <c r="FQ365" s="79" t="s">
        <v>62</v>
      </c>
      <c r="FR365" s="79" t="s">
        <v>63</v>
      </c>
      <c r="FS365" s="79"/>
      <c r="FT365" s="49"/>
      <c r="FU365" s="47"/>
      <c r="FV365" s="47"/>
      <c r="FW365" s="47"/>
      <c r="FX365" s="47"/>
      <c r="FY365" s="47"/>
      <c r="FZ365" s="47"/>
      <c r="GA365" s="49"/>
      <c r="GB365" s="49"/>
      <c r="GC365" s="49"/>
      <c r="GD365" s="49"/>
      <c r="GE365" s="49"/>
      <c r="GF365" s="49"/>
      <c r="GG365" s="49"/>
      <c r="GH365" s="49"/>
      <c r="GI365" s="49"/>
      <c r="GJ365" s="49"/>
      <c r="GK365" s="49"/>
      <c r="GL365" s="49"/>
      <c r="GM365" s="49"/>
      <c r="GN365" s="49"/>
      <c r="GO365" s="49"/>
      <c r="GP365" s="49"/>
      <c r="GQ365" s="49"/>
      <c r="GR365" s="49"/>
      <c r="GS365" s="49"/>
      <c r="GT365" s="49"/>
      <c r="GU365" s="49"/>
      <c r="GV365" s="49"/>
      <c r="GW365" s="49"/>
      <c r="GX365" s="49"/>
      <c r="GY365" s="49"/>
      <c r="GZ365" s="49"/>
      <c r="HA365" s="49"/>
      <c r="HB365" s="48"/>
      <c r="HC365" s="48"/>
      <c r="HD365" s="48"/>
      <c r="HE365" s="48"/>
      <c r="HF365" s="13"/>
      <c r="HG365" s="13"/>
      <c r="HH365" s="13"/>
    </row>
    <row r="366" spans="1:216" ht="3.75" customHeight="1">
      <c r="A366" s="1"/>
      <c r="B366" s="3"/>
      <c r="C366" s="3"/>
      <c r="D366" s="38"/>
      <c r="E366" s="10"/>
      <c r="F366" s="10"/>
      <c r="G366" s="10"/>
      <c r="H366" s="10"/>
      <c r="I366" s="10"/>
      <c r="J366" s="10"/>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376"/>
      <c r="BM366" s="43"/>
      <c r="BN366" s="43"/>
      <c r="BO366" s="43"/>
      <c r="BP366" s="43"/>
      <c r="BQ366" s="538" t="str">
        <f ca="1">IF(FN356=0,"",".")</f>
        <v/>
      </c>
      <c r="BR366" s="545"/>
      <c r="BS366" s="545"/>
      <c r="BT366" s="545"/>
      <c r="BU366" s="545"/>
      <c r="BV366" s="545"/>
      <c r="BW366" s="545"/>
      <c r="BX366" s="545"/>
      <c r="BY366" s="545"/>
      <c r="BZ366" s="545"/>
      <c r="CA366" s="545"/>
      <c r="CB366" s="545"/>
      <c r="CC366" s="545"/>
      <c r="CD366" s="545"/>
      <c r="CE366" s="545"/>
      <c r="CF366" s="545"/>
      <c r="CG366" s="545"/>
      <c r="CH366" s="545"/>
      <c r="CI366" s="43"/>
      <c r="CJ366" s="43"/>
      <c r="CK366" s="43"/>
      <c r="CL366" s="43"/>
      <c r="CM366" s="43"/>
      <c r="CN366" s="43"/>
      <c r="CO366" s="351"/>
      <c r="CP366" s="351"/>
      <c r="CQ366" s="351"/>
      <c r="CR366" s="351"/>
      <c r="CS366" s="351"/>
      <c r="CT366" s="351"/>
      <c r="CU366" s="351"/>
      <c r="CV366" s="351"/>
      <c r="CW366" s="351"/>
      <c r="CX366" s="351"/>
      <c r="CY366" s="351"/>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79"/>
      <c r="DZ366" s="79"/>
      <c r="EA366" s="79"/>
      <c r="EB366" s="79"/>
      <c r="EC366" s="79"/>
      <c r="ED366" s="196"/>
      <c r="EE366" s="196"/>
      <c r="EF366" s="196"/>
      <c r="EG366" s="196"/>
      <c r="EH366" s="196"/>
      <c r="EI366" s="196"/>
      <c r="EJ366" s="196"/>
      <c r="EK366" s="196"/>
      <c r="EL366" s="196"/>
      <c r="EM366" s="196"/>
      <c r="EN366" s="196"/>
      <c r="EO366" s="196"/>
      <c r="EP366" s="196"/>
      <c r="EQ366" s="196"/>
      <c r="ER366" s="196"/>
      <c r="ES366" s="196"/>
      <c r="ET366" s="196"/>
      <c r="EU366" s="196"/>
      <c r="EV366" s="196"/>
      <c r="EW366" s="196"/>
      <c r="EX366" s="196"/>
      <c r="EY366" s="196"/>
      <c r="EZ366" s="10"/>
      <c r="FA366" s="10"/>
      <c r="FB366" s="10"/>
      <c r="FC366" s="10"/>
      <c r="FD366" s="10"/>
      <c r="FE366" s="10"/>
      <c r="FF366" s="10"/>
      <c r="FG366" s="10"/>
      <c r="FH366" s="10"/>
      <c r="FI366" s="10"/>
      <c r="FJ366" s="10"/>
      <c r="FK366" s="26"/>
      <c r="FL366" s="26"/>
      <c r="FM366" s="47"/>
      <c r="FN366" s="47"/>
      <c r="FO366" s="47"/>
      <c r="FP366" s="47"/>
      <c r="FQ366" s="47"/>
      <c r="FR366" s="47"/>
      <c r="FS366" s="49"/>
      <c r="FT366" s="49"/>
      <c r="FU366" s="47"/>
      <c r="FV366" s="47"/>
      <c r="FW366" s="47"/>
      <c r="FX366" s="47"/>
      <c r="FY366" s="47"/>
      <c r="FZ366" s="47"/>
      <c r="GA366" s="49"/>
      <c r="GB366" s="49"/>
      <c r="GC366" s="49"/>
      <c r="GD366" s="49"/>
      <c r="GE366" s="49"/>
      <c r="GF366" s="49"/>
      <c r="GG366" s="49"/>
      <c r="GH366" s="49"/>
      <c r="GI366" s="49"/>
      <c r="GJ366" s="49"/>
      <c r="GK366" s="49"/>
      <c r="GL366" s="49"/>
      <c r="GM366" s="49"/>
      <c r="GN366" s="49"/>
      <c r="GO366" s="49"/>
      <c r="GP366" s="49"/>
      <c r="GQ366" s="49"/>
      <c r="GR366" s="49"/>
      <c r="GS366" s="49"/>
      <c r="GT366" s="49"/>
      <c r="GU366" s="49"/>
      <c r="GV366" s="49"/>
      <c r="GW366" s="49"/>
      <c r="GX366" s="49"/>
      <c r="GY366" s="49"/>
      <c r="GZ366" s="49"/>
      <c r="HA366" s="49"/>
      <c r="HB366" s="48"/>
      <c r="HC366" s="48"/>
      <c r="HD366" s="48"/>
      <c r="HE366" s="48"/>
      <c r="HF366" s="13"/>
      <c r="HG366" s="13"/>
      <c r="HH366" s="13"/>
    </row>
    <row r="367" spans="1:216" ht="12.6" customHeight="1">
      <c r="A367" s="1"/>
      <c r="B367" s="3"/>
      <c r="C367" s="3"/>
      <c r="D367" s="12"/>
      <c r="E367" s="10"/>
      <c r="F367" s="10"/>
      <c r="G367" s="10"/>
      <c r="H367" s="10"/>
      <c r="I367" s="10"/>
      <c r="J367" s="10"/>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BL367" s="351"/>
      <c r="BM367" s="351"/>
      <c r="BN367" s="351"/>
      <c r="BO367" s="351"/>
      <c r="BP367" s="351"/>
      <c r="BQ367" s="351"/>
      <c r="BR367" s="351"/>
      <c r="BS367" s="351"/>
      <c r="BT367" s="351"/>
      <c r="BU367" s="351"/>
      <c r="BV367" s="351"/>
      <c r="BW367" s="351"/>
      <c r="BX367" s="351"/>
      <c r="BY367" s="351"/>
      <c r="BZ367" s="351"/>
      <c r="CA367" s="351"/>
      <c r="CB367" s="351"/>
      <c r="CC367" s="351"/>
      <c r="CD367" s="351"/>
      <c r="CE367" s="351"/>
      <c r="CF367" s="351"/>
      <c r="CG367" s="351"/>
      <c r="CH367" s="351"/>
      <c r="CI367" s="351"/>
      <c r="CJ367" s="351"/>
      <c r="CK367" s="351"/>
      <c r="CL367" s="351"/>
      <c r="CM367" s="351"/>
      <c r="CN367" s="351"/>
      <c r="CO367" s="351"/>
      <c r="CP367" s="351"/>
      <c r="CQ367" s="376"/>
      <c r="CR367" s="376"/>
      <c r="CS367" s="376"/>
      <c r="CT367" s="376"/>
      <c r="CU367" s="376"/>
      <c r="CV367" s="376"/>
      <c r="CW367" s="376"/>
      <c r="CX367" s="376"/>
      <c r="CY367" s="376"/>
      <c r="CZ367" s="376"/>
      <c r="DA367" s="376"/>
      <c r="DB367" s="376"/>
      <c r="DC367" s="376"/>
      <c r="DD367" s="376"/>
      <c r="DE367" s="376"/>
      <c r="DF367" s="376"/>
      <c r="DG367" s="376"/>
      <c r="DH367" s="376"/>
      <c r="DI367" s="376"/>
      <c r="DJ367" s="376"/>
      <c r="DK367" s="376"/>
      <c r="DL367" s="376"/>
      <c r="DM367" s="376"/>
      <c r="DN367" s="376"/>
      <c r="DO367" s="376"/>
      <c r="DP367" s="376"/>
      <c r="DQ367" s="126"/>
      <c r="DR367" s="126"/>
      <c r="DS367" s="126"/>
      <c r="DT367" s="126"/>
      <c r="DU367" s="126"/>
      <c r="DV367" s="126"/>
      <c r="DW367" s="126"/>
      <c r="DX367" s="126"/>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26"/>
      <c r="FL367" s="26"/>
      <c r="FM367" s="49"/>
      <c r="FN367" s="49"/>
      <c r="FO367" s="49"/>
      <c r="FP367" s="49"/>
      <c r="FQ367" s="49"/>
      <c r="FR367" s="49"/>
      <c r="FS367" s="49"/>
      <c r="FT367" s="49"/>
      <c r="FU367" s="47"/>
      <c r="FV367" s="47"/>
      <c r="FW367" s="47"/>
      <c r="FX367" s="47"/>
      <c r="FY367" s="47"/>
      <c r="FZ367" s="47"/>
      <c r="GA367" s="49"/>
      <c r="GB367" s="49"/>
      <c r="GC367" s="49"/>
      <c r="GD367" s="49"/>
      <c r="GE367" s="49"/>
      <c r="GF367" s="49"/>
      <c r="GG367" s="49"/>
      <c r="GH367" s="49"/>
      <c r="GI367" s="49"/>
      <c r="GJ367" s="49"/>
      <c r="GK367" s="49"/>
      <c r="GL367" s="49"/>
      <c r="GM367" s="49"/>
      <c r="GN367" s="49"/>
      <c r="GO367" s="49"/>
      <c r="GP367" s="49"/>
      <c r="GQ367" s="49"/>
      <c r="GR367" s="49"/>
      <c r="GS367" s="49"/>
      <c r="GT367" s="49"/>
      <c r="GU367" s="49"/>
      <c r="GV367" s="49"/>
      <c r="GW367" s="49"/>
      <c r="GX367" s="49"/>
      <c r="GY367" s="49"/>
      <c r="GZ367" s="49"/>
      <c r="HA367" s="49"/>
      <c r="HB367" s="48"/>
      <c r="HC367" s="48"/>
      <c r="HD367" s="48"/>
      <c r="HE367" s="48"/>
      <c r="HF367" s="13"/>
      <c r="HG367" s="13"/>
      <c r="HH367" s="13"/>
    </row>
    <row r="368" spans="1:216" ht="16.95" customHeight="1">
      <c r="A368" s="1"/>
      <c r="B368" s="3"/>
      <c r="C368" s="3"/>
      <c r="D368" s="12" t="str">
        <f ca="1">IF(FO365=0,"","MO = MK valt dan dus samen met MO = 0 (en dus is dan de hoeveelheid  ")</f>
        <v/>
      </c>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26"/>
      <c r="FL368" s="26"/>
      <c r="FM368" s="47"/>
      <c r="FN368" s="47"/>
      <c r="FO368" s="47"/>
      <c r="FP368" s="47"/>
      <c r="FQ368" s="47"/>
      <c r="FR368" s="47"/>
      <c r="FS368" s="49"/>
      <c r="FT368" s="49"/>
      <c r="FU368" s="49"/>
      <c r="FV368" s="49"/>
      <c r="FW368" s="49"/>
      <c r="FX368" s="49"/>
      <c r="FY368" s="47"/>
      <c r="FZ368" s="47"/>
      <c r="GA368" s="49"/>
      <c r="GB368" s="49"/>
      <c r="GC368" s="49"/>
      <c r="GD368" s="49"/>
      <c r="GE368" s="49"/>
      <c r="GF368" s="49"/>
      <c r="GG368" s="48"/>
      <c r="GH368" s="48"/>
      <c r="GI368" s="48"/>
      <c r="GJ368" s="48"/>
      <c r="GK368" s="48"/>
      <c r="GL368" s="48"/>
      <c r="GM368" s="48"/>
      <c r="GN368" s="48"/>
      <c r="GO368" s="48"/>
      <c r="GP368" s="48"/>
      <c r="GQ368" s="48"/>
      <c r="GR368" s="48"/>
      <c r="GS368" s="48"/>
      <c r="GT368" s="48"/>
      <c r="GU368" s="48"/>
      <c r="GV368" s="48"/>
      <c r="GW368" s="48"/>
      <c r="GX368" s="48"/>
      <c r="GY368" s="48"/>
      <c r="GZ368" s="48"/>
      <c r="HA368" s="48"/>
      <c r="HB368" s="48"/>
      <c r="HC368" s="48"/>
      <c r="HD368" s="48"/>
      <c r="HE368" s="48"/>
      <c r="HF368" s="13"/>
      <c r="HG368" s="13"/>
      <c r="HH368" s="13"/>
    </row>
    <row r="369" spans="1:216" ht="16.95" customHeight="1">
      <c r="A369" s="1"/>
      <c r="B369" s="3"/>
      <c r="C369" s="3"/>
      <c r="D369" s="12" t="str">
        <f ca="1">IF(FO365=0,"","waarbij je maximale winst maakt, gelijk aan de hoeveelheid waarbij de")</f>
        <v/>
      </c>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26"/>
      <c r="FL369" s="26"/>
      <c r="FM369" s="47"/>
      <c r="FN369" s="47"/>
      <c r="FO369" s="47"/>
      <c r="FP369" s="47"/>
      <c r="FQ369" s="47"/>
      <c r="FR369" s="47"/>
      <c r="FS369" s="49"/>
      <c r="FT369" s="49"/>
      <c r="FU369" s="49"/>
      <c r="FV369" s="49"/>
      <c r="FW369" s="49"/>
      <c r="FX369" s="49"/>
      <c r="FY369" s="47"/>
      <c r="FZ369" s="47"/>
      <c r="GA369" s="49"/>
      <c r="GB369" s="49"/>
      <c r="GC369" s="49"/>
      <c r="GD369" s="49"/>
      <c r="GE369" s="49"/>
      <c r="GF369" s="49"/>
      <c r="GG369" s="48"/>
      <c r="GH369" s="48"/>
      <c r="GI369" s="48"/>
      <c r="GJ369" s="48"/>
      <c r="GK369" s="48"/>
      <c r="GL369" s="48"/>
      <c r="GM369" s="48"/>
      <c r="GN369" s="48"/>
      <c r="GO369" s="48"/>
      <c r="GP369" s="48"/>
      <c r="GQ369" s="48"/>
      <c r="GR369" s="48"/>
      <c r="GS369" s="48"/>
      <c r="GT369" s="48"/>
      <c r="GU369" s="48"/>
      <c r="GV369" s="48"/>
      <c r="GW369" s="48"/>
      <c r="GX369" s="48"/>
      <c r="GY369" s="48"/>
      <c r="GZ369" s="48"/>
      <c r="HA369" s="48"/>
      <c r="HB369" s="48"/>
      <c r="HC369" s="48"/>
      <c r="HD369" s="48"/>
      <c r="HE369" s="48"/>
      <c r="HF369" s="13"/>
      <c r="HG369" s="13"/>
      <c r="HH369" s="13"/>
    </row>
    <row r="370" spans="1:216" ht="16.95" customHeight="1">
      <c r="A370" s="1"/>
      <c r="B370" s="3"/>
      <c r="C370" s="3"/>
      <c r="D370" s="12" t="str">
        <f ca="1">IF(FO365=0,"","omzet maximaal is).")</f>
        <v/>
      </c>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26"/>
      <c r="FL370" s="26"/>
      <c r="FM370" s="47"/>
      <c r="FN370" s="47"/>
      <c r="FO370" s="47"/>
      <c r="FP370" s="47"/>
      <c r="FQ370" s="47"/>
      <c r="FR370" s="47"/>
      <c r="FS370" s="49"/>
      <c r="FT370" s="49"/>
      <c r="FU370" s="49"/>
      <c r="FV370" s="49"/>
      <c r="FW370" s="49"/>
      <c r="FX370" s="49"/>
      <c r="FY370" s="47"/>
      <c r="FZ370" s="47"/>
      <c r="GA370" s="49"/>
      <c r="GB370" s="49"/>
      <c r="GC370" s="49"/>
      <c r="GD370" s="49"/>
      <c r="GE370" s="49"/>
      <c r="GF370" s="49"/>
      <c r="GG370" s="48"/>
      <c r="GH370" s="48"/>
      <c r="GI370" s="48"/>
      <c r="GJ370" s="48"/>
      <c r="GK370" s="48"/>
      <c r="GL370" s="48"/>
      <c r="GM370" s="48"/>
      <c r="GN370" s="48"/>
      <c r="GO370" s="48"/>
      <c r="GP370" s="48"/>
      <c r="GQ370" s="48"/>
      <c r="GR370" s="48"/>
      <c r="GS370" s="48"/>
      <c r="GT370" s="48"/>
      <c r="GU370" s="48"/>
      <c r="GV370" s="48"/>
      <c r="GW370" s="48"/>
      <c r="GX370" s="48"/>
      <c r="GY370" s="48"/>
      <c r="GZ370" s="48"/>
      <c r="HA370" s="48"/>
      <c r="HB370" s="48"/>
      <c r="HC370" s="48"/>
      <c r="HD370" s="48"/>
      <c r="HE370" s="48"/>
      <c r="HF370" s="13"/>
      <c r="HG370" s="13"/>
      <c r="HH370" s="13"/>
    </row>
    <row r="371" spans="1:216" ht="16.95" customHeight="1">
      <c r="A371" s="1"/>
      <c r="B371" s="3"/>
      <c r="C371" s="3"/>
      <c r="D371" s="12"/>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26"/>
      <c r="FL371" s="26"/>
      <c r="FM371" s="47"/>
      <c r="FN371" s="47"/>
      <c r="FO371" s="47"/>
      <c r="FP371" s="47"/>
      <c r="FQ371" s="47"/>
      <c r="FR371" s="47"/>
      <c r="FS371" s="49"/>
      <c r="FT371" s="49"/>
      <c r="FU371" s="49"/>
      <c r="FV371" s="49"/>
      <c r="FW371" s="49"/>
      <c r="FX371" s="49"/>
      <c r="FY371" s="47"/>
      <c r="FZ371" s="47"/>
      <c r="GA371" s="49"/>
      <c r="GB371" s="49"/>
      <c r="GC371" s="49"/>
      <c r="GD371" s="49"/>
      <c r="GE371" s="49"/>
      <c r="GF371" s="49"/>
      <c r="GG371" s="48"/>
      <c r="GH371" s="48"/>
      <c r="GI371" s="48"/>
      <c r="GJ371" s="48"/>
      <c r="GK371" s="48"/>
      <c r="GL371" s="48"/>
      <c r="GM371" s="48"/>
      <c r="GN371" s="48"/>
      <c r="GO371" s="48"/>
      <c r="GP371" s="48"/>
      <c r="GQ371" s="48"/>
      <c r="GR371" s="48"/>
      <c r="GS371" s="48"/>
      <c r="GT371" s="48"/>
      <c r="GU371" s="48"/>
      <c r="GV371" s="48"/>
      <c r="GW371" s="48"/>
      <c r="GX371" s="48"/>
      <c r="GY371" s="48"/>
      <c r="GZ371" s="48"/>
      <c r="HA371" s="48"/>
      <c r="HB371" s="48"/>
      <c r="HC371" s="48"/>
      <c r="HD371" s="48"/>
      <c r="HE371" s="48"/>
      <c r="HF371" s="13"/>
      <c r="HG371" s="13"/>
      <c r="HH371" s="13"/>
    </row>
    <row r="372" spans="1:216" ht="16.95" customHeight="1">
      <c r="A372" s="1"/>
      <c r="B372" s="3"/>
      <c r="C372" s="3"/>
      <c r="D372" s="12" t="str">
        <f ca="1">IF(FO365=0,"","Je bent nu klaar met dit onderwerp. Ga naar het volgende onderwerp door ")</f>
        <v/>
      </c>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26"/>
      <c r="FL372" s="26"/>
      <c r="FM372" s="47"/>
      <c r="FN372" s="47"/>
      <c r="FO372" s="47"/>
      <c r="FP372" s="47"/>
      <c r="FQ372" s="47"/>
      <c r="FR372" s="47"/>
      <c r="FS372" s="49"/>
      <c r="FT372" s="49"/>
      <c r="FU372" s="49"/>
      <c r="FV372" s="49"/>
      <c r="FW372" s="49"/>
      <c r="FX372" s="49"/>
      <c r="FY372" s="47"/>
      <c r="FZ372" s="47"/>
      <c r="GA372" s="49"/>
      <c r="GB372" s="49"/>
      <c r="GC372" s="49" t="str">
        <f ca="1">GC354</f>
        <v/>
      </c>
      <c r="GD372" s="49"/>
      <c r="GE372" s="49"/>
      <c r="GF372" s="49"/>
      <c r="GG372" s="48"/>
      <c r="GH372" s="48"/>
      <c r="GI372" s="48"/>
      <c r="GJ372" s="48"/>
      <c r="GK372" s="48"/>
      <c r="GL372" s="48"/>
      <c r="GM372" s="48"/>
      <c r="GN372" s="48"/>
      <c r="GO372" s="48"/>
      <c r="GP372" s="48"/>
      <c r="GQ372" s="48"/>
      <c r="GR372" s="48"/>
      <c r="GS372" s="48"/>
      <c r="GT372" s="48"/>
      <c r="GU372" s="48"/>
      <c r="GV372" s="48"/>
      <c r="GW372" s="48"/>
      <c r="GX372" s="48"/>
      <c r="GY372" s="48"/>
      <c r="GZ372" s="48"/>
      <c r="HA372" s="48"/>
      <c r="HB372" s="48"/>
      <c r="HC372" s="48"/>
      <c r="HD372" s="48"/>
      <c r="HE372" s="48"/>
      <c r="HF372" s="13"/>
      <c r="HG372" s="13"/>
      <c r="HH372" s="13"/>
    </row>
    <row r="373" spans="1:216" ht="16.95" customHeight="1">
      <c r="A373" s="1"/>
      <c r="B373" s="3"/>
      <c r="C373" s="3"/>
      <c r="D373" s="12" t="str">
        <f ca="1">IF(FO365=0,"","op het betreffende tabblad te klikken.")</f>
        <v/>
      </c>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26"/>
      <c r="FL373" s="26"/>
      <c r="FM373" s="47"/>
      <c r="FN373" s="47"/>
      <c r="FO373" s="47"/>
      <c r="FP373" s="47"/>
      <c r="FQ373" s="47"/>
      <c r="FR373" s="47"/>
      <c r="FS373" s="49"/>
      <c r="FT373" s="49"/>
      <c r="FU373" s="49"/>
      <c r="FV373" s="49"/>
      <c r="FW373" s="49"/>
      <c r="FX373" s="49"/>
      <c r="FY373" s="47"/>
      <c r="FZ373" s="47"/>
      <c r="GA373" s="49"/>
      <c r="GB373" s="49"/>
      <c r="GC373" s="49" t="str">
        <f ca="1">GC355</f>
        <v/>
      </c>
      <c r="GD373" s="49"/>
      <c r="GE373" s="49"/>
      <c r="GF373" s="49"/>
      <c r="GG373" s="48"/>
      <c r="GH373" s="48"/>
      <c r="GI373" s="48"/>
      <c r="GJ373" s="48"/>
      <c r="GK373" s="48"/>
      <c r="GL373" s="48"/>
      <c r="GM373" s="48"/>
      <c r="GN373" s="48"/>
      <c r="GO373" s="48"/>
      <c r="GP373" s="48"/>
      <c r="GQ373" s="48"/>
      <c r="GR373" s="48"/>
      <c r="GS373" s="48"/>
      <c r="GT373" s="48"/>
      <c r="GU373" s="48"/>
      <c r="GV373" s="48"/>
      <c r="GW373" s="48"/>
      <c r="GX373" s="48"/>
      <c r="GY373" s="48"/>
      <c r="GZ373" s="48"/>
      <c r="HA373" s="48"/>
      <c r="HB373" s="48"/>
      <c r="HC373" s="48"/>
      <c r="HD373" s="48"/>
      <c r="HE373" s="48"/>
      <c r="HF373" s="13"/>
      <c r="HG373" s="13"/>
      <c r="HH373" s="13"/>
    </row>
    <row r="374" spans="1:216" ht="16.5" customHeight="1">
      <c r="A374" s="1"/>
      <c r="B374" s="3"/>
      <c r="C374" s="3"/>
      <c r="D374" s="43"/>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79"/>
      <c r="BA374" s="79"/>
      <c r="BB374" s="79"/>
      <c r="BC374" s="79"/>
      <c r="BD374" s="79"/>
      <c r="BE374" s="79"/>
      <c r="BF374" s="79"/>
      <c r="BG374" s="79"/>
      <c r="BH374" s="79"/>
      <c r="BI374" s="79"/>
      <c r="BJ374" s="79"/>
      <c r="BK374" s="79"/>
      <c r="BL374" s="79"/>
      <c r="BM374" s="79"/>
      <c r="BN374" s="79"/>
      <c r="BO374" s="79"/>
      <c r="BP374" s="79"/>
      <c r="BQ374" s="79"/>
      <c r="BR374" s="79"/>
      <c r="BS374" s="79"/>
      <c r="BT374" s="79"/>
      <c r="BU374" s="79"/>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c r="EO374" s="79"/>
      <c r="EP374" s="79"/>
      <c r="EQ374" s="79"/>
      <c r="ER374" s="79"/>
      <c r="ES374" s="79"/>
      <c r="ET374" s="79"/>
      <c r="EU374" s="79"/>
      <c r="EV374" s="79"/>
      <c r="EW374" s="79"/>
      <c r="EX374" s="79"/>
      <c r="EY374" s="79"/>
      <c r="EZ374" s="79"/>
      <c r="FA374" s="79"/>
      <c r="FB374" s="79"/>
      <c r="FC374" s="79"/>
      <c r="FD374" s="79"/>
      <c r="FE374" s="79"/>
      <c r="FF374" s="79"/>
      <c r="FG374" s="79"/>
      <c r="FH374" s="79"/>
      <c r="FI374" s="79"/>
      <c r="FJ374" s="79"/>
      <c r="FK374" s="79"/>
      <c r="FL374" s="79"/>
      <c r="FM374" s="49"/>
      <c r="FN374" s="49"/>
      <c r="FO374" s="49"/>
      <c r="FP374" s="49"/>
      <c r="FQ374" s="49"/>
      <c r="FR374" s="49"/>
      <c r="FS374" s="49"/>
      <c r="FT374" s="49"/>
      <c r="FU374" s="47"/>
      <c r="FV374" s="47"/>
      <c r="FW374" s="47"/>
      <c r="FX374" s="47"/>
      <c r="FY374" s="47"/>
      <c r="FZ374" s="47"/>
      <c r="GA374" s="49"/>
      <c r="GB374" s="49"/>
      <c r="GC374" s="49" t="str">
        <f ca="1">GC356</f>
        <v/>
      </c>
      <c r="GD374" s="49"/>
      <c r="GE374" s="49"/>
      <c r="GF374" s="49"/>
      <c r="GG374" s="48"/>
      <c r="GH374" s="48"/>
      <c r="GI374" s="48"/>
      <c r="GJ374" s="48"/>
      <c r="GK374" s="48"/>
      <c r="GL374" s="48"/>
      <c r="GM374" s="48"/>
      <c r="GN374" s="94"/>
      <c r="GO374" s="48"/>
      <c r="GP374" s="48"/>
      <c r="GQ374" s="48"/>
      <c r="GR374" s="48"/>
      <c r="GS374" s="48"/>
      <c r="GT374" s="48"/>
      <c r="GU374" s="48"/>
      <c r="GV374" s="48"/>
      <c r="GW374" s="48"/>
      <c r="GX374" s="48"/>
      <c r="GY374" s="48"/>
      <c r="GZ374" s="48"/>
      <c r="HA374" s="48"/>
      <c r="HB374" s="48"/>
      <c r="HC374" s="48"/>
      <c r="HD374" s="48"/>
      <c r="HE374" s="48"/>
      <c r="HF374" s="13"/>
      <c r="HG374" s="13"/>
      <c r="HH374" s="13"/>
    </row>
    <row r="375" spans="1:216" ht="16.5" customHeight="1">
      <c r="A375" s="1"/>
      <c r="B375" s="3"/>
      <c r="C375" s="3"/>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30"/>
      <c r="FL375" s="21"/>
      <c r="FM375" s="49"/>
      <c r="FN375" s="49"/>
      <c r="FO375" s="49"/>
      <c r="FP375" s="49"/>
      <c r="FQ375" s="49"/>
      <c r="FR375" s="49"/>
      <c r="FS375" s="49"/>
      <c r="FT375" s="49"/>
      <c r="FU375" s="47"/>
      <c r="FV375" s="47"/>
      <c r="FW375" s="47"/>
      <c r="FX375" s="47"/>
      <c r="FY375" s="47"/>
      <c r="FZ375" s="47"/>
      <c r="GA375" s="49"/>
      <c r="GB375" s="49"/>
      <c r="GC375" s="49"/>
      <c r="GD375" s="49"/>
      <c r="GE375" s="49"/>
      <c r="GF375" s="49"/>
      <c r="GG375" s="48"/>
      <c r="GH375" s="48"/>
      <c r="GI375" s="48"/>
      <c r="GJ375" s="48"/>
      <c r="GK375" s="48"/>
      <c r="GL375" s="48"/>
      <c r="GM375" s="48"/>
      <c r="GN375" s="48"/>
      <c r="GO375" s="48"/>
      <c r="GP375" s="48"/>
      <c r="GQ375" s="48"/>
      <c r="GR375" s="48"/>
      <c r="GS375" s="48"/>
      <c r="GT375" s="48"/>
      <c r="GU375" s="48"/>
      <c r="GV375" s="48"/>
      <c r="GW375" s="48"/>
      <c r="GX375" s="48"/>
      <c r="GY375" s="48"/>
      <c r="GZ375" s="48"/>
      <c r="HA375" s="48"/>
      <c r="HB375" s="48"/>
      <c r="HC375" s="48"/>
      <c r="HD375" s="48"/>
      <c r="HE375" s="48"/>
      <c r="HF375" s="13"/>
      <c r="HG375" s="13"/>
      <c r="HH375" s="13"/>
    </row>
    <row r="376" spans="1:216" ht="16.5" customHeight="1">
      <c r="A376" s="1"/>
      <c r="B376" s="3"/>
      <c r="C376" s="3"/>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30"/>
      <c r="FL376" s="21"/>
      <c r="FM376" s="49"/>
      <c r="FN376" s="49"/>
      <c r="FO376" s="49"/>
      <c r="FP376" s="49"/>
      <c r="FQ376" s="49"/>
      <c r="FR376" s="49"/>
      <c r="FS376" s="49"/>
      <c r="FT376" s="49"/>
      <c r="FU376" s="47"/>
      <c r="FV376" s="47"/>
      <c r="FW376" s="47"/>
      <c r="FX376" s="47"/>
      <c r="FY376" s="47"/>
      <c r="FZ376" s="47"/>
      <c r="GA376" s="49"/>
      <c r="GB376" s="49"/>
      <c r="GC376" s="49"/>
      <c r="GD376" s="49"/>
      <c r="GE376" s="49"/>
      <c r="GF376" s="49"/>
      <c r="GG376" s="48"/>
      <c r="GH376" s="48"/>
      <c r="GI376" s="48"/>
      <c r="GJ376" s="48"/>
      <c r="GK376" s="48"/>
      <c r="GL376" s="48"/>
      <c r="GM376" s="48"/>
      <c r="GN376" s="48"/>
      <c r="GO376" s="48"/>
      <c r="GP376" s="48"/>
      <c r="GQ376" s="48"/>
      <c r="GR376" s="48"/>
      <c r="GS376" s="48"/>
      <c r="GT376" s="48"/>
      <c r="GU376" s="48"/>
      <c r="GV376" s="48"/>
      <c r="GW376" s="48"/>
      <c r="GX376" s="48"/>
      <c r="GY376" s="48"/>
      <c r="GZ376" s="48"/>
      <c r="HA376" s="48"/>
      <c r="HB376" s="48"/>
      <c r="HC376" s="48"/>
      <c r="HD376" s="48"/>
      <c r="HE376" s="48"/>
      <c r="HF376" s="13"/>
      <c r="HG376" s="13"/>
      <c r="HH376" s="13"/>
    </row>
    <row r="377" spans="1:216" ht="16.5" customHeight="1">
      <c r="A377" s="1"/>
      <c r="B377" s="3"/>
      <c r="C377" s="3"/>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30"/>
      <c r="FL377" s="21"/>
      <c r="FM377" s="49"/>
      <c r="FN377" s="49"/>
      <c r="FO377" s="49"/>
      <c r="FP377" s="49"/>
      <c r="FQ377" s="49"/>
      <c r="FR377" s="49"/>
      <c r="FS377" s="49"/>
      <c r="FT377" s="49"/>
      <c r="FU377" s="47"/>
      <c r="FV377" s="47"/>
      <c r="FW377" s="47"/>
      <c r="FX377" s="47"/>
      <c r="FY377" s="47"/>
      <c r="FZ377" s="47"/>
      <c r="GA377" s="49"/>
      <c r="GB377" s="49"/>
      <c r="GC377" s="49"/>
      <c r="GD377" s="49"/>
      <c r="GE377" s="49"/>
      <c r="GF377" s="49"/>
      <c r="GG377" s="48"/>
      <c r="GH377" s="48"/>
      <c r="GI377" s="48"/>
      <c r="GJ377" s="48"/>
      <c r="GK377" s="48"/>
      <c r="GL377" s="48"/>
      <c r="GM377" s="48"/>
      <c r="GN377" s="48"/>
      <c r="GO377" s="48"/>
      <c r="GP377" s="48"/>
      <c r="GQ377" s="48"/>
      <c r="GR377" s="48"/>
      <c r="GS377" s="48"/>
      <c r="GT377" s="48"/>
      <c r="GU377" s="48"/>
      <c r="GV377" s="48"/>
      <c r="GW377" s="48"/>
      <c r="GX377" s="48"/>
      <c r="GY377" s="48"/>
      <c r="GZ377" s="48"/>
      <c r="HA377" s="48"/>
      <c r="HB377" s="48"/>
      <c r="HC377" s="48"/>
      <c r="HD377" s="48"/>
      <c r="HE377" s="48"/>
      <c r="HF377" s="13"/>
      <c r="HG377" s="13"/>
      <c r="HH377" s="13"/>
    </row>
    <row r="378" spans="1:216" ht="16.5" customHeight="1">
      <c r="A378" s="1"/>
      <c r="B378" s="3"/>
      <c r="C378" s="3"/>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30"/>
      <c r="FL378" s="21"/>
      <c r="FM378" s="49"/>
      <c r="FN378" s="49"/>
      <c r="FO378" s="49"/>
      <c r="FP378" s="49"/>
      <c r="FQ378" s="49"/>
      <c r="FR378" s="49"/>
      <c r="FS378" s="49"/>
      <c r="FT378" s="49"/>
      <c r="FU378" s="47"/>
      <c r="FV378" s="47"/>
      <c r="FW378" s="47"/>
      <c r="FX378" s="47"/>
      <c r="FY378" s="47"/>
      <c r="FZ378" s="47"/>
      <c r="GA378" s="49"/>
      <c r="GB378" s="49"/>
      <c r="GC378" s="49" t="str">
        <f ca="1">GC346</f>
        <v/>
      </c>
      <c r="GD378" s="49" t="str">
        <f ca="1">GC378</f>
        <v/>
      </c>
      <c r="GE378" s="49">
        <f ca="1">IF(FO251=0,0,IF(FO337=1,GI388-2*GC347,IF(FO337=2,GI388-2*GC347,0)))</f>
        <v>0</v>
      </c>
      <c r="GF378" s="49"/>
      <c r="GG378" s="48"/>
      <c r="GH378" s="48"/>
      <c r="GI378" s="48"/>
      <c r="GJ378" s="48"/>
      <c r="GK378" s="48"/>
      <c r="GL378" s="48"/>
      <c r="GM378" s="48"/>
      <c r="GN378" s="48"/>
      <c r="GO378" s="48"/>
      <c r="GP378" s="48"/>
      <c r="GQ378" s="48"/>
      <c r="GR378" s="48"/>
      <c r="GS378" s="48"/>
      <c r="GT378" s="48"/>
      <c r="GU378" s="48"/>
      <c r="GV378" s="48"/>
      <c r="GW378" s="48"/>
      <c r="GX378" s="48"/>
      <c r="GY378" s="48"/>
      <c r="GZ378" s="48"/>
      <c r="HA378" s="48"/>
      <c r="HB378" s="48"/>
      <c r="HC378" s="48"/>
      <c r="HD378" s="48"/>
      <c r="HE378" s="48"/>
      <c r="HF378" s="13"/>
      <c r="HG378" s="13"/>
      <c r="HH378" s="13"/>
    </row>
    <row r="379" spans="1:216" ht="16.5" customHeight="1">
      <c r="A379" s="1"/>
      <c r="B379" s="3"/>
      <c r="C379" s="3"/>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30"/>
      <c r="FL379" s="21"/>
      <c r="FM379" s="49"/>
      <c r="FN379" s="49"/>
      <c r="FO379" s="49"/>
      <c r="FP379" s="49"/>
      <c r="FQ379" s="49"/>
      <c r="FR379" s="49"/>
      <c r="FS379" s="49"/>
      <c r="FT379" s="49"/>
      <c r="FU379" s="47"/>
      <c r="FV379" s="47"/>
      <c r="FW379" s="47"/>
      <c r="FX379" s="47"/>
      <c r="FY379" s="47"/>
      <c r="FZ379" s="47"/>
      <c r="GA379" s="49"/>
      <c r="GB379" s="49"/>
      <c r="GC379" s="49" t="str">
        <f t="shared" ref="GC379:GC388" ca="1" si="8">GC347</f>
        <v/>
      </c>
      <c r="GD379" s="49" t="e">
        <f ca="1">0.1*GD388</f>
        <v>#VALUE!</v>
      </c>
      <c r="GE379" s="49">
        <f ca="1">IF(FO251=0,0,IF(FO337=1,GI388-1*GC347,IF(FO337=2,GI388-1*GC347,0)))</f>
        <v>0</v>
      </c>
      <c r="GF379" s="49"/>
      <c r="GG379" s="48"/>
      <c r="GH379" s="48"/>
      <c r="GI379" s="48"/>
      <c r="GJ379" s="48"/>
      <c r="GK379" s="48"/>
      <c r="GL379" s="48"/>
      <c r="GM379" s="48"/>
      <c r="GN379" s="48"/>
      <c r="GO379" s="48"/>
      <c r="GP379" s="48"/>
      <c r="GQ379" s="48"/>
      <c r="GR379" s="48"/>
      <c r="GS379" s="48"/>
      <c r="GT379" s="48"/>
      <c r="GU379" s="48"/>
      <c r="GV379" s="48"/>
      <c r="GW379" s="48"/>
      <c r="GX379" s="48"/>
      <c r="GY379" s="48"/>
      <c r="GZ379" s="48"/>
      <c r="HA379" s="48"/>
      <c r="HB379" s="48"/>
      <c r="HC379" s="48"/>
      <c r="HD379" s="48"/>
      <c r="HE379" s="48"/>
      <c r="HF379" s="13"/>
      <c r="HG379" s="13"/>
      <c r="HH379" s="13"/>
    </row>
    <row r="380" spans="1:216" ht="16.5" customHeight="1">
      <c r="A380" s="1"/>
      <c r="B380" s="3"/>
      <c r="C380" s="3"/>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30"/>
      <c r="FL380" s="21"/>
      <c r="FM380" s="49"/>
      <c r="FN380" s="49"/>
      <c r="FO380" s="49"/>
      <c r="FP380" s="49"/>
      <c r="FQ380" s="49"/>
      <c r="FR380" s="49"/>
      <c r="FS380" s="49"/>
      <c r="FT380" s="49"/>
      <c r="FU380" s="47"/>
      <c r="FV380" s="47"/>
      <c r="FW380" s="47"/>
      <c r="FX380" s="47"/>
      <c r="FY380" s="47"/>
      <c r="FZ380" s="47"/>
      <c r="GA380" s="49"/>
      <c r="GB380" s="49"/>
      <c r="GC380" s="49" t="str">
        <f t="shared" ca="1" si="8"/>
        <v/>
      </c>
      <c r="GD380" s="49" t="e">
        <f ca="1">0.2*GD388</f>
        <v>#VALUE!</v>
      </c>
      <c r="GE380" s="49">
        <f ca="1">IF(FO251=0,0,IF(FO337=1,GI388,IF(FO337=2,GI388,0)))</f>
        <v>0</v>
      </c>
      <c r="GF380" s="49"/>
      <c r="GG380" s="48"/>
      <c r="GH380" s="48"/>
      <c r="GI380" s="48"/>
      <c r="GJ380" s="48"/>
      <c r="GK380" s="48"/>
      <c r="GL380" s="48"/>
      <c r="GM380" s="48"/>
      <c r="GN380" s="48"/>
      <c r="GO380" s="48"/>
      <c r="GP380" s="48"/>
      <c r="GQ380" s="48"/>
      <c r="GR380" s="48"/>
      <c r="GS380" s="48"/>
      <c r="GT380" s="48"/>
      <c r="GU380" s="48"/>
      <c r="GV380" s="48"/>
      <c r="GW380" s="48"/>
      <c r="GX380" s="48"/>
      <c r="GY380" s="48"/>
      <c r="GZ380" s="48"/>
      <c r="HA380" s="48"/>
      <c r="HB380" s="48"/>
      <c r="HC380" s="48"/>
      <c r="HD380" s="48"/>
      <c r="HE380" s="48"/>
      <c r="HF380" s="13"/>
      <c r="HG380" s="13"/>
      <c r="HH380" s="13"/>
    </row>
    <row r="381" spans="1:216" ht="16.5" customHeight="1">
      <c r="A381" s="1"/>
      <c r="B381" s="3"/>
      <c r="C381" s="3"/>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30"/>
      <c r="FL381" s="21"/>
      <c r="FM381" s="49"/>
      <c r="FN381" s="49"/>
      <c r="FO381" s="49"/>
      <c r="FP381" s="49"/>
      <c r="FQ381" s="49"/>
      <c r="FR381" s="49"/>
      <c r="FS381" s="49"/>
      <c r="FT381" s="49"/>
      <c r="FU381" s="47"/>
      <c r="FV381" s="47"/>
      <c r="FW381" s="47"/>
      <c r="FX381" s="47"/>
      <c r="FY381" s="47"/>
      <c r="FZ381" s="47"/>
      <c r="GA381" s="49"/>
      <c r="GB381" s="49"/>
      <c r="GC381" s="49" t="str">
        <f t="shared" ca="1" si="8"/>
        <v/>
      </c>
      <c r="GD381" s="49" t="e">
        <f ca="1">0.3*GD388</f>
        <v>#VALUE!</v>
      </c>
      <c r="GE381" s="49">
        <f ca="1">IF(FO251=0,0,IF(FO337=1,GE380+1*GC347,IF(FO337=2,GI388+1*GC347,0)))</f>
        <v>0</v>
      </c>
      <c r="GF381" s="49"/>
      <c r="GG381" s="48"/>
      <c r="GH381" s="48"/>
      <c r="GI381" s="48"/>
      <c r="GJ381" s="48"/>
      <c r="GK381" s="48"/>
      <c r="GL381" s="48"/>
      <c r="GM381" s="48"/>
      <c r="GN381" s="48"/>
      <c r="GO381" s="48"/>
      <c r="GP381" s="48"/>
      <c r="GQ381" s="48"/>
      <c r="GR381" s="48"/>
      <c r="GS381" s="48"/>
      <c r="GT381" s="48"/>
      <c r="GU381" s="48"/>
      <c r="GV381" s="48"/>
      <c r="GW381" s="48"/>
      <c r="GX381" s="48"/>
      <c r="GY381" s="48"/>
      <c r="GZ381" s="48"/>
      <c r="HA381" s="48"/>
      <c r="HB381" s="48"/>
      <c r="HC381" s="48"/>
      <c r="HD381" s="48"/>
      <c r="HE381" s="48"/>
      <c r="HF381" s="13"/>
      <c r="HG381" s="13"/>
      <c r="HH381" s="13"/>
    </row>
    <row r="382" spans="1:216" ht="16.5" customHeight="1">
      <c r="A382" s="1"/>
      <c r="B382" s="3"/>
      <c r="C382" s="3"/>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30"/>
      <c r="FL382" s="21"/>
      <c r="FM382" s="49"/>
      <c r="FN382" s="49"/>
      <c r="FO382" s="49"/>
      <c r="FP382" s="49"/>
      <c r="FQ382" s="49"/>
      <c r="FR382" s="49"/>
      <c r="FS382" s="49"/>
      <c r="FT382" s="49"/>
      <c r="FU382" s="47"/>
      <c r="FV382" s="47"/>
      <c r="FW382" s="47"/>
      <c r="FX382" s="47"/>
      <c r="FY382" s="47"/>
      <c r="FZ382" s="47"/>
      <c r="GA382" s="49"/>
      <c r="GB382" s="49"/>
      <c r="GC382" s="49" t="str">
        <f t="shared" ca="1" si="8"/>
        <v/>
      </c>
      <c r="GD382" s="49" t="e">
        <f ca="1">0.4*GD388</f>
        <v>#VALUE!</v>
      </c>
      <c r="GE382" s="49">
        <f ca="1">IF(FO251=0,0,IF(FO337=1,GE380+2*GC347,IF(FO337=2,GI388+2*GC347,0)))</f>
        <v>0</v>
      </c>
      <c r="GF382" s="49"/>
      <c r="GG382" s="48"/>
      <c r="GH382" s="48"/>
      <c r="GI382" s="48"/>
      <c r="GJ382" s="48"/>
      <c r="GK382" s="48"/>
      <c r="GL382" s="48"/>
      <c r="GM382" s="48"/>
      <c r="GN382" s="48"/>
      <c r="GO382" s="48"/>
      <c r="GP382" s="48"/>
      <c r="GQ382" s="48"/>
      <c r="GR382" s="48"/>
      <c r="GS382" s="48"/>
      <c r="GT382" s="48"/>
      <c r="GU382" s="48"/>
      <c r="GV382" s="48"/>
      <c r="GW382" s="48"/>
      <c r="GX382" s="48"/>
      <c r="GY382" s="48"/>
      <c r="GZ382" s="48"/>
      <c r="HA382" s="48"/>
      <c r="HB382" s="48"/>
      <c r="HC382" s="48"/>
      <c r="HD382" s="48"/>
      <c r="HE382" s="48"/>
      <c r="HF382" s="13"/>
      <c r="HG382" s="13"/>
      <c r="HH382" s="13"/>
    </row>
    <row r="383" spans="1:216" ht="16.5" customHeight="1">
      <c r="A383" s="1"/>
      <c r="B383" s="3"/>
      <c r="C383" s="3"/>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30"/>
      <c r="FL383" s="21"/>
      <c r="FM383" s="49"/>
      <c r="FN383" s="49"/>
      <c r="FO383" s="49"/>
      <c r="FP383" s="49"/>
      <c r="FQ383" s="49"/>
      <c r="FR383" s="49"/>
      <c r="FS383" s="49"/>
      <c r="FT383" s="49"/>
      <c r="FU383" s="47"/>
      <c r="FV383" s="47"/>
      <c r="FW383" s="47"/>
      <c r="FX383" s="47"/>
      <c r="FY383" s="47"/>
      <c r="FZ383" s="47"/>
      <c r="GA383" s="49"/>
      <c r="GB383" s="49"/>
      <c r="GC383" s="49" t="str">
        <f t="shared" ca="1" si="8"/>
        <v/>
      </c>
      <c r="GD383" s="49" t="e">
        <f ca="1">0.5*GD388</f>
        <v>#VALUE!</v>
      </c>
      <c r="GE383" s="49"/>
      <c r="GF383" s="49"/>
      <c r="GG383" s="48"/>
      <c r="GH383" s="48"/>
      <c r="GI383" s="48"/>
      <c r="GJ383" s="48"/>
      <c r="GK383" s="48"/>
      <c r="GL383" s="48"/>
      <c r="GM383" s="48"/>
      <c r="GN383" s="48"/>
      <c r="GO383" s="48"/>
      <c r="GP383" s="48"/>
      <c r="GQ383" s="48"/>
      <c r="GR383" s="48"/>
      <c r="GS383" s="48"/>
      <c r="GT383" s="48"/>
      <c r="GU383" s="48"/>
      <c r="GV383" s="48"/>
      <c r="GW383" s="48"/>
      <c r="GX383" s="48"/>
      <c r="GY383" s="48"/>
      <c r="GZ383" s="48"/>
      <c r="HA383" s="48"/>
      <c r="HB383" s="48"/>
      <c r="HC383" s="48"/>
      <c r="HD383" s="48"/>
      <c r="HE383" s="48"/>
      <c r="HF383" s="13"/>
      <c r="HG383" s="13"/>
      <c r="HH383" s="13"/>
    </row>
    <row r="384" spans="1:216" ht="16.5" customHeight="1">
      <c r="A384" s="1"/>
      <c r="B384" s="3"/>
      <c r="C384" s="3"/>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30"/>
      <c r="FL384" s="21"/>
      <c r="FM384" s="49"/>
      <c r="FN384" s="49"/>
      <c r="FO384" s="49"/>
      <c r="FP384" s="49"/>
      <c r="FQ384" s="49"/>
      <c r="FR384" s="49"/>
      <c r="FS384" s="49"/>
      <c r="FT384" s="49"/>
      <c r="FU384" s="47"/>
      <c r="FV384" s="47"/>
      <c r="FW384" s="47"/>
      <c r="FX384" s="47"/>
      <c r="FY384" s="47"/>
      <c r="FZ384" s="47"/>
      <c r="GA384" s="49"/>
      <c r="GB384" s="49"/>
      <c r="GC384" s="49" t="str">
        <f t="shared" ca="1" si="8"/>
        <v/>
      </c>
      <c r="GD384" s="49" t="e">
        <f ca="1">0.6*GD388</f>
        <v>#VALUE!</v>
      </c>
      <c r="GE384" s="49"/>
      <c r="GF384" s="49"/>
      <c r="GG384" s="48"/>
      <c r="GH384" s="48"/>
      <c r="GI384" s="48"/>
      <c r="GJ384" s="48"/>
      <c r="GK384" s="48"/>
      <c r="GL384" s="48"/>
      <c r="GM384" s="48"/>
      <c r="GN384" s="48"/>
      <c r="GO384" s="48"/>
      <c r="GP384" s="48"/>
      <c r="GQ384" s="48"/>
      <c r="GR384" s="48"/>
      <c r="GS384" s="48"/>
      <c r="GT384" s="48"/>
      <c r="GU384" s="48"/>
      <c r="GV384" s="48"/>
      <c r="GW384" s="48"/>
      <c r="GX384" s="48"/>
      <c r="GY384" s="48"/>
      <c r="GZ384" s="48"/>
      <c r="HA384" s="48"/>
      <c r="HB384" s="48"/>
      <c r="HC384" s="48"/>
      <c r="HD384" s="48"/>
      <c r="HE384" s="48"/>
      <c r="HF384" s="13"/>
      <c r="HG384" s="13"/>
      <c r="HH384" s="13"/>
    </row>
    <row r="385" spans="1:216" ht="16.5" customHeight="1">
      <c r="A385" s="1"/>
      <c r="B385" s="3"/>
      <c r="C385" s="3"/>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30"/>
      <c r="FL385" s="21"/>
      <c r="FM385" s="49"/>
      <c r="FN385" s="49"/>
      <c r="FO385" s="49"/>
      <c r="FP385" s="49"/>
      <c r="FQ385" s="49"/>
      <c r="FR385" s="49"/>
      <c r="FS385" s="49"/>
      <c r="FT385" s="49"/>
      <c r="FU385" s="47"/>
      <c r="FV385" s="47"/>
      <c r="FW385" s="47"/>
      <c r="FX385" s="47"/>
      <c r="FY385" s="47"/>
      <c r="FZ385" s="47"/>
      <c r="GA385" s="49"/>
      <c r="GB385" s="49"/>
      <c r="GC385" s="49" t="str">
        <f t="shared" ca="1" si="8"/>
        <v/>
      </c>
      <c r="GD385" s="49" t="e">
        <f ca="1">0.7*GD388</f>
        <v>#VALUE!</v>
      </c>
      <c r="GE385" s="49"/>
      <c r="GF385" s="49"/>
      <c r="GG385" s="48"/>
      <c r="GH385" s="48"/>
      <c r="GI385" s="48"/>
      <c r="GJ385" s="48"/>
      <c r="GK385" s="48"/>
      <c r="GL385" s="48"/>
      <c r="GM385" s="48"/>
      <c r="GN385" s="48"/>
      <c r="GO385" s="48"/>
      <c r="GP385" s="48"/>
      <c r="GQ385" s="48"/>
      <c r="GR385" s="48"/>
      <c r="GS385" s="48"/>
      <c r="GT385" s="48"/>
      <c r="GU385" s="48"/>
      <c r="GV385" s="48"/>
      <c r="GW385" s="48"/>
      <c r="GX385" s="48"/>
      <c r="GY385" s="48"/>
      <c r="GZ385" s="48"/>
      <c r="HA385" s="48"/>
      <c r="HB385" s="48"/>
      <c r="HC385" s="48"/>
      <c r="HD385" s="48"/>
      <c r="HE385" s="48"/>
      <c r="HF385" s="13"/>
      <c r="HG385" s="13"/>
      <c r="HH385" s="13"/>
    </row>
    <row r="386" spans="1:216" ht="16.5" customHeight="1">
      <c r="A386" s="1"/>
      <c r="B386" s="3"/>
      <c r="C386" s="3"/>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30"/>
      <c r="FL386" s="21"/>
      <c r="FM386" s="49"/>
      <c r="FN386" s="49"/>
      <c r="FO386" s="49"/>
      <c r="FP386" s="49"/>
      <c r="FQ386" s="49"/>
      <c r="FR386" s="49"/>
      <c r="FS386" s="49"/>
      <c r="FT386" s="49"/>
      <c r="FU386" s="47"/>
      <c r="FV386" s="47"/>
      <c r="FW386" s="47"/>
      <c r="FX386" s="47"/>
      <c r="FY386" s="47"/>
      <c r="FZ386" s="47"/>
      <c r="GA386" s="49"/>
      <c r="GB386" s="49"/>
      <c r="GC386" s="49" t="str">
        <f t="shared" ca="1" si="8"/>
        <v/>
      </c>
      <c r="GD386" s="49" t="e">
        <f ca="1">0.8*GD388</f>
        <v>#VALUE!</v>
      </c>
      <c r="GE386" s="49"/>
      <c r="GF386" s="49"/>
      <c r="GG386" s="48"/>
      <c r="GH386" s="48"/>
      <c r="GI386" s="48"/>
      <c r="GJ386" s="48"/>
      <c r="GK386" s="48"/>
      <c r="GL386" s="48"/>
      <c r="GM386" s="48"/>
      <c r="GN386" s="48"/>
      <c r="GO386" s="48"/>
      <c r="GP386" s="48"/>
      <c r="GQ386" s="48"/>
      <c r="GR386" s="48"/>
      <c r="GS386" s="48"/>
      <c r="GT386" s="48"/>
      <c r="GU386" s="48"/>
      <c r="GV386" s="48"/>
      <c r="GW386" s="48"/>
      <c r="GX386" s="48"/>
      <c r="GY386" s="48"/>
      <c r="GZ386" s="48"/>
      <c r="HA386" s="48"/>
      <c r="HB386" s="48"/>
      <c r="HC386" s="48"/>
      <c r="HD386" s="48"/>
      <c r="HE386" s="48"/>
      <c r="HF386" s="13"/>
      <c r="HG386" s="13"/>
      <c r="HH386" s="13"/>
    </row>
    <row r="387" spans="1:216" ht="12.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c r="CX387" s="32"/>
      <c r="CY387" s="32"/>
      <c r="CZ387" s="32"/>
      <c r="DA387" s="32"/>
      <c r="DB387" s="32"/>
      <c r="DC387" s="32"/>
      <c r="DD387" s="32"/>
      <c r="DE387" s="32"/>
      <c r="DF387" s="32"/>
      <c r="DG387" s="32"/>
      <c r="DH387" s="32"/>
      <c r="DI387" s="32"/>
      <c r="DJ387" s="32"/>
      <c r="DK387" s="32"/>
      <c r="DL387" s="32"/>
      <c r="DM387" s="32"/>
      <c r="DN387" s="32"/>
      <c r="DO387" s="32"/>
      <c r="DP387" s="32"/>
      <c r="DQ387" s="32"/>
      <c r="DR387" s="32"/>
      <c r="DS387" s="32"/>
      <c r="DT387" s="32"/>
      <c r="DU387" s="32"/>
      <c r="DV387" s="32"/>
      <c r="DW387" s="32"/>
      <c r="DX387" s="32"/>
      <c r="DY387" s="32"/>
      <c r="DZ387" s="32"/>
      <c r="EA387" s="32"/>
      <c r="EB387" s="32"/>
      <c r="EC387" s="32"/>
      <c r="ED387" s="32"/>
      <c r="EE387" s="32"/>
      <c r="EF387" s="32"/>
      <c r="EG387" s="32"/>
      <c r="EH387" s="32"/>
      <c r="EI387" s="32"/>
      <c r="EJ387" s="32"/>
      <c r="EK387" s="32"/>
      <c r="EL387" s="32"/>
      <c r="EM387" s="32"/>
      <c r="EN387" s="32"/>
      <c r="EO387" s="32"/>
      <c r="EP387" s="32"/>
      <c r="EQ387" s="32"/>
      <c r="ER387" s="32"/>
      <c r="ES387" s="32"/>
      <c r="ET387" s="32"/>
      <c r="EU387" s="32"/>
      <c r="EV387" s="32"/>
      <c r="EW387" s="32"/>
      <c r="EX387" s="32"/>
      <c r="EY387" s="32"/>
      <c r="EZ387" s="32"/>
      <c r="FA387" s="32"/>
      <c r="FB387" s="32"/>
      <c r="FC387" s="32"/>
      <c r="FD387" s="32"/>
      <c r="FE387" s="32"/>
      <c r="FF387" s="32"/>
      <c r="FG387" s="32"/>
      <c r="FH387" s="32"/>
      <c r="FI387" s="32"/>
      <c r="FJ387" s="32"/>
      <c r="FK387" s="32"/>
      <c r="FL387" s="32"/>
      <c r="FM387" s="32"/>
      <c r="FN387" s="32"/>
      <c r="FO387" s="32"/>
      <c r="FP387" s="47"/>
      <c r="FQ387" s="47"/>
      <c r="FR387" s="47"/>
      <c r="FS387" s="47"/>
      <c r="FT387" s="47"/>
      <c r="FU387" s="47"/>
      <c r="FV387" s="47"/>
      <c r="FW387" s="47"/>
      <c r="FX387" s="47"/>
      <c r="FY387" s="47"/>
      <c r="FZ387" s="47"/>
      <c r="GA387" s="48"/>
      <c r="GB387" s="49"/>
      <c r="GC387" s="49" t="str">
        <f t="shared" ca="1" si="8"/>
        <v/>
      </c>
      <c r="GD387" s="49" t="e">
        <f ca="1">0.9*GD388</f>
        <v>#VALUE!</v>
      </c>
      <c r="GE387" s="49"/>
      <c r="GF387" s="49"/>
      <c r="GG387" s="48"/>
      <c r="GH387" s="48"/>
      <c r="GI387" s="48"/>
      <c r="GJ387" s="48"/>
      <c r="GK387" s="48"/>
      <c r="GL387" s="48"/>
      <c r="GM387" s="48"/>
      <c r="GN387" s="48"/>
      <c r="GO387" s="48"/>
      <c r="GP387" s="48"/>
      <c r="GQ387" s="48"/>
      <c r="GR387" s="48"/>
      <c r="GS387" s="48"/>
      <c r="GT387" s="48"/>
      <c r="GU387" s="48"/>
      <c r="GV387" s="48"/>
      <c r="GW387" s="48"/>
      <c r="GX387" s="48"/>
      <c r="GY387" s="48"/>
      <c r="GZ387" s="48"/>
      <c r="HA387" s="48"/>
      <c r="HB387" s="48"/>
      <c r="HC387" s="48"/>
      <c r="HD387" s="48"/>
      <c r="HE387" s="48"/>
      <c r="HF387" s="13"/>
      <c r="HG387" s="13"/>
      <c r="HH387" s="13"/>
    </row>
    <row r="388" spans="1:216" ht="12.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c r="FL388" s="32"/>
      <c r="FM388" s="32"/>
      <c r="FN388" s="32"/>
      <c r="FO388" s="32"/>
      <c r="FP388" s="47"/>
      <c r="FQ388" s="47"/>
      <c r="FR388" s="47"/>
      <c r="FS388" s="47"/>
      <c r="FT388" s="47"/>
      <c r="FU388" s="47"/>
      <c r="FV388" s="47"/>
      <c r="FW388" s="47"/>
      <c r="FX388" s="47"/>
      <c r="FY388" s="47"/>
      <c r="FZ388" s="47"/>
      <c r="GA388" s="48"/>
      <c r="GB388" s="49"/>
      <c r="GC388" s="49" t="str">
        <f t="shared" ca="1" si="8"/>
        <v/>
      </c>
      <c r="GD388" s="49" t="e">
        <f ca="1">IF(GD389&lt;GD335,GD389,GD335)</f>
        <v>#VALUE!</v>
      </c>
      <c r="GE388" s="49"/>
      <c r="GF388" s="49"/>
      <c r="GG388" s="48"/>
      <c r="GH388" s="48"/>
      <c r="GI388" s="48"/>
      <c r="GJ388" s="48"/>
      <c r="GK388" s="48"/>
      <c r="GL388" s="48"/>
      <c r="GM388" s="48"/>
      <c r="GN388" s="48"/>
      <c r="GO388" s="48"/>
      <c r="GP388" s="48"/>
      <c r="GQ388" s="48"/>
      <c r="GR388" s="48"/>
      <c r="GS388" s="48"/>
      <c r="GT388" s="48"/>
      <c r="GU388" s="48"/>
      <c r="GV388" s="48"/>
      <c r="GW388" s="48"/>
      <c r="GX388" s="48"/>
      <c r="GY388" s="48"/>
      <c r="GZ388" s="48"/>
      <c r="HA388" s="48"/>
      <c r="HB388" s="48"/>
      <c r="HC388" s="48"/>
      <c r="HD388" s="48"/>
      <c r="HE388" s="48"/>
      <c r="HF388" s="13"/>
      <c r="HG388" s="13"/>
      <c r="HH388" s="13"/>
    </row>
    <row r="389" spans="1:216" ht="12.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c r="EB389" s="32"/>
      <c r="EC389" s="32"/>
      <c r="ED389" s="32"/>
      <c r="EE389" s="32"/>
      <c r="EF389" s="32"/>
      <c r="EG389" s="32"/>
      <c r="EH389" s="32"/>
      <c r="EI389" s="32"/>
      <c r="EJ389" s="32"/>
      <c r="EK389" s="32"/>
      <c r="EL389" s="32"/>
      <c r="EM389" s="32"/>
      <c r="EN389" s="32"/>
      <c r="EO389" s="32"/>
      <c r="EP389" s="32"/>
      <c r="EQ389" s="32"/>
      <c r="ER389" s="32"/>
      <c r="ES389" s="32"/>
      <c r="ET389" s="32"/>
      <c r="EU389" s="32"/>
      <c r="EV389" s="32"/>
      <c r="EW389" s="32"/>
      <c r="EX389" s="32"/>
      <c r="EY389" s="32"/>
      <c r="EZ389" s="32"/>
      <c r="FA389" s="32"/>
      <c r="FB389" s="32"/>
      <c r="FC389" s="32"/>
      <c r="FD389" s="32"/>
      <c r="FE389" s="32"/>
      <c r="FF389" s="32"/>
      <c r="FG389" s="32"/>
      <c r="FH389" s="32"/>
      <c r="FI389" s="32"/>
      <c r="FJ389" s="32"/>
      <c r="FK389" s="32"/>
      <c r="FL389" s="32"/>
      <c r="FM389" s="32"/>
      <c r="FN389" s="32"/>
      <c r="FO389" s="32"/>
      <c r="FP389" s="47"/>
      <c r="FQ389" s="47"/>
      <c r="FR389" s="47"/>
      <c r="FS389" s="47"/>
      <c r="FT389" s="47"/>
      <c r="FU389" s="47"/>
      <c r="FV389" s="47"/>
      <c r="FW389" s="47"/>
      <c r="FX389" s="47"/>
      <c r="FY389" s="47"/>
      <c r="FZ389" s="47"/>
      <c r="GA389" s="48"/>
      <c r="GB389" s="49"/>
      <c r="GC389" s="49"/>
      <c r="GD389" s="49" t="e">
        <f ca="1">-(GD391-(GD391^2-4*GD390*GE391)^0.5)/(2*GD390)</f>
        <v>#VALUE!</v>
      </c>
      <c r="GE389" s="49"/>
      <c r="GF389" s="49"/>
      <c r="GG389" s="48"/>
      <c r="GH389" s="48"/>
      <c r="GI389" s="48"/>
      <c r="GJ389" s="48"/>
      <c r="GK389" s="48"/>
      <c r="GL389" s="48"/>
      <c r="GM389" s="48"/>
      <c r="GN389" s="48"/>
      <c r="GO389" s="48"/>
      <c r="GP389" s="48"/>
      <c r="GQ389" s="48"/>
      <c r="GR389" s="48"/>
      <c r="GS389" s="48"/>
      <c r="GT389" s="48"/>
      <c r="GU389" s="48"/>
      <c r="GV389" s="48"/>
      <c r="GW389" s="48"/>
      <c r="GX389" s="48"/>
      <c r="GY389" s="48"/>
      <c r="GZ389" s="48"/>
      <c r="HA389" s="48"/>
      <c r="HB389" s="48"/>
      <c r="HC389" s="48"/>
      <c r="HD389" s="48"/>
      <c r="HE389" s="48"/>
      <c r="HF389" s="13"/>
      <c r="HG389" s="13"/>
      <c r="HH389" s="13"/>
    </row>
    <row r="390" spans="1:216" ht="12.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c r="CX390" s="32"/>
      <c r="CY390" s="32"/>
      <c r="CZ390" s="32"/>
      <c r="DA390" s="32"/>
      <c r="DB390" s="32"/>
      <c r="DC390" s="32"/>
      <c r="DD390" s="32"/>
      <c r="DE390" s="32"/>
      <c r="DF390" s="32"/>
      <c r="DG390" s="32"/>
      <c r="DH390" s="32"/>
      <c r="DI390" s="32"/>
      <c r="DJ390" s="32"/>
      <c r="DK390" s="32"/>
      <c r="DL390" s="32"/>
      <c r="DM390" s="32"/>
      <c r="DN390" s="32"/>
      <c r="DO390" s="32"/>
      <c r="DP390" s="32"/>
      <c r="DQ390" s="32"/>
      <c r="DR390" s="32"/>
      <c r="DS390" s="32"/>
      <c r="DT390" s="32"/>
      <c r="DU390" s="32"/>
      <c r="DV390" s="32"/>
      <c r="DW390" s="32"/>
      <c r="DX390" s="32"/>
      <c r="DY390" s="32"/>
      <c r="DZ390" s="32"/>
      <c r="EA390" s="32"/>
      <c r="EB390" s="32"/>
      <c r="EC390" s="32"/>
      <c r="ED390" s="32"/>
      <c r="EE390" s="32"/>
      <c r="EF390" s="32"/>
      <c r="EG390" s="32"/>
      <c r="EH390" s="32"/>
      <c r="EI390" s="32"/>
      <c r="EJ390" s="32"/>
      <c r="EK390" s="32"/>
      <c r="EL390" s="32"/>
      <c r="EM390" s="32"/>
      <c r="EN390" s="32"/>
      <c r="EO390" s="32"/>
      <c r="EP390" s="32"/>
      <c r="EQ390" s="32"/>
      <c r="ER390" s="32"/>
      <c r="ES390" s="32"/>
      <c r="ET390" s="32"/>
      <c r="EU390" s="32"/>
      <c r="EV390" s="32"/>
      <c r="EW390" s="32"/>
      <c r="EX390" s="32"/>
      <c r="EY390" s="32"/>
      <c r="EZ390" s="32"/>
      <c r="FA390" s="32"/>
      <c r="FB390" s="32"/>
      <c r="FC390" s="32"/>
      <c r="FD390" s="32"/>
      <c r="FE390" s="32"/>
      <c r="FF390" s="32"/>
      <c r="FG390" s="32"/>
      <c r="FH390" s="32"/>
      <c r="FI390" s="32"/>
      <c r="FJ390" s="32"/>
      <c r="FK390" s="32"/>
      <c r="FL390" s="32"/>
      <c r="FM390" s="32"/>
      <c r="FN390" s="32"/>
      <c r="FO390" s="32"/>
      <c r="FP390" s="47"/>
      <c r="FQ390" s="47"/>
      <c r="FR390" s="47"/>
      <c r="FS390" s="47"/>
      <c r="FT390" s="47"/>
      <c r="FU390" s="47"/>
      <c r="FV390" s="47"/>
      <c r="FW390" s="47"/>
      <c r="FX390" s="47"/>
      <c r="FY390" s="47"/>
      <c r="FZ390" s="47"/>
      <c r="GA390" s="48"/>
      <c r="GB390" s="49"/>
      <c r="GC390" s="49"/>
      <c r="GD390" s="49" t="e">
        <f ca="1">GM343</f>
        <v>#VALUE!</v>
      </c>
      <c r="GE390" s="49"/>
      <c r="GF390" s="49"/>
      <c r="GG390" s="48"/>
      <c r="GH390" s="48"/>
      <c r="GI390" s="48"/>
      <c r="GJ390" s="48"/>
      <c r="GK390" s="48"/>
      <c r="GL390" s="48"/>
      <c r="GM390" s="48"/>
      <c r="GN390" s="48"/>
      <c r="GO390" s="48"/>
      <c r="GP390" s="48"/>
      <c r="GQ390" s="48"/>
      <c r="GR390" s="48"/>
      <c r="GS390" s="48"/>
      <c r="GT390" s="48"/>
      <c r="GU390" s="48"/>
      <c r="GV390" s="48"/>
      <c r="GW390" s="48"/>
      <c r="GX390" s="48"/>
      <c r="GY390" s="48"/>
      <c r="GZ390" s="48"/>
      <c r="HA390" s="48"/>
      <c r="HB390" s="48"/>
      <c r="HC390" s="48"/>
      <c r="HD390" s="48"/>
      <c r="HE390" s="48"/>
      <c r="HF390" s="13"/>
      <c r="HG390" s="13"/>
      <c r="HH390" s="13"/>
    </row>
    <row r="391" spans="1:216" ht="12.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c r="EH391" s="32"/>
      <c r="EI391" s="32"/>
      <c r="EJ391" s="32"/>
      <c r="EK391" s="32"/>
      <c r="EL391" s="32"/>
      <c r="EM391" s="32"/>
      <c r="EN391" s="32"/>
      <c r="EO391" s="32"/>
      <c r="EP391" s="32"/>
      <c r="EQ391" s="32"/>
      <c r="ER391" s="32"/>
      <c r="ES391" s="32"/>
      <c r="ET391" s="32"/>
      <c r="EU391" s="32"/>
      <c r="EV391" s="32"/>
      <c r="EW391" s="32"/>
      <c r="EX391" s="32"/>
      <c r="EY391" s="32"/>
      <c r="EZ391" s="32"/>
      <c r="FA391" s="32"/>
      <c r="FB391" s="32"/>
      <c r="FC391" s="32"/>
      <c r="FD391" s="32"/>
      <c r="FE391" s="32"/>
      <c r="FF391" s="32"/>
      <c r="FG391" s="32"/>
      <c r="FH391" s="32"/>
      <c r="FI391" s="32"/>
      <c r="FJ391" s="32"/>
      <c r="FK391" s="32"/>
      <c r="FL391" s="32"/>
      <c r="FM391" s="32"/>
      <c r="FN391" s="32"/>
      <c r="FO391" s="32"/>
      <c r="FP391" s="47"/>
      <c r="FQ391" s="47"/>
      <c r="FR391" s="47"/>
      <c r="FS391" s="47"/>
      <c r="FT391" s="47"/>
      <c r="FU391" s="47"/>
      <c r="FV391" s="47"/>
      <c r="FW391" s="47"/>
      <c r="FX391" s="47"/>
      <c r="FY391" s="47"/>
      <c r="FZ391" s="47"/>
      <c r="GA391" s="48"/>
      <c r="GB391" s="49"/>
      <c r="GC391" s="49"/>
      <c r="GD391" s="49" t="e">
        <f ca="1">GN343</f>
        <v>#VALUE!</v>
      </c>
      <c r="GE391" s="49" t="e">
        <f ca="1">GG343-1.1*GN383</f>
        <v>#DIV/0!</v>
      </c>
      <c r="GF391" s="49"/>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13"/>
      <c r="HG391" s="13"/>
      <c r="HH391" s="13"/>
    </row>
    <row r="392" spans="1:216" ht="12.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c r="CX392" s="32"/>
      <c r="CY392" s="32"/>
      <c r="CZ392" s="32"/>
      <c r="DA392" s="32"/>
      <c r="DB392" s="32"/>
      <c r="DC392" s="32"/>
      <c r="DD392" s="32"/>
      <c r="DE392" s="32"/>
      <c r="DF392" s="32"/>
      <c r="DG392" s="32"/>
      <c r="DH392" s="32"/>
      <c r="DI392" s="32"/>
      <c r="DJ392" s="32"/>
      <c r="DK392" s="32"/>
      <c r="DL392" s="32"/>
      <c r="DM392" s="32"/>
      <c r="DN392" s="32"/>
      <c r="DO392" s="32"/>
      <c r="DP392" s="32"/>
      <c r="DQ392" s="32"/>
      <c r="DR392" s="32"/>
      <c r="DS392" s="32"/>
      <c r="DT392" s="32"/>
      <c r="DU392" s="32"/>
      <c r="DV392" s="32"/>
      <c r="DW392" s="32"/>
      <c r="DX392" s="32"/>
      <c r="DY392" s="32"/>
      <c r="DZ392" s="32"/>
      <c r="EA392" s="32"/>
      <c r="EB392" s="32"/>
      <c r="EC392" s="32"/>
      <c r="ED392" s="32"/>
      <c r="EE392" s="32"/>
      <c r="EF392" s="32"/>
      <c r="EG392" s="32"/>
      <c r="EH392" s="32"/>
      <c r="EI392" s="32"/>
      <c r="EJ392" s="32"/>
      <c r="EK392" s="32"/>
      <c r="EL392" s="32"/>
      <c r="EM392" s="32"/>
      <c r="EN392" s="32"/>
      <c r="EO392" s="32"/>
      <c r="EP392" s="32"/>
      <c r="EQ392" s="32"/>
      <c r="ER392" s="32"/>
      <c r="ES392" s="32"/>
      <c r="ET392" s="32"/>
      <c r="EU392" s="32"/>
      <c r="EV392" s="32"/>
      <c r="EW392" s="32"/>
      <c r="EX392" s="32"/>
      <c r="EY392" s="32"/>
      <c r="EZ392" s="32"/>
      <c r="FA392" s="32"/>
      <c r="FB392" s="32"/>
      <c r="FC392" s="32"/>
      <c r="FD392" s="32"/>
      <c r="FE392" s="32"/>
      <c r="FF392" s="32"/>
      <c r="FG392" s="32"/>
      <c r="FH392" s="32"/>
      <c r="FI392" s="32"/>
      <c r="FJ392" s="32"/>
      <c r="FK392" s="32"/>
      <c r="FL392" s="32"/>
      <c r="FM392" s="32"/>
      <c r="FN392" s="32"/>
      <c r="FO392" s="32"/>
      <c r="FP392" s="47"/>
      <c r="FQ392" s="47"/>
      <c r="FR392" s="47"/>
      <c r="FS392" s="47"/>
      <c r="FT392" s="47"/>
      <c r="FU392" s="47"/>
      <c r="FV392" s="47"/>
      <c r="FW392" s="47"/>
      <c r="FX392" s="47"/>
      <c r="FY392" s="47"/>
      <c r="FZ392" s="47"/>
      <c r="GA392" s="48"/>
      <c r="GB392" s="49"/>
      <c r="GC392" s="49"/>
      <c r="GD392" s="49"/>
      <c r="GE392" s="49"/>
      <c r="GF392" s="49"/>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13"/>
      <c r="HG392" s="13"/>
      <c r="HH392" s="13"/>
    </row>
    <row r="393" spans="1:216" ht="12.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47"/>
      <c r="FQ393" s="47"/>
      <c r="FR393" s="47"/>
      <c r="FS393" s="47"/>
      <c r="FT393" s="47"/>
      <c r="FU393" s="47"/>
      <c r="FV393" s="47"/>
      <c r="FW393" s="47"/>
      <c r="FX393" s="47"/>
      <c r="FY393" s="47"/>
      <c r="FZ393" s="47"/>
      <c r="GA393" s="48"/>
      <c r="GB393" s="49"/>
      <c r="GC393" s="49"/>
      <c r="GD393" s="49"/>
      <c r="GE393" s="49"/>
      <c r="GF393" s="49"/>
      <c r="GG393" s="48"/>
      <c r="GH393" s="48"/>
      <c r="GI393" s="48"/>
      <c r="GJ393" s="48"/>
      <c r="GK393" s="48"/>
      <c r="GL393" s="48"/>
      <c r="GM393" s="48"/>
      <c r="GN393" s="48"/>
      <c r="GO393" s="48"/>
      <c r="GP393" s="48"/>
      <c r="GQ393" s="48"/>
      <c r="GR393" s="48"/>
      <c r="GS393" s="48"/>
      <c r="GT393" s="48"/>
      <c r="GU393" s="48"/>
      <c r="GV393" s="48"/>
      <c r="GW393" s="48"/>
      <c r="GX393" s="48"/>
      <c r="GY393" s="48"/>
      <c r="GZ393" s="48"/>
      <c r="HA393" s="48"/>
      <c r="HB393" s="48"/>
      <c r="HC393" s="48"/>
      <c r="HD393" s="48"/>
      <c r="HE393" s="48"/>
      <c r="HF393" s="13"/>
      <c r="HG393" s="13"/>
      <c r="HH393" s="13"/>
    </row>
    <row r="394" spans="1:216" ht="12.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47"/>
      <c r="FQ394" s="47"/>
      <c r="FR394" s="47"/>
      <c r="FS394" s="47"/>
      <c r="FT394" s="47"/>
      <c r="FU394" s="47"/>
      <c r="FV394" s="47"/>
      <c r="FW394" s="47"/>
      <c r="FX394" s="47"/>
      <c r="FY394" s="47"/>
      <c r="FZ394" s="47"/>
      <c r="GA394" s="48"/>
      <c r="GB394" s="49"/>
      <c r="GC394" s="49"/>
      <c r="GD394" s="49"/>
      <c r="GE394" s="49"/>
      <c r="GF394" s="49"/>
      <c r="GG394" s="48"/>
      <c r="GH394" s="48"/>
      <c r="GI394" s="48"/>
      <c r="GJ394" s="48"/>
      <c r="GK394" s="48"/>
      <c r="GL394" s="48"/>
      <c r="GM394" s="48"/>
      <c r="GN394" s="48"/>
      <c r="GO394" s="48"/>
      <c r="GP394" s="48"/>
      <c r="GQ394" s="48"/>
      <c r="GR394" s="48"/>
      <c r="GS394" s="48"/>
      <c r="GT394" s="48"/>
      <c r="GU394" s="48"/>
      <c r="GV394" s="48"/>
      <c r="GW394" s="48"/>
      <c r="GX394" s="48"/>
      <c r="GY394" s="48"/>
      <c r="GZ394" s="48"/>
      <c r="HA394" s="48"/>
      <c r="HB394" s="48"/>
      <c r="HC394" s="48"/>
      <c r="HD394" s="48"/>
      <c r="HE394" s="48"/>
      <c r="HF394" s="13"/>
      <c r="HG394" s="13"/>
      <c r="HH394" s="13"/>
    </row>
    <row r="395" spans="1:216" ht="12.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c r="FL395" s="32"/>
      <c r="FM395" s="32"/>
      <c r="FN395" s="32"/>
      <c r="FO395" s="32"/>
      <c r="FP395" s="47"/>
      <c r="FQ395" s="47"/>
      <c r="FR395" s="47"/>
      <c r="FS395" s="47"/>
      <c r="FT395" s="47"/>
      <c r="FU395" s="47"/>
      <c r="FV395" s="47"/>
      <c r="FW395" s="47"/>
      <c r="FX395" s="47"/>
      <c r="FY395" s="47"/>
      <c r="FZ395" s="47"/>
      <c r="GA395" s="48"/>
      <c r="GB395" s="49"/>
      <c r="GC395" s="49"/>
      <c r="GD395" s="49"/>
      <c r="GE395" s="49"/>
      <c r="GF395" s="49"/>
      <c r="GG395" s="48"/>
      <c r="GH395" s="48"/>
      <c r="GI395" s="48"/>
      <c r="GJ395" s="48"/>
      <c r="GK395" s="48"/>
      <c r="GL395" s="48"/>
      <c r="GM395" s="48"/>
      <c r="GN395" s="48"/>
      <c r="GO395" s="48"/>
      <c r="GP395" s="48"/>
      <c r="GQ395" s="48"/>
      <c r="GR395" s="48"/>
      <c r="GS395" s="48"/>
      <c r="GT395" s="48"/>
      <c r="GU395" s="48"/>
      <c r="GV395" s="48"/>
      <c r="GW395" s="48"/>
      <c r="GX395" s="48"/>
      <c r="GY395" s="48"/>
      <c r="GZ395" s="48"/>
      <c r="HA395" s="48"/>
      <c r="HB395" s="48"/>
      <c r="HC395" s="48"/>
      <c r="HD395" s="48"/>
      <c r="HE395" s="48"/>
      <c r="HF395" s="13"/>
      <c r="HG395" s="13"/>
      <c r="HH395" s="13"/>
    </row>
    <row r="396" spans="1:216" ht="12.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2"/>
      <c r="FH396" s="32"/>
      <c r="FI396" s="32"/>
      <c r="FJ396" s="32"/>
      <c r="FK396" s="32"/>
      <c r="FL396" s="32"/>
      <c r="FM396" s="32"/>
      <c r="FN396" s="32"/>
      <c r="FO396" s="32"/>
      <c r="FP396" s="47"/>
      <c r="FQ396" s="47"/>
      <c r="FR396" s="47"/>
      <c r="FS396" s="47"/>
      <c r="FT396" s="47"/>
      <c r="FU396" s="47"/>
      <c r="FV396" s="47"/>
      <c r="FW396" s="47"/>
      <c r="FX396" s="47"/>
      <c r="FY396" s="47"/>
      <c r="FZ396" s="47"/>
      <c r="GA396" s="48"/>
      <c r="GB396" s="49"/>
      <c r="GC396" s="49"/>
      <c r="GD396" s="49"/>
      <c r="GE396" s="49"/>
      <c r="GF396" s="49"/>
      <c r="GG396" s="48"/>
      <c r="GH396" s="48"/>
      <c r="GI396" s="48"/>
      <c r="GJ396" s="48"/>
      <c r="GK396" s="48"/>
      <c r="GL396" s="48"/>
      <c r="GM396" s="48"/>
      <c r="GN396" s="48"/>
      <c r="GO396" s="48"/>
      <c r="GP396" s="48"/>
      <c r="GQ396" s="48"/>
      <c r="GR396" s="48"/>
      <c r="GS396" s="48"/>
      <c r="GT396" s="48"/>
      <c r="GU396" s="48"/>
      <c r="GV396" s="48"/>
      <c r="GW396" s="48"/>
      <c r="GX396" s="48"/>
      <c r="GY396" s="48"/>
      <c r="GZ396" s="48"/>
      <c r="HA396" s="48"/>
      <c r="HB396" s="48"/>
      <c r="HC396" s="48"/>
      <c r="HD396" s="48"/>
      <c r="HE396" s="48"/>
      <c r="HF396" s="13"/>
      <c r="HG396" s="13"/>
      <c r="HH396" s="13"/>
    </row>
    <row r="397" spans="1:216" ht="12.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c r="CX397" s="32"/>
      <c r="CY397" s="32"/>
      <c r="CZ397" s="32"/>
      <c r="DA397" s="32"/>
      <c r="DB397" s="32"/>
      <c r="DC397" s="32"/>
      <c r="DD397" s="32"/>
      <c r="DE397" s="32"/>
      <c r="DF397" s="32"/>
      <c r="DG397" s="32"/>
      <c r="DH397" s="32"/>
      <c r="DI397" s="32"/>
      <c r="DJ397" s="32"/>
      <c r="DK397" s="32"/>
      <c r="DL397" s="32"/>
      <c r="DM397" s="32"/>
      <c r="DN397" s="32"/>
      <c r="DO397" s="32"/>
      <c r="DP397" s="32"/>
      <c r="DQ397" s="32"/>
      <c r="DR397" s="32"/>
      <c r="DS397" s="32"/>
      <c r="DT397" s="32"/>
      <c r="DU397" s="32"/>
      <c r="DV397" s="32"/>
      <c r="DW397" s="32"/>
      <c r="DX397" s="32"/>
      <c r="DY397" s="32"/>
      <c r="DZ397" s="32"/>
      <c r="EA397" s="32"/>
      <c r="EB397" s="32"/>
      <c r="EC397" s="32"/>
      <c r="ED397" s="32"/>
      <c r="EE397" s="32"/>
      <c r="EF397" s="32"/>
      <c r="EG397" s="32"/>
      <c r="EH397" s="32"/>
      <c r="EI397" s="32"/>
      <c r="EJ397" s="32"/>
      <c r="EK397" s="32"/>
      <c r="EL397" s="32"/>
      <c r="EM397" s="32"/>
      <c r="EN397" s="32"/>
      <c r="EO397" s="32"/>
      <c r="EP397" s="32"/>
      <c r="EQ397" s="32"/>
      <c r="ER397" s="32"/>
      <c r="ES397" s="32"/>
      <c r="ET397" s="32"/>
      <c r="EU397" s="32"/>
      <c r="EV397" s="32"/>
      <c r="EW397" s="32"/>
      <c r="EX397" s="32"/>
      <c r="EY397" s="32"/>
      <c r="EZ397" s="32"/>
      <c r="FA397" s="32"/>
      <c r="FB397" s="32"/>
      <c r="FC397" s="32"/>
      <c r="FD397" s="32"/>
      <c r="FE397" s="32"/>
      <c r="FF397" s="32"/>
      <c r="FG397" s="32"/>
      <c r="FH397" s="32"/>
      <c r="FI397" s="32"/>
      <c r="FJ397" s="32"/>
      <c r="FK397" s="32"/>
      <c r="FL397" s="32"/>
      <c r="FM397" s="32"/>
      <c r="FN397" s="32"/>
      <c r="FO397" s="32"/>
      <c r="FP397" s="47"/>
      <c r="FQ397" s="47"/>
      <c r="FR397" s="47"/>
      <c r="FS397" s="47"/>
      <c r="FT397" s="47"/>
      <c r="FU397" s="47"/>
      <c r="FV397" s="47"/>
      <c r="FW397" s="47"/>
      <c r="FX397" s="47"/>
      <c r="FY397" s="47"/>
      <c r="FZ397" s="47"/>
      <c r="GA397" s="48"/>
      <c r="GB397" s="49"/>
      <c r="GC397" s="49"/>
      <c r="GD397" s="49"/>
      <c r="GE397" s="49"/>
      <c r="GF397" s="49"/>
      <c r="GG397" s="48"/>
      <c r="GH397" s="48"/>
      <c r="GI397" s="48"/>
      <c r="GJ397" s="48"/>
      <c r="GK397" s="48"/>
      <c r="GL397" s="48"/>
      <c r="GM397" s="48"/>
      <c r="GN397" s="48"/>
      <c r="GO397" s="48"/>
      <c r="GP397" s="48"/>
      <c r="GQ397" s="48"/>
      <c r="GR397" s="48"/>
      <c r="GS397" s="48"/>
      <c r="GT397" s="48"/>
      <c r="GU397" s="48"/>
      <c r="GV397" s="48"/>
      <c r="GW397" s="48"/>
      <c r="GX397" s="48"/>
      <c r="GY397" s="48"/>
      <c r="GZ397" s="48"/>
      <c r="HA397" s="48"/>
      <c r="HB397" s="48"/>
      <c r="HC397" s="48"/>
      <c r="HD397" s="48"/>
      <c r="HE397" s="48"/>
      <c r="HF397" s="13"/>
      <c r="HG397" s="13"/>
      <c r="HH397" s="13"/>
    </row>
    <row r="398" spans="1:216" ht="12.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c r="CX398" s="32"/>
      <c r="CY398" s="32"/>
      <c r="CZ398" s="32"/>
      <c r="DA398" s="32"/>
      <c r="DB398" s="32"/>
      <c r="DC398" s="32"/>
      <c r="DD398" s="32"/>
      <c r="DE398" s="32"/>
      <c r="DF398" s="32"/>
      <c r="DG398" s="32"/>
      <c r="DH398" s="32"/>
      <c r="DI398" s="32"/>
      <c r="DJ398" s="32"/>
      <c r="DK398" s="32"/>
      <c r="DL398" s="32"/>
      <c r="DM398" s="32"/>
      <c r="DN398" s="32"/>
      <c r="DO398" s="32"/>
      <c r="DP398" s="32"/>
      <c r="DQ398" s="32"/>
      <c r="DR398" s="32"/>
      <c r="DS398" s="32"/>
      <c r="DT398" s="32"/>
      <c r="DU398" s="32"/>
      <c r="DV398" s="32"/>
      <c r="DW398" s="32"/>
      <c r="DX398" s="32"/>
      <c r="DY398" s="32"/>
      <c r="DZ398" s="32"/>
      <c r="EA398" s="32"/>
      <c r="EB398" s="32"/>
      <c r="EC398" s="32"/>
      <c r="ED398" s="32"/>
      <c r="EE398" s="32"/>
      <c r="EF398" s="32"/>
      <c r="EG398" s="32"/>
      <c r="EH398" s="32"/>
      <c r="EI398" s="32"/>
      <c r="EJ398" s="32"/>
      <c r="EK398" s="32"/>
      <c r="EL398" s="32"/>
      <c r="EM398" s="32"/>
      <c r="EN398" s="32"/>
      <c r="EO398" s="32"/>
      <c r="EP398" s="32"/>
      <c r="EQ398" s="32"/>
      <c r="ER398" s="32"/>
      <c r="ES398" s="32"/>
      <c r="ET398" s="32"/>
      <c r="EU398" s="32"/>
      <c r="EV398" s="32"/>
      <c r="EW398" s="32"/>
      <c r="EX398" s="32"/>
      <c r="EY398" s="32"/>
      <c r="EZ398" s="32"/>
      <c r="FA398" s="32"/>
      <c r="FB398" s="32"/>
      <c r="FC398" s="32"/>
      <c r="FD398" s="32"/>
      <c r="FE398" s="32"/>
      <c r="FF398" s="32"/>
      <c r="FG398" s="32"/>
      <c r="FH398" s="32"/>
      <c r="FI398" s="32"/>
      <c r="FJ398" s="32"/>
      <c r="FK398" s="32"/>
      <c r="FL398" s="32"/>
      <c r="FM398" s="32"/>
      <c r="FN398" s="32"/>
      <c r="FO398" s="32"/>
      <c r="FP398" s="47"/>
      <c r="FQ398" s="47"/>
      <c r="FR398" s="47"/>
      <c r="FS398" s="47"/>
      <c r="FT398" s="47"/>
      <c r="FU398" s="47"/>
      <c r="FV398" s="47"/>
      <c r="FW398" s="47"/>
      <c r="FX398" s="47"/>
      <c r="FY398" s="47"/>
      <c r="FZ398" s="47"/>
      <c r="GA398" s="48"/>
      <c r="GB398" s="49"/>
      <c r="GC398" s="49"/>
      <c r="GD398" s="49"/>
      <c r="GE398" s="49"/>
      <c r="GF398" s="49"/>
      <c r="GG398" s="48"/>
      <c r="GH398" s="48"/>
      <c r="GI398" s="48"/>
      <c r="GJ398" s="48"/>
      <c r="GK398" s="48"/>
      <c r="GL398" s="48"/>
      <c r="GM398" s="48"/>
      <c r="GN398" s="48"/>
      <c r="GO398" s="48"/>
      <c r="GP398" s="48"/>
      <c r="GQ398" s="48"/>
      <c r="GR398" s="48"/>
      <c r="GS398" s="48"/>
      <c r="GT398" s="48"/>
      <c r="GU398" s="48"/>
      <c r="GV398" s="48"/>
      <c r="GW398" s="48"/>
      <c r="GX398" s="48"/>
      <c r="GY398" s="48"/>
      <c r="GZ398" s="48"/>
      <c r="HA398" s="48"/>
      <c r="HB398" s="48"/>
      <c r="HC398" s="48"/>
      <c r="HD398" s="48"/>
      <c r="HE398" s="48"/>
      <c r="HF398" s="13"/>
      <c r="HG398" s="13"/>
      <c r="HH398" s="13"/>
    </row>
    <row r="399" spans="1:216" ht="12.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c r="CT399" s="32"/>
      <c r="CU399" s="32"/>
      <c r="CV399" s="32"/>
      <c r="CW399" s="32"/>
      <c r="CX399" s="32"/>
      <c r="CY399" s="32"/>
      <c r="CZ399" s="32"/>
      <c r="DA399" s="32"/>
      <c r="DB399" s="32"/>
      <c r="DC399" s="32"/>
      <c r="DD399" s="32"/>
      <c r="DE399" s="32"/>
      <c r="DF399" s="32"/>
      <c r="DG399" s="32"/>
      <c r="DH399" s="32"/>
      <c r="DI399" s="32"/>
      <c r="DJ399" s="32"/>
      <c r="DK399" s="32"/>
      <c r="DL399" s="32"/>
      <c r="DM399" s="32"/>
      <c r="DN399" s="32"/>
      <c r="DO399" s="32"/>
      <c r="DP399" s="32"/>
      <c r="DQ399" s="32"/>
      <c r="DR399" s="32"/>
      <c r="DS399" s="32"/>
      <c r="DT399" s="32"/>
      <c r="DU399" s="32"/>
      <c r="DV399" s="32"/>
      <c r="DW399" s="32"/>
      <c r="DX399" s="32"/>
      <c r="DY399" s="32"/>
      <c r="DZ399" s="32"/>
      <c r="EA399" s="32"/>
      <c r="EB399" s="32"/>
      <c r="EC399" s="32"/>
      <c r="ED399" s="32"/>
      <c r="EE399" s="32"/>
      <c r="EF399" s="32"/>
      <c r="EG399" s="32"/>
      <c r="EH399" s="32"/>
      <c r="EI399" s="32"/>
      <c r="EJ399" s="32"/>
      <c r="EK399" s="32"/>
      <c r="EL399" s="32"/>
      <c r="EM399" s="32"/>
      <c r="EN399" s="32"/>
      <c r="EO399" s="32"/>
      <c r="EP399" s="32"/>
      <c r="EQ399" s="32"/>
      <c r="ER399" s="32"/>
      <c r="ES399" s="32"/>
      <c r="ET399" s="32"/>
      <c r="EU399" s="32"/>
      <c r="EV399" s="32"/>
      <c r="EW399" s="32"/>
      <c r="EX399" s="32"/>
      <c r="EY399" s="32"/>
      <c r="EZ399" s="32"/>
      <c r="FA399" s="32"/>
      <c r="FB399" s="32"/>
      <c r="FC399" s="32"/>
      <c r="FD399" s="32"/>
      <c r="FE399" s="32"/>
      <c r="FF399" s="32"/>
      <c r="FG399" s="32"/>
      <c r="FH399" s="32"/>
      <c r="FI399" s="32"/>
      <c r="FJ399" s="32"/>
      <c r="FK399" s="32"/>
      <c r="FL399" s="32"/>
      <c r="FM399" s="32"/>
      <c r="FN399" s="32"/>
      <c r="FO399" s="32"/>
      <c r="FP399" s="47"/>
      <c r="FQ399" s="47"/>
      <c r="FR399" s="47"/>
      <c r="FS399" s="47"/>
      <c r="FT399" s="47"/>
      <c r="FU399" s="47"/>
      <c r="FV399" s="47"/>
      <c r="FW399" s="47"/>
      <c r="FX399" s="47"/>
      <c r="FY399" s="47"/>
      <c r="FZ399" s="47"/>
      <c r="GA399" s="48"/>
      <c r="GB399" s="49"/>
      <c r="GC399" s="49"/>
      <c r="GD399" s="49"/>
      <c r="GE399" s="49"/>
      <c r="GF399" s="49"/>
      <c r="GG399" s="48"/>
      <c r="GH399" s="48"/>
      <c r="GI399" s="48"/>
      <c r="GJ399" s="48"/>
      <c r="GK399" s="48"/>
      <c r="GL399" s="48"/>
      <c r="GM399" s="48"/>
      <c r="GN399" s="48"/>
      <c r="GO399" s="48"/>
      <c r="GP399" s="48"/>
      <c r="GQ399" s="48"/>
      <c r="GR399" s="48"/>
      <c r="GS399" s="48"/>
      <c r="GT399" s="48"/>
      <c r="GU399" s="48"/>
      <c r="GV399" s="48"/>
      <c r="GW399" s="48"/>
      <c r="GX399" s="48"/>
      <c r="GY399" s="48"/>
      <c r="GZ399" s="48"/>
      <c r="HA399" s="48"/>
      <c r="HB399" s="48"/>
      <c r="HC399" s="48"/>
      <c r="HD399" s="48"/>
      <c r="HE399" s="48"/>
      <c r="HF399" s="13"/>
      <c r="HG399" s="13"/>
      <c r="HH399" s="13"/>
    </row>
    <row r="400" spans="1:216" ht="12.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32"/>
      <c r="DD400" s="32"/>
      <c r="DE400" s="32"/>
      <c r="DF400" s="32"/>
      <c r="DG400" s="32"/>
      <c r="DH400" s="32"/>
      <c r="DI400" s="32"/>
      <c r="DJ400" s="32"/>
      <c r="DK400" s="32"/>
      <c r="DL400" s="32"/>
      <c r="DM400" s="32"/>
      <c r="DN400" s="32"/>
      <c r="DO400" s="32"/>
      <c r="DP400" s="32"/>
      <c r="DQ400" s="32"/>
      <c r="DR400" s="32"/>
      <c r="DS400" s="32"/>
      <c r="DT400" s="32"/>
      <c r="DU400" s="32"/>
      <c r="DV400" s="32"/>
      <c r="DW400" s="32"/>
      <c r="DX400" s="32"/>
      <c r="DY400" s="32"/>
      <c r="DZ400" s="32"/>
      <c r="EA400" s="32"/>
      <c r="EB400" s="32"/>
      <c r="EC400" s="32"/>
      <c r="ED400" s="32"/>
      <c r="EE400" s="32"/>
      <c r="EF400" s="32"/>
      <c r="EG400" s="32"/>
      <c r="EH400" s="32"/>
      <c r="EI400" s="32"/>
      <c r="EJ400" s="32"/>
      <c r="EK400" s="32"/>
      <c r="EL400" s="32"/>
      <c r="EM400" s="32"/>
      <c r="EN400" s="32"/>
      <c r="EO400" s="32"/>
      <c r="EP400" s="32"/>
      <c r="EQ400" s="32"/>
      <c r="ER400" s="32"/>
      <c r="ES400" s="32"/>
      <c r="ET400" s="32"/>
      <c r="EU400" s="32"/>
      <c r="EV400" s="32"/>
      <c r="EW400" s="32"/>
      <c r="EX400" s="32"/>
      <c r="EY400" s="32"/>
      <c r="EZ400" s="32"/>
      <c r="FA400" s="32"/>
      <c r="FB400" s="32"/>
      <c r="FC400" s="32"/>
      <c r="FD400" s="32"/>
      <c r="FE400" s="32"/>
      <c r="FF400" s="32"/>
      <c r="FG400" s="32"/>
      <c r="FH400" s="32"/>
      <c r="FI400" s="32"/>
      <c r="FJ400" s="32"/>
      <c r="FK400" s="32"/>
      <c r="FL400" s="32"/>
      <c r="FM400" s="32"/>
      <c r="FN400" s="32"/>
      <c r="FO400" s="32"/>
      <c r="FP400" s="47"/>
      <c r="FQ400" s="47"/>
      <c r="FR400" s="47"/>
      <c r="FS400" s="47"/>
      <c r="FT400" s="47"/>
      <c r="FU400" s="47"/>
      <c r="FV400" s="47"/>
      <c r="FW400" s="47"/>
      <c r="FX400" s="47"/>
      <c r="FY400" s="47"/>
      <c r="FZ400" s="47"/>
      <c r="GA400" s="48"/>
      <c r="GB400" s="49"/>
      <c r="GC400" s="49"/>
      <c r="GD400" s="49"/>
      <c r="GE400" s="49"/>
      <c r="GF400" s="49"/>
      <c r="GG400" s="48"/>
      <c r="GH400" s="48"/>
      <c r="GI400" s="48"/>
      <c r="GJ400" s="48"/>
      <c r="GK400" s="48"/>
      <c r="GL400" s="48"/>
      <c r="GM400" s="48"/>
      <c r="GN400" s="48"/>
      <c r="GO400" s="48"/>
      <c r="GP400" s="48"/>
      <c r="GQ400" s="48"/>
      <c r="GR400" s="48"/>
      <c r="GS400" s="48"/>
      <c r="GT400" s="48"/>
      <c r="GU400" s="48"/>
      <c r="GV400" s="48"/>
      <c r="GW400" s="48"/>
      <c r="GX400" s="48"/>
      <c r="GY400" s="48"/>
      <c r="GZ400" s="48"/>
      <c r="HA400" s="48"/>
      <c r="HB400" s="48"/>
      <c r="HC400" s="48"/>
      <c r="HD400" s="48"/>
      <c r="HE400" s="48"/>
      <c r="HF400" s="13"/>
      <c r="HG400" s="13"/>
      <c r="HH400" s="13"/>
    </row>
    <row r="401" spans="1:216" ht="12.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c r="EB401" s="32"/>
      <c r="EC401" s="32"/>
      <c r="ED401" s="32"/>
      <c r="EE401" s="32"/>
      <c r="EF401" s="32"/>
      <c r="EG401" s="32"/>
      <c r="EH401" s="32"/>
      <c r="EI401" s="32"/>
      <c r="EJ401" s="32"/>
      <c r="EK401" s="32"/>
      <c r="EL401" s="32"/>
      <c r="EM401" s="32"/>
      <c r="EN401" s="32"/>
      <c r="EO401" s="32"/>
      <c r="EP401" s="32"/>
      <c r="EQ401" s="32"/>
      <c r="ER401" s="32"/>
      <c r="ES401" s="32"/>
      <c r="ET401" s="32"/>
      <c r="EU401" s="32"/>
      <c r="EV401" s="32"/>
      <c r="EW401" s="32"/>
      <c r="EX401" s="32"/>
      <c r="EY401" s="32"/>
      <c r="EZ401" s="32"/>
      <c r="FA401" s="32"/>
      <c r="FB401" s="32"/>
      <c r="FC401" s="32"/>
      <c r="FD401" s="32"/>
      <c r="FE401" s="32"/>
      <c r="FF401" s="32"/>
      <c r="FG401" s="32"/>
      <c r="FH401" s="32"/>
      <c r="FI401" s="32"/>
      <c r="FJ401" s="32"/>
      <c r="FK401" s="32"/>
      <c r="FL401" s="32"/>
      <c r="FM401" s="32"/>
      <c r="FN401" s="32"/>
      <c r="FO401" s="32"/>
      <c r="FP401" s="47"/>
      <c r="FQ401" s="47"/>
      <c r="FR401" s="47"/>
      <c r="FS401" s="47"/>
      <c r="FT401" s="47"/>
      <c r="FU401" s="47"/>
      <c r="FV401" s="47"/>
      <c r="FW401" s="47"/>
      <c r="FX401" s="47"/>
      <c r="FY401" s="47"/>
      <c r="FZ401" s="47"/>
      <c r="GA401" s="48"/>
      <c r="GB401" s="49"/>
      <c r="GC401" s="49"/>
      <c r="GD401" s="49"/>
      <c r="GE401" s="49"/>
      <c r="GF401" s="49"/>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13"/>
      <c r="HG401" s="13"/>
      <c r="HH401" s="13"/>
    </row>
    <row r="402" spans="1:216" ht="12.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c r="EB402" s="32"/>
      <c r="EC402" s="32"/>
      <c r="ED402" s="32"/>
      <c r="EE402" s="32"/>
      <c r="EF402" s="32"/>
      <c r="EG402" s="32"/>
      <c r="EH402" s="32"/>
      <c r="EI402" s="32"/>
      <c r="EJ402" s="32"/>
      <c r="EK402" s="32"/>
      <c r="EL402" s="32"/>
      <c r="EM402" s="32"/>
      <c r="EN402" s="32"/>
      <c r="EO402" s="32"/>
      <c r="EP402" s="32"/>
      <c r="EQ402" s="32"/>
      <c r="ER402" s="32"/>
      <c r="ES402" s="32"/>
      <c r="ET402" s="32"/>
      <c r="EU402" s="32"/>
      <c r="EV402" s="32"/>
      <c r="EW402" s="32"/>
      <c r="EX402" s="32"/>
      <c r="EY402" s="32"/>
      <c r="EZ402" s="32"/>
      <c r="FA402" s="32"/>
      <c r="FB402" s="32"/>
      <c r="FC402" s="32"/>
      <c r="FD402" s="32"/>
      <c r="FE402" s="32"/>
      <c r="FF402" s="32"/>
      <c r="FG402" s="32"/>
      <c r="FH402" s="32"/>
      <c r="FI402" s="32"/>
      <c r="FJ402" s="32"/>
      <c r="FK402" s="32"/>
      <c r="FL402" s="32"/>
      <c r="FM402" s="47"/>
      <c r="FN402" s="47"/>
      <c r="FO402" s="47"/>
      <c r="FP402" s="47"/>
      <c r="FQ402" s="47"/>
      <c r="FR402" s="47"/>
      <c r="FS402" s="47"/>
      <c r="FT402" s="47"/>
      <c r="FU402" s="47"/>
      <c r="FV402" s="47"/>
      <c r="FW402" s="47"/>
      <c r="FX402" s="47"/>
      <c r="FY402" s="47"/>
      <c r="FZ402" s="47"/>
      <c r="GA402" s="48"/>
      <c r="GB402" s="49"/>
      <c r="GC402" s="49"/>
      <c r="GD402" s="49"/>
      <c r="GE402" s="49"/>
      <c r="GF402" s="49"/>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13"/>
      <c r="HG402" s="13"/>
      <c r="HH402" s="13"/>
    </row>
    <row r="403" spans="1:216" ht="22.8">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c r="CX403" s="32"/>
      <c r="CY403" s="32"/>
      <c r="CZ403" s="32"/>
      <c r="DA403" s="32"/>
      <c r="DB403" s="32"/>
      <c r="DC403" s="32"/>
      <c r="DD403" s="32"/>
      <c r="DE403" s="32"/>
      <c r="DF403" s="32"/>
      <c r="DG403" s="32"/>
      <c r="DH403" s="32"/>
      <c r="DI403" s="32"/>
      <c r="DJ403" s="32"/>
      <c r="DK403" s="32"/>
      <c r="DL403" s="32"/>
      <c r="DM403" s="32"/>
      <c r="DN403" s="32"/>
      <c r="DO403" s="32"/>
      <c r="DP403" s="32"/>
      <c r="DQ403" s="32"/>
      <c r="DR403" s="32"/>
      <c r="DS403" s="32"/>
      <c r="DT403" s="32"/>
      <c r="DU403" s="32"/>
      <c r="DV403" s="32"/>
      <c r="DW403" s="32"/>
      <c r="DX403" s="32"/>
      <c r="DY403" s="32"/>
      <c r="DZ403" s="32"/>
      <c r="EA403" s="32"/>
      <c r="EB403" s="32"/>
      <c r="EC403" s="32"/>
      <c r="ED403" s="32"/>
      <c r="EE403" s="32"/>
      <c r="EF403" s="32"/>
      <c r="EG403" s="32"/>
      <c r="EH403" s="32"/>
      <c r="EI403" s="32"/>
      <c r="EJ403" s="32"/>
      <c r="EK403" s="32"/>
      <c r="EL403" s="32"/>
      <c r="EM403" s="32"/>
      <c r="EN403" s="32"/>
      <c r="EO403" s="32"/>
      <c r="EP403" s="32"/>
      <c r="EQ403" s="32"/>
      <c r="ER403" s="32"/>
      <c r="ES403" s="32"/>
      <c r="ET403" s="32"/>
      <c r="EU403" s="32"/>
      <c r="EV403" s="32"/>
      <c r="EW403" s="32"/>
      <c r="EX403" s="32"/>
      <c r="EY403" s="32"/>
      <c r="EZ403" s="32"/>
      <c r="FA403" s="32"/>
      <c r="FB403" s="32"/>
      <c r="FC403" s="32"/>
      <c r="FD403" s="32"/>
      <c r="FE403" s="32"/>
      <c r="FF403" s="32"/>
      <c r="FG403" s="32"/>
      <c r="FH403" s="32"/>
      <c r="FI403" s="32"/>
      <c r="FJ403" s="32"/>
      <c r="FK403" s="32"/>
      <c r="FL403" s="32"/>
      <c r="FM403" s="47"/>
      <c r="FN403" s="47"/>
      <c r="FO403" s="47"/>
      <c r="FP403" s="47"/>
      <c r="FQ403" s="47"/>
      <c r="FR403" s="47"/>
      <c r="FS403" s="47"/>
      <c r="FT403" s="47"/>
      <c r="FU403" s="47"/>
      <c r="FV403" s="47"/>
      <c r="FW403" s="47"/>
      <c r="FX403" s="47"/>
      <c r="FY403" s="47"/>
      <c r="FZ403" s="47"/>
      <c r="GA403" s="48"/>
      <c r="GB403" s="49"/>
      <c r="GC403" s="49"/>
      <c r="GD403" s="49"/>
      <c r="GE403" s="49"/>
      <c r="GF403" s="49"/>
      <c r="GG403" s="48"/>
      <c r="GH403" s="48"/>
      <c r="GI403" s="48"/>
      <c r="GJ403" s="48"/>
      <c r="GK403" s="48"/>
      <c r="GL403" s="48"/>
      <c r="GM403" s="48"/>
      <c r="GN403" s="48"/>
      <c r="GO403" s="48"/>
      <c r="GP403" s="48"/>
      <c r="GQ403" s="48"/>
      <c r="GR403" s="48"/>
      <c r="GS403" s="48"/>
      <c r="GT403" s="48"/>
      <c r="GU403" s="48"/>
      <c r="GV403" s="48"/>
      <c r="GW403" s="48"/>
      <c r="GX403" s="48"/>
      <c r="GY403" s="48"/>
      <c r="GZ403" s="48"/>
      <c r="HA403" s="48"/>
      <c r="HB403" s="48"/>
      <c r="HC403" s="48"/>
      <c r="HD403" s="48"/>
      <c r="HE403" s="48"/>
    </row>
    <row r="404" spans="1:216" ht="22.8">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c r="CX404" s="32"/>
      <c r="CY404" s="32"/>
      <c r="CZ404" s="32"/>
      <c r="DA404" s="32"/>
      <c r="DB404" s="32"/>
      <c r="DC404" s="32"/>
      <c r="DD404" s="32"/>
      <c r="DE404" s="32"/>
      <c r="DF404" s="32"/>
      <c r="DG404" s="32"/>
      <c r="DH404" s="32"/>
      <c r="DI404" s="32"/>
      <c r="DJ404" s="32"/>
      <c r="DK404" s="32"/>
      <c r="DL404" s="32"/>
      <c r="DM404" s="32"/>
      <c r="DN404" s="32"/>
      <c r="DO404" s="32"/>
      <c r="DP404" s="32"/>
      <c r="DQ404" s="32"/>
      <c r="DR404" s="32"/>
      <c r="DS404" s="32"/>
      <c r="DT404" s="32"/>
      <c r="DU404" s="32"/>
      <c r="DV404" s="32"/>
      <c r="DW404" s="32"/>
      <c r="DX404" s="32"/>
      <c r="DY404" s="32"/>
      <c r="DZ404" s="32"/>
      <c r="EA404" s="32"/>
      <c r="EB404" s="32"/>
      <c r="EC404" s="32"/>
      <c r="ED404" s="32"/>
      <c r="EE404" s="32"/>
      <c r="EF404" s="32"/>
      <c r="EG404" s="32"/>
      <c r="EH404" s="32"/>
      <c r="EI404" s="32"/>
      <c r="EJ404" s="32"/>
      <c r="EK404" s="32"/>
      <c r="EL404" s="32"/>
      <c r="EM404" s="32"/>
      <c r="EN404" s="32"/>
      <c r="EO404" s="32"/>
      <c r="EP404" s="32"/>
      <c r="EQ404" s="32"/>
      <c r="ER404" s="32"/>
      <c r="ES404" s="32"/>
      <c r="ET404" s="32"/>
      <c r="EU404" s="32"/>
      <c r="EV404" s="32"/>
      <c r="EW404" s="32"/>
      <c r="EX404" s="32"/>
      <c r="EY404" s="32"/>
      <c r="EZ404" s="32"/>
      <c r="FA404" s="32"/>
      <c r="FB404" s="32"/>
      <c r="FC404" s="32"/>
      <c r="FD404" s="32"/>
      <c r="FE404" s="32"/>
      <c r="FF404" s="32"/>
      <c r="FG404" s="32"/>
      <c r="FH404" s="32"/>
      <c r="FI404" s="32"/>
      <c r="FJ404" s="32"/>
      <c r="FK404" s="32"/>
      <c r="FL404" s="32"/>
      <c r="FM404" s="47"/>
      <c r="FN404" s="47"/>
      <c r="FO404" s="47"/>
      <c r="FP404" s="47"/>
      <c r="FQ404" s="47"/>
      <c r="FR404" s="47"/>
      <c r="FS404" s="47"/>
      <c r="FT404" s="47"/>
      <c r="FU404" s="47"/>
      <c r="FV404" s="47"/>
      <c r="FW404" s="47"/>
      <c r="FX404" s="47"/>
      <c r="FY404" s="47"/>
      <c r="FZ404" s="47"/>
      <c r="GA404" s="48"/>
      <c r="GB404" s="49"/>
      <c r="GC404" s="49"/>
      <c r="GD404" s="49"/>
      <c r="GE404" s="49"/>
      <c r="GF404" s="49"/>
      <c r="GG404" s="48"/>
      <c r="GH404" s="48"/>
      <c r="GI404" s="48"/>
      <c r="GJ404" s="48"/>
      <c r="GK404" s="48"/>
      <c r="GL404" s="48"/>
      <c r="GM404" s="48"/>
      <c r="GN404" s="48"/>
      <c r="GO404" s="48"/>
      <c r="GP404" s="48"/>
      <c r="GQ404" s="48"/>
      <c r="GR404" s="48"/>
      <c r="GS404" s="48"/>
      <c r="GT404" s="48"/>
      <c r="GU404" s="48"/>
      <c r="GV404" s="48"/>
      <c r="GW404" s="48"/>
      <c r="GX404" s="48"/>
      <c r="GY404" s="48"/>
      <c r="GZ404" s="48"/>
      <c r="HA404" s="48"/>
      <c r="HB404" s="48"/>
      <c r="HC404" s="48"/>
      <c r="HD404" s="48"/>
      <c r="HE404" s="48"/>
    </row>
    <row r="405" spans="1:216" ht="22.8">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c r="CX405" s="32"/>
      <c r="CY405" s="32"/>
      <c r="CZ405" s="32"/>
      <c r="DA405" s="32"/>
      <c r="DB405" s="32"/>
      <c r="DC405" s="32"/>
      <c r="DD405" s="32"/>
      <c r="DE405" s="32"/>
      <c r="DF405" s="32"/>
      <c r="DG405" s="32"/>
      <c r="DH405" s="32"/>
      <c r="DI405" s="32"/>
      <c r="DJ405" s="32"/>
      <c r="DK405" s="32"/>
      <c r="DL405" s="32"/>
      <c r="DM405" s="32"/>
      <c r="DN405" s="32"/>
      <c r="DO405" s="32"/>
      <c r="DP405" s="32"/>
      <c r="DQ405" s="32"/>
      <c r="DR405" s="32"/>
      <c r="DS405" s="32"/>
      <c r="DT405" s="32"/>
      <c r="DU405" s="32"/>
      <c r="DV405" s="32"/>
      <c r="DW405" s="32"/>
      <c r="DX405" s="32"/>
      <c r="DY405" s="32"/>
      <c r="DZ405" s="32"/>
      <c r="EA405" s="32"/>
      <c r="EB405" s="32"/>
      <c r="EC405" s="32"/>
      <c r="ED405" s="32"/>
      <c r="EE405" s="32"/>
      <c r="EF405" s="32"/>
      <c r="EG405" s="32"/>
      <c r="EH405" s="32"/>
      <c r="EI405" s="32"/>
      <c r="EJ405" s="32"/>
      <c r="EK405" s="32"/>
      <c r="EL405" s="32"/>
      <c r="EM405" s="32"/>
      <c r="EN405" s="32"/>
      <c r="EO405" s="32"/>
      <c r="EP405" s="32"/>
      <c r="EQ405" s="32"/>
      <c r="ER405" s="32"/>
      <c r="ES405" s="32"/>
      <c r="ET405" s="32"/>
      <c r="EU405" s="32"/>
      <c r="EV405" s="32"/>
      <c r="EW405" s="32"/>
      <c r="EX405" s="32"/>
      <c r="EY405" s="32"/>
      <c r="EZ405" s="32"/>
      <c r="FA405" s="32"/>
      <c r="FB405" s="32"/>
      <c r="FC405" s="32"/>
      <c r="FD405" s="32"/>
      <c r="FE405" s="32"/>
      <c r="FF405" s="32"/>
      <c r="FG405" s="32"/>
      <c r="FH405" s="32"/>
      <c r="FI405" s="32"/>
      <c r="FJ405" s="32"/>
      <c r="FK405" s="32"/>
      <c r="FL405" s="32"/>
      <c r="FM405" s="47"/>
      <c r="FN405" s="47"/>
      <c r="FO405" s="47"/>
      <c r="FP405" s="47"/>
      <c r="FQ405" s="47"/>
      <c r="FR405" s="47"/>
      <c r="FS405" s="47"/>
      <c r="FT405" s="47"/>
      <c r="FU405" s="47"/>
      <c r="FV405" s="47"/>
      <c r="FW405" s="47"/>
      <c r="FX405" s="47"/>
      <c r="FY405" s="47"/>
      <c r="FZ405" s="47"/>
      <c r="GA405" s="48"/>
      <c r="GB405" s="49"/>
      <c r="GC405" s="49"/>
      <c r="GD405" s="49"/>
      <c r="GE405" s="49"/>
      <c r="GF405" s="49"/>
      <c r="GG405" s="48"/>
      <c r="GH405" s="48"/>
      <c r="GI405" s="48"/>
      <c r="GJ405" s="48"/>
      <c r="GK405" s="48"/>
      <c r="GL405" s="48"/>
      <c r="GM405" s="48"/>
      <c r="GN405" s="48"/>
      <c r="GO405" s="48"/>
      <c r="GP405" s="48"/>
      <c r="GQ405" s="48"/>
      <c r="GR405" s="48"/>
      <c r="GS405" s="48"/>
      <c r="GT405" s="48"/>
      <c r="GU405" s="48"/>
      <c r="GV405" s="48"/>
      <c r="GW405" s="48"/>
      <c r="GX405" s="48"/>
      <c r="GY405" s="48"/>
      <c r="GZ405" s="48"/>
      <c r="HA405" s="48"/>
      <c r="HB405" s="48"/>
      <c r="HC405" s="48"/>
      <c r="HD405" s="48"/>
      <c r="HE405" s="48"/>
    </row>
    <row r="406" spans="1:216" ht="22.8">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2"/>
      <c r="FH406" s="32"/>
      <c r="FI406" s="32"/>
      <c r="FJ406" s="32"/>
      <c r="FK406" s="32"/>
      <c r="FL406" s="32"/>
      <c r="FM406" s="47"/>
      <c r="FN406" s="47"/>
      <c r="FO406" s="47"/>
      <c r="FP406" s="47"/>
      <c r="FQ406" s="47"/>
      <c r="FR406" s="47"/>
      <c r="FS406" s="47"/>
      <c r="FT406" s="47"/>
      <c r="FU406" s="47"/>
      <c r="FV406" s="47"/>
      <c r="FW406" s="47"/>
      <c r="FX406" s="47"/>
      <c r="FY406" s="47"/>
      <c r="FZ406" s="47"/>
      <c r="GA406" s="48"/>
      <c r="GB406" s="49"/>
      <c r="GC406" s="49"/>
      <c r="GD406" s="49"/>
      <c r="GE406" s="49"/>
      <c r="GF406" s="49"/>
      <c r="GG406" s="48"/>
      <c r="GH406" s="48"/>
      <c r="GI406" s="48"/>
      <c r="GJ406" s="48"/>
      <c r="GK406" s="48"/>
      <c r="GL406" s="48"/>
      <c r="GM406" s="48"/>
      <c r="GN406" s="48"/>
      <c r="GO406" s="48"/>
      <c r="GP406" s="48"/>
      <c r="GQ406" s="48"/>
      <c r="GR406" s="48"/>
      <c r="GS406" s="48"/>
      <c r="GT406" s="48"/>
      <c r="GU406" s="48"/>
      <c r="GV406" s="48"/>
      <c r="GW406" s="48"/>
      <c r="GX406" s="48"/>
      <c r="GY406" s="48"/>
      <c r="GZ406" s="48"/>
      <c r="HA406" s="48"/>
      <c r="HB406" s="48"/>
      <c r="HC406" s="48"/>
      <c r="HD406" s="48"/>
      <c r="HE406" s="48"/>
    </row>
    <row r="407" spans="1:216" ht="22.8">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c r="EH407" s="32"/>
      <c r="EI407" s="32"/>
      <c r="EJ407" s="32"/>
      <c r="EK407" s="32"/>
      <c r="EL407" s="32"/>
      <c r="EM407" s="32"/>
      <c r="EN407" s="32"/>
      <c r="EO407" s="32"/>
      <c r="EP407" s="32"/>
      <c r="EQ407" s="32"/>
      <c r="ER407" s="32"/>
      <c r="ES407" s="32"/>
      <c r="ET407" s="32"/>
      <c r="EU407" s="32"/>
      <c r="EV407" s="32"/>
      <c r="EW407" s="32"/>
      <c r="EX407" s="32"/>
      <c r="EY407" s="32"/>
      <c r="EZ407" s="32"/>
      <c r="FA407" s="32"/>
      <c r="FB407" s="32"/>
      <c r="FC407" s="32"/>
      <c r="FD407" s="32"/>
      <c r="FE407" s="32"/>
      <c r="FF407" s="32"/>
      <c r="FG407" s="32"/>
      <c r="FH407" s="32"/>
      <c r="FI407" s="32"/>
      <c r="FJ407" s="32"/>
      <c r="FK407" s="32"/>
      <c r="FL407" s="32"/>
      <c r="FM407" s="47"/>
      <c r="FN407" s="47"/>
      <c r="FO407" s="47"/>
      <c r="FP407" s="47"/>
      <c r="FQ407" s="47"/>
      <c r="FR407" s="47"/>
      <c r="FS407" s="47"/>
      <c r="FT407" s="47"/>
      <c r="FU407" s="47"/>
      <c r="FV407" s="47"/>
      <c r="FW407" s="47"/>
      <c r="FX407" s="47"/>
      <c r="FY407" s="47"/>
      <c r="FZ407" s="47"/>
      <c r="GA407" s="48"/>
      <c r="GB407" s="49"/>
      <c r="GC407" s="49"/>
      <c r="GD407" s="49"/>
      <c r="GE407" s="49"/>
      <c r="GF407" s="49"/>
      <c r="GG407" s="48"/>
      <c r="GH407" s="48"/>
      <c r="GI407" s="48"/>
      <c r="GJ407" s="48"/>
      <c r="GK407" s="48"/>
      <c r="GL407" s="48"/>
      <c r="GM407" s="48"/>
      <c r="GN407" s="48"/>
      <c r="GO407" s="48"/>
      <c r="GP407" s="48"/>
      <c r="GQ407" s="48"/>
      <c r="GR407" s="48"/>
      <c r="GS407" s="48"/>
      <c r="GT407" s="48"/>
      <c r="GU407" s="48"/>
      <c r="GV407" s="48"/>
      <c r="GW407" s="48"/>
      <c r="GX407" s="48"/>
      <c r="GY407" s="48"/>
      <c r="GZ407" s="48"/>
      <c r="HA407" s="48"/>
      <c r="HB407" s="48"/>
      <c r="HC407" s="48"/>
      <c r="HD407" s="48"/>
      <c r="HE407" s="48"/>
    </row>
    <row r="408" spans="1:216" ht="22.8">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c r="CX408" s="32"/>
      <c r="CY408" s="32"/>
      <c r="CZ408" s="32"/>
      <c r="DA408" s="32"/>
      <c r="DB408" s="32"/>
      <c r="DC408" s="32"/>
      <c r="DD408" s="32"/>
      <c r="DE408" s="32"/>
      <c r="DF408" s="32"/>
      <c r="DG408" s="32"/>
      <c r="DH408" s="32"/>
      <c r="DI408" s="32"/>
      <c r="DJ408" s="32"/>
      <c r="DK408" s="32"/>
      <c r="DL408" s="32"/>
      <c r="DM408" s="32"/>
      <c r="DN408" s="32"/>
      <c r="DO408" s="32"/>
      <c r="DP408" s="32"/>
      <c r="DQ408" s="32"/>
      <c r="DR408" s="32"/>
      <c r="DS408" s="32"/>
      <c r="DT408" s="32"/>
      <c r="DU408" s="32"/>
      <c r="DV408" s="32"/>
      <c r="DW408" s="32"/>
      <c r="DX408" s="32"/>
      <c r="DY408" s="32"/>
      <c r="DZ408" s="32"/>
      <c r="EA408" s="32"/>
      <c r="EB408" s="32"/>
      <c r="EC408" s="32"/>
      <c r="ED408" s="32"/>
      <c r="EE408" s="32"/>
      <c r="EF408" s="32"/>
      <c r="EG408" s="32"/>
      <c r="EH408" s="32"/>
      <c r="EI408" s="32"/>
      <c r="EJ408" s="32"/>
      <c r="EK408" s="32"/>
      <c r="EL408" s="32"/>
      <c r="EM408" s="32"/>
      <c r="EN408" s="32"/>
      <c r="EO408" s="32"/>
      <c r="EP408" s="32"/>
      <c r="EQ408" s="32"/>
      <c r="ER408" s="32"/>
      <c r="ES408" s="32"/>
      <c r="ET408" s="32"/>
      <c r="EU408" s="32"/>
      <c r="EV408" s="32"/>
      <c r="EW408" s="32"/>
      <c r="EX408" s="32"/>
      <c r="EY408" s="32"/>
      <c r="EZ408" s="32"/>
      <c r="FA408" s="32"/>
      <c r="FB408" s="32"/>
      <c r="FC408" s="32"/>
      <c r="FD408" s="32"/>
      <c r="FE408" s="32"/>
      <c r="FF408" s="32"/>
      <c r="FG408" s="32"/>
      <c r="FH408" s="32"/>
      <c r="FI408" s="32"/>
      <c r="FJ408" s="32"/>
      <c r="FK408" s="32"/>
      <c r="FL408" s="32"/>
      <c r="FM408" s="47"/>
      <c r="FN408" s="47"/>
      <c r="FO408" s="47"/>
      <c r="FP408" s="47"/>
      <c r="FQ408" s="47"/>
      <c r="FR408" s="47"/>
      <c r="FS408" s="47"/>
      <c r="FT408" s="47"/>
      <c r="FU408" s="47"/>
      <c r="FV408" s="47"/>
      <c r="FW408" s="47"/>
      <c r="FX408" s="47"/>
      <c r="FY408" s="47"/>
      <c r="FZ408" s="47"/>
      <c r="GA408" s="48"/>
      <c r="GB408" s="49"/>
      <c r="GC408" s="49"/>
      <c r="GD408" s="49"/>
      <c r="GE408" s="49"/>
      <c r="GF408" s="49"/>
      <c r="GG408" s="48"/>
      <c r="GH408" s="48"/>
      <c r="GI408" s="48"/>
      <c r="GJ408" s="48"/>
      <c r="GK408" s="48"/>
      <c r="GL408" s="48"/>
      <c r="GM408" s="48"/>
      <c r="GN408" s="48"/>
      <c r="GO408" s="48"/>
      <c r="GP408" s="48"/>
      <c r="GQ408" s="48"/>
      <c r="GR408" s="48"/>
      <c r="GS408" s="48"/>
      <c r="GT408" s="48"/>
      <c r="GU408" s="48"/>
      <c r="GV408" s="48"/>
      <c r="GW408" s="48"/>
      <c r="GX408" s="48"/>
      <c r="GY408" s="48"/>
      <c r="GZ408" s="48"/>
      <c r="HA408" s="48"/>
      <c r="HB408" s="48"/>
      <c r="HC408" s="48"/>
      <c r="HD408" s="48"/>
      <c r="HE408" s="48"/>
    </row>
    <row r="409" spans="1:216" ht="22.8">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c r="CE409" s="32"/>
      <c r="CF409" s="32"/>
      <c r="CG409" s="32"/>
      <c r="CH409" s="32"/>
      <c r="CI409" s="32"/>
      <c r="CJ409" s="32"/>
      <c r="CK409" s="32"/>
      <c r="CL409" s="32"/>
      <c r="CM409" s="32"/>
      <c r="CN409" s="32"/>
      <c r="CO409" s="32"/>
      <c r="CP409" s="32"/>
      <c r="CQ409" s="32"/>
      <c r="CR409" s="32"/>
      <c r="CS409" s="32"/>
      <c r="CT409" s="32"/>
      <c r="CU409" s="32"/>
      <c r="CV409" s="32"/>
      <c r="CW409" s="32"/>
      <c r="CX409" s="32"/>
      <c r="CY409" s="32"/>
      <c r="CZ409" s="32"/>
      <c r="DA409" s="32"/>
      <c r="DB409" s="32"/>
      <c r="DC409" s="32"/>
      <c r="DD409" s="32"/>
      <c r="DE409" s="32"/>
      <c r="DF409" s="32"/>
      <c r="DG409" s="32"/>
      <c r="DH409" s="32"/>
      <c r="DI409" s="32"/>
      <c r="DJ409" s="32"/>
      <c r="DK409" s="32"/>
      <c r="DL409" s="32"/>
      <c r="DM409" s="32"/>
      <c r="DN409" s="32"/>
      <c r="DO409" s="32"/>
      <c r="DP409" s="32"/>
      <c r="DQ409" s="32"/>
      <c r="DR409" s="32"/>
      <c r="DS409" s="32"/>
      <c r="DT409" s="32"/>
      <c r="DU409" s="32"/>
      <c r="DV409" s="32"/>
      <c r="DW409" s="32"/>
      <c r="DX409" s="32"/>
      <c r="DY409" s="32"/>
      <c r="DZ409" s="32"/>
      <c r="EA409" s="32"/>
      <c r="EB409" s="32"/>
      <c r="EC409" s="32"/>
      <c r="ED409" s="32"/>
      <c r="EE409" s="32"/>
      <c r="EF409" s="32"/>
      <c r="EG409" s="32"/>
      <c r="EH409" s="32"/>
      <c r="EI409" s="32"/>
      <c r="EJ409" s="32"/>
      <c r="EK409" s="32"/>
      <c r="EL409" s="32"/>
      <c r="EM409" s="32"/>
      <c r="EN409" s="32"/>
      <c r="EO409" s="32"/>
      <c r="EP409" s="32"/>
      <c r="EQ409" s="32"/>
      <c r="ER409" s="32"/>
      <c r="ES409" s="32"/>
      <c r="ET409" s="32"/>
      <c r="EU409" s="32"/>
      <c r="EV409" s="32"/>
      <c r="EW409" s="32"/>
      <c r="EX409" s="32"/>
      <c r="EY409" s="32"/>
      <c r="EZ409" s="32"/>
      <c r="FA409" s="32"/>
      <c r="FB409" s="32"/>
      <c r="FC409" s="32"/>
      <c r="FD409" s="32"/>
      <c r="FE409" s="32"/>
      <c r="FF409" s="32"/>
      <c r="FG409" s="32"/>
      <c r="FH409" s="32"/>
      <c r="FI409" s="32"/>
      <c r="FJ409" s="32"/>
      <c r="FK409" s="32"/>
      <c r="FL409" s="32"/>
      <c r="FM409" s="47"/>
      <c r="FN409" s="47"/>
      <c r="FO409" s="47"/>
      <c r="FP409" s="47"/>
      <c r="FQ409" s="47"/>
      <c r="FR409" s="47"/>
      <c r="FS409" s="47"/>
      <c r="FT409" s="47"/>
      <c r="FU409" s="47"/>
      <c r="FV409" s="47"/>
      <c r="FW409" s="47"/>
      <c r="FX409" s="47"/>
      <c r="FY409" s="47"/>
      <c r="FZ409" s="47"/>
      <c r="GA409" s="48"/>
      <c r="GB409" s="49"/>
      <c r="GC409" s="49"/>
      <c r="GD409" s="49"/>
      <c r="GE409" s="49"/>
      <c r="GF409" s="49"/>
      <c r="GG409" s="48"/>
      <c r="GH409" s="48"/>
      <c r="GI409" s="48"/>
      <c r="GJ409" s="48"/>
      <c r="GK409" s="48"/>
      <c r="GL409" s="48"/>
      <c r="GM409" s="48"/>
      <c r="GN409" s="48"/>
      <c r="GO409" s="48"/>
      <c r="GP409" s="48"/>
      <c r="GQ409" s="48"/>
      <c r="GR409" s="48"/>
      <c r="GS409" s="48"/>
      <c r="GT409" s="48"/>
      <c r="GU409" s="48"/>
      <c r="GV409" s="48"/>
      <c r="GW409" s="48"/>
      <c r="GX409" s="48"/>
      <c r="GY409" s="48"/>
      <c r="GZ409" s="48"/>
      <c r="HA409" s="48"/>
      <c r="HB409" s="48"/>
      <c r="HC409" s="48"/>
      <c r="HD409" s="48"/>
      <c r="HE409" s="48"/>
    </row>
    <row r="410" spans="1:216" ht="22.8">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c r="CE410" s="32"/>
      <c r="CF410" s="32"/>
      <c r="CG410" s="32"/>
      <c r="CH410" s="32"/>
      <c r="CI410" s="32"/>
      <c r="CJ410" s="32"/>
      <c r="CK410" s="32"/>
      <c r="CL410" s="32"/>
      <c r="CM410" s="32"/>
      <c r="CN410" s="32"/>
      <c r="CO410" s="32"/>
      <c r="CP410" s="32"/>
      <c r="CQ410" s="32"/>
      <c r="CR410" s="32"/>
      <c r="CS410" s="32"/>
      <c r="CT410" s="32"/>
      <c r="CU410" s="32"/>
      <c r="CV410" s="32"/>
      <c r="CW410" s="32"/>
      <c r="CX410" s="32"/>
      <c r="CY410" s="32"/>
      <c r="CZ410" s="32"/>
      <c r="DA410" s="32"/>
      <c r="DB410" s="32"/>
      <c r="DC410" s="32"/>
      <c r="DD410" s="32"/>
      <c r="DE410" s="32"/>
      <c r="DF410" s="32"/>
      <c r="DG410" s="32"/>
      <c r="DH410" s="32"/>
      <c r="DI410" s="32"/>
      <c r="DJ410" s="32"/>
      <c r="DK410" s="32"/>
      <c r="DL410" s="32"/>
      <c r="DM410" s="32"/>
      <c r="DN410" s="32"/>
      <c r="DO410" s="32"/>
      <c r="DP410" s="32"/>
      <c r="DQ410" s="32"/>
      <c r="DR410" s="32"/>
      <c r="DS410" s="32"/>
      <c r="DT410" s="32"/>
      <c r="DU410" s="32"/>
      <c r="DV410" s="32"/>
      <c r="DW410" s="32"/>
      <c r="DX410" s="32"/>
      <c r="DY410" s="32"/>
      <c r="DZ410" s="32"/>
      <c r="EA410" s="32"/>
      <c r="EB410" s="32"/>
      <c r="EC410" s="32"/>
      <c r="ED410" s="32"/>
      <c r="EE410" s="32"/>
      <c r="EF410" s="32"/>
      <c r="EG410" s="32"/>
      <c r="EH410" s="32"/>
      <c r="EI410" s="32"/>
      <c r="EJ410" s="32"/>
      <c r="EK410" s="32"/>
      <c r="EL410" s="32"/>
      <c r="EM410" s="32"/>
      <c r="EN410" s="32"/>
      <c r="EO410" s="32"/>
      <c r="EP410" s="32"/>
      <c r="EQ410" s="32"/>
      <c r="ER410" s="32"/>
      <c r="ES410" s="32"/>
      <c r="ET410" s="32"/>
      <c r="EU410" s="32"/>
      <c r="EV410" s="32"/>
      <c r="EW410" s="32"/>
      <c r="EX410" s="32"/>
      <c r="EY410" s="32"/>
      <c r="EZ410" s="32"/>
      <c r="FA410" s="32"/>
      <c r="FB410" s="32"/>
      <c r="FC410" s="32"/>
      <c r="FD410" s="32"/>
      <c r="FE410" s="32"/>
      <c r="FF410" s="32"/>
      <c r="FG410" s="32"/>
      <c r="FH410" s="32"/>
      <c r="FI410" s="32"/>
      <c r="FJ410" s="32"/>
      <c r="FK410" s="32"/>
      <c r="FL410" s="32"/>
      <c r="FM410" s="47"/>
      <c r="FN410" s="47"/>
      <c r="FO410" s="47"/>
      <c r="FP410" s="47"/>
      <c r="FQ410" s="47"/>
      <c r="FR410" s="47"/>
      <c r="FS410" s="47"/>
      <c r="FT410" s="47"/>
      <c r="FU410" s="47"/>
      <c r="FV410" s="47"/>
      <c r="FW410" s="47"/>
      <c r="FX410" s="47"/>
      <c r="FY410" s="47"/>
      <c r="FZ410" s="47"/>
      <c r="GA410" s="48"/>
      <c r="GB410" s="49"/>
      <c r="GC410" s="49"/>
      <c r="GD410" s="49"/>
      <c r="GE410" s="49"/>
      <c r="GF410" s="49"/>
      <c r="GG410" s="48"/>
      <c r="GH410" s="48"/>
      <c r="GI410" s="48"/>
      <c r="GJ410" s="48"/>
      <c r="GK410" s="48"/>
      <c r="GL410" s="48"/>
      <c r="GM410" s="48"/>
      <c r="GN410" s="48"/>
      <c r="GO410" s="48"/>
      <c r="GP410" s="48"/>
      <c r="GQ410" s="48"/>
      <c r="GR410" s="48"/>
      <c r="GS410" s="48"/>
      <c r="GT410" s="48"/>
      <c r="GU410" s="48"/>
      <c r="GV410" s="48"/>
      <c r="GW410" s="48"/>
      <c r="GX410" s="48"/>
      <c r="GY410" s="48"/>
      <c r="GZ410" s="48"/>
      <c r="HA410" s="48"/>
      <c r="HB410" s="48"/>
      <c r="HC410" s="48"/>
      <c r="HD410" s="48"/>
      <c r="HE410" s="48"/>
    </row>
    <row r="411" spans="1:216" ht="22.8">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c r="CE411" s="32"/>
      <c r="CF411" s="32"/>
      <c r="CG411" s="32"/>
      <c r="CH411" s="32"/>
      <c r="CI411" s="32"/>
      <c r="CJ411" s="32"/>
      <c r="CK411" s="32"/>
      <c r="CL411" s="32"/>
      <c r="CM411" s="32"/>
      <c r="CN411" s="32"/>
      <c r="CO411" s="32"/>
      <c r="CP411" s="32"/>
      <c r="CQ411" s="32"/>
      <c r="CR411" s="32"/>
      <c r="CS411" s="32"/>
      <c r="CT411" s="32"/>
      <c r="CU411" s="32"/>
      <c r="CV411" s="32"/>
      <c r="CW411" s="32"/>
      <c r="CX411" s="32"/>
      <c r="CY411" s="32"/>
      <c r="CZ411" s="32"/>
      <c r="DA411" s="32"/>
      <c r="DB411" s="32"/>
      <c r="DC411" s="32"/>
      <c r="DD411" s="32"/>
      <c r="DE411" s="32"/>
      <c r="DF411" s="32"/>
      <c r="DG411" s="32"/>
      <c r="DH411" s="32"/>
      <c r="DI411" s="32"/>
      <c r="DJ411" s="32"/>
      <c r="DK411" s="32"/>
      <c r="DL411" s="32"/>
      <c r="DM411" s="32"/>
      <c r="DN411" s="32"/>
      <c r="DO411" s="32"/>
      <c r="DP411" s="32"/>
      <c r="DQ411" s="32"/>
      <c r="DR411" s="32"/>
      <c r="DS411" s="32"/>
      <c r="DT411" s="32"/>
      <c r="DU411" s="32"/>
      <c r="DV411" s="32"/>
      <c r="DW411" s="32"/>
      <c r="DX411" s="32"/>
      <c r="DY411" s="32"/>
      <c r="DZ411" s="32"/>
      <c r="EA411" s="32"/>
      <c r="EB411" s="32"/>
      <c r="EC411" s="32"/>
      <c r="ED411" s="32"/>
      <c r="EE411" s="32"/>
      <c r="EF411" s="32"/>
      <c r="EG411" s="32"/>
      <c r="EH411" s="32"/>
      <c r="EI411" s="32"/>
      <c r="EJ411" s="32"/>
      <c r="EK411" s="32"/>
      <c r="EL411" s="32"/>
      <c r="EM411" s="32"/>
      <c r="EN411" s="32"/>
      <c r="EO411" s="32"/>
      <c r="EP411" s="32"/>
      <c r="EQ411" s="32"/>
      <c r="ER411" s="32"/>
      <c r="ES411" s="32"/>
      <c r="ET411" s="32"/>
      <c r="EU411" s="32"/>
      <c r="EV411" s="32"/>
      <c r="EW411" s="32"/>
      <c r="EX411" s="32"/>
      <c r="EY411" s="32"/>
      <c r="EZ411" s="32"/>
      <c r="FA411" s="32"/>
      <c r="FB411" s="32"/>
      <c r="FC411" s="32"/>
      <c r="FD411" s="32"/>
      <c r="FE411" s="32"/>
      <c r="FF411" s="32"/>
      <c r="FG411" s="32"/>
      <c r="FH411" s="32"/>
      <c r="FI411" s="32"/>
      <c r="FJ411" s="32"/>
      <c r="FK411" s="32"/>
      <c r="FL411" s="32"/>
      <c r="FM411" s="47"/>
      <c r="FN411" s="47"/>
      <c r="FO411" s="47"/>
      <c r="FP411" s="47"/>
      <c r="FQ411" s="47"/>
      <c r="FR411" s="47"/>
      <c r="FS411" s="47"/>
      <c r="FT411" s="47"/>
      <c r="FU411" s="47"/>
      <c r="FV411" s="47"/>
      <c r="FW411" s="47"/>
      <c r="FX411" s="47"/>
      <c r="FY411" s="47"/>
      <c r="FZ411" s="47"/>
      <c r="GA411" s="48"/>
      <c r="GB411" s="48"/>
      <c r="GC411" s="48"/>
      <c r="GD411" s="48"/>
      <c r="GE411" s="48"/>
      <c r="GF411" s="48"/>
      <c r="GG411" s="48"/>
      <c r="GH411" s="48"/>
      <c r="GI411" s="48"/>
      <c r="GJ411" s="48"/>
      <c r="GK411" s="48"/>
      <c r="GL411" s="48"/>
      <c r="GM411" s="48"/>
      <c r="GN411" s="48"/>
      <c r="GO411" s="48"/>
      <c r="GP411" s="48"/>
      <c r="GQ411" s="48"/>
      <c r="GR411" s="48"/>
      <c r="GS411" s="48"/>
      <c r="GT411" s="48"/>
      <c r="GU411" s="48"/>
      <c r="GV411" s="48"/>
      <c r="GW411" s="48"/>
      <c r="GX411" s="48"/>
      <c r="GY411" s="48"/>
      <c r="GZ411" s="48"/>
      <c r="HA411" s="48"/>
      <c r="HB411" s="48"/>
      <c r="HC411" s="48"/>
      <c r="HD411" s="48"/>
      <c r="HE411" s="48"/>
    </row>
    <row r="412" spans="1:216" ht="22.8">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c r="DD412" s="32"/>
      <c r="DE412" s="32"/>
      <c r="DF412" s="32"/>
      <c r="DG412" s="32"/>
      <c r="DH412" s="32"/>
      <c r="DI412" s="32"/>
      <c r="DJ412" s="32"/>
      <c r="DK412" s="32"/>
      <c r="DL412" s="32"/>
      <c r="DM412" s="32"/>
      <c r="DN412" s="32"/>
      <c r="DO412" s="32"/>
      <c r="DP412" s="32"/>
      <c r="DQ412" s="32"/>
      <c r="DR412" s="32"/>
      <c r="DS412" s="32"/>
      <c r="DT412" s="32"/>
      <c r="DU412" s="32"/>
      <c r="DV412" s="32"/>
      <c r="DW412" s="32"/>
      <c r="DX412" s="32"/>
      <c r="DY412" s="32"/>
      <c r="DZ412" s="32"/>
      <c r="EA412" s="32"/>
      <c r="EB412" s="32"/>
      <c r="EC412" s="32"/>
      <c r="ED412" s="32"/>
      <c r="EE412" s="32"/>
      <c r="EF412" s="32"/>
      <c r="EG412" s="32"/>
      <c r="EH412" s="32"/>
      <c r="EI412" s="32"/>
      <c r="EJ412" s="32"/>
      <c r="EK412" s="32"/>
      <c r="EL412" s="32"/>
      <c r="EM412" s="32"/>
      <c r="EN412" s="32"/>
      <c r="EO412" s="32"/>
      <c r="EP412" s="32"/>
      <c r="EQ412" s="32"/>
      <c r="ER412" s="32"/>
      <c r="ES412" s="32"/>
      <c r="ET412" s="32"/>
      <c r="EU412" s="32"/>
      <c r="EV412" s="32"/>
      <c r="EW412" s="32"/>
      <c r="EX412" s="32"/>
      <c r="EY412" s="32"/>
      <c r="EZ412" s="32"/>
      <c r="FA412" s="32"/>
      <c r="FB412" s="32"/>
      <c r="FC412" s="32"/>
      <c r="FD412" s="32"/>
      <c r="FE412" s="32"/>
      <c r="FF412" s="32"/>
      <c r="FG412" s="32"/>
      <c r="FH412" s="32"/>
      <c r="FI412" s="32"/>
      <c r="FJ412" s="32"/>
      <c r="FK412" s="32"/>
      <c r="FL412" s="32"/>
      <c r="FM412" s="47"/>
      <c r="FN412" s="47"/>
      <c r="FO412" s="47"/>
      <c r="FP412" s="47"/>
      <c r="FQ412" s="47"/>
      <c r="FR412" s="47"/>
      <c r="FS412" s="47"/>
      <c r="FT412" s="47"/>
      <c r="FU412" s="47"/>
      <c r="FV412" s="47"/>
      <c r="FW412" s="47"/>
      <c r="FX412" s="47"/>
      <c r="FY412" s="47"/>
      <c r="FZ412" s="47"/>
      <c r="GA412" s="48"/>
      <c r="GB412" s="48"/>
      <c r="GC412" s="48"/>
      <c r="GD412" s="48"/>
      <c r="GE412" s="48"/>
      <c r="GF412" s="48"/>
      <c r="GG412" s="48"/>
      <c r="GH412" s="48"/>
      <c r="GI412" s="48"/>
      <c r="GJ412" s="48"/>
      <c r="GK412" s="48"/>
      <c r="GL412" s="48"/>
      <c r="GM412" s="48"/>
      <c r="GN412" s="48"/>
      <c r="GO412" s="48"/>
      <c r="GP412" s="48"/>
      <c r="GQ412" s="48"/>
      <c r="GR412" s="48"/>
      <c r="GS412" s="48"/>
      <c r="GT412" s="48"/>
      <c r="GU412" s="48"/>
      <c r="GV412" s="48"/>
      <c r="GW412" s="48"/>
      <c r="GX412" s="48"/>
      <c r="GY412" s="48"/>
      <c r="GZ412" s="48"/>
      <c r="HA412" s="48"/>
      <c r="HB412" s="48"/>
      <c r="HC412" s="48"/>
      <c r="HD412" s="48"/>
      <c r="HE412" s="48"/>
    </row>
    <row r="413" spans="1:216" ht="22.8">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c r="FL413" s="32"/>
      <c r="FM413" s="47"/>
      <c r="FN413" s="47"/>
      <c r="FO413" s="47"/>
      <c r="FP413" s="47"/>
      <c r="FQ413" s="47"/>
      <c r="FR413" s="47"/>
      <c r="FS413" s="47"/>
      <c r="FT413" s="47"/>
      <c r="FU413" s="47"/>
      <c r="FV413" s="47"/>
      <c r="FW413" s="47"/>
      <c r="FX413" s="47"/>
      <c r="FY413" s="47"/>
      <c r="FZ413" s="47"/>
      <c r="GA413" s="48"/>
      <c r="GB413" s="48"/>
      <c r="GC413" s="48"/>
      <c r="GD413" s="48"/>
      <c r="GE413" s="48"/>
      <c r="GF413" s="48"/>
      <c r="GG413" s="48"/>
      <c r="GH413" s="48"/>
      <c r="GI413" s="48"/>
      <c r="GJ413" s="48"/>
      <c r="GK413" s="48"/>
      <c r="GL413" s="48"/>
      <c r="GM413" s="48"/>
      <c r="GN413" s="48"/>
      <c r="GO413" s="48"/>
      <c r="GP413" s="48"/>
      <c r="GQ413" s="48"/>
      <c r="GR413" s="48"/>
      <c r="GS413" s="48"/>
      <c r="GT413" s="48"/>
      <c r="GU413" s="48"/>
      <c r="GV413" s="48"/>
      <c r="GW413" s="48"/>
      <c r="GX413" s="48"/>
      <c r="GY413" s="48"/>
      <c r="GZ413" s="48"/>
      <c r="HA413" s="48"/>
      <c r="HB413" s="48"/>
      <c r="HC413" s="48"/>
      <c r="HD413" s="48"/>
      <c r="HE413" s="48"/>
    </row>
    <row r="414" spans="1:216" ht="22.8">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c r="EH414" s="32"/>
      <c r="EI414" s="32"/>
      <c r="EJ414" s="32"/>
      <c r="EK414" s="32"/>
      <c r="EL414" s="32"/>
      <c r="EM414" s="32"/>
      <c r="EN414" s="32"/>
      <c r="EO414" s="32"/>
      <c r="EP414" s="32"/>
      <c r="EQ414" s="32"/>
      <c r="ER414" s="32"/>
      <c r="ES414" s="32"/>
      <c r="ET414" s="32"/>
      <c r="EU414" s="32"/>
      <c r="EV414" s="32"/>
      <c r="EW414" s="32"/>
      <c r="EX414" s="32"/>
      <c r="EY414" s="32"/>
      <c r="EZ414" s="32"/>
      <c r="FA414" s="32"/>
      <c r="FB414" s="32"/>
      <c r="FC414" s="32"/>
      <c r="FD414" s="32"/>
      <c r="FE414" s="32"/>
      <c r="FF414" s="32"/>
      <c r="FG414" s="32"/>
      <c r="FH414" s="32"/>
      <c r="FI414" s="32"/>
      <c r="FJ414" s="32"/>
      <c r="FK414" s="32"/>
      <c r="FL414" s="32"/>
      <c r="FM414" s="47"/>
      <c r="FN414" s="47"/>
      <c r="FO414" s="47"/>
      <c r="FP414" s="47"/>
      <c r="FQ414" s="47"/>
      <c r="FR414" s="47"/>
      <c r="FS414" s="47"/>
      <c r="FT414" s="47"/>
      <c r="FU414" s="47"/>
      <c r="FV414" s="47"/>
      <c r="FW414" s="47"/>
      <c r="FX414" s="47"/>
      <c r="FY414" s="47"/>
      <c r="FZ414" s="47"/>
      <c r="GA414" s="47"/>
      <c r="GB414" s="47"/>
      <c r="GC414" s="47"/>
      <c r="GD414" s="47"/>
      <c r="GE414" s="47"/>
      <c r="GF414" s="47"/>
      <c r="GG414" s="48"/>
      <c r="GH414" s="48"/>
      <c r="GI414" s="48"/>
      <c r="GJ414" s="48"/>
      <c r="GK414" s="48"/>
      <c r="GL414" s="48"/>
      <c r="GM414" s="48"/>
      <c r="GN414" s="48"/>
      <c r="GO414" s="48"/>
      <c r="GP414" s="48"/>
      <c r="GQ414" s="48"/>
      <c r="GR414" s="48"/>
      <c r="GS414" s="48"/>
      <c r="GT414" s="48"/>
      <c r="GU414" s="48"/>
      <c r="GV414" s="48"/>
      <c r="GW414" s="48"/>
      <c r="GX414" s="48"/>
      <c r="GY414" s="48"/>
      <c r="GZ414" s="48"/>
      <c r="HA414" s="48"/>
      <c r="HB414" s="48"/>
      <c r="HC414" s="48"/>
      <c r="HD414" s="48"/>
      <c r="HE414" s="48"/>
    </row>
    <row r="415" spans="1:216" ht="22.8">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47"/>
      <c r="FN415" s="47"/>
      <c r="FO415" s="47"/>
      <c r="FP415" s="47"/>
      <c r="FQ415" s="47"/>
      <c r="FR415" s="47"/>
      <c r="FS415" s="47"/>
      <c r="FT415" s="47"/>
      <c r="FU415" s="47"/>
      <c r="FV415" s="47"/>
      <c r="FW415" s="47"/>
      <c r="FX415" s="47"/>
      <c r="FY415" s="47"/>
      <c r="FZ415" s="47"/>
      <c r="GA415" s="47"/>
      <c r="GB415" s="47"/>
      <c r="GC415" s="47"/>
      <c r="GD415" s="47"/>
      <c r="GE415" s="47"/>
      <c r="GF415" s="47"/>
      <c r="GG415" s="48"/>
      <c r="GH415" s="48"/>
      <c r="GI415" s="48"/>
      <c r="GJ415" s="48"/>
      <c r="GK415" s="48"/>
      <c r="GL415" s="48"/>
      <c r="GM415" s="48"/>
      <c r="GN415" s="48"/>
      <c r="GO415" s="48"/>
      <c r="GP415" s="48"/>
      <c r="GQ415" s="48"/>
      <c r="GR415" s="48"/>
      <c r="GS415" s="48"/>
      <c r="GT415" s="48"/>
      <c r="GU415" s="48"/>
      <c r="GV415" s="48"/>
      <c r="GW415" s="48"/>
      <c r="GX415" s="48"/>
      <c r="GY415" s="48"/>
      <c r="GZ415" s="48"/>
      <c r="HA415" s="48"/>
      <c r="HB415" s="48"/>
      <c r="HC415" s="48"/>
      <c r="HD415" s="48"/>
      <c r="HE415" s="48"/>
    </row>
    <row r="416" spans="1:216" ht="22.8">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2"/>
      <c r="FH416" s="32"/>
      <c r="FI416" s="32"/>
      <c r="FJ416" s="32"/>
      <c r="FK416" s="32"/>
      <c r="FL416" s="32"/>
      <c r="FM416" s="47"/>
      <c r="FN416" s="47"/>
      <c r="FO416" s="47"/>
      <c r="FP416" s="47"/>
      <c r="FQ416" s="47"/>
      <c r="FR416" s="47"/>
      <c r="FS416" s="47"/>
      <c r="FT416" s="47"/>
      <c r="FU416" s="47"/>
      <c r="FV416" s="47"/>
      <c r="FW416" s="47"/>
      <c r="FX416" s="47"/>
      <c r="FY416" s="47"/>
      <c r="FZ416" s="47"/>
      <c r="GA416" s="47"/>
      <c r="GB416" s="47"/>
      <c r="GC416" s="47"/>
      <c r="GD416" s="47"/>
      <c r="GE416" s="47"/>
      <c r="GF416" s="47"/>
      <c r="GG416" s="48"/>
      <c r="GH416" s="48"/>
      <c r="GI416" s="48"/>
      <c r="GJ416" s="48"/>
      <c r="GK416" s="48"/>
      <c r="GL416" s="48"/>
      <c r="GM416" s="48"/>
      <c r="GN416" s="48"/>
      <c r="GO416" s="48"/>
      <c r="GP416" s="48"/>
      <c r="GQ416" s="48"/>
      <c r="GR416" s="48"/>
      <c r="GS416" s="48"/>
      <c r="GT416" s="48"/>
      <c r="GU416" s="48"/>
      <c r="GV416" s="48"/>
      <c r="GW416" s="48"/>
      <c r="GX416" s="48"/>
      <c r="GY416" s="48"/>
      <c r="GZ416" s="48"/>
      <c r="HA416" s="48"/>
      <c r="HB416" s="48"/>
      <c r="HC416" s="48"/>
      <c r="HD416" s="48"/>
      <c r="HE416" s="48"/>
    </row>
    <row r="417" spans="1:213" ht="22.8">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c r="CT417" s="32"/>
      <c r="CU417" s="32"/>
      <c r="CV417" s="32"/>
      <c r="CW417" s="32"/>
      <c r="CX417" s="32"/>
      <c r="CY417" s="32"/>
      <c r="CZ417" s="32"/>
      <c r="DA417" s="32"/>
      <c r="DB417" s="32"/>
      <c r="DC417" s="32"/>
      <c r="DD417" s="32"/>
      <c r="DE417" s="32"/>
      <c r="DF417" s="32"/>
      <c r="DG417" s="32"/>
      <c r="DH417" s="32"/>
      <c r="DI417" s="32"/>
      <c r="DJ417" s="32"/>
      <c r="DK417" s="32"/>
      <c r="DL417" s="32"/>
      <c r="DM417" s="32"/>
      <c r="DN417" s="32"/>
      <c r="DO417" s="32"/>
      <c r="DP417" s="32"/>
      <c r="DQ417" s="32"/>
      <c r="DR417" s="32"/>
      <c r="DS417" s="32"/>
      <c r="DT417" s="32"/>
      <c r="DU417" s="32"/>
      <c r="DV417" s="32"/>
      <c r="DW417" s="32"/>
      <c r="DX417" s="32"/>
      <c r="DY417" s="32"/>
      <c r="DZ417" s="32"/>
      <c r="EA417" s="32"/>
      <c r="EB417" s="32"/>
      <c r="EC417" s="32"/>
      <c r="ED417" s="32"/>
      <c r="EE417" s="32"/>
      <c r="EF417" s="32"/>
      <c r="EG417" s="32"/>
      <c r="EH417" s="32"/>
      <c r="EI417" s="32"/>
      <c r="EJ417" s="32"/>
      <c r="EK417" s="32"/>
      <c r="EL417" s="32"/>
      <c r="EM417" s="32"/>
      <c r="EN417" s="32"/>
      <c r="EO417" s="32"/>
      <c r="EP417" s="32"/>
      <c r="EQ417" s="32"/>
      <c r="ER417" s="32"/>
      <c r="ES417" s="32"/>
      <c r="ET417" s="32"/>
      <c r="EU417" s="32"/>
      <c r="EV417" s="32"/>
      <c r="EW417" s="32"/>
      <c r="EX417" s="32"/>
      <c r="EY417" s="32"/>
      <c r="EZ417" s="32"/>
      <c r="FA417" s="32"/>
      <c r="FB417" s="32"/>
      <c r="FC417" s="32"/>
      <c r="FD417" s="32"/>
      <c r="FE417" s="32"/>
      <c r="FF417" s="32"/>
      <c r="FG417" s="32"/>
      <c r="FH417" s="32"/>
      <c r="FI417" s="32"/>
      <c r="FJ417" s="32"/>
      <c r="FK417" s="32"/>
      <c r="FL417" s="32"/>
      <c r="FM417" s="47"/>
      <c r="FN417" s="47"/>
      <c r="FO417" s="47"/>
      <c r="FP417" s="47"/>
      <c r="FQ417" s="47"/>
      <c r="FR417" s="47"/>
      <c r="FS417" s="47"/>
      <c r="FT417" s="47"/>
      <c r="FU417" s="47"/>
      <c r="FV417" s="47"/>
      <c r="FW417" s="47"/>
      <c r="FX417" s="47"/>
      <c r="FY417" s="47"/>
      <c r="FZ417" s="47"/>
      <c r="GA417" s="47"/>
      <c r="GB417" s="47"/>
      <c r="GC417" s="47"/>
      <c r="GD417" s="47"/>
      <c r="GE417" s="47"/>
      <c r="GF417" s="47"/>
      <c r="GG417" s="48"/>
      <c r="GH417" s="48"/>
      <c r="GI417" s="48"/>
      <c r="GJ417" s="48"/>
      <c r="GK417" s="48"/>
      <c r="GL417" s="48"/>
      <c r="GM417" s="48"/>
      <c r="GN417" s="48"/>
      <c r="GO417" s="48"/>
      <c r="GP417" s="48"/>
      <c r="GQ417" s="48"/>
      <c r="GR417" s="48"/>
      <c r="GS417" s="48"/>
      <c r="GT417" s="48"/>
      <c r="GU417" s="48"/>
      <c r="GV417" s="48"/>
      <c r="GW417" s="48"/>
      <c r="GX417" s="48"/>
      <c r="GY417" s="48"/>
      <c r="GZ417" s="48"/>
      <c r="HA417" s="48"/>
      <c r="HB417" s="48"/>
      <c r="HC417" s="48"/>
      <c r="HD417" s="48"/>
      <c r="HE417" s="48"/>
    </row>
    <row r="418" spans="1:213" ht="22.8">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c r="CT418" s="32"/>
      <c r="CU418" s="32"/>
      <c r="CV418" s="32"/>
      <c r="CW418" s="32"/>
      <c r="CX418" s="32"/>
      <c r="CY418" s="32"/>
      <c r="CZ418" s="32"/>
      <c r="DA418" s="32"/>
      <c r="DB418" s="32"/>
      <c r="DC418" s="32"/>
      <c r="DD418" s="32"/>
      <c r="DE418" s="32"/>
      <c r="DF418" s="32"/>
      <c r="DG418" s="32"/>
      <c r="DH418" s="32"/>
      <c r="DI418" s="32"/>
      <c r="DJ418" s="32"/>
      <c r="DK418" s="32"/>
      <c r="DL418" s="32"/>
      <c r="DM418" s="32"/>
      <c r="DN418" s="32"/>
      <c r="DO418" s="32"/>
      <c r="DP418" s="32"/>
      <c r="DQ418" s="32"/>
      <c r="DR418" s="32"/>
      <c r="DS418" s="32"/>
      <c r="DT418" s="32"/>
      <c r="DU418" s="32"/>
      <c r="DV418" s="32"/>
      <c r="DW418" s="32"/>
      <c r="DX418" s="32"/>
      <c r="DY418" s="32"/>
      <c r="DZ418" s="32"/>
      <c r="EA418" s="32"/>
      <c r="EB418" s="32"/>
      <c r="EC418" s="32"/>
      <c r="ED418" s="32"/>
      <c r="EE418" s="32"/>
      <c r="EF418" s="32"/>
      <c r="EG418" s="32"/>
      <c r="EH418" s="32"/>
      <c r="EI418" s="32"/>
      <c r="EJ418" s="32"/>
      <c r="EK418" s="32"/>
      <c r="EL418" s="32"/>
      <c r="EM418" s="32"/>
      <c r="EN418" s="32"/>
      <c r="EO418" s="32"/>
      <c r="EP418" s="32"/>
      <c r="EQ418" s="32"/>
      <c r="ER418" s="32"/>
      <c r="ES418" s="32"/>
      <c r="ET418" s="32"/>
      <c r="EU418" s="32"/>
      <c r="EV418" s="32"/>
      <c r="EW418" s="32"/>
      <c r="EX418" s="32"/>
      <c r="EY418" s="32"/>
      <c r="EZ418" s="32"/>
      <c r="FA418" s="32"/>
      <c r="FB418" s="32"/>
      <c r="FC418" s="32"/>
      <c r="FD418" s="32"/>
      <c r="FE418" s="32"/>
      <c r="FF418" s="32"/>
      <c r="FG418" s="32"/>
      <c r="FH418" s="32"/>
      <c r="FI418" s="32"/>
      <c r="FJ418" s="32"/>
      <c r="FK418" s="32"/>
      <c r="FL418" s="32"/>
      <c r="FM418" s="47"/>
      <c r="FN418" s="47"/>
      <c r="FO418" s="47"/>
      <c r="FP418" s="47"/>
      <c r="FQ418" s="47"/>
      <c r="FR418" s="47"/>
      <c r="FS418" s="47"/>
      <c r="FT418" s="47"/>
      <c r="FU418" s="47"/>
      <c r="FV418" s="47"/>
      <c r="FW418" s="47"/>
      <c r="FX418" s="47"/>
      <c r="FY418" s="47"/>
      <c r="FZ418" s="47"/>
      <c r="GA418" s="47"/>
      <c r="GB418" s="47"/>
      <c r="GC418" s="47"/>
      <c r="GD418" s="47"/>
      <c r="GE418" s="47"/>
      <c r="GF418" s="47"/>
      <c r="GG418" s="48"/>
      <c r="GH418" s="48"/>
      <c r="GI418" s="48"/>
      <c r="GJ418" s="48"/>
      <c r="GK418" s="48"/>
      <c r="GL418" s="48"/>
      <c r="GM418" s="48"/>
      <c r="GN418" s="48"/>
      <c r="GO418" s="48"/>
      <c r="GP418" s="48"/>
      <c r="GQ418" s="48"/>
      <c r="GR418" s="48"/>
      <c r="GS418" s="48"/>
      <c r="GT418" s="48"/>
      <c r="GU418" s="48"/>
      <c r="GV418" s="48"/>
      <c r="GW418" s="48"/>
      <c r="GX418" s="48"/>
      <c r="GY418" s="48"/>
      <c r="GZ418" s="48"/>
      <c r="HA418" s="48"/>
      <c r="HB418" s="48"/>
      <c r="HC418" s="48"/>
      <c r="HD418" s="48"/>
      <c r="HE418" s="48"/>
    </row>
    <row r="419" spans="1:213" ht="22.8">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c r="CT419" s="32"/>
      <c r="CU419" s="32"/>
      <c r="CV419" s="32"/>
      <c r="CW419" s="32"/>
      <c r="CX419" s="32"/>
      <c r="CY419" s="32"/>
      <c r="CZ419" s="32"/>
      <c r="DA419" s="32"/>
      <c r="DB419" s="32"/>
      <c r="DC419" s="32"/>
      <c r="DD419" s="32"/>
      <c r="DE419" s="32"/>
      <c r="DF419" s="32"/>
      <c r="DG419" s="32"/>
      <c r="DH419" s="32"/>
      <c r="DI419" s="32"/>
      <c r="DJ419" s="32"/>
      <c r="DK419" s="32"/>
      <c r="DL419" s="32"/>
      <c r="DM419" s="32"/>
      <c r="DN419" s="32"/>
      <c r="DO419" s="32"/>
      <c r="DP419" s="32"/>
      <c r="DQ419" s="32"/>
      <c r="DR419" s="32"/>
      <c r="DS419" s="32"/>
      <c r="DT419" s="32"/>
      <c r="DU419" s="32"/>
      <c r="DV419" s="32"/>
      <c r="DW419" s="32"/>
      <c r="DX419" s="32"/>
      <c r="DY419" s="32"/>
      <c r="DZ419" s="32"/>
      <c r="EA419" s="32"/>
      <c r="EB419" s="32"/>
      <c r="EC419" s="32"/>
      <c r="ED419" s="32"/>
      <c r="EE419" s="32"/>
      <c r="EF419" s="32"/>
      <c r="EG419" s="32"/>
      <c r="EH419" s="32"/>
      <c r="EI419" s="32"/>
      <c r="EJ419" s="32"/>
      <c r="EK419" s="32"/>
      <c r="EL419" s="32"/>
      <c r="EM419" s="32"/>
      <c r="EN419" s="32"/>
      <c r="EO419" s="32"/>
      <c r="EP419" s="32"/>
      <c r="EQ419" s="32"/>
      <c r="ER419" s="32"/>
      <c r="ES419" s="32"/>
      <c r="ET419" s="32"/>
      <c r="EU419" s="32"/>
      <c r="EV419" s="32"/>
      <c r="EW419" s="32"/>
      <c r="EX419" s="32"/>
      <c r="EY419" s="32"/>
      <c r="EZ419" s="32"/>
      <c r="FA419" s="32"/>
      <c r="FB419" s="32"/>
      <c r="FC419" s="32"/>
      <c r="FD419" s="32"/>
      <c r="FE419" s="32"/>
      <c r="FF419" s="32"/>
      <c r="FG419" s="32"/>
      <c r="FH419" s="32"/>
      <c r="FI419" s="32"/>
      <c r="FJ419" s="32"/>
      <c r="FK419" s="32"/>
      <c r="FL419" s="32"/>
      <c r="FM419" s="47"/>
      <c r="FN419" s="47"/>
      <c r="FO419" s="47"/>
      <c r="FP419" s="47"/>
      <c r="FQ419" s="47"/>
      <c r="FR419" s="47"/>
      <c r="FS419" s="47"/>
      <c r="FT419" s="47"/>
      <c r="FU419" s="47"/>
      <c r="FV419" s="47"/>
      <c r="FW419" s="47"/>
      <c r="FX419" s="47"/>
      <c r="FY419" s="47"/>
      <c r="FZ419" s="47"/>
      <c r="GA419" s="47"/>
      <c r="GB419" s="47"/>
      <c r="GC419" s="47"/>
      <c r="GD419" s="47"/>
      <c r="GE419" s="47"/>
      <c r="GF419" s="47"/>
      <c r="GG419" s="48"/>
      <c r="GH419" s="48"/>
      <c r="GI419" s="48"/>
      <c r="GJ419" s="48"/>
      <c r="GK419" s="48"/>
      <c r="GL419" s="48"/>
      <c r="GM419" s="48"/>
      <c r="GN419" s="48"/>
      <c r="GO419" s="48"/>
      <c r="GP419" s="48"/>
      <c r="GQ419" s="48"/>
      <c r="GR419" s="48"/>
      <c r="GS419" s="48"/>
      <c r="GT419" s="48"/>
      <c r="GU419" s="48"/>
      <c r="GV419" s="48"/>
      <c r="GW419" s="48"/>
      <c r="GX419" s="48"/>
      <c r="GY419" s="48"/>
      <c r="GZ419" s="48"/>
      <c r="HA419" s="48"/>
      <c r="HB419" s="48"/>
      <c r="HC419" s="48"/>
      <c r="HD419" s="48"/>
      <c r="HE419" s="48"/>
    </row>
    <row r="420" spans="1:213" ht="22.8">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c r="CT420" s="32"/>
      <c r="CU420" s="32"/>
      <c r="CV420" s="32"/>
      <c r="CW420" s="32"/>
      <c r="CX420" s="32"/>
      <c r="CY420" s="32"/>
      <c r="CZ420" s="32"/>
      <c r="DA420" s="32"/>
      <c r="DB420" s="32"/>
      <c r="DC420" s="32"/>
      <c r="DD420" s="32"/>
      <c r="DE420" s="32"/>
      <c r="DF420" s="32"/>
      <c r="DG420" s="32"/>
      <c r="DH420" s="32"/>
      <c r="DI420" s="32"/>
      <c r="DJ420" s="32"/>
      <c r="DK420" s="32"/>
      <c r="DL420" s="32"/>
      <c r="DM420" s="32"/>
      <c r="DN420" s="32"/>
      <c r="DO420" s="32"/>
      <c r="DP420" s="32"/>
      <c r="DQ420" s="32"/>
      <c r="DR420" s="32"/>
      <c r="DS420" s="32"/>
      <c r="DT420" s="32"/>
      <c r="DU420" s="32"/>
      <c r="DV420" s="32"/>
      <c r="DW420" s="32"/>
      <c r="DX420" s="32"/>
      <c r="DY420" s="32"/>
      <c r="DZ420" s="32"/>
      <c r="EA420" s="32"/>
      <c r="EB420" s="32"/>
      <c r="EC420" s="32"/>
      <c r="ED420" s="32"/>
      <c r="EE420" s="32"/>
      <c r="EF420" s="32"/>
      <c r="EG420" s="32"/>
      <c r="EH420" s="32"/>
      <c r="EI420" s="32"/>
      <c r="EJ420" s="32"/>
      <c r="EK420" s="32"/>
      <c r="EL420" s="32"/>
      <c r="EM420" s="32"/>
      <c r="EN420" s="32"/>
      <c r="EO420" s="32"/>
      <c r="EP420" s="32"/>
      <c r="EQ420" s="32"/>
      <c r="ER420" s="32"/>
      <c r="ES420" s="32"/>
      <c r="ET420" s="32"/>
      <c r="EU420" s="32"/>
      <c r="EV420" s="32"/>
      <c r="EW420" s="32"/>
      <c r="EX420" s="32"/>
      <c r="EY420" s="32"/>
      <c r="EZ420" s="32"/>
      <c r="FA420" s="32"/>
      <c r="FB420" s="32"/>
      <c r="FC420" s="32"/>
      <c r="FD420" s="32"/>
      <c r="FE420" s="32"/>
      <c r="FF420" s="32"/>
      <c r="FG420" s="32"/>
      <c r="FH420" s="32"/>
      <c r="FI420" s="32"/>
      <c r="FJ420" s="32"/>
      <c r="FK420" s="32"/>
      <c r="FL420" s="32"/>
      <c r="FM420" s="47"/>
      <c r="FN420" s="47"/>
      <c r="FO420" s="47"/>
      <c r="FP420" s="47"/>
      <c r="FQ420" s="47"/>
      <c r="FR420" s="47"/>
      <c r="FS420" s="47"/>
      <c r="FT420" s="47"/>
      <c r="FU420" s="47"/>
      <c r="FV420" s="47"/>
      <c r="FW420" s="47"/>
      <c r="FX420" s="47"/>
      <c r="FY420" s="47"/>
      <c r="FZ420" s="47"/>
      <c r="GA420" s="47"/>
      <c r="GB420" s="47"/>
      <c r="GC420" s="47"/>
      <c r="GD420" s="47"/>
      <c r="GE420" s="47"/>
      <c r="GF420" s="47"/>
      <c r="GG420" s="48"/>
      <c r="GH420" s="48"/>
      <c r="GI420" s="48"/>
      <c r="GJ420" s="48"/>
      <c r="GK420" s="48"/>
      <c r="GL420" s="48"/>
      <c r="GM420" s="48"/>
      <c r="GN420" s="48"/>
      <c r="GO420" s="48"/>
      <c r="GP420" s="48"/>
      <c r="GQ420" s="48"/>
      <c r="GR420" s="48"/>
      <c r="GS420" s="48"/>
      <c r="GT420" s="48"/>
      <c r="GU420" s="48"/>
      <c r="GV420" s="48"/>
      <c r="GW420" s="48"/>
      <c r="GX420" s="48"/>
      <c r="GY420" s="48"/>
      <c r="GZ420" s="48"/>
      <c r="HA420" s="48"/>
      <c r="HB420" s="48"/>
      <c r="HC420" s="48"/>
      <c r="HD420" s="48"/>
      <c r="HE420" s="48"/>
    </row>
    <row r="421" spans="1:213" ht="22.8">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c r="CX421" s="32"/>
      <c r="CY421" s="32"/>
      <c r="CZ421" s="32"/>
      <c r="DA421" s="32"/>
      <c r="DB421" s="32"/>
      <c r="DC421" s="32"/>
      <c r="DD421" s="32"/>
      <c r="DE421" s="32"/>
      <c r="DF421" s="32"/>
      <c r="DG421" s="32"/>
      <c r="DH421" s="32"/>
      <c r="DI421" s="32"/>
      <c r="DJ421" s="32"/>
      <c r="DK421" s="32"/>
      <c r="DL421" s="32"/>
      <c r="DM421" s="32"/>
      <c r="DN421" s="32"/>
      <c r="DO421" s="32"/>
      <c r="DP421" s="32"/>
      <c r="DQ421" s="32"/>
      <c r="DR421" s="32"/>
      <c r="DS421" s="32"/>
      <c r="DT421" s="32"/>
      <c r="DU421" s="32"/>
      <c r="DV421" s="32"/>
      <c r="DW421" s="32"/>
      <c r="DX421" s="32"/>
      <c r="DY421" s="32"/>
      <c r="DZ421" s="32"/>
      <c r="EA421" s="32"/>
      <c r="EB421" s="32"/>
      <c r="EC421" s="32"/>
      <c r="ED421" s="32"/>
      <c r="EE421" s="32"/>
      <c r="EF421" s="32"/>
      <c r="EG421" s="32"/>
      <c r="EH421" s="32"/>
      <c r="EI421" s="32"/>
      <c r="EJ421" s="32"/>
      <c r="EK421" s="32"/>
      <c r="EL421" s="32"/>
      <c r="EM421" s="32"/>
      <c r="EN421" s="32"/>
      <c r="EO421" s="32"/>
      <c r="EP421" s="32"/>
      <c r="EQ421" s="32"/>
      <c r="ER421" s="32"/>
      <c r="ES421" s="32"/>
      <c r="ET421" s="32"/>
      <c r="EU421" s="32"/>
      <c r="EV421" s="32"/>
      <c r="EW421" s="32"/>
      <c r="EX421" s="32"/>
      <c r="EY421" s="32"/>
      <c r="EZ421" s="32"/>
      <c r="FA421" s="32"/>
      <c r="FB421" s="32"/>
      <c r="FC421" s="32"/>
      <c r="FD421" s="32"/>
      <c r="FE421" s="32"/>
      <c r="FF421" s="32"/>
      <c r="FG421" s="32"/>
      <c r="FH421" s="32"/>
      <c r="FI421" s="32"/>
      <c r="FJ421" s="32"/>
      <c r="FK421" s="32"/>
      <c r="FL421" s="32"/>
      <c r="FM421" s="47"/>
      <c r="FN421" s="47"/>
      <c r="FO421" s="47"/>
      <c r="FP421" s="47"/>
      <c r="FQ421" s="47"/>
      <c r="FR421" s="47"/>
      <c r="FS421" s="47"/>
      <c r="FT421" s="47"/>
      <c r="FU421" s="47"/>
      <c r="FV421" s="47"/>
      <c r="FW421" s="47"/>
      <c r="FX421" s="47"/>
      <c r="FY421" s="47"/>
      <c r="FZ421" s="47"/>
      <c r="GA421" s="47"/>
      <c r="GB421" s="47"/>
      <c r="GC421" s="47"/>
      <c r="GD421" s="47"/>
      <c r="GE421" s="47"/>
      <c r="GF421" s="47"/>
      <c r="GG421" s="48"/>
      <c r="GH421" s="48"/>
      <c r="GI421" s="48"/>
      <c r="GJ421" s="48"/>
      <c r="GK421" s="48"/>
      <c r="GL421" s="48"/>
      <c r="GM421" s="48"/>
      <c r="GN421" s="48"/>
      <c r="GO421" s="48"/>
      <c r="GP421" s="48"/>
      <c r="GQ421" s="48"/>
      <c r="GR421" s="48"/>
      <c r="GS421" s="48"/>
      <c r="GT421" s="48"/>
      <c r="GU421" s="48"/>
      <c r="GV421" s="48"/>
      <c r="GW421" s="48"/>
      <c r="GX421" s="48"/>
      <c r="GY421" s="48"/>
      <c r="GZ421" s="48"/>
      <c r="HA421" s="48"/>
      <c r="HB421" s="48"/>
      <c r="HC421" s="48"/>
      <c r="HD421" s="48"/>
      <c r="HE421" s="48"/>
    </row>
    <row r="422" spans="1:213" ht="22.8">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c r="CE422" s="32"/>
      <c r="CF422" s="32"/>
      <c r="CG422" s="32"/>
      <c r="CH422" s="32"/>
      <c r="CI422" s="32"/>
      <c r="CJ422" s="32"/>
      <c r="CK422" s="32"/>
      <c r="CL422" s="32"/>
      <c r="CM422" s="32"/>
      <c r="CN422" s="32"/>
      <c r="CO422" s="32"/>
      <c r="CP422" s="32"/>
      <c r="CQ422" s="32"/>
      <c r="CR422" s="32"/>
      <c r="CS422" s="32"/>
      <c r="CT422" s="32"/>
      <c r="CU422" s="32"/>
      <c r="CV422" s="32"/>
      <c r="CW422" s="32"/>
      <c r="CX422" s="32"/>
      <c r="CY422" s="32"/>
      <c r="CZ422" s="32"/>
      <c r="DA422" s="32"/>
      <c r="DB422" s="32"/>
      <c r="DC422" s="32"/>
      <c r="DD422" s="32"/>
      <c r="DE422" s="32"/>
      <c r="DF422" s="32"/>
      <c r="DG422" s="32"/>
      <c r="DH422" s="32"/>
      <c r="DI422" s="32"/>
      <c r="DJ422" s="32"/>
      <c r="DK422" s="32"/>
      <c r="DL422" s="32"/>
      <c r="DM422" s="32"/>
      <c r="DN422" s="32"/>
      <c r="DO422" s="32"/>
      <c r="DP422" s="32"/>
      <c r="DQ422" s="32"/>
      <c r="DR422" s="32"/>
      <c r="DS422" s="32"/>
      <c r="DT422" s="32"/>
      <c r="DU422" s="32"/>
      <c r="DV422" s="32"/>
      <c r="DW422" s="32"/>
      <c r="DX422" s="32"/>
      <c r="DY422" s="32"/>
      <c r="DZ422" s="32"/>
      <c r="EA422" s="32"/>
      <c r="EB422" s="32"/>
      <c r="EC422" s="32"/>
      <c r="ED422" s="32"/>
      <c r="EE422" s="32"/>
      <c r="EF422" s="32"/>
      <c r="EG422" s="32"/>
      <c r="EH422" s="32"/>
      <c r="EI422" s="32"/>
      <c r="EJ422" s="32"/>
      <c r="EK422" s="32"/>
      <c r="EL422" s="32"/>
      <c r="EM422" s="32"/>
      <c r="EN422" s="32"/>
      <c r="EO422" s="32"/>
      <c r="EP422" s="32"/>
      <c r="EQ422" s="32"/>
      <c r="ER422" s="32"/>
      <c r="ES422" s="32"/>
      <c r="ET422" s="32"/>
      <c r="EU422" s="32"/>
      <c r="EV422" s="32"/>
      <c r="EW422" s="32"/>
      <c r="EX422" s="32"/>
      <c r="EY422" s="32"/>
      <c r="EZ422" s="32"/>
      <c r="FA422" s="32"/>
      <c r="FB422" s="32"/>
      <c r="FC422" s="32"/>
      <c r="FD422" s="32"/>
      <c r="FE422" s="32"/>
      <c r="FF422" s="32"/>
      <c r="FG422" s="32"/>
      <c r="FH422" s="32"/>
      <c r="FI422" s="32"/>
      <c r="FJ422" s="32"/>
      <c r="FK422" s="32"/>
      <c r="FL422" s="32"/>
      <c r="FM422" s="47"/>
      <c r="FN422" s="47"/>
      <c r="FO422" s="47"/>
      <c r="FP422" s="47"/>
      <c r="FQ422" s="47"/>
      <c r="FR422" s="47"/>
      <c r="FS422" s="47"/>
      <c r="FT422" s="47"/>
      <c r="FU422" s="47"/>
      <c r="FV422" s="47"/>
      <c r="FW422" s="47"/>
      <c r="FX422" s="47"/>
      <c r="FY422" s="47"/>
      <c r="FZ422" s="47"/>
      <c r="GA422" s="47"/>
      <c r="GB422" s="47"/>
      <c r="GC422" s="47"/>
      <c r="GD422" s="47"/>
      <c r="GE422" s="47"/>
      <c r="GF422" s="47"/>
      <c r="GG422" s="48"/>
      <c r="GH422" s="48"/>
      <c r="GI422" s="48"/>
      <c r="GJ422" s="48"/>
      <c r="GK422" s="48"/>
      <c r="GL422" s="48"/>
      <c r="GM422" s="48"/>
      <c r="GN422" s="48"/>
      <c r="GO422" s="48"/>
      <c r="GP422" s="48"/>
      <c r="GQ422" s="48"/>
      <c r="GR422" s="48"/>
      <c r="GS422" s="48"/>
      <c r="GT422" s="48"/>
      <c r="GU422" s="48"/>
      <c r="GV422" s="48"/>
      <c r="GW422" s="48"/>
      <c r="GX422" s="48"/>
      <c r="GY422" s="48"/>
      <c r="GZ422" s="48"/>
      <c r="HA422" s="48"/>
      <c r="HB422" s="48"/>
      <c r="HC422" s="48"/>
      <c r="HD422" s="48"/>
      <c r="HE422" s="48"/>
    </row>
    <row r="423" spans="1:213" ht="22.8">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c r="CX423" s="32"/>
      <c r="CY423" s="32"/>
      <c r="CZ423" s="32"/>
      <c r="DA423" s="32"/>
      <c r="DB423" s="32"/>
      <c r="DC423" s="32"/>
      <c r="DD423" s="32"/>
      <c r="DE423" s="32"/>
      <c r="DF423" s="32"/>
      <c r="DG423" s="32"/>
      <c r="DH423" s="32"/>
      <c r="DI423" s="32"/>
      <c r="DJ423" s="32"/>
      <c r="DK423" s="32"/>
      <c r="DL423" s="32"/>
      <c r="DM423" s="32"/>
      <c r="DN423" s="32"/>
      <c r="DO423" s="32"/>
      <c r="DP423" s="32"/>
      <c r="DQ423" s="32"/>
      <c r="DR423" s="32"/>
      <c r="DS423" s="32"/>
      <c r="DT423" s="32"/>
      <c r="DU423" s="32"/>
      <c r="DV423" s="32"/>
      <c r="DW423" s="32"/>
      <c r="DX423" s="32"/>
      <c r="DY423" s="32"/>
      <c r="DZ423" s="32"/>
      <c r="EA423" s="32"/>
      <c r="EB423" s="32"/>
      <c r="EC423" s="32"/>
      <c r="ED423" s="32"/>
      <c r="EE423" s="32"/>
      <c r="EF423" s="32"/>
      <c r="EG423" s="32"/>
      <c r="EH423" s="32"/>
      <c r="EI423" s="32"/>
      <c r="EJ423" s="32"/>
      <c r="EK423" s="32"/>
      <c r="EL423" s="32"/>
      <c r="EM423" s="32"/>
      <c r="EN423" s="32"/>
      <c r="EO423" s="32"/>
      <c r="EP423" s="32"/>
      <c r="EQ423" s="32"/>
      <c r="ER423" s="32"/>
      <c r="ES423" s="32"/>
      <c r="ET423" s="32"/>
      <c r="EU423" s="32"/>
      <c r="EV423" s="32"/>
      <c r="EW423" s="32"/>
      <c r="EX423" s="32"/>
      <c r="EY423" s="32"/>
      <c r="EZ423" s="32"/>
      <c r="FA423" s="32"/>
      <c r="FB423" s="32"/>
      <c r="FC423" s="32"/>
      <c r="FD423" s="32"/>
      <c r="FE423" s="32"/>
      <c r="FF423" s="32"/>
      <c r="FG423" s="32"/>
      <c r="FH423" s="32"/>
      <c r="FI423" s="32"/>
      <c r="FJ423" s="32"/>
      <c r="FK423" s="32"/>
      <c r="FL423" s="32"/>
      <c r="FM423" s="47"/>
      <c r="FN423" s="47"/>
      <c r="FO423" s="47"/>
      <c r="FP423" s="47"/>
      <c r="FQ423" s="47"/>
      <c r="FR423" s="47"/>
      <c r="FS423" s="47"/>
      <c r="FT423" s="47"/>
      <c r="FU423" s="47"/>
      <c r="FV423" s="47"/>
      <c r="FW423" s="47"/>
      <c r="FX423" s="47"/>
      <c r="FY423" s="47"/>
      <c r="FZ423" s="47"/>
      <c r="GA423" s="47"/>
      <c r="GB423" s="47"/>
      <c r="GC423" s="47"/>
      <c r="GD423" s="47"/>
      <c r="GE423" s="47"/>
      <c r="GF423" s="47"/>
      <c r="GG423" s="48"/>
      <c r="GH423" s="48"/>
      <c r="GI423" s="48"/>
      <c r="GJ423" s="48"/>
      <c r="GK423" s="48"/>
      <c r="GL423" s="48"/>
      <c r="GM423" s="48"/>
      <c r="GN423" s="48"/>
      <c r="GO423" s="48"/>
      <c r="GP423" s="48"/>
      <c r="GQ423" s="48"/>
      <c r="GR423" s="48"/>
      <c r="GS423" s="48"/>
      <c r="GT423" s="48"/>
      <c r="GU423" s="48"/>
      <c r="GV423" s="48"/>
      <c r="GW423" s="48"/>
      <c r="GX423" s="48"/>
      <c r="GY423" s="48"/>
      <c r="GZ423" s="48"/>
      <c r="HA423" s="48"/>
      <c r="HB423" s="48"/>
      <c r="HC423" s="48"/>
      <c r="HD423" s="48"/>
      <c r="HE423" s="48"/>
    </row>
    <row r="424" spans="1:213" ht="22.8">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c r="CX424" s="32"/>
      <c r="CY424" s="32"/>
      <c r="CZ424" s="32"/>
      <c r="DA424" s="32"/>
      <c r="DB424" s="32"/>
      <c r="DC424" s="32"/>
      <c r="DD424" s="32"/>
      <c r="DE424" s="32"/>
      <c r="DF424" s="32"/>
      <c r="DG424" s="32"/>
      <c r="DH424" s="32"/>
      <c r="DI424" s="32"/>
      <c r="DJ424" s="32"/>
      <c r="DK424" s="32"/>
      <c r="DL424" s="32"/>
      <c r="DM424" s="32"/>
      <c r="DN424" s="32"/>
      <c r="DO424" s="32"/>
      <c r="DP424" s="32"/>
      <c r="DQ424" s="32"/>
      <c r="DR424" s="32"/>
      <c r="DS424" s="32"/>
      <c r="DT424" s="32"/>
      <c r="DU424" s="32"/>
      <c r="DV424" s="32"/>
      <c r="DW424" s="32"/>
      <c r="DX424" s="32"/>
      <c r="DY424" s="32"/>
      <c r="DZ424" s="32"/>
      <c r="EA424" s="32"/>
      <c r="EB424" s="32"/>
      <c r="EC424" s="32"/>
      <c r="ED424" s="32"/>
      <c r="EE424" s="32"/>
      <c r="EF424" s="32"/>
      <c r="EG424" s="32"/>
      <c r="EH424" s="32"/>
      <c r="EI424" s="32"/>
      <c r="EJ424" s="32"/>
      <c r="EK424" s="32"/>
      <c r="EL424" s="32"/>
      <c r="EM424" s="32"/>
      <c r="EN424" s="32"/>
      <c r="EO424" s="32"/>
      <c r="EP424" s="32"/>
      <c r="EQ424" s="32"/>
      <c r="ER424" s="32"/>
      <c r="ES424" s="32"/>
      <c r="ET424" s="32"/>
      <c r="EU424" s="32"/>
      <c r="EV424" s="32"/>
      <c r="EW424" s="32"/>
      <c r="EX424" s="32"/>
      <c r="EY424" s="32"/>
      <c r="EZ424" s="32"/>
      <c r="FA424" s="32"/>
      <c r="FB424" s="32"/>
      <c r="FC424" s="32"/>
      <c r="FD424" s="32"/>
      <c r="FE424" s="32"/>
      <c r="FF424" s="32"/>
      <c r="FG424" s="32"/>
      <c r="FH424" s="32"/>
      <c r="FI424" s="32"/>
      <c r="FJ424" s="32"/>
      <c r="FK424" s="32"/>
      <c r="FL424" s="32"/>
      <c r="FM424" s="47"/>
      <c r="FN424" s="47"/>
      <c r="FO424" s="47"/>
      <c r="FP424" s="47"/>
      <c r="FQ424" s="47"/>
      <c r="FR424" s="47"/>
      <c r="FS424" s="47"/>
      <c r="FT424" s="47"/>
      <c r="FU424" s="47"/>
      <c r="FV424" s="47"/>
      <c r="FW424" s="47"/>
      <c r="FX424" s="47"/>
      <c r="FY424" s="47"/>
      <c r="FZ424" s="47"/>
      <c r="GA424" s="47"/>
      <c r="GB424" s="47"/>
      <c r="GC424" s="47"/>
      <c r="GD424" s="47"/>
      <c r="GE424" s="47"/>
      <c r="GF424" s="47"/>
      <c r="GG424" s="48"/>
      <c r="GH424" s="48"/>
      <c r="GI424" s="48"/>
      <c r="GJ424" s="48"/>
      <c r="GK424" s="48"/>
      <c r="GL424" s="48"/>
      <c r="GM424" s="48"/>
      <c r="GN424" s="48"/>
      <c r="GO424" s="48"/>
      <c r="GP424" s="48"/>
      <c r="GQ424" s="48"/>
      <c r="GR424" s="48"/>
      <c r="GS424" s="48"/>
      <c r="GT424" s="48"/>
      <c r="GU424" s="48"/>
      <c r="GV424" s="48"/>
      <c r="GW424" s="48"/>
      <c r="GX424" s="48"/>
      <c r="GY424" s="48"/>
      <c r="GZ424" s="48"/>
      <c r="HA424" s="48"/>
      <c r="HB424" s="48"/>
      <c r="HC424" s="48"/>
      <c r="HD424" s="48"/>
      <c r="HE424" s="48"/>
    </row>
    <row r="425" spans="1:213" ht="22.8">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c r="CX425" s="32"/>
      <c r="CY425" s="32"/>
      <c r="CZ425" s="32"/>
      <c r="DA425" s="32"/>
      <c r="DB425" s="32"/>
      <c r="DC425" s="32"/>
      <c r="DD425" s="32"/>
      <c r="DE425" s="32"/>
      <c r="DF425" s="32"/>
      <c r="DG425" s="32"/>
      <c r="DH425" s="32"/>
      <c r="DI425" s="32"/>
      <c r="DJ425" s="32"/>
      <c r="DK425" s="32"/>
      <c r="DL425" s="32"/>
      <c r="DM425" s="32"/>
      <c r="DN425" s="32"/>
      <c r="DO425" s="32"/>
      <c r="DP425" s="32"/>
      <c r="DQ425" s="32"/>
      <c r="DR425" s="32"/>
      <c r="DS425" s="32"/>
      <c r="DT425" s="32"/>
      <c r="DU425" s="32"/>
      <c r="DV425" s="32"/>
      <c r="DW425" s="32"/>
      <c r="DX425" s="32"/>
      <c r="DY425" s="32"/>
      <c r="DZ425" s="32"/>
      <c r="EA425" s="32"/>
      <c r="EB425" s="32"/>
      <c r="EC425" s="32"/>
      <c r="ED425" s="32"/>
      <c r="EE425" s="32"/>
      <c r="EF425" s="32"/>
      <c r="EG425" s="32"/>
      <c r="EH425" s="32"/>
      <c r="EI425" s="32"/>
      <c r="EJ425" s="32"/>
      <c r="EK425" s="32"/>
      <c r="EL425" s="32"/>
      <c r="EM425" s="32"/>
      <c r="EN425" s="32"/>
      <c r="EO425" s="32"/>
      <c r="EP425" s="32"/>
      <c r="EQ425" s="32"/>
      <c r="ER425" s="32"/>
      <c r="ES425" s="32"/>
      <c r="ET425" s="32"/>
      <c r="EU425" s="32"/>
      <c r="EV425" s="32"/>
      <c r="EW425" s="32"/>
      <c r="EX425" s="32"/>
      <c r="EY425" s="32"/>
      <c r="EZ425" s="32"/>
      <c r="FA425" s="32"/>
      <c r="FB425" s="32"/>
      <c r="FC425" s="32"/>
      <c r="FD425" s="32"/>
      <c r="FE425" s="32"/>
      <c r="FF425" s="32"/>
      <c r="FG425" s="32"/>
      <c r="FH425" s="32"/>
      <c r="FI425" s="32"/>
      <c r="FJ425" s="32"/>
      <c r="FK425" s="32"/>
      <c r="FL425" s="32"/>
      <c r="FM425" s="47"/>
      <c r="FN425" s="47"/>
      <c r="FO425" s="47"/>
      <c r="FP425" s="47"/>
      <c r="FQ425" s="47"/>
      <c r="FR425" s="47"/>
      <c r="FS425" s="47"/>
      <c r="FT425" s="47"/>
      <c r="FU425" s="47"/>
      <c r="FV425" s="47"/>
      <c r="FW425" s="47"/>
      <c r="FX425" s="47"/>
      <c r="FY425" s="47"/>
      <c r="FZ425" s="47"/>
      <c r="GA425" s="47"/>
      <c r="GB425" s="47"/>
      <c r="GC425" s="47"/>
      <c r="GD425" s="47"/>
      <c r="GE425" s="47"/>
      <c r="GF425" s="47"/>
      <c r="GG425" s="48"/>
      <c r="GH425" s="48"/>
      <c r="GI425" s="48"/>
      <c r="GJ425" s="48"/>
      <c r="GK425" s="48"/>
      <c r="GL425" s="48"/>
      <c r="GM425" s="48"/>
      <c r="GN425" s="48"/>
      <c r="GO425" s="48"/>
      <c r="GP425" s="48"/>
      <c r="GQ425" s="48"/>
      <c r="GR425" s="48"/>
      <c r="GS425" s="48"/>
      <c r="GT425" s="48"/>
      <c r="GU425" s="48"/>
      <c r="GV425" s="48"/>
      <c r="GW425" s="48"/>
      <c r="GX425" s="48"/>
      <c r="GY425" s="48"/>
      <c r="GZ425" s="48"/>
      <c r="HA425" s="48"/>
      <c r="HB425" s="48"/>
      <c r="HC425" s="48"/>
      <c r="HD425" s="48"/>
      <c r="HE425" s="48"/>
    </row>
    <row r="426" spans="1:213" ht="22.8">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2"/>
      <c r="FH426" s="32"/>
      <c r="FI426" s="32"/>
      <c r="FJ426" s="32"/>
      <c r="FK426" s="32"/>
      <c r="FL426" s="32"/>
      <c r="FM426" s="47"/>
      <c r="FN426" s="47"/>
      <c r="FO426" s="47"/>
      <c r="FP426" s="47"/>
      <c r="FQ426" s="47"/>
      <c r="FR426" s="47"/>
      <c r="FS426" s="47"/>
      <c r="FT426" s="47"/>
      <c r="FU426" s="47"/>
      <c r="FV426" s="47"/>
      <c r="FW426" s="47"/>
      <c r="FX426" s="47"/>
      <c r="FY426" s="47"/>
      <c r="FZ426" s="47"/>
      <c r="GA426" s="47"/>
      <c r="GB426" s="47"/>
      <c r="GC426" s="47"/>
      <c r="GD426" s="47"/>
      <c r="GE426" s="47"/>
      <c r="GF426" s="47"/>
      <c r="GG426" s="48"/>
      <c r="GH426" s="48"/>
      <c r="GI426" s="48"/>
      <c r="GJ426" s="48"/>
      <c r="GK426" s="48"/>
      <c r="GL426" s="48"/>
      <c r="GM426" s="48"/>
      <c r="GN426" s="48"/>
      <c r="GO426" s="48"/>
      <c r="GP426" s="48"/>
      <c r="GQ426" s="48"/>
      <c r="GR426" s="48"/>
      <c r="GS426" s="48"/>
      <c r="GT426" s="48"/>
      <c r="GU426" s="48"/>
      <c r="GV426" s="48"/>
      <c r="GW426" s="48"/>
      <c r="GX426" s="48"/>
      <c r="GY426" s="48"/>
      <c r="GZ426" s="48"/>
      <c r="HA426" s="48"/>
      <c r="HB426" s="48"/>
      <c r="HC426" s="48"/>
      <c r="HD426" s="48"/>
      <c r="HE426" s="48"/>
    </row>
    <row r="427" spans="1:213" ht="22.8">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c r="CX427" s="32"/>
      <c r="CY427" s="32"/>
      <c r="CZ427" s="32"/>
      <c r="DA427" s="32"/>
      <c r="DB427" s="32"/>
      <c r="DC427" s="32"/>
      <c r="DD427" s="32"/>
      <c r="DE427" s="32"/>
      <c r="DF427" s="32"/>
      <c r="DG427" s="32"/>
      <c r="DH427" s="32"/>
      <c r="DI427" s="32"/>
      <c r="DJ427" s="32"/>
      <c r="DK427" s="32"/>
      <c r="DL427" s="32"/>
      <c r="DM427" s="32"/>
      <c r="DN427" s="32"/>
      <c r="DO427" s="32"/>
      <c r="DP427" s="32"/>
      <c r="DQ427" s="32"/>
      <c r="DR427" s="32"/>
      <c r="DS427" s="32"/>
      <c r="DT427" s="32"/>
      <c r="DU427" s="32"/>
      <c r="DV427" s="32"/>
      <c r="DW427" s="32"/>
      <c r="DX427" s="32"/>
      <c r="DY427" s="32"/>
      <c r="DZ427" s="32"/>
      <c r="EA427" s="32"/>
      <c r="EB427" s="32"/>
      <c r="EC427" s="32"/>
      <c r="ED427" s="32"/>
      <c r="EE427" s="32"/>
      <c r="EF427" s="32"/>
      <c r="EG427" s="32"/>
      <c r="EH427" s="32"/>
      <c r="EI427" s="32"/>
      <c r="EJ427" s="32"/>
      <c r="EK427" s="32"/>
      <c r="EL427" s="32"/>
      <c r="EM427" s="32"/>
      <c r="EN427" s="32"/>
      <c r="EO427" s="32"/>
      <c r="EP427" s="32"/>
      <c r="EQ427" s="32"/>
      <c r="ER427" s="32"/>
      <c r="ES427" s="32"/>
      <c r="ET427" s="32"/>
      <c r="EU427" s="32"/>
      <c r="EV427" s="32"/>
      <c r="EW427" s="32"/>
      <c r="EX427" s="32"/>
      <c r="EY427" s="32"/>
      <c r="EZ427" s="32"/>
      <c r="FA427" s="32"/>
      <c r="FB427" s="32"/>
      <c r="FC427" s="32"/>
      <c r="FD427" s="32"/>
      <c r="FE427" s="32"/>
      <c r="FF427" s="32"/>
      <c r="FG427" s="32"/>
      <c r="FH427" s="32"/>
      <c r="FI427" s="32"/>
      <c r="FJ427" s="32"/>
      <c r="FK427" s="32"/>
      <c r="FL427" s="32"/>
      <c r="FM427" s="47"/>
      <c r="FN427" s="47"/>
      <c r="FO427" s="47"/>
      <c r="FP427" s="47"/>
      <c r="FQ427" s="47"/>
      <c r="FR427" s="47"/>
      <c r="FS427" s="47"/>
      <c r="FT427" s="47"/>
      <c r="FU427" s="47"/>
      <c r="FV427" s="47"/>
      <c r="FW427" s="47"/>
      <c r="FX427" s="47"/>
      <c r="FY427" s="47"/>
      <c r="FZ427" s="47"/>
      <c r="GA427" s="47"/>
      <c r="GB427" s="47"/>
      <c r="GC427" s="47"/>
      <c r="GD427" s="47"/>
      <c r="GE427" s="47"/>
      <c r="GF427" s="47"/>
      <c r="GG427" s="48"/>
      <c r="GH427" s="48"/>
      <c r="GI427" s="48"/>
      <c r="GJ427" s="48"/>
      <c r="GK427" s="48"/>
      <c r="GL427" s="48"/>
      <c r="GM427" s="48"/>
      <c r="GN427" s="48"/>
      <c r="GO427" s="48"/>
      <c r="GP427" s="48"/>
      <c r="GQ427" s="48"/>
      <c r="GR427" s="48"/>
      <c r="GS427" s="48"/>
      <c r="GT427" s="48"/>
      <c r="GU427" s="48"/>
      <c r="GV427" s="48"/>
      <c r="GW427" s="48"/>
      <c r="GX427" s="48"/>
      <c r="GY427" s="48"/>
      <c r="GZ427" s="48"/>
      <c r="HA427" s="48"/>
      <c r="HB427" s="48"/>
      <c r="HC427" s="48"/>
      <c r="HD427" s="48"/>
      <c r="HE427" s="48"/>
    </row>
    <row r="428" spans="1:213" ht="22.8">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c r="CX428" s="32"/>
      <c r="CY428" s="32"/>
      <c r="CZ428" s="32"/>
      <c r="DA428" s="32"/>
      <c r="DB428" s="32"/>
      <c r="DC428" s="32"/>
      <c r="DD428" s="32"/>
      <c r="DE428" s="32"/>
      <c r="DF428" s="32"/>
      <c r="DG428" s="32"/>
      <c r="DH428" s="32"/>
      <c r="DI428" s="32"/>
      <c r="DJ428" s="32"/>
      <c r="DK428" s="32"/>
      <c r="DL428" s="32"/>
      <c r="DM428" s="32"/>
      <c r="DN428" s="32"/>
      <c r="DO428" s="32"/>
      <c r="DP428" s="32"/>
      <c r="DQ428" s="32"/>
      <c r="DR428" s="32"/>
      <c r="DS428" s="32"/>
      <c r="DT428" s="32"/>
      <c r="DU428" s="32"/>
      <c r="DV428" s="32"/>
      <c r="DW428" s="32"/>
      <c r="DX428" s="32"/>
      <c r="DY428" s="32"/>
      <c r="DZ428" s="32"/>
      <c r="EA428" s="32"/>
      <c r="EB428" s="32"/>
      <c r="EC428" s="32"/>
      <c r="ED428" s="32"/>
      <c r="EE428" s="32"/>
      <c r="EF428" s="32"/>
      <c r="EG428" s="32"/>
      <c r="EH428" s="32"/>
      <c r="EI428" s="32"/>
      <c r="EJ428" s="32"/>
      <c r="EK428" s="32"/>
      <c r="EL428" s="32"/>
      <c r="EM428" s="32"/>
      <c r="EN428" s="32"/>
      <c r="EO428" s="32"/>
      <c r="EP428" s="32"/>
      <c r="EQ428" s="32"/>
      <c r="ER428" s="32"/>
      <c r="ES428" s="32"/>
      <c r="ET428" s="32"/>
      <c r="EU428" s="32"/>
      <c r="EV428" s="32"/>
      <c r="EW428" s="32"/>
      <c r="EX428" s="32"/>
      <c r="EY428" s="32"/>
      <c r="EZ428" s="32"/>
      <c r="FA428" s="32"/>
      <c r="FB428" s="32"/>
      <c r="FC428" s="32"/>
      <c r="FD428" s="32"/>
      <c r="FE428" s="32"/>
      <c r="FF428" s="32"/>
      <c r="FG428" s="32"/>
      <c r="FH428" s="32"/>
      <c r="FI428" s="32"/>
      <c r="FJ428" s="32"/>
      <c r="FK428" s="32"/>
      <c r="FL428" s="32"/>
      <c r="FM428" s="47"/>
      <c r="FN428" s="47"/>
      <c r="FO428" s="47"/>
      <c r="FP428" s="47"/>
      <c r="FQ428" s="47"/>
      <c r="FR428" s="47"/>
      <c r="FS428" s="47"/>
      <c r="FT428" s="47"/>
      <c r="FU428" s="47"/>
      <c r="FV428" s="47"/>
      <c r="FW428" s="47"/>
      <c r="FX428" s="47"/>
      <c r="FY428" s="47"/>
      <c r="FZ428" s="47"/>
      <c r="GA428" s="47"/>
      <c r="GB428" s="47"/>
      <c r="GC428" s="47"/>
      <c r="GD428" s="47"/>
      <c r="GE428" s="47"/>
      <c r="GF428" s="47"/>
      <c r="GG428" s="48"/>
      <c r="GH428" s="48"/>
      <c r="GI428" s="48"/>
      <c r="GJ428" s="48"/>
      <c r="GK428" s="48"/>
      <c r="GL428" s="48"/>
      <c r="GM428" s="48"/>
      <c r="GN428" s="48"/>
      <c r="GO428" s="48"/>
      <c r="GP428" s="48"/>
      <c r="GQ428" s="48"/>
      <c r="GR428" s="48"/>
      <c r="GS428" s="48"/>
      <c r="GT428" s="48"/>
      <c r="GU428" s="48"/>
      <c r="GV428" s="48"/>
      <c r="GW428" s="48"/>
      <c r="GX428" s="48"/>
      <c r="GY428" s="48"/>
      <c r="GZ428" s="48"/>
      <c r="HA428" s="48"/>
      <c r="HB428" s="48"/>
      <c r="HC428" s="48"/>
      <c r="HD428" s="48"/>
      <c r="HE428" s="48"/>
    </row>
    <row r="429" spans="1:213" ht="22.8">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c r="CX429" s="32"/>
      <c r="CY429" s="32"/>
      <c r="CZ429" s="32"/>
      <c r="DA429" s="32"/>
      <c r="DB429" s="32"/>
      <c r="DC429" s="32"/>
      <c r="DD429" s="32"/>
      <c r="DE429" s="32"/>
      <c r="DF429" s="32"/>
      <c r="DG429" s="32"/>
      <c r="DH429" s="32"/>
      <c r="DI429" s="32"/>
      <c r="DJ429" s="32"/>
      <c r="DK429" s="32"/>
      <c r="DL429" s="32"/>
      <c r="DM429" s="32"/>
      <c r="DN429" s="32"/>
      <c r="DO429" s="32"/>
      <c r="DP429" s="32"/>
      <c r="DQ429" s="32"/>
      <c r="DR429" s="32"/>
      <c r="DS429" s="32"/>
      <c r="DT429" s="32"/>
      <c r="DU429" s="32"/>
      <c r="DV429" s="32"/>
      <c r="DW429" s="32"/>
      <c r="DX429" s="32"/>
      <c r="DY429" s="32"/>
      <c r="DZ429" s="32"/>
      <c r="EA429" s="32"/>
      <c r="EB429" s="32"/>
      <c r="EC429" s="32"/>
      <c r="ED429" s="32"/>
      <c r="EE429" s="32"/>
      <c r="EF429" s="32"/>
      <c r="EG429" s="32"/>
      <c r="EH429" s="32"/>
      <c r="EI429" s="32"/>
      <c r="EJ429" s="32"/>
      <c r="EK429" s="32"/>
      <c r="EL429" s="32"/>
      <c r="EM429" s="32"/>
      <c r="EN429" s="32"/>
      <c r="EO429" s="32"/>
      <c r="EP429" s="32"/>
      <c r="EQ429" s="32"/>
      <c r="ER429" s="32"/>
      <c r="ES429" s="32"/>
      <c r="ET429" s="32"/>
      <c r="EU429" s="32"/>
      <c r="EV429" s="32"/>
      <c r="EW429" s="32"/>
      <c r="EX429" s="32"/>
      <c r="EY429" s="32"/>
      <c r="EZ429" s="32"/>
      <c r="FA429" s="32"/>
      <c r="FB429" s="32"/>
      <c r="FC429" s="32"/>
      <c r="FD429" s="32"/>
      <c r="FE429" s="32"/>
      <c r="FF429" s="32"/>
      <c r="FG429" s="32"/>
      <c r="FH429" s="32"/>
      <c r="FI429" s="32"/>
      <c r="FJ429" s="32"/>
      <c r="FK429" s="32"/>
      <c r="FL429" s="32"/>
      <c r="FM429" s="47"/>
      <c r="FN429" s="47"/>
      <c r="FO429" s="47"/>
      <c r="FP429" s="47"/>
      <c r="FQ429" s="47"/>
      <c r="FR429" s="47"/>
      <c r="FS429" s="47"/>
      <c r="FT429" s="47"/>
      <c r="FU429" s="47"/>
      <c r="FV429" s="47"/>
      <c r="FW429" s="47"/>
      <c r="FX429" s="47"/>
      <c r="FY429" s="47"/>
      <c r="FZ429" s="47"/>
      <c r="GA429" s="47"/>
      <c r="GB429" s="47"/>
      <c r="GC429" s="47"/>
      <c r="GD429" s="47"/>
      <c r="GE429" s="47"/>
      <c r="GF429" s="47"/>
      <c r="GG429" s="48"/>
      <c r="GH429" s="48"/>
      <c r="GI429" s="48"/>
      <c r="GJ429" s="48"/>
      <c r="GK429" s="48"/>
      <c r="GL429" s="48"/>
      <c r="GM429" s="48"/>
      <c r="GN429" s="48"/>
      <c r="GO429" s="48"/>
      <c r="GP429" s="48"/>
      <c r="GQ429" s="48"/>
      <c r="GR429" s="48"/>
      <c r="GS429" s="48"/>
      <c r="GT429" s="48"/>
      <c r="GU429" s="48"/>
      <c r="GV429" s="48"/>
      <c r="GW429" s="48"/>
      <c r="GX429" s="48"/>
      <c r="GY429" s="48"/>
      <c r="GZ429" s="48"/>
      <c r="HA429" s="48"/>
      <c r="HB429" s="48"/>
      <c r="HC429" s="48"/>
      <c r="HD429" s="48"/>
      <c r="HE429" s="48"/>
    </row>
    <row r="430" spans="1:213" ht="22.8">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c r="CX430" s="32"/>
      <c r="CY430" s="32"/>
      <c r="CZ430" s="32"/>
      <c r="DA430" s="32"/>
      <c r="DB430" s="32"/>
      <c r="DC430" s="32"/>
      <c r="DD430" s="32"/>
      <c r="DE430" s="32"/>
      <c r="DF430" s="32"/>
      <c r="DG430" s="32"/>
      <c r="DH430" s="32"/>
      <c r="DI430" s="32"/>
      <c r="DJ430" s="32"/>
      <c r="DK430" s="32"/>
      <c r="DL430" s="32"/>
      <c r="DM430" s="32"/>
      <c r="DN430" s="32"/>
      <c r="DO430" s="32"/>
      <c r="DP430" s="32"/>
      <c r="DQ430" s="32"/>
      <c r="DR430" s="32"/>
      <c r="DS430" s="32"/>
      <c r="DT430" s="32"/>
      <c r="DU430" s="32"/>
      <c r="DV430" s="32"/>
      <c r="DW430" s="32"/>
      <c r="DX430" s="32"/>
      <c r="DY430" s="32"/>
      <c r="DZ430" s="32"/>
      <c r="EA430" s="32"/>
      <c r="EB430" s="32"/>
      <c r="EC430" s="32"/>
      <c r="ED430" s="32"/>
      <c r="EE430" s="32"/>
      <c r="EF430" s="32"/>
      <c r="EG430" s="32"/>
      <c r="EH430" s="32"/>
      <c r="EI430" s="32"/>
      <c r="EJ430" s="32"/>
      <c r="EK430" s="32"/>
      <c r="EL430" s="32"/>
      <c r="EM430" s="32"/>
      <c r="EN430" s="32"/>
      <c r="EO430" s="32"/>
      <c r="EP430" s="32"/>
      <c r="EQ430" s="32"/>
      <c r="ER430" s="32"/>
      <c r="ES430" s="32"/>
      <c r="ET430" s="32"/>
      <c r="EU430" s="32"/>
      <c r="EV430" s="32"/>
      <c r="EW430" s="32"/>
      <c r="EX430" s="32"/>
      <c r="EY430" s="32"/>
      <c r="EZ430" s="32"/>
      <c r="FA430" s="32"/>
      <c r="FB430" s="32"/>
      <c r="FC430" s="32"/>
      <c r="FD430" s="32"/>
      <c r="FE430" s="32"/>
      <c r="FF430" s="32"/>
      <c r="FG430" s="32"/>
      <c r="FH430" s="32"/>
      <c r="FI430" s="32"/>
      <c r="FJ430" s="32"/>
      <c r="FK430" s="32"/>
      <c r="FL430" s="32"/>
      <c r="FM430" s="47"/>
      <c r="FN430" s="47"/>
      <c r="FO430" s="47"/>
      <c r="FP430" s="47"/>
      <c r="FQ430" s="47"/>
      <c r="FR430" s="47"/>
      <c r="FS430" s="47"/>
      <c r="FT430" s="47"/>
      <c r="FU430" s="47"/>
      <c r="FV430" s="47"/>
      <c r="FW430" s="47"/>
      <c r="FX430" s="47"/>
      <c r="FY430" s="47"/>
      <c r="FZ430" s="47"/>
      <c r="GA430" s="47"/>
      <c r="GB430" s="47"/>
      <c r="GC430" s="47"/>
      <c r="GD430" s="47"/>
      <c r="GE430" s="47"/>
      <c r="GF430" s="47"/>
      <c r="GG430" s="48"/>
      <c r="GH430" s="48"/>
      <c r="GI430" s="48"/>
      <c r="GJ430" s="48"/>
      <c r="GK430" s="48"/>
      <c r="GL430" s="48"/>
      <c r="GM430" s="48"/>
      <c r="GN430" s="48"/>
      <c r="GO430" s="48"/>
      <c r="GP430" s="48"/>
      <c r="GQ430" s="48"/>
      <c r="GR430" s="48"/>
      <c r="GS430" s="48"/>
      <c r="GT430" s="48"/>
      <c r="GU430" s="48"/>
      <c r="GV430" s="48"/>
      <c r="GW430" s="48"/>
      <c r="GX430" s="48"/>
      <c r="GY430" s="48"/>
      <c r="GZ430" s="48"/>
      <c r="HA430" s="48"/>
      <c r="HB430" s="48"/>
      <c r="HC430" s="48"/>
      <c r="HD430" s="48"/>
      <c r="HE430" s="48"/>
    </row>
    <row r="431" spans="1:213" ht="22.8">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c r="CX431" s="32"/>
      <c r="CY431" s="32"/>
      <c r="CZ431" s="32"/>
      <c r="DA431" s="32"/>
      <c r="DB431" s="32"/>
      <c r="DC431" s="32"/>
      <c r="DD431" s="32"/>
      <c r="DE431" s="32"/>
      <c r="DF431" s="32"/>
      <c r="DG431" s="32"/>
      <c r="DH431" s="32"/>
      <c r="DI431" s="32"/>
      <c r="DJ431" s="32"/>
      <c r="DK431" s="32"/>
      <c r="DL431" s="32"/>
      <c r="DM431" s="32"/>
      <c r="DN431" s="32"/>
      <c r="DO431" s="32"/>
      <c r="DP431" s="32"/>
      <c r="DQ431" s="32"/>
      <c r="DR431" s="32"/>
      <c r="DS431" s="32"/>
      <c r="DT431" s="32"/>
      <c r="DU431" s="32"/>
      <c r="DV431" s="32"/>
      <c r="DW431" s="32"/>
      <c r="DX431" s="32"/>
      <c r="DY431" s="32"/>
      <c r="DZ431" s="32"/>
      <c r="EA431" s="32"/>
      <c r="EB431" s="32"/>
      <c r="EC431" s="32"/>
      <c r="ED431" s="32"/>
      <c r="EE431" s="32"/>
      <c r="EF431" s="32"/>
      <c r="EG431" s="32"/>
      <c r="EH431" s="32"/>
      <c r="EI431" s="32"/>
      <c r="EJ431" s="32"/>
      <c r="EK431" s="32"/>
      <c r="EL431" s="32"/>
      <c r="EM431" s="32"/>
      <c r="EN431" s="32"/>
      <c r="EO431" s="32"/>
      <c r="EP431" s="32"/>
      <c r="EQ431" s="32"/>
      <c r="ER431" s="32"/>
      <c r="ES431" s="32"/>
      <c r="ET431" s="32"/>
      <c r="EU431" s="32"/>
      <c r="EV431" s="32"/>
      <c r="EW431" s="32"/>
      <c r="EX431" s="32"/>
      <c r="EY431" s="32"/>
      <c r="EZ431" s="32"/>
      <c r="FA431" s="32"/>
      <c r="FB431" s="32"/>
      <c r="FC431" s="32"/>
      <c r="FD431" s="32"/>
      <c r="FE431" s="32"/>
      <c r="FF431" s="32"/>
      <c r="FG431" s="32"/>
      <c r="FH431" s="32"/>
      <c r="FI431" s="32"/>
      <c r="FJ431" s="32"/>
      <c r="FK431" s="32"/>
      <c r="FL431" s="32"/>
      <c r="FM431" s="47"/>
      <c r="FN431" s="47"/>
      <c r="FO431" s="47"/>
      <c r="FP431" s="47"/>
      <c r="FQ431" s="47"/>
      <c r="FR431" s="47"/>
      <c r="FS431" s="47"/>
      <c r="FT431" s="47"/>
      <c r="FU431" s="47"/>
      <c r="FV431" s="47"/>
      <c r="FW431" s="47"/>
      <c r="FX431" s="47"/>
      <c r="FY431" s="47"/>
      <c r="FZ431" s="47"/>
      <c r="GA431" s="47"/>
      <c r="GB431" s="47"/>
      <c r="GC431" s="47"/>
      <c r="GD431" s="47"/>
      <c r="GE431" s="47"/>
      <c r="GF431" s="47"/>
      <c r="GG431" s="48"/>
      <c r="GH431" s="48"/>
      <c r="GI431" s="48"/>
      <c r="GJ431" s="48"/>
      <c r="GK431" s="48"/>
      <c r="GL431" s="48"/>
      <c r="GM431" s="48"/>
      <c r="GN431" s="48"/>
      <c r="GO431" s="48"/>
      <c r="GP431" s="48"/>
      <c r="GQ431" s="48"/>
      <c r="GR431" s="48"/>
      <c r="GS431" s="48"/>
      <c r="GT431" s="48"/>
      <c r="GU431" s="48"/>
      <c r="GV431" s="48"/>
      <c r="GW431" s="48"/>
      <c r="GX431" s="48"/>
      <c r="GY431" s="48"/>
      <c r="GZ431" s="48"/>
      <c r="HA431" s="48"/>
      <c r="HB431" s="48"/>
      <c r="HC431" s="48"/>
      <c r="HD431" s="48"/>
      <c r="HE431" s="48"/>
    </row>
    <row r="432" spans="1:213" ht="22.8">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c r="CX432" s="32"/>
      <c r="CY432" s="32"/>
      <c r="CZ432" s="32"/>
      <c r="DA432" s="32"/>
      <c r="DB432" s="32"/>
      <c r="DC432" s="32"/>
      <c r="DD432" s="32"/>
      <c r="DE432" s="32"/>
      <c r="DF432" s="32"/>
      <c r="DG432" s="32"/>
      <c r="DH432" s="32"/>
      <c r="DI432" s="32"/>
      <c r="DJ432" s="32"/>
      <c r="DK432" s="32"/>
      <c r="DL432" s="32"/>
      <c r="DM432" s="32"/>
      <c r="DN432" s="32"/>
      <c r="DO432" s="32"/>
      <c r="DP432" s="32"/>
      <c r="DQ432" s="32"/>
      <c r="DR432" s="32"/>
      <c r="DS432" s="32"/>
      <c r="DT432" s="32"/>
      <c r="DU432" s="32"/>
      <c r="DV432" s="32"/>
      <c r="DW432" s="32"/>
      <c r="DX432" s="32"/>
      <c r="DY432" s="32"/>
      <c r="DZ432" s="32"/>
      <c r="EA432" s="32"/>
      <c r="EB432" s="32"/>
      <c r="EC432" s="32"/>
      <c r="ED432" s="32"/>
      <c r="EE432" s="32"/>
      <c r="EF432" s="32"/>
      <c r="EG432" s="32"/>
      <c r="EH432" s="32"/>
      <c r="EI432" s="32"/>
      <c r="EJ432" s="32"/>
      <c r="EK432" s="32"/>
      <c r="EL432" s="32"/>
      <c r="EM432" s="32"/>
      <c r="EN432" s="32"/>
      <c r="EO432" s="32"/>
      <c r="EP432" s="32"/>
      <c r="EQ432" s="32"/>
      <c r="ER432" s="32"/>
      <c r="ES432" s="32"/>
      <c r="ET432" s="32"/>
      <c r="EU432" s="32"/>
      <c r="EV432" s="32"/>
      <c r="EW432" s="32"/>
      <c r="EX432" s="32"/>
      <c r="EY432" s="32"/>
      <c r="EZ432" s="32"/>
      <c r="FA432" s="32"/>
      <c r="FB432" s="32"/>
      <c r="FC432" s="32"/>
      <c r="FD432" s="32"/>
      <c r="FE432" s="32"/>
      <c r="FF432" s="32"/>
      <c r="FG432" s="32"/>
      <c r="FH432" s="32"/>
      <c r="FI432" s="32"/>
      <c r="FJ432" s="32"/>
      <c r="FK432" s="32"/>
      <c r="FL432" s="32"/>
      <c r="FM432" s="47"/>
      <c r="FN432" s="47"/>
      <c r="FO432" s="47"/>
      <c r="FP432" s="47"/>
      <c r="FQ432" s="47"/>
      <c r="FR432" s="47"/>
      <c r="FS432" s="47"/>
      <c r="FT432" s="47"/>
      <c r="FU432" s="47"/>
      <c r="FV432" s="47"/>
      <c r="FW432" s="47"/>
      <c r="FX432" s="47"/>
      <c r="FY432" s="47"/>
      <c r="FZ432" s="47"/>
      <c r="GA432" s="47"/>
      <c r="GB432" s="47"/>
      <c r="GC432" s="47"/>
      <c r="GD432" s="47"/>
      <c r="GE432" s="47"/>
      <c r="GF432" s="47"/>
      <c r="GG432" s="48"/>
      <c r="GH432" s="48"/>
      <c r="GI432" s="48"/>
      <c r="GJ432" s="48"/>
      <c r="GK432" s="48"/>
      <c r="GL432" s="48"/>
      <c r="GM432" s="48"/>
      <c r="GN432" s="48"/>
      <c r="GO432" s="48"/>
      <c r="GP432" s="48"/>
      <c r="GQ432" s="48"/>
      <c r="GR432" s="48"/>
      <c r="GS432" s="48"/>
      <c r="GT432" s="48"/>
      <c r="GU432" s="48"/>
      <c r="GV432" s="48"/>
      <c r="GW432" s="48"/>
      <c r="GX432" s="48"/>
      <c r="GY432" s="48"/>
      <c r="GZ432" s="48"/>
      <c r="HA432" s="48"/>
      <c r="HB432" s="48"/>
      <c r="HC432" s="48"/>
      <c r="HD432" s="48"/>
      <c r="HE432" s="48"/>
    </row>
    <row r="433" spans="1:213" ht="22.8">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c r="CX433" s="32"/>
      <c r="CY433" s="32"/>
      <c r="CZ433" s="32"/>
      <c r="DA433" s="32"/>
      <c r="DB433" s="32"/>
      <c r="DC433" s="32"/>
      <c r="DD433" s="32"/>
      <c r="DE433" s="32"/>
      <c r="DF433" s="32"/>
      <c r="DG433" s="32"/>
      <c r="DH433" s="32"/>
      <c r="DI433" s="32"/>
      <c r="DJ433" s="32"/>
      <c r="DK433" s="32"/>
      <c r="DL433" s="32"/>
      <c r="DM433" s="32"/>
      <c r="DN433" s="32"/>
      <c r="DO433" s="32"/>
      <c r="DP433" s="32"/>
      <c r="DQ433" s="32"/>
      <c r="DR433" s="32"/>
      <c r="DS433" s="32"/>
      <c r="DT433" s="32"/>
      <c r="DU433" s="32"/>
      <c r="DV433" s="32"/>
      <c r="DW433" s="32"/>
      <c r="DX433" s="32"/>
      <c r="DY433" s="32"/>
      <c r="DZ433" s="32"/>
      <c r="EA433" s="32"/>
      <c r="EB433" s="32"/>
      <c r="EC433" s="32"/>
      <c r="ED433" s="32"/>
      <c r="EE433" s="32"/>
      <c r="EF433" s="32"/>
      <c r="EG433" s="32"/>
      <c r="EH433" s="32"/>
      <c r="EI433" s="32"/>
      <c r="EJ433" s="32"/>
      <c r="EK433" s="32"/>
      <c r="EL433" s="32"/>
      <c r="EM433" s="32"/>
      <c r="EN433" s="32"/>
      <c r="EO433" s="32"/>
      <c r="EP433" s="32"/>
      <c r="EQ433" s="32"/>
      <c r="ER433" s="32"/>
      <c r="ES433" s="32"/>
      <c r="ET433" s="32"/>
      <c r="EU433" s="32"/>
      <c r="EV433" s="32"/>
      <c r="EW433" s="32"/>
      <c r="EX433" s="32"/>
      <c r="EY433" s="32"/>
      <c r="EZ433" s="32"/>
      <c r="FA433" s="32"/>
      <c r="FB433" s="32"/>
      <c r="FC433" s="32"/>
      <c r="FD433" s="32"/>
      <c r="FE433" s="32"/>
      <c r="FF433" s="32"/>
      <c r="FG433" s="32"/>
      <c r="FH433" s="32"/>
      <c r="FI433" s="32"/>
      <c r="FJ433" s="32"/>
      <c r="FK433" s="32"/>
      <c r="FL433" s="32"/>
      <c r="FM433" s="47"/>
      <c r="FN433" s="47"/>
      <c r="FO433" s="47"/>
      <c r="FP433" s="47"/>
      <c r="FQ433" s="47"/>
      <c r="FR433" s="47"/>
      <c r="FS433" s="47"/>
      <c r="FT433" s="47"/>
      <c r="FU433" s="47"/>
      <c r="FV433" s="47"/>
      <c r="FW433" s="47"/>
      <c r="FX433" s="47"/>
      <c r="FY433" s="47"/>
      <c r="FZ433" s="47"/>
      <c r="GA433" s="47"/>
      <c r="GB433" s="47"/>
      <c r="GC433" s="47"/>
      <c r="GD433" s="47"/>
      <c r="GE433" s="47"/>
      <c r="GF433" s="47"/>
      <c r="GG433" s="48"/>
      <c r="GH433" s="48"/>
      <c r="GI433" s="48"/>
      <c r="GJ433" s="48"/>
      <c r="GK433" s="48"/>
      <c r="GL433" s="48"/>
      <c r="GM433" s="48"/>
      <c r="GN433" s="48"/>
      <c r="GO433" s="48"/>
      <c r="GP433" s="48"/>
      <c r="GQ433" s="48"/>
      <c r="GR433" s="48"/>
      <c r="GS433" s="48"/>
      <c r="GT433" s="48"/>
      <c r="GU433" s="48"/>
      <c r="GV433" s="48"/>
      <c r="GW433" s="48"/>
      <c r="GX433" s="48"/>
      <c r="GY433" s="48"/>
      <c r="GZ433" s="48"/>
      <c r="HA433" s="48"/>
      <c r="HB433" s="48"/>
      <c r="HC433" s="48"/>
      <c r="HD433" s="48"/>
      <c r="HE433" s="48"/>
    </row>
  </sheetData>
  <sheetProtection password="C484" sheet="1" objects="1" scenarios="1"/>
  <mergeCells count="84">
    <mergeCell ref="D105:FL116"/>
    <mergeCell ref="F277:AA278"/>
    <mergeCell ref="DN277:EI278"/>
    <mergeCell ref="DN268:DX276"/>
    <mergeCell ref="DY274:EI276"/>
    <mergeCell ref="DN267:DX267"/>
    <mergeCell ref="CL268:CV269"/>
    <mergeCell ref="DY273:EI273"/>
    <mergeCell ref="CW274:DG274"/>
    <mergeCell ref="CL277:DG278"/>
    <mergeCell ref="CW275:DG276"/>
    <mergeCell ref="CL270:CV276"/>
    <mergeCell ref="DG250:DX250"/>
    <mergeCell ref="DH251:DW251"/>
    <mergeCell ref="AX212:BO212"/>
    <mergeCell ref="DF145:DJ145"/>
    <mergeCell ref="DY338:EF338"/>
    <mergeCell ref="DG252:DX252"/>
    <mergeCell ref="DY336:EF336"/>
    <mergeCell ref="BR365:CG365"/>
    <mergeCell ref="BQ364:CH364"/>
    <mergeCell ref="DZ337:EE337"/>
    <mergeCell ref="AF260:FB264"/>
    <mergeCell ref="AH277:BC278"/>
    <mergeCell ref="AS276:BC276"/>
    <mergeCell ref="AH273:AR276"/>
    <mergeCell ref="BJ277:CE278"/>
    <mergeCell ref="H265:CJ268"/>
    <mergeCell ref="FA272:FK272"/>
    <mergeCell ref="EP277:FK278"/>
    <mergeCell ref="EP267:EZ276"/>
    <mergeCell ref="FA273:FK276"/>
    <mergeCell ref="DE146:DK146"/>
    <mergeCell ref="G166:DR166"/>
    <mergeCell ref="F165:DS165"/>
    <mergeCell ref="AX203:BO203"/>
    <mergeCell ref="AX205:BO205"/>
    <mergeCell ref="AY204:BN204"/>
    <mergeCell ref="F167:DS167"/>
    <mergeCell ref="BQ366:CH366"/>
    <mergeCell ref="Q336:CC336"/>
    <mergeCell ref="Q338:CC338"/>
    <mergeCell ref="R337:CB337"/>
    <mergeCell ref="AY213:BN213"/>
    <mergeCell ref="AX214:BO214"/>
    <mergeCell ref="J323:BL323"/>
    <mergeCell ref="I322:BM322"/>
    <mergeCell ref="I324:BM324"/>
    <mergeCell ref="W261:AC261"/>
    <mergeCell ref="X262:AB262"/>
    <mergeCell ref="W263:AC263"/>
    <mergeCell ref="BU276:CE276"/>
    <mergeCell ref="BU275:CE275"/>
    <mergeCell ref="BJ273:BT276"/>
    <mergeCell ref="BJ270:BT272"/>
    <mergeCell ref="EO3:FL3"/>
    <mergeCell ref="BD40:BR40"/>
    <mergeCell ref="BC41:BS41"/>
    <mergeCell ref="AX87:BG88"/>
    <mergeCell ref="DE144:DK144"/>
    <mergeCell ref="EO4:FK4"/>
    <mergeCell ref="EO5:FL5"/>
    <mergeCell ref="S20:DT20"/>
    <mergeCell ref="S22:DT22"/>
    <mergeCell ref="BC32:BS32"/>
    <mergeCell ref="BD33:BR33"/>
    <mergeCell ref="T21:DS21"/>
    <mergeCell ref="BC34:BS34"/>
    <mergeCell ref="BC39:BS39"/>
    <mergeCell ref="D71:FA80"/>
    <mergeCell ref="AF121:FB125"/>
    <mergeCell ref="ED129:EU134"/>
    <mergeCell ref="BX127:CO128"/>
    <mergeCell ref="DA127:DR128"/>
    <mergeCell ref="W122:AC122"/>
    <mergeCell ref="X123:AB123"/>
    <mergeCell ref="W124:AC124"/>
    <mergeCell ref="R134:AI134"/>
    <mergeCell ref="BX131:CO134"/>
    <mergeCell ref="DA129:DR130"/>
    <mergeCell ref="DA131:DR132"/>
    <mergeCell ref="DA133:DR134"/>
    <mergeCell ref="AU129:BL134"/>
    <mergeCell ref="BX129:CO130"/>
  </mergeCells>
  <conditionalFormatting sqref="FL375:FM386">
    <cfRule type="cellIs" dxfId="195" priority="762" stopIfTrue="1" operator="equal">
      <formula>"."</formula>
    </cfRule>
  </conditionalFormatting>
  <conditionalFormatting sqref="FN260:FO263 FM121:FO124">
    <cfRule type="cellIs" dxfId="194" priority="537" stopIfTrue="1" operator="equal">
      <formula>","</formula>
    </cfRule>
    <cfRule type="cellIs" dxfId="193" priority="538" stopIfTrue="1" operator="equal">
      <formula>"*"</formula>
    </cfRule>
    <cfRule type="cellIs" dxfId="192" priority="539" stopIfTrue="1" operator="equal">
      <formula>"'"</formula>
    </cfRule>
    <cfRule type="cellIs" dxfId="191" priority="540" stopIfTrue="1" operator="equal">
      <formula>"+"</formula>
    </cfRule>
    <cfRule type="cellIs" dxfId="190" priority="541" stopIfTrue="1" operator="equal">
      <formula>"^"</formula>
    </cfRule>
    <cfRule type="cellIs" dxfId="189" priority="542" stopIfTrue="1" operator="equal">
      <formula>"~"</formula>
    </cfRule>
    <cfRule type="cellIs" dxfId="188" priority="543" stopIfTrue="1" operator="equal">
      <formula>":"</formula>
    </cfRule>
    <cfRule type="cellIs" dxfId="187" priority="544" stopIfTrue="1" operator="equal">
      <formula>"."</formula>
    </cfRule>
    <cfRule type="cellIs" dxfId="186" priority="545" stopIfTrue="1" operator="equal">
      <formula>"`"</formula>
    </cfRule>
    <cfRule type="cellIs" dxfId="185" priority="546" stopIfTrue="1" operator="equal">
      <formula>";"</formula>
    </cfRule>
  </conditionalFormatting>
  <conditionalFormatting sqref="BX127:CO128 AU129:BL134">
    <cfRule type="cellIs" dxfId="184" priority="280" operator="notEqual">
      <formula>""</formula>
    </cfRule>
  </conditionalFormatting>
  <conditionalFormatting sqref="DA127:DR128 ED129:EU134">
    <cfRule type="cellIs" dxfId="183" priority="255" operator="notEqual">
      <formula>""</formula>
    </cfRule>
  </conditionalFormatting>
  <conditionalFormatting sqref="BJ273:BT276 BX129:CO134">
    <cfRule type="cellIs" dxfId="182" priority="151" operator="notEqual">
      <formula>""</formula>
    </cfRule>
  </conditionalFormatting>
  <conditionalFormatting sqref="CL270:CV276 DN268:DX276 EP267:EZ276 DA129:DR134">
    <cfRule type="cellIs" dxfId="181" priority="150" operator="notEqual">
      <formula>""</formula>
    </cfRule>
  </conditionalFormatting>
  <conditionalFormatting sqref="CL277:DG278 DN277:EI278 F277:AA278 AH277:BC278 BJ277:CE278 EP277:FK278">
    <cfRule type="cellIs" dxfId="180" priority="99" operator="notEqual">
      <formula>""</formula>
    </cfRule>
  </conditionalFormatting>
  <conditionalFormatting sqref="FA272:FK272 CW274:DG274 DY273:EI273 AS276:BC276 BU275:CE275">
    <cfRule type="cellIs" dxfId="179" priority="97" operator="notEqual">
      <formula>""</formula>
    </cfRule>
  </conditionalFormatting>
  <conditionalFormatting sqref="CL268:CV269 AH273:AR276 BJ270:BT272 DN267:DX267">
    <cfRule type="cellIs" dxfId="178" priority="96" operator="notEqual">
      <formula>""</formula>
    </cfRule>
  </conditionalFormatting>
  <conditionalFormatting sqref="FA273:FK276 CW275:DG276 DY274:EI276">
    <cfRule type="cellIs" dxfId="177" priority="94" operator="notEqual">
      <formula>""</formula>
    </cfRule>
  </conditionalFormatting>
  <conditionalFormatting sqref="BU276:CE276">
    <cfRule type="cellIs" dxfId="176" priority="70" operator="notEqual">
      <formula>""</formula>
    </cfRule>
  </conditionalFormatting>
  <conditionalFormatting sqref="FM260:FM263">
    <cfRule type="cellIs" dxfId="175" priority="21" stopIfTrue="1" operator="equal">
      <formula>","</formula>
    </cfRule>
    <cfRule type="cellIs" dxfId="174" priority="22" stopIfTrue="1" operator="equal">
      <formula>"*"</formula>
    </cfRule>
    <cfRule type="cellIs" dxfId="173" priority="23" stopIfTrue="1" operator="equal">
      <formula>"'"</formula>
    </cfRule>
    <cfRule type="cellIs" dxfId="172" priority="24" stopIfTrue="1" operator="equal">
      <formula>"+"</formula>
    </cfRule>
    <cfRule type="cellIs" dxfId="171" priority="25" stopIfTrue="1" operator="equal">
      <formula>"^"</formula>
    </cfRule>
    <cfRule type="cellIs" dxfId="170" priority="26" stopIfTrue="1" operator="equal">
      <formula>"~"</formula>
    </cfRule>
    <cfRule type="cellIs" dxfId="169" priority="27" stopIfTrue="1" operator="equal">
      <formula>":"</formula>
    </cfRule>
    <cfRule type="cellIs" dxfId="168" priority="28" stopIfTrue="1" operator="equal">
      <formula>"."</formula>
    </cfRule>
    <cfRule type="cellIs" dxfId="167" priority="29" stopIfTrue="1" operator="equal">
      <formula>"`"</formula>
    </cfRule>
    <cfRule type="cellIs" dxfId="166" priority="30" stopIfTrue="1" operator="equal">
      <formula>";"</formula>
    </cfRule>
  </conditionalFormatting>
  <conditionalFormatting sqref="D11:FL374">
    <cfRule type="cellIs" dxfId="165" priority="753" stopIfTrue="1" operator="equal">
      <formula>"!"</formula>
    </cfRule>
    <cfRule type="cellIs" dxfId="164" priority="752" stopIfTrue="1" operator="equal">
      <formula>"^"</formula>
    </cfRule>
    <cfRule type="cellIs" dxfId="163" priority="556" stopIfTrue="1" operator="equal">
      <formula>"+"</formula>
    </cfRule>
    <cfRule type="cellIs" dxfId="162" priority="555" stopIfTrue="1" operator="equal">
      <formula>"."</formula>
    </cfRule>
    <cfRule type="cellIs" dxfId="161" priority="554" stopIfTrue="1" operator="equal">
      <formula>","</formula>
    </cfRule>
    <cfRule type="cellIs" dxfId="160" priority="553" stopIfTrue="1" operator="equal">
      <formula>"&gt;"</formula>
    </cfRule>
    <cfRule type="cellIs" dxfId="159" priority="552" stopIfTrue="1" operator="equal">
      <formula>"`"</formula>
    </cfRule>
    <cfRule type="cellIs" dxfId="158" priority="551" stopIfTrue="1" operator="equal">
      <formula>":"</formula>
    </cfRule>
    <cfRule type="cellIs" dxfId="157" priority="550" stopIfTrue="1" operator="equal">
      <formula>"-"</formula>
    </cfRule>
    <cfRule type="cellIs" dxfId="156" priority="549" stopIfTrue="1" operator="equal">
      <formula>";"</formula>
    </cfRule>
    <cfRule type="cellIs" dxfId="155" priority="548" stopIfTrue="1" operator="equal">
      <formula>"~"</formula>
    </cfRule>
    <cfRule type="cellIs" dxfId="154" priority="547" stopIfTrue="1" operator="equal">
      <formula>"&lt;"</formula>
    </cfRule>
  </conditionalFormatting>
  <dataValidations count="13">
    <dataValidation type="whole" allowBlank="1" showInputMessage="1" showErrorMessage="1" sqref="BX372:CG372">
      <formula1>1</formula1>
      <formula2>10000</formula2>
    </dataValidation>
    <dataValidation type="list" allowBlank="1" showInputMessage="1" showErrorMessage="1" sqref="BR365:CG365">
      <formula1>$FP$365:$FR$365</formula1>
    </dataValidation>
    <dataValidation type="list" allowBlank="1" showInputMessage="1" showErrorMessage="1" sqref="DZ337:EE337">
      <formula1>$FS$337:$FW$337</formula1>
    </dataValidation>
    <dataValidation type="list" allowBlank="1" showInputMessage="1" showErrorMessage="1" sqref="R337:CB337">
      <formula1>$FP$337:$FQ$337</formula1>
    </dataValidation>
    <dataValidation type="list" allowBlank="1" showInputMessage="1" showErrorMessage="1" sqref="J323:BL323">
      <formula1>$FQ$323:$FS$323</formula1>
    </dataValidation>
    <dataValidation type="list" allowBlank="1" showInputMessage="1" showErrorMessage="1" sqref="DH251:DW251">
      <formula1>$FP$251:$FR$251</formula1>
    </dataValidation>
    <dataValidation type="list" allowBlank="1" showInputMessage="1" showErrorMessage="1" sqref="G166">
      <formula1>$FP$166:$FS$166</formula1>
    </dataValidation>
    <dataValidation type="list" allowBlank="1" showInputMessage="1" showErrorMessage="1" sqref="DF145:DJ145">
      <formula1>$FP$145:$FR$145</formula1>
    </dataValidation>
    <dataValidation type="list" allowBlank="1" showInputMessage="1" showErrorMessage="1" sqref="AY204:BN204">
      <formula1>$FR$204:$FT$204</formula1>
    </dataValidation>
    <dataValidation type="list" allowBlank="1" showInputMessage="1" showErrorMessage="1" sqref="X262:AB262">
      <formula1>$FQ$262:$FV$262</formula1>
    </dataValidation>
    <dataValidation type="list" allowBlank="1" showInputMessage="1" showErrorMessage="1" sqref="X123:AB123">
      <formula1>$FQ$123:$FU$123</formula1>
    </dataValidation>
    <dataValidation type="list" allowBlank="1" showInputMessage="1" showErrorMessage="1" sqref="T21:DS21">
      <formula1>$FQ$21:$FW$21</formula1>
    </dataValidation>
    <dataValidation type="list" allowBlank="1" showInputMessage="1" showErrorMessage="1" sqref="B33 B40 B213">
      <formula1>$FM$1</formula1>
    </dataValidation>
  </dataValidations>
  <pageMargins left="0.75" right="0.75" top="1" bottom="1" header="0.5" footer="0.5"/>
  <pageSetup paperSize="9" scale="70" orientation="portrait" horizontalDpi="200" verticalDpi="200" r:id="rId1"/>
  <headerFooter alignWithMargins="0">
    <oddFooter>&amp;C- &amp;P -</oddFooter>
  </headerFooter>
  <drawing r:id="rId2"/>
</worksheet>
</file>

<file path=xl/worksheets/sheet5.xml><?xml version="1.0" encoding="utf-8"?>
<worksheet xmlns="http://schemas.openxmlformats.org/spreadsheetml/2006/main" xmlns:r="http://schemas.openxmlformats.org/officeDocument/2006/relationships">
  <dimension ref="A1:HT613"/>
  <sheetViews>
    <sheetView showGridLines="0" zoomScaleNormal="100" workbookViewId="0">
      <selection activeCell="B1" sqref="B1"/>
    </sheetView>
  </sheetViews>
  <sheetFormatPr defaultRowHeight="13.2"/>
  <cols>
    <col min="1" max="1" width="0.6640625" customWidth="1"/>
    <col min="2" max="2" width="3.33203125" customWidth="1"/>
    <col min="3" max="167" width="0.6640625" customWidth="1"/>
    <col min="168" max="168" width="14.6640625" customWidth="1"/>
    <col min="169" max="170" width="6.109375" hidden="1" customWidth="1"/>
    <col min="171" max="171" width="7.44140625" hidden="1" customWidth="1"/>
    <col min="172" max="172" width="5.88671875" hidden="1" customWidth="1"/>
    <col min="173" max="173" width="6.6640625" hidden="1" customWidth="1"/>
    <col min="174" max="174" width="12.44140625" hidden="1" customWidth="1"/>
    <col min="175" max="175" width="10.88671875" hidden="1" customWidth="1"/>
    <col min="176" max="176" width="10.33203125" hidden="1" customWidth="1"/>
    <col min="177" max="177" width="10.6640625" hidden="1" customWidth="1"/>
    <col min="178" max="178" width="10" hidden="1" customWidth="1"/>
    <col min="179" max="180" width="9.109375" hidden="1" customWidth="1"/>
    <col min="181" max="182" width="9.109375" customWidth="1"/>
    <col min="183" max="183" width="16.44140625" customWidth="1"/>
    <col min="184" max="184" width="14" bestFit="1" customWidth="1"/>
    <col min="185" max="186" width="17" bestFit="1" customWidth="1"/>
    <col min="187" max="187" width="10" customWidth="1"/>
    <col min="188" max="188" width="11.44140625" customWidth="1"/>
    <col min="189" max="189" width="14.109375" bestFit="1" customWidth="1"/>
    <col min="190" max="190" width="12.6640625" bestFit="1" customWidth="1"/>
    <col min="191" max="192" width="14.88671875" bestFit="1" customWidth="1"/>
    <col min="193" max="193" width="20.44140625" bestFit="1" customWidth="1"/>
    <col min="194" max="194" width="16.5546875" bestFit="1" customWidth="1"/>
    <col min="195" max="195" width="14.88671875" bestFit="1" customWidth="1"/>
    <col min="196" max="196" width="9.88671875" customWidth="1"/>
    <col min="197" max="197" width="12.88671875" bestFit="1" customWidth="1"/>
    <col min="198" max="199" width="16.6640625" bestFit="1" customWidth="1"/>
    <col min="200" max="200" width="14.88671875" bestFit="1" customWidth="1"/>
    <col min="201" max="201" width="20.5546875" bestFit="1" customWidth="1"/>
    <col min="202" max="202" width="10" customWidth="1"/>
    <col min="203" max="203" width="14.88671875" bestFit="1" customWidth="1"/>
    <col min="204" max="207" width="9.33203125" bestFit="1" customWidth="1"/>
    <col min="208" max="210" width="16.44140625" bestFit="1" customWidth="1"/>
    <col min="211" max="211" width="11.109375" customWidth="1"/>
    <col min="212" max="212" width="18" bestFit="1" customWidth="1"/>
    <col min="213" max="214" width="9.44140625" bestFit="1" customWidth="1"/>
    <col min="215" max="215" width="14.6640625" bestFit="1" customWidth="1"/>
    <col min="216" max="216" width="9.44140625" bestFit="1" customWidth="1"/>
  </cols>
  <sheetData>
    <row r="1" spans="1:228" ht="24" customHeight="1">
      <c r="A1" s="1"/>
      <c r="B1" s="6"/>
      <c r="C1" s="4"/>
      <c r="D1" s="7" t="str">
        <f ca="1">IF(TODAY()&gt;=Blad1!$A$1,"Uw licentie is verlopen.","")</f>
        <v/>
      </c>
      <c r="E1" s="7"/>
      <c r="F1" s="7"/>
      <c r="G1" s="7"/>
      <c r="H1" s="7"/>
      <c r="I1" s="7"/>
      <c r="J1" s="7"/>
      <c r="K1" s="33"/>
      <c r="L1" s="33"/>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8"/>
      <c r="FL1" s="8"/>
      <c r="FM1" s="48" t="str">
        <f>IF(programma!$A$301="uitwerking","X","")</f>
        <v>X</v>
      </c>
      <c r="FN1" s="47">
        <f>programma!Q3</f>
        <v>1</v>
      </c>
      <c r="FO1" s="48">
        <f ca="1">IF(TODAY()&gt;=Blad1!A1,0,IF(AND(programma!E5="docentversie",programma!A300&lt;&gt;"goltsteindocentversie"),0,1))</f>
        <v>1</v>
      </c>
      <c r="FP1" s="48">
        <f ca="1">IF(programma!B1="X",1,IF(TODAY()&gt;=Blad1!$A$1,0,IF(OR(programma!Q3="",programma!N10="",programma!N12=""),0,1)))</f>
        <v>0</v>
      </c>
      <c r="FQ1" s="47"/>
      <c r="FR1" s="47"/>
      <c r="FS1" s="47"/>
      <c r="FT1" s="47"/>
      <c r="FU1" s="47"/>
      <c r="FV1" s="47"/>
      <c r="FW1" s="47"/>
      <c r="FX1" s="47"/>
      <c r="FY1" s="47"/>
      <c r="FZ1" s="47"/>
      <c r="GA1" s="49"/>
      <c r="GB1" s="49"/>
      <c r="GC1" s="49"/>
      <c r="GD1" s="49"/>
      <c r="GE1" s="49"/>
      <c r="GF1" s="49"/>
      <c r="GG1" s="49"/>
      <c r="GH1" s="49"/>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row>
    <row r="2" spans="1:228" ht="5.25" customHeight="1">
      <c r="A2" s="1"/>
      <c r="B2" s="1"/>
      <c r="C2" s="1"/>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47"/>
      <c r="FN2" s="47"/>
      <c r="FO2" s="47"/>
      <c r="FP2" s="47"/>
      <c r="FQ2" s="47"/>
      <c r="FR2" s="47"/>
      <c r="FS2" s="47"/>
      <c r="FT2" s="47"/>
      <c r="FU2" s="47"/>
      <c r="FV2" s="47"/>
      <c r="FW2" s="47"/>
      <c r="FX2" s="47"/>
      <c r="FY2" s="47"/>
      <c r="FZ2" s="47"/>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13"/>
      <c r="HO2" s="13"/>
      <c r="HP2" s="13"/>
      <c r="HQ2" s="13"/>
      <c r="HR2" s="13"/>
      <c r="HS2" s="13"/>
      <c r="HT2" s="13"/>
    </row>
    <row r="3" spans="1:228" ht="20.25" customHeight="1">
      <c r="A3" s="1"/>
      <c r="B3" s="1"/>
      <c r="C3" s="1"/>
      <c r="D3" s="8" t="str">
        <f ca="1">IF(TODAY()&gt;=Blad1!$A$1,"Neem contact op met goltstein@hotmail.com",programma!E3)</f>
        <v>Module: Resultaat bij prijszetting</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7"/>
      <c r="BS3" s="7"/>
      <c r="BT3" s="7"/>
      <c r="BU3" s="7"/>
      <c r="BV3" s="7"/>
      <c r="BW3" s="7"/>
      <c r="BX3" s="7"/>
      <c r="BY3" s="7"/>
      <c r="BZ3" s="7"/>
      <c r="CA3" s="7"/>
      <c r="CB3" s="7"/>
      <c r="CC3" s="7"/>
      <c r="CD3" s="7"/>
      <c r="CE3" s="7"/>
      <c r="CF3" s="7"/>
      <c r="CG3" s="7"/>
      <c r="CH3" s="7"/>
      <c r="CI3" s="7"/>
      <c r="CJ3" s="7"/>
      <c r="CK3" s="7"/>
      <c r="CL3" s="7"/>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614" t="str">
        <f>"versienummer: "&amp;programma!Q3&amp;" "</f>
        <v xml:space="preserve">versienummer: 1 </v>
      </c>
      <c r="EP3" s="530"/>
      <c r="EQ3" s="530"/>
      <c r="ER3" s="530"/>
      <c r="ES3" s="530"/>
      <c r="ET3" s="530"/>
      <c r="EU3" s="530"/>
      <c r="EV3" s="530"/>
      <c r="EW3" s="530"/>
      <c r="EX3" s="530"/>
      <c r="EY3" s="530"/>
      <c r="EZ3" s="530"/>
      <c r="FA3" s="530"/>
      <c r="FB3" s="530"/>
      <c r="FC3" s="530"/>
      <c r="FD3" s="530"/>
      <c r="FE3" s="530"/>
      <c r="FF3" s="530"/>
      <c r="FG3" s="530"/>
      <c r="FH3" s="530"/>
      <c r="FI3" s="530"/>
      <c r="FJ3" s="530"/>
      <c r="FK3" s="530"/>
      <c r="FL3" s="530"/>
      <c r="FM3" s="47"/>
      <c r="FN3" s="47"/>
      <c r="FO3" s="47"/>
      <c r="FP3" s="47"/>
      <c r="FQ3" s="47"/>
      <c r="FR3" s="47"/>
      <c r="FS3" s="47"/>
      <c r="FT3" s="47"/>
      <c r="FU3" s="47"/>
      <c r="FV3" s="47"/>
      <c r="FW3" s="47"/>
      <c r="FX3" s="47"/>
      <c r="FY3" s="47"/>
      <c r="FZ3" s="47"/>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row>
    <row r="4" spans="1:228" ht="16.5" customHeight="1">
      <c r="A4" s="1"/>
      <c r="B4" s="1"/>
      <c r="C4" s="1"/>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7"/>
      <c r="BS4" s="7"/>
      <c r="BT4" s="7"/>
      <c r="BU4" s="7"/>
      <c r="BV4" s="7"/>
      <c r="BW4" s="7"/>
      <c r="BX4" s="7"/>
      <c r="BY4" s="7"/>
      <c r="BZ4" s="7"/>
      <c r="CA4" s="7"/>
      <c r="CB4" s="7"/>
      <c r="CC4" s="7"/>
      <c r="CD4" s="7"/>
      <c r="CE4" s="7"/>
      <c r="CF4" s="7"/>
      <c r="CG4" s="7"/>
      <c r="CH4" s="7"/>
      <c r="CI4" s="7"/>
      <c r="CJ4" s="7"/>
      <c r="CK4" s="7"/>
      <c r="CL4" s="7"/>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616"/>
      <c r="EP4" s="645"/>
      <c r="EQ4" s="645"/>
      <c r="ER4" s="645"/>
      <c r="ES4" s="645"/>
      <c r="ET4" s="645"/>
      <c r="EU4" s="645"/>
      <c r="EV4" s="645"/>
      <c r="EW4" s="645"/>
      <c r="EX4" s="645"/>
      <c r="EY4" s="645"/>
      <c r="EZ4" s="645"/>
      <c r="FA4" s="645"/>
      <c r="FB4" s="645"/>
      <c r="FC4" s="645"/>
      <c r="FD4" s="645"/>
      <c r="FE4" s="645"/>
      <c r="FF4" s="645"/>
      <c r="FG4" s="645"/>
      <c r="FH4" s="645"/>
      <c r="FI4" s="645"/>
      <c r="FJ4" s="645"/>
      <c r="FK4" s="645"/>
      <c r="FL4" s="7"/>
      <c r="FM4" s="47"/>
      <c r="FN4" s="47"/>
      <c r="FO4" s="47"/>
      <c r="FP4" s="47"/>
      <c r="FQ4" s="47"/>
      <c r="FR4" s="47"/>
      <c r="FS4" s="47"/>
      <c r="FT4" s="47"/>
      <c r="FU4" s="47"/>
      <c r="FV4" s="47"/>
      <c r="FW4" s="47"/>
      <c r="FX4" s="47"/>
      <c r="FY4" s="47"/>
      <c r="FZ4" s="47"/>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row>
    <row r="5" spans="1:228" ht="19.5" customHeight="1">
      <c r="A5" s="1"/>
      <c r="B5" s="1"/>
      <c r="C5" s="1"/>
      <c r="D5" s="34" t="str">
        <f>" Naam leerling: "&amp; programma!N10</f>
        <v xml:space="preserve"> Naam leerling: </v>
      </c>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7"/>
      <c r="BS5" s="7"/>
      <c r="BT5" s="7"/>
      <c r="BU5" s="7"/>
      <c r="BV5" s="7"/>
      <c r="BW5" s="7"/>
      <c r="BX5" s="7"/>
      <c r="BY5" s="7"/>
      <c r="BZ5" s="7"/>
      <c r="CA5" s="7"/>
      <c r="CB5" s="7"/>
      <c r="CC5" s="7"/>
      <c r="CD5" s="7"/>
      <c r="CE5" s="7"/>
      <c r="CF5" s="7"/>
      <c r="CG5" s="7"/>
      <c r="CH5" s="7"/>
      <c r="CI5" s="7"/>
      <c r="CJ5" s="7"/>
      <c r="CK5" s="7"/>
      <c r="CL5" s="7"/>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534" t="str">
        <f>programma!S5</f>
        <v>© 2021, Goltstein</v>
      </c>
      <c r="EP5" s="532"/>
      <c r="EQ5" s="532"/>
      <c r="ER5" s="532"/>
      <c r="ES5" s="532"/>
      <c r="ET5" s="532"/>
      <c r="EU5" s="532"/>
      <c r="EV5" s="532"/>
      <c r="EW5" s="532"/>
      <c r="EX5" s="532"/>
      <c r="EY5" s="532"/>
      <c r="EZ5" s="532"/>
      <c r="FA5" s="532"/>
      <c r="FB5" s="532"/>
      <c r="FC5" s="532"/>
      <c r="FD5" s="532"/>
      <c r="FE5" s="532"/>
      <c r="FF5" s="532"/>
      <c r="FG5" s="532"/>
      <c r="FH5" s="532"/>
      <c r="FI5" s="532"/>
      <c r="FJ5" s="532"/>
      <c r="FK5" s="532"/>
      <c r="FL5" s="532"/>
      <c r="FM5" s="47"/>
      <c r="FN5" s="47"/>
      <c r="FO5" s="47"/>
      <c r="FP5" s="47"/>
      <c r="FQ5" s="47"/>
      <c r="FR5" s="47"/>
      <c r="FS5" s="47"/>
      <c r="FT5" s="47"/>
      <c r="FU5" s="47"/>
      <c r="FV5" s="47"/>
      <c r="FW5" s="47"/>
      <c r="FX5" s="47"/>
      <c r="FY5" s="47"/>
      <c r="FZ5" s="47"/>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row>
    <row r="6" spans="1:228" ht="19.5" customHeight="1">
      <c r="A6" s="1"/>
      <c r="B6" s="1"/>
      <c r="C6" s="1"/>
      <c r="D6" s="9" t="str">
        <f>" Klas: "&amp; programma!N12</f>
        <v xml:space="preserve"> Klas: </v>
      </c>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7"/>
      <c r="BS6" s="7"/>
      <c r="BT6" s="7"/>
      <c r="BU6" s="7"/>
      <c r="BV6" s="7"/>
      <c r="BW6" s="7"/>
      <c r="BX6" s="7"/>
      <c r="BY6" s="7"/>
      <c r="BZ6" s="7"/>
      <c r="CA6" s="7"/>
      <c r="CB6" s="7"/>
      <c r="CC6" s="7"/>
      <c r="CD6" s="7"/>
      <c r="CE6" s="7"/>
      <c r="CF6" s="7"/>
      <c r="CG6" s="7"/>
      <c r="CH6" s="7"/>
      <c r="CI6" s="7"/>
      <c r="CJ6" s="7"/>
      <c r="CK6" s="7"/>
      <c r="CL6" s="7"/>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7"/>
      <c r="EO6" s="9"/>
      <c r="EP6" s="9"/>
      <c r="EQ6" s="9"/>
      <c r="ER6" s="9"/>
      <c r="ES6" s="9"/>
      <c r="ET6" s="9"/>
      <c r="EU6" s="9"/>
      <c r="EV6" s="9"/>
      <c r="EW6" s="9"/>
      <c r="EX6" s="9"/>
      <c r="EY6" s="9"/>
      <c r="EZ6" s="9"/>
      <c r="FA6" s="9"/>
      <c r="FB6" s="9"/>
      <c r="FC6" s="9"/>
      <c r="FD6" s="9"/>
      <c r="FE6" s="9"/>
      <c r="FF6" s="9"/>
      <c r="FG6" s="9"/>
      <c r="FH6" s="9"/>
      <c r="FI6" s="9"/>
      <c r="FJ6" s="7"/>
      <c r="FK6" s="7"/>
      <c r="FL6" s="7"/>
      <c r="FM6" s="47"/>
      <c r="FN6" s="47"/>
      <c r="FO6" s="47"/>
      <c r="FP6" s="47"/>
      <c r="FQ6" s="47"/>
      <c r="FR6" s="47"/>
      <c r="FS6" s="47"/>
      <c r="FT6" s="47"/>
      <c r="FU6" s="47"/>
      <c r="FV6" s="47"/>
      <c r="FW6" s="47"/>
      <c r="FX6" s="47"/>
      <c r="FY6" s="47"/>
      <c r="FZ6" s="47"/>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row>
    <row r="7" spans="1:228" ht="12" customHeight="1">
      <c r="A7" s="1"/>
      <c r="B7" s="1"/>
      <c r="C7" s="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8"/>
      <c r="FL7" s="8"/>
      <c r="FM7" s="47"/>
      <c r="FN7" s="47"/>
      <c r="FO7" s="47"/>
      <c r="FP7" s="47"/>
      <c r="FQ7" s="47"/>
      <c r="FR7" s="47"/>
      <c r="FS7" s="47"/>
      <c r="FT7" s="47"/>
      <c r="FU7" s="47"/>
      <c r="FV7" s="47"/>
      <c r="FW7" s="47"/>
      <c r="FX7" s="47"/>
      <c r="FY7" s="47"/>
      <c r="FZ7" s="47"/>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row>
    <row r="8" spans="1:228" ht="7.5" customHeight="1">
      <c r="A8" s="1"/>
      <c r="B8" s="1"/>
      <c r="C8" s="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47"/>
      <c r="FN8" s="47"/>
      <c r="FO8" s="47"/>
      <c r="FP8" s="47"/>
      <c r="FQ8" s="47"/>
      <c r="FR8" s="47"/>
      <c r="FS8" s="47"/>
      <c r="FT8" s="47"/>
      <c r="FU8" s="47"/>
      <c r="FV8" s="47"/>
      <c r="FW8" s="47"/>
      <c r="FX8" s="47"/>
      <c r="FY8" s="47"/>
      <c r="FZ8" s="47"/>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row>
    <row r="9" spans="1:228" ht="21" customHeight="1">
      <c r="A9" s="1"/>
      <c r="B9" s="1"/>
      <c r="C9" s="1"/>
      <c r="D9" s="2" t="str">
        <f ca="1">IF(TODAY()&gt;=Blad1!$A$1,"","Pas als je een opdracht goed hebt beantwoord, verschijnt het volgende. Wil je terug naar het programma, klik dan op de paarse knop hierboven.")</f>
        <v>Pas als je een opdracht goed hebt beantwoord, verschijnt het volgende. Wil je terug naar het programma, klik dan op de paarse knop hierboven.</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47"/>
      <c r="FN9" s="47"/>
      <c r="FO9" s="47"/>
      <c r="FP9" s="47" t="str">
        <f>IF(FO9=1,1.25,IF(FO9=2,4,IF(FO9=3,2.25,IF(FO9=4,0.75,IF(FO9=5,2.5,IF(FO9=6,0.5,IF(FO9=7,1,IF(FO9=8,3,""))))))))</f>
        <v/>
      </c>
      <c r="FQ9" s="47"/>
      <c r="FR9" s="47"/>
      <c r="FS9" s="47"/>
      <c r="FT9" s="47"/>
      <c r="FU9" s="47"/>
      <c r="FV9" s="47"/>
      <c r="FW9" s="47"/>
      <c r="FX9" s="47"/>
      <c r="FY9" s="47"/>
      <c r="FZ9" s="47"/>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row>
    <row r="10" spans="1:228" ht="16.5" customHeight="1">
      <c r="A10" s="1"/>
      <c r="B10" s="1"/>
      <c r="C10" s="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47"/>
      <c r="FN10" s="47"/>
      <c r="FO10" s="47"/>
      <c r="FP10" s="47"/>
      <c r="FQ10" s="47"/>
      <c r="FR10" s="47"/>
      <c r="FS10" s="47"/>
      <c r="FT10" s="47"/>
      <c r="FU10" s="47"/>
      <c r="FV10" s="47"/>
      <c r="FW10" s="47"/>
      <c r="FX10" s="47"/>
      <c r="FY10" s="47"/>
      <c r="FZ10" s="47"/>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row>
    <row r="11" spans="1:228" ht="16.5" customHeight="1">
      <c r="A11" s="1"/>
      <c r="B11" s="3"/>
      <c r="C11" s="3"/>
      <c r="D11" s="126"/>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26"/>
      <c r="FL11" s="26"/>
      <c r="FM11" s="47"/>
      <c r="FN11" s="47"/>
      <c r="FO11" s="47"/>
      <c r="FP11" s="47"/>
      <c r="FQ11" s="47"/>
      <c r="FR11" s="47"/>
      <c r="FS11" s="47"/>
      <c r="FT11" s="47"/>
      <c r="FU11" s="47"/>
      <c r="FV11" s="47"/>
      <c r="FW11" s="47"/>
      <c r="FX11" s="47"/>
      <c r="FY11" s="47"/>
      <c r="FZ11" s="47"/>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row>
    <row r="12" spans="1:228" ht="10.5" customHeight="1">
      <c r="A12" s="1"/>
      <c r="B12" s="3"/>
      <c r="C12" s="3"/>
      <c r="D12" s="126"/>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26"/>
      <c r="FL12" s="26"/>
      <c r="FM12" s="47"/>
      <c r="FN12" s="47"/>
      <c r="FO12" s="47"/>
      <c r="FP12" s="47"/>
      <c r="FQ12" s="47"/>
      <c r="FR12" s="47"/>
      <c r="FS12" s="47"/>
      <c r="FT12" s="47"/>
      <c r="FU12" s="47"/>
      <c r="FV12" s="47"/>
      <c r="FW12" s="47"/>
      <c r="FX12" s="47"/>
      <c r="FY12" s="47"/>
      <c r="FZ12" s="47"/>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row>
    <row r="13" spans="1:228" ht="21.6" customHeight="1">
      <c r="A13" s="1"/>
      <c r="B13" s="3"/>
      <c r="C13" s="3"/>
      <c r="D13" s="129" t="str">
        <f ca="1">IF(FP1=0,"","Gemiddeld en marginaal")</f>
        <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36"/>
      <c r="FL13" s="26"/>
      <c r="FM13" s="47"/>
      <c r="FN13" s="47"/>
      <c r="FO13" s="47"/>
      <c r="FP13" s="47"/>
      <c r="FQ13" s="47"/>
      <c r="FR13" s="47"/>
      <c r="FS13" s="47"/>
      <c r="FT13" s="47"/>
      <c r="FU13" s="47"/>
      <c r="FV13" s="47"/>
      <c r="FW13" s="47"/>
      <c r="FX13" s="47"/>
      <c r="FY13" s="47"/>
      <c r="FZ13" s="47"/>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row>
    <row r="14" spans="1:228" ht="16.5" customHeight="1">
      <c r="A14" s="1"/>
      <c r="B14" s="3"/>
      <c r="C14" s="3"/>
      <c r="D14" s="38"/>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26"/>
      <c r="FL14" s="26"/>
      <c r="FM14" s="47"/>
      <c r="FN14" s="47"/>
      <c r="FO14" s="47"/>
      <c r="FP14" s="47"/>
      <c r="FQ14" s="47"/>
      <c r="FR14" s="47"/>
      <c r="FS14" s="47"/>
      <c r="FT14" s="47"/>
      <c r="FU14" s="47"/>
      <c r="FV14" s="47"/>
      <c r="FW14" s="47"/>
      <c r="FX14" s="47"/>
      <c r="FY14" s="47"/>
      <c r="FZ14" s="47"/>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row>
    <row r="15" spans="1:228" ht="16.95" customHeight="1">
      <c r="A15" s="1"/>
      <c r="B15" s="3"/>
      <c r="C15" s="3"/>
      <c r="D15" s="38" t="str">
        <f ca="1">IF(FP1=0,"","Teken je een grafiek met de MO- en MK-lijn, dan kun je aan de hand van")</f>
        <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49"/>
      <c r="FN15" s="49"/>
      <c r="FO15" s="49"/>
      <c r="FP15" s="49"/>
      <c r="FQ15" s="49"/>
      <c r="FR15" s="49"/>
      <c r="FS15" s="49"/>
      <c r="FT15" s="49"/>
      <c r="FU15" s="47"/>
      <c r="FV15" s="47"/>
      <c r="FW15" s="47"/>
      <c r="FX15" s="47"/>
      <c r="FY15" s="47"/>
      <c r="FZ15" s="47"/>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row>
    <row r="16" spans="1:228" ht="16.95" customHeight="1">
      <c r="A16" s="1"/>
      <c r="B16" s="3"/>
      <c r="C16" s="3"/>
      <c r="D16" s="38" t="str">
        <f ca="1">IF(FP1=0,"","het snijpunt van deze lijnen precies zien bij welke hoeveelheid je maximale")</f>
        <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49"/>
      <c r="FN16" s="49"/>
      <c r="FO16" s="49"/>
      <c r="FP16" s="49"/>
      <c r="FQ16" s="49"/>
      <c r="FR16" s="49"/>
      <c r="FS16" s="49"/>
      <c r="FT16" s="49"/>
      <c r="FU16" s="47"/>
      <c r="FV16" s="48"/>
      <c r="FW16" s="94"/>
      <c r="FX16" s="135"/>
      <c r="FY16" s="94"/>
      <c r="FZ16" s="47"/>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row>
    <row r="17" spans="1:221" ht="16.95" customHeight="1">
      <c r="A17" s="1"/>
      <c r="B17" s="3"/>
      <c r="C17" s="3"/>
      <c r="D17" s="38" t="str">
        <f ca="1">IF(FP1=0,"","winst maakt. Een dergelijke grafiek met een MK- en MO-lijn laat zich prima")</f>
        <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49"/>
      <c r="FN17" s="49"/>
      <c r="FO17" s="49"/>
      <c r="FP17" s="49"/>
      <c r="FQ17" s="49"/>
      <c r="FR17" s="49"/>
      <c r="FS17" s="49"/>
      <c r="FT17" s="49"/>
      <c r="FU17" s="47"/>
      <c r="FV17" s="48"/>
      <c r="FW17" s="94"/>
      <c r="FX17" s="135"/>
      <c r="FY17" s="47"/>
      <c r="FZ17" s="47"/>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row>
    <row r="18" spans="1:221" ht="16.95" customHeight="1">
      <c r="A18" s="1"/>
      <c r="B18" s="3"/>
      <c r="C18" s="3"/>
      <c r="D18" s="38" t="str">
        <f ca="1">IF(FP1=0,"","combineren met een grafiek met daarin de gemiddelde kosten (GTK) en de")</f>
        <v/>
      </c>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49"/>
      <c r="FN18" s="49"/>
      <c r="FO18" s="49"/>
      <c r="FP18" s="49"/>
      <c r="FQ18" s="49"/>
      <c r="FR18" s="49"/>
      <c r="FS18" s="49"/>
      <c r="FT18" s="49"/>
      <c r="FU18" s="47"/>
      <c r="FV18" s="48"/>
      <c r="FW18" s="94"/>
      <c r="FX18" s="135"/>
      <c r="FY18" s="47"/>
      <c r="FZ18" s="47"/>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row>
    <row r="19" spans="1:221" ht="16.95" customHeight="1">
      <c r="A19" s="1"/>
      <c r="B19" s="3"/>
      <c r="C19" s="3"/>
      <c r="D19" s="38" t="str">
        <f ca="1">IF(FP1=0,"","gemiddelde opbrengst (GO). Heb je de aan de hand van het snijpunt van de")</f>
        <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49"/>
      <c r="FN19" s="49"/>
      <c r="FO19" s="49"/>
      <c r="FP19" s="49"/>
      <c r="FQ19" s="49"/>
      <c r="FR19" s="49"/>
      <c r="FS19" s="49"/>
      <c r="FT19" s="49"/>
      <c r="FU19" s="47"/>
      <c r="FV19" s="94"/>
      <c r="FW19" s="94"/>
      <c r="FX19" s="47"/>
      <c r="FY19" s="47"/>
      <c r="FZ19" s="47"/>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row>
    <row r="20" spans="1:221" ht="16.95" customHeight="1">
      <c r="A20" s="1"/>
      <c r="B20" s="3"/>
      <c r="C20" s="3"/>
      <c r="D20" s="124" t="str">
        <f ca="1">IF(FP1=0,"","MO- en MK-lijn de hoeveelheid gevonden waarbij maximale winst wordt")</f>
        <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49"/>
      <c r="FN20" s="49"/>
      <c r="FO20" s="49"/>
      <c r="FP20" s="49"/>
      <c r="FQ20" s="49"/>
      <c r="FR20" s="49"/>
      <c r="FS20" s="49"/>
      <c r="FT20" s="49"/>
      <c r="FU20" s="47"/>
      <c r="FV20" s="47"/>
      <c r="FW20" s="47"/>
      <c r="FX20" s="47"/>
      <c r="FY20" s="47"/>
      <c r="FZ20" s="47"/>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row>
    <row r="21" spans="1:221" ht="16.95" customHeight="1">
      <c r="A21" s="1"/>
      <c r="B21" s="3"/>
      <c r="C21" s="3"/>
      <c r="D21" s="124" t="str">
        <f ca="1">IF(FP1=0,"","gemaakt, dan kun je aan de hand van de GO- en GTK-lijn grafiek zien welke")</f>
        <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49"/>
      <c r="FN21" s="49"/>
      <c r="FO21" s="49"/>
      <c r="FP21" s="49"/>
      <c r="FQ21" s="49"/>
      <c r="FR21" s="49"/>
      <c r="FS21" s="49"/>
      <c r="FT21" s="49"/>
      <c r="FU21" s="47"/>
      <c r="FV21" s="47"/>
      <c r="FW21" s="47"/>
      <c r="FX21" s="47"/>
      <c r="FY21" s="49"/>
      <c r="FZ21" s="47"/>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row>
    <row r="22" spans="1:221" ht="16.95" customHeight="1">
      <c r="A22" s="1"/>
      <c r="B22" s="3"/>
      <c r="C22" s="3"/>
      <c r="D22" s="124" t="str">
        <f ca="1">IF(FP1=0,"","winst je bij die hoeveelheid per stuk maakt. Vervolgens vind je door de winst")</f>
        <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49"/>
      <c r="FN22" s="49"/>
      <c r="FO22" s="49"/>
      <c r="FP22" s="49"/>
      <c r="FQ22" s="49"/>
      <c r="FR22" s="49"/>
      <c r="FS22" s="49"/>
      <c r="FT22" s="49"/>
      <c r="FU22" s="47"/>
      <c r="FV22" s="94"/>
      <c r="FW22" s="48"/>
      <c r="FX22" s="79"/>
      <c r="FY22" s="49"/>
      <c r="FZ22" s="47"/>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row>
    <row r="23" spans="1:221" ht="16.95" customHeight="1">
      <c r="A23" s="1"/>
      <c r="B23" s="3"/>
      <c r="C23" s="3"/>
      <c r="D23" s="38" t="str">
        <f ca="1">IF(FP1=0,"","per stuk te vermenigvuldigen met de betreffende hoeveelheid, de omvang")</f>
        <v/>
      </c>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49"/>
      <c r="FN23" s="49"/>
      <c r="FO23" s="49"/>
      <c r="FP23" s="49"/>
      <c r="FQ23" s="49"/>
      <c r="FR23" s="49"/>
      <c r="FS23" s="49"/>
      <c r="FT23" s="49"/>
      <c r="FU23" s="47"/>
      <c r="FV23" s="121"/>
      <c r="FW23" s="121"/>
      <c r="FX23" s="121"/>
      <c r="FY23" s="121"/>
      <c r="FZ23" s="47"/>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row>
    <row r="24" spans="1:221" ht="16.95" customHeight="1">
      <c r="A24" s="1"/>
      <c r="B24" s="3"/>
      <c r="C24" s="3"/>
      <c r="D24" s="373" t="str">
        <f ca="1">IF(FP1=0,"","van de maximale totale winst.")</f>
        <v/>
      </c>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49"/>
      <c r="FN24" s="49"/>
      <c r="FO24" s="49"/>
      <c r="FP24" s="49"/>
      <c r="FQ24" s="49"/>
      <c r="FR24" s="49"/>
      <c r="FS24" s="49"/>
      <c r="FT24" s="49"/>
      <c r="FU24" s="47"/>
      <c r="FV24" s="121"/>
      <c r="FW24" s="121"/>
      <c r="FX24" s="121"/>
      <c r="FY24" s="121"/>
      <c r="FZ24" s="47"/>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row>
    <row r="25" spans="1:221" ht="16.95" customHeight="1">
      <c r="A25" s="1"/>
      <c r="B25" s="3"/>
      <c r="C25" s="3"/>
      <c r="D25" s="38"/>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49"/>
      <c r="FN25" s="49"/>
      <c r="FO25" s="49"/>
      <c r="FP25" s="49"/>
      <c r="FQ25" s="49"/>
      <c r="FR25" s="49"/>
      <c r="FS25" s="49"/>
      <c r="FT25" s="49"/>
      <c r="FU25" s="47"/>
      <c r="FV25" s="121"/>
      <c r="FW25" s="121"/>
      <c r="FX25" s="121"/>
      <c r="FY25" s="94"/>
      <c r="FZ25" s="47"/>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row>
    <row r="26" spans="1:221" ht="16.95" customHeight="1">
      <c r="A26" s="1"/>
      <c r="B26" s="3"/>
      <c r="C26" s="3"/>
      <c r="D26" s="38" t="str">
        <f ca="1">IF(FP1=0,"","We gaan eerst eens kijken welke GO- en MO-waarden bij de functie")</f>
        <v/>
      </c>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49"/>
      <c r="FN26" s="49"/>
      <c r="FO26" s="49"/>
      <c r="FP26" s="49"/>
      <c r="FQ26" s="49"/>
      <c r="FR26" s="49"/>
      <c r="FS26" s="49"/>
      <c r="FT26" s="49"/>
      <c r="FU26" s="47"/>
      <c r="FV26" s="121"/>
      <c r="FW26" s="121"/>
      <c r="FX26" s="121"/>
      <c r="FY26" s="94"/>
      <c r="FZ26" s="47"/>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row>
    <row r="27" spans="1:221" ht="16.95" customHeight="1">
      <c r="A27" s="1"/>
      <c r="B27" s="3"/>
      <c r="C27" s="3"/>
      <c r="D27" s="38" t="str">
        <f ca="1">IF(FP1=0,"","TO = -"&amp;FQ29&amp;"q² + "&amp;FR29&amp;"q horen. Vul de volgende tabel helemaal in (nvt = niet")</f>
        <v/>
      </c>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49"/>
      <c r="FN27" s="49"/>
      <c r="FO27" s="49"/>
      <c r="FP27" s="49"/>
      <c r="FQ27" s="49"/>
      <c r="FR27" s="49"/>
      <c r="FS27" s="49"/>
      <c r="FT27" s="49"/>
      <c r="FU27" s="47"/>
      <c r="FV27" s="121"/>
      <c r="FW27" s="121"/>
      <c r="FX27" s="121"/>
      <c r="FY27" s="94"/>
      <c r="FZ27" s="47"/>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49"/>
      <c r="HI27" s="49"/>
      <c r="HJ27" s="49"/>
      <c r="HK27" s="49"/>
      <c r="HL27" s="49"/>
      <c r="HM27" s="49"/>
    </row>
    <row r="28" spans="1:221" ht="16.95" customHeight="1">
      <c r="A28" s="1"/>
      <c r="B28" s="3"/>
      <c r="C28" s="3"/>
      <c r="D28" s="38" t="str">
        <f ca="1">IF(FP1=0,"","van toepassing, want delen door nul mag niet). Gebruik voor de berekening")</f>
        <v/>
      </c>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49"/>
      <c r="FN28" s="49"/>
      <c r="FO28" s="49"/>
      <c r="FP28" s="49"/>
      <c r="FQ28" s="49"/>
      <c r="FR28" s="49"/>
      <c r="FS28" s="49"/>
      <c r="FT28" s="49"/>
      <c r="FU28" s="47"/>
      <c r="FV28" s="121"/>
      <c r="FW28" s="121"/>
      <c r="FX28" s="121"/>
      <c r="FY28" s="94"/>
      <c r="FZ28" s="47"/>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row>
    <row r="29" spans="1:221" ht="16.95" customHeight="1">
      <c r="A29" s="1"/>
      <c r="B29" s="3"/>
      <c r="C29" s="3"/>
      <c r="D29" s="38" t="str">
        <f ca="1">IF(FP1=0,"","van MO de formule MO = ΔTO / Δq. Rond de uitkomst af op één decimaal.")</f>
        <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49"/>
      <c r="FN29" s="49"/>
      <c r="FO29" s="103">
        <f ca="1">ROUND(2.5*Blad1!AA9,-2)</f>
        <v>1000</v>
      </c>
      <c r="FP29" s="48">
        <f ca="1">IF(0.2*FO29/FQ29-FLOOR(0.2*FO29/FQ29,1)&gt;0.00000001,1,0)</f>
        <v>0</v>
      </c>
      <c r="FQ29" s="143">
        <f ca="1">1/(Blad1!AA17)</f>
        <v>2</v>
      </c>
      <c r="FR29" s="143">
        <f ca="1">IF(FP29=1,ROUND(25*Blad1!AA9,-2),ROUND(2.5*Blad1!AA9,-2))</f>
        <v>1000</v>
      </c>
      <c r="FS29" s="135"/>
      <c r="FT29" s="94">
        <f ca="1">1/FQ29</f>
        <v>0.5</v>
      </c>
      <c r="FU29" s="94">
        <f ca="1">FR29/FQ29</f>
        <v>500</v>
      </c>
      <c r="FV29" s="121"/>
      <c r="FW29" s="121"/>
      <c r="FX29" s="121"/>
      <c r="FY29" s="94"/>
      <c r="FZ29" s="47"/>
      <c r="GA29" s="49"/>
      <c r="GB29" s="49"/>
      <c r="GC29" s="49"/>
      <c r="GD29" s="49"/>
      <c r="GE29" s="49"/>
      <c r="GF29" s="49"/>
      <c r="GG29" s="49"/>
      <c r="GH29" s="49"/>
      <c r="GI29" s="49"/>
      <c r="GJ29" s="49"/>
      <c r="GK29" s="49"/>
      <c r="GL29" s="49"/>
      <c r="GM29" s="49"/>
      <c r="GN29" s="49"/>
      <c r="GO29" s="49"/>
      <c r="GP29" s="49"/>
      <c r="GQ29" s="49"/>
      <c r="GR29" s="49"/>
      <c r="GS29" s="49"/>
      <c r="GT29" s="49"/>
      <c r="GU29" s="49"/>
      <c r="GV29" s="49"/>
      <c r="GW29" s="49"/>
      <c r="GX29" s="49"/>
      <c r="GY29" s="49"/>
      <c r="GZ29" s="49"/>
      <c r="HA29" s="49"/>
      <c r="HB29" s="49"/>
      <c r="HC29" s="49"/>
      <c r="HD29" s="49"/>
      <c r="HE29" s="49"/>
      <c r="HF29" s="49"/>
      <c r="HG29" s="49"/>
      <c r="HH29" s="49"/>
      <c r="HI29" s="49"/>
      <c r="HJ29" s="49"/>
      <c r="HK29" s="49"/>
      <c r="HL29" s="49"/>
      <c r="HM29" s="49"/>
    </row>
    <row r="30" spans="1:221" ht="16.5" customHeight="1" thickBot="1">
      <c r="A30" s="1"/>
      <c r="B30" s="476"/>
      <c r="C30" s="3"/>
      <c r="D30" s="38"/>
      <c r="E30" s="10"/>
      <c r="F30" s="10"/>
      <c r="G30" s="10"/>
      <c r="H30" s="10"/>
      <c r="I30" s="10"/>
      <c r="J30" s="10"/>
      <c r="K30" s="10"/>
      <c r="L30" s="10"/>
      <c r="M30" s="10"/>
      <c r="N30" s="10"/>
      <c r="O30" s="10"/>
      <c r="P30" s="10"/>
      <c r="Q30" s="10"/>
      <c r="R30" s="10"/>
      <c r="S30" s="10"/>
      <c r="T30" s="10"/>
      <c r="U30" s="10"/>
      <c r="V30" s="10"/>
      <c r="W30" s="10"/>
      <c r="X30" s="10"/>
      <c r="Y30" s="10"/>
      <c r="Z30" s="10"/>
      <c r="AA30" s="10"/>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25"/>
      <c r="FG30" s="26"/>
      <c r="FH30" s="10"/>
      <c r="FI30" s="10"/>
      <c r="FJ30" s="10"/>
      <c r="FK30" s="10"/>
      <c r="FL30" s="10"/>
      <c r="FM30" s="116"/>
      <c r="FN30" s="116"/>
      <c r="FO30" s="116"/>
      <c r="FP30" s="116"/>
      <c r="FQ30" s="78"/>
      <c r="FR30" s="78"/>
      <c r="FS30" s="78"/>
      <c r="FT30" s="116"/>
      <c r="FU30" s="78"/>
      <c r="FV30" s="121"/>
      <c r="FW30" s="121"/>
      <c r="FX30" s="121"/>
      <c r="FY30" s="94"/>
      <c r="FZ30" s="78"/>
      <c r="GA30" s="78"/>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row>
    <row r="31" spans="1:221" ht="11.25" customHeight="1" thickBot="1">
      <c r="A31" s="1"/>
      <c r="B31" s="3"/>
      <c r="C31" s="3"/>
      <c r="D31" s="38"/>
      <c r="E31" s="10"/>
      <c r="F31" s="10"/>
      <c r="G31" s="10"/>
      <c r="H31" s="10"/>
      <c r="I31" s="10"/>
      <c r="J31" s="10"/>
      <c r="K31" s="10"/>
      <c r="L31" s="10"/>
      <c r="M31" s="10"/>
      <c r="N31" s="10"/>
      <c r="O31" s="596" t="str">
        <f ca="1">IF(FP1=0,"","q")</f>
        <v/>
      </c>
      <c r="P31" s="666"/>
      <c r="Q31" s="666"/>
      <c r="R31" s="666"/>
      <c r="S31" s="666"/>
      <c r="T31" s="666"/>
      <c r="U31" s="666"/>
      <c r="V31" s="666"/>
      <c r="W31" s="666"/>
      <c r="X31" s="666"/>
      <c r="Y31" s="666"/>
      <c r="Z31" s="666"/>
      <c r="AA31" s="667"/>
      <c r="AB31" s="596" t="str">
        <f ca="1">IF(FP1=0,"","T0")</f>
        <v/>
      </c>
      <c r="AC31" s="666"/>
      <c r="AD31" s="666"/>
      <c r="AE31" s="666"/>
      <c r="AF31" s="666"/>
      <c r="AG31" s="666"/>
      <c r="AH31" s="666"/>
      <c r="AI31" s="666"/>
      <c r="AJ31" s="666"/>
      <c r="AK31" s="666"/>
      <c r="AL31" s="666"/>
      <c r="AM31" s="666"/>
      <c r="AN31" s="667"/>
      <c r="AO31" s="309"/>
      <c r="AP31" s="309"/>
      <c r="AQ31" s="309"/>
      <c r="AR31" s="309"/>
      <c r="AS31" s="309"/>
      <c r="AT31" s="309"/>
      <c r="AU31" s="309"/>
      <c r="AV31" s="309"/>
      <c r="AW31" s="309"/>
      <c r="AX31" s="309"/>
      <c r="AY31" s="309"/>
      <c r="AZ31" s="309"/>
      <c r="BA31" s="309"/>
      <c r="BB31" s="596" t="str">
        <f ca="1">IF(FP1=0,"","GO")</f>
        <v/>
      </c>
      <c r="BC31" s="666"/>
      <c r="BD31" s="666"/>
      <c r="BE31" s="666"/>
      <c r="BF31" s="666"/>
      <c r="BG31" s="666"/>
      <c r="BH31" s="666"/>
      <c r="BI31" s="666"/>
      <c r="BJ31" s="666"/>
      <c r="BK31" s="666"/>
      <c r="BL31" s="666"/>
      <c r="BM31" s="666"/>
      <c r="BN31" s="667"/>
      <c r="BO31" s="10"/>
      <c r="BP31" s="10"/>
      <c r="BQ31" s="674" t="str">
        <f>IF(FP50=0,"",IF(FP1=0,"",IF(AND(programma!$A$301="uitwerking",$B30="X"),"",IF(FO50=1,"Goed!",""))))</f>
        <v/>
      </c>
      <c r="BR31" s="645"/>
      <c r="BS31" s="645"/>
      <c r="BT31" s="645"/>
      <c r="BU31" s="645"/>
      <c r="BV31" s="645"/>
      <c r="BW31" s="645"/>
      <c r="BX31" s="645"/>
      <c r="BY31" s="645"/>
      <c r="BZ31" s="645"/>
      <c r="CA31" s="645"/>
      <c r="CB31" s="79"/>
      <c r="CC31" s="79"/>
      <c r="CD31" s="79"/>
      <c r="CE31" s="79"/>
      <c r="CF31" s="79"/>
      <c r="CG31" s="79"/>
      <c r="CH31" s="79"/>
      <c r="CI31" s="79"/>
      <c r="CJ31" s="79"/>
      <c r="CK31" s="79"/>
      <c r="CL31" s="79"/>
      <c r="CM31" s="79"/>
      <c r="CN31" s="79"/>
      <c r="CO31" s="79"/>
      <c r="CP31" s="79"/>
      <c r="CQ31" s="79"/>
      <c r="CR31" s="79"/>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25"/>
      <c r="FG31" s="26"/>
      <c r="FH31" s="10"/>
      <c r="FI31" s="10"/>
      <c r="FJ31" s="10"/>
      <c r="FK31" s="10"/>
      <c r="FL31" s="10"/>
      <c r="FM31" s="116"/>
      <c r="FN31" s="116"/>
      <c r="FO31" s="116"/>
      <c r="FP31" s="116"/>
      <c r="FQ31" s="78"/>
      <c r="FR31" s="78"/>
      <c r="FS31" s="78"/>
      <c r="FT31" s="116"/>
      <c r="FU31" s="78"/>
      <c r="FV31" s="121"/>
      <c r="FW31" s="121"/>
      <c r="FX31" s="121"/>
      <c r="FY31" s="94"/>
      <c r="FZ31" s="78"/>
      <c r="GA31" s="78"/>
      <c r="GB31" s="49"/>
      <c r="GC31" s="49"/>
      <c r="GD31" s="49"/>
      <c r="GE31" s="49"/>
      <c r="GF31" s="49"/>
      <c r="GG31" s="49"/>
      <c r="GH31" s="49"/>
      <c r="GI31" s="49"/>
      <c r="GJ31" s="49"/>
      <c r="GK31" s="49"/>
      <c r="GL31" s="49"/>
      <c r="GM31" s="49"/>
      <c r="GN31" s="49"/>
      <c r="GO31" s="49"/>
      <c r="GP31" s="49"/>
      <c r="GQ31" s="49"/>
      <c r="GR31" s="49"/>
      <c r="GS31" s="49"/>
      <c r="GT31" s="49"/>
      <c r="GU31" s="49"/>
      <c r="GV31" s="49"/>
      <c r="GW31" s="49"/>
      <c r="GX31" s="49"/>
      <c r="GY31" s="49"/>
      <c r="GZ31" s="49"/>
      <c r="HA31" s="49"/>
      <c r="HB31" s="49"/>
      <c r="HC31" s="49"/>
      <c r="HD31" s="49"/>
      <c r="HE31" s="49"/>
      <c r="HF31" s="49"/>
      <c r="HG31" s="49"/>
      <c r="HH31" s="49"/>
      <c r="HI31" s="49"/>
      <c r="HJ31" s="49"/>
      <c r="HK31" s="49"/>
      <c r="HL31" s="49"/>
      <c r="HM31" s="49"/>
    </row>
    <row r="32" spans="1:221" ht="11.25" customHeight="1" thickBot="1">
      <c r="A32" s="1"/>
      <c r="B32" s="3"/>
      <c r="C32" s="3"/>
      <c r="D32" s="38"/>
      <c r="E32" s="10"/>
      <c r="F32" s="10"/>
      <c r="G32" s="10"/>
      <c r="H32" s="10"/>
      <c r="I32" s="10"/>
      <c r="J32" s="10"/>
      <c r="K32" s="10"/>
      <c r="L32" s="10"/>
      <c r="M32" s="10"/>
      <c r="N32" s="10"/>
      <c r="O32" s="671"/>
      <c r="P32" s="672"/>
      <c r="Q32" s="672"/>
      <c r="R32" s="672"/>
      <c r="S32" s="672"/>
      <c r="T32" s="672"/>
      <c r="U32" s="672"/>
      <c r="V32" s="672"/>
      <c r="W32" s="672"/>
      <c r="X32" s="672"/>
      <c r="Y32" s="672"/>
      <c r="Z32" s="672"/>
      <c r="AA32" s="673"/>
      <c r="AB32" s="671"/>
      <c r="AC32" s="672"/>
      <c r="AD32" s="672"/>
      <c r="AE32" s="672"/>
      <c r="AF32" s="672"/>
      <c r="AG32" s="672"/>
      <c r="AH32" s="672"/>
      <c r="AI32" s="672"/>
      <c r="AJ32" s="672"/>
      <c r="AK32" s="672"/>
      <c r="AL32" s="672"/>
      <c r="AM32" s="672"/>
      <c r="AN32" s="673"/>
      <c r="AO32" s="596" t="str">
        <f ca="1">IF(FP1=0,"","MO")</f>
        <v/>
      </c>
      <c r="AP32" s="666"/>
      <c r="AQ32" s="666"/>
      <c r="AR32" s="666"/>
      <c r="AS32" s="666"/>
      <c r="AT32" s="666"/>
      <c r="AU32" s="666"/>
      <c r="AV32" s="666"/>
      <c r="AW32" s="666"/>
      <c r="AX32" s="666"/>
      <c r="AY32" s="666"/>
      <c r="AZ32" s="666"/>
      <c r="BA32" s="667"/>
      <c r="BB32" s="671"/>
      <c r="BC32" s="672"/>
      <c r="BD32" s="672"/>
      <c r="BE32" s="672"/>
      <c r="BF32" s="672"/>
      <c r="BG32" s="672"/>
      <c r="BH32" s="672"/>
      <c r="BI32" s="672"/>
      <c r="BJ32" s="672"/>
      <c r="BK32" s="672"/>
      <c r="BL32" s="672"/>
      <c r="BM32" s="672"/>
      <c r="BN32" s="673"/>
      <c r="BO32" s="10"/>
      <c r="BP32" s="10"/>
      <c r="BQ32" s="645"/>
      <c r="BR32" s="645"/>
      <c r="BS32" s="645"/>
      <c r="BT32" s="645"/>
      <c r="BU32" s="645"/>
      <c r="BV32" s="645"/>
      <c r="BW32" s="645"/>
      <c r="BX32" s="645"/>
      <c r="BY32" s="645"/>
      <c r="BZ32" s="645"/>
      <c r="CA32" s="645"/>
      <c r="CB32" s="79"/>
      <c r="CC32" s="79"/>
      <c r="CD32" s="79"/>
      <c r="CE32" s="79"/>
      <c r="CF32" s="79"/>
      <c r="CG32" s="79"/>
      <c r="CH32" s="79"/>
      <c r="CI32" s="79"/>
      <c r="CJ32" s="79"/>
      <c r="CK32" s="79"/>
      <c r="CL32" s="79"/>
      <c r="CM32" s="79"/>
      <c r="CN32" s="79"/>
      <c r="CO32" s="79"/>
      <c r="CP32" s="79"/>
      <c r="CQ32" s="79"/>
      <c r="CR32" s="79"/>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25"/>
      <c r="FG32" s="26"/>
      <c r="FH32" s="10"/>
      <c r="FI32" s="10"/>
      <c r="FJ32" s="10"/>
      <c r="FK32" s="10"/>
      <c r="FL32" s="10"/>
      <c r="FM32" s="116"/>
      <c r="FN32" s="116"/>
      <c r="FO32" s="116"/>
      <c r="FP32" s="116"/>
      <c r="FQ32" s="78"/>
      <c r="FR32" s="78"/>
      <c r="FS32" s="78"/>
      <c r="FT32" s="116"/>
      <c r="FU32" s="78"/>
      <c r="FV32" s="121"/>
      <c r="FW32" s="121"/>
      <c r="FX32" s="121"/>
      <c r="FY32" s="94"/>
      <c r="FZ32" s="78"/>
      <c r="GA32" s="78"/>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row>
    <row r="33" spans="1:221" ht="11.25" customHeight="1" thickBot="1">
      <c r="A33" s="1"/>
      <c r="B33" s="3"/>
      <c r="C33" s="3"/>
      <c r="D33" s="38"/>
      <c r="E33" s="10"/>
      <c r="F33" s="10"/>
      <c r="G33" s="10"/>
      <c r="H33" s="10"/>
      <c r="I33" s="10"/>
      <c r="J33" s="10"/>
      <c r="K33" s="10"/>
      <c r="L33" s="10"/>
      <c r="M33" s="10"/>
      <c r="N33" s="10"/>
      <c r="O33" s="665" t="str">
        <f ca="1">IF(FP1=1,0,"")</f>
        <v/>
      </c>
      <c r="P33" s="666"/>
      <c r="Q33" s="666"/>
      <c r="R33" s="666"/>
      <c r="S33" s="666"/>
      <c r="T33" s="666"/>
      <c r="U33" s="666"/>
      <c r="V33" s="666"/>
      <c r="W33" s="666"/>
      <c r="X33" s="666"/>
      <c r="Y33" s="666"/>
      <c r="Z33" s="666"/>
      <c r="AA33" s="667"/>
      <c r="AB33" s="665" t="str">
        <f ca="1">IF(FP1=0,"",-FQ29*O33^2+FR29*O33)</f>
        <v/>
      </c>
      <c r="AC33" s="666"/>
      <c r="AD33" s="666"/>
      <c r="AE33" s="666"/>
      <c r="AF33" s="666"/>
      <c r="AG33" s="666"/>
      <c r="AH33" s="666"/>
      <c r="AI33" s="666"/>
      <c r="AJ33" s="666"/>
      <c r="AK33" s="666"/>
      <c r="AL33" s="666"/>
      <c r="AM33" s="666"/>
      <c r="AN33" s="667"/>
      <c r="AO33" s="671"/>
      <c r="AP33" s="672"/>
      <c r="AQ33" s="672"/>
      <c r="AR33" s="672"/>
      <c r="AS33" s="672"/>
      <c r="AT33" s="672"/>
      <c r="AU33" s="672"/>
      <c r="AV33" s="672"/>
      <c r="AW33" s="672"/>
      <c r="AX33" s="672"/>
      <c r="AY33" s="672"/>
      <c r="AZ33" s="672"/>
      <c r="BA33" s="673"/>
      <c r="BB33" s="665" t="str">
        <f ca="1">IF(FP1=0,"","nvt")</f>
        <v/>
      </c>
      <c r="BC33" s="666"/>
      <c r="BD33" s="666"/>
      <c r="BE33" s="666"/>
      <c r="BF33" s="666"/>
      <c r="BG33" s="666"/>
      <c r="BH33" s="666"/>
      <c r="BI33" s="666"/>
      <c r="BJ33" s="666"/>
      <c r="BK33" s="666"/>
      <c r="BL33" s="666"/>
      <c r="BM33" s="666"/>
      <c r="BN33" s="667"/>
      <c r="BO33" s="126"/>
      <c r="BP33" s="126"/>
      <c r="BQ33" s="126"/>
      <c r="BR33" s="126"/>
      <c r="BS33" s="43"/>
      <c r="BT33" s="43"/>
      <c r="BU33" s="197"/>
      <c r="BV33" s="197"/>
      <c r="BW33" s="197"/>
      <c r="BX33" s="197"/>
      <c r="BY33" s="197"/>
      <c r="BZ33" s="197"/>
      <c r="CA33" s="197"/>
      <c r="CB33" s="197"/>
      <c r="CC33" s="197"/>
      <c r="CD33" s="197"/>
      <c r="CE33" s="197"/>
      <c r="CF33" s="197"/>
      <c r="CG33" s="197"/>
      <c r="CH33" s="197"/>
      <c r="CI33" s="197"/>
      <c r="CJ33" s="197"/>
      <c r="CK33" s="197"/>
      <c r="CL33" s="197"/>
      <c r="CM33" s="197"/>
      <c r="CN33" s="197"/>
      <c r="CO33" s="197"/>
      <c r="CP33" s="197"/>
      <c r="CQ33" s="197"/>
      <c r="CR33" s="197"/>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25"/>
      <c r="FG33" s="26"/>
      <c r="FH33" s="10"/>
      <c r="FI33" s="10"/>
      <c r="FJ33" s="10"/>
      <c r="FK33" s="10"/>
      <c r="FL33" s="10"/>
      <c r="FM33" s="116"/>
      <c r="FN33" s="116"/>
      <c r="FO33" s="116"/>
      <c r="FP33" s="116"/>
      <c r="FQ33" s="78"/>
      <c r="FR33" s="78"/>
      <c r="FS33" s="78"/>
      <c r="FT33" s="116"/>
      <c r="FU33" s="78"/>
      <c r="FV33" s="121"/>
      <c r="FW33" s="121"/>
      <c r="FX33" s="121"/>
      <c r="FY33" s="94"/>
      <c r="FZ33" s="78"/>
      <c r="GA33" s="78"/>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c r="HC33" s="49"/>
      <c r="HD33" s="49"/>
      <c r="HE33" s="49"/>
      <c r="HF33" s="49"/>
      <c r="HG33" s="49"/>
      <c r="HH33" s="49"/>
      <c r="HI33" s="49"/>
      <c r="HJ33" s="49"/>
      <c r="HK33" s="49"/>
      <c r="HL33" s="49"/>
      <c r="HM33" s="49"/>
    </row>
    <row r="34" spans="1:221" ht="11.25" customHeight="1" thickBot="1">
      <c r="A34" s="1"/>
      <c r="B34" s="3"/>
      <c r="C34" s="3"/>
      <c r="D34" s="38"/>
      <c r="E34" s="10"/>
      <c r="F34" s="10"/>
      <c r="G34" s="10"/>
      <c r="H34" s="10"/>
      <c r="I34" s="10"/>
      <c r="J34" s="10"/>
      <c r="K34" s="10"/>
      <c r="L34" s="10"/>
      <c r="M34" s="10"/>
      <c r="N34" s="10"/>
      <c r="O34" s="671"/>
      <c r="P34" s="672"/>
      <c r="Q34" s="672"/>
      <c r="R34" s="672"/>
      <c r="S34" s="672"/>
      <c r="T34" s="672"/>
      <c r="U34" s="672"/>
      <c r="V34" s="672"/>
      <c r="W34" s="672"/>
      <c r="X34" s="672"/>
      <c r="Y34" s="672"/>
      <c r="Z34" s="672"/>
      <c r="AA34" s="673"/>
      <c r="AB34" s="671"/>
      <c r="AC34" s="672"/>
      <c r="AD34" s="672"/>
      <c r="AE34" s="672"/>
      <c r="AF34" s="672"/>
      <c r="AG34" s="672"/>
      <c r="AH34" s="672"/>
      <c r="AI34" s="672"/>
      <c r="AJ34" s="672"/>
      <c r="AK34" s="672"/>
      <c r="AL34" s="672"/>
      <c r="AM34" s="672"/>
      <c r="AN34" s="673"/>
      <c r="AO34" s="657"/>
      <c r="AP34" s="658"/>
      <c r="AQ34" s="658"/>
      <c r="AR34" s="658"/>
      <c r="AS34" s="658"/>
      <c r="AT34" s="658"/>
      <c r="AU34" s="658"/>
      <c r="AV34" s="658"/>
      <c r="AW34" s="658"/>
      <c r="AX34" s="658"/>
      <c r="AY34" s="658"/>
      <c r="AZ34" s="658"/>
      <c r="BA34" s="659"/>
      <c r="BB34" s="671"/>
      <c r="BC34" s="672"/>
      <c r="BD34" s="672"/>
      <c r="BE34" s="672"/>
      <c r="BF34" s="672"/>
      <c r="BG34" s="672"/>
      <c r="BH34" s="672"/>
      <c r="BI34" s="672"/>
      <c r="BJ34" s="672"/>
      <c r="BK34" s="672"/>
      <c r="BL34" s="672"/>
      <c r="BM34" s="672"/>
      <c r="BN34" s="673"/>
      <c r="BO34" s="126"/>
      <c r="BP34" s="126"/>
      <c r="BQ34" s="680" t="str">
        <f>IF(FP50=0,"",IF(AND(programma!$A$301="uitwerking",$B30="X"),FM34,IF(AND(AO34&lt;&gt;"",FP34=0,AO34&gt;FR34-0.9,AO34&lt;FR34+0.9),"Je hebt MO verkeerd afgerond!",IF(AND(AO34&lt;&gt;"",FP34=0),"Fout! Heb je voor ΔTO wel "&amp;AB35&amp;" - "&amp;AB33&amp;" en voor Δq "&amp;O35&amp;" - "&amp;O33&amp;" gebruikt?",IF(AND(BB35&lt;&gt;"",FQ36=0,BB35&gt;FS35-0.9,BB35&lt;FS35+0.9),"Je hebt GO verkeerd afgerond!",IF(AND(AO34&lt;&gt;"",FQ36=0),"Fout! Heb je voor GO wel "&amp;AB35&amp;" / "&amp;O35&amp;" genomen?",""))))))</f>
        <v/>
      </c>
      <c r="BR34" s="680"/>
      <c r="BS34" s="680"/>
      <c r="BT34" s="680"/>
      <c r="BU34" s="680"/>
      <c r="BV34" s="680"/>
      <c r="BW34" s="680"/>
      <c r="BX34" s="680"/>
      <c r="BY34" s="680"/>
      <c r="BZ34" s="680"/>
      <c r="CA34" s="680"/>
      <c r="CB34" s="680"/>
      <c r="CC34" s="680"/>
      <c r="CD34" s="681"/>
      <c r="CE34" s="681"/>
      <c r="CF34" s="681"/>
      <c r="CG34" s="681"/>
      <c r="CH34" s="681"/>
      <c r="CI34" s="681"/>
      <c r="CJ34" s="681"/>
      <c r="CK34" s="681"/>
      <c r="CL34" s="681"/>
      <c r="CM34" s="681"/>
      <c r="CN34" s="681"/>
      <c r="CO34" s="681"/>
      <c r="CP34" s="681"/>
      <c r="CQ34" s="681"/>
      <c r="CR34" s="681"/>
      <c r="CS34" s="681"/>
      <c r="CT34" s="681"/>
      <c r="CU34" s="681"/>
      <c r="CV34" s="681"/>
      <c r="CW34" s="681"/>
      <c r="CX34" s="681"/>
      <c r="CY34" s="681"/>
      <c r="CZ34" s="681"/>
      <c r="DA34" s="681"/>
      <c r="DB34" s="681"/>
      <c r="DC34" s="681"/>
      <c r="DD34" s="681"/>
      <c r="DE34" s="681"/>
      <c r="DF34" s="681"/>
      <c r="DG34" s="681"/>
      <c r="DH34" s="681"/>
      <c r="DI34" s="681"/>
      <c r="DJ34" s="681"/>
      <c r="DK34" s="681"/>
      <c r="DL34" s="681"/>
      <c r="DM34" s="681"/>
      <c r="DN34" s="681"/>
      <c r="DO34" s="681"/>
      <c r="DP34" s="681"/>
      <c r="DQ34" s="681"/>
      <c r="DR34" s="681"/>
      <c r="DS34" s="681"/>
      <c r="DT34" s="681"/>
      <c r="DU34" s="681"/>
      <c r="DV34" s="681"/>
      <c r="DW34" s="681"/>
      <c r="DX34" s="681"/>
      <c r="DY34" s="681"/>
      <c r="DZ34" s="681"/>
      <c r="EA34" s="681"/>
      <c r="EB34" s="681"/>
      <c r="EC34" s="681"/>
      <c r="ED34" s="681"/>
      <c r="EE34" s="669"/>
      <c r="EF34" s="669"/>
      <c r="EG34" s="669"/>
      <c r="EH34" s="669"/>
      <c r="EI34" s="669"/>
      <c r="EJ34" s="669"/>
      <c r="EK34" s="669"/>
      <c r="EL34" s="669"/>
      <c r="EM34" s="669"/>
      <c r="EN34" s="669"/>
      <c r="EO34" s="669"/>
      <c r="EP34" s="669"/>
      <c r="EQ34" s="669"/>
      <c r="ER34" s="669"/>
      <c r="ES34" s="669"/>
      <c r="ET34" s="669"/>
      <c r="EU34" s="669"/>
      <c r="EV34" s="669"/>
      <c r="EW34" s="669"/>
      <c r="EX34" s="669"/>
      <c r="EY34" s="547"/>
      <c r="EZ34" s="547"/>
      <c r="FA34" s="547"/>
      <c r="FB34" s="547"/>
      <c r="FC34" s="547"/>
      <c r="FD34" s="547"/>
      <c r="FE34" s="547"/>
      <c r="FF34" s="547"/>
      <c r="FG34" s="547"/>
      <c r="FH34" s="547"/>
      <c r="FI34" s="547"/>
      <c r="FJ34" s="547"/>
      <c r="FK34" s="547"/>
      <c r="FL34" s="547"/>
      <c r="FM34" s="468" t="e">
        <f ca="1">"MO = "&amp;AB35&amp;" / "&amp;O35&amp;" = "&amp;FR34&amp;"; GO = "&amp;AB35&amp;" / "&amp;O35&amp;" = "&amp;FS35</f>
        <v>#VALUE!</v>
      </c>
      <c r="FN34" s="468"/>
      <c r="FO34" s="468"/>
      <c r="FP34" s="206" t="e">
        <f ca="1">IF(AND(AO34&lt;FR34+0.0001,AO34&gt;FR34-0.0001),1,0)</f>
        <v>#VALUE!</v>
      </c>
      <c r="FQ34" s="79"/>
      <c r="FR34" s="592" t="e">
        <f ca="1">IF(FO1=0,"",ROUND((AB35-AB32)/(O35-O32),1))</f>
        <v>#VALUE!</v>
      </c>
      <c r="FS34" s="78"/>
      <c r="FT34" s="116"/>
      <c r="FU34" s="78"/>
      <c r="FV34" s="121"/>
      <c r="FW34" s="121"/>
      <c r="FX34" s="121"/>
      <c r="FY34" s="94"/>
      <c r="FZ34" s="78"/>
      <c r="GA34" s="78"/>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row>
    <row r="35" spans="1:221" ht="3.75" customHeight="1">
      <c r="A35" s="1"/>
      <c r="B35" s="3"/>
      <c r="C35" s="3"/>
      <c r="D35" s="38"/>
      <c r="E35" s="10"/>
      <c r="F35" s="10"/>
      <c r="G35" s="10"/>
      <c r="H35" s="10"/>
      <c r="I35" s="10"/>
      <c r="J35" s="10"/>
      <c r="K35" s="10"/>
      <c r="L35" s="10"/>
      <c r="M35" s="10"/>
      <c r="N35" s="10"/>
      <c r="O35" s="665" t="str">
        <f ca="1">IF(FP1=0,"",0.2*O47)</f>
        <v/>
      </c>
      <c r="P35" s="666"/>
      <c r="Q35" s="666"/>
      <c r="R35" s="666"/>
      <c r="S35" s="666"/>
      <c r="T35" s="666"/>
      <c r="U35" s="666"/>
      <c r="V35" s="666"/>
      <c r="W35" s="666"/>
      <c r="X35" s="666"/>
      <c r="Y35" s="666"/>
      <c r="Z35" s="666"/>
      <c r="AA35" s="667"/>
      <c r="AB35" s="665" t="str">
        <f ca="1">IF(FP1=0,"",-FQ29*O35^2+FR29*O35)</f>
        <v/>
      </c>
      <c r="AC35" s="666"/>
      <c r="AD35" s="666"/>
      <c r="AE35" s="666"/>
      <c r="AF35" s="666"/>
      <c r="AG35" s="666"/>
      <c r="AH35" s="666"/>
      <c r="AI35" s="666"/>
      <c r="AJ35" s="666"/>
      <c r="AK35" s="666"/>
      <c r="AL35" s="666"/>
      <c r="AM35" s="666"/>
      <c r="AN35" s="667"/>
      <c r="AO35" s="660"/>
      <c r="AP35" s="551"/>
      <c r="AQ35" s="551"/>
      <c r="AR35" s="551"/>
      <c r="AS35" s="551"/>
      <c r="AT35" s="551"/>
      <c r="AU35" s="551"/>
      <c r="AV35" s="551"/>
      <c r="AW35" s="551"/>
      <c r="AX35" s="551"/>
      <c r="AY35" s="551"/>
      <c r="AZ35" s="551"/>
      <c r="BA35" s="661"/>
      <c r="BB35" s="657"/>
      <c r="BC35" s="658"/>
      <c r="BD35" s="658"/>
      <c r="BE35" s="658"/>
      <c r="BF35" s="658"/>
      <c r="BG35" s="658"/>
      <c r="BH35" s="658"/>
      <c r="BI35" s="658"/>
      <c r="BJ35" s="658"/>
      <c r="BK35" s="658"/>
      <c r="BL35" s="658"/>
      <c r="BM35" s="658"/>
      <c r="BN35" s="659"/>
      <c r="BO35" s="126"/>
      <c r="BP35" s="126"/>
      <c r="BQ35" s="682"/>
      <c r="BR35" s="682"/>
      <c r="BS35" s="682"/>
      <c r="BT35" s="682"/>
      <c r="BU35" s="682"/>
      <c r="BV35" s="682"/>
      <c r="BW35" s="682"/>
      <c r="BX35" s="682"/>
      <c r="BY35" s="682"/>
      <c r="BZ35" s="682"/>
      <c r="CA35" s="682"/>
      <c r="CB35" s="682"/>
      <c r="CC35" s="682"/>
      <c r="CD35" s="681"/>
      <c r="CE35" s="681"/>
      <c r="CF35" s="681"/>
      <c r="CG35" s="681"/>
      <c r="CH35" s="681"/>
      <c r="CI35" s="681"/>
      <c r="CJ35" s="681"/>
      <c r="CK35" s="681"/>
      <c r="CL35" s="681"/>
      <c r="CM35" s="681"/>
      <c r="CN35" s="681"/>
      <c r="CO35" s="681"/>
      <c r="CP35" s="681"/>
      <c r="CQ35" s="681"/>
      <c r="CR35" s="681"/>
      <c r="CS35" s="681"/>
      <c r="CT35" s="681"/>
      <c r="CU35" s="681"/>
      <c r="CV35" s="681"/>
      <c r="CW35" s="681"/>
      <c r="CX35" s="681"/>
      <c r="CY35" s="681"/>
      <c r="CZ35" s="681"/>
      <c r="DA35" s="681"/>
      <c r="DB35" s="681"/>
      <c r="DC35" s="681"/>
      <c r="DD35" s="681"/>
      <c r="DE35" s="681"/>
      <c r="DF35" s="681"/>
      <c r="DG35" s="681"/>
      <c r="DH35" s="681"/>
      <c r="DI35" s="681"/>
      <c r="DJ35" s="681"/>
      <c r="DK35" s="681"/>
      <c r="DL35" s="681"/>
      <c r="DM35" s="681"/>
      <c r="DN35" s="681"/>
      <c r="DO35" s="681"/>
      <c r="DP35" s="681"/>
      <c r="DQ35" s="681"/>
      <c r="DR35" s="681"/>
      <c r="DS35" s="681"/>
      <c r="DT35" s="681"/>
      <c r="DU35" s="681"/>
      <c r="DV35" s="681"/>
      <c r="DW35" s="681"/>
      <c r="DX35" s="681"/>
      <c r="DY35" s="681"/>
      <c r="DZ35" s="681"/>
      <c r="EA35" s="681"/>
      <c r="EB35" s="681"/>
      <c r="EC35" s="681"/>
      <c r="ED35" s="681"/>
      <c r="EE35" s="669"/>
      <c r="EF35" s="669"/>
      <c r="EG35" s="669"/>
      <c r="EH35" s="669"/>
      <c r="EI35" s="669"/>
      <c r="EJ35" s="669"/>
      <c r="EK35" s="669"/>
      <c r="EL35" s="669"/>
      <c r="EM35" s="669"/>
      <c r="EN35" s="669"/>
      <c r="EO35" s="669"/>
      <c r="EP35" s="669"/>
      <c r="EQ35" s="669"/>
      <c r="ER35" s="669"/>
      <c r="ES35" s="669"/>
      <c r="ET35" s="669"/>
      <c r="EU35" s="669"/>
      <c r="EV35" s="669"/>
      <c r="EW35" s="669"/>
      <c r="EX35" s="669"/>
      <c r="EY35" s="547"/>
      <c r="EZ35" s="547"/>
      <c r="FA35" s="547"/>
      <c r="FB35" s="547"/>
      <c r="FC35" s="547"/>
      <c r="FD35" s="547"/>
      <c r="FE35" s="547"/>
      <c r="FF35" s="547"/>
      <c r="FG35" s="547"/>
      <c r="FH35" s="547"/>
      <c r="FI35" s="547"/>
      <c r="FJ35" s="547"/>
      <c r="FK35" s="547"/>
      <c r="FL35" s="547"/>
      <c r="FM35" s="468"/>
      <c r="FN35" s="468"/>
      <c r="FO35" s="468"/>
      <c r="FP35" s="116"/>
      <c r="FQ35" s="79"/>
      <c r="FR35" s="645"/>
      <c r="FS35" s="592" t="e">
        <f ca="1">IF(FO1=0,"",ROUND(AB35/O35,1))</f>
        <v>#VALUE!</v>
      </c>
      <c r="FT35" s="79"/>
      <c r="FU35" s="78"/>
      <c r="FV35" s="121" t="str">
        <f ca="1">IF(FP1=1,(FU29/FT29)/(1/FT29),"")</f>
        <v/>
      </c>
      <c r="FW35" s="121" t="e">
        <f ca="1">0.5*FW16*FV35^2+FY16*FV35</f>
        <v>#VALUE!</v>
      </c>
      <c r="FX35" s="121"/>
      <c r="FY35" s="94"/>
      <c r="FZ35" s="78"/>
      <c r="GA35" s="78"/>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c r="HB35" s="49"/>
      <c r="HC35" s="49"/>
      <c r="HD35" s="49"/>
      <c r="HE35" s="49"/>
      <c r="HF35" s="49"/>
      <c r="HG35" s="49"/>
      <c r="HH35" s="49"/>
      <c r="HI35" s="49"/>
      <c r="HJ35" s="49"/>
      <c r="HK35" s="49"/>
      <c r="HL35" s="49"/>
      <c r="HM35" s="49"/>
    </row>
    <row r="36" spans="1:221" ht="7.5" customHeight="1" thickBot="1">
      <c r="A36" s="1"/>
      <c r="B36" s="3"/>
      <c r="C36" s="3"/>
      <c r="D36" s="38"/>
      <c r="E36" s="10"/>
      <c r="F36" s="10"/>
      <c r="G36" s="10"/>
      <c r="H36" s="10"/>
      <c r="I36" s="10"/>
      <c r="J36" s="10"/>
      <c r="K36" s="10"/>
      <c r="L36" s="10"/>
      <c r="M36" s="10"/>
      <c r="N36" s="10"/>
      <c r="O36" s="668"/>
      <c r="P36" s="669"/>
      <c r="Q36" s="669"/>
      <c r="R36" s="669"/>
      <c r="S36" s="669"/>
      <c r="T36" s="669"/>
      <c r="U36" s="669"/>
      <c r="V36" s="669"/>
      <c r="W36" s="669"/>
      <c r="X36" s="669"/>
      <c r="Y36" s="669"/>
      <c r="Z36" s="669"/>
      <c r="AA36" s="670"/>
      <c r="AB36" s="668"/>
      <c r="AC36" s="669"/>
      <c r="AD36" s="669"/>
      <c r="AE36" s="669"/>
      <c r="AF36" s="669"/>
      <c r="AG36" s="669"/>
      <c r="AH36" s="669"/>
      <c r="AI36" s="669"/>
      <c r="AJ36" s="669"/>
      <c r="AK36" s="669"/>
      <c r="AL36" s="669"/>
      <c r="AM36" s="669"/>
      <c r="AN36" s="670"/>
      <c r="AO36" s="662"/>
      <c r="AP36" s="663"/>
      <c r="AQ36" s="663"/>
      <c r="AR36" s="663"/>
      <c r="AS36" s="663"/>
      <c r="AT36" s="663"/>
      <c r="AU36" s="663"/>
      <c r="AV36" s="663"/>
      <c r="AW36" s="663"/>
      <c r="AX36" s="663"/>
      <c r="AY36" s="663"/>
      <c r="AZ36" s="663"/>
      <c r="BA36" s="664"/>
      <c r="BB36" s="660"/>
      <c r="BC36" s="551"/>
      <c r="BD36" s="551"/>
      <c r="BE36" s="551"/>
      <c r="BF36" s="551"/>
      <c r="BG36" s="551"/>
      <c r="BH36" s="551"/>
      <c r="BI36" s="551"/>
      <c r="BJ36" s="551"/>
      <c r="BK36" s="551"/>
      <c r="BL36" s="551"/>
      <c r="BM36" s="551"/>
      <c r="BN36" s="661"/>
      <c r="BO36" s="126"/>
      <c r="BP36" s="126"/>
      <c r="BQ36" s="680"/>
      <c r="BR36" s="680"/>
      <c r="BS36" s="680"/>
      <c r="BT36" s="680"/>
      <c r="BU36" s="680"/>
      <c r="BV36" s="680"/>
      <c r="BW36" s="680"/>
      <c r="BX36" s="680"/>
      <c r="BY36" s="680"/>
      <c r="BZ36" s="680"/>
      <c r="CA36" s="680"/>
      <c r="CB36" s="680"/>
      <c r="CC36" s="680"/>
      <c r="CD36" s="681"/>
      <c r="CE36" s="681"/>
      <c r="CF36" s="681"/>
      <c r="CG36" s="681"/>
      <c r="CH36" s="681"/>
      <c r="CI36" s="681"/>
      <c r="CJ36" s="681"/>
      <c r="CK36" s="681"/>
      <c r="CL36" s="681"/>
      <c r="CM36" s="681"/>
      <c r="CN36" s="681"/>
      <c r="CO36" s="681"/>
      <c r="CP36" s="681"/>
      <c r="CQ36" s="681"/>
      <c r="CR36" s="681"/>
      <c r="CS36" s="681"/>
      <c r="CT36" s="681"/>
      <c r="CU36" s="681"/>
      <c r="CV36" s="681"/>
      <c r="CW36" s="681"/>
      <c r="CX36" s="681"/>
      <c r="CY36" s="681"/>
      <c r="CZ36" s="681"/>
      <c r="DA36" s="681"/>
      <c r="DB36" s="681"/>
      <c r="DC36" s="681"/>
      <c r="DD36" s="681"/>
      <c r="DE36" s="681"/>
      <c r="DF36" s="681"/>
      <c r="DG36" s="681"/>
      <c r="DH36" s="681"/>
      <c r="DI36" s="681"/>
      <c r="DJ36" s="681"/>
      <c r="DK36" s="681"/>
      <c r="DL36" s="681"/>
      <c r="DM36" s="681"/>
      <c r="DN36" s="681"/>
      <c r="DO36" s="681"/>
      <c r="DP36" s="681"/>
      <c r="DQ36" s="681"/>
      <c r="DR36" s="681"/>
      <c r="DS36" s="681"/>
      <c r="DT36" s="681"/>
      <c r="DU36" s="681"/>
      <c r="DV36" s="681"/>
      <c r="DW36" s="681"/>
      <c r="DX36" s="681"/>
      <c r="DY36" s="681"/>
      <c r="DZ36" s="681"/>
      <c r="EA36" s="681"/>
      <c r="EB36" s="681"/>
      <c r="EC36" s="681"/>
      <c r="ED36" s="681"/>
      <c r="EE36" s="669"/>
      <c r="EF36" s="669"/>
      <c r="EG36" s="669"/>
      <c r="EH36" s="669"/>
      <c r="EI36" s="669"/>
      <c r="EJ36" s="669"/>
      <c r="EK36" s="669"/>
      <c r="EL36" s="669"/>
      <c r="EM36" s="669"/>
      <c r="EN36" s="669"/>
      <c r="EO36" s="669"/>
      <c r="EP36" s="669"/>
      <c r="EQ36" s="669"/>
      <c r="ER36" s="669"/>
      <c r="ES36" s="669"/>
      <c r="ET36" s="669"/>
      <c r="EU36" s="669"/>
      <c r="EV36" s="669"/>
      <c r="EW36" s="669"/>
      <c r="EX36" s="669"/>
      <c r="EY36" s="547"/>
      <c r="EZ36" s="547"/>
      <c r="FA36" s="547"/>
      <c r="FB36" s="547"/>
      <c r="FC36" s="547"/>
      <c r="FD36" s="547"/>
      <c r="FE36" s="547"/>
      <c r="FF36" s="547"/>
      <c r="FG36" s="547"/>
      <c r="FH36" s="547"/>
      <c r="FI36" s="547"/>
      <c r="FJ36" s="547"/>
      <c r="FK36" s="547"/>
      <c r="FL36" s="547"/>
      <c r="FM36" s="468"/>
      <c r="FN36" s="468"/>
      <c r="FO36" s="468"/>
      <c r="FP36" s="116"/>
      <c r="FQ36" s="206" t="e">
        <f ca="1">IF(AND(BB35&lt;FS35+0.0001,BB35&gt;FS35-0.0001),1,0)</f>
        <v>#VALUE!</v>
      </c>
      <c r="FR36" s="645"/>
      <c r="FS36" s="645"/>
      <c r="FT36" s="79"/>
      <c r="FU36" s="78"/>
      <c r="FV36" s="78"/>
      <c r="FW36" s="78"/>
      <c r="FX36" s="78"/>
      <c r="FY36" s="78"/>
      <c r="FZ36" s="78"/>
      <c r="GA36" s="78"/>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row>
    <row r="37" spans="1:221" ht="11.25" customHeight="1" thickBot="1">
      <c r="A37" s="1"/>
      <c r="B37" s="3"/>
      <c r="C37" s="3"/>
      <c r="D37" s="38"/>
      <c r="E37" s="10"/>
      <c r="F37" s="10"/>
      <c r="G37" s="10"/>
      <c r="H37" s="10"/>
      <c r="I37" s="10"/>
      <c r="J37" s="10"/>
      <c r="K37" s="10"/>
      <c r="L37" s="10"/>
      <c r="M37" s="10"/>
      <c r="N37" s="10"/>
      <c r="O37" s="671"/>
      <c r="P37" s="672"/>
      <c r="Q37" s="672"/>
      <c r="R37" s="672"/>
      <c r="S37" s="672"/>
      <c r="T37" s="672"/>
      <c r="U37" s="672"/>
      <c r="V37" s="672"/>
      <c r="W37" s="672"/>
      <c r="X37" s="672"/>
      <c r="Y37" s="672"/>
      <c r="Z37" s="672"/>
      <c r="AA37" s="673"/>
      <c r="AB37" s="671"/>
      <c r="AC37" s="672"/>
      <c r="AD37" s="672"/>
      <c r="AE37" s="672"/>
      <c r="AF37" s="672"/>
      <c r="AG37" s="672"/>
      <c r="AH37" s="672"/>
      <c r="AI37" s="672"/>
      <c r="AJ37" s="672"/>
      <c r="AK37" s="672"/>
      <c r="AL37" s="672"/>
      <c r="AM37" s="672"/>
      <c r="AN37" s="673"/>
      <c r="AO37" s="657"/>
      <c r="AP37" s="658"/>
      <c r="AQ37" s="658"/>
      <c r="AR37" s="658"/>
      <c r="AS37" s="658"/>
      <c r="AT37" s="658"/>
      <c r="AU37" s="658"/>
      <c r="AV37" s="658"/>
      <c r="AW37" s="658"/>
      <c r="AX37" s="658"/>
      <c r="AY37" s="658"/>
      <c r="AZ37" s="658"/>
      <c r="BA37" s="659"/>
      <c r="BB37" s="662"/>
      <c r="BC37" s="663"/>
      <c r="BD37" s="663"/>
      <c r="BE37" s="663"/>
      <c r="BF37" s="663"/>
      <c r="BG37" s="663"/>
      <c r="BH37" s="663"/>
      <c r="BI37" s="663"/>
      <c r="BJ37" s="663"/>
      <c r="BK37" s="663"/>
      <c r="BL37" s="663"/>
      <c r="BM37" s="663"/>
      <c r="BN37" s="664"/>
      <c r="BO37" s="126"/>
      <c r="BP37" s="126"/>
      <c r="BQ37" s="680" t="str">
        <f>IF(FP50=0,"",IF(AND(programma!$A$301="uitwerking",$B30="X"),FM37,IF(AND(AO37&lt;&gt;"",FP37=0,AO37&gt;FR37-0.9,AO37&lt;FR37+0.9),"Je hebt MO verkeerd afgerond!",IF(AND(AO37&lt;&gt;"",FP37=0),"Fout! Heb je voor ΔTO wel "&amp;AB38&amp;" - "&amp;AB35&amp;" en voor Δq "&amp;O38&amp;" - "&amp;O35&amp;" gebruikt?",IF(AND(BB38&lt;&gt;"",FQ39=0,BB38&gt;FS38-0.9,BB38&lt;FS38+0.9),"Je hebt GO verkeerd afgerond!",IF(AND(AO37&lt;&gt;"",FQ39=0),"Fout! Heb je voor GO wel "&amp;AB38&amp;" / "&amp;O38&amp;" genomen?",""))))))</f>
        <v/>
      </c>
      <c r="BR37" s="680"/>
      <c r="BS37" s="680"/>
      <c r="BT37" s="680"/>
      <c r="BU37" s="680"/>
      <c r="BV37" s="680"/>
      <c r="BW37" s="680"/>
      <c r="BX37" s="680"/>
      <c r="BY37" s="680"/>
      <c r="BZ37" s="680"/>
      <c r="CA37" s="680"/>
      <c r="CB37" s="680"/>
      <c r="CC37" s="680"/>
      <c r="CD37" s="681"/>
      <c r="CE37" s="681"/>
      <c r="CF37" s="681"/>
      <c r="CG37" s="681"/>
      <c r="CH37" s="681"/>
      <c r="CI37" s="681"/>
      <c r="CJ37" s="681"/>
      <c r="CK37" s="681"/>
      <c r="CL37" s="681"/>
      <c r="CM37" s="681"/>
      <c r="CN37" s="681"/>
      <c r="CO37" s="681"/>
      <c r="CP37" s="681"/>
      <c r="CQ37" s="681"/>
      <c r="CR37" s="681"/>
      <c r="CS37" s="681"/>
      <c r="CT37" s="681"/>
      <c r="CU37" s="681"/>
      <c r="CV37" s="681"/>
      <c r="CW37" s="681"/>
      <c r="CX37" s="681"/>
      <c r="CY37" s="681"/>
      <c r="CZ37" s="681"/>
      <c r="DA37" s="681"/>
      <c r="DB37" s="681"/>
      <c r="DC37" s="681"/>
      <c r="DD37" s="681"/>
      <c r="DE37" s="681"/>
      <c r="DF37" s="681"/>
      <c r="DG37" s="681"/>
      <c r="DH37" s="681"/>
      <c r="DI37" s="681"/>
      <c r="DJ37" s="681"/>
      <c r="DK37" s="681"/>
      <c r="DL37" s="681"/>
      <c r="DM37" s="681"/>
      <c r="DN37" s="681"/>
      <c r="DO37" s="681"/>
      <c r="DP37" s="681"/>
      <c r="DQ37" s="681"/>
      <c r="DR37" s="681"/>
      <c r="DS37" s="681"/>
      <c r="DT37" s="681"/>
      <c r="DU37" s="681"/>
      <c r="DV37" s="681"/>
      <c r="DW37" s="681"/>
      <c r="DX37" s="681"/>
      <c r="DY37" s="681"/>
      <c r="DZ37" s="681"/>
      <c r="EA37" s="681"/>
      <c r="EB37" s="681"/>
      <c r="EC37" s="681"/>
      <c r="ED37" s="681"/>
      <c r="EE37" s="669"/>
      <c r="EF37" s="669"/>
      <c r="EG37" s="669"/>
      <c r="EH37" s="669"/>
      <c r="EI37" s="669"/>
      <c r="EJ37" s="669"/>
      <c r="EK37" s="669"/>
      <c r="EL37" s="669"/>
      <c r="EM37" s="669"/>
      <c r="EN37" s="669"/>
      <c r="EO37" s="669"/>
      <c r="EP37" s="669"/>
      <c r="EQ37" s="669"/>
      <c r="ER37" s="669"/>
      <c r="ES37" s="669"/>
      <c r="ET37" s="669"/>
      <c r="EU37" s="669"/>
      <c r="EV37" s="669"/>
      <c r="EW37" s="669"/>
      <c r="EX37" s="669"/>
      <c r="EY37" s="547"/>
      <c r="EZ37" s="547"/>
      <c r="FA37" s="547"/>
      <c r="FB37" s="547"/>
      <c r="FC37" s="547"/>
      <c r="FD37" s="547"/>
      <c r="FE37" s="547"/>
      <c r="FF37" s="547"/>
      <c r="FG37" s="547"/>
      <c r="FH37" s="547"/>
      <c r="FI37" s="547"/>
      <c r="FJ37" s="547"/>
      <c r="FK37" s="547"/>
      <c r="FL37" s="547"/>
      <c r="FM37" s="468" t="e">
        <f ca="1">"MO = ("&amp;AB38&amp;" - "&amp;AB35&amp;") / ("&amp;O38&amp;" - "&amp;O35&amp;") = "&amp;FR37&amp;"; GO = "&amp;AB38&amp;" / "&amp;O38&amp;" = "&amp;FS38</f>
        <v>#VALUE!</v>
      </c>
      <c r="FN37" s="468"/>
      <c r="FO37" s="468"/>
      <c r="FP37" s="206" t="e">
        <f ca="1">IF(AND(AO37&lt;FR37+0.0001,AO37&gt;FR37-0.0001),1,0)</f>
        <v>#VALUE!</v>
      </c>
      <c r="FQ37" s="79"/>
      <c r="FR37" s="592" t="e">
        <f ca="1">IF(FO1=0,"",ROUND((AB38-AB35)/(O38-O35),1))</f>
        <v>#VALUE!</v>
      </c>
      <c r="FS37" s="645"/>
      <c r="FT37" s="79"/>
      <c r="FU37" s="78"/>
      <c r="FV37" s="78"/>
      <c r="FW37" s="78"/>
      <c r="FX37" s="78"/>
      <c r="FY37" s="78"/>
      <c r="FZ37" s="78"/>
      <c r="GA37" s="78"/>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row>
    <row r="38" spans="1:221" ht="3.75" customHeight="1">
      <c r="A38" s="1"/>
      <c r="B38" s="3"/>
      <c r="C38" s="3"/>
      <c r="D38" s="38"/>
      <c r="E38" s="10"/>
      <c r="F38" s="10"/>
      <c r="G38" s="10"/>
      <c r="H38" s="10"/>
      <c r="I38" s="10"/>
      <c r="J38" s="10"/>
      <c r="K38" s="10"/>
      <c r="L38" s="10"/>
      <c r="M38" s="10"/>
      <c r="N38" s="10"/>
      <c r="O38" s="665" t="str">
        <f ca="1">IF(FP1=0,"",0.4*O47)</f>
        <v/>
      </c>
      <c r="P38" s="666"/>
      <c r="Q38" s="666"/>
      <c r="R38" s="666"/>
      <c r="S38" s="666"/>
      <c r="T38" s="666"/>
      <c r="U38" s="666"/>
      <c r="V38" s="666"/>
      <c r="W38" s="666"/>
      <c r="X38" s="666"/>
      <c r="Y38" s="666"/>
      <c r="Z38" s="666"/>
      <c r="AA38" s="667"/>
      <c r="AB38" s="665" t="str">
        <f ca="1">IF(FP1=0,"",-FQ29*O38^2+FR29*O38)</f>
        <v/>
      </c>
      <c r="AC38" s="666"/>
      <c r="AD38" s="666"/>
      <c r="AE38" s="666"/>
      <c r="AF38" s="666"/>
      <c r="AG38" s="666"/>
      <c r="AH38" s="666"/>
      <c r="AI38" s="666"/>
      <c r="AJ38" s="666"/>
      <c r="AK38" s="666"/>
      <c r="AL38" s="666"/>
      <c r="AM38" s="666"/>
      <c r="AN38" s="667"/>
      <c r="AO38" s="660"/>
      <c r="AP38" s="551"/>
      <c r="AQ38" s="551"/>
      <c r="AR38" s="551"/>
      <c r="AS38" s="551"/>
      <c r="AT38" s="551"/>
      <c r="AU38" s="551"/>
      <c r="AV38" s="551"/>
      <c r="AW38" s="551"/>
      <c r="AX38" s="551"/>
      <c r="AY38" s="551"/>
      <c r="AZ38" s="551"/>
      <c r="BA38" s="661"/>
      <c r="BB38" s="657"/>
      <c r="BC38" s="658"/>
      <c r="BD38" s="658"/>
      <c r="BE38" s="658"/>
      <c r="BF38" s="658"/>
      <c r="BG38" s="658"/>
      <c r="BH38" s="658"/>
      <c r="BI38" s="658"/>
      <c r="BJ38" s="658"/>
      <c r="BK38" s="658"/>
      <c r="BL38" s="658"/>
      <c r="BM38" s="658"/>
      <c r="BN38" s="659"/>
      <c r="BO38" s="126"/>
      <c r="BP38" s="126"/>
      <c r="BQ38" s="682"/>
      <c r="BR38" s="682"/>
      <c r="BS38" s="682"/>
      <c r="BT38" s="682"/>
      <c r="BU38" s="682"/>
      <c r="BV38" s="682"/>
      <c r="BW38" s="682"/>
      <c r="BX38" s="682"/>
      <c r="BY38" s="682"/>
      <c r="BZ38" s="682"/>
      <c r="CA38" s="682"/>
      <c r="CB38" s="682"/>
      <c r="CC38" s="682"/>
      <c r="CD38" s="681"/>
      <c r="CE38" s="681"/>
      <c r="CF38" s="681"/>
      <c r="CG38" s="681"/>
      <c r="CH38" s="681"/>
      <c r="CI38" s="681"/>
      <c r="CJ38" s="681"/>
      <c r="CK38" s="681"/>
      <c r="CL38" s="681"/>
      <c r="CM38" s="681"/>
      <c r="CN38" s="681"/>
      <c r="CO38" s="681"/>
      <c r="CP38" s="681"/>
      <c r="CQ38" s="681"/>
      <c r="CR38" s="681"/>
      <c r="CS38" s="681"/>
      <c r="CT38" s="681"/>
      <c r="CU38" s="681"/>
      <c r="CV38" s="681"/>
      <c r="CW38" s="681"/>
      <c r="CX38" s="681"/>
      <c r="CY38" s="681"/>
      <c r="CZ38" s="681"/>
      <c r="DA38" s="681"/>
      <c r="DB38" s="681"/>
      <c r="DC38" s="681"/>
      <c r="DD38" s="681"/>
      <c r="DE38" s="681"/>
      <c r="DF38" s="681"/>
      <c r="DG38" s="681"/>
      <c r="DH38" s="681"/>
      <c r="DI38" s="681"/>
      <c r="DJ38" s="681"/>
      <c r="DK38" s="681"/>
      <c r="DL38" s="681"/>
      <c r="DM38" s="681"/>
      <c r="DN38" s="681"/>
      <c r="DO38" s="681"/>
      <c r="DP38" s="681"/>
      <c r="DQ38" s="681"/>
      <c r="DR38" s="681"/>
      <c r="DS38" s="681"/>
      <c r="DT38" s="681"/>
      <c r="DU38" s="681"/>
      <c r="DV38" s="681"/>
      <c r="DW38" s="681"/>
      <c r="DX38" s="681"/>
      <c r="DY38" s="681"/>
      <c r="DZ38" s="681"/>
      <c r="EA38" s="681"/>
      <c r="EB38" s="681"/>
      <c r="EC38" s="681"/>
      <c r="ED38" s="681"/>
      <c r="EE38" s="669"/>
      <c r="EF38" s="669"/>
      <c r="EG38" s="669"/>
      <c r="EH38" s="669"/>
      <c r="EI38" s="669"/>
      <c r="EJ38" s="669"/>
      <c r="EK38" s="669"/>
      <c r="EL38" s="669"/>
      <c r="EM38" s="669"/>
      <c r="EN38" s="669"/>
      <c r="EO38" s="669"/>
      <c r="EP38" s="669"/>
      <c r="EQ38" s="669"/>
      <c r="ER38" s="669"/>
      <c r="ES38" s="669"/>
      <c r="ET38" s="669"/>
      <c r="EU38" s="669"/>
      <c r="EV38" s="669"/>
      <c r="EW38" s="669"/>
      <c r="EX38" s="669"/>
      <c r="EY38" s="547"/>
      <c r="EZ38" s="547"/>
      <c r="FA38" s="547"/>
      <c r="FB38" s="547"/>
      <c r="FC38" s="547"/>
      <c r="FD38" s="547"/>
      <c r="FE38" s="547"/>
      <c r="FF38" s="547"/>
      <c r="FG38" s="547"/>
      <c r="FH38" s="547"/>
      <c r="FI38" s="547"/>
      <c r="FJ38" s="547"/>
      <c r="FK38" s="547"/>
      <c r="FL38" s="547"/>
      <c r="FM38" s="468"/>
      <c r="FN38" s="468"/>
      <c r="FO38" s="468"/>
      <c r="FP38" s="116"/>
      <c r="FQ38" s="79"/>
      <c r="FR38" s="645"/>
      <c r="FS38" s="592" t="e">
        <f ca="1">IF(FO1=0,"",ROUND(AB38/O38,1))</f>
        <v>#VALUE!</v>
      </c>
      <c r="FT38" s="79"/>
      <c r="FU38" s="78"/>
      <c r="FV38" s="78"/>
      <c r="FW38" s="78"/>
      <c r="FX38" s="78"/>
      <c r="FY38" s="78"/>
      <c r="FZ38" s="78"/>
      <c r="GA38" s="78"/>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row>
    <row r="39" spans="1:221" ht="7.5" customHeight="1" thickBot="1">
      <c r="A39" s="1"/>
      <c r="B39" s="3"/>
      <c r="C39" s="3"/>
      <c r="D39" s="38"/>
      <c r="E39" s="10"/>
      <c r="F39" s="10"/>
      <c r="G39" s="10"/>
      <c r="H39" s="10"/>
      <c r="I39" s="10"/>
      <c r="J39" s="10"/>
      <c r="K39" s="10"/>
      <c r="L39" s="10"/>
      <c r="M39" s="10"/>
      <c r="N39" s="10"/>
      <c r="O39" s="668"/>
      <c r="P39" s="669"/>
      <c r="Q39" s="669"/>
      <c r="R39" s="669"/>
      <c r="S39" s="669"/>
      <c r="T39" s="669"/>
      <c r="U39" s="669"/>
      <c r="V39" s="669"/>
      <c r="W39" s="669"/>
      <c r="X39" s="669"/>
      <c r="Y39" s="669"/>
      <c r="Z39" s="669"/>
      <c r="AA39" s="670"/>
      <c r="AB39" s="668"/>
      <c r="AC39" s="669"/>
      <c r="AD39" s="669"/>
      <c r="AE39" s="669"/>
      <c r="AF39" s="669"/>
      <c r="AG39" s="669"/>
      <c r="AH39" s="669"/>
      <c r="AI39" s="669"/>
      <c r="AJ39" s="669"/>
      <c r="AK39" s="669"/>
      <c r="AL39" s="669"/>
      <c r="AM39" s="669"/>
      <c r="AN39" s="670"/>
      <c r="AO39" s="662"/>
      <c r="AP39" s="663"/>
      <c r="AQ39" s="663"/>
      <c r="AR39" s="663"/>
      <c r="AS39" s="663"/>
      <c r="AT39" s="663"/>
      <c r="AU39" s="663"/>
      <c r="AV39" s="663"/>
      <c r="AW39" s="663"/>
      <c r="AX39" s="663"/>
      <c r="AY39" s="663"/>
      <c r="AZ39" s="663"/>
      <c r="BA39" s="664"/>
      <c r="BB39" s="660"/>
      <c r="BC39" s="551"/>
      <c r="BD39" s="551"/>
      <c r="BE39" s="551"/>
      <c r="BF39" s="551"/>
      <c r="BG39" s="551"/>
      <c r="BH39" s="551"/>
      <c r="BI39" s="551"/>
      <c r="BJ39" s="551"/>
      <c r="BK39" s="551"/>
      <c r="BL39" s="551"/>
      <c r="BM39" s="551"/>
      <c r="BN39" s="661"/>
      <c r="BO39" s="126"/>
      <c r="BP39" s="126"/>
      <c r="BQ39" s="680"/>
      <c r="BR39" s="680"/>
      <c r="BS39" s="680"/>
      <c r="BT39" s="680"/>
      <c r="BU39" s="680"/>
      <c r="BV39" s="680"/>
      <c r="BW39" s="680"/>
      <c r="BX39" s="680"/>
      <c r="BY39" s="680"/>
      <c r="BZ39" s="680"/>
      <c r="CA39" s="680"/>
      <c r="CB39" s="680"/>
      <c r="CC39" s="680"/>
      <c r="CD39" s="681"/>
      <c r="CE39" s="681"/>
      <c r="CF39" s="681"/>
      <c r="CG39" s="681"/>
      <c r="CH39" s="681"/>
      <c r="CI39" s="681"/>
      <c r="CJ39" s="681"/>
      <c r="CK39" s="681"/>
      <c r="CL39" s="681"/>
      <c r="CM39" s="681"/>
      <c r="CN39" s="681"/>
      <c r="CO39" s="681"/>
      <c r="CP39" s="681"/>
      <c r="CQ39" s="681"/>
      <c r="CR39" s="681"/>
      <c r="CS39" s="681"/>
      <c r="CT39" s="681"/>
      <c r="CU39" s="681"/>
      <c r="CV39" s="681"/>
      <c r="CW39" s="681"/>
      <c r="CX39" s="681"/>
      <c r="CY39" s="681"/>
      <c r="CZ39" s="681"/>
      <c r="DA39" s="681"/>
      <c r="DB39" s="681"/>
      <c r="DC39" s="681"/>
      <c r="DD39" s="681"/>
      <c r="DE39" s="681"/>
      <c r="DF39" s="681"/>
      <c r="DG39" s="681"/>
      <c r="DH39" s="681"/>
      <c r="DI39" s="681"/>
      <c r="DJ39" s="681"/>
      <c r="DK39" s="681"/>
      <c r="DL39" s="681"/>
      <c r="DM39" s="681"/>
      <c r="DN39" s="681"/>
      <c r="DO39" s="681"/>
      <c r="DP39" s="681"/>
      <c r="DQ39" s="681"/>
      <c r="DR39" s="681"/>
      <c r="DS39" s="681"/>
      <c r="DT39" s="681"/>
      <c r="DU39" s="681"/>
      <c r="DV39" s="681"/>
      <c r="DW39" s="681"/>
      <c r="DX39" s="681"/>
      <c r="DY39" s="681"/>
      <c r="DZ39" s="681"/>
      <c r="EA39" s="681"/>
      <c r="EB39" s="681"/>
      <c r="EC39" s="681"/>
      <c r="ED39" s="681"/>
      <c r="EE39" s="669"/>
      <c r="EF39" s="669"/>
      <c r="EG39" s="669"/>
      <c r="EH39" s="669"/>
      <c r="EI39" s="669"/>
      <c r="EJ39" s="669"/>
      <c r="EK39" s="669"/>
      <c r="EL39" s="669"/>
      <c r="EM39" s="669"/>
      <c r="EN39" s="669"/>
      <c r="EO39" s="669"/>
      <c r="EP39" s="669"/>
      <c r="EQ39" s="669"/>
      <c r="ER39" s="669"/>
      <c r="ES39" s="669"/>
      <c r="ET39" s="669"/>
      <c r="EU39" s="669"/>
      <c r="EV39" s="669"/>
      <c r="EW39" s="669"/>
      <c r="EX39" s="669"/>
      <c r="EY39" s="547"/>
      <c r="EZ39" s="547"/>
      <c r="FA39" s="547"/>
      <c r="FB39" s="547"/>
      <c r="FC39" s="547"/>
      <c r="FD39" s="547"/>
      <c r="FE39" s="547"/>
      <c r="FF39" s="547"/>
      <c r="FG39" s="547"/>
      <c r="FH39" s="547"/>
      <c r="FI39" s="547"/>
      <c r="FJ39" s="547"/>
      <c r="FK39" s="547"/>
      <c r="FL39" s="547"/>
      <c r="FM39" s="468"/>
      <c r="FN39" s="468"/>
      <c r="FO39" s="468"/>
      <c r="FP39" s="116"/>
      <c r="FQ39" s="206" t="e">
        <f ca="1">IF(AND(BB38&lt;FS38+0.0001,BB38&gt;FS38-0.0001),1,0)</f>
        <v>#VALUE!</v>
      </c>
      <c r="FR39" s="645"/>
      <c r="FS39" s="645"/>
      <c r="FT39" s="79"/>
      <c r="FU39" s="78"/>
      <c r="FV39" s="78"/>
      <c r="FW39" s="78"/>
      <c r="FX39" s="78"/>
      <c r="FY39" s="78"/>
      <c r="FZ39" s="78"/>
      <c r="GA39" s="78"/>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49"/>
      <c r="HI39" s="49"/>
      <c r="HJ39" s="49"/>
      <c r="HK39" s="49"/>
      <c r="HL39" s="49"/>
      <c r="HM39" s="49"/>
    </row>
    <row r="40" spans="1:221" ht="11.25" customHeight="1" thickBot="1">
      <c r="A40" s="1"/>
      <c r="B40" s="3"/>
      <c r="C40" s="3"/>
      <c r="D40" s="38"/>
      <c r="E40" s="10"/>
      <c r="F40" s="10"/>
      <c r="G40" s="10"/>
      <c r="H40" s="10"/>
      <c r="I40" s="10"/>
      <c r="J40" s="10"/>
      <c r="K40" s="10"/>
      <c r="L40" s="10"/>
      <c r="M40" s="10"/>
      <c r="N40" s="10"/>
      <c r="O40" s="671"/>
      <c r="P40" s="672"/>
      <c r="Q40" s="672"/>
      <c r="R40" s="672"/>
      <c r="S40" s="672"/>
      <c r="T40" s="672"/>
      <c r="U40" s="672"/>
      <c r="V40" s="672"/>
      <c r="W40" s="672"/>
      <c r="X40" s="672"/>
      <c r="Y40" s="672"/>
      <c r="Z40" s="672"/>
      <c r="AA40" s="673"/>
      <c r="AB40" s="671"/>
      <c r="AC40" s="672"/>
      <c r="AD40" s="672"/>
      <c r="AE40" s="672"/>
      <c r="AF40" s="672"/>
      <c r="AG40" s="672"/>
      <c r="AH40" s="672"/>
      <c r="AI40" s="672"/>
      <c r="AJ40" s="672"/>
      <c r="AK40" s="672"/>
      <c r="AL40" s="672"/>
      <c r="AM40" s="672"/>
      <c r="AN40" s="673"/>
      <c r="AO40" s="657"/>
      <c r="AP40" s="658"/>
      <c r="AQ40" s="658"/>
      <c r="AR40" s="658"/>
      <c r="AS40" s="658"/>
      <c r="AT40" s="658"/>
      <c r="AU40" s="658"/>
      <c r="AV40" s="658"/>
      <c r="AW40" s="658"/>
      <c r="AX40" s="658"/>
      <c r="AY40" s="658"/>
      <c r="AZ40" s="658"/>
      <c r="BA40" s="659"/>
      <c r="BB40" s="662"/>
      <c r="BC40" s="663"/>
      <c r="BD40" s="663"/>
      <c r="BE40" s="663"/>
      <c r="BF40" s="663"/>
      <c r="BG40" s="663"/>
      <c r="BH40" s="663"/>
      <c r="BI40" s="663"/>
      <c r="BJ40" s="663"/>
      <c r="BK40" s="663"/>
      <c r="BL40" s="663"/>
      <c r="BM40" s="663"/>
      <c r="BN40" s="664"/>
      <c r="BO40" s="126"/>
      <c r="BP40" s="126"/>
      <c r="BQ40" s="680" t="str">
        <f>IF(FP50=0,"",IF(AND(programma!$A$301="uitwerking",$B30="X"),FM40,IF(AND(AO40&lt;&gt;"",FP40=0,AO40&gt;FR40-0.9,AO40&lt;FR40+0.9),"Je hebt MO verkeerd afgerond!",IF(AND(AO40&lt;&gt;"",FP40=0),"Fout! Heb je voor ΔTO wel "&amp;AB41&amp;" - "&amp;AB38&amp;" en voor Δq "&amp;O41&amp;" - "&amp;O38&amp;" gebruikt?",IF(AND(BB41&lt;&gt;"",FQ42=0,BB41&gt;FS41-0.9,BB41&lt;FS41+0.9),"Je hebt GO verkeerd afgerond!",IF(AND(AO40&lt;&gt;"",FQ42=0),"Fout! Heb je voor GO wel "&amp;AB41&amp;" / "&amp;O41&amp;" genomen?",""))))))</f>
        <v/>
      </c>
      <c r="BR40" s="680"/>
      <c r="BS40" s="680"/>
      <c r="BT40" s="680"/>
      <c r="BU40" s="680"/>
      <c r="BV40" s="680"/>
      <c r="BW40" s="680"/>
      <c r="BX40" s="680"/>
      <c r="BY40" s="680"/>
      <c r="BZ40" s="680"/>
      <c r="CA40" s="680"/>
      <c r="CB40" s="680"/>
      <c r="CC40" s="680"/>
      <c r="CD40" s="681"/>
      <c r="CE40" s="681"/>
      <c r="CF40" s="681"/>
      <c r="CG40" s="681"/>
      <c r="CH40" s="681"/>
      <c r="CI40" s="681"/>
      <c r="CJ40" s="681"/>
      <c r="CK40" s="681"/>
      <c r="CL40" s="681"/>
      <c r="CM40" s="681"/>
      <c r="CN40" s="681"/>
      <c r="CO40" s="681"/>
      <c r="CP40" s="681"/>
      <c r="CQ40" s="681"/>
      <c r="CR40" s="681"/>
      <c r="CS40" s="681"/>
      <c r="CT40" s="681"/>
      <c r="CU40" s="681"/>
      <c r="CV40" s="681"/>
      <c r="CW40" s="681"/>
      <c r="CX40" s="681"/>
      <c r="CY40" s="681"/>
      <c r="CZ40" s="681"/>
      <c r="DA40" s="681"/>
      <c r="DB40" s="681"/>
      <c r="DC40" s="681"/>
      <c r="DD40" s="681"/>
      <c r="DE40" s="681"/>
      <c r="DF40" s="681"/>
      <c r="DG40" s="681"/>
      <c r="DH40" s="681"/>
      <c r="DI40" s="681"/>
      <c r="DJ40" s="681"/>
      <c r="DK40" s="681"/>
      <c r="DL40" s="681"/>
      <c r="DM40" s="681"/>
      <c r="DN40" s="681"/>
      <c r="DO40" s="681"/>
      <c r="DP40" s="681"/>
      <c r="DQ40" s="681"/>
      <c r="DR40" s="681"/>
      <c r="DS40" s="681"/>
      <c r="DT40" s="681"/>
      <c r="DU40" s="681"/>
      <c r="DV40" s="681"/>
      <c r="DW40" s="681"/>
      <c r="DX40" s="681"/>
      <c r="DY40" s="681"/>
      <c r="DZ40" s="681"/>
      <c r="EA40" s="681"/>
      <c r="EB40" s="681"/>
      <c r="EC40" s="681"/>
      <c r="ED40" s="681"/>
      <c r="EE40" s="669"/>
      <c r="EF40" s="669"/>
      <c r="EG40" s="669"/>
      <c r="EH40" s="669"/>
      <c r="EI40" s="669"/>
      <c r="EJ40" s="669"/>
      <c r="EK40" s="669"/>
      <c r="EL40" s="669"/>
      <c r="EM40" s="669"/>
      <c r="EN40" s="669"/>
      <c r="EO40" s="669"/>
      <c r="EP40" s="669"/>
      <c r="EQ40" s="669"/>
      <c r="ER40" s="669"/>
      <c r="ES40" s="669"/>
      <c r="ET40" s="669"/>
      <c r="EU40" s="669"/>
      <c r="EV40" s="669"/>
      <c r="EW40" s="669"/>
      <c r="EX40" s="669"/>
      <c r="EY40" s="547"/>
      <c r="EZ40" s="547"/>
      <c r="FA40" s="547"/>
      <c r="FB40" s="547"/>
      <c r="FC40" s="547"/>
      <c r="FD40" s="547"/>
      <c r="FE40" s="547"/>
      <c r="FF40" s="547"/>
      <c r="FG40" s="547"/>
      <c r="FH40" s="547"/>
      <c r="FI40" s="547"/>
      <c r="FJ40" s="547"/>
      <c r="FK40" s="547"/>
      <c r="FL40" s="547"/>
      <c r="FM40" s="468" t="e">
        <f ca="1">"MO = ("&amp;AB41&amp;" - "&amp;AB38&amp;") / ("&amp;O41&amp;" - "&amp;O38&amp;") = "&amp;FR40&amp;"; GO = "&amp;AB41&amp;" / "&amp;O41&amp;" = "&amp;FS41</f>
        <v>#VALUE!</v>
      </c>
      <c r="FN40" s="468"/>
      <c r="FO40" s="468"/>
      <c r="FP40" s="206" t="e">
        <f ca="1">IF(AND(AO40&lt;FR40+0.0001,AO40&gt;FR40-0.0001),1,0)</f>
        <v>#VALUE!</v>
      </c>
      <c r="FQ40" s="79"/>
      <c r="FR40" s="592" t="e">
        <f ca="1">IF(FO1=0,"",ROUND((AB41-AB38)/(O41-O38),1))</f>
        <v>#VALUE!</v>
      </c>
      <c r="FS40" s="645"/>
      <c r="FT40" s="79"/>
      <c r="FU40" s="78"/>
      <c r="FV40" s="78"/>
      <c r="FW40" s="78"/>
      <c r="FX40" s="78"/>
      <c r="FY40" s="78"/>
      <c r="FZ40" s="78"/>
      <c r="GA40" s="78"/>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49"/>
      <c r="HI40" s="49"/>
      <c r="HJ40" s="49"/>
      <c r="HK40" s="49"/>
      <c r="HL40" s="49"/>
      <c r="HM40" s="49"/>
    </row>
    <row r="41" spans="1:221" ht="3.75" customHeight="1">
      <c r="A41" s="1"/>
      <c r="B41" s="3"/>
      <c r="C41" s="3"/>
      <c r="D41" s="38"/>
      <c r="E41" s="10"/>
      <c r="F41" s="10"/>
      <c r="G41" s="10"/>
      <c r="H41" s="10"/>
      <c r="I41" s="10"/>
      <c r="J41" s="10"/>
      <c r="K41" s="10"/>
      <c r="L41" s="10"/>
      <c r="M41" s="10"/>
      <c r="N41" s="10"/>
      <c r="O41" s="665" t="str">
        <f ca="1">IF(FP1=0,"",0.6*O47)</f>
        <v/>
      </c>
      <c r="P41" s="666"/>
      <c r="Q41" s="666"/>
      <c r="R41" s="666"/>
      <c r="S41" s="666"/>
      <c r="T41" s="666"/>
      <c r="U41" s="666"/>
      <c r="V41" s="666"/>
      <c r="W41" s="666"/>
      <c r="X41" s="666"/>
      <c r="Y41" s="666"/>
      <c r="Z41" s="666"/>
      <c r="AA41" s="667"/>
      <c r="AB41" s="665" t="str">
        <f ca="1">IF(FP1=0,"",-FQ29*O41^2+FR29*O41)</f>
        <v/>
      </c>
      <c r="AC41" s="666"/>
      <c r="AD41" s="666"/>
      <c r="AE41" s="666"/>
      <c r="AF41" s="666"/>
      <c r="AG41" s="666"/>
      <c r="AH41" s="666"/>
      <c r="AI41" s="666"/>
      <c r="AJ41" s="666"/>
      <c r="AK41" s="666"/>
      <c r="AL41" s="666"/>
      <c r="AM41" s="666"/>
      <c r="AN41" s="667"/>
      <c r="AO41" s="660"/>
      <c r="AP41" s="551"/>
      <c r="AQ41" s="551"/>
      <c r="AR41" s="551"/>
      <c r="AS41" s="551"/>
      <c r="AT41" s="551"/>
      <c r="AU41" s="551"/>
      <c r="AV41" s="551"/>
      <c r="AW41" s="551"/>
      <c r="AX41" s="551"/>
      <c r="AY41" s="551"/>
      <c r="AZ41" s="551"/>
      <c r="BA41" s="661"/>
      <c r="BB41" s="657"/>
      <c r="BC41" s="658"/>
      <c r="BD41" s="658"/>
      <c r="BE41" s="658"/>
      <c r="BF41" s="658"/>
      <c r="BG41" s="658"/>
      <c r="BH41" s="658"/>
      <c r="BI41" s="658"/>
      <c r="BJ41" s="658"/>
      <c r="BK41" s="658"/>
      <c r="BL41" s="658"/>
      <c r="BM41" s="658"/>
      <c r="BN41" s="659"/>
      <c r="BO41" s="126"/>
      <c r="BP41" s="126"/>
      <c r="BQ41" s="682"/>
      <c r="BR41" s="682"/>
      <c r="BS41" s="682"/>
      <c r="BT41" s="682"/>
      <c r="BU41" s="682"/>
      <c r="BV41" s="682"/>
      <c r="BW41" s="682"/>
      <c r="BX41" s="682"/>
      <c r="BY41" s="682"/>
      <c r="BZ41" s="682"/>
      <c r="CA41" s="682"/>
      <c r="CB41" s="682"/>
      <c r="CC41" s="682"/>
      <c r="CD41" s="681"/>
      <c r="CE41" s="681"/>
      <c r="CF41" s="681"/>
      <c r="CG41" s="681"/>
      <c r="CH41" s="681"/>
      <c r="CI41" s="681"/>
      <c r="CJ41" s="681"/>
      <c r="CK41" s="681"/>
      <c r="CL41" s="681"/>
      <c r="CM41" s="681"/>
      <c r="CN41" s="681"/>
      <c r="CO41" s="681"/>
      <c r="CP41" s="681"/>
      <c r="CQ41" s="681"/>
      <c r="CR41" s="681"/>
      <c r="CS41" s="681"/>
      <c r="CT41" s="681"/>
      <c r="CU41" s="681"/>
      <c r="CV41" s="681"/>
      <c r="CW41" s="681"/>
      <c r="CX41" s="681"/>
      <c r="CY41" s="681"/>
      <c r="CZ41" s="681"/>
      <c r="DA41" s="681"/>
      <c r="DB41" s="681"/>
      <c r="DC41" s="681"/>
      <c r="DD41" s="681"/>
      <c r="DE41" s="681"/>
      <c r="DF41" s="681"/>
      <c r="DG41" s="681"/>
      <c r="DH41" s="681"/>
      <c r="DI41" s="681"/>
      <c r="DJ41" s="681"/>
      <c r="DK41" s="681"/>
      <c r="DL41" s="681"/>
      <c r="DM41" s="681"/>
      <c r="DN41" s="681"/>
      <c r="DO41" s="681"/>
      <c r="DP41" s="681"/>
      <c r="DQ41" s="681"/>
      <c r="DR41" s="681"/>
      <c r="DS41" s="681"/>
      <c r="DT41" s="681"/>
      <c r="DU41" s="681"/>
      <c r="DV41" s="681"/>
      <c r="DW41" s="681"/>
      <c r="DX41" s="681"/>
      <c r="DY41" s="681"/>
      <c r="DZ41" s="681"/>
      <c r="EA41" s="681"/>
      <c r="EB41" s="681"/>
      <c r="EC41" s="681"/>
      <c r="ED41" s="681"/>
      <c r="EE41" s="669"/>
      <c r="EF41" s="669"/>
      <c r="EG41" s="669"/>
      <c r="EH41" s="669"/>
      <c r="EI41" s="669"/>
      <c r="EJ41" s="669"/>
      <c r="EK41" s="669"/>
      <c r="EL41" s="669"/>
      <c r="EM41" s="669"/>
      <c r="EN41" s="669"/>
      <c r="EO41" s="669"/>
      <c r="EP41" s="669"/>
      <c r="EQ41" s="669"/>
      <c r="ER41" s="669"/>
      <c r="ES41" s="669"/>
      <c r="ET41" s="669"/>
      <c r="EU41" s="669"/>
      <c r="EV41" s="669"/>
      <c r="EW41" s="669"/>
      <c r="EX41" s="669"/>
      <c r="EY41" s="547"/>
      <c r="EZ41" s="547"/>
      <c r="FA41" s="547"/>
      <c r="FB41" s="547"/>
      <c r="FC41" s="547"/>
      <c r="FD41" s="547"/>
      <c r="FE41" s="547"/>
      <c r="FF41" s="547"/>
      <c r="FG41" s="547"/>
      <c r="FH41" s="547"/>
      <c r="FI41" s="547"/>
      <c r="FJ41" s="547"/>
      <c r="FK41" s="547"/>
      <c r="FL41" s="547"/>
      <c r="FM41" s="468"/>
      <c r="FN41" s="468"/>
      <c r="FO41" s="468"/>
      <c r="FP41" s="116"/>
      <c r="FQ41" s="79"/>
      <c r="FR41" s="645"/>
      <c r="FS41" s="592" t="e">
        <f ca="1">IF(FO1=0,"",ROUND(AB41/O41,1))</f>
        <v>#VALUE!</v>
      </c>
      <c r="FT41" s="79"/>
      <c r="FU41" s="78"/>
      <c r="FV41" s="78"/>
      <c r="FW41" s="78"/>
      <c r="FX41" s="78"/>
      <c r="FY41" s="78"/>
      <c r="FZ41" s="78"/>
      <c r="GA41" s="78"/>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49"/>
      <c r="HI41" s="49"/>
      <c r="HJ41" s="49"/>
      <c r="HK41" s="49"/>
      <c r="HL41" s="49"/>
      <c r="HM41" s="49"/>
    </row>
    <row r="42" spans="1:221" ht="7.5" customHeight="1" thickBot="1">
      <c r="A42" s="1"/>
      <c r="B42" s="3"/>
      <c r="C42" s="3"/>
      <c r="D42" s="38"/>
      <c r="E42" s="10"/>
      <c r="F42" s="10"/>
      <c r="G42" s="10"/>
      <c r="H42" s="10"/>
      <c r="I42" s="10"/>
      <c r="J42" s="10"/>
      <c r="K42" s="10"/>
      <c r="L42" s="10"/>
      <c r="M42" s="10"/>
      <c r="N42" s="10"/>
      <c r="O42" s="668"/>
      <c r="P42" s="669"/>
      <c r="Q42" s="669"/>
      <c r="R42" s="669"/>
      <c r="S42" s="669"/>
      <c r="T42" s="669"/>
      <c r="U42" s="669"/>
      <c r="V42" s="669"/>
      <c r="W42" s="669"/>
      <c r="X42" s="669"/>
      <c r="Y42" s="669"/>
      <c r="Z42" s="669"/>
      <c r="AA42" s="670"/>
      <c r="AB42" s="668"/>
      <c r="AC42" s="669"/>
      <c r="AD42" s="669"/>
      <c r="AE42" s="669"/>
      <c r="AF42" s="669"/>
      <c r="AG42" s="669"/>
      <c r="AH42" s="669"/>
      <c r="AI42" s="669"/>
      <c r="AJ42" s="669"/>
      <c r="AK42" s="669"/>
      <c r="AL42" s="669"/>
      <c r="AM42" s="669"/>
      <c r="AN42" s="670"/>
      <c r="AO42" s="662"/>
      <c r="AP42" s="663"/>
      <c r="AQ42" s="663"/>
      <c r="AR42" s="663"/>
      <c r="AS42" s="663"/>
      <c r="AT42" s="663"/>
      <c r="AU42" s="663"/>
      <c r="AV42" s="663"/>
      <c r="AW42" s="663"/>
      <c r="AX42" s="663"/>
      <c r="AY42" s="663"/>
      <c r="AZ42" s="663"/>
      <c r="BA42" s="664"/>
      <c r="BB42" s="660"/>
      <c r="BC42" s="551"/>
      <c r="BD42" s="551"/>
      <c r="BE42" s="551"/>
      <c r="BF42" s="551"/>
      <c r="BG42" s="551"/>
      <c r="BH42" s="551"/>
      <c r="BI42" s="551"/>
      <c r="BJ42" s="551"/>
      <c r="BK42" s="551"/>
      <c r="BL42" s="551"/>
      <c r="BM42" s="551"/>
      <c r="BN42" s="661"/>
      <c r="BO42" s="126"/>
      <c r="BP42" s="126"/>
      <c r="BQ42" s="680"/>
      <c r="BR42" s="680"/>
      <c r="BS42" s="680"/>
      <c r="BT42" s="680"/>
      <c r="BU42" s="680"/>
      <c r="BV42" s="680"/>
      <c r="BW42" s="680"/>
      <c r="BX42" s="680"/>
      <c r="BY42" s="680"/>
      <c r="BZ42" s="680"/>
      <c r="CA42" s="680"/>
      <c r="CB42" s="680"/>
      <c r="CC42" s="680"/>
      <c r="CD42" s="681"/>
      <c r="CE42" s="681"/>
      <c r="CF42" s="681"/>
      <c r="CG42" s="681"/>
      <c r="CH42" s="681"/>
      <c r="CI42" s="681"/>
      <c r="CJ42" s="681"/>
      <c r="CK42" s="681"/>
      <c r="CL42" s="681"/>
      <c r="CM42" s="681"/>
      <c r="CN42" s="681"/>
      <c r="CO42" s="681"/>
      <c r="CP42" s="681"/>
      <c r="CQ42" s="681"/>
      <c r="CR42" s="681"/>
      <c r="CS42" s="681"/>
      <c r="CT42" s="681"/>
      <c r="CU42" s="681"/>
      <c r="CV42" s="681"/>
      <c r="CW42" s="681"/>
      <c r="CX42" s="681"/>
      <c r="CY42" s="681"/>
      <c r="CZ42" s="681"/>
      <c r="DA42" s="681"/>
      <c r="DB42" s="681"/>
      <c r="DC42" s="681"/>
      <c r="DD42" s="681"/>
      <c r="DE42" s="681"/>
      <c r="DF42" s="681"/>
      <c r="DG42" s="681"/>
      <c r="DH42" s="681"/>
      <c r="DI42" s="681"/>
      <c r="DJ42" s="681"/>
      <c r="DK42" s="681"/>
      <c r="DL42" s="681"/>
      <c r="DM42" s="681"/>
      <c r="DN42" s="681"/>
      <c r="DO42" s="681"/>
      <c r="DP42" s="681"/>
      <c r="DQ42" s="681"/>
      <c r="DR42" s="681"/>
      <c r="DS42" s="681"/>
      <c r="DT42" s="681"/>
      <c r="DU42" s="681"/>
      <c r="DV42" s="681"/>
      <c r="DW42" s="681"/>
      <c r="DX42" s="681"/>
      <c r="DY42" s="681"/>
      <c r="DZ42" s="681"/>
      <c r="EA42" s="681"/>
      <c r="EB42" s="681"/>
      <c r="EC42" s="681"/>
      <c r="ED42" s="681"/>
      <c r="EE42" s="669"/>
      <c r="EF42" s="669"/>
      <c r="EG42" s="669"/>
      <c r="EH42" s="669"/>
      <c r="EI42" s="669"/>
      <c r="EJ42" s="669"/>
      <c r="EK42" s="669"/>
      <c r="EL42" s="669"/>
      <c r="EM42" s="669"/>
      <c r="EN42" s="669"/>
      <c r="EO42" s="669"/>
      <c r="EP42" s="669"/>
      <c r="EQ42" s="669"/>
      <c r="ER42" s="669"/>
      <c r="ES42" s="669"/>
      <c r="ET42" s="669"/>
      <c r="EU42" s="669"/>
      <c r="EV42" s="669"/>
      <c r="EW42" s="669"/>
      <c r="EX42" s="669"/>
      <c r="EY42" s="547"/>
      <c r="EZ42" s="547"/>
      <c r="FA42" s="547"/>
      <c r="FB42" s="547"/>
      <c r="FC42" s="547"/>
      <c r="FD42" s="547"/>
      <c r="FE42" s="547"/>
      <c r="FF42" s="547"/>
      <c r="FG42" s="547"/>
      <c r="FH42" s="547"/>
      <c r="FI42" s="547"/>
      <c r="FJ42" s="547"/>
      <c r="FK42" s="547"/>
      <c r="FL42" s="547"/>
      <c r="FM42" s="468"/>
      <c r="FN42" s="468"/>
      <c r="FO42" s="468"/>
      <c r="FP42" s="116"/>
      <c r="FQ42" s="206" t="e">
        <f ca="1">IF(AND(BB41&lt;FS41+0.0001,BB41&gt;FS41-0.0001),1,0)</f>
        <v>#VALUE!</v>
      </c>
      <c r="FR42" s="645"/>
      <c r="FS42" s="645"/>
      <c r="FT42" s="79"/>
      <c r="FU42" s="78"/>
      <c r="FV42" s="78"/>
      <c r="FW42" s="78"/>
      <c r="FX42" s="78"/>
      <c r="FY42" s="78"/>
      <c r="FZ42" s="78"/>
      <c r="GA42" s="78"/>
      <c r="GB42" s="49"/>
      <c r="GC42" s="49"/>
      <c r="GD42" s="49"/>
      <c r="GE42" s="49"/>
      <c r="GF42" s="49"/>
      <c r="GG42" s="49"/>
      <c r="GH42" s="49"/>
      <c r="GI42" s="49"/>
      <c r="GJ42" s="49"/>
      <c r="GK42" s="49"/>
      <c r="GL42" s="49"/>
      <c r="GM42" s="49"/>
      <c r="GN42" s="49"/>
      <c r="GO42" s="49"/>
      <c r="GP42" s="49"/>
      <c r="GQ42" s="49"/>
      <c r="GR42" s="49"/>
      <c r="GS42" s="49"/>
      <c r="GT42" s="49"/>
      <c r="GU42" s="49"/>
      <c r="GV42" s="49"/>
      <c r="GW42" s="49"/>
      <c r="GX42" s="49"/>
      <c r="GY42" s="49"/>
      <c r="GZ42" s="49"/>
      <c r="HA42" s="49"/>
      <c r="HB42" s="49"/>
      <c r="HC42" s="49"/>
      <c r="HD42" s="49"/>
      <c r="HE42" s="49"/>
      <c r="HF42" s="49"/>
      <c r="HG42" s="49"/>
      <c r="HH42" s="49"/>
      <c r="HI42" s="49"/>
      <c r="HJ42" s="49"/>
      <c r="HK42" s="49"/>
      <c r="HL42" s="49"/>
      <c r="HM42" s="49"/>
    </row>
    <row r="43" spans="1:221" ht="11.25" customHeight="1" thickBot="1">
      <c r="A43" s="1"/>
      <c r="B43" s="3"/>
      <c r="C43" s="3"/>
      <c r="D43" s="38"/>
      <c r="E43" s="10"/>
      <c r="F43" s="10"/>
      <c r="G43" s="10"/>
      <c r="H43" s="10"/>
      <c r="I43" s="10"/>
      <c r="J43" s="10"/>
      <c r="K43" s="10"/>
      <c r="L43" s="10"/>
      <c r="M43" s="10"/>
      <c r="N43" s="10"/>
      <c r="O43" s="671"/>
      <c r="P43" s="672"/>
      <c r="Q43" s="672"/>
      <c r="R43" s="672"/>
      <c r="S43" s="672"/>
      <c r="T43" s="672"/>
      <c r="U43" s="672"/>
      <c r="V43" s="672"/>
      <c r="W43" s="672"/>
      <c r="X43" s="672"/>
      <c r="Y43" s="672"/>
      <c r="Z43" s="672"/>
      <c r="AA43" s="673"/>
      <c r="AB43" s="671"/>
      <c r="AC43" s="672"/>
      <c r="AD43" s="672"/>
      <c r="AE43" s="672"/>
      <c r="AF43" s="672"/>
      <c r="AG43" s="672"/>
      <c r="AH43" s="672"/>
      <c r="AI43" s="672"/>
      <c r="AJ43" s="672"/>
      <c r="AK43" s="672"/>
      <c r="AL43" s="672"/>
      <c r="AM43" s="672"/>
      <c r="AN43" s="673"/>
      <c r="AO43" s="657"/>
      <c r="AP43" s="658"/>
      <c r="AQ43" s="658"/>
      <c r="AR43" s="658"/>
      <c r="AS43" s="658"/>
      <c r="AT43" s="658"/>
      <c r="AU43" s="658"/>
      <c r="AV43" s="658"/>
      <c r="AW43" s="658"/>
      <c r="AX43" s="658"/>
      <c r="AY43" s="658"/>
      <c r="AZ43" s="658"/>
      <c r="BA43" s="659"/>
      <c r="BB43" s="662"/>
      <c r="BC43" s="663"/>
      <c r="BD43" s="663"/>
      <c r="BE43" s="663"/>
      <c r="BF43" s="663"/>
      <c r="BG43" s="663"/>
      <c r="BH43" s="663"/>
      <c r="BI43" s="663"/>
      <c r="BJ43" s="663"/>
      <c r="BK43" s="663"/>
      <c r="BL43" s="663"/>
      <c r="BM43" s="663"/>
      <c r="BN43" s="664"/>
      <c r="BO43" s="126"/>
      <c r="BP43" s="126"/>
      <c r="BQ43" s="680" t="str">
        <f>IF(FP50=0,"",IF(AND(programma!$A$301="uitwerking",$B30="X"),FM43,IF(AND(AO43&lt;&gt;"",FP43=0,AO43&gt;FR43-0.9,AO43&lt;FR43+0.9),"Je hebt MO verkeerd afgerond!",IF(AND(AO43&lt;&gt;"",FP43=0),"Fout! Heb je voor ΔTO wel "&amp;AB44&amp;" - "&amp;AB41&amp;" en voor Δq "&amp;O44&amp;" - "&amp;O41&amp;" gebruikt?",IF(AND(BB44&lt;&gt;"",FQ45=0,BB44&gt;FS44-0.9,BB44&lt;FS44+0.9),"Je hebt GO verkeerd afgerond!",IF(AND(AO43&lt;&gt;"",FQ45=0),"Fout! Heb je voor GO wel "&amp;AB44&amp;" / "&amp;O44&amp;" genomen?",""))))))</f>
        <v/>
      </c>
      <c r="BR43" s="680"/>
      <c r="BS43" s="680"/>
      <c r="BT43" s="680"/>
      <c r="BU43" s="680"/>
      <c r="BV43" s="680"/>
      <c r="BW43" s="680"/>
      <c r="BX43" s="680"/>
      <c r="BY43" s="680"/>
      <c r="BZ43" s="680"/>
      <c r="CA43" s="680"/>
      <c r="CB43" s="680"/>
      <c r="CC43" s="680"/>
      <c r="CD43" s="681"/>
      <c r="CE43" s="681"/>
      <c r="CF43" s="681"/>
      <c r="CG43" s="681"/>
      <c r="CH43" s="681"/>
      <c r="CI43" s="681"/>
      <c r="CJ43" s="681"/>
      <c r="CK43" s="681"/>
      <c r="CL43" s="681"/>
      <c r="CM43" s="681"/>
      <c r="CN43" s="681"/>
      <c r="CO43" s="681"/>
      <c r="CP43" s="681"/>
      <c r="CQ43" s="681"/>
      <c r="CR43" s="681"/>
      <c r="CS43" s="681"/>
      <c r="CT43" s="681"/>
      <c r="CU43" s="681"/>
      <c r="CV43" s="681"/>
      <c r="CW43" s="681"/>
      <c r="CX43" s="681"/>
      <c r="CY43" s="681"/>
      <c r="CZ43" s="681"/>
      <c r="DA43" s="681"/>
      <c r="DB43" s="681"/>
      <c r="DC43" s="681"/>
      <c r="DD43" s="681"/>
      <c r="DE43" s="681"/>
      <c r="DF43" s="681"/>
      <c r="DG43" s="681"/>
      <c r="DH43" s="681"/>
      <c r="DI43" s="681"/>
      <c r="DJ43" s="681"/>
      <c r="DK43" s="681"/>
      <c r="DL43" s="681"/>
      <c r="DM43" s="681"/>
      <c r="DN43" s="681"/>
      <c r="DO43" s="681"/>
      <c r="DP43" s="681"/>
      <c r="DQ43" s="681"/>
      <c r="DR43" s="681"/>
      <c r="DS43" s="681"/>
      <c r="DT43" s="681"/>
      <c r="DU43" s="681"/>
      <c r="DV43" s="681"/>
      <c r="DW43" s="681"/>
      <c r="DX43" s="681"/>
      <c r="DY43" s="681"/>
      <c r="DZ43" s="681"/>
      <c r="EA43" s="681"/>
      <c r="EB43" s="681"/>
      <c r="EC43" s="681"/>
      <c r="ED43" s="681"/>
      <c r="EE43" s="669"/>
      <c r="EF43" s="669"/>
      <c r="EG43" s="669"/>
      <c r="EH43" s="669"/>
      <c r="EI43" s="669"/>
      <c r="EJ43" s="669"/>
      <c r="EK43" s="669"/>
      <c r="EL43" s="669"/>
      <c r="EM43" s="669"/>
      <c r="EN43" s="669"/>
      <c r="EO43" s="669"/>
      <c r="EP43" s="669"/>
      <c r="EQ43" s="669"/>
      <c r="ER43" s="669"/>
      <c r="ES43" s="669"/>
      <c r="ET43" s="669"/>
      <c r="EU43" s="669"/>
      <c r="EV43" s="669"/>
      <c r="EW43" s="669"/>
      <c r="EX43" s="669"/>
      <c r="EY43" s="547"/>
      <c r="EZ43" s="547"/>
      <c r="FA43" s="547"/>
      <c r="FB43" s="547"/>
      <c r="FC43" s="547"/>
      <c r="FD43" s="547"/>
      <c r="FE43" s="547"/>
      <c r="FF43" s="547"/>
      <c r="FG43" s="547"/>
      <c r="FH43" s="547"/>
      <c r="FI43" s="547"/>
      <c r="FJ43" s="547"/>
      <c r="FK43" s="547"/>
      <c r="FL43" s="547"/>
      <c r="FM43" s="468" t="e">
        <f ca="1">"MO = ("&amp;AB44&amp;" - "&amp;AB41&amp;") / ("&amp;O44&amp;" - "&amp;O41&amp;") = "&amp;FR43&amp;"; GO = "&amp;AB44&amp;" / "&amp;O44&amp;" = "&amp;FS44</f>
        <v>#VALUE!</v>
      </c>
      <c r="FN43" s="468"/>
      <c r="FO43" s="468"/>
      <c r="FP43" s="206" t="e">
        <f ca="1">IF(AND(AO43&lt;FR43+0.0001,AO43&gt;FR43-0.0001),1,0)</f>
        <v>#VALUE!</v>
      </c>
      <c r="FQ43" s="79"/>
      <c r="FR43" s="592" t="e">
        <f ca="1">IF(FO1=0,"",ROUND((AB44-AB41)/(O44-O41),1))</f>
        <v>#VALUE!</v>
      </c>
      <c r="FS43" s="645"/>
      <c r="FT43" s="79"/>
      <c r="FU43" s="78"/>
      <c r="FV43" s="78"/>
      <c r="FW43" s="78"/>
      <c r="FX43" s="78"/>
      <c r="FY43" s="78"/>
      <c r="FZ43" s="78"/>
      <c r="GA43" s="78"/>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49"/>
      <c r="HI43" s="49"/>
      <c r="HJ43" s="49"/>
      <c r="HK43" s="49"/>
      <c r="HL43" s="49"/>
      <c r="HM43" s="49"/>
    </row>
    <row r="44" spans="1:221" ht="3.75" customHeight="1">
      <c r="A44" s="1"/>
      <c r="B44" s="3"/>
      <c r="C44" s="3"/>
      <c r="D44" s="38"/>
      <c r="E44" s="10"/>
      <c r="F44" s="10"/>
      <c r="G44" s="10"/>
      <c r="H44" s="10"/>
      <c r="I44" s="10"/>
      <c r="J44" s="10"/>
      <c r="K44" s="10"/>
      <c r="L44" s="10"/>
      <c r="M44" s="10"/>
      <c r="N44" s="10"/>
      <c r="O44" s="665" t="str">
        <f ca="1">IF(FP1=0,"",0.8*O47)</f>
        <v/>
      </c>
      <c r="P44" s="666"/>
      <c r="Q44" s="666"/>
      <c r="R44" s="666"/>
      <c r="S44" s="666"/>
      <c r="T44" s="666"/>
      <c r="U44" s="666"/>
      <c r="V44" s="666"/>
      <c r="W44" s="666"/>
      <c r="X44" s="666"/>
      <c r="Y44" s="666"/>
      <c r="Z44" s="666"/>
      <c r="AA44" s="667"/>
      <c r="AB44" s="665" t="str">
        <f ca="1">IF(FP1=0,"",-FQ29*O44^2+FR29*O44)</f>
        <v/>
      </c>
      <c r="AC44" s="666"/>
      <c r="AD44" s="666"/>
      <c r="AE44" s="666"/>
      <c r="AF44" s="666"/>
      <c r="AG44" s="666"/>
      <c r="AH44" s="666"/>
      <c r="AI44" s="666"/>
      <c r="AJ44" s="666"/>
      <c r="AK44" s="666"/>
      <c r="AL44" s="666"/>
      <c r="AM44" s="666"/>
      <c r="AN44" s="667"/>
      <c r="AO44" s="660"/>
      <c r="AP44" s="551"/>
      <c r="AQ44" s="551"/>
      <c r="AR44" s="551"/>
      <c r="AS44" s="551"/>
      <c r="AT44" s="551"/>
      <c r="AU44" s="551"/>
      <c r="AV44" s="551"/>
      <c r="AW44" s="551"/>
      <c r="AX44" s="551"/>
      <c r="AY44" s="551"/>
      <c r="AZ44" s="551"/>
      <c r="BA44" s="661"/>
      <c r="BB44" s="657"/>
      <c r="BC44" s="658"/>
      <c r="BD44" s="658"/>
      <c r="BE44" s="658"/>
      <c r="BF44" s="658"/>
      <c r="BG44" s="658"/>
      <c r="BH44" s="658"/>
      <c r="BI44" s="658"/>
      <c r="BJ44" s="658"/>
      <c r="BK44" s="658"/>
      <c r="BL44" s="658"/>
      <c r="BM44" s="658"/>
      <c r="BN44" s="659"/>
      <c r="BO44" s="126"/>
      <c r="BP44" s="126"/>
      <c r="BQ44" s="682"/>
      <c r="BR44" s="682"/>
      <c r="BS44" s="682"/>
      <c r="BT44" s="682"/>
      <c r="BU44" s="682"/>
      <c r="BV44" s="682"/>
      <c r="BW44" s="682"/>
      <c r="BX44" s="682"/>
      <c r="BY44" s="682"/>
      <c r="BZ44" s="682"/>
      <c r="CA44" s="682"/>
      <c r="CB44" s="682"/>
      <c r="CC44" s="682"/>
      <c r="CD44" s="681"/>
      <c r="CE44" s="681"/>
      <c r="CF44" s="681"/>
      <c r="CG44" s="681"/>
      <c r="CH44" s="681"/>
      <c r="CI44" s="681"/>
      <c r="CJ44" s="681"/>
      <c r="CK44" s="681"/>
      <c r="CL44" s="681"/>
      <c r="CM44" s="681"/>
      <c r="CN44" s="681"/>
      <c r="CO44" s="681"/>
      <c r="CP44" s="681"/>
      <c r="CQ44" s="681"/>
      <c r="CR44" s="681"/>
      <c r="CS44" s="681"/>
      <c r="CT44" s="681"/>
      <c r="CU44" s="681"/>
      <c r="CV44" s="681"/>
      <c r="CW44" s="681"/>
      <c r="CX44" s="681"/>
      <c r="CY44" s="681"/>
      <c r="CZ44" s="681"/>
      <c r="DA44" s="681"/>
      <c r="DB44" s="681"/>
      <c r="DC44" s="681"/>
      <c r="DD44" s="681"/>
      <c r="DE44" s="681"/>
      <c r="DF44" s="681"/>
      <c r="DG44" s="681"/>
      <c r="DH44" s="681"/>
      <c r="DI44" s="681"/>
      <c r="DJ44" s="681"/>
      <c r="DK44" s="681"/>
      <c r="DL44" s="681"/>
      <c r="DM44" s="681"/>
      <c r="DN44" s="681"/>
      <c r="DO44" s="681"/>
      <c r="DP44" s="681"/>
      <c r="DQ44" s="681"/>
      <c r="DR44" s="681"/>
      <c r="DS44" s="681"/>
      <c r="DT44" s="681"/>
      <c r="DU44" s="681"/>
      <c r="DV44" s="681"/>
      <c r="DW44" s="681"/>
      <c r="DX44" s="681"/>
      <c r="DY44" s="681"/>
      <c r="DZ44" s="681"/>
      <c r="EA44" s="681"/>
      <c r="EB44" s="681"/>
      <c r="EC44" s="681"/>
      <c r="ED44" s="681"/>
      <c r="EE44" s="669"/>
      <c r="EF44" s="669"/>
      <c r="EG44" s="669"/>
      <c r="EH44" s="669"/>
      <c r="EI44" s="669"/>
      <c r="EJ44" s="669"/>
      <c r="EK44" s="669"/>
      <c r="EL44" s="669"/>
      <c r="EM44" s="669"/>
      <c r="EN44" s="669"/>
      <c r="EO44" s="669"/>
      <c r="EP44" s="669"/>
      <c r="EQ44" s="669"/>
      <c r="ER44" s="669"/>
      <c r="ES44" s="669"/>
      <c r="ET44" s="669"/>
      <c r="EU44" s="669"/>
      <c r="EV44" s="669"/>
      <c r="EW44" s="669"/>
      <c r="EX44" s="669"/>
      <c r="EY44" s="547"/>
      <c r="EZ44" s="547"/>
      <c r="FA44" s="547"/>
      <c r="FB44" s="547"/>
      <c r="FC44" s="547"/>
      <c r="FD44" s="547"/>
      <c r="FE44" s="547"/>
      <c r="FF44" s="547"/>
      <c r="FG44" s="547"/>
      <c r="FH44" s="547"/>
      <c r="FI44" s="547"/>
      <c r="FJ44" s="547"/>
      <c r="FK44" s="547"/>
      <c r="FL44" s="547"/>
      <c r="FM44" s="468"/>
      <c r="FN44" s="468"/>
      <c r="FO44" s="468"/>
      <c r="FP44" s="116"/>
      <c r="FQ44" s="79"/>
      <c r="FR44" s="645"/>
      <c r="FS44" s="592" t="e">
        <f ca="1">IF(FO1=0,"",ROUND(AB44/O44,1))</f>
        <v>#VALUE!</v>
      </c>
      <c r="FT44" s="79"/>
      <c r="FU44" s="78"/>
      <c r="FV44" s="78"/>
      <c r="FW44" s="78"/>
      <c r="FX44" s="78"/>
      <c r="FY44" s="78"/>
      <c r="FZ44" s="78"/>
      <c r="GA44" s="78"/>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c r="HB44" s="49"/>
      <c r="HC44" s="49"/>
      <c r="HD44" s="49"/>
      <c r="HE44" s="49"/>
      <c r="HF44" s="49"/>
      <c r="HG44" s="49"/>
      <c r="HH44" s="49"/>
      <c r="HI44" s="49"/>
      <c r="HJ44" s="49"/>
      <c r="HK44" s="49"/>
      <c r="HL44" s="49"/>
      <c r="HM44" s="49"/>
    </row>
    <row r="45" spans="1:221" ht="7.5" customHeight="1" thickBot="1">
      <c r="A45" s="1"/>
      <c r="B45" s="3"/>
      <c r="C45" s="3"/>
      <c r="D45" s="38"/>
      <c r="E45" s="10"/>
      <c r="F45" s="10"/>
      <c r="G45" s="10"/>
      <c r="H45" s="10"/>
      <c r="I45" s="10"/>
      <c r="J45" s="10"/>
      <c r="K45" s="10"/>
      <c r="L45" s="10"/>
      <c r="M45" s="10"/>
      <c r="N45" s="10"/>
      <c r="O45" s="668"/>
      <c r="P45" s="669"/>
      <c r="Q45" s="669"/>
      <c r="R45" s="669"/>
      <c r="S45" s="669"/>
      <c r="T45" s="669"/>
      <c r="U45" s="669"/>
      <c r="V45" s="669"/>
      <c r="W45" s="669"/>
      <c r="X45" s="669"/>
      <c r="Y45" s="669"/>
      <c r="Z45" s="669"/>
      <c r="AA45" s="670"/>
      <c r="AB45" s="668"/>
      <c r="AC45" s="669"/>
      <c r="AD45" s="669"/>
      <c r="AE45" s="669"/>
      <c r="AF45" s="669"/>
      <c r="AG45" s="669"/>
      <c r="AH45" s="669"/>
      <c r="AI45" s="669"/>
      <c r="AJ45" s="669"/>
      <c r="AK45" s="669"/>
      <c r="AL45" s="669"/>
      <c r="AM45" s="669"/>
      <c r="AN45" s="670"/>
      <c r="AO45" s="662"/>
      <c r="AP45" s="663"/>
      <c r="AQ45" s="663"/>
      <c r="AR45" s="663"/>
      <c r="AS45" s="663"/>
      <c r="AT45" s="663"/>
      <c r="AU45" s="663"/>
      <c r="AV45" s="663"/>
      <c r="AW45" s="663"/>
      <c r="AX45" s="663"/>
      <c r="AY45" s="663"/>
      <c r="AZ45" s="663"/>
      <c r="BA45" s="664"/>
      <c r="BB45" s="660"/>
      <c r="BC45" s="551"/>
      <c r="BD45" s="551"/>
      <c r="BE45" s="551"/>
      <c r="BF45" s="551"/>
      <c r="BG45" s="551"/>
      <c r="BH45" s="551"/>
      <c r="BI45" s="551"/>
      <c r="BJ45" s="551"/>
      <c r="BK45" s="551"/>
      <c r="BL45" s="551"/>
      <c r="BM45" s="551"/>
      <c r="BN45" s="661"/>
      <c r="BO45" s="126"/>
      <c r="BP45" s="126"/>
      <c r="BQ45" s="680"/>
      <c r="BR45" s="680"/>
      <c r="BS45" s="680"/>
      <c r="BT45" s="680"/>
      <c r="BU45" s="680"/>
      <c r="BV45" s="680"/>
      <c r="BW45" s="680"/>
      <c r="BX45" s="680"/>
      <c r="BY45" s="680"/>
      <c r="BZ45" s="680"/>
      <c r="CA45" s="680"/>
      <c r="CB45" s="680"/>
      <c r="CC45" s="680"/>
      <c r="CD45" s="681"/>
      <c r="CE45" s="681"/>
      <c r="CF45" s="681"/>
      <c r="CG45" s="681"/>
      <c r="CH45" s="681"/>
      <c r="CI45" s="681"/>
      <c r="CJ45" s="681"/>
      <c r="CK45" s="681"/>
      <c r="CL45" s="681"/>
      <c r="CM45" s="681"/>
      <c r="CN45" s="681"/>
      <c r="CO45" s="681"/>
      <c r="CP45" s="681"/>
      <c r="CQ45" s="681"/>
      <c r="CR45" s="681"/>
      <c r="CS45" s="681"/>
      <c r="CT45" s="681"/>
      <c r="CU45" s="681"/>
      <c r="CV45" s="681"/>
      <c r="CW45" s="681"/>
      <c r="CX45" s="681"/>
      <c r="CY45" s="681"/>
      <c r="CZ45" s="681"/>
      <c r="DA45" s="681"/>
      <c r="DB45" s="681"/>
      <c r="DC45" s="681"/>
      <c r="DD45" s="681"/>
      <c r="DE45" s="681"/>
      <c r="DF45" s="681"/>
      <c r="DG45" s="681"/>
      <c r="DH45" s="681"/>
      <c r="DI45" s="681"/>
      <c r="DJ45" s="681"/>
      <c r="DK45" s="681"/>
      <c r="DL45" s="681"/>
      <c r="DM45" s="681"/>
      <c r="DN45" s="681"/>
      <c r="DO45" s="681"/>
      <c r="DP45" s="681"/>
      <c r="DQ45" s="681"/>
      <c r="DR45" s="681"/>
      <c r="DS45" s="681"/>
      <c r="DT45" s="681"/>
      <c r="DU45" s="681"/>
      <c r="DV45" s="681"/>
      <c r="DW45" s="681"/>
      <c r="DX45" s="681"/>
      <c r="DY45" s="681"/>
      <c r="DZ45" s="681"/>
      <c r="EA45" s="681"/>
      <c r="EB45" s="681"/>
      <c r="EC45" s="681"/>
      <c r="ED45" s="681"/>
      <c r="EE45" s="669"/>
      <c r="EF45" s="669"/>
      <c r="EG45" s="669"/>
      <c r="EH45" s="669"/>
      <c r="EI45" s="669"/>
      <c r="EJ45" s="669"/>
      <c r="EK45" s="669"/>
      <c r="EL45" s="669"/>
      <c r="EM45" s="669"/>
      <c r="EN45" s="669"/>
      <c r="EO45" s="669"/>
      <c r="EP45" s="669"/>
      <c r="EQ45" s="669"/>
      <c r="ER45" s="669"/>
      <c r="ES45" s="669"/>
      <c r="ET45" s="669"/>
      <c r="EU45" s="669"/>
      <c r="EV45" s="669"/>
      <c r="EW45" s="669"/>
      <c r="EX45" s="669"/>
      <c r="EY45" s="547"/>
      <c r="EZ45" s="547"/>
      <c r="FA45" s="547"/>
      <c r="FB45" s="547"/>
      <c r="FC45" s="547"/>
      <c r="FD45" s="547"/>
      <c r="FE45" s="547"/>
      <c r="FF45" s="547"/>
      <c r="FG45" s="547"/>
      <c r="FH45" s="547"/>
      <c r="FI45" s="547"/>
      <c r="FJ45" s="547"/>
      <c r="FK45" s="547"/>
      <c r="FL45" s="547"/>
      <c r="FM45" s="468"/>
      <c r="FN45" s="468"/>
      <c r="FO45" s="468"/>
      <c r="FP45" s="116"/>
      <c r="FQ45" s="206" t="e">
        <f ca="1">IF(AND(BB44&lt;FS44+0.0001,BB44&gt;FS44-0.0001),1,0)</f>
        <v>#VALUE!</v>
      </c>
      <c r="FR45" s="645"/>
      <c r="FS45" s="645"/>
      <c r="FT45" s="79"/>
      <c r="FU45" s="78"/>
      <c r="FV45" s="78"/>
      <c r="FW45" s="78"/>
      <c r="FX45" s="78"/>
      <c r="FY45" s="78"/>
      <c r="FZ45" s="78"/>
      <c r="GA45" s="78"/>
      <c r="GB45" s="49"/>
      <c r="GC45" s="49"/>
      <c r="GD45" s="49"/>
      <c r="GE45" s="49"/>
      <c r="GF45" s="49"/>
      <c r="GG45" s="49"/>
      <c r="GH45" s="49"/>
      <c r="GI45" s="49"/>
      <c r="GJ45" s="49"/>
      <c r="GK45" s="49"/>
      <c r="GL45" s="49"/>
      <c r="GM45" s="49"/>
      <c r="GN45" s="49"/>
      <c r="GO45" s="49"/>
      <c r="GP45" s="49"/>
      <c r="GQ45" s="49"/>
      <c r="GR45" s="49"/>
      <c r="GS45" s="49"/>
      <c r="GT45" s="49"/>
      <c r="GU45" s="49"/>
      <c r="GV45" s="49"/>
      <c r="GW45" s="49"/>
      <c r="GX45" s="49"/>
      <c r="GY45" s="49"/>
      <c r="GZ45" s="49"/>
      <c r="HA45" s="49"/>
      <c r="HB45" s="49"/>
      <c r="HC45" s="49"/>
      <c r="HD45" s="49"/>
      <c r="HE45" s="49"/>
      <c r="HF45" s="49"/>
      <c r="HG45" s="49"/>
      <c r="HH45" s="49"/>
      <c r="HI45" s="49"/>
      <c r="HJ45" s="49"/>
      <c r="HK45" s="49"/>
      <c r="HL45" s="49"/>
      <c r="HM45" s="49"/>
    </row>
    <row r="46" spans="1:221" ht="11.25" customHeight="1" thickBot="1">
      <c r="A46" s="1"/>
      <c r="B46" s="3"/>
      <c r="C46" s="3"/>
      <c r="D46" s="38"/>
      <c r="E46" s="10"/>
      <c r="F46" s="10"/>
      <c r="G46" s="10"/>
      <c r="H46" s="10"/>
      <c r="I46" s="10"/>
      <c r="J46" s="10"/>
      <c r="K46" s="10"/>
      <c r="L46" s="10"/>
      <c r="M46" s="10"/>
      <c r="N46" s="10"/>
      <c r="O46" s="671"/>
      <c r="P46" s="672"/>
      <c r="Q46" s="672"/>
      <c r="R46" s="672"/>
      <c r="S46" s="672"/>
      <c r="T46" s="672"/>
      <c r="U46" s="672"/>
      <c r="V46" s="672"/>
      <c r="W46" s="672"/>
      <c r="X46" s="672"/>
      <c r="Y46" s="672"/>
      <c r="Z46" s="672"/>
      <c r="AA46" s="673"/>
      <c r="AB46" s="671"/>
      <c r="AC46" s="672"/>
      <c r="AD46" s="672"/>
      <c r="AE46" s="672"/>
      <c r="AF46" s="672"/>
      <c r="AG46" s="672"/>
      <c r="AH46" s="672"/>
      <c r="AI46" s="672"/>
      <c r="AJ46" s="672"/>
      <c r="AK46" s="672"/>
      <c r="AL46" s="672"/>
      <c r="AM46" s="672"/>
      <c r="AN46" s="673"/>
      <c r="AO46" s="657"/>
      <c r="AP46" s="658"/>
      <c r="AQ46" s="658"/>
      <c r="AR46" s="658"/>
      <c r="AS46" s="658"/>
      <c r="AT46" s="658"/>
      <c r="AU46" s="658"/>
      <c r="AV46" s="658"/>
      <c r="AW46" s="658"/>
      <c r="AX46" s="658"/>
      <c r="AY46" s="658"/>
      <c r="AZ46" s="658"/>
      <c r="BA46" s="659"/>
      <c r="BB46" s="662"/>
      <c r="BC46" s="663"/>
      <c r="BD46" s="663"/>
      <c r="BE46" s="663"/>
      <c r="BF46" s="663"/>
      <c r="BG46" s="663"/>
      <c r="BH46" s="663"/>
      <c r="BI46" s="663"/>
      <c r="BJ46" s="663"/>
      <c r="BK46" s="663"/>
      <c r="BL46" s="663"/>
      <c r="BM46" s="663"/>
      <c r="BN46" s="664"/>
      <c r="BO46" s="126"/>
      <c r="BP46" s="126"/>
      <c r="BQ46" s="680" t="str">
        <f>IF(FP50=0,"",IF(AND(programma!$A$301="uitwerking",$B30="X"),FM46,IF(AND(AO46&lt;&gt;"",FP46=0,AO46&gt;FR46-0.9,AO46&lt;FR46+0.9),"Je hebt MO verkeerd afgerond!",IF(AND(AO46&lt;&gt;"",FP46=0),"Fout! Heb je voor ΔTO wel "&amp;AB47&amp;" - "&amp;AB44&amp;" en voor Δq "&amp;O47&amp;" - "&amp;O44&amp;" gebruikt?",IF(AND(BB47&lt;&gt;"",FQ48=0,BB47&gt;FS47-0.9,BB47&lt;FS47+0.9),"Je hebt GO verkeerd afgerond!",IF(AND(AO46&lt;&gt;"",FQ48=0),"Fout! Heb je voor GO wel "&amp;AB47&amp;" / "&amp;O47&amp;" genomen?",""))))))</f>
        <v/>
      </c>
      <c r="BR46" s="680"/>
      <c r="BS46" s="680"/>
      <c r="BT46" s="680"/>
      <c r="BU46" s="680"/>
      <c r="BV46" s="680"/>
      <c r="BW46" s="680"/>
      <c r="BX46" s="680"/>
      <c r="BY46" s="680"/>
      <c r="BZ46" s="680"/>
      <c r="CA46" s="680"/>
      <c r="CB46" s="680"/>
      <c r="CC46" s="680"/>
      <c r="CD46" s="681"/>
      <c r="CE46" s="681"/>
      <c r="CF46" s="681"/>
      <c r="CG46" s="681"/>
      <c r="CH46" s="681"/>
      <c r="CI46" s="681"/>
      <c r="CJ46" s="681"/>
      <c r="CK46" s="681"/>
      <c r="CL46" s="681"/>
      <c r="CM46" s="681"/>
      <c r="CN46" s="681"/>
      <c r="CO46" s="681"/>
      <c r="CP46" s="681"/>
      <c r="CQ46" s="681"/>
      <c r="CR46" s="681"/>
      <c r="CS46" s="681"/>
      <c r="CT46" s="681"/>
      <c r="CU46" s="681"/>
      <c r="CV46" s="681"/>
      <c r="CW46" s="681"/>
      <c r="CX46" s="681"/>
      <c r="CY46" s="681"/>
      <c r="CZ46" s="681"/>
      <c r="DA46" s="681"/>
      <c r="DB46" s="681"/>
      <c r="DC46" s="681"/>
      <c r="DD46" s="681"/>
      <c r="DE46" s="681"/>
      <c r="DF46" s="681"/>
      <c r="DG46" s="681"/>
      <c r="DH46" s="681"/>
      <c r="DI46" s="681"/>
      <c r="DJ46" s="681"/>
      <c r="DK46" s="681"/>
      <c r="DL46" s="681"/>
      <c r="DM46" s="681"/>
      <c r="DN46" s="681"/>
      <c r="DO46" s="681"/>
      <c r="DP46" s="681"/>
      <c r="DQ46" s="681"/>
      <c r="DR46" s="681"/>
      <c r="DS46" s="681"/>
      <c r="DT46" s="681"/>
      <c r="DU46" s="681"/>
      <c r="DV46" s="681"/>
      <c r="DW46" s="681"/>
      <c r="DX46" s="681"/>
      <c r="DY46" s="681"/>
      <c r="DZ46" s="681"/>
      <c r="EA46" s="681"/>
      <c r="EB46" s="681"/>
      <c r="EC46" s="681"/>
      <c r="ED46" s="681"/>
      <c r="EE46" s="669"/>
      <c r="EF46" s="669"/>
      <c r="EG46" s="669"/>
      <c r="EH46" s="669"/>
      <c r="EI46" s="669"/>
      <c r="EJ46" s="669"/>
      <c r="EK46" s="669"/>
      <c r="EL46" s="669"/>
      <c r="EM46" s="669"/>
      <c r="EN46" s="669"/>
      <c r="EO46" s="669"/>
      <c r="EP46" s="669"/>
      <c r="EQ46" s="669"/>
      <c r="ER46" s="669"/>
      <c r="ES46" s="669"/>
      <c r="ET46" s="669"/>
      <c r="EU46" s="669"/>
      <c r="EV46" s="669"/>
      <c r="EW46" s="669"/>
      <c r="EX46" s="669"/>
      <c r="EY46" s="547"/>
      <c r="EZ46" s="547"/>
      <c r="FA46" s="547"/>
      <c r="FB46" s="547"/>
      <c r="FC46" s="547"/>
      <c r="FD46" s="547"/>
      <c r="FE46" s="547"/>
      <c r="FF46" s="547"/>
      <c r="FG46" s="547"/>
      <c r="FH46" s="547"/>
      <c r="FI46" s="547"/>
      <c r="FJ46" s="547"/>
      <c r="FK46" s="547"/>
      <c r="FL46" s="547"/>
      <c r="FM46" s="468" t="e">
        <f ca="1">"MO = ("&amp;AB47&amp;" - "&amp;AB44&amp;") / ("&amp;O47&amp;" - "&amp;O44&amp;") = "&amp;FR46&amp;"; GO = "&amp;AB47&amp;" / "&amp;O47&amp;" = "&amp;FS47</f>
        <v>#VALUE!</v>
      </c>
      <c r="FN46" s="468"/>
      <c r="FO46" s="468"/>
      <c r="FP46" s="206" t="e">
        <f ca="1">IF(AND(AO46&lt;FR46+0.0001,AO46&gt;FR46-0.0001),1,0)</f>
        <v>#VALUE!</v>
      </c>
      <c r="FQ46" s="79"/>
      <c r="FR46" s="592" t="e">
        <f ca="1">IF(FO1=0,"",ROUND((AB47-AB44)/(O47-O44),1))</f>
        <v>#VALUE!</v>
      </c>
      <c r="FS46" s="645"/>
      <c r="FT46" s="79"/>
      <c r="FU46" s="78"/>
      <c r="FV46" s="78"/>
      <c r="FW46" s="78"/>
      <c r="FX46" s="78"/>
      <c r="FY46" s="78"/>
      <c r="FZ46" s="78"/>
      <c r="GA46" s="78"/>
      <c r="GB46" s="49"/>
      <c r="GC46" s="49"/>
      <c r="GD46" s="49"/>
      <c r="GE46" s="49"/>
      <c r="GF46" s="49"/>
      <c r="GG46" s="49"/>
      <c r="GH46" s="49"/>
      <c r="GI46" s="49"/>
      <c r="GJ46" s="49"/>
      <c r="GK46" s="49"/>
      <c r="GL46" s="49"/>
      <c r="GM46" s="49"/>
      <c r="GN46" s="49"/>
      <c r="GO46" s="49"/>
      <c r="GP46" s="49"/>
      <c r="GQ46" s="49"/>
      <c r="GR46" s="49"/>
      <c r="GS46" s="49"/>
      <c r="GT46" s="49"/>
      <c r="GU46" s="49"/>
      <c r="GV46" s="49"/>
      <c r="GW46" s="49"/>
      <c r="GX46" s="49"/>
      <c r="GY46" s="49"/>
      <c r="GZ46" s="49"/>
      <c r="HA46" s="49"/>
      <c r="HB46" s="49"/>
      <c r="HC46" s="49"/>
      <c r="HD46" s="49"/>
      <c r="HE46" s="49"/>
      <c r="HF46" s="49"/>
      <c r="HG46" s="49"/>
      <c r="HH46" s="49"/>
      <c r="HI46" s="49"/>
      <c r="HJ46" s="49"/>
      <c r="HK46" s="49"/>
      <c r="HL46" s="49"/>
      <c r="HM46" s="49"/>
    </row>
    <row r="47" spans="1:221" ht="3.75" customHeight="1">
      <c r="A47" s="1"/>
      <c r="B47" s="3"/>
      <c r="C47" s="3"/>
      <c r="D47" s="38"/>
      <c r="E47" s="10"/>
      <c r="F47" s="10"/>
      <c r="G47" s="10"/>
      <c r="H47" s="10"/>
      <c r="I47" s="10"/>
      <c r="J47" s="10"/>
      <c r="K47" s="10"/>
      <c r="L47" s="10"/>
      <c r="M47" s="10"/>
      <c r="N47" s="10"/>
      <c r="O47" s="665" t="str">
        <f ca="1">IF(FP1=1,(FU29/FT29)/(1/FT29),"")</f>
        <v/>
      </c>
      <c r="P47" s="666"/>
      <c r="Q47" s="666"/>
      <c r="R47" s="666"/>
      <c r="S47" s="666"/>
      <c r="T47" s="666"/>
      <c r="U47" s="666"/>
      <c r="V47" s="666"/>
      <c r="W47" s="666"/>
      <c r="X47" s="666"/>
      <c r="Y47" s="666"/>
      <c r="Z47" s="666"/>
      <c r="AA47" s="667"/>
      <c r="AB47" s="665" t="str">
        <f ca="1">IF(FP1=0,"",-FQ29*O47^2+FR29*O47)</f>
        <v/>
      </c>
      <c r="AC47" s="666"/>
      <c r="AD47" s="666"/>
      <c r="AE47" s="666"/>
      <c r="AF47" s="666"/>
      <c r="AG47" s="666"/>
      <c r="AH47" s="666"/>
      <c r="AI47" s="666"/>
      <c r="AJ47" s="666"/>
      <c r="AK47" s="666"/>
      <c r="AL47" s="666"/>
      <c r="AM47" s="666"/>
      <c r="AN47" s="667"/>
      <c r="AO47" s="660"/>
      <c r="AP47" s="551"/>
      <c r="AQ47" s="551"/>
      <c r="AR47" s="551"/>
      <c r="AS47" s="551"/>
      <c r="AT47" s="551"/>
      <c r="AU47" s="551"/>
      <c r="AV47" s="551"/>
      <c r="AW47" s="551"/>
      <c r="AX47" s="551"/>
      <c r="AY47" s="551"/>
      <c r="AZ47" s="551"/>
      <c r="BA47" s="661"/>
      <c r="BB47" s="657"/>
      <c r="BC47" s="658"/>
      <c r="BD47" s="658"/>
      <c r="BE47" s="658"/>
      <c r="BF47" s="658"/>
      <c r="BG47" s="658"/>
      <c r="BH47" s="658"/>
      <c r="BI47" s="658"/>
      <c r="BJ47" s="658"/>
      <c r="BK47" s="658"/>
      <c r="BL47" s="658"/>
      <c r="BM47" s="658"/>
      <c r="BN47" s="659"/>
      <c r="BO47" s="126"/>
      <c r="BP47" s="126"/>
      <c r="BQ47" s="682"/>
      <c r="BR47" s="682"/>
      <c r="BS47" s="682"/>
      <c r="BT47" s="682"/>
      <c r="BU47" s="682"/>
      <c r="BV47" s="682"/>
      <c r="BW47" s="682"/>
      <c r="BX47" s="682"/>
      <c r="BY47" s="682"/>
      <c r="BZ47" s="682"/>
      <c r="CA47" s="682"/>
      <c r="CB47" s="682"/>
      <c r="CC47" s="682"/>
      <c r="CD47" s="681"/>
      <c r="CE47" s="681"/>
      <c r="CF47" s="681"/>
      <c r="CG47" s="681"/>
      <c r="CH47" s="681"/>
      <c r="CI47" s="681"/>
      <c r="CJ47" s="681"/>
      <c r="CK47" s="681"/>
      <c r="CL47" s="681"/>
      <c r="CM47" s="681"/>
      <c r="CN47" s="681"/>
      <c r="CO47" s="681"/>
      <c r="CP47" s="681"/>
      <c r="CQ47" s="681"/>
      <c r="CR47" s="681"/>
      <c r="CS47" s="681"/>
      <c r="CT47" s="681"/>
      <c r="CU47" s="681"/>
      <c r="CV47" s="681"/>
      <c r="CW47" s="681"/>
      <c r="CX47" s="681"/>
      <c r="CY47" s="681"/>
      <c r="CZ47" s="681"/>
      <c r="DA47" s="681"/>
      <c r="DB47" s="681"/>
      <c r="DC47" s="681"/>
      <c r="DD47" s="681"/>
      <c r="DE47" s="681"/>
      <c r="DF47" s="681"/>
      <c r="DG47" s="681"/>
      <c r="DH47" s="681"/>
      <c r="DI47" s="681"/>
      <c r="DJ47" s="681"/>
      <c r="DK47" s="681"/>
      <c r="DL47" s="681"/>
      <c r="DM47" s="681"/>
      <c r="DN47" s="681"/>
      <c r="DO47" s="681"/>
      <c r="DP47" s="681"/>
      <c r="DQ47" s="681"/>
      <c r="DR47" s="681"/>
      <c r="DS47" s="681"/>
      <c r="DT47" s="681"/>
      <c r="DU47" s="681"/>
      <c r="DV47" s="681"/>
      <c r="DW47" s="681"/>
      <c r="DX47" s="681"/>
      <c r="DY47" s="681"/>
      <c r="DZ47" s="681"/>
      <c r="EA47" s="681"/>
      <c r="EB47" s="681"/>
      <c r="EC47" s="681"/>
      <c r="ED47" s="681"/>
      <c r="EE47" s="669"/>
      <c r="EF47" s="669"/>
      <c r="EG47" s="669"/>
      <c r="EH47" s="669"/>
      <c r="EI47" s="669"/>
      <c r="EJ47" s="669"/>
      <c r="EK47" s="669"/>
      <c r="EL47" s="669"/>
      <c r="EM47" s="669"/>
      <c r="EN47" s="669"/>
      <c r="EO47" s="669"/>
      <c r="EP47" s="669"/>
      <c r="EQ47" s="669"/>
      <c r="ER47" s="669"/>
      <c r="ES47" s="669"/>
      <c r="ET47" s="669"/>
      <c r="EU47" s="669"/>
      <c r="EV47" s="669"/>
      <c r="EW47" s="669"/>
      <c r="EX47" s="669"/>
      <c r="EY47" s="547"/>
      <c r="EZ47" s="547"/>
      <c r="FA47" s="547"/>
      <c r="FB47" s="547"/>
      <c r="FC47" s="547"/>
      <c r="FD47" s="547"/>
      <c r="FE47" s="547"/>
      <c r="FF47" s="547"/>
      <c r="FG47" s="547"/>
      <c r="FH47" s="547"/>
      <c r="FI47" s="547"/>
      <c r="FJ47" s="547"/>
      <c r="FK47" s="547"/>
      <c r="FL47" s="547"/>
      <c r="FM47" s="468"/>
      <c r="FN47" s="468"/>
      <c r="FO47" s="468"/>
      <c r="FP47" s="116"/>
      <c r="FQ47" s="79"/>
      <c r="FR47" s="645"/>
      <c r="FS47" s="592" t="e">
        <f ca="1">IF(FO1=0,"",ROUND(AB47/O47,1))</f>
        <v>#VALUE!</v>
      </c>
      <c r="FT47" s="79"/>
      <c r="FU47" s="78"/>
      <c r="FV47" s="78"/>
      <c r="FW47" s="78"/>
      <c r="FX47" s="78"/>
      <c r="FY47" s="78"/>
      <c r="FZ47" s="78"/>
      <c r="GA47" s="78"/>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row>
    <row r="48" spans="1:221" ht="7.5" customHeight="1" thickBot="1">
      <c r="A48" s="1"/>
      <c r="B48" s="3"/>
      <c r="C48" s="3"/>
      <c r="D48" s="38"/>
      <c r="E48" s="10"/>
      <c r="F48" s="10"/>
      <c r="G48" s="10"/>
      <c r="H48" s="10"/>
      <c r="I48" s="10"/>
      <c r="J48" s="10"/>
      <c r="K48" s="10"/>
      <c r="L48" s="10"/>
      <c r="M48" s="10"/>
      <c r="N48" s="10"/>
      <c r="O48" s="668"/>
      <c r="P48" s="669"/>
      <c r="Q48" s="669"/>
      <c r="R48" s="669"/>
      <c r="S48" s="669"/>
      <c r="T48" s="669"/>
      <c r="U48" s="669"/>
      <c r="V48" s="669"/>
      <c r="W48" s="669"/>
      <c r="X48" s="669"/>
      <c r="Y48" s="669"/>
      <c r="Z48" s="669"/>
      <c r="AA48" s="670"/>
      <c r="AB48" s="668"/>
      <c r="AC48" s="669"/>
      <c r="AD48" s="669"/>
      <c r="AE48" s="669"/>
      <c r="AF48" s="669"/>
      <c r="AG48" s="669"/>
      <c r="AH48" s="669"/>
      <c r="AI48" s="669"/>
      <c r="AJ48" s="669"/>
      <c r="AK48" s="669"/>
      <c r="AL48" s="669"/>
      <c r="AM48" s="669"/>
      <c r="AN48" s="670"/>
      <c r="AO48" s="662"/>
      <c r="AP48" s="663"/>
      <c r="AQ48" s="663"/>
      <c r="AR48" s="663"/>
      <c r="AS48" s="663"/>
      <c r="AT48" s="663"/>
      <c r="AU48" s="663"/>
      <c r="AV48" s="663"/>
      <c r="AW48" s="663"/>
      <c r="AX48" s="663"/>
      <c r="AY48" s="663"/>
      <c r="AZ48" s="663"/>
      <c r="BA48" s="664"/>
      <c r="BB48" s="660"/>
      <c r="BC48" s="551"/>
      <c r="BD48" s="551"/>
      <c r="BE48" s="551"/>
      <c r="BF48" s="551"/>
      <c r="BG48" s="551"/>
      <c r="BH48" s="551"/>
      <c r="BI48" s="551"/>
      <c r="BJ48" s="551"/>
      <c r="BK48" s="551"/>
      <c r="BL48" s="551"/>
      <c r="BM48" s="551"/>
      <c r="BN48" s="661"/>
      <c r="BO48" s="126"/>
      <c r="BP48" s="126"/>
      <c r="BQ48" s="680"/>
      <c r="BR48" s="680"/>
      <c r="BS48" s="680"/>
      <c r="BT48" s="680"/>
      <c r="BU48" s="680"/>
      <c r="BV48" s="680"/>
      <c r="BW48" s="680"/>
      <c r="BX48" s="680"/>
      <c r="BY48" s="680"/>
      <c r="BZ48" s="680"/>
      <c r="CA48" s="680"/>
      <c r="CB48" s="680"/>
      <c r="CC48" s="680"/>
      <c r="CD48" s="681"/>
      <c r="CE48" s="681"/>
      <c r="CF48" s="681"/>
      <c r="CG48" s="681"/>
      <c r="CH48" s="681"/>
      <c r="CI48" s="681"/>
      <c r="CJ48" s="681"/>
      <c r="CK48" s="681"/>
      <c r="CL48" s="681"/>
      <c r="CM48" s="681"/>
      <c r="CN48" s="681"/>
      <c r="CO48" s="681"/>
      <c r="CP48" s="681"/>
      <c r="CQ48" s="681"/>
      <c r="CR48" s="681"/>
      <c r="CS48" s="681"/>
      <c r="CT48" s="681"/>
      <c r="CU48" s="681"/>
      <c r="CV48" s="681"/>
      <c r="CW48" s="681"/>
      <c r="CX48" s="681"/>
      <c r="CY48" s="681"/>
      <c r="CZ48" s="681"/>
      <c r="DA48" s="681"/>
      <c r="DB48" s="681"/>
      <c r="DC48" s="681"/>
      <c r="DD48" s="681"/>
      <c r="DE48" s="681"/>
      <c r="DF48" s="681"/>
      <c r="DG48" s="681"/>
      <c r="DH48" s="681"/>
      <c r="DI48" s="681"/>
      <c r="DJ48" s="681"/>
      <c r="DK48" s="681"/>
      <c r="DL48" s="681"/>
      <c r="DM48" s="681"/>
      <c r="DN48" s="681"/>
      <c r="DO48" s="681"/>
      <c r="DP48" s="681"/>
      <c r="DQ48" s="681"/>
      <c r="DR48" s="681"/>
      <c r="DS48" s="681"/>
      <c r="DT48" s="681"/>
      <c r="DU48" s="681"/>
      <c r="DV48" s="681"/>
      <c r="DW48" s="681"/>
      <c r="DX48" s="681"/>
      <c r="DY48" s="681"/>
      <c r="DZ48" s="681"/>
      <c r="EA48" s="681"/>
      <c r="EB48" s="681"/>
      <c r="EC48" s="681"/>
      <c r="ED48" s="681"/>
      <c r="EE48" s="669"/>
      <c r="EF48" s="669"/>
      <c r="EG48" s="669"/>
      <c r="EH48" s="669"/>
      <c r="EI48" s="669"/>
      <c r="EJ48" s="669"/>
      <c r="EK48" s="669"/>
      <c r="EL48" s="669"/>
      <c r="EM48" s="669"/>
      <c r="EN48" s="669"/>
      <c r="EO48" s="669"/>
      <c r="EP48" s="669"/>
      <c r="EQ48" s="669"/>
      <c r="ER48" s="669"/>
      <c r="ES48" s="669"/>
      <c r="ET48" s="669"/>
      <c r="EU48" s="669"/>
      <c r="EV48" s="669"/>
      <c r="EW48" s="669"/>
      <c r="EX48" s="669"/>
      <c r="EY48" s="547"/>
      <c r="EZ48" s="547"/>
      <c r="FA48" s="547"/>
      <c r="FB48" s="547"/>
      <c r="FC48" s="547"/>
      <c r="FD48" s="547"/>
      <c r="FE48" s="547"/>
      <c r="FF48" s="547"/>
      <c r="FG48" s="547"/>
      <c r="FH48" s="547"/>
      <c r="FI48" s="547"/>
      <c r="FJ48" s="547"/>
      <c r="FK48" s="547"/>
      <c r="FL48" s="547"/>
      <c r="FM48" s="468"/>
      <c r="FN48" s="468"/>
      <c r="FO48" s="468"/>
      <c r="FP48" s="116"/>
      <c r="FQ48" s="206" t="e">
        <f ca="1">IF(AND(BB47&lt;FS47+0.0001,BB47&gt;FS47-0.0001),1,0)</f>
        <v>#VALUE!</v>
      </c>
      <c r="FR48" s="645"/>
      <c r="FS48" s="645"/>
      <c r="FT48" s="79"/>
      <c r="FU48" s="78"/>
      <c r="FV48" s="78"/>
      <c r="FW48" s="78"/>
      <c r="FX48" s="78"/>
      <c r="FY48" s="78"/>
      <c r="FZ48" s="78"/>
      <c r="GA48" s="78"/>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row>
    <row r="49" spans="1:221" ht="11.25" customHeight="1" thickBot="1">
      <c r="A49" s="1"/>
      <c r="B49" s="3"/>
      <c r="C49" s="3"/>
      <c r="D49" s="38"/>
      <c r="E49" s="10"/>
      <c r="F49" s="10"/>
      <c r="G49" s="10"/>
      <c r="H49" s="10"/>
      <c r="I49" s="10"/>
      <c r="J49" s="10"/>
      <c r="K49" s="10"/>
      <c r="L49" s="10"/>
      <c r="M49" s="10"/>
      <c r="N49" s="10"/>
      <c r="O49" s="671"/>
      <c r="P49" s="672"/>
      <c r="Q49" s="672"/>
      <c r="R49" s="672"/>
      <c r="S49" s="672"/>
      <c r="T49" s="672"/>
      <c r="U49" s="672"/>
      <c r="V49" s="672"/>
      <c r="W49" s="672"/>
      <c r="X49" s="672"/>
      <c r="Y49" s="672"/>
      <c r="Z49" s="672"/>
      <c r="AA49" s="673"/>
      <c r="AB49" s="671"/>
      <c r="AC49" s="672"/>
      <c r="AD49" s="672"/>
      <c r="AE49" s="672"/>
      <c r="AF49" s="672"/>
      <c r="AG49" s="672"/>
      <c r="AH49" s="672"/>
      <c r="AI49" s="672"/>
      <c r="AJ49" s="672"/>
      <c r="AK49" s="672"/>
      <c r="AL49" s="672"/>
      <c r="AM49" s="672"/>
      <c r="AN49" s="673"/>
      <c r="AO49" s="310"/>
      <c r="AP49" s="310"/>
      <c r="AQ49" s="310"/>
      <c r="AR49" s="310"/>
      <c r="AS49" s="310"/>
      <c r="AT49" s="310"/>
      <c r="AU49" s="310"/>
      <c r="AV49" s="310"/>
      <c r="AW49" s="310"/>
      <c r="AX49" s="310"/>
      <c r="AY49" s="310"/>
      <c r="AZ49" s="310"/>
      <c r="BA49" s="310"/>
      <c r="BB49" s="662"/>
      <c r="BC49" s="663"/>
      <c r="BD49" s="663"/>
      <c r="BE49" s="663"/>
      <c r="BF49" s="663"/>
      <c r="BG49" s="663"/>
      <c r="BH49" s="663"/>
      <c r="BI49" s="663"/>
      <c r="BJ49" s="663"/>
      <c r="BK49" s="663"/>
      <c r="BL49" s="663"/>
      <c r="BM49" s="663"/>
      <c r="BN49" s="664"/>
      <c r="BO49" s="126"/>
      <c r="BP49" s="126"/>
      <c r="BQ49" s="79"/>
      <c r="BR49" s="79"/>
      <c r="BS49" s="79"/>
      <c r="BT49" s="79"/>
      <c r="BU49" s="79"/>
      <c r="BV49" s="79"/>
      <c r="BW49" s="79"/>
      <c r="BX49" s="79"/>
      <c r="BY49" s="79"/>
      <c r="BZ49" s="79"/>
      <c r="CA49" s="79"/>
      <c r="CB49" s="126"/>
      <c r="CC49" s="106"/>
      <c r="CD49" s="106"/>
      <c r="CE49" s="106"/>
      <c r="CF49" s="106"/>
      <c r="CG49" s="106"/>
      <c r="CH49" s="106"/>
      <c r="CI49" s="106"/>
      <c r="CJ49" s="106"/>
      <c r="CK49" s="106"/>
      <c r="CL49" s="106"/>
      <c r="CM49" s="106"/>
      <c r="CN49" s="106"/>
      <c r="CO49" s="106"/>
      <c r="CP49" s="126"/>
      <c r="CQ49" s="197"/>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25"/>
      <c r="FG49" s="26"/>
      <c r="FH49" s="10"/>
      <c r="FI49" s="10"/>
      <c r="FJ49" s="10"/>
      <c r="FK49" s="10"/>
      <c r="FL49" s="10"/>
      <c r="FM49" s="50"/>
      <c r="FN49" s="50"/>
      <c r="FO49" s="468" t="e">
        <f ca="1">FP34+FP37+FP40+FP43+FP46+FQ36+FQ39+FQ42+FQ45+FQ48</f>
        <v>#VALUE!</v>
      </c>
      <c r="FP49" s="116"/>
      <c r="FQ49" s="78"/>
      <c r="FR49" s="79"/>
      <c r="FS49" s="645"/>
      <c r="FT49" s="79"/>
      <c r="FU49" s="78"/>
      <c r="FV49" s="78"/>
      <c r="FW49" s="78"/>
      <c r="FX49" s="78"/>
      <c r="FY49" s="78"/>
      <c r="FZ49" s="78"/>
      <c r="GA49" s="78"/>
      <c r="GB49" s="49"/>
      <c r="GC49" s="49"/>
      <c r="GD49" s="49"/>
      <c r="GE49" s="49"/>
      <c r="GF49" s="49"/>
      <c r="GG49" s="49"/>
      <c r="GH49" s="49"/>
      <c r="GI49" s="49"/>
      <c r="GJ49" s="49"/>
      <c r="GK49" s="49"/>
      <c r="GL49" s="49"/>
      <c r="GM49" s="49"/>
      <c r="GN49" s="49"/>
      <c r="GO49" s="49"/>
      <c r="GP49" s="49"/>
      <c r="GQ49" s="49"/>
      <c r="GR49" s="49"/>
      <c r="GS49" s="49"/>
      <c r="GT49" s="49"/>
      <c r="GU49" s="49"/>
      <c r="GV49" s="49"/>
      <c r="GW49" s="49"/>
      <c r="GX49" s="49"/>
      <c r="GY49" s="49"/>
      <c r="GZ49" s="49"/>
      <c r="HA49" s="49"/>
      <c r="HB49" s="49"/>
      <c r="HC49" s="49"/>
      <c r="HD49" s="49"/>
      <c r="HE49" s="49"/>
      <c r="HF49" s="49"/>
      <c r="HG49" s="49"/>
      <c r="HH49" s="49"/>
      <c r="HI49" s="49"/>
      <c r="HJ49" s="49"/>
      <c r="HK49" s="49"/>
      <c r="HL49" s="49"/>
      <c r="HM49" s="49"/>
    </row>
    <row r="50" spans="1:221" ht="11.25" customHeight="1">
      <c r="A50" s="1"/>
      <c r="B50" s="3"/>
      <c r="C50" s="3"/>
      <c r="D50" s="38"/>
      <c r="E50" s="10"/>
      <c r="F50" s="10"/>
      <c r="G50" s="10"/>
      <c r="H50" s="10"/>
      <c r="I50" s="10"/>
      <c r="J50" s="10"/>
      <c r="K50" s="10"/>
      <c r="L50" s="10"/>
      <c r="M50" s="10"/>
      <c r="N50" s="10"/>
      <c r="O50" s="10"/>
      <c r="P50" s="10"/>
      <c r="Q50" s="10"/>
      <c r="R50" s="10"/>
      <c r="S50" s="10"/>
      <c r="T50" s="10"/>
      <c r="U50" s="10"/>
      <c r="V50" s="10"/>
      <c r="W50" s="10"/>
      <c r="X50" s="10"/>
      <c r="Y50" s="10"/>
      <c r="Z50" s="10"/>
      <c r="AA50" s="10"/>
      <c r="AB50" s="79"/>
      <c r="AC50" s="79"/>
      <c r="AD50" s="79"/>
      <c r="AE50" s="79"/>
      <c r="AF50" s="79"/>
      <c r="AG50" s="79"/>
      <c r="AH50" s="79"/>
      <c r="AI50" s="79"/>
      <c r="AJ50" s="79"/>
      <c r="AK50" s="79"/>
      <c r="AL50" s="79"/>
      <c r="AM50" s="79"/>
      <c r="AN50" s="79"/>
      <c r="AO50" s="107"/>
      <c r="AP50" s="107"/>
      <c r="AQ50" s="107"/>
      <c r="AR50" s="107"/>
      <c r="AS50" s="107"/>
      <c r="AT50" s="107"/>
      <c r="AU50" s="107"/>
      <c r="AV50" s="107"/>
      <c r="AW50" s="107"/>
      <c r="AX50" s="107"/>
      <c r="AY50" s="107"/>
      <c r="AZ50" s="107"/>
      <c r="BA50" s="107"/>
      <c r="BB50" s="10"/>
      <c r="BC50" s="10"/>
      <c r="BD50" s="10"/>
      <c r="BE50" s="10"/>
      <c r="BF50" s="10"/>
      <c r="BG50" s="10"/>
      <c r="BH50" s="10"/>
      <c r="BI50" s="10"/>
      <c r="BJ50" s="10"/>
      <c r="BK50" s="10"/>
      <c r="BL50" s="10"/>
      <c r="BM50" s="10"/>
      <c r="BN50" s="10"/>
      <c r="BO50" s="10"/>
      <c r="BP50" s="10"/>
      <c r="BQ50" s="10"/>
      <c r="BR50" s="10"/>
      <c r="BS50" s="677"/>
      <c r="BT50" s="677"/>
      <c r="BU50" s="677"/>
      <c r="BV50" s="677"/>
      <c r="BW50" s="677"/>
      <c r="BX50" s="677"/>
      <c r="BY50" s="677"/>
      <c r="BZ50" s="677"/>
      <c r="CA50" s="677"/>
      <c r="CB50" s="677"/>
      <c r="CC50" s="677"/>
      <c r="CD50" s="677"/>
      <c r="CE50" s="677"/>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25"/>
      <c r="FG50" s="26"/>
      <c r="FH50" s="10"/>
      <c r="FI50" s="10"/>
      <c r="FJ50" s="10"/>
      <c r="FK50" s="10"/>
      <c r="FL50" s="10"/>
      <c r="FM50" s="470"/>
      <c r="FN50" s="79"/>
      <c r="FO50" s="206">
        <f ca="1">IF(programma!B1="X",1,IF(FP1=0,0,IF(FO49=10,1,0)))</f>
        <v>0</v>
      </c>
      <c r="FP50" s="206">
        <f>IF(OR(AO34="",AO37="",AO40="",AO43="",AO46="",BB35="",BB38="",BB41="",BB44="",BB47=""),0,1)</f>
        <v>0</v>
      </c>
      <c r="FQ50" s="78"/>
      <c r="FR50" s="79"/>
      <c r="FS50" s="79"/>
      <c r="FT50" s="116"/>
      <c r="FU50" s="78"/>
      <c r="FV50" s="78"/>
      <c r="FW50" s="78"/>
      <c r="FX50" s="78"/>
      <c r="FY50" s="78"/>
      <c r="FZ50" s="78"/>
      <c r="GA50" s="78"/>
      <c r="GB50" s="49"/>
      <c r="GC50" s="49"/>
      <c r="GD50" s="49"/>
      <c r="GE50" s="49"/>
      <c r="GF50" s="49"/>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49"/>
      <c r="HI50" s="49"/>
      <c r="HJ50" s="49"/>
      <c r="HK50" s="49"/>
      <c r="HL50" s="49"/>
      <c r="HM50" s="49"/>
    </row>
    <row r="51" spans="1:221" ht="6" customHeight="1">
      <c r="A51" s="1"/>
      <c r="B51" s="3"/>
      <c r="C51" s="3"/>
      <c r="D51" s="38"/>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25"/>
      <c r="FG51" s="26"/>
      <c r="FH51" s="10"/>
      <c r="FI51" s="10"/>
      <c r="FJ51" s="10"/>
      <c r="FK51" s="10"/>
      <c r="FL51" s="10"/>
      <c r="FM51" s="338"/>
      <c r="FN51" s="78"/>
      <c r="FO51" s="78"/>
      <c r="FP51" s="78"/>
      <c r="FQ51" s="78"/>
      <c r="FR51" s="78"/>
      <c r="FS51" s="78"/>
      <c r="FT51" s="116"/>
      <c r="FU51" s="78"/>
      <c r="FV51" s="78"/>
      <c r="FW51" s="78"/>
      <c r="FX51" s="78"/>
      <c r="FY51" s="78"/>
      <c r="FZ51" s="78"/>
      <c r="GA51" s="78"/>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row>
    <row r="52" spans="1:221" ht="16.95" customHeight="1">
      <c r="A52" s="1"/>
      <c r="B52" s="3"/>
      <c r="C52" s="3"/>
      <c r="D52" s="373" t="str">
        <f ca="1">IF(FO50=0,"","Leid je de MO-functie af uit de TO-functie, dan kun je bij elke q precies")</f>
        <v/>
      </c>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49"/>
      <c r="FN52" s="49"/>
      <c r="FO52" s="49"/>
      <c r="FP52" s="49"/>
      <c r="FQ52" s="49"/>
      <c r="FR52" s="49"/>
      <c r="FS52" s="49"/>
      <c r="FT52" s="49"/>
      <c r="FU52" s="47"/>
      <c r="FV52" s="48"/>
      <c r="FW52" s="94"/>
      <c r="FX52" s="135"/>
      <c r="FY52" s="47"/>
      <c r="FZ52" s="47"/>
      <c r="GA52" s="49"/>
      <c r="GB52" s="49"/>
      <c r="GC52" s="49"/>
      <c r="GD52" s="49"/>
      <c r="GE52" s="49"/>
      <c r="GF52" s="49"/>
      <c r="GG52" s="49"/>
      <c r="GH52" s="49"/>
      <c r="GI52" s="49"/>
      <c r="GJ52" s="49"/>
      <c r="GK52" s="49"/>
      <c r="GL52" s="49"/>
      <c r="GM52" s="49"/>
      <c r="GN52" s="49"/>
      <c r="GO52" s="49"/>
      <c r="GP52" s="49"/>
      <c r="GQ52" s="49"/>
      <c r="GR52" s="49"/>
      <c r="GS52" s="49"/>
      <c r="GT52" s="49"/>
      <c r="GU52" s="49"/>
      <c r="GV52" s="49"/>
      <c r="GW52" s="49"/>
      <c r="GX52" s="49"/>
      <c r="GY52" s="49"/>
      <c r="GZ52" s="49"/>
      <c r="HA52" s="49"/>
      <c r="HB52" s="49"/>
      <c r="HC52" s="49"/>
      <c r="HD52" s="49"/>
      <c r="HE52" s="49"/>
      <c r="HF52" s="49"/>
      <c r="HG52" s="49"/>
      <c r="HH52" s="49"/>
      <c r="HI52" s="49"/>
      <c r="HJ52" s="49"/>
      <c r="HK52" s="49"/>
      <c r="HL52" s="49"/>
      <c r="HM52" s="49"/>
    </row>
    <row r="53" spans="1:221" ht="16.95" customHeight="1">
      <c r="A53" s="1"/>
      <c r="B53" s="3"/>
      <c r="C53" s="3"/>
      <c r="D53" s="373" t="str">
        <f ca="1">IF(FO50=0,"","aangeven wat de MO is. Op de HAVO hoef je niet te kunnen afleiden, maar")</f>
        <v/>
      </c>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49"/>
      <c r="FN53" s="49"/>
      <c r="FO53" s="49"/>
      <c r="FP53" s="49"/>
      <c r="FQ53" s="49"/>
      <c r="FR53" s="49"/>
      <c r="FS53" s="49"/>
      <c r="FT53" s="49"/>
      <c r="FU53" s="47"/>
      <c r="FV53" s="48"/>
      <c r="FW53" s="94"/>
      <c r="FX53" s="135"/>
      <c r="FY53" s="47"/>
      <c r="FZ53" s="47"/>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49"/>
      <c r="HI53" s="49"/>
      <c r="HJ53" s="49"/>
      <c r="HK53" s="49"/>
      <c r="HL53" s="49"/>
      <c r="HM53" s="49"/>
    </row>
    <row r="54" spans="1:221" ht="16.95" customHeight="1">
      <c r="A54" s="1"/>
      <c r="B54" s="3"/>
      <c r="C54" s="3"/>
      <c r="D54" s="373" t="str">
        <f ca="1">IF(FO50=0,"","het is gemakkelijk als weet hoe het moet (afgeleide a = 0; afgeleide aq = a en")</f>
        <v/>
      </c>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49"/>
      <c r="FN54" s="49"/>
      <c r="FO54" s="49"/>
      <c r="FP54" s="49"/>
      <c r="FQ54" s="49"/>
      <c r="FR54" s="49"/>
      <c r="FS54" s="49"/>
      <c r="FT54" s="49"/>
      <c r="FU54" s="47"/>
      <c r="FV54" s="48"/>
      <c r="FW54" s="94"/>
      <c r="FX54" s="135"/>
      <c r="FY54" s="47"/>
      <c r="FZ54" s="47"/>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49"/>
      <c r="HI54" s="49"/>
      <c r="HJ54" s="49"/>
      <c r="HK54" s="49"/>
      <c r="HL54" s="49"/>
      <c r="HM54" s="49"/>
    </row>
    <row r="55" spans="1:221" ht="16.95" customHeight="1">
      <c r="A55" s="1"/>
      <c r="B55" s="3"/>
      <c r="C55" s="3"/>
      <c r="D55" s="373" t="str">
        <f ca="1">IF(FO50=0,"","afgeleide aq² = 2aq). Je snapt dan beter waarom de MO-lijn twee keer zo")</f>
        <v/>
      </c>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49"/>
      <c r="FN55" s="49"/>
      <c r="FO55" s="49"/>
      <c r="FP55" s="49"/>
      <c r="FQ55" s="49"/>
      <c r="FR55" s="49"/>
      <c r="FS55" s="49"/>
      <c r="FT55" s="49"/>
      <c r="FU55" s="47"/>
      <c r="FV55" s="48"/>
      <c r="FW55" s="94"/>
      <c r="FX55" s="135"/>
      <c r="FY55" s="47"/>
      <c r="FZ55" s="47"/>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49"/>
      <c r="HI55" s="49"/>
      <c r="HJ55" s="49"/>
      <c r="HK55" s="49"/>
      <c r="HL55" s="49"/>
      <c r="HM55" s="49"/>
    </row>
    <row r="56" spans="1:221" ht="16.95" customHeight="1">
      <c r="A56" s="1"/>
      <c r="B56" s="3"/>
      <c r="C56" s="3"/>
      <c r="D56" s="373" t="str">
        <f ca="1">IF(FO50=0,"","snel daalt als de GO-lijn. We zetten alle functies die we hierboven hebben")</f>
        <v/>
      </c>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49"/>
      <c r="FN56" s="49"/>
      <c r="FO56" s="49"/>
      <c r="FP56" s="49"/>
      <c r="FQ56" s="49"/>
      <c r="FR56" s="49"/>
      <c r="FS56" s="49"/>
      <c r="FT56" s="49"/>
      <c r="FU56" s="47"/>
      <c r="FV56" s="48"/>
      <c r="FW56" s="94"/>
      <c r="FX56" s="135"/>
      <c r="FY56" s="47"/>
      <c r="FZ56" s="47"/>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row>
    <row r="57" spans="1:221" ht="16.95" customHeight="1">
      <c r="A57" s="1"/>
      <c r="B57" s="3"/>
      <c r="C57" s="3"/>
      <c r="D57" s="373" t="str">
        <f ca="1">IF(FO50=0,"","gebruikt nog eens op een rij, zodat je goed de samenhang kunt zien.")</f>
        <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49"/>
      <c r="FN57" s="49"/>
      <c r="FO57" s="49"/>
      <c r="FP57" s="49"/>
      <c r="FQ57" s="49"/>
      <c r="FR57" s="49"/>
      <c r="FS57" s="49"/>
      <c r="FT57" s="49"/>
      <c r="FU57" s="47"/>
      <c r="FV57" s="48"/>
      <c r="FW57" s="94"/>
      <c r="FX57" s="135"/>
      <c r="FY57" s="47"/>
      <c r="FZ57" s="47"/>
      <c r="GA57" s="49"/>
      <c r="GB57" s="49"/>
      <c r="GC57" s="49"/>
      <c r="GD57" s="49"/>
      <c r="GE57" s="49"/>
      <c r="GF57" s="49"/>
      <c r="GG57" s="49"/>
      <c r="GH57" s="49"/>
      <c r="GI57" s="49"/>
      <c r="GJ57" s="49"/>
      <c r="GK57" s="49"/>
      <c r="GL57" s="49"/>
      <c r="GM57" s="49"/>
      <c r="GN57" s="49"/>
      <c r="GO57" s="49"/>
      <c r="GP57" s="49"/>
      <c r="GQ57" s="49"/>
      <c r="GR57" s="49"/>
      <c r="GS57" s="49"/>
      <c r="GT57" s="49"/>
      <c r="GU57" s="49"/>
      <c r="GV57" s="49"/>
      <c r="GW57" s="49"/>
      <c r="GX57" s="49"/>
      <c r="GY57" s="49"/>
      <c r="GZ57" s="49"/>
      <c r="HA57" s="49"/>
      <c r="HB57" s="49"/>
      <c r="HC57" s="49"/>
      <c r="HD57" s="49"/>
      <c r="HE57" s="49"/>
      <c r="HF57" s="49"/>
      <c r="HG57" s="49"/>
      <c r="HH57" s="49"/>
      <c r="HI57" s="49"/>
      <c r="HJ57" s="49"/>
      <c r="HK57" s="49"/>
      <c r="HL57" s="49"/>
      <c r="HM57" s="49"/>
    </row>
    <row r="58" spans="1:221" ht="11.4" customHeight="1">
      <c r="A58" s="1"/>
      <c r="B58" s="3"/>
      <c r="C58" s="3"/>
      <c r="D58" s="38"/>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48"/>
      <c r="FN58" s="48"/>
      <c r="FO58" s="48"/>
      <c r="FP58" s="48"/>
      <c r="FQ58" s="48"/>
      <c r="FR58" s="48"/>
      <c r="FS58" s="48"/>
      <c r="FT58" s="48"/>
      <c r="FU58" s="48"/>
      <c r="FV58" s="47"/>
      <c r="FW58" s="47"/>
      <c r="FX58" s="47"/>
      <c r="FY58" s="47"/>
      <c r="FZ58" s="47"/>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49"/>
      <c r="HI58" s="49"/>
      <c r="HJ58" s="49"/>
      <c r="HK58" s="49"/>
      <c r="HL58" s="49"/>
      <c r="HM58" s="49"/>
    </row>
    <row r="59" spans="1:221" ht="16.5" customHeight="1">
      <c r="A59" s="1"/>
      <c r="B59" s="3"/>
      <c r="C59" s="3"/>
      <c r="D59" s="38"/>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90" t="str">
        <f ca="1">IF(FO50=0,"","p = -"&amp;FQ29&amp;"q + "&amp;FR29&amp;"")</f>
        <v/>
      </c>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48"/>
      <c r="FN59" s="48"/>
      <c r="FO59" s="48"/>
      <c r="FP59" s="48"/>
      <c r="FQ59" s="48"/>
      <c r="FR59" s="48"/>
      <c r="FS59" s="48"/>
      <c r="FT59" s="48"/>
      <c r="FU59" s="48"/>
      <c r="FV59" s="47"/>
      <c r="FW59" s="47"/>
      <c r="FX59" s="47"/>
      <c r="FY59" s="47"/>
      <c r="FZ59" s="47"/>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row>
    <row r="60" spans="1:221" ht="7.5" customHeight="1">
      <c r="A60" s="1"/>
      <c r="B60" s="3"/>
      <c r="C60" s="3"/>
      <c r="D60" s="38"/>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9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48"/>
      <c r="FN60" s="48"/>
      <c r="FO60" s="48"/>
      <c r="FP60" s="48"/>
      <c r="FQ60" s="48"/>
      <c r="FR60" s="48"/>
      <c r="FS60" s="48"/>
      <c r="FT60" s="48"/>
      <c r="FU60" s="48"/>
      <c r="FV60" s="47"/>
      <c r="FW60" s="47"/>
      <c r="FX60" s="47"/>
      <c r="FY60" s="47"/>
      <c r="FZ60" s="47"/>
      <c r="GA60" s="49"/>
      <c r="GB60" s="49"/>
      <c r="GC60" s="49"/>
      <c r="GD60" s="49"/>
      <c r="GE60" s="49"/>
      <c r="GF60" s="49"/>
      <c r="GG60" s="49"/>
      <c r="GH60" s="49"/>
      <c r="GI60" s="49"/>
      <c r="GJ60" s="49"/>
      <c r="GK60" s="49"/>
      <c r="GL60" s="49"/>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row>
    <row r="61" spans="1:221" ht="16.5" customHeight="1">
      <c r="A61" s="1"/>
      <c r="B61" s="3"/>
      <c r="C61" s="3"/>
      <c r="D61" s="38"/>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90" t="str">
        <f ca="1">IF(FO50=0,"","GO = P, dus GO = -"&amp;FQ29&amp;"q + "&amp;FR29&amp;"")</f>
        <v/>
      </c>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48"/>
      <c r="FN61" s="48"/>
      <c r="FO61" s="48"/>
      <c r="FP61" s="48"/>
      <c r="FQ61" s="48"/>
      <c r="FR61" s="48"/>
      <c r="FS61" s="48"/>
      <c r="FT61" s="48"/>
      <c r="FU61" s="48"/>
      <c r="FV61" s="47"/>
      <c r="FW61" s="47"/>
      <c r="FX61" s="47"/>
      <c r="FY61" s="47"/>
      <c r="FZ61" s="47"/>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row>
    <row r="62" spans="1:221" ht="7.5" customHeight="1">
      <c r="A62" s="1"/>
      <c r="B62" s="3"/>
      <c r="C62" s="3"/>
      <c r="D62" s="38"/>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9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48"/>
      <c r="FN62" s="48"/>
      <c r="FO62" s="48"/>
      <c r="FP62" s="48"/>
      <c r="FQ62" s="48"/>
      <c r="FR62" s="48"/>
      <c r="FS62" s="48"/>
      <c r="FT62" s="48"/>
      <c r="FU62" s="48"/>
      <c r="FV62" s="47"/>
      <c r="FW62" s="47"/>
      <c r="FX62" s="47"/>
      <c r="FY62" s="47"/>
      <c r="FZ62" s="47"/>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row>
    <row r="63" spans="1:221" ht="16.5" customHeight="1">
      <c r="A63" s="1"/>
      <c r="B63" s="3"/>
      <c r="C63" s="3"/>
      <c r="D63" s="38"/>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90" t="str">
        <f ca="1">IF(FO50=0,"","TO = GO × q, dus TO = -"&amp;FQ29&amp;"q² + "&amp;FR29&amp;"q")</f>
        <v/>
      </c>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48"/>
      <c r="FN63" s="48"/>
      <c r="FO63" s="48"/>
      <c r="FP63" s="48"/>
      <c r="FQ63" s="48"/>
      <c r="FR63" s="48"/>
      <c r="FS63" s="48"/>
      <c r="FT63" s="48"/>
      <c r="FU63" s="48"/>
      <c r="FV63" s="47"/>
      <c r="FW63" s="47"/>
      <c r="FX63" s="47"/>
      <c r="FY63" s="47"/>
      <c r="FZ63" s="47"/>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row>
    <row r="64" spans="1:221" ht="7.5" customHeight="1">
      <c r="A64" s="1"/>
      <c r="B64" s="3"/>
      <c r="C64" s="3"/>
      <c r="D64" s="38"/>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9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48"/>
      <c r="FN64" s="48"/>
      <c r="FO64" s="48"/>
      <c r="FP64" s="48"/>
      <c r="FQ64" s="48"/>
      <c r="FR64" s="48"/>
      <c r="FS64" s="48"/>
      <c r="FT64" s="48"/>
      <c r="FU64" s="48"/>
      <c r="FV64" s="47"/>
      <c r="FW64" s="47"/>
      <c r="FX64" s="47"/>
      <c r="FY64" s="47"/>
      <c r="FZ64" s="47"/>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row>
    <row r="65" spans="1:221" ht="16.5" customHeight="1">
      <c r="A65" s="1"/>
      <c r="B65" s="3"/>
      <c r="C65" s="3"/>
      <c r="D65" s="38"/>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90" t="str">
        <f ca="1">IF(FO50=0,"","MO = afgeleide van TO, dus MO = -"&amp;2*FQ29&amp;"q + "&amp;FR29&amp;"")</f>
        <v/>
      </c>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48"/>
      <c r="FN65" s="48"/>
      <c r="FO65" s="48"/>
      <c r="FP65" s="48"/>
      <c r="FQ65" s="48"/>
      <c r="FR65" s="48"/>
      <c r="FS65" s="48"/>
      <c r="FT65" s="48"/>
      <c r="FU65" s="48"/>
      <c r="FV65" s="47"/>
      <c r="FW65" s="47"/>
      <c r="FX65" s="47"/>
      <c r="FY65" s="47"/>
      <c r="FZ65" s="47"/>
      <c r="GA65" s="49"/>
      <c r="GB65" s="49"/>
      <c r="GC65" s="49"/>
      <c r="GD65" s="49"/>
      <c r="GE65" s="49"/>
      <c r="GF65" s="49"/>
      <c r="GG65" s="49"/>
      <c r="GH65" s="49"/>
      <c r="GI65" s="49"/>
      <c r="GJ65" s="49"/>
      <c r="GK65" s="49"/>
      <c r="GL65" s="49"/>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row>
    <row r="66" spans="1:221" ht="16.5" customHeight="1">
      <c r="A66" s="1"/>
      <c r="B66" s="3"/>
      <c r="C66" s="3"/>
      <c r="D66" s="38"/>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48"/>
      <c r="FN66" s="48"/>
      <c r="FO66" s="48"/>
      <c r="FP66" s="48"/>
      <c r="FQ66" s="48"/>
      <c r="FR66" s="48"/>
      <c r="FS66" s="48"/>
      <c r="FT66" s="48"/>
      <c r="FU66" s="48"/>
      <c r="FV66" s="47"/>
      <c r="FW66" s="47"/>
      <c r="FX66" s="47"/>
      <c r="FY66" s="47"/>
      <c r="FZ66" s="47"/>
      <c r="GA66" s="49"/>
      <c r="GB66" s="49"/>
      <c r="GC66" s="49"/>
      <c r="GD66" s="49"/>
      <c r="GE66" s="49"/>
      <c r="GF66" s="49"/>
      <c r="GG66" s="49"/>
      <c r="GH66" s="49"/>
      <c r="GI66" s="49"/>
      <c r="GJ66" s="49"/>
      <c r="GK66" s="49"/>
      <c r="GL66" s="49"/>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row>
    <row r="67" spans="1:221" ht="16.95" customHeight="1">
      <c r="A67" s="1"/>
      <c r="B67" s="3"/>
      <c r="C67" s="3"/>
      <c r="D67" s="373" t="str">
        <f ca="1">IF(FO50=0,"","Hieronder zie je links de TO-functie en rechts de bijbehorende GO- en")</f>
        <v/>
      </c>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49"/>
      <c r="FN67" s="49"/>
      <c r="FO67" s="49"/>
      <c r="FP67" s="49"/>
      <c r="FQ67" s="49"/>
      <c r="FR67" s="49"/>
      <c r="FS67" s="49"/>
      <c r="FT67" s="49"/>
      <c r="FU67" s="47"/>
      <c r="FV67" s="48"/>
      <c r="FW67" s="94"/>
      <c r="FX67" s="135"/>
      <c r="FY67" s="47"/>
      <c r="FZ67" s="47"/>
      <c r="GA67" s="49"/>
      <c r="GB67" s="49"/>
      <c r="GC67" s="49"/>
      <c r="GD67" s="49"/>
      <c r="GE67" s="49"/>
      <c r="GF67" s="49"/>
      <c r="GG67" s="49"/>
      <c r="GH67" s="49"/>
      <c r="GI67" s="49"/>
      <c r="GJ67" s="49"/>
      <c r="GK67" s="49"/>
      <c r="GL67" s="49"/>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row>
    <row r="68" spans="1:221" ht="16.95" customHeight="1">
      <c r="A68" s="1"/>
      <c r="B68" s="3"/>
      <c r="C68" s="3"/>
      <c r="D68" s="373" t="str">
        <f ca="1">IF(FO50=0,"","MO-lijnen getekend (GO blauw en MO paars). Merk op dat we de negatieve")</f>
        <v/>
      </c>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49"/>
      <c r="FN68" s="49"/>
      <c r="FO68" s="49"/>
      <c r="FP68" s="49"/>
      <c r="FQ68" s="49"/>
      <c r="FR68" s="49"/>
      <c r="FS68" s="49"/>
      <c r="FT68" s="49"/>
      <c r="FU68" s="47"/>
      <c r="FV68" s="48"/>
      <c r="FW68" s="94"/>
      <c r="FX68" s="135"/>
      <c r="FY68" s="47"/>
      <c r="FZ68" s="47"/>
      <c r="GA68" s="49"/>
      <c r="GB68" s="49"/>
      <c r="GC68" s="49"/>
      <c r="GD68" s="49"/>
      <c r="GE68" s="49"/>
      <c r="GF68" s="49"/>
      <c r="GG68" s="49"/>
      <c r="GH68" s="49"/>
      <c r="GI68" s="49"/>
      <c r="GJ68" s="49"/>
      <c r="GK68" s="49"/>
      <c r="GL68" s="49"/>
      <c r="GM68" s="49"/>
      <c r="GN68" s="49"/>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row>
    <row r="69" spans="1:221" ht="16.95" customHeight="1">
      <c r="A69" s="1"/>
      <c r="B69" s="3"/>
      <c r="C69" s="3"/>
      <c r="D69" s="373" t="str">
        <f ca="1">IF(FO50=0,""," waarden van MO niet hebben ingetekend. Dat doen we omdat die toch niet")</f>
        <v/>
      </c>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49"/>
      <c r="FN69" s="49"/>
      <c r="FO69" s="49"/>
      <c r="FP69" s="49"/>
      <c r="FQ69" s="49"/>
      <c r="FR69" s="49"/>
      <c r="FS69" s="49"/>
      <c r="FT69" s="49"/>
      <c r="FU69" s="47"/>
      <c r="FV69" s="48"/>
      <c r="FW69" s="94"/>
      <c r="FX69" s="135"/>
      <c r="FY69" s="47"/>
      <c r="FZ69" s="47"/>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row>
    <row r="70" spans="1:221" ht="16.95" customHeight="1">
      <c r="A70" s="1"/>
      <c r="B70" s="3"/>
      <c r="C70" s="3"/>
      <c r="D70" s="373" t="str">
        <f ca="1">IF(FO50=0,""," van belang zijn voor het vinden van de maximale winst en maximale omzet.")</f>
        <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49"/>
      <c r="FN70" s="49"/>
      <c r="FO70" s="49"/>
      <c r="FP70" s="49"/>
      <c r="FQ70" s="49"/>
      <c r="FR70" s="49"/>
      <c r="FS70" s="49"/>
      <c r="FT70" s="49"/>
      <c r="FU70" s="47"/>
      <c r="FV70" s="48"/>
      <c r="FW70" s="94"/>
      <c r="FX70" s="135"/>
      <c r="FY70" s="47"/>
      <c r="FZ70" s="47"/>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row>
    <row r="71" spans="1:221" ht="16.5" customHeight="1">
      <c r="A71" s="1"/>
      <c r="B71" s="3"/>
      <c r="C71" s="3"/>
      <c r="D71" s="38"/>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49"/>
      <c r="FN71" s="49"/>
      <c r="FO71" s="49"/>
      <c r="FP71" s="49"/>
      <c r="FQ71" s="49"/>
      <c r="FR71" s="49"/>
      <c r="FS71" s="49"/>
      <c r="FT71" s="49"/>
      <c r="FU71" s="47"/>
      <c r="FV71" s="47"/>
      <c r="FW71" s="47"/>
      <c r="FX71" s="47"/>
      <c r="FY71" s="47"/>
      <c r="FZ71" s="47"/>
      <c r="GA71" s="49"/>
      <c r="GB71" s="49"/>
      <c r="GC71" s="49"/>
      <c r="GD71" s="49"/>
      <c r="GE71" s="49"/>
      <c r="GF71" s="49"/>
      <c r="GG71" s="49"/>
      <c r="GH71" s="49"/>
      <c r="GI71" s="49"/>
      <c r="GJ71" s="49"/>
      <c r="GK71" s="49"/>
      <c r="GL71" s="49"/>
      <c r="GM71" s="49"/>
      <c r="GN71" s="49"/>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row>
    <row r="72" spans="1:221" ht="16.5" customHeight="1">
      <c r="A72" s="1"/>
      <c r="B72" s="3"/>
      <c r="C72" s="3"/>
      <c r="D72" s="38"/>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49"/>
      <c r="FN72" s="49"/>
      <c r="FO72" s="49"/>
      <c r="FP72" s="49"/>
      <c r="FQ72" s="49"/>
      <c r="FR72" s="49"/>
      <c r="FS72" s="49"/>
      <c r="FT72" s="49"/>
      <c r="FU72" s="47"/>
      <c r="FV72" s="47"/>
      <c r="FW72" s="47"/>
      <c r="FX72" s="47"/>
      <c r="FY72" s="47"/>
      <c r="FZ72" s="47"/>
      <c r="GA72" s="49"/>
      <c r="GB72" s="49"/>
      <c r="GC72" s="49"/>
      <c r="GD72" s="49" t="s">
        <v>0</v>
      </c>
      <c r="GE72" s="49" t="s">
        <v>5</v>
      </c>
      <c r="GF72" s="49" t="s">
        <v>22</v>
      </c>
      <c r="GG72" s="49" t="s">
        <v>37</v>
      </c>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row>
    <row r="73" spans="1:221" ht="16.5" customHeight="1">
      <c r="A73" s="1"/>
      <c r="B73" s="3"/>
      <c r="C73" s="3"/>
      <c r="D73" s="38"/>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49"/>
      <c r="FN73" s="49"/>
      <c r="FO73" s="49"/>
      <c r="FP73" s="49"/>
      <c r="FQ73" s="49"/>
      <c r="FR73" s="49"/>
      <c r="FS73" s="49"/>
      <c r="FT73" s="49"/>
      <c r="FU73" s="47"/>
      <c r="FV73" s="47"/>
      <c r="FW73" s="47"/>
      <c r="FX73" s="47"/>
      <c r="FY73" s="47"/>
      <c r="FZ73" s="47"/>
      <c r="GA73" s="49"/>
      <c r="GB73" s="49"/>
      <c r="GC73" s="49"/>
      <c r="GD73" s="49" t="str">
        <f ca="1">IF($FO$50=1,0,"")</f>
        <v/>
      </c>
      <c r="GE73" s="49" t="b">
        <f ca="1">IF($FO$50=1,-FQ$29*GD73^2+FR$29*GD73)</f>
        <v>0</v>
      </c>
      <c r="GF73" s="49">
        <f ca="1">IF($FO$50=1,-$FQ$29*GD73+$FR$29,0)</f>
        <v>0</v>
      </c>
      <c r="GG73" s="49">
        <f ca="1">IF($FO$50=1,-2*$FQ$29*GD73+$FR$29,0)</f>
        <v>0</v>
      </c>
      <c r="GH73" s="49"/>
      <c r="GI73" s="49"/>
      <c r="GJ73" s="49"/>
      <c r="GK73" s="49"/>
      <c r="GL73" s="49"/>
      <c r="GM73" s="49"/>
      <c r="GN73" s="49"/>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row>
    <row r="74" spans="1:221" ht="16.5" customHeight="1">
      <c r="A74" s="1"/>
      <c r="B74" s="3"/>
      <c r="C74" s="3"/>
      <c r="D74" s="38"/>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49"/>
      <c r="FN74" s="49"/>
      <c r="FO74" s="49"/>
      <c r="FP74" s="49"/>
      <c r="FQ74" s="49"/>
      <c r="FR74" s="49"/>
      <c r="FS74" s="49"/>
      <c r="FT74" s="49"/>
      <c r="FU74" s="47"/>
      <c r="FV74" s="47"/>
      <c r="FW74" s="47"/>
      <c r="FX74" s="47"/>
      <c r="FY74" s="47"/>
      <c r="FZ74" s="47"/>
      <c r="GA74" s="49"/>
      <c r="GB74" s="49"/>
      <c r="GC74" s="49"/>
      <c r="GD74" s="49" t="str">
        <f ca="1">IF($FO$50=1,0.1*GD83,"")</f>
        <v/>
      </c>
      <c r="GE74" s="49" t="b">
        <f t="shared" ref="GE74:GE83" ca="1" si="0">IF($FO$50=1,-FQ$29*GD74^2+FR$29*GD74)</f>
        <v>0</v>
      </c>
      <c r="GF74" s="49">
        <f t="shared" ref="GF74:GF83" ca="1" si="1">IF($FO$50=1,-$FQ$29*GD74+$FR$29,0)</f>
        <v>0</v>
      </c>
      <c r="GG74" s="49">
        <f t="shared" ref="GG74:GG83" ca="1" si="2">IF($FO$50=1,-2*$FQ$29*GD74+$FR$29,0)</f>
        <v>0</v>
      </c>
      <c r="GH74" s="49"/>
      <c r="GI74" s="49"/>
      <c r="GJ74" s="49"/>
      <c r="GK74" s="49"/>
      <c r="GL74" s="49"/>
      <c r="GM74" s="49"/>
      <c r="GN74" s="49"/>
      <c r="GO74" s="49"/>
      <c r="GP74" s="49"/>
      <c r="GQ74" s="49"/>
      <c r="GR74" s="49"/>
      <c r="GS74" s="49"/>
      <c r="GT74" s="49"/>
      <c r="GU74" s="49"/>
      <c r="GV74" s="49"/>
      <c r="GW74" s="49"/>
      <c r="GX74" s="49"/>
      <c r="GY74" s="49"/>
      <c r="GZ74" s="49"/>
      <c r="HA74" s="49"/>
      <c r="HB74" s="49"/>
      <c r="HC74" s="49"/>
      <c r="HD74" s="49"/>
      <c r="HE74" s="49"/>
      <c r="HF74" s="49"/>
      <c r="HG74" s="49"/>
      <c r="HH74" s="49"/>
      <c r="HI74" s="49"/>
      <c r="HJ74" s="49"/>
      <c r="HK74" s="49"/>
      <c r="HL74" s="49"/>
      <c r="HM74" s="49"/>
    </row>
    <row r="75" spans="1:221" ht="16.5" customHeight="1">
      <c r="A75" s="1"/>
      <c r="B75" s="3"/>
      <c r="C75" s="3"/>
      <c r="D75" s="38"/>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49"/>
      <c r="FN75" s="49"/>
      <c r="FO75" s="49"/>
      <c r="FP75" s="49"/>
      <c r="FQ75" s="49"/>
      <c r="FR75" s="49"/>
      <c r="FS75" s="49"/>
      <c r="FT75" s="49"/>
      <c r="FU75" s="47"/>
      <c r="FV75" s="47"/>
      <c r="FW75" s="47"/>
      <c r="FX75" s="47"/>
      <c r="FY75" s="47"/>
      <c r="FZ75" s="47"/>
      <c r="GA75" s="49"/>
      <c r="GB75" s="49"/>
      <c r="GC75" s="49"/>
      <c r="GD75" s="49" t="str">
        <f ca="1">IF($FO$50=1,0.2*GD83,"")</f>
        <v/>
      </c>
      <c r="GE75" s="49" t="b">
        <f t="shared" ca="1" si="0"/>
        <v>0</v>
      </c>
      <c r="GF75" s="49">
        <f t="shared" ca="1" si="1"/>
        <v>0</v>
      </c>
      <c r="GG75" s="49">
        <f t="shared" ca="1" si="2"/>
        <v>0</v>
      </c>
      <c r="GH75" s="49"/>
      <c r="GI75" s="49"/>
      <c r="GJ75" s="49"/>
      <c r="GK75" s="49"/>
      <c r="GL75" s="49"/>
      <c r="GM75" s="49"/>
      <c r="GN75" s="49"/>
      <c r="GO75" s="49"/>
      <c r="GP75" s="49"/>
      <c r="GQ75" s="49"/>
      <c r="GR75" s="49"/>
      <c r="GS75" s="49"/>
      <c r="GT75" s="49"/>
      <c r="GU75" s="49"/>
      <c r="GV75" s="49"/>
      <c r="GW75" s="49"/>
      <c r="GX75" s="49"/>
      <c r="GY75" s="49"/>
      <c r="GZ75" s="49"/>
      <c r="HA75" s="49"/>
      <c r="HB75" s="49"/>
      <c r="HC75" s="49"/>
      <c r="HD75" s="49"/>
      <c r="HE75" s="49"/>
      <c r="HF75" s="49"/>
      <c r="HG75" s="49"/>
      <c r="HH75" s="49"/>
      <c r="HI75" s="49"/>
      <c r="HJ75" s="49"/>
      <c r="HK75" s="49"/>
      <c r="HL75" s="49"/>
      <c r="HM75" s="49"/>
    </row>
    <row r="76" spans="1:221" ht="16.5" customHeight="1">
      <c r="A76" s="1"/>
      <c r="B76" s="3"/>
      <c r="C76" s="3"/>
      <c r="D76" s="38"/>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49"/>
      <c r="FN76" s="49"/>
      <c r="FO76" s="49"/>
      <c r="FP76" s="49"/>
      <c r="FQ76" s="49"/>
      <c r="FR76" s="49"/>
      <c r="FS76" s="49"/>
      <c r="FT76" s="49"/>
      <c r="FU76" s="47"/>
      <c r="FV76" s="47"/>
      <c r="FW76" s="47"/>
      <c r="FX76" s="47"/>
      <c r="FY76" s="47"/>
      <c r="FZ76" s="47"/>
      <c r="GA76" s="49"/>
      <c r="GB76" s="49"/>
      <c r="GC76" s="49"/>
      <c r="GD76" s="49" t="str">
        <f ca="1">IF($FO$50=1,0.3*GD83,"")</f>
        <v/>
      </c>
      <c r="GE76" s="49" t="b">
        <f t="shared" ca="1" si="0"/>
        <v>0</v>
      </c>
      <c r="GF76" s="49">
        <f t="shared" ca="1" si="1"/>
        <v>0</v>
      </c>
      <c r="GG76" s="49">
        <f t="shared" ca="1" si="2"/>
        <v>0</v>
      </c>
      <c r="GH76" s="49"/>
      <c r="GI76" s="49"/>
      <c r="GJ76" s="49"/>
      <c r="GK76" s="49"/>
      <c r="GL76" s="49"/>
      <c r="GM76" s="49"/>
      <c r="GN76" s="49"/>
      <c r="GO76" s="49"/>
      <c r="GP76" s="49"/>
      <c r="GQ76" s="49"/>
      <c r="GR76" s="49"/>
      <c r="GS76" s="49"/>
      <c r="GT76" s="49"/>
      <c r="GU76" s="49"/>
      <c r="GV76" s="49"/>
      <c r="GW76" s="49"/>
      <c r="GX76" s="49"/>
      <c r="GY76" s="49"/>
      <c r="GZ76" s="49"/>
      <c r="HA76" s="49"/>
      <c r="HB76" s="49"/>
      <c r="HC76" s="49"/>
      <c r="HD76" s="49"/>
      <c r="HE76" s="49"/>
      <c r="HF76" s="49"/>
      <c r="HG76" s="49"/>
      <c r="HH76" s="49"/>
      <c r="HI76" s="49"/>
      <c r="HJ76" s="49"/>
      <c r="HK76" s="49"/>
      <c r="HL76" s="49"/>
      <c r="HM76" s="49"/>
    </row>
    <row r="77" spans="1:221" ht="16.5" customHeight="1">
      <c r="A77" s="1"/>
      <c r="B77" s="3"/>
      <c r="C77" s="3"/>
      <c r="D77" s="38"/>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49"/>
      <c r="FN77" s="49"/>
      <c r="FO77" s="49"/>
      <c r="FP77" s="49"/>
      <c r="FQ77" s="49"/>
      <c r="FR77" s="49"/>
      <c r="FS77" s="49"/>
      <c r="FT77" s="49"/>
      <c r="FU77" s="47"/>
      <c r="FV77" s="47"/>
      <c r="FW77" s="47"/>
      <c r="FX77" s="47"/>
      <c r="FY77" s="47"/>
      <c r="FZ77" s="47"/>
      <c r="GA77" s="49"/>
      <c r="GB77" s="49"/>
      <c r="GC77" s="49"/>
      <c r="GD77" s="49" t="str">
        <f ca="1">IF($FO$50=1,0.4*GD83,"")</f>
        <v/>
      </c>
      <c r="GE77" s="49" t="b">
        <f t="shared" ca="1" si="0"/>
        <v>0</v>
      </c>
      <c r="GF77" s="49">
        <f t="shared" ca="1" si="1"/>
        <v>0</v>
      </c>
      <c r="GG77" s="49">
        <f t="shared" ca="1" si="2"/>
        <v>0</v>
      </c>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row>
    <row r="78" spans="1:221" ht="16.5" customHeight="1">
      <c r="A78" s="1"/>
      <c r="B78" s="3"/>
      <c r="C78" s="3"/>
      <c r="D78" s="38"/>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49"/>
      <c r="FN78" s="49"/>
      <c r="FO78" s="49"/>
      <c r="FP78" s="49"/>
      <c r="FQ78" s="49"/>
      <c r="FR78" s="49"/>
      <c r="FS78" s="49"/>
      <c r="FT78" s="49"/>
      <c r="FU78" s="47"/>
      <c r="FV78" s="47"/>
      <c r="FW78" s="47"/>
      <c r="FX78" s="47"/>
      <c r="FY78" s="47"/>
      <c r="FZ78" s="47"/>
      <c r="GA78" s="49"/>
      <c r="GB78" s="49"/>
      <c r="GC78" s="49"/>
      <c r="GD78" s="49" t="str">
        <f ca="1">IF($FO$50=1,0.5*GD83,"")</f>
        <v/>
      </c>
      <c r="GE78" s="49" t="b">
        <f t="shared" ca="1" si="0"/>
        <v>0</v>
      </c>
      <c r="GF78" s="49">
        <f t="shared" ca="1" si="1"/>
        <v>0</v>
      </c>
      <c r="GG78" s="49">
        <f t="shared" ca="1" si="2"/>
        <v>0</v>
      </c>
      <c r="GH78" s="49"/>
      <c r="GI78" s="49"/>
      <c r="GJ78" s="49"/>
      <c r="GK78" s="49"/>
      <c r="GL78" s="49"/>
      <c r="GM78" s="49"/>
      <c r="GN78" s="49"/>
      <c r="GO78" s="49"/>
      <c r="GP78" s="49"/>
      <c r="GQ78" s="49"/>
      <c r="GR78" s="49"/>
      <c r="GS78" s="49"/>
      <c r="GT78" s="49"/>
      <c r="GU78" s="49"/>
      <c r="GV78" s="49"/>
      <c r="GW78" s="49"/>
      <c r="GX78" s="49"/>
      <c r="GY78" s="49"/>
      <c r="GZ78" s="49"/>
      <c r="HA78" s="49"/>
      <c r="HB78" s="49"/>
      <c r="HC78" s="49"/>
      <c r="HD78" s="49"/>
      <c r="HE78" s="49"/>
      <c r="HF78" s="49"/>
      <c r="HG78" s="49"/>
      <c r="HH78" s="49"/>
      <c r="HI78" s="49"/>
      <c r="HJ78" s="49"/>
      <c r="HK78" s="49"/>
      <c r="HL78" s="49"/>
      <c r="HM78" s="49"/>
    </row>
    <row r="79" spans="1:221" ht="16.5" customHeight="1">
      <c r="A79" s="1"/>
      <c r="B79" s="3"/>
      <c r="C79" s="3"/>
      <c r="D79" s="38"/>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49"/>
      <c r="FN79" s="49"/>
      <c r="FO79" s="49"/>
      <c r="FP79" s="49"/>
      <c r="FQ79" s="49"/>
      <c r="FR79" s="49"/>
      <c r="FS79" s="49"/>
      <c r="FT79" s="49"/>
      <c r="FU79" s="47"/>
      <c r="FV79" s="47"/>
      <c r="FW79" s="47"/>
      <c r="FX79" s="47"/>
      <c r="FY79" s="47"/>
      <c r="FZ79" s="47"/>
      <c r="GA79" s="49"/>
      <c r="GB79" s="49"/>
      <c r="GC79" s="49"/>
      <c r="GD79" s="49" t="str">
        <f ca="1">IF($FO$50=1,0.6*GD83,"")</f>
        <v/>
      </c>
      <c r="GE79" s="49" t="b">
        <f t="shared" ca="1" si="0"/>
        <v>0</v>
      </c>
      <c r="GF79" s="49">
        <f t="shared" ca="1" si="1"/>
        <v>0</v>
      </c>
      <c r="GG79" s="49">
        <f ca="1">IF($FO$50=1,-2*$FQ$29*GD79+$FR$29,0)</f>
        <v>0</v>
      </c>
      <c r="GH79" s="49"/>
      <c r="GI79" s="49"/>
      <c r="GJ79" s="49"/>
      <c r="GK79" s="49"/>
      <c r="GL79" s="49"/>
      <c r="GM79" s="49"/>
      <c r="GN79" s="49"/>
      <c r="GO79" s="49"/>
      <c r="GP79" s="49"/>
      <c r="GQ79" s="49"/>
      <c r="GR79" s="49"/>
      <c r="GS79" s="49"/>
      <c r="GT79" s="49"/>
      <c r="GU79" s="49"/>
      <c r="GV79" s="49"/>
      <c r="GW79" s="49"/>
      <c r="GX79" s="49"/>
      <c r="GY79" s="49"/>
      <c r="GZ79" s="49"/>
      <c r="HA79" s="49"/>
      <c r="HB79" s="49"/>
      <c r="HC79" s="49"/>
      <c r="HD79" s="49"/>
      <c r="HE79" s="49"/>
      <c r="HF79" s="49"/>
      <c r="HG79" s="49"/>
      <c r="HH79" s="49"/>
      <c r="HI79" s="49"/>
      <c r="HJ79" s="49"/>
      <c r="HK79" s="49"/>
      <c r="HL79" s="49"/>
      <c r="HM79" s="49"/>
    </row>
    <row r="80" spans="1:221" ht="16.5" customHeight="1">
      <c r="A80" s="1"/>
      <c r="B80" s="3"/>
      <c r="C80" s="3"/>
      <c r="D80" s="38"/>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49"/>
      <c r="FN80" s="49"/>
      <c r="FO80" s="49"/>
      <c r="FP80" s="49"/>
      <c r="FQ80" s="49"/>
      <c r="FR80" s="49"/>
      <c r="FS80" s="49"/>
      <c r="FT80" s="49"/>
      <c r="FU80" s="47"/>
      <c r="FV80" s="47"/>
      <c r="FW80" s="47"/>
      <c r="FX80" s="47"/>
      <c r="FY80" s="47"/>
      <c r="FZ80" s="47"/>
      <c r="GA80" s="49"/>
      <c r="GB80" s="49"/>
      <c r="GC80" s="49"/>
      <c r="GD80" s="49" t="str">
        <f ca="1">IF($FO$50=1,0.7*GD83,"")</f>
        <v/>
      </c>
      <c r="GE80" s="49" t="b">
        <f t="shared" ca="1" si="0"/>
        <v>0</v>
      </c>
      <c r="GF80" s="49">
        <f t="shared" ca="1" si="1"/>
        <v>0</v>
      </c>
      <c r="GG80" s="49">
        <f t="shared" ca="1" si="2"/>
        <v>0</v>
      </c>
      <c r="GH80" s="49"/>
      <c r="GI80" s="49"/>
      <c r="GJ80" s="49"/>
      <c r="GK80" s="49"/>
      <c r="GL80" s="49"/>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row>
    <row r="81" spans="1:221" ht="16.5" customHeight="1">
      <c r="A81" s="1"/>
      <c r="B81" s="3"/>
      <c r="C81" s="3"/>
      <c r="D81" s="38"/>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49"/>
      <c r="FN81" s="49"/>
      <c r="FO81" s="49"/>
      <c r="FP81" s="49"/>
      <c r="FQ81" s="49"/>
      <c r="FR81" s="49"/>
      <c r="FS81" s="49"/>
      <c r="FT81" s="49"/>
      <c r="FU81" s="47"/>
      <c r="FV81" s="47"/>
      <c r="FW81" s="47"/>
      <c r="FX81" s="47"/>
      <c r="FY81" s="47"/>
      <c r="FZ81" s="47"/>
      <c r="GA81" s="49"/>
      <c r="GB81" s="49"/>
      <c r="GC81" s="49"/>
      <c r="GD81" s="49" t="str">
        <f ca="1">IF($FO$50=1,0.8*GD83,"")</f>
        <v/>
      </c>
      <c r="GE81" s="49" t="b">
        <f t="shared" ca="1" si="0"/>
        <v>0</v>
      </c>
      <c r="GF81" s="49">
        <f t="shared" ca="1" si="1"/>
        <v>0</v>
      </c>
      <c r="GG81" s="49">
        <f t="shared" ca="1" si="2"/>
        <v>0</v>
      </c>
      <c r="GH81" s="49"/>
      <c r="GI81" s="49"/>
      <c r="GJ81" s="49"/>
      <c r="GK81" s="49"/>
      <c r="GL81" s="49"/>
      <c r="GM81" s="49"/>
      <c r="GN81" s="49"/>
      <c r="GO81" s="49"/>
      <c r="GP81" s="49"/>
      <c r="GQ81" s="49"/>
      <c r="GR81" s="49"/>
      <c r="GS81" s="49"/>
      <c r="GT81" s="49"/>
      <c r="GU81" s="49"/>
      <c r="GV81" s="49"/>
      <c r="GW81" s="49"/>
      <c r="GX81" s="49"/>
      <c r="GY81" s="49"/>
      <c r="GZ81" s="49"/>
      <c r="HA81" s="49"/>
      <c r="HB81" s="49"/>
      <c r="HC81" s="49"/>
      <c r="HD81" s="49"/>
      <c r="HE81" s="49"/>
      <c r="HF81" s="49"/>
      <c r="HG81" s="49"/>
      <c r="HH81" s="49"/>
      <c r="HI81" s="49"/>
      <c r="HJ81" s="49"/>
      <c r="HK81" s="49"/>
      <c r="HL81" s="49"/>
      <c r="HM81" s="49"/>
    </row>
    <row r="82" spans="1:221" ht="16.5" customHeight="1">
      <c r="A82" s="1"/>
      <c r="B82" s="3"/>
      <c r="C82" s="3"/>
      <c r="D82" s="38"/>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49"/>
      <c r="FN82" s="49"/>
      <c r="FO82" s="49"/>
      <c r="FP82" s="49"/>
      <c r="FQ82" s="49"/>
      <c r="FR82" s="49"/>
      <c r="FS82" s="49"/>
      <c r="FT82" s="49"/>
      <c r="FU82" s="47"/>
      <c r="FV82" s="47"/>
      <c r="FW82" s="47"/>
      <c r="FX82" s="47"/>
      <c r="FY82" s="47"/>
      <c r="FZ82" s="47"/>
      <c r="GA82" s="49"/>
      <c r="GB82" s="49"/>
      <c r="GC82" s="49"/>
      <c r="GD82" s="49" t="str">
        <f ca="1">IF($FO$50=1,0.9*GD83,"")</f>
        <v/>
      </c>
      <c r="GE82" s="49" t="b">
        <f t="shared" ca="1" si="0"/>
        <v>0</v>
      </c>
      <c r="GF82" s="49">
        <f t="shared" ca="1" si="1"/>
        <v>0</v>
      </c>
      <c r="GG82" s="49">
        <f t="shared" ca="1" si="2"/>
        <v>0</v>
      </c>
      <c r="GH82" s="49"/>
      <c r="GI82" s="49"/>
      <c r="GJ82" s="49"/>
      <c r="GK82" s="49"/>
      <c r="GL82" s="49"/>
      <c r="GM82" s="49"/>
      <c r="GN82" s="49"/>
      <c r="GO82" s="49"/>
      <c r="GP82" s="49"/>
      <c r="GQ82" s="49"/>
      <c r="GR82" s="49"/>
      <c r="GS82" s="49"/>
      <c r="GT82" s="49"/>
      <c r="GU82" s="49"/>
      <c r="GV82" s="49"/>
      <c r="GW82" s="49"/>
      <c r="GX82" s="49"/>
      <c r="GY82" s="49"/>
      <c r="GZ82" s="49"/>
      <c r="HA82" s="49"/>
      <c r="HB82" s="49"/>
      <c r="HC82" s="49"/>
      <c r="HD82" s="49"/>
      <c r="HE82" s="49"/>
      <c r="HF82" s="49"/>
      <c r="HG82" s="49"/>
      <c r="HH82" s="49"/>
      <c r="HI82" s="49"/>
      <c r="HJ82" s="49"/>
      <c r="HK82" s="49"/>
      <c r="HL82" s="49"/>
      <c r="HM82" s="49"/>
    </row>
    <row r="83" spans="1:221" ht="16.5" customHeight="1">
      <c r="A83" s="1"/>
      <c r="B83" s="3"/>
      <c r="C83" s="3"/>
      <c r="D83" s="38"/>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49"/>
      <c r="FN83" s="49"/>
      <c r="FO83" s="49"/>
      <c r="FP83" s="49"/>
      <c r="FQ83" s="49"/>
      <c r="FR83" s="49"/>
      <c r="FS83" s="49"/>
      <c r="FT83" s="49"/>
      <c r="FU83" s="47"/>
      <c r="FV83" s="47"/>
      <c r="FW83" s="47"/>
      <c r="FX83" s="47"/>
      <c r="FY83" s="47"/>
      <c r="FZ83" s="47"/>
      <c r="GA83" s="49"/>
      <c r="GB83" s="49"/>
      <c r="GC83" s="49"/>
      <c r="GD83" s="49" t="str">
        <f ca="1">IF($FO$50=1,(FU29/FT29)/(1/FT29),"")</f>
        <v/>
      </c>
      <c r="GE83" s="49" t="b">
        <f t="shared" ca="1" si="0"/>
        <v>0</v>
      </c>
      <c r="GF83" s="49">
        <f t="shared" ca="1" si="1"/>
        <v>0</v>
      </c>
      <c r="GG83" s="49">
        <f t="shared" ca="1" si="2"/>
        <v>0</v>
      </c>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row>
    <row r="84" spans="1:221" ht="16.5" customHeight="1">
      <c r="A84" s="1"/>
      <c r="B84" s="3"/>
      <c r="C84" s="3"/>
      <c r="D84" s="38"/>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49"/>
      <c r="FN84" s="49"/>
      <c r="FO84" s="49"/>
      <c r="FP84" s="49"/>
      <c r="FQ84" s="49"/>
      <c r="FR84" s="49"/>
      <c r="FS84" s="49"/>
      <c r="FT84" s="49"/>
      <c r="FU84" s="47"/>
      <c r="FV84" s="47"/>
      <c r="FW84" s="47"/>
      <c r="FX84" s="47"/>
      <c r="FY84" s="47"/>
      <c r="FZ84" s="47"/>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row>
    <row r="85" spans="1:221" ht="16.5" customHeight="1">
      <c r="A85" s="1"/>
      <c r="B85" s="3"/>
      <c r="C85" s="3"/>
      <c r="D85" s="38"/>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49"/>
      <c r="FN85" s="49"/>
      <c r="FO85" s="49"/>
      <c r="FP85" s="49"/>
      <c r="FQ85" s="49"/>
      <c r="FR85" s="49"/>
      <c r="FS85" s="49"/>
      <c r="FT85" s="49"/>
      <c r="FU85" s="47"/>
      <c r="FV85" s="47"/>
      <c r="FW85" s="47"/>
      <c r="FX85" s="47"/>
      <c r="FY85" s="47"/>
      <c r="FZ85" s="47"/>
      <c r="GA85" s="49"/>
      <c r="GB85" s="49"/>
      <c r="GC85" s="49"/>
      <c r="GD85" s="49"/>
      <c r="GE85" s="49"/>
      <c r="GF85" s="49"/>
      <c r="GG85" s="49"/>
      <c r="GH85" s="49"/>
      <c r="GI85" s="49"/>
      <c r="GJ85" s="49"/>
      <c r="GK85" s="49"/>
      <c r="GL85" s="49"/>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row>
    <row r="86" spans="1:221" ht="16.5" customHeight="1">
      <c r="A86" s="1"/>
      <c r="B86" s="3"/>
      <c r="C86" s="3"/>
      <c r="D86" s="38"/>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47"/>
      <c r="FN86" s="47"/>
      <c r="FO86" s="47"/>
      <c r="FP86" s="47"/>
      <c r="FQ86" s="47"/>
      <c r="FR86" s="47"/>
      <c r="FS86" s="47"/>
      <c r="FT86" s="47"/>
      <c r="FU86" s="47"/>
      <c r="FV86" s="47"/>
      <c r="FW86" s="47"/>
      <c r="FX86" s="47"/>
      <c r="FY86" s="47"/>
      <c r="FZ86" s="47"/>
      <c r="GA86" s="49"/>
      <c r="GB86" s="49"/>
      <c r="GC86" s="49"/>
      <c r="GD86" s="49"/>
      <c r="GE86" s="49"/>
      <c r="GF86" s="49"/>
      <c r="GG86" s="49"/>
      <c r="GH86" s="49"/>
      <c r="GI86" s="49"/>
      <c r="GJ86" s="49"/>
      <c r="GK86" s="49"/>
      <c r="GL86" s="49"/>
      <c r="GM86" s="49"/>
      <c r="GN86" s="49"/>
      <c r="GO86" s="49"/>
      <c r="GP86" s="49"/>
      <c r="GQ86" s="49"/>
      <c r="GR86" s="49"/>
      <c r="GS86" s="49"/>
      <c r="GT86" s="49"/>
      <c r="GU86" s="49"/>
      <c r="GV86" s="49"/>
      <c r="GW86" s="49"/>
      <c r="GX86" s="49"/>
      <c r="GY86" s="49"/>
      <c r="GZ86" s="49"/>
      <c r="HA86" s="49"/>
      <c r="HB86" s="49"/>
      <c r="HC86" s="49"/>
      <c r="HD86" s="49"/>
      <c r="HE86" s="49"/>
      <c r="HF86" s="49"/>
      <c r="HG86" s="49"/>
      <c r="HH86" s="49"/>
      <c r="HI86" s="49"/>
      <c r="HJ86" s="49"/>
      <c r="HK86" s="49"/>
      <c r="HL86" s="49"/>
      <c r="HM86" s="49"/>
    </row>
    <row r="87" spans="1:221" ht="16.95" customHeight="1">
      <c r="A87" s="1"/>
      <c r="B87" s="3"/>
      <c r="C87" s="3"/>
      <c r="D87" s="373" t="str">
        <f ca="1">IF(FO50=0,"","Omdat de MO-lijn twee keer zo snel daalt als de GO-lijn, ligt de MO-lijn")</f>
        <v/>
      </c>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49"/>
      <c r="FN87" s="49"/>
      <c r="FO87" s="49"/>
      <c r="FP87" s="49"/>
      <c r="FQ87" s="49"/>
      <c r="FR87" s="49"/>
      <c r="FS87" s="49"/>
      <c r="FT87" s="49"/>
      <c r="FU87" s="47"/>
      <c r="FV87" s="48"/>
      <c r="FW87" s="94"/>
      <c r="FX87" s="135"/>
      <c r="FY87" s="47"/>
      <c r="FZ87" s="47"/>
      <c r="GA87" s="49"/>
      <c r="GB87" s="49"/>
      <c r="GC87" s="49"/>
      <c r="GD87" s="49"/>
      <c r="GE87" s="49"/>
      <c r="GF87" s="49"/>
      <c r="GG87" s="49"/>
      <c r="GH87" s="49"/>
      <c r="GI87" s="49"/>
      <c r="GJ87" s="49"/>
      <c r="GK87" s="49"/>
      <c r="GL87" s="49"/>
      <c r="GM87" s="49"/>
      <c r="GN87" s="49"/>
      <c r="GO87" s="49"/>
      <c r="GP87" s="49"/>
      <c r="GQ87" s="49"/>
      <c r="GR87" s="49"/>
      <c r="GS87" s="49"/>
      <c r="GT87" s="49"/>
      <c r="GU87" s="49"/>
      <c r="GV87" s="49"/>
      <c r="GW87" s="49"/>
      <c r="GX87" s="49"/>
      <c r="GY87" s="49"/>
      <c r="GZ87" s="49"/>
      <c r="HA87" s="49"/>
      <c r="HB87" s="49"/>
      <c r="HC87" s="49"/>
      <c r="HD87" s="49"/>
      <c r="HE87" s="49"/>
      <c r="HF87" s="49"/>
      <c r="HG87" s="49"/>
      <c r="HH87" s="49"/>
      <c r="HI87" s="49"/>
      <c r="HJ87" s="49"/>
      <c r="HK87" s="49"/>
      <c r="HL87" s="49"/>
      <c r="HM87" s="49"/>
    </row>
    <row r="88" spans="1:221" ht="16.95" customHeight="1">
      <c r="A88" s="1"/>
      <c r="B88" s="3"/>
      <c r="C88" s="3"/>
      <c r="D88" s="373" t="str">
        <f ca="1">IF(FO50=0,"","''horizontaal gezien'' op de helft van de GO-lijn. Merk op dat TO maximaal")</f>
        <v/>
      </c>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49"/>
      <c r="FN88" s="49"/>
      <c r="FO88" s="49"/>
      <c r="FP88" s="49"/>
      <c r="FQ88" s="49"/>
      <c r="FR88" s="49"/>
      <c r="FS88" s="49"/>
      <c r="FT88" s="49"/>
      <c r="FU88" s="47"/>
      <c r="FV88" s="48"/>
      <c r="FW88" s="94"/>
      <c r="FX88" s="135"/>
      <c r="FY88" s="47"/>
      <c r="FZ88" s="47"/>
      <c r="GA88" s="49"/>
      <c r="GB88" s="49"/>
      <c r="GC88" s="49"/>
      <c r="GD88" s="49"/>
      <c r="GE88" s="49"/>
      <c r="GF88" s="49"/>
      <c r="GG88" s="49"/>
      <c r="GH88" s="49"/>
      <c r="GI88" s="49"/>
      <c r="GJ88" s="49"/>
      <c r="GK88" s="49"/>
      <c r="GL88" s="49"/>
      <c r="GM88" s="49"/>
      <c r="GN88" s="49"/>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row>
    <row r="89" spans="1:221" ht="16.95" customHeight="1">
      <c r="A89" s="1"/>
      <c r="B89" s="3"/>
      <c r="C89" s="3"/>
      <c r="D89" s="373" t="str">
        <f ca="1">IF(FO50=0,"","is bij de hoeveelheid waarbij  geldt MO = 0.")</f>
        <v/>
      </c>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49"/>
      <c r="FN89" s="49"/>
      <c r="FO89" s="49"/>
      <c r="FP89" s="49"/>
      <c r="FQ89" s="49"/>
      <c r="FR89" s="49"/>
      <c r="FS89" s="49"/>
      <c r="FT89" s="49"/>
      <c r="FU89" s="47"/>
      <c r="FV89" s="48"/>
      <c r="FW89" s="94"/>
      <c r="FX89" s="135"/>
      <c r="FY89" s="47"/>
      <c r="FZ89" s="47"/>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c r="HC89" s="49"/>
      <c r="HD89" s="49"/>
      <c r="HE89" s="49"/>
      <c r="HF89" s="49"/>
      <c r="HG89" s="49"/>
      <c r="HH89" s="49"/>
      <c r="HI89" s="49"/>
      <c r="HJ89" s="49"/>
      <c r="HK89" s="49"/>
      <c r="HL89" s="49"/>
      <c r="HM89" s="49"/>
    </row>
    <row r="90" spans="1:221" ht="16.95" customHeight="1">
      <c r="A90" s="1"/>
      <c r="B90" s="3"/>
      <c r="C90" s="3"/>
      <c r="D90" s="373"/>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49"/>
      <c r="FN90" s="49"/>
      <c r="FO90" s="49"/>
      <c r="FP90" s="49"/>
      <c r="FQ90" s="49"/>
      <c r="FR90" s="49"/>
      <c r="FS90" s="49"/>
      <c r="FT90" s="49"/>
      <c r="FU90" s="47"/>
      <c r="FV90" s="48"/>
      <c r="FW90" s="94"/>
      <c r="FX90" s="135"/>
      <c r="FY90" s="47"/>
      <c r="FZ90" s="47"/>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row>
    <row r="91" spans="1:221" ht="16.95" customHeight="1">
      <c r="A91" s="1"/>
      <c r="B91" s="3"/>
      <c r="C91" s="3"/>
      <c r="D91" s="373" t="str">
        <f ca="1">IF(FO50=0,"","Hieronder kun je zien hoe je met behulp van de GO-lijn de totale opbrengst")</f>
        <v/>
      </c>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49"/>
      <c r="FN91" s="49"/>
      <c r="FO91" s="49"/>
      <c r="FP91" s="49"/>
      <c r="FQ91" s="49"/>
      <c r="FR91" s="49"/>
      <c r="FS91" s="49"/>
      <c r="FT91" s="49"/>
      <c r="FU91" s="47"/>
      <c r="FV91" s="48"/>
      <c r="FW91" s="94"/>
      <c r="FX91" s="135"/>
      <c r="FY91" s="47"/>
      <c r="FZ91" s="47"/>
      <c r="GA91" s="49"/>
      <c r="GB91" s="49"/>
      <c r="GC91" s="49"/>
      <c r="GD91" s="49"/>
      <c r="GE91" s="49"/>
      <c r="GF91" s="49"/>
      <c r="GG91" s="49"/>
      <c r="GH91" s="49"/>
      <c r="GI91" s="49"/>
      <c r="GJ91" s="49"/>
      <c r="GK91" s="49"/>
      <c r="GL91" s="49"/>
      <c r="GM91" s="49"/>
      <c r="GN91" s="49"/>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row>
    <row r="92" spans="1:221" ht="16.95" customHeight="1">
      <c r="A92" s="1"/>
      <c r="B92" s="3"/>
      <c r="C92" s="3"/>
      <c r="D92" s="373" t="str">
        <f ca="1">IF(FO50=0,"","kunt uitbeelden en uitrekenen. Ga op het zwartomrande vak staan en kies")</f>
        <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49"/>
      <c r="FN92" s="49"/>
      <c r="FO92" s="49"/>
      <c r="FP92" s="49"/>
      <c r="FQ92" s="49"/>
      <c r="FR92" s="49"/>
      <c r="FS92" s="49"/>
      <c r="FT92" s="49"/>
      <c r="FU92" s="47"/>
      <c r="FV92" s="48"/>
      <c r="FW92" s="94"/>
      <c r="FX92" s="135"/>
      <c r="FY92" s="47"/>
      <c r="FZ92" s="47"/>
      <c r="GA92" s="49"/>
      <c r="GB92" s="49"/>
      <c r="GC92" s="49"/>
      <c r="GD92" s="49"/>
      <c r="GE92" s="49"/>
      <c r="GF92" s="49"/>
      <c r="GG92" s="49"/>
      <c r="GH92" s="49"/>
      <c r="GI92" s="49"/>
      <c r="GJ92" s="49"/>
      <c r="GK92" s="49"/>
      <c r="GL92" s="49"/>
      <c r="GM92" s="49"/>
      <c r="GN92" s="49"/>
      <c r="GO92" s="49"/>
      <c r="GP92" s="49"/>
      <c r="GQ92" s="49"/>
      <c r="GR92" s="49"/>
      <c r="GS92" s="49"/>
      <c r="GT92" s="49"/>
      <c r="GU92" s="49"/>
      <c r="GV92" s="49"/>
      <c r="GW92" s="49"/>
      <c r="GX92" s="49"/>
      <c r="GY92" s="49"/>
      <c r="GZ92" s="49"/>
      <c r="HA92" s="49"/>
      <c r="HB92" s="49"/>
      <c r="HC92" s="49"/>
      <c r="HD92" s="49"/>
      <c r="HE92" s="49"/>
      <c r="HF92" s="49"/>
      <c r="HG92" s="49"/>
      <c r="HH92" s="49"/>
      <c r="HI92" s="49"/>
      <c r="HJ92" s="49"/>
      <c r="HK92" s="49"/>
      <c r="HL92" s="49"/>
      <c r="HM92" s="49"/>
    </row>
    <row r="93" spans="1:221" ht="16.95" customHeight="1">
      <c r="A93" s="1"/>
      <c r="B93" s="3"/>
      <c r="C93" s="3"/>
      <c r="D93" s="373" t="str">
        <f ca="1">IF(FO50=0,"","een bepaalde hoeveelheid.")</f>
        <v/>
      </c>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49"/>
      <c r="FN93" s="49">
        <f ca="1">ROUND(1/FT29,3)</f>
        <v>2</v>
      </c>
      <c r="FO93" s="49">
        <f ca="1">ROUND(FU29/FT29,2)</f>
        <v>1000</v>
      </c>
      <c r="FP93" s="49"/>
      <c r="FQ93" s="49"/>
      <c r="FR93" s="49"/>
      <c r="FS93" s="49"/>
      <c r="FT93" s="49"/>
      <c r="FU93" s="47"/>
      <c r="FV93" s="48"/>
      <c r="FW93" s="94"/>
      <c r="FX93" s="135"/>
      <c r="FY93" s="47"/>
      <c r="FZ93" s="47"/>
      <c r="GA93" s="49"/>
      <c r="GB93" s="49"/>
      <c r="GC93" s="49"/>
      <c r="GD93" s="49"/>
      <c r="GE93" s="49"/>
      <c r="GF93" s="49"/>
      <c r="GG93" s="49"/>
      <c r="GH93" s="49"/>
      <c r="GI93" s="49"/>
      <c r="GJ93" s="49"/>
      <c r="GK93" s="49"/>
      <c r="GL93" s="49"/>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row>
    <row r="94" spans="1:221" ht="11.25" customHeight="1">
      <c r="A94" s="1"/>
      <c r="B94" s="3"/>
      <c r="C94" s="3"/>
      <c r="D94" s="38"/>
      <c r="E94" s="79"/>
      <c r="F94" s="79"/>
      <c r="G94" s="79"/>
      <c r="H94" s="79"/>
      <c r="I94" s="79"/>
      <c r="J94" s="79"/>
      <c r="K94" s="79"/>
      <c r="L94" s="79"/>
      <c r="M94" s="79"/>
      <c r="N94" s="79"/>
      <c r="O94" s="79"/>
      <c r="P94" s="79"/>
      <c r="Q94" s="79"/>
      <c r="R94" s="79"/>
      <c r="S94" s="79"/>
      <c r="T94" s="79"/>
      <c r="U94" s="79"/>
      <c r="V94" s="79"/>
      <c r="W94" s="79"/>
      <c r="X94" s="79"/>
      <c r="Y94" s="38"/>
      <c r="Z94" s="38"/>
      <c r="AA94" s="38"/>
      <c r="AB94" s="43"/>
      <c r="AC94" s="43"/>
      <c r="AD94" s="43"/>
      <c r="AE94" s="43"/>
      <c r="AF94" s="43"/>
      <c r="AG94" s="43"/>
      <c r="AH94" s="43"/>
      <c r="AI94" s="43"/>
      <c r="AJ94" s="43"/>
      <c r="AK94" s="43"/>
      <c r="AL94" s="43"/>
      <c r="AM94" s="43"/>
      <c r="AN94" s="43"/>
      <c r="AO94" s="43"/>
      <c r="AP94" s="43"/>
      <c r="AQ94" s="43"/>
      <c r="AR94" s="43"/>
      <c r="AS94" s="43"/>
      <c r="AT94" s="43"/>
      <c r="AU94" s="126"/>
      <c r="AV94" s="126"/>
      <c r="AW94" s="126"/>
      <c r="AX94" s="126"/>
      <c r="AY94" s="126"/>
      <c r="AZ94" s="126"/>
      <c r="BA94" s="126"/>
      <c r="BB94" s="43"/>
      <c r="BC94" s="43"/>
      <c r="BD94" s="43"/>
      <c r="BE94" s="43"/>
      <c r="BF94" s="43"/>
      <c r="BG94" s="126"/>
      <c r="BH94" s="43"/>
      <c r="BI94" s="197"/>
      <c r="BJ94" s="197"/>
      <c r="BK94" s="197"/>
      <c r="BL94" s="126"/>
      <c r="BM94" s="126"/>
      <c r="BN94" s="126"/>
      <c r="BO94" s="126"/>
      <c r="BP94" s="126"/>
      <c r="BQ94" s="126"/>
      <c r="BR94" s="126"/>
      <c r="BS94" s="126"/>
      <c r="BT94" s="126"/>
      <c r="BU94" s="126"/>
      <c r="BV94" s="126"/>
      <c r="BW94" s="126"/>
      <c r="BX94" s="126"/>
      <c r="BY94" s="126"/>
      <c r="BZ94" s="126"/>
      <c r="CA94" s="126"/>
      <c r="CB94" s="126"/>
      <c r="CC94" s="126"/>
      <c r="CD94" s="126"/>
      <c r="CE94" s="126"/>
      <c r="CF94" s="126"/>
      <c r="CG94" s="126"/>
      <c r="CH94" s="38"/>
      <c r="CI94" s="43"/>
      <c r="CJ94" s="43"/>
      <c r="CK94" s="43"/>
      <c r="CL94" s="43"/>
      <c r="CM94" s="43"/>
      <c r="CN94" s="43"/>
      <c r="CO94" s="38"/>
      <c r="CP94" s="38"/>
      <c r="CQ94" s="43"/>
      <c r="CR94" s="43"/>
      <c r="CS94" s="43"/>
      <c r="CT94" s="43"/>
      <c r="CU94" s="43"/>
      <c r="CV94" s="43"/>
      <c r="CW94" s="43"/>
      <c r="CX94" s="43"/>
      <c r="CY94" s="43"/>
      <c r="CZ94" s="43"/>
      <c r="DA94" s="43"/>
      <c r="DB94" s="43"/>
      <c r="DC94" s="79"/>
      <c r="DD94" s="79"/>
      <c r="DE94" s="79"/>
      <c r="DF94" s="79"/>
      <c r="DG94" s="79"/>
      <c r="DH94" s="79"/>
      <c r="DI94" s="79"/>
      <c r="DJ94" s="79"/>
      <c r="DK94" s="79"/>
      <c r="DL94" s="79"/>
      <c r="DM94" s="79"/>
      <c r="DN94" s="79"/>
      <c r="DO94" s="79"/>
      <c r="DP94" s="79"/>
      <c r="DQ94" s="79"/>
      <c r="DR94" s="79"/>
      <c r="DS94" s="79"/>
      <c r="DT94" s="79"/>
      <c r="DU94" s="79"/>
      <c r="DV94" s="79"/>
      <c r="DW94" s="79"/>
      <c r="DX94" s="79"/>
      <c r="DY94" s="79"/>
      <c r="DZ94" s="79"/>
      <c r="EA94" s="79"/>
      <c r="EB94" s="79"/>
      <c r="EC94" s="79"/>
      <c r="ED94" s="79"/>
      <c r="EE94" s="79"/>
      <c r="EF94" s="79"/>
      <c r="EG94" s="79"/>
      <c r="EH94" s="79"/>
      <c r="EI94" s="79"/>
      <c r="EJ94" s="79"/>
      <c r="EK94" s="79"/>
      <c r="EL94" s="79"/>
      <c r="EM94" s="79"/>
      <c r="EN94" s="79"/>
      <c r="EO94" s="79"/>
      <c r="EP94" s="79"/>
      <c r="EQ94" s="79"/>
      <c r="ER94" s="79"/>
      <c r="ES94" s="79"/>
      <c r="ET94" s="79"/>
      <c r="EU94" s="79"/>
      <c r="EV94" s="79"/>
      <c r="EW94" s="79"/>
      <c r="EX94" s="10"/>
      <c r="EY94" s="10"/>
      <c r="EZ94" s="10"/>
      <c r="FA94" s="10"/>
      <c r="FB94" s="10"/>
      <c r="FC94" s="10"/>
      <c r="FD94" s="10"/>
      <c r="FE94" s="10"/>
      <c r="FF94" s="10"/>
      <c r="FG94" s="10"/>
      <c r="FH94" s="10"/>
      <c r="FI94" s="10"/>
      <c r="FJ94" s="10"/>
      <c r="FK94" s="10"/>
      <c r="FL94" s="10"/>
      <c r="FM94" s="94"/>
      <c r="FN94" s="94">
        <f ca="1">FU29/FT29</f>
        <v>1000</v>
      </c>
      <c r="FO94" s="94">
        <f ca="1">ROUND(FU29/FT29,2)-ROUND(1/FT29,3)*BC96</f>
        <v>1000</v>
      </c>
      <c r="FP94" s="103" t="e">
        <f ca="1">F111</f>
        <v>#VALUE!</v>
      </c>
      <c r="FQ94" s="48" t="e">
        <f ca="1">AO155</f>
        <v>#VALUE!</v>
      </c>
      <c r="FR94" s="48" t="str">
        <f ca="1">"-"&amp;FN93&amp;" × "&amp;BC96&amp;" + "&amp;FO93&amp;" = € "&amp;FO94</f>
        <v>-2 ×  + 1000 = € 1000</v>
      </c>
      <c r="FS94" s="48"/>
      <c r="FT94" s="48"/>
      <c r="FU94" s="48"/>
      <c r="FV94" s="47"/>
      <c r="FW94" s="47"/>
      <c r="FX94" s="47"/>
      <c r="FY94" s="47"/>
      <c r="FZ94" s="47"/>
      <c r="GA94" s="49"/>
      <c r="GB94" s="49"/>
      <c r="GC94" s="49"/>
      <c r="GD94" s="49"/>
      <c r="GE94" s="49"/>
      <c r="GF94" s="49"/>
      <c r="GG94" s="49"/>
      <c r="GH94" s="49"/>
      <c r="GI94" s="49"/>
      <c r="GJ94" s="49"/>
      <c r="GK94" s="49"/>
      <c r="GL94" s="49"/>
      <c r="GM94" s="49"/>
      <c r="GN94" s="49"/>
      <c r="GO94" s="49"/>
      <c r="GP94" s="49"/>
      <c r="GQ94" s="49"/>
      <c r="GR94" s="49"/>
      <c r="GS94" s="49"/>
      <c r="GT94" s="49"/>
      <c r="GU94" s="49"/>
      <c r="GV94" s="49"/>
      <c r="GW94" s="49"/>
      <c r="GX94" s="49"/>
      <c r="GY94" s="49"/>
      <c r="GZ94" s="49"/>
      <c r="HA94" s="49"/>
      <c r="HB94" s="49"/>
      <c r="HC94" s="49"/>
      <c r="HD94" s="49"/>
      <c r="HE94" s="49"/>
      <c r="HF94" s="49"/>
      <c r="HG94" s="49"/>
      <c r="HH94" s="49"/>
      <c r="HI94" s="49"/>
      <c r="HJ94" s="49"/>
      <c r="HK94" s="49"/>
      <c r="HL94" s="49"/>
      <c r="HM94" s="49"/>
    </row>
    <row r="95" spans="1:221" ht="3.75" customHeight="1">
      <c r="A95" s="1"/>
      <c r="B95" s="3"/>
      <c r="C95" s="3"/>
      <c r="D95" s="38"/>
      <c r="E95" s="79"/>
      <c r="F95" s="79"/>
      <c r="G95" s="79"/>
      <c r="H95" s="79"/>
      <c r="I95" s="79"/>
      <c r="J95" s="79"/>
      <c r="K95" s="79"/>
      <c r="L95" s="79"/>
      <c r="M95" s="79"/>
      <c r="N95" s="79"/>
      <c r="O95" s="79"/>
      <c r="P95" s="79"/>
      <c r="Q95" s="79"/>
      <c r="R95" s="79"/>
      <c r="S95" s="79"/>
      <c r="T95" s="79"/>
      <c r="U95" s="79"/>
      <c r="V95" s="79"/>
      <c r="W95" s="79"/>
      <c r="X95" s="79"/>
      <c r="Y95" s="38"/>
      <c r="Z95" s="38"/>
      <c r="AA95" s="38"/>
      <c r="AB95" s="43"/>
      <c r="AC95" s="43"/>
      <c r="AD95" s="43"/>
      <c r="AE95" s="43"/>
      <c r="AF95" s="43"/>
      <c r="AG95" s="43"/>
      <c r="AH95" s="43"/>
      <c r="AI95" s="43"/>
      <c r="AJ95" s="43"/>
      <c r="AK95" s="43"/>
      <c r="AL95" s="43"/>
      <c r="AM95" s="43"/>
      <c r="AN95" s="43"/>
      <c r="AO95" s="43"/>
      <c r="AP95" s="43"/>
      <c r="AQ95" s="43"/>
      <c r="AR95" s="43"/>
      <c r="AS95" s="43"/>
      <c r="AT95" s="43"/>
      <c r="AU95" s="126"/>
      <c r="AV95" s="126"/>
      <c r="AW95" s="126"/>
      <c r="AX95" s="126"/>
      <c r="AY95" s="126"/>
      <c r="AZ95" s="126"/>
      <c r="BA95" s="126"/>
      <c r="BB95" s="545" t="str">
        <f ca="1">IF(FU96=0,"","`")</f>
        <v/>
      </c>
      <c r="BC95" s="645"/>
      <c r="BD95" s="645"/>
      <c r="BE95" s="645"/>
      <c r="BF95" s="645"/>
      <c r="BG95" s="645"/>
      <c r="BH95" s="645"/>
      <c r="BI95" s="645"/>
      <c r="BJ95" s="645"/>
      <c r="BK95" s="645"/>
      <c r="BL95" s="645"/>
      <c r="BM95" s="645"/>
      <c r="BN95" s="645"/>
      <c r="BO95" s="645"/>
      <c r="BP95" s="197"/>
      <c r="BQ95" s="197"/>
      <c r="BR95" s="197"/>
      <c r="BS95" s="197"/>
      <c r="BT95" s="126"/>
      <c r="BU95" s="43"/>
      <c r="BV95" s="43"/>
      <c r="BW95" s="43"/>
      <c r="BX95" s="43"/>
      <c r="BY95" s="126"/>
      <c r="BZ95" s="126"/>
      <c r="CA95" s="126"/>
      <c r="CB95" s="126"/>
      <c r="CC95" s="126"/>
      <c r="CD95" s="126"/>
      <c r="CE95" s="126"/>
      <c r="CF95" s="545"/>
      <c r="CG95" s="545"/>
      <c r="CH95" s="545"/>
      <c r="CI95" s="545"/>
      <c r="CJ95" s="545"/>
      <c r="CK95" s="545"/>
      <c r="CL95" s="545"/>
      <c r="CM95" s="545"/>
      <c r="CN95" s="545"/>
      <c r="CO95" s="545"/>
      <c r="CP95" s="545"/>
      <c r="CQ95" s="545"/>
      <c r="CR95" s="545"/>
      <c r="CS95" s="545"/>
      <c r="CT95" s="43"/>
      <c r="CU95" s="43"/>
      <c r="CV95" s="43"/>
      <c r="CW95" s="43"/>
      <c r="CX95" s="43"/>
      <c r="CY95" s="43"/>
      <c r="CZ95" s="43"/>
      <c r="DA95" s="43"/>
      <c r="DB95" s="43"/>
      <c r="DC95" s="79"/>
      <c r="DD95" s="79"/>
      <c r="DE95" s="79"/>
      <c r="DF95" s="79"/>
      <c r="DG95" s="79"/>
      <c r="DH95" s="79"/>
      <c r="DI95" s="79"/>
      <c r="DJ95" s="79"/>
      <c r="DK95" s="79"/>
      <c r="DL95" s="79"/>
      <c r="DM95" s="79"/>
      <c r="DN95" s="79"/>
      <c r="DO95" s="79"/>
      <c r="DP95" s="79"/>
      <c r="DQ95" s="79"/>
      <c r="DR95" s="79"/>
      <c r="DS95" s="79"/>
      <c r="DT95" s="79"/>
      <c r="DU95" s="79"/>
      <c r="DV95" s="79"/>
      <c r="DW95" s="79"/>
      <c r="DX95" s="79"/>
      <c r="DY95" s="79"/>
      <c r="DZ95" s="79"/>
      <c r="EA95" s="79"/>
      <c r="EB95" s="79"/>
      <c r="EC95" s="79"/>
      <c r="ED95" s="79"/>
      <c r="EE95" s="79"/>
      <c r="EF95" s="79"/>
      <c r="EG95" s="79"/>
      <c r="EH95" s="79"/>
      <c r="EI95" s="79"/>
      <c r="EJ95" s="79"/>
      <c r="EK95" s="79"/>
      <c r="EL95" s="79"/>
      <c r="EM95" s="79"/>
      <c r="EN95" s="79"/>
      <c r="EO95" s="79"/>
      <c r="EP95" s="79"/>
      <c r="EQ95" s="79"/>
      <c r="ER95" s="79"/>
      <c r="ES95" s="79"/>
      <c r="ET95" s="79"/>
      <c r="EU95" s="79"/>
      <c r="EV95" s="79"/>
      <c r="EW95" s="79"/>
      <c r="EX95" s="10"/>
      <c r="EY95" s="10"/>
      <c r="EZ95" s="10"/>
      <c r="FA95" s="10"/>
      <c r="FB95" s="10"/>
      <c r="FC95" s="10"/>
      <c r="FD95" s="10"/>
      <c r="FE95" s="10"/>
      <c r="FF95" s="10"/>
      <c r="FG95" s="10"/>
      <c r="FH95" s="10"/>
      <c r="FI95" s="10"/>
      <c r="FJ95" s="10"/>
      <c r="FK95" s="10"/>
      <c r="FL95" s="10"/>
      <c r="FM95" s="144"/>
      <c r="FN95" s="144"/>
      <c r="FO95" s="48"/>
      <c r="FP95" s="48"/>
      <c r="FQ95" s="48"/>
      <c r="FR95" s="48"/>
      <c r="FS95" s="48"/>
      <c r="FT95" s="48"/>
      <c r="FU95" s="48"/>
      <c r="FV95" s="47"/>
      <c r="FW95" s="47"/>
      <c r="FX95" s="47"/>
      <c r="FY95" s="47"/>
      <c r="FZ95" s="47"/>
      <c r="GA95" s="49"/>
      <c r="GB95" s="49"/>
      <c r="GC95" s="49"/>
      <c r="GD95" s="49"/>
      <c r="GE95" s="49"/>
      <c r="GF95" s="49"/>
      <c r="GG95" s="49"/>
      <c r="GH95" s="49"/>
      <c r="GI95" s="49"/>
      <c r="GJ95" s="49"/>
      <c r="GK95" s="49"/>
      <c r="GL95" s="49"/>
      <c r="GM95" s="49"/>
      <c r="GN95" s="49"/>
      <c r="GO95" s="49"/>
      <c r="GP95" s="49"/>
      <c r="GQ95" s="49"/>
      <c r="GR95" s="49"/>
      <c r="GS95" s="49"/>
      <c r="GT95" s="49"/>
      <c r="GU95" s="49"/>
      <c r="GV95" s="49"/>
      <c r="GW95" s="49"/>
      <c r="GX95" s="49"/>
      <c r="GY95" s="49"/>
      <c r="GZ95" s="49"/>
      <c r="HA95" s="49"/>
      <c r="HB95" s="49"/>
      <c r="HC95" s="49"/>
      <c r="HD95" s="49"/>
      <c r="HE95" s="49"/>
      <c r="HF95" s="49"/>
      <c r="HG95" s="49"/>
      <c r="HH95" s="49"/>
      <c r="HI95" s="49"/>
      <c r="HJ95" s="49"/>
      <c r="HK95" s="49"/>
      <c r="HL95" s="49"/>
      <c r="HM95" s="49"/>
    </row>
    <row r="96" spans="1:221" ht="16.5" customHeight="1">
      <c r="A96" s="1"/>
      <c r="B96" s="3"/>
      <c r="C96" s="3"/>
      <c r="D96" s="38"/>
      <c r="E96" s="79"/>
      <c r="F96" s="79"/>
      <c r="G96" s="79"/>
      <c r="H96" s="79"/>
      <c r="I96" s="79"/>
      <c r="J96" s="79"/>
      <c r="K96" s="79"/>
      <c r="L96" s="79"/>
      <c r="M96" s="79"/>
      <c r="N96" s="79"/>
      <c r="O96" s="79"/>
      <c r="P96" s="43"/>
      <c r="Q96" s="43"/>
      <c r="R96" s="43"/>
      <c r="S96" s="43"/>
      <c r="T96" s="43"/>
      <c r="U96" s="43"/>
      <c r="V96" s="43"/>
      <c r="W96" s="43"/>
      <c r="X96" s="43"/>
      <c r="Y96" s="38"/>
      <c r="Z96" s="38"/>
      <c r="AA96" s="38"/>
      <c r="AB96" s="43"/>
      <c r="AC96" s="43"/>
      <c r="AD96" s="43"/>
      <c r="AE96" s="43"/>
      <c r="AF96" s="43"/>
      <c r="AG96" s="43"/>
      <c r="AH96" s="43"/>
      <c r="AI96" s="43"/>
      <c r="AJ96" s="43"/>
      <c r="AK96" s="43"/>
      <c r="AL96" s="43"/>
      <c r="AM96" s="43"/>
      <c r="AN96" s="43"/>
      <c r="AO96" s="43"/>
      <c r="AP96" s="43"/>
      <c r="AQ96" s="79"/>
      <c r="AR96" s="43"/>
      <c r="AS96" s="43"/>
      <c r="AT96" s="43"/>
      <c r="AU96" s="126"/>
      <c r="AV96" s="126"/>
      <c r="AW96" s="126"/>
      <c r="AX96" s="126"/>
      <c r="AY96" s="126"/>
      <c r="AZ96" s="201" t="str">
        <f ca="1">IF(FU96=0,"","q =")</f>
        <v/>
      </c>
      <c r="BA96" s="126"/>
      <c r="BB96" s="43" t="str">
        <f ca="1">IF(FU96=0,"","`")</f>
        <v/>
      </c>
      <c r="BC96" s="675"/>
      <c r="BD96" s="675"/>
      <c r="BE96" s="675"/>
      <c r="BF96" s="675"/>
      <c r="BG96" s="675"/>
      <c r="BH96" s="675"/>
      <c r="BI96" s="675"/>
      <c r="BJ96" s="675"/>
      <c r="BK96" s="675"/>
      <c r="BL96" s="675"/>
      <c r="BM96" s="675"/>
      <c r="BN96" s="675"/>
      <c r="BO96" s="228" t="str">
        <f ca="1">IF(FU96=0,"","`")</f>
        <v/>
      </c>
      <c r="BP96" s="106"/>
      <c r="BQ96" s="106"/>
      <c r="BR96" s="43"/>
      <c r="BS96" s="43"/>
      <c r="BT96" s="126"/>
      <c r="BU96" s="43"/>
      <c r="BV96" s="43"/>
      <c r="BW96" s="43"/>
      <c r="BX96" s="43"/>
      <c r="BY96" s="126"/>
      <c r="BZ96" s="126"/>
      <c r="CA96" s="126"/>
      <c r="CB96" s="126"/>
      <c r="CC96" s="126"/>
      <c r="CD96" s="201"/>
      <c r="CE96" s="126"/>
      <c r="CF96" s="43"/>
      <c r="CG96" s="676"/>
      <c r="CH96" s="645"/>
      <c r="CI96" s="645"/>
      <c r="CJ96" s="645"/>
      <c r="CK96" s="645"/>
      <c r="CL96" s="645"/>
      <c r="CM96" s="645"/>
      <c r="CN96" s="645"/>
      <c r="CO96" s="645"/>
      <c r="CP96" s="645"/>
      <c r="CQ96" s="645"/>
      <c r="CR96" s="645"/>
      <c r="CS96" s="43"/>
      <c r="CT96" s="43"/>
      <c r="CU96" s="43"/>
      <c r="CV96" s="145"/>
      <c r="CW96" s="43"/>
      <c r="CX96" s="118"/>
      <c r="CY96" s="43"/>
      <c r="CZ96" s="43"/>
      <c r="DA96" s="43"/>
      <c r="DB96" s="43"/>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c r="FC96" s="79"/>
      <c r="FD96" s="79"/>
      <c r="FE96" s="79"/>
      <c r="FF96" s="79"/>
      <c r="FG96" s="79"/>
      <c r="FH96" s="79"/>
      <c r="FI96" s="79"/>
      <c r="FJ96" s="79"/>
      <c r="FK96" s="79"/>
      <c r="FL96" s="79"/>
      <c r="FM96" s="94"/>
      <c r="FN96" s="94">
        <f ca="1">FU29</f>
        <v>500</v>
      </c>
      <c r="FO96" s="94" t="e">
        <f ca="1">BX150-BX150/AB105*FO94</f>
        <v>#VALUE!</v>
      </c>
      <c r="FP96" s="94" t="str">
        <f ca="1">AO146</f>
        <v/>
      </c>
      <c r="FQ96" s="94" t="e">
        <f ca="1">ROUND(BX150/AB105*FO94/FO96,2)</f>
        <v>#VALUE!</v>
      </c>
      <c r="FR96" s="94" t="e">
        <f ca="1">IF(FO94="","",IF(FQ96&gt;1,"Dus is bij deze oude prijs de vraag prijselastisch. Een prijsstijging zal tot een omzetdaling leiden en een (niet te grote) prijsdaling tot een omzetstijging.",IF(FQ96&lt;1,"Dus is bij deze oude prijs de vraag prijsinelastisch. Een (niet al te grote) prijsstijging zal tot een omzetstijging leiden en een prijsdaling tot een omzetstijging.","")))</f>
        <v>#VALUE!</v>
      </c>
      <c r="FS96" s="94"/>
      <c r="FT96" s="48">
        <f ca="1">IF(FU96=0,0,IF(AND(FO94&gt;0,CG96&gt;0,FO94=CG96),0,1))</f>
        <v>0</v>
      </c>
      <c r="FU96" s="48">
        <f ca="1">IF(FO50=0,0,IF(AND(FO94&gt;0,CG96&gt;0,FO94=CG96),0,1))</f>
        <v>0</v>
      </c>
      <c r="FV96" s="47"/>
      <c r="FW96" s="47"/>
      <c r="FX96" s="47"/>
      <c r="FY96" s="47"/>
      <c r="FZ96" s="47"/>
      <c r="GA96" s="49"/>
      <c r="GB96" s="49"/>
      <c r="GC96" s="49"/>
      <c r="GD96" s="49"/>
      <c r="GE96" s="49"/>
      <c r="GF96" s="49"/>
      <c r="GG96" s="49"/>
      <c r="GH96" s="49"/>
      <c r="GI96" s="49"/>
      <c r="GJ96" s="49"/>
      <c r="GK96" s="49"/>
      <c r="GL96" s="49"/>
      <c r="GM96" s="49"/>
      <c r="GN96" s="49"/>
      <c r="GO96" s="49"/>
      <c r="GP96" s="49"/>
      <c r="GQ96" s="49"/>
      <c r="GR96" s="49"/>
      <c r="GS96" s="49"/>
      <c r="GT96" s="49"/>
      <c r="GU96" s="49"/>
      <c r="GV96" s="49"/>
      <c r="GW96" s="49"/>
      <c r="GX96" s="49"/>
      <c r="GY96" s="49"/>
      <c r="GZ96" s="49"/>
      <c r="HA96" s="49"/>
      <c r="HB96" s="49"/>
      <c r="HC96" s="49"/>
      <c r="HD96" s="49"/>
      <c r="HE96" s="49"/>
      <c r="HF96" s="49"/>
      <c r="HG96" s="49"/>
      <c r="HH96" s="49"/>
      <c r="HI96" s="49"/>
      <c r="HJ96" s="49"/>
      <c r="HK96" s="49"/>
      <c r="HL96" s="49"/>
      <c r="HM96" s="49"/>
    </row>
    <row r="97" spans="1:221" ht="3.75" customHeight="1">
      <c r="A97" s="1"/>
      <c r="B97" s="3"/>
      <c r="C97" s="3"/>
      <c r="D97" s="38"/>
      <c r="E97" s="79"/>
      <c r="F97" s="79"/>
      <c r="G97" s="79"/>
      <c r="H97" s="79"/>
      <c r="I97" s="79"/>
      <c r="J97" s="79"/>
      <c r="K97" s="43"/>
      <c r="L97" s="43"/>
      <c r="M97" s="43"/>
      <c r="N97" s="43"/>
      <c r="O97" s="43"/>
      <c r="P97" s="79"/>
      <c r="Q97" s="39"/>
      <c r="R97" s="39"/>
      <c r="S97" s="39"/>
      <c r="T97" s="43"/>
      <c r="U97" s="43"/>
      <c r="V97" s="43"/>
      <c r="W97" s="43"/>
      <c r="X97" s="43"/>
      <c r="Y97" s="38"/>
      <c r="Z97" s="38"/>
      <c r="AA97" s="38"/>
      <c r="AB97" s="79"/>
      <c r="AC97" s="79"/>
      <c r="AD97" s="79"/>
      <c r="AE97" s="79"/>
      <c r="AF97" s="146"/>
      <c r="AG97" s="146"/>
      <c r="AH97" s="146"/>
      <c r="AI97" s="79"/>
      <c r="AJ97" s="79"/>
      <c r="AK97" s="79"/>
      <c r="AL97" s="79"/>
      <c r="AM97" s="43"/>
      <c r="AN97" s="43" t="str">
        <f ca="1">IF(FU96=0,"","`")</f>
        <v/>
      </c>
      <c r="AO97" s="43"/>
      <c r="AP97" s="43"/>
      <c r="AQ97" s="43"/>
      <c r="AR97" s="43"/>
      <c r="AS97" s="43"/>
      <c r="AT97" s="43"/>
      <c r="AU97" s="126"/>
      <c r="AV97" s="126"/>
      <c r="AW97" s="126"/>
      <c r="AX97" s="126"/>
      <c r="AY97" s="126"/>
      <c r="AZ97" s="126"/>
      <c r="BA97" s="126"/>
      <c r="BB97" s="545" t="str">
        <f ca="1">IF(FU96=0,"","`")</f>
        <v/>
      </c>
      <c r="BC97" s="645"/>
      <c r="BD97" s="645"/>
      <c r="BE97" s="645"/>
      <c r="BF97" s="645"/>
      <c r="BG97" s="645"/>
      <c r="BH97" s="645"/>
      <c r="BI97" s="645"/>
      <c r="BJ97" s="645"/>
      <c r="BK97" s="645"/>
      <c r="BL97" s="645"/>
      <c r="BM97" s="645"/>
      <c r="BN97" s="645"/>
      <c r="BO97" s="645"/>
      <c r="BP97" s="197"/>
      <c r="BQ97" s="197"/>
      <c r="BR97" s="197"/>
      <c r="BS97" s="197"/>
      <c r="BT97" s="126"/>
      <c r="BU97" s="43"/>
      <c r="BV97" s="43"/>
      <c r="BW97" s="43"/>
      <c r="BX97" s="43"/>
      <c r="BY97" s="126"/>
      <c r="BZ97" s="126"/>
      <c r="CA97" s="126"/>
      <c r="CB97" s="126"/>
      <c r="CC97" s="126"/>
      <c r="CD97" s="126"/>
      <c r="CE97" s="126"/>
      <c r="CF97" s="545"/>
      <c r="CG97" s="545"/>
      <c r="CH97" s="545"/>
      <c r="CI97" s="545"/>
      <c r="CJ97" s="545"/>
      <c r="CK97" s="545"/>
      <c r="CL97" s="545"/>
      <c r="CM97" s="545"/>
      <c r="CN97" s="545"/>
      <c r="CO97" s="545"/>
      <c r="CP97" s="545"/>
      <c r="CQ97" s="545"/>
      <c r="CR97" s="545"/>
      <c r="CS97" s="545"/>
      <c r="CT97" s="43"/>
      <c r="CU97" s="43"/>
      <c r="CV97" s="43"/>
      <c r="CW97" s="43"/>
      <c r="CX97" s="43"/>
      <c r="CY97" s="43"/>
      <c r="CZ97" s="43"/>
      <c r="DA97" s="43"/>
      <c r="DB97" s="43"/>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c r="FC97" s="79"/>
      <c r="FD97" s="79"/>
      <c r="FE97" s="79"/>
      <c r="FF97" s="79"/>
      <c r="FG97" s="79"/>
      <c r="FH97" s="79"/>
      <c r="FI97" s="79"/>
      <c r="FJ97" s="79"/>
      <c r="FK97" s="79"/>
      <c r="FL97" s="79"/>
      <c r="FM97" s="48"/>
      <c r="FN97" s="48"/>
      <c r="FO97" s="48"/>
      <c r="FP97" s="48"/>
      <c r="FQ97" s="48"/>
      <c r="FR97" s="48"/>
      <c r="FS97" s="48"/>
      <c r="FT97" s="48"/>
      <c r="FU97" s="48"/>
      <c r="FV97" s="47"/>
      <c r="FW97" s="47"/>
      <c r="FX97" s="47"/>
      <c r="FY97" s="47"/>
      <c r="FZ97" s="47"/>
      <c r="GA97" s="49"/>
      <c r="GB97" s="49"/>
      <c r="GC97" s="49"/>
      <c r="GD97" s="49"/>
      <c r="GE97" s="49"/>
      <c r="GF97" s="49"/>
      <c r="GG97" s="49"/>
      <c r="GH97" s="49"/>
      <c r="GI97" s="49"/>
      <c r="GJ97" s="49"/>
      <c r="GK97" s="49"/>
      <c r="GL97" s="49"/>
      <c r="GM97" s="49"/>
      <c r="GN97" s="49"/>
      <c r="GO97" s="49"/>
      <c r="GP97" s="49"/>
      <c r="GQ97" s="49"/>
      <c r="GR97" s="49"/>
      <c r="GS97" s="49"/>
      <c r="GT97" s="49"/>
      <c r="GU97" s="49"/>
      <c r="GV97" s="49"/>
      <c r="GW97" s="49"/>
      <c r="GX97" s="49"/>
      <c r="GY97" s="49"/>
      <c r="GZ97" s="49"/>
      <c r="HA97" s="49"/>
      <c r="HB97" s="49"/>
      <c r="HC97" s="49"/>
      <c r="HD97" s="49"/>
      <c r="HE97" s="49"/>
      <c r="HF97" s="49"/>
      <c r="HG97" s="49"/>
      <c r="HH97" s="49"/>
      <c r="HI97" s="49"/>
      <c r="HJ97" s="49"/>
      <c r="HK97" s="49"/>
      <c r="HL97" s="49"/>
      <c r="HM97" s="49"/>
    </row>
    <row r="98" spans="1:221" ht="3.75" customHeight="1">
      <c r="A98" s="1"/>
      <c r="B98" s="3"/>
      <c r="C98" s="3"/>
      <c r="D98" s="38"/>
      <c r="E98" s="79"/>
      <c r="F98" s="79"/>
      <c r="G98" s="79"/>
      <c r="H98" s="79"/>
      <c r="I98" s="79"/>
      <c r="J98" s="79"/>
      <c r="K98" s="43"/>
      <c r="L98" s="43"/>
      <c r="M98" s="43"/>
      <c r="N98" s="43"/>
      <c r="O98" s="43"/>
      <c r="P98" s="201"/>
      <c r="Q98" s="39"/>
      <c r="R98" s="39"/>
      <c r="S98" s="39"/>
      <c r="T98" s="43"/>
      <c r="U98" s="43"/>
      <c r="V98" s="43"/>
      <c r="W98" s="43"/>
      <c r="X98" s="43"/>
      <c r="Y98" s="38"/>
      <c r="Z98" s="38"/>
      <c r="AA98" s="38"/>
      <c r="AB98" s="79"/>
      <c r="AC98" s="79"/>
      <c r="AD98" s="79"/>
      <c r="AE98" s="79"/>
      <c r="AF98" s="146"/>
      <c r="AG98" s="146"/>
      <c r="AH98" s="146"/>
      <c r="AI98" s="79"/>
      <c r="AJ98" s="79"/>
      <c r="AK98" s="79"/>
      <c r="AL98" s="79"/>
      <c r="AM98" s="43"/>
      <c r="AN98" s="43" t="str">
        <f ca="1">IF(FU96=0,"","`")</f>
        <v/>
      </c>
      <c r="AO98" s="43"/>
      <c r="AP98" s="43"/>
      <c r="AQ98" s="43"/>
      <c r="AR98" s="43"/>
      <c r="AS98" s="43"/>
      <c r="AT98" s="43"/>
      <c r="AU98" s="126"/>
      <c r="AV98" s="126"/>
      <c r="AW98" s="126"/>
      <c r="AX98" s="126"/>
      <c r="AY98" s="126"/>
      <c r="AZ98" s="126"/>
      <c r="BA98" s="126"/>
      <c r="BB98" s="197"/>
      <c r="BC98" s="197"/>
      <c r="BD98" s="197"/>
      <c r="BE98" s="197"/>
      <c r="BF98" s="197"/>
      <c r="BG98" s="197"/>
      <c r="BH98" s="197"/>
      <c r="BI98" s="197"/>
      <c r="BJ98" s="197"/>
      <c r="BK98" s="197"/>
      <c r="BL98" s="197"/>
      <c r="BM98" s="197"/>
      <c r="BN98" s="197"/>
      <c r="BO98" s="197"/>
      <c r="BP98" s="197"/>
      <c r="BQ98" s="197"/>
      <c r="BR98" s="197"/>
      <c r="BS98" s="197"/>
      <c r="BT98" s="126"/>
      <c r="BU98" s="126"/>
      <c r="BV98" s="126"/>
      <c r="BW98" s="126"/>
      <c r="BX98" s="126"/>
      <c r="BY98" s="126"/>
      <c r="BZ98" s="126"/>
      <c r="CA98" s="126"/>
      <c r="CB98" s="126"/>
      <c r="CC98" s="126"/>
      <c r="CD98" s="126"/>
      <c r="CE98" s="126"/>
      <c r="CF98" s="126"/>
      <c r="CG98" s="126"/>
      <c r="CH98" s="38"/>
      <c r="CI98" s="43"/>
      <c r="CJ98" s="43"/>
      <c r="CK98" s="43"/>
      <c r="CL98" s="43"/>
      <c r="CM98" s="43"/>
      <c r="CN98" s="43"/>
      <c r="CO98" s="38"/>
      <c r="CP98" s="38"/>
      <c r="CQ98" s="43"/>
      <c r="CR98" s="43"/>
      <c r="CS98" s="43"/>
      <c r="CT98" s="43"/>
      <c r="CU98" s="43"/>
      <c r="CV98" s="43"/>
      <c r="CW98" s="43"/>
      <c r="CX98" s="43"/>
      <c r="CY98" s="43"/>
      <c r="CZ98" s="43"/>
      <c r="DA98" s="43"/>
      <c r="DB98" s="43"/>
      <c r="DC98" s="43"/>
      <c r="DD98" s="43"/>
      <c r="DE98" s="43"/>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c r="FC98" s="79"/>
      <c r="FD98" s="79"/>
      <c r="FE98" s="79"/>
      <c r="FF98" s="79"/>
      <c r="FG98" s="79"/>
      <c r="FH98" s="79"/>
      <c r="FI98" s="79"/>
      <c r="FJ98" s="79"/>
      <c r="FK98" s="79"/>
      <c r="FL98" s="79"/>
      <c r="FM98" s="47"/>
      <c r="FN98" s="47"/>
      <c r="FO98" s="47"/>
      <c r="FP98" s="47"/>
      <c r="FQ98" s="47"/>
      <c r="FR98" s="47"/>
      <c r="FS98" s="47"/>
      <c r="FT98" s="47"/>
      <c r="FU98" s="47"/>
      <c r="FV98" s="47"/>
      <c r="FW98" s="47"/>
      <c r="FX98" s="47"/>
      <c r="FY98" s="47"/>
      <c r="FZ98" s="47"/>
      <c r="GA98" s="49"/>
      <c r="GB98" s="49"/>
      <c r="GC98" s="49"/>
      <c r="GD98" s="49"/>
      <c r="GE98" s="49"/>
      <c r="GF98" s="49"/>
      <c r="GG98" s="49"/>
      <c r="GH98" s="49"/>
      <c r="GI98" s="49"/>
      <c r="GJ98" s="49"/>
      <c r="GK98" s="49"/>
      <c r="GL98" s="49"/>
      <c r="GM98" s="49"/>
      <c r="GN98" s="49"/>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row>
    <row r="99" spans="1:221" ht="3.75" customHeight="1">
      <c r="A99" s="1"/>
      <c r="B99" s="3"/>
      <c r="C99" s="3"/>
      <c r="D99" s="38"/>
      <c r="E99" s="79"/>
      <c r="F99" s="79"/>
      <c r="G99" s="79"/>
      <c r="H99" s="79"/>
      <c r="I99" s="79"/>
      <c r="J99" s="79"/>
      <c r="K99" s="43"/>
      <c r="L99" s="43"/>
      <c r="M99" s="43"/>
      <c r="N99" s="43"/>
      <c r="O99" s="43"/>
      <c r="P99" s="201"/>
      <c r="Q99" s="39"/>
      <c r="R99" s="39"/>
      <c r="S99" s="39"/>
      <c r="T99" s="43"/>
      <c r="U99" s="43"/>
      <c r="V99" s="43"/>
      <c r="W99" s="43"/>
      <c r="X99" s="43"/>
      <c r="Y99" s="38"/>
      <c r="Z99" s="38"/>
      <c r="AA99" s="38"/>
      <c r="AB99" s="79"/>
      <c r="AC99" s="79"/>
      <c r="AD99" s="79"/>
      <c r="AE99" s="79"/>
      <c r="AF99" s="644" t="str">
        <f ca="1">IF(FU96=0,"","GO")</f>
        <v/>
      </c>
      <c r="AG99" s="645"/>
      <c r="AH99" s="645"/>
      <c r="AI99" s="645"/>
      <c r="AJ99" s="645"/>
      <c r="AK99" s="645"/>
      <c r="AL99" s="645"/>
      <c r="AM99" s="43"/>
      <c r="AN99" s="43" t="str">
        <f ca="1">IF(FU96=0,"","`")</f>
        <v/>
      </c>
      <c r="AO99" s="43"/>
      <c r="AP99" s="43"/>
      <c r="AQ99" s="43"/>
      <c r="AR99" s="43"/>
      <c r="AS99" s="43"/>
      <c r="AT99" s="43"/>
      <c r="AU99" s="126"/>
      <c r="AV99" s="126"/>
      <c r="AW99" s="126"/>
      <c r="AX99" s="126"/>
      <c r="AY99" s="126"/>
      <c r="AZ99" s="126"/>
      <c r="BA99" s="126"/>
      <c r="BB99" s="197"/>
      <c r="BC99" s="197"/>
      <c r="BD99" s="197"/>
      <c r="BE99" s="197"/>
      <c r="BF99" s="197"/>
      <c r="BG99" s="197"/>
      <c r="BH99" s="197"/>
      <c r="BI99" s="197"/>
      <c r="BJ99" s="197"/>
      <c r="BK99" s="197"/>
      <c r="BL99" s="197"/>
      <c r="BM99" s="197"/>
      <c r="BN99" s="197"/>
      <c r="BO99" s="197"/>
      <c r="BP99" s="197"/>
      <c r="BQ99" s="197"/>
      <c r="BR99" s="197"/>
      <c r="BS99" s="197"/>
      <c r="BT99" s="126"/>
      <c r="BU99" s="126"/>
      <c r="BV99" s="126"/>
      <c r="BW99" s="126"/>
      <c r="BX99" s="126"/>
      <c r="BY99" s="126"/>
      <c r="BZ99" s="126"/>
      <c r="CA99" s="126"/>
      <c r="CB99" s="126"/>
      <c r="CC99" s="126"/>
      <c r="CD99" s="126"/>
      <c r="CE99" s="126"/>
      <c r="CF99" s="126"/>
      <c r="CG99" s="126"/>
      <c r="CH99" s="38"/>
      <c r="CI99" s="43"/>
      <c r="CJ99" s="43"/>
      <c r="CK99" s="43"/>
      <c r="CL99" s="43"/>
      <c r="CM99" s="43"/>
      <c r="CN99" s="43"/>
      <c r="CO99" s="38"/>
      <c r="CP99" s="38"/>
      <c r="CQ99" s="43"/>
      <c r="CR99" s="43"/>
      <c r="CS99" s="43"/>
      <c r="CT99" s="43"/>
      <c r="CU99" s="43"/>
      <c r="CV99" s="43"/>
      <c r="CW99" s="43"/>
      <c r="CX99" s="43"/>
      <c r="CY99" s="43"/>
      <c r="CZ99" s="43"/>
      <c r="DA99" s="43"/>
      <c r="DB99" s="43"/>
      <c r="DC99" s="43"/>
      <c r="DD99" s="43"/>
      <c r="DE99" s="43"/>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c r="FC99" s="79"/>
      <c r="FD99" s="79"/>
      <c r="FE99" s="79"/>
      <c r="FF99" s="79"/>
      <c r="FG99" s="79"/>
      <c r="FH99" s="79"/>
      <c r="FI99" s="79"/>
      <c r="FJ99" s="79"/>
      <c r="FK99" s="79"/>
      <c r="FL99" s="79"/>
      <c r="FM99" s="47"/>
      <c r="FN99" s="47"/>
      <c r="FO99" s="47"/>
      <c r="FP99" s="47"/>
      <c r="FQ99" s="47"/>
      <c r="FR99" s="47"/>
      <c r="FS99" s="47"/>
      <c r="FT99" s="47"/>
      <c r="FU99" s="47"/>
      <c r="FV99" s="47"/>
      <c r="FW99" s="47"/>
      <c r="FX99" s="47"/>
      <c r="FY99" s="47"/>
      <c r="FZ99" s="47"/>
      <c r="GA99" s="49"/>
      <c r="GB99" s="49"/>
      <c r="GC99" s="49"/>
      <c r="GD99" s="49"/>
      <c r="GE99" s="49"/>
      <c r="GF99" s="49"/>
      <c r="GG99" s="49"/>
      <c r="GH99" s="49"/>
      <c r="GI99" s="49"/>
      <c r="GJ99" s="49"/>
      <c r="GK99" s="49"/>
      <c r="GL99" s="49"/>
      <c r="GM99" s="49"/>
      <c r="GN99" s="49"/>
      <c r="GO99" s="49"/>
      <c r="GP99" s="49"/>
      <c r="GQ99" s="49"/>
      <c r="GR99" s="49"/>
      <c r="GS99" s="49"/>
      <c r="GT99" s="49"/>
      <c r="GU99" s="49"/>
      <c r="GV99" s="49"/>
      <c r="GW99" s="49"/>
      <c r="GX99" s="49"/>
      <c r="GY99" s="49"/>
      <c r="GZ99" s="49"/>
      <c r="HA99" s="49"/>
      <c r="HB99" s="49"/>
      <c r="HC99" s="49"/>
      <c r="HD99" s="49"/>
      <c r="HE99" s="49"/>
      <c r="HF99" s="49"/>
      <c r="HG99" s="49"/>
      <c r="HH99" s="49"/>
      <c r="HI99" s="49"/>
      <c r="HJ99" s="49"/>
      <c r="HK99" s="49"/>
      <c r="HL99" s="49"/>
      <c r="HM99" s="49"/>
    </row>
    <row r="100" spans="1:221" ht="3.75" customHeight="1">
      <c r="A100" s="1"/>
      <c r="B100" s="3"/>
      <c r="C100" s="3"/>
      <c r="D100" s="38"/>
      <c r="E100" s="79"/>
      <c r="F100" s="79"/>
      <c r="G100" s="79"/>
      <c r="H100" s="79"/>
      <c r="I100" s="79"/>
      <c r="J100" s="79"/>
      <c r="K100" s="43"/>
      <c r="L100" s="43"/>
      <c r="M100" s="43"/>
      <c r="N100" s="43"/>
      <c r="O100" s="43"/>
      <c r="P100" s="201"/>
      <c r="Q100" s="39"/>
      <c r="R100" s="39"/>
      <c r="S100" s="39"/>
      <c r="T100" s="43"/>
      <c r="U100" s="43"/>
      <c r="V100" s="43"/>
      <c r="W100" s="43"/>
      <c r="X100" s="43"/>
      <c r="Y100" s="38"/>
      <c r="Z100" s="38"/>
      <c r="AA100" s="38"/>
      <c r="AB100" s="79"/>
      <c r="AC100" s="79"/>
      <c r="AD100" s="79"/>
      <c r="AE100" s="79"/>
      <c r="AF100" s="645"/>
      <c r="AG100" s="645"/>
      <c r="AH100" s="645"/>
      <c r="AI100" s="645"/>
      <c r="AJ100" s="645"/>
      <c r="AK100" s="645"/>
      <c r="AL100" s="645"/>
      <c r="AM100" s="43"/>
      <c r="AN100" s="43" t="str">
        <f ca="1">IF(FU96=0,"","`")</f>
        <v/>
      </c>
      <c r="AO100" s="43"/>
      <c r="AP100" s="43"/>
      <c r="AQ100" s="43"/>
      <c r="AR100" s="43"/>
      <c r="AS100" s="43"/>
      <c r="AT100" s="43"/>
      <c r="AU100" s="126"/>
      <c r="AV100" s="126"/>
      <c r="AW100" s="126"/>
      <c r="AX100" s="126"/>
      <c r="AY100" s="126"/>
      <c r="AZ100" s="126"/>
      <c r="BA100" s="126"/>
      <c r="BB100" s="197"/>
      <c r="BC100" s="197"/>
      <c r="BD100" s="197"/>
      <c r="BE100" s="197"/>
      <c r="BF100" s="197"/>
      <c r="BG100" s="197"/>
      <c r="BH100" s="197"/>
      <c r="BI100" s="197"/>
      <c r="BJ100" s="197"/>
      <c r="BK100" s="197"/>
      <c r="BL100" s="197"/>
      <c r="BM100" s="197"/>
      <c r="BN100" s="197"/>
      <c r="BO100" s="197"/>
      <c r="BP100" s="197"/>
      <c r="BQ100" s="197"/>
      <c r="BR100" s="197"/>
      <c r="BS100" s="197"/>
      <c r="BT100" s="126"/>
      <c r="BU100" s="126"/>
      <c r="BV100" s="126"/>
      <c r="BW100" s="126"/>
      <c r="BX100" s="126"/>
      <c r="BY100" s="126"/>
      <c r="BZ100" s="126"/>
      <c r="CA100" s="126"/>
      <c r="CB100" s="126"/>
      <c r="CC100" s="126"/>
      <c r="CD100" s="126"/>
      <c r="CE100" s="126"/>
      <c r="CF100" s="126"/>
      <c r="CG100" s="126"/>
      <c r="CH100" s="38"/>
      <c r="CI100" s="43"/>
      <c r="CJ100" s="43"/>
      <c r="CK100" s="43"/>
      <c r="CL100" s="43"/>
      <c r="CM100" s="43"/>
      <c r="CN100" s="43"/>
      <c r="CO100" s="38"/>
      <c r="CP100" s="38"/>
      <c r="CQ100" s="43"/>
      <c r="CR100" s="43"/>
      <c r="CS100" s="43"/>
      <c r="CT100" s="43"/>
      <c r="CU100" s="43"/>
      <c r="CV100" s="43"/>
      <c r="CW100" s="43"/>
      <c r="CX100" s="43"/>
      <c r="CY100" s="43"/>
      <c r="CZ100" s="43"/>
      <c r="DA100" s="43"/>
      <c r="DB100" s="43"/>
      <c r="DC100" s="43"/>
      <c r="DD100" s="43"/>
      <c r="DE100" s="43"/>
      <c r="DF100" s="79"/>
      <c r="DG100" s="79"/>
      <c r="DH100" s="79"/>
      <c r="DI100" s="79"/>
      <c r="DJ100" s="79"/>
      <c r="DK100" s="79"/>
      <c r="DL100" s="79"/>
      <c r="DM100" s="79"/>
      <c r="DN100" s="79"/>
      <c r="DO100" s="79"/>
      <c r="DP100" s="79"/>
      <c r="DQ100" s="79"/>
      <c r="DR100" s="79"/>
      <c r="DS100" s="79"/>
      <c r="DT100" s="79"/>
      <c r="DU100" s="79"/>
      <c r="DV100" s="79"/>
      <c r="DW100" s="79"/>
      <c r="DX100" s="79"/>
      <c r="DY100" s="79"/>
      <c r="DZ100" s="79"/>
      <c r="EA100" s="79"/>
      <c r="EB100" s="79"/>
      <c r="EC100" s="79"/>
      <c r="ED100" s="79"/>
      <c r="EE100" s="79"/>
      <c r="EF100" s="79"/>
      <c r="EG100" s="79"/>
      <c r="EH100" s="79"/>
      <c r="EI100" s="79"/>
      <c r="EJ100" s="79"/>
      <c r="EK100" s="79"/>
      <c r="EL100" s="79"/>
      <c r="EM100" s="79"/>
      <c r="EN100" s="79"/>
      <c r="EO100" s="79"/>
      <c r="EP100" s="79"/>
      <c r="EQ100" s="79"/>
      <c r="ER100" s="79"/>
      <c r="ES100" s="79"/>
      <c r="ET100" s="79"/>
      <c r="EU100" s="79"/>
      <c r="EV100" s="79"/>
      <c r="EW100" s="79"/>
      <c r="EX100" s="79"/>
      <c r="EY100" s="79"/>
      <c r="EZ100" s="79"/>
      <c r="FA100" s="79"/>
      <c r="FB100" s="79"/>
      <c r="FC100" s="79"/>
      <c r="FD100" s="79"/>
      <c r="FE100" s="79"/>
      <c r="FF100" s="79"/>
      <c r="FG100" s="79"/>
      <c r="FH100" s="79"/>
      <c r="FI100" s="79"/>
      <c r="FJ100" s="79"/>
      <c r="FK100" s="79"/>
      <c r="FL100" s="79"/>
      <c r="FM100" s="47"/>
      <c r="FN100" s="47" t="str">
        <f ca="1">IF(AB105="","",13*AB105/20)</f>
        <v/>
      </c>
      <c r="FO100" s="47"/>
      <c r="FP100" s="47"/>
      <c r="FQ100" s="47"/>
      <c r="FR100" s="47" t="str">
        <f ca="1">IF(AB105="","",AB105/20)</f>
        <v/>
      </c>
      <c r="FS100" s="47" t="str">
        <f ca="1">IF(AB105="","",2*AB105/20)</f>
        <v/>
      </c>
      <c r="FT100" s="47" t="str">
        <f ca="1">IF(AB105="","",3*AB105/20)</f>
        <v/>
      </c>
      <c r="FU100" s="47" t="str">
        <f ca="1">IF(AB105="","",4*AB105/20)</f>
        <v/>
      </c>
      <c r="FV100" s="47" t="str">
        <f ca="1">IF(AB105="","",5*AB105/20)</f>
        <v/>
      </c>
      <c r="FW100" s="47" t="str">
        <f ca="1">IF(AB105="","",6*AB105/20)</f>
        <v/>
      </c>
      <c r="FX100" s="47"/>
      <c r="FY100" s="47"/>
      <c r="FZ100" s="47"/>
      <c r="GA100" s="49" t="str">
        <f ca="1">IF(AB105="","",7*AB105/20)</f>
        <v/>
      </c>
      <c r="GB100" s="49" t="str">
        <f ca="1">IF(AB105="","",8*AB105/20)</f>
        <v/>
      </c>
      <c r="GC100" s="49" t="str">
        <f ca="1">IF(AB105="","",9*AB105/20)</f>
        <v/>
      </c>
      <c r="GD100" s="49" t="str">
        <f ca="1">IF(AB105="","",10*AB105/20)</f>
        <v/>
      </c>
      <c r="GE100" s="49" t="str">
        <f ca="1">IF(AB105="","",11*AB105/20)</f>
        <v/>
      </c>
      <c r="GF100" s="49" t="str">
        <f ca="1">IF(AB105="","",12*AB105/20)</f>
        <v/>
      </c>
      <c r="GG100" s="49"/>
      <c r="GH100" s="49"/>
      <c r="GI100" s="49"/>
      <c r="GJ100" s="49"/>
      <c r="GK100" s="49"/>
      <c r="GL100" s="49"/>
      <c r="GM100" s="49"/>
      <c r="GN100" s="49"/>
      <c r="GO100" s="49"/>
      <c r="GP100" s="49"/>
      <c r="GQ100" s="49"/>
      <c r="GR100" s="49"/>
      <c r="GS100" s="49"/>
      <c r="GT100" s="49"/>
      <c r="GU100" s="49"/>
      <c r="GV100" s="49"/>
      <c r="GW100" s="49"/>
      <c r="GX100" s="49"/>
      <c r="GY100" s="49"/>
      <c r="GZ100" s="49"/>
      <c r="HA100" s="49"/>
      <c r="HB100" s="49"/>
      <c r="HC100" s="49"/>
      <c r="HD100" s="49"/>
      <c r="HE100" s="49"/>
      <c r="HF100" s="49"/>
      <c r="HG100" s="49"/>
      <c r="HH100" s="49"/>
      <c r="HI100" s="49"/>
      <c r="HJ100" s="49"/>
      <c r="HK100" s="49"/>
      <c r="HL100" s="49"/>
      <c r="HM100" s="49"/>
    </row>
    <row r="101" spans="1:221" ht="3.75" customHeight="1">
      <c r="A101" s="1"/>
      <c r="B101" s="3"/>
      <c r="C101" s="3"/>
      <c r="D101" s="38"/>
      <c r="E101" s="79"/>
      <c r="F101" s="79"/>
      <c r="G101" s="79"/>
      <c r="H101" s="79"/>
      <c r="I101" s="79"/>
      <c r="J101" s="79"/>
      <c r="K101" s="43"/>
      <c r="L101" s="43"/>
      <c r="M101" s="43"/>
      <c r="N101" s="43"/>
      <c r="O101" s="43"/>
      <c r="P101" s="201"/>
      <c r="Q101" s="39"/>
      <c r="R101" s="39"/>
      <c r="S101" s="39"/>
      <c r="T101" s="43"/>
      <c r="U101" s="43"/>
      <c r="V101" s="43"/>
      <c r="W101" s="43"/>
      <c r="X101" s="43"/>
      <c r="Y101" s="38"/>
      <c r="Z101" s="38"/>
      <c r="AA101" s="38"/>
      <c r="AB101" s="79"/>
      <c r="AC101" s="79"/>
      <c r="AD101" s="79"/>
      <c r="AE101" s="79"/>
      <c r="AF101" s="645"/>
      <c r="AG101" s="645"/>
      <c r="AH101" s="645"/>
      <c r="AI101" s="645"/>
      <c r="AJ101" s="645"/>
      <c r="AK101" s="645"/>
      <c r="AL101" s="645"/>
      <c r="AM101" s="43"/>
      <c r="AN101" s="43" t="str">
        <f ca="1">IF(FU96=0,"","`")</f>
        <v/>
      </c>
      <c r="AO101" s="43"/>
      <c r="AP101" s="43"/>
      <c r="AQ101" s="43"/>
      <c r="AR101" s="43"/>
      <c r="AS101" s="43"/>
      <c r="AT101" s="43"/>
      <c r="AU101" s="126"/>
      <c r="AV101" s="126"/>
      <c r="AW101" s="126"/>
      <c r="AX101" s="126"/>
      <c r="AY101" s="126"/>
      <c r="AZ101" s="126"/>
      <c r="BA101" s="126"/>
      <c r="BB101" s="197"/>
      <c r="BC101" s="197"/>
      <c r="BD101" s="197"/>
      <c r="BE101" s="197"/>
      <c r="BF101" s="197"/>
      <c r="BG101" s="197"/>
      <c r="BH101" s="197"/>
      <c r="BI101" s="197"/>
      <c r="BJ101" s="197"/>
      <c r="BK101" s="197"/>
      <c r="BL101" s="197"/>
      <c r="BM101" s="197"/>
      <c r="BN101" s="197"/>
      <c r="BO101" s="197"/>
      <c r="BP101" s="197"/>
      <c r="BQ101" s="197"/>
      <c r="BR101" s="197"/>
      <c r="BS101" s="197"/>
      <c r="BT101" s="126"/>
      <c r="BU101" s="126"/>
      <c r="BV101" s="126"/>
      <c r="BW101" s="126"/>
      <c r="BX101" s="126"/>
      <c r="BY101" s="126"/>
      <c r="BZ101" s="126"/>
      <c r="CA101" s="126"/>
      <c r="CB101" s="126"/>
      <c r="CC101" s="126"/>
      <c r="CD101" s="126"/>
      <c r="CE101" s="126"/>
      <c r="CF101" s="126"/>
      <c r="CG101" s="126"/>
      <c r="CH101" s="38"/>
      <c r="CI101" s="43"/>
      <c r="CJ101" s="43"/>
      <c r="CK101" s="43"/>
      <c r="CL101" s="43"/>
      <c r="CM101" s="43"/>
      <c r="CN101" s="43"/>
      <c r="CO101" s="38"/>
      <c r="CP101" s="38"/>
      <c r="CQ101" s="43"/>
      <c r="CR101" s="43"/>
      <c r="CS101" s="43"/>
      <c r="CT101" s="43"/>
      <c r="CU101" s="43"/>
      <c r="CV101" s="43"/>
      <c r="CW101" s="43"/>
      <c r="CX101" s="43"/>
      <c r="CY101" s="43"/>
      <c r="CZ101" s="43"/>
      <c r="DA101" s="43"/>
      <c r="DB101" s="43"/>
      <c r="DC101" s="43"/>
      <c r="DD101" s="43"/>
      <c r="DE101" s="43"/>
      <c r="DF101" s="79"/>
      <c r="DG101" s="79"/>
      <c r="DH101" s="79"/>
      <c r="DI101" s="79"/>
      <c r="DJ101" s="79"/>
      <c r="DK101" s="79"/>
      <c r="DL101" s="79"/>
      <c r="DM101" s="79"/>
      <c r="DN101" s="79"/>
      <c r="DO101" s="79"/>
      <c r="DP101" s="79"/>
      <c r="DQ101" s="79"/>
      <c r="DR101" s="79"/>
      <c r="DS101" s="79"/>
      <c r="DT101" s="79"/>
      <c r="DU101" s="79"/>
      <c r="DV101" s="79"/>
      <c r="DW101" s="79"/>
      <c r="DX101" s="79"/>
      <c r="DY101" s="79"/>
      <c r="DZ101" s="79"/>
      <c r="EA101" s="79"/>
      <c r="EB101" s="79"/>
      <c r="EC101" s="79"/>
      <c r="ED101" s="79"/>
      <c r="EE101" s="79"/>
      <c r="EF101" s="79"/>
      <c r="EG101" s="79"/>
      <c r="EH101" s="79"/>
      <c r="EI101" s="79"/>
      <c r="EJ101" s="79"/>
      <c r="EK101" s="79"/>
      <c r="EL101" s="79"/>
      <c r="EM101" s="79"/>
      <c r="EN101" s="79"/>
      <c r="EO101" s="79"/>
      <c r="EP101" s="79"/>
      <c r="EQ101" s="79"/>
      <c r="ER101" s="79"/>
      <c r="ES101" s="79"/>
      <c r="ET101" s="79"/>
      <c r="EU101" s="79"/>
      <c r="EV101" s="79"/>
      <c r="EW101" s="79"/>
      <c r="EX101" s="79"/>
      <c r="EY101" s="79"/>
      <c r="EZ101" s="79"/>
      <c r="FA101" s="79"/>
      <c r="FB101" s="79"/>
      <c r="FC101" s="79"/>
      <c r="FD101" s="79"/>
      <c r="FE101" s="79"/>
      <c r="FF101" s="79"/>
      <c r="FG101" s="79"/>
      <c r="FH101" s="79"/>
      <c r="FI101" s="79"/>
      <c r="FJ101" s="79"/>
      <c r="FK101" s="79"/>
      <c r="FL101" s="79"/>
      <c r="FM101" s="47"/>
      <c r="FN101" s="47" t="str">
        <f ca="1">IF(AB105="","",13*AB105/20)</f>
        <v/>
      </c>
      <c r="FO101" s="47"/>
      <c r="FP101" s="47"/>
      <c r="FQ101" s="47"/>
      <c r="FR101" s="47" t="str">
        <f ca="1">IF(AB105="","",AB105/20)</f>
        <v/>
      </c>
      <c r="FS101" s="47" t="str">
        <f ca="1">IF(AB105="","",2*AB105/20)</f>
        <v/>
      </c>
      <c r="FT101" s="47" t="str">
        <f ca="1">IF(AB105="","",3*AB105/20)</f>
        <v/>
      </c>
      <c r="FU101" s="47" t="str">
        <f ca="1">IF(AB105="","",4*AB105/20)</f>
        <v/>
      </c>
      <c r="FV101" s="47" t="str">
        <f ca="1">IF(AB105="","",5*AB105/20)</f>
        <v/>
      </c>
      <c r="FW101" s="47" t="str">
        <f ca="1">IF(AB105="","",6*AB105/20)</f>
        <v/>
      </c>
      <c r="FX101" s="47"/>
      <c r="FY101" s="47"/>
      <c r="FZ101" s="47"/>
      <c r="GA101" s="49" t="str">
        <f ca="1">IF(AB105="","",7*AB105/20)</f>
        <v/>
      </c>
      <c r="GB101" s="49" t="str">
        <f ca="1">IF(AB105="","",8*AB105/20)</f>
        <v/>
      </c>
      <c r="GC101" s="49" t="str">
        <f ca="1">IF(AB105="","",9*AB105/20)</f>
        <v/>
      </c>
      <c r="GD101" s="49" t="str">
        <f ca="1">IF(AB105="","",10*AB105/20)</f>
        <v/>
      </c>
      <c r="GE101" s="49" t="str">
        <f ca="1">IF(AB105="","",11*AB105/20)</f>
        <v/>
      </c>
      <c r="GF101" s="49" t="str">
        <f ca="1">IF(AB105="","",12*AB105/20)</f>
        <v/>
      </c>
      <c r="GG101" s="49"/>
      <c r="GH101" s="49"/>
      <c r="GI101" s="49"/>
      <c r="GJ101" s="49"/>
      <c r="GK101" s="49"/>
      <c r="GL101" s="49"/>
      <c r="GM101" s="49"/>
      <c r="GN101" s="49"/>
      <c r="GO101" s="49"/>
      <c r="GP101" s="49"/>
      <c r="GQ101" s="49"/>
      <c r="GR101" s="49"/>
      <c r="GS101" s="49"/>
      <c r="GT101" s="49"/>
      <c r="GU101" s="49"/>
      <c r="GV101" s="49"/>
      <c r="GW101" s="49"/>
      <c r="GX101" s="49"/>
      <c r="GY101" s="49"/>
      <c r="GZ101" s="49"/>
      <c r="HA101" s="49"/>
      <c r="HB101" s="49"/>
      <c r="HC101" s="49"/>
      <c r="HD101" s="49"/>
      <c r="HE101" s="49"/>
      <c r="HF101" s="49"/>
      <c r="HG101" s="49"/>
      <c r="HH101" s="49"/>
      <c r="HI101" s="49"/>
      <c r="HJ101" s="49"/>
      <c r="HK101" s="49"/>
      <c r="HL101" s="49"/>
      <c r="HM101" s="49"/>
    </row>
    <row r="102" spans="1:221" ht="3.75" customHeight="1">
      <c r="A102" s="1"/>
      <c r="B102" s="3"/>
      <c r="C102" s="3"/>
      <c r="D102" s="38"/>
      <c r="E102" s="79"/>
      <c r="F102" s="79"/>
      <c r="G102" s="79"/>
      <c r="H102" s="79"/>
      <c r="I102" s="79"/>
      <c r="J102" s="79"/>
      <c r="K102" s="43"/>
      <c r="L102" s="43"/>
      <c r="M102" s="43"/>
      <c r="N102" s="43"/>
      <c r="O102" s="43"/>
      <c r="P102" s="201"/>
      <c r="Q102" s="39"/>
      <c r="R102" s="39"/>
      <c r="S102" s="39"/>
      <c r="T102" s="43"/>
      <c r="U102" s="43"/>
      <c r="V102" s="43"/>
      <c r="W102" s="43"/>
      <c r="X102" s="43"/>
      <c r="Y102" s="38"/>
      <c r="Z102" s="38"/>
      <c r="AA102" s="38"/>
      <c r="AB102" s="79"/>
      <c r="AC102" s="79"/>
      <c r="AD102" s="79"/>
      <c r="AE102" s="79"/>
      <c r="AF102" s="645"/>
      <c r="AG102" s="645"/>
      <c r="AH102" s="645"/>
      <c r="AI102" s="645"/>
      <c r="AJ102" s="645"/>
      <c r="AK102" s="645"/>
      <c r="AL102" s="645"/>
      <c r="AM102" s="43"/>
      <c r="AN102" s="43" t="str">
        <f ca="1">IF(FU96=0,"","`")</f>
        <v/>
      </c>
      <c r="AO102" s="43"/>
      <c r="AP102" s="43"/>
      <c r="AQ102" s="43"/>
      <c r="AR102" s="43"/>
      <c r="AS102" s="43"/>
      <c r="AT102" s="43"/>
      <c r="AU102" s="126"/>
      <c r="AV102" s="126"/>
      <c r="AW102" s="126"/>
      <c r="AX102" s="126"/>
      <c r="AY102" s="126"/>
      <c r="AZ102" s="126"/>
      <c r="BA102" s="126"/>
      <c r="BB102" s="197"/>
      <c r="BC102" s="197"/>
      <c r="BD102" s="197"/>
      <c r="BE102" s="197"/>
      <c r="BF102" s="197"/>
      <c r="BG102" s="197"/>
      <c r="BH102" s="197"/>
      <c r="BI102" s="197"/>
      <c r="BJ102" s="197"/>
      <c r="BK102" s="197"/>
      <c r="BL102" s="197"/>
      <c r="BM102" s="197"/>
      <c r="BN102" s="197"/>
      <c r="BO102" s="197"/>
      <c r="BP102" s="197"/>
      <c r="BQ102" s="197"/>
      <c r="BR102" s="197"/>
      <c r="BS102" s="197"/>
      <c r="BT102" s="126"/>
      <c r="BU102" s="126"/>
      <c r="BV102" s="126"/>
      <c r="BW102" s="126"/>
      <c r="BX102" s="126"/>
      <c r="BY102" s="126"/>
      <c r="BZ102" s="126"/>
      <c r="CA102" s="126"/>
      <c r="CB102" s="126"/>
      <c r="CC102" s="126"/>
      <c r="CD102" s="126"/>
      <c r="CE102" s="126"/>
      <c r="CF102" s="126"/>
      <c r="CG102" s="126"/>
      <c r="CH102" s="38"/>
      <c r="CI102" s="43"/>
      <c r="CJ102" s="43"/>
      <c r="CK102" s="43"/>
      <c r="CL102" s="43"/>
      <c r="CM102" s="43"/>
      <c r="CN102" s="43"/>
      <c r="CO102" s="38"/>
      <c r="CP102" s="38"/>
      <c r="CQ102" s="43"/>
      <c r="CR102" s="43"/>
      <c r="CS102" s="43"/>
      <c r="CT102" s="43"/>
      <c r="CU102" s="43"/>
      <c r="CV102" s="43"/>
      <c r="CW102" s="43"/>
      <c r="CX102" s="43"/>
      <c r="CY102" s="43"/>
      <c r="CZ102" s="43"/>
      <c r="DA102" s="43"/>
      <c r="DB102" s="43"/>
      <c r="DC102" s="43"/>
      <c r="DD102" s="43"/>
      <c r="DE102" s="43"/>
      <c r="DF102" s="79"/>
      <c r="DG102" s="79"/>
      <c r="DH102" s="79"/>
      <c r="DI102" s="79"/>
      <c r="DJ102" s="79"/>
      <c r="DK102" s="79"/>
      <c r="DL102" s="79"/>
      <c r="DM102" s="79"/>
      <c r="DN102" s="79"/>
      <c r="DO102" s="79"/>
      <c r="DP102" s="79"/>
      <c r="DQ102" s="79"/>
      <c r="DR102" s="79"/>
      <c r="DS102" s="79"/>
      <c r="DT102" s="79"/>
      <c r="DU102" s="79"/>
      <c r="DV102" s="79"/>
      <c r="DW102" s="79"/>
      <c r="DX102" s="79"/>
      <c r="DY102" s="79"/>
      <c r="DZ102" s="79"/>
      <c r="EA102" s="79"/>
      <c r="EB102" s="79"/>
      <c r="EC102" s="79"/>
      <c r="ED102" s="79"/>
      <c r="EE102" s="79"/>
      <c r="EF102" s="79"/>
      <c r="EG102" s="79"/>
      <c r="EH102" s="79"/>
      <c r="EI102" s="79"/>
      <c r="EJ102" s="79"/>
      <c r="EK102" s="79"/>
      <c r="EL102" s="79"/>
      <c r="EM102" s="79"/>
      <c r="EN102" s="79"/>
      <c r="EO102" s="79"/>
      <c r="EP102" s="79"/>
      <c r="EQ102" s="79"/>
      <c r="ER102" s="79"/>
      <c r="ES102" s="79"/>
      <c r="ET102" s="79"/>
      <c r="EU102" s="79"/>
      <c r="EV102" s="79"/>
      <c r="EW102" s="79"/>
      <c r="EX102" s="79"/>
      <c r="EY102" s="79"/>
      <c r="EZ102" s="79"/>
      <c r="FA102" s="79"/>
      <c r="FB102" s="79"/>
      <c r="FC102" s="79"/>
      <c r="FD102" s="79"/>
      <c r="FE102" s="79"/>
      <c r="FF102" s="79"/>
      <c r="FG102" s="79"/>
      <c r="FH102" s="79"/>
      <c r="FI102" s="79"/>
      <c r="FJ102" s="79"/>
      <c r="FK102" s="79"/>
      <c r="FL102" s="79"/>
      <c r="FM102" s="47"/>
      <c r="FN102" s="47" t="str">
        <f ca="1">IF(AB105="","",BX150-BX150/AB105*13*AB105/20)</f>
        <v/>
      </c>
      <c r="FO102" s="47"/>
      <c r="FP102" s="47"/>
      <c r="FQ102" s="47"/>
      <c r="FR102" s="47" t="str">
        <f ca="1">IF(AB105="","",BX150-BX150/AB105*AB105/20)</f>
        <v/>
      </c>
      <c r="FS102" s="47" t="str">
        <f ca="1">IF(AB105="","",BX150-BX150/AB105*2*AB105/20)</f>
        <v/>
      </c>
      <c r="FT102" s="47" t="str">
        <f ca="1">IF(AB105="","",BX150-BX150/AB105*3*AB105/20)</f>
        <v/>
      </c>
      <c r="FU102" s="47" t="str">
        <f ca="1">IF(AB105="","",BX150-BX150/AB105*4*AB105/20)</f>
        <v/>
      </c>
      <c r="FV102" s="47" t="str">
        <f ca="1">IF(AB105="","",BX150-BX150/AB105*5*AB105/20)</f>
        <v/>
      </c>
      <c r="FW102" s="47" t="str">
        <f ca="1">IF(AB105="","",BX150-BX150/AB105*6*AB105/20)</f>
        <v/>
      </c>
      <c r="FX102" s="47"/>
      <c r="FY102" s="47"/>
      <c r="FZ102" s="47"/>
      <c r="GA102" s="49" t="str">
        <f ca="1">IF(AB105="","",BX150-BX150/AB105*7*AB105/20)</f>
        <v/>
      </c>
      <c r="GB102" s="49" t="str">
        <f ca="1">IF(AB105="","",BX150-BX150/AB105*8*AB105/20)</f>
        <v/>
      </c>
      <c r="GC102" s="49" t="str">
        <f ca="1">IF(AB105="","",BX150-BX150/AB105*9*AB105/20)</f>
        <v/>
      </c>
      <c r="GD102" s="49" t="str">
        <f ca="1">IF(AB105="","",BX150-BX150/AB105*10*AB105/20)</f>
        <v/>
      </c>
      <c r="GE102" s="49" t="str">
        <f ca="1">IF(AB105="","",BX150-BX150/AB105*11*AB105/20)</f>
        <v/>
      </c>
      <c r="GF102" s="49" t="str">
        <f ca="1">IF(AB105="","",BX150-BX150/AB105*12*AB105/20)</f>
        <v/>
      </c>
      <c r="GG102" s="49"/>
      <c r="GH102" s="49"/>
      <c r="GI102" s="49"/>
      <c r="GJ102" s="49"/>
      <c r="GK102" s="49"/>
      <c r="GL102" s="49"/>
      <c r="GM102" s="49"/>
      <c r="GN102" s="49"/>
      <c r="GO102" s="49"/>
      <c r="GP102" s="49"/>
      <c r="GQ102" s="49"/>
      <c r="GR102" s="49"/>
      <c r="GS102" s="49"/>
      <c r="GT102" s="49"/>
      <c r="GU102" s="49"/>
      <c r="GV102" s="49"/>
      <c r="GW102" s="49"/>
      <c r="GX102" s="49"/>
      <c r="GY102" s="49"/>
      <c r="GZ102" s="49"/>
      <c r="HA102" s="49"/>
      <c r="HB102" s="49"/>
      <c r="HC102" s="49"/>
      <c r="HD102" s="49"/>
      <c r="HE102" s="49"/>
      <c r="HF102" s="49"/>
      <c r="HG102" s="49"/>
      <c r="HH102" s="49"/>
      <c r="HI102" s="49"/>
      <c r="HJ102" s="49"/>
      <c r="HK102" s="49"/>
      <c r="HL102" s="49"/>
      <c r="HM102" s="49"/>
    </row>
    <row r="103" spans="1:221" ht="3.75" customHeight="1">
      <c r="A103" s="1"/>
      <c r="B103" s="3"/>
      <c r="C103" s="3"/>
      <c r="D103" s="38"/>
      <c r="E103" s="79"/>
      <c r="F103" s="79"/>
      <c r="G103" s="79"/>
      <c r="H103" s="79"/>
      <c r="I103" s="79"/>
      <c r="J103" s="79"/>
      <c r="K103" s="43"/>
      <c r="L103" s="43"/>
      <c r="M103" s="43"/>
      <c r="N103" s="43"/>
      <c r="O103" s="43"/>
      <c r="P103" s="201"/>
      <c r="Q103" s="39"/>
      <c r="R103" s="39"/>
      <c r="S103" s="39"/>
      <c r="T103" s="43"/>
      <c r="U103" s="43"/>
      <c r="V103" s="43"/>
      <c r="W103" s="43"/>
      <c r="X103" s="43"/>
      <c r="Y103" s="38"/>
      <c r="Z103" s="38"/>
      <c r="AA103" s="38"/>
      <c r="AB103" s="79"/>
      <c r="AC103" s="79"/>
      <c r="AD103" s="79"/>
      <c r="AE103" s="79"/>
      <c r="AF103" s="146"/>
      <c r="AG103" s="146"/>
      <c r="AH103" s="146"/>
      <c r="AI103" s="79"/>
      <c r="AJ103" s="79"/>
      <c r="AK103" s="79"/>
      <c r="AL103" s="79"/>
      <c r="AM103" s="43"/>
      <c r="AN103" s="43" t="str">
        <f ca="1">IF(FU96=0,"","`")</f>
        <v/>
      </c>
      <c r="AO103" s="43"/>
      <c r="AP103" s="43"/>
      <c r="AQ103" s="43"/>
      <c r="AR103" s="43"/>
      <c r="AS103" s="43"/>
      <c r="AT103" s="43"/>
      <c r="AU103" s="126"/>
      <c r="AV103" s="126"/>
      <c r="AW103" s="126"/>
      <c r="AX103" s="126"/>
      <c r="AY103" s="126"/>
      <c r="AZ103" s="126"/>
      <c r="BA103" s="126"/>
      <c r="BB103" s="197"/>
      <c r="BC103" s="197"/>
      <c r="BD103" s="197"/>
      <c r="BE103" s="197"/>
      <c r="BF103" s="197"/>
      <c r="BG103" s="197"/>
      <c r="BH103" s="197"/>
      <c r="BI103" s="197"/>
      <c r="BJ103" s="197"/>
      <c r="BK103" s="197"/>
      <c r="BL103" s="197"/>
      <c r="BM103" s="197"/>
      <c r="BN103" s="197"/>
      <c r="BO103" s="197"/>
      <c r="BP103" s="197"/>
      <c r="BQ103" s="197"/>
      <c r="BR103" s="197"/>
      <c r="BS103" s="197"/>
      <c r="BT103" s="126"/>
      <c r="BU103" s="126"/>
      <c r="BV103" s="126"/>
      <c r="BW103" s="126"/>
      <c r="BX103" s="126"/>
      <c r="BY103" s="126"/>
      <c r="BZ103" s="126"/>
      <c r="CA103" s="126"/>
      <c r="CB103" s="126"/>
      <c r="CC103" s="126"/>
      <c r="CD103" s="126"/>
      <c r="CE103" s="126"/>
      <c r="CF103" s="126"/>
      <c r="CG103" s="126"/>
      <c r="CH103" s="38"/>
      <c r="CI103" s="43"/>
      <c r="CJ103" s="43"/>
      <c r="CK103" s="43"/>
      <c r="CL103" s="43"/>
      <c r="CM103" s="43"/>
      <c r="CN103" s="43"/>
      <c r="CO103" s="38"/>
      <c r="CP103" s="38"/>
      <c r="CQ103" s="43"/>
      <c r="CR103" s="43"/>
      <c r="CS103" s="43"/>
      <c r="CT103" s="43"/>
      <c r="CU103" s="43"/>
      <c r="CV103" s="43"/>
      <c r="CW103" s="43"/>
      <c r="CX103" s="43"/>
      <c r="CY103" s="43"/>
      <c r="CZ103" s="43"/>
      <c r="DA103" s="43"/>
      <c r="DB103" s="43"/>
      <c r="DC103" s="43"/>
      <c r="DD103" s="43"/>
      <c r="DE103" s="43"/>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47"/>
      <c r="FN103" s="47"/>
      <c r="FO103" s="47"/>
      <c r="FP103" s="47"/>
      <c r="FQ103" s="47"/>
      <c r="FR103" s="47"/>
      <c r="FS103" s="47"/>
      <c r="FT103" s="47"/>
      <c r="FU103" s="47"/>
      <c r="FV103" s="47"/>
      <c r="FW103" s="47"/>
      <c r="FX103" s="47"/>
      <c r="FY103" s="47"/>
      <c r="FZ103" s="47"/>
      <c r="GA103" s="49"/>
      <c r="GB103" s="49"/>
      <c r="GC103" s="49"/>
      <c r="GD103" s="49"/>
      <c r="GE103" s="49"/>
      <c r="GF103" s="49"/>
      <c r="GG103" s="49"/>
      <c r="GH103" s="49"/>
      <c r="GI103" s="49"/>
      <c r="GJ103" s="49"/>
      <c r="GK103" s="49"/>
      <c r="GL103" s="49"/>
      <c r="GM103" s="49"/>
      <c r="GN103" s="49"/>
      <c r="GO103" s="49"/>
      <c r="GP103" s="49"/>
      <c r="GQ103" s="49"/>
      <c r="GR103" s="49"/>
      <c r="GS103" s="49"/>
      <c r="GT103" s="49"/>
      <c r="GU103" s="49"/>
      <c r="GV103" s="49"/>
      <c r="GW103" s="49"/>
      <c r="GX103" s="49"/>
      <c r="GY103" s="49"/>
      <c r="GZ103" s="49"/>
      <c r="HA103" s="49"/>
      <c r="HB103" s="49"/>
      <c r="HC103" s="49"/>
      <c r="HD103" s="49"/>
      <c r="HE103" s="49"/>
      <c r="HF103" s="49"/>
      <c r="HG103" s="49"/>
      <c r="HH103" s="49"/>
      <c r="HI103" s="49"/>
      <c r="HJ103" s="49"/>
      <c r="HK103" s="49"/>
      <c r="HL103" s="49"/>
      <c r="HM103" s="49"/>
    </row>
    <row r="104" spans="1:221" ht="3.75" customHeight="1">
      <c r="A104" s="1"/>
      <c r="B104" s="3"/>
      <c r="C104" s="3"/>
      <c r="D104" s="38"/>
      <c r="E104" s="79"/>
      <c r="F104" s="79"/>
      <c r="G104" s="79"/>
      <c r="H104" s="79"/>
      <c r="I104" s="79"/>
      <c r="J104" s="79"/>
      <c r="K104" s="43"/>
      <c r="L104" s="43"/>
      <c r="M104" s="43"/>
      <c r="N104" s="43"/>
      <c r="O104" s="43"/>
      <c r="P104" s="39"/>
      <c r="Q104" s="39"/>
      <c r="R104" s="39"/>
      <c r="S104" s="39"/>
      <c r="T104" s="43"/>
      <c r="U104" s="43"/>
      <c r="V104" s="43"/>
      <c r="W104" s="43"/>
      <c r="X104" s="43"/>
      <c r="Y104" s="38"/>
      <c r="Z104" s="38"/>
      <c r="AA104" s="43"/>
      <c r="AB104" s="43"/>
      <c r="AC104" s="43"/>
      <c r="AD104" s="43"/>
      <c r="AE104" s="43"/>
      <c r="AF104" s="43"/>
      <c r="AG104" s="43"/>
      <c r="AH104" s="43"/>
      <c r="AI104" s="43"/>
      <c r="AJ104" s="43"/>
      <c r="AK104" s="43"/>
      <c r="AL104" s="43"/>
      <c r="AM104" s="43"/>
      <c r="AN104" s="43" t="str">
        <f ca="1">IF(FU96=0,"","`")</f>
        <v/>
      </c>
      <c r="AO104" s="43"/>
      <c r="AP104" s="43"/>
      <c r="AQ104" s="43"/>
      <c r="AR104" s="43"/>
      <c r="AS104" s="43"/>
      <c r="AT104" s="43"/>
      <c r="AU104" s="126"/>
      <c r="AV104" s="126"/>
      <c r="AW104" s="126"/>
      <c r="AX104" s="126"/>
      <c r="AY104" s="126"/>
      <c r="AZ104" s="126"/>
      <c r="BA104" s="126"/>
      <c r="BB104" s="197"/>
      <c r="BC104" s="197"/>
      <c r="BD104" s="197"/>
      <c r="BE104" s="197"/>
      <c r="BF104" s="197"/>
      <c r="BG104" s="197"/>
      <c r="BH104" s="197"/>
      <c r="BI104" s="197"/>
      <c r="BJ104" s="197"/>
      <c r="BK104" s="197"/>
      <c r="BL104" s="646" t="str">
        <f ca="1">IF(OR(BC96="",FU96=0),"",IF(AND(AB105&gt;0,BX150&gt;0,FO94=0,BC96&gt;0),"Bij deze hoeveelheid is de GO en dus de prijs "&amp;FR94&amp;" en is de omzet € "&amp;FO94&amp;" × "&amp;FO96&amp;" = € "&amp;FO94*FO96&amp;". Vul ook eens een andere hoeveelheid in.",IF(AND(AB105&gt;0,BX150&gt;0,FO94&gt;0,BC96=GD78),"Bij deze hoeveelheid is de GO en dus de prijs "&amp;FR94&amp;" en is de omzet € "&amp;FO94&amp;" × "&amp;FO96&amp;" = € "&amp;FO94*FO96&amp;". Dit is de maximale omzet. Vul ook eens een andere hoeveelheid in.",IF(AND(AB105&gt;0,BX150&gt;0,FO94&gt;0,BC96&lt;GD78),"Bij deze hoeveelheid is de GO en dus de prijs "&amp;FR94&amp;" en is de omzet € "&amp;FO94&amp;" × "&amp;FO96&amp;" = € "&amp;FO94*FO96&amp;". Vul ook eens een andere hoeveelheid in en zie dat als deze iets groter is, de omzet stijgt en als deze kleiner is de omzet daalt.",IF(AND(AB105&gt;0,BX150&gt;0,FO94&gt;0,BC96&gt;GD78),"Bij deze hoeveelheid is de GO en dus de prijs "&amp;FR94&amp;" en is de omzet € "&amp;FO94&amp;" × "&amp;FO96&amp;" = € "&amp;FO94*FO96&amp;". Vul ook eens een andere hoeveelheid in en zie dat als deze groter is, de omzet daalt en als deze (iets) kleiner is de omzet stijgt.","")))))</f>
        <v/>
      </c>
      <c r="BM104" s="645"/>
      <c r="BN104" s="645"/>
      <c r="BO104" s="645"/>
      <c r="BP104" s="645"/>
      <c r="BQ104" s="645"/>
      <c r="BR104" s="645"/>
      <c r="BS104" s="645"/>
      <c r="BT104" s="645"/>
      <c r="BU104" s="645"/>
      <c r="BV104" s="645"/>
      <c r="BW104" s="645"/>
      <c r="BX104" s="645"/>
      <c r="BY104" s="645"/>
      <c r="BZ104" s="645"/>
      <c r="CA104" s="645"/>
      <c r="CB104" s="645"/>
      <c r="CC104" s="645"/>
      <c r="CD104" s="645"/>
      <c r="CE104" s="645"/>
      <c r="CF104" s="645"/>
      <c r="CG104" s="645"/>
      <c r="CH104" s="645"/>
      <c r="CI104" s="645"/>
      <c r="CJ104" s="645"/>
      <c r="CK104" s="645"/>
      <c r="CL104" s="645"/>
      <c r="CM104" s="645"/>
      <c r="CN104" s="645"/>
      <c r="CO104" s="645"/>
      <c r="CP104" s="645"/>
      <c r="CQ104" s="645"/>
      <c r="CR104" s="645"/>
      <c r="CS104" s="645"/>
      <c r="CT104" s="645"/>
      <c r="CU104" s="645"/>
      <c r="CV104" s="645"/>
      <c r="CW104" s="645"/>
      <c r="CX104" s="645"/>
      <c r="CY104" s="645"/>
      <c r="CZ104" s="645"/>
      <c r="DA104" s="645"/>
      <c r="DB104" s="645"/>
      <c r="DC104" s="645"/>
      <c r="DD104" s="645"/>
      <c r="DE104" s="645"/>
      <c r="DF104" s="645"/>
      <c r="DG104" s="645"/>
      <c r="DH104" s="645"/>
      <c r="DI104" s="645"/>
      <c r="DJ104" s="645"/>
      <c r="DK104" s="645"/>
      <c r="DL104" s="645"/>
      <c r="DM104" s="645"/>
      <c r="DN104" s="645"/>
      <c r="DO104" s="645"/>
      <c r="DP104" s="645"/>
      <c r="DQ104" s="645"/>
      <c r="DR104" s="645"/>
      <c r="DS104" s="645"/>
      <c r="DT104" s="645"/>
      <c r="DU104" s="645"/>
      <c r="DV104" s="645"/>
      <c r="DW104" s="645"/>
      <c r="DX104" s="645"/>
      <c r="DY104" s="645"/>
      <c r="DZ104" s="645"/>
      <c r="EA104" s="645"/>
      <c r="EB104" s="645"/>
      <c r="EC104" s="645"/>
      <c r="ED104" s="645"/>
      <c r="EE104" s="645"/>
      <c r="EF104" s="645"/>
      <c r="EG104" s="645"/>
      <c r="EH104" s="645"/>
      <c r="EI104" s="645"/>
      <c r="EJ104" s="645"/>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47"/>
      <c r="FN104" s="47"/>
      <c r="FO104" s="47"/>
      <c r="FP104" s="47"/>
      <c r="FQ104" s="47"/>
      <c r="FR104" s="47"/>
      <c r="FS104" s="47"/>
      <c r="FT104" s="47"/>
      <c r="FU104" s="47"/>
      <c r="FV104" s="47"/>
      <c r="FW104" s="47"/>
      <c r="FX104" s="47"/>
      <c r="FY104" s="47"/>
      <c r="FZ104" s="47"/>
      <c r="GA104" s="49"/>
      <c r="GB104" s="49"/>
      <c r="GC104" s="49"/>
      <c r="GD104" s="49"/>
      <c r="GE104" s="49"/>
      <c r="GF104" s="49"/>
      <c r="GG104" s="49"/>
      <c r="GH104" s="49"/>
      <c r="GI104" s="49"/>
      <c r="GJ104" s="49"/>
      <c r="GK104" s="49"/>
      <c r="GL104" s="49"/>
      <c r="GM104" s="49"/>
      <c r="GN104" s="49"/>
      <c r="GO104" s="49"/>
      <c r="GP104" s="49"/>
      <c r="GQ104" s="49"/>
      <c r="GR104" s="49"/>
      <c r="GS104" s="49"/>
      <c r="GT104" s="49"/>
      <c r="GU104" s="49"/>
      <c r="GV104" s="49"/>
      <c r="GW104" s="49"/>
      <c r="GX104" s="49"/>
      <c r="GY104" s="49"/>
      <c r="GZ104" s="49"/>
      <c r="HA104" s="49"/>
      <c r="HB104" s="49"/>
      <c r="HC104" s="49"/>
      <c r="HD104" s="49"/>
      <c r="HE104" s="49"/>
      <c r="HF104" s="49"/>
      <c r="HG104" s="49"/>
      <c r="HH104" s="49"/>
      <c r="HI104" s="49"/>
      <c r="HJ104" s="49"/>
      <c r="HK104" s="49"/>
      <c r="HL104" s="49"/>
      <c r="HM104" s="49"/>
    </row>
    <row r="105" spans="1:221" ht="3.75" customHeight="1">
      <c r="A105" s="1"/>
      <c r="B105" s="3"/>
      <c r="C105" s="3"/>
      <c r="D105" s="38"/>
      <c r="E105" s="79"/>
      <c r="F105" s="79"/>
      <c r="G105" s="79"/>
      <c r="H105" s="79"/>
      <c r="I105" s="79"/>
      <c r="J105" s="79"/>
      <c r="K105" s="43"/>
      <c r="L105" s="43"/>
      <c r="M105" s="43"/>
      <c r="N105" s="43"/>
      <c r="O105" s="43"/>
      <c r="P105" s="39"/>
      <c r="Q105" s="39"/>
      <c r="R105" s="39"/>
      <c r="S105" s="39"/>
      <c r="T105" s="43"/>
      <c r="U105" s="43"/>
      <c r="V105" s="43"/>
      <c r="W105" s="43"/>
      <c r="X105" s="43"/>
      <c r="Y105" s="38"/>
      <c r="Z105" s="38"/>
      <c r="AA105" s="43"/>
      <c r="AB105" s="647" t="str">
        <f ca="1">IF(FO50=0,"",FN94)</f>
        <v/>
      </c>
      <c r="AC105" s="647"/>
      <c r="AD105" s="647"/>
      <c r="AE105" s="647"/>
      <c r="AF105" s="647"/>
      <c r="AG105" s="647"/>
      <c r="AH105" s="647"/>
      <c r="AI105" s="647"/>
      <c r="AJ105" s="647"/>
      <c r="AK105" s="647"/>
      <c r="AL105" s="43"/>
      <c r="AM105" s="126"/>
      <c r="AN105" s="43" t="str">
        <f ca="1">IF(FU96=0,"","`")</f>
        <v/>
      </c>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147"/>
      <c r="BK105" s="147"/>
      <c r="BL105" s="645"/>
      <c r="BM105" s="645"/>
      <c r="BN105" s="645"/>
      <c r="BO105" s="645"/>
      <c r="BP105" s="645"/>
      <c r="BQ105" s="645"/>
      <c r="BR105" s="645"/>
      <c r="BS105" s="645"/>
      <c r="BT105" s="645"/>
      <c r="BU105" s="645"/>
      <c r="BV105" s="645"/>
      <c r="BW105" s="645"/>
      <c r="BX105" s="645"/>
      <c r="BY105" s="645"/>
      <c r="BZ105" s="645"/>
      <c r="CA105" s="645"/>
      <c r="CB105" s="645"/>
      <c r="CC105" s="645"/>
      <c r="CD105" s="645"/>
      <c r="CE105" s="645"/>
      <c r="CF105" s="645"/>
      <c r="CG105" s="645"/>
      <c r="CH105" s="645"/>
      <c r="CI105" s="645"/>
      <c r="CJ105" s="645"/>
      <c r="CK105" s="645"/>
      <c r="CL105" s="645"/>
      <c r="CM105" s="645"/>
      <c r="CN105" s="645"/>
      <c r="CO105" s="645"/>
      <c r="CP105" s="645"/>
      <c r="CQ105" s="645"/>
      <c r="CR105" s="645"/>
      <c r="CS105" s="645"/>
      <c r="CT105" s="645"/>
      <c r="CU105" s="645"/>
      <c r="CV105" s="645"/>
      <c r="CW105" s="645"/>
      <c r="CX105" s="645"/>
      <c r="CY105" s="645"/>
      <c r="CZ105" s="645"/>
      <c r="DA105" s="645"/>
      <c r="DB105" s="645"/>
      <c r="DC105" s="645"/>
      <c r="DD105" s="645"/>
      <c r="DE105" s="645"/>
      <c r="DF105" s="645"/>
      <c r="DG105" s="645"/>
      <c r="DH105" s="645"/>
      <c r="DI105" s="645"/>
      <c r="DJ105" s="645"/>
      <c r="DK105" s="645"/>
      <c r="DL105" s="645"/>
      <c r="DM105" s="645"/>
      <c r="DN105" s="645"/>
      <c r="DO105" s="645"/>
      <c r="DP105" s="645"/>
      <c r="DQ105" s="645"/>
      <c r="DR105" s="645"/>
      <c r="DS105" s="645"/>
      <c r="DT105" s="645"/>
      <c r="DU105" s="645"/>
      <c r="DV105" s="645"/>
      <c r="DW105" s="645"/>
      <c r="DX105" s="645"/>
      <c r="DY105" s="645"/>
      <c r="DZ105" s="645"/>
      <c r="EA105" s="645"/>
      <c r="EB105" s="645"/>
      <c r="EC105" s="645"/>
      <c r="ED105" s="645"/>
      <c r="EE105" s="645"/>
      <c r="EF105" s="645"/>
      <c r="EG105" s="645"/>
      <c r="EH105" s="645"/>
      <c r="EI105" s="645"/>
      <c r="EJ105" s="645"/>
      <c r="EK105" s="79"/>
      <c r="EL105" s="79"/>
      <c r="EM105" s="79"/>
      <c r="EN105" s="79"/>
      <c r="EO105" s="79"/>
      <c r="EP105" s="79"/>
      <c r="EQ105" s="79"/>
      <c r="ER105" s="79"/>
      <c r="ES105" s="79"/>
      <c r="ET105" s="79"/>
      <c r="EU105" s="79"/>
      <c r="EV105" s="79"/>
      <c r="EW105" s="79"/>
      <c r="EX105" s="79"/>
      <c r="EY105" s="79"/>
      <c r="EZ105" s="79"/>
      <c r="FA105" s="79"/>
      <c r="FB105" s="79"/>
      <c r="FC105" s="79"/>
      <c r="FD105" s="79"/>
      <c r="FE105" s="79"/>
      <c r="FF105" s="79"/>
      <c r="FG105" s="79"/>
      <c r="FH105" s="79"/>
      <c r="FI105" s="79"/>
      <c r="FJ105" s="79"/>
      <c r="FK105" s="79"/>
      <c r="FL105" s="79"/>
      <c r="FM105" s="47"/>
      <c r="FN105" s="47"/>
      <c r="FO105" s="47"/>
      <c r="FP105" s="47"/>
      <c r="FQ105" s="47"/>
      <c r="FR105" s="47"/>
      <c r="FS105" s="47"/>
      <c r="FT105" s="47"/>
      <c r="FU105" s="47"/>
      <c r="FV105" s="47"/>
      <c r="FW105" s="47"/>
      <c r="FX105" s="47"/>
      <c r="FY105" s="47"/>
      <c r="FZ105" s="47"/>
      <c r="GA105" s="49"/>
      <c r="GB105" s="49"/>
      <c r="GC105" s="49"/>
      <c r="GD105" s="49"/>
      <c r="GE105" s="49"/>
      <c r="GF105" s="49"/>
      <c r="GG105" s="49"/>
      <c r="GH105" s="49"/>
      <c r="GI105" s="49"/>
      <c r="GJ105" s="49"/>
      <c r="GK105" s="49"/>
      <c r="GL105" s="49"/>
      <c r="GM105" s="49"/>
      <c r="GN105" s="49"/>
      <c r="GO105" s="49"/>
      <c r="GP105" s="49"/>
      <c r="GQ105" s="49"/>
      <c r="GR105" s="49"/>
      <c r="GS105" s="49"/>
      <c r="GT105" s="49"/>
      <c r="GU105" s="49"/>
      <c r="GV105" s="49"/>
      <c r="GW105" s="49"/>
      <c r="GX105" s="49"/>
      <c r="GY105" s="49"/>
      <c r="GZ105" s="49"/>
      <c r="HA105" s="49"/>
      <c r="HB105" s="49"/>
      <c r="HC105" s="49"/>
      <c r="HD105" s="49"/>
      <c r="HE105" s="49"/>
      <c r="HF105" s="49"/>
      <c r="HG105" s="49"/>
      <c r="HH105" s="49"/>
      <c r="HI105" s="49"/>
      <c r="HJ105" s="49"/>
      <c r="HK105" s="49"/>
      <c r="HL105" s="49"/>
      <c r="HM105" s="49"/>
    </row>
    <row r="106" spans="1:221" ht="3.75" customHeight="1">
      <c r="A106" s="1"/>
      <c r="B106" s="3"/>
      <c r="C106" s="3"/>
      <c r="D106" s="38"/>
      <c r="E106" s="79"/>
      <c r="F106" s="79"/>
      <c r="G106" s="79"/>
      <c r="H106" s="79"/>
      <c r="I106" s="79"/>
      <c r="J106" s="79"/>
      <c r="K106" s="43"/>
      <c r="L106" s="43"/>
      <c r="M106" s="43"/>
      <c r="N106" s="43"/>
      <c r="O106" s="43"/>
      <c r="P106" s="39"/>
      <c r="Q106" s="39"/>
      <c r="R106" s="39"/>
      <c r="S106" s="39"/>
      <c r="T106" s="43"/>
      <c r="U106" s="43"/>
      <c r="V106" s="43"/>
      <c r="W106" s="43"/>
      <c r="X106" s="43"/>
      <c r="Y106" s="38"/>
      <c r="Z106" s="38"/>
      <c r="AA106" s="43"/>
      <c r="AB106" s="647"/>
      <c r="AC106" s="647"/>
      <c r="AD106" s="647"/>
      <c r="AE106" s="647"/>
      <c r="AF106" s="647"/>
      <c r="AG106" s="647"/>
      <c r="AH106" s="647"/>
      <c r="AI106" s="647"/>
      <c r="AJ106" s="647"/>
      <c r="AK106" s="647"/>
      <c r="AL106" s="43"/>
      <c r="AM106" s="126"/>
      <c r="AN106" s="43" t="str">
        <f ca="1">IF(FU96=0,"","`")</f>
        <v/>
      </c>
      <c r="AO106" s="197"/>
      <c r="AP106" s="197"/>
      <c r="AQ106" s="197"/>
      <c r="AR106" s="197"/>
      <c r="AS106" s="197"/>
      <c r="AT106" s="197"/>
      <c r="AU106" s="197"/>
      <c r="AV106" s="197"/>
      <c r="AW106" s="197"/>
      <c r="AX106" s="197"/>
      <c r="AY106" s="197"/>
      <c r="AZ106" s="197"/>
      <c r="BA106" s="197"/>
      <c r="BB106" s="197"/>
      <c r="BC106" s="197"/>
      <c r="BD106" s="197"/>
      <c r="BE106" s="197"/>
      <c r="BF106" s="197"/>
      <c r="BG106" s="197"/>
      <c r="BH106" s="197"/>
      <c r="BI106" s="197"/>
      <c r="BJ106" s="215"/>
      <c r="BK106" s="215"/>
      <c r="BL106" s="645"/>
      <c r="BM106" s="645"/>
      <c r="BN106" s="645"/>
      <c r="BO106" s="645"/>
      <c r="BP106" s="645"/>
      <c r="BQ106" s="645"/>
      <c r="BR106" s="645"/>
      <c r="BS106" s="645"/>
      <c r="BT106" s="645"/>
      <c r="BU106" s="645"/>
      <c r="BV106" s="645"/>
      <c r="BW106" s="645"/>
      <c r="BX106" s="645"/>
      <c r="BY106" s="645"/>
      <c r="BZ106" s="645"/>
      <c r="CA106" s="645"/>
      <c r="CB106" s="645"/>
      <c r="CC106" s="645"/>
      <c r="CD106" s="645"/>
      <c r="CE106" s="645"/>
      <c r="CF106" s="645"/>
      <c r="CG106" s="645"/>
      <c r="CH106" s="645"/>
      <c r="CI106" s="645"/>
      <c r="CJ106" s="645"/>
      <c r="CK106" s="645"/>
      <c r="CL106" s="645"/>
      <c r="CM106" s="645"/>
      <c r="CN106" s="645"/>
      <c r="CO106" s="645"/>
      <c r="CP106" s="645"/>
      <c r="CQ106" s="645"/>
      <c r="CR106" s="645"/>
      <c r="CS106" s="645"/>
      <c r="CT106" s="645"/>
      <c r="CU106" s="645"/>
      <c r="CV106" s="645"/>
      <c r="CW106" s="645"/>
      <c r="CX106" s="645"/>
      <c r="CY106" s="645"/>
      <c r="CZ106" s="645"/>
      <c r="DA106" s="645"/>
      <c r="DB106" s="645"/>
      <c r="DC106" s="645"/>
      <c r="DD106" s="645"/>
      <c r="DE106" s="645"/>
      <c r="DF106" s="645"/>
      <c r="DG106" s="645"/>
      <c r="DH106" s="645"/>
      <c r="DI106" s="645"/>
      <c r="DJ106" s="645"/>
      <c r="DK106" s="645"/>
      <c r="DL106" s="645"/>
      <c r="DM106" s="645"/>
      <c r="DN106" s="645"/>
      <c r="DO106" s="645"/>
      <c r="DP106" s="645"/>
      <c r="DQ106" s="645"/>
      <c r="DR106" s="645"/>
      <c r="DS106" s="645"/>
      <c r="DT106" s="645"/>
      <c r="DU106" s="645"/>
      <c r="DV106" s="645"/>
      <c r="DW106" s="645"/>
      <c r="DX106" s="645"/>
      <c r="DY106" s="645"/>
      <c r="DZ106" s="645"/>
      <c r="EA106" s="645"/>
      <c r="EB106" s="645"/>
      <c r="EC106" s="645"/>
      <c r="ED106" s="645"/>
      <c r="EE106" s="645"/>
      <c r="EF106" s="645"/>
      <c r="EG106" s="645"/>
      <c r="EH106" s="645"/>
      <c r="EI106" s="645"/>
      <c r="EJ106" s="645"/>
      <c r="EK106" s="79"/>
      <c r="EL106" s="79"/>
      <c r="EM106" s="79"/>
      <c r="EN106" s="79"/>
      <c r="EO106" s="79"/>
      <c r="EP106" s="79"/>
      <c r="EQ106" s="79"/>
      <c r="ER106" s="79"/>
      <c r="ES106" s="79"/>
      <c r="ET106" s="79"/>
      <c r="EU106" s="79"/>
      <c r="EV106" s="79"/>
      <c r="EW106" s="79"/>
      <c r="EX106" s="79"/>
      <c r="EY106" s="79"/>
      <c r="EZ106" s="79"/>
      <c r="FA106" s="79"/>
      <c r="FB106" s="79"/>
      <c r="FC106" s="79"/>
      <c r="FD106" s="79"/>
      <c r="FE106" s="79"/>
      <c r="FF106" s="79"/>
      <c r="FG106" s="79"/>
      <c r="FH106" s="79"/>
      <c r="FI106" s="79"/>
      <c r="FJ106" s="79"/>
      <c r="FK106" s="79"/>
      <c r="FL106" s="79"/>
      <c r="FM106" s="47"/>
      <c r="FN106" s="47"/>
      <c r="FO106" s="47"/>
      <c r="FP106" s="47"/>
      <c r="FQ106" s="47"/>
      <c r="FR106" s="47"/>
      <c r="FS106" s="47"/>
      <c r="FT106" s="47"/>
      <c r="FU106" s="47"/>
      <c r="FV106" s="47"/>
      <c r="FW106" s="47"/>
      <c r="FX106" s="47"/>
      <c r="FY106" s="47"/>
      <c r="FZ106" s="47"/>
      <c r="GA106" s="49"/>
      <c r="GB106" s="49"/>
      <c r="GC106" s="49"/>
      <c r="GD106" s="49"/>
      <c r="GE106" s="49"/>
      <c r="GF106" s="49"/>
      <c r="GG106" s="49"/>
      <c r="GH106" s="49"/>
      <c r="GI106" s="49"/>
      <c r="GJ106" s="49"/>
      <c r="GK106" s="49"/>
      <c r="GL106" s="49"/>
      <c r="GM106" s="49"/>
      <c r="GN106" s="49"/>
      <c r="GO106" s="49"/>
      <c r="GP106" s="49"/>
      <c r="GQ106" s="49"/>
      <c r="GR106" s="49"/>
      <c r="GS106" s="49"/>
      <c r="GT106" s="49"/>
      <c r="GU106" s="49"/>
      <c r="GV106" s="49"/>
      <c r="GW106" s="49"/>
      <c r="GX106" s="49"/>
      <c r="GY106" s="49"/>
      <c r="GZ106" s="49"/>
      <c r="HA106" s="49"/>
      <c r="HB106" s="49"/>
      <c r="HC106" s="49"/>
      <c r="HD106" s="49"/>
      <c r="HE106" s="49"/>
      <c r="HF106" s="49"/>
      <c r="HG106" s="49"/>
      <c r="HH106" s="49"/>
      <c r="HI106" s="49"/>
      <c r="HJ106" s="49"/>
      <c r="HK106" s="49"/>
      <c r="HL106" s="49"/>
      <c r="HM106" s="49"/>
    </row>
    <row r="107" spans="1:221" ht="3.75" customHeight="1">
      <c r="A107" s="1"/>
      <c r="B107" s="3"/>
      <c r="C107" s="3"/>
      <c r="D107" s="38"/>
      <c r="E107" s="43">
        <v>40</v>
      </c>
      <c r="F107" s="43" t="e">
        <f ca="1">E107*AB105/40</f>
        <v>#VALUE!</v>
      </c>
      <c r="G107" s="79"/>
      <c r="H107" s="79"/>
      <c r="I107" s="79"/>
      <c r="J107" s="79"/>
      <c r="K107" s="43"/>
      <c r="L107" s="43"/>
      <c r="M107" s="43"/>
      <c r="N107" s="43"/>
      <c r="O107" s="79"/>
      <c r="P107" s="79"/>
      <c r="Q107" s="43"/>
      <c r="R107" s="43"/>
      <c r="S107" s="43"/>
      <c r="T107" s="43"/>
      <c r="U107" s="43"/>
      <c r="V107" s="43"/>
      <c r="W107" s="43"/>
      <c r="X107" s="43"/>
      <c r="Y107" s="38"/>
      <c r="Z107" s="38"/>
      <c r="AA107" s="43"/>
      <c r="AB107" s="647"/>
      <c r="AC107" s="647"/>
      <c r="AD107" s="647"/>
      <c r="AE107" s="647"/>
      <c r="AF107" s="647"/>
      <c r="AG107" s="647"/>
      <c r="AH107" s="647"/>
      <c r="AI107" s="647"/>
      <c r="AJ107" s="647"/>
      <c r="AK107" s="647"/>
      <c r="AL107" s="43"/>
      <c r="AM107" s="126"/>
      <c r="AN107" s="43" t="str">
        <f ca="1">IF(FU96=0,"","`")</f>
        <v/>
      </c>
      <c r="AO107" s="197" t="str">
        <f ca="1">IF(FU96=0,"",":")</f>
        <v/>
      </c>
      <c r="AP107" s="197"/>
      <c r="AQ107" s="197"/>
      <c r="AR107" s="197"/>
      <c r="AS107" s="197"/>
      <c r="AT107" s="197"/>
      <c r="AU107" s="197"/>
      <c r="AV107" s="197"/>
      <c r="AW107" s="197"/>
      <c r="AX107" s="197"/>
      <c r="AY107" s="197"/>
      <c r="AZ107" s="197"/>
      <c r="BA107" s="197"/>
      <c r="BB107" s="197"/>
      <c r="BC107" s="197"/>
      <c r="BD107" s="197"/>
      <c r="BE107" s="197"/>
      <c r="BF107" s="197"/>
      <c r="BG107" s="197"/>
      <c r="BH107" s="197"/>
      <c r="BI107" s="197"/>
      <c r="BJ107" s="215"/>
      <c r="BK107" s="215"/>
      <c r="BL107" s="645"/>
      <c r="BM107" s="645"/>
      <c r="BN107" s="645"/>
      <c r="BO107" s="645"/>
      <c r="BP107" s="645"/>
      <c r="BQ107" s="645"/>
      <c r="BR107" s="645"/>
      <c r="BS107" s="645"/>
      <c r="BT107" s="645"/>
      <c r="BU107" s="645"/>
      <c r="BV107" s="645"/>
      <c r="BW107" s="645"/>
      <c r="BX107" s="645"/>
      <c r="BY107" s="645"/>
      <c r="BZ107" s="645"/>
      <c r="CA107" s="645"/>
      <c r="CB107" s="645"/>
      <c r="CC107" s="645"/>
      <c r="CD107" s="645"/>
      <c r="CE107" s="645"/>
      <c r="CF107" s="645"/>
      <c r="CG107" s="645"/>
      <c r="CH107" s="645"/>
      <c r="CI107" s="645"/>
      <c r="CJ107" s="645"/>
      <c r="CK107" s="645"/>
      <c r="CL107" s="645"/>
      <c r="CM107" s="645"/>
      <c r="CN107" s="645"/>
      <c r="CO107" s="645"/>
      <c r="CP107" s="645"/>
      <c r="CQ107" s="645"/>
      <c r="CR107" s="645"/>
      <c r="CS107" s="645"/>
      <c r="CT107" s="645"/>
      <c r="CU107" s="645"/>
      <c r="CV107" s="645"/>
      <c r="CW107" s="645"/>
      <c r="CX107" s="645"/>
      <c r="CY107" s="645"/>
      <c r="CZ107" s="645"/>
      <c r="DA107" s="645"/>
      <c r="DB107" s="645"/>
      <c r="DC107" s="645"/>
      <c r="DD107" s="645"/>
      <c r="DE107" s="645"/>
      <c r="DF107" s="645"/>
      <c r="DG107" s="645"/>
      <c r="DH107" s="645"/>
      <c r="DI107" s="645"/>
      <c r="DJ107" s="645"/>
      <c r="DK107" s="645"/>
      <c r="DL107" s="645"/>
      <c r="DM107" s="645"/>
      <c r="DN107" s="645"/>
      <c r="DO107" s="645"/>
      <c r="DP107" s="645"/>
      <c r="DQ107" s="645"/>
      <c r="DR107" s="645"/>
      <c r="DS107" s="645"/>
      <c r="DT107" s="645"/>
      <c r="DU107" s="645"/>
      <c r="DV107" s="645"/>
      <c r="DW107" s="645"/>
      <c r="DX107" s="645"/>
      <c r="DY107" s="645"/>
      <c r="DZ107" s="645"/>
      <c r="EA107" s="645"/>
      <c r="EB107" s="645"/>
      <c r="EC107" s="645"/>
      <c r="ED107" s="645"/>
      <c r="EE107" s="645"/>
      <c r="EF107" s="645"/>
      <c r="EG107" s="645"/>
      <c r="EH107" s="645"/>
      <c r="EI107" s="645"/>
      <c r="EJ107" s="645"/>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47"/>
      <c r="FN107" s="47"/>
      <c r="FO107" s="47"/>
      <c r="FP107" s="47"/>
      <c r="FQ107" s="47"/>
      <c r="FR107" s="47"/>
      <c r="FS107" s="47"/>
      <c r="FT107" s="47"/>
      <c r="FU107" s="47"/>
      <c r="FV107" s="47"/>
      <c r="FW107" s="47"/>
      <c r="FX107" s="47"/>
      <c r="FY107" s="47"/>
      <c r="FZ107" s="47"/>
      <c r="GA107" s="49"/>
      <c r="GB107" s="49"/>
      <c r="GC107" s="49"/>
      <c r="GD107" s="49"/>
      <c r="GE107" s="49"/>
      <c r="GF107" s="49"/>
      <c r="GG107" s="49"/>
      <c r="GH107" s="49"/>
      <c r="GI107" s="49"/>
      <c r="GJ107" s="49"/>
      <c r="GK107" s="49"/>
      <c r="GL107" s="49"/>
      <c r="GM107" s="49"/>
      <c r="GN107" s="49"/>
      <c r="GO107" s="49"/>
      <c r="GP107" s="49"/>
      <c r="GQ107" s="49"/>
      <c r="GR107" s="49"/>
      <c r="GS107" s="49"/>
      <c r="GT107" s="49"/>
      <c r="GU107" s="49"/>
      <c r="GV107" s="49"/>
      <c r="GW107" s="49"/>
      <c r="GX107" s="49"/>
      <c r="GY107" s="49"/>
      <c r="GZ107" s="49"/>
      <c r="HA107" s="49"/>
      <c r="HB107" s="49"/>
      <c r="HC107" s="49"/>
      <c r="HD107" s="49"/>
      <c r="HE107" s="49"/>
      <c r="HF107" s="49"/>
      <c r="HG107" s="49"/>
      <c r="HH107" s="49"/>
      <c r="HI107" s="49"/>
      <c r="HJ107" s="49"/>
      <c r="HK107" s="49"/>
      <c r="HL107" s="49"/>
      <c r="HM107" s="49"/>
    </row>
    <row r="108" spans="1:221" ht="3.75" customHeight="1">
      <c r="A108" s="1"/>
      <c r="B108" s="3"/>
      <c r="C108" s="3"/>
      <c r="D108" s="38"/>
      <c r="E108" s="43">
        <v>39</v>
      </c>
      <c r="F108" s="43" t="e">
        <f ca="1">E108*AB105/40</f>
        <v>#VALUE!</v>
      </c>
      <c r="G108" s="79"/>
      <c r="H108" s="79"/>
      <c r="I108" s="79"/>
      <c r="J108" s="79"/>
      <c r="K108" s="43"/>
      <c r="L108" s="43"/>
      <c r="M108" s="43"/>
      <c r="N108" s="43"/>
      <c r="O108" s="79"/>
      <c r="P108" s="79"/>
      <c r="Q108" s="43"/>
      <c r="R108" s="43"/>
      <c r="S108" s="43"/>
      <c r="T108" s="43"/>
      <c r="U108" s="43"/>
      <c r="V108" s="43"/>
      <c r="W108" s="43"/>
      <c r="X108" s="43"/>
      <c r="Y108" s="38"/>
      <c r="Z108" s="38"/>
      <c r="AA108" s="43"/>
      <c r="AB108" s="647"/>
      <c r="AC108" s="647"/>
      <c r="AD108" s="647"/>
      <c r="AE108" s="647"/>
      <c r="AF108" s="647"/>
      <c r="AG108" s="647"/>
      <c r="AH108" s="647"/>
      <c r="AI108" s="647"/>
      <c r="AJ108" s="647"/>
      <c r="AK108" s="647"/>
      <c r="AL108" s="43"/>
      <c r="AM108" s="126"/>
      <c r="AN108" s="43" t="str">
        <f ca="1">IF(FU96=0,"","`")</f>
        <v/>
      </c>
      <c r="AO108" s="215" t="str">
        <f ca="1">IF(FU96=0,"",IF(BC96="","",IF(BC96=0,"",IF(BC96=BX150,"",IF(AND(FO94&gt;=F108,BC96&gt;=AO155),"-","")))))</f>
        <v/>
      </c>
      <c r="AP108" s="197" t="str">
        <f ca="1">IF(FU96=0,"",":")</f>
        <v/>
      </c>
      <c r="AQ108" s="197"/>
      <c r="AR108" s="197"/>
      <c r="AS108" s="197"/>
      <c r="AT108" s="197"/>
      <c r="AU108" s="197"/>
      <c r="AV108" s="197"/>
      <c r="AW108" s="197"/>
      <c r="AX108" s="197"/>
      <c r="AY108" s="197"/>
      <c r="AZ108" s="197"/>
      <c r="BA108" s="197"/>
      <c r="BB108" s="197"/>
      <c r="BC108" s="197"/>
      <c r="BD108" s="197"/>
      <c r="BE108" s="197"/>
      <c r="BF108" s="197"/>
      <c r="BG108" s="197"/>
      <c r="BH108" s="197"/>
      <c r="BI108" s="197"/>
      <c r="BJ108" s="215"/>
      <c r="BK108" s="215"/>
      <c r="BL108" s="645"/>
      <c r="BM108" s="645"/>
      <c r="BN108" s="645"/>
      <c r="BO108" s="645"/>
      <c r="BP108" s="645"/>
      <c r="BQ108" s="645"/>
      <c r="BR108" s="645"/>
      <c r="BS108" s="645"/>
      <c r="BT108" s="645"/>
      <c r="BU108" s="645"/>
      <c r="BV108" s="645"/>
      <c r="BW108" s="645"/>
      <c r="BX108" s="645"/>
      <c r="BY108" s="645"/>
      <c r="BZ108" s="645"/>
      <c r="CA108" s="645"/>
      <c r="CB108" s="645"/>
      <c r="CC108" s="645"/>
      <c r="CD108" s="645"/>
      <c r="CE108" s="645"/>
      <c r="CF108" s="645"/>
      <c r="CG108" s="645"/>
      <c r="CH108" s="645"/>
      <c r="CI108" s="645"/>
      <c r="CJ108" s="645"/>
      <c r="CK108" s="645"/>
      <c r="CL108" s="645"/>
      <c r="CM108" s="645"/>
      <c r="CN108" s="645"/>
      <c r="CO108" s="645"/>
      <c r="CP108" s="645"/>
      <c r="CQ108" s="645"/>
      <c r="CR108" s="645"/>
      <c r="CS108" s="645"/>
      <c r="CT108" s="645"/>
      <c r="CU108" s="645"/>
      <c r="CV108" s="645"/>
      <c r="CW108" s="645"/>
      <c r="CX108" s="645"/>
      <c r="CY108" s="645"/>
      <c r="CZ108" s="645"/>
      <c r="DA108" s="645"/>
      <c r="DB108" s="645"/>
      <c r="DC108" s="645"/>
      <c r="DD108" s="645"/>
      <c r="DE108" s="645"/>
      <c r="DF108" s="645"/>
      <c r="DG108" s="645"/>
      <c r="DH108" s="645"/>
      <c r="DI108" s="645"/>
      <c r="DJ108" s="645"/>
      <c r="DK108" s="645"/>
      <c r="DL108" s="645"/>
      <c r="DM108" s="645"/>
      <c r="DN108" s="645"/>
      <c r="DO108" s="645"/>
      <c r="DP108" s="645"/>
      <c r="DQ108" s="645"/>
      <c r="DR108" s="645"/>
      <c r="DS108" s="645"/>
      <c r="DT108" s="645"/>
      <c r="DU108" s="645"/>
      <c r="DV108" s="645"/>
      <c r="DW108" s="645"/>
      <c r="DX108" s="645"/>
      <c r="DY108" s="645"/>
      <c r="DZ108" s="645"/>
      <c r="EA108" s="645"/>
      <c r="EB108" s="645"/>
      <c r="EC108" s="645"/>
      <c r="ED108" s="645"/>
      <c r="EE108" s="645"/>
      <c r="EF108" s="645"/>
      <c r="EG108" s="645"/>
      <c r="EH108" s="645"/>
      <c r="EI108" s="645"/>
      <c r="EJ108" s="645"/>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47"/>
      <c r="FN108" s="47"/>
      <c r="FO108" s="47"/>
      <c r="FP108" s="47"/>
      <c r="FQ108" s="47"/>
      <c r="FR108" s="47"/>
      <c r="FS108" s="47"/>
      <c r="FT108" s="47"/>
      <c r="FU108" s="47"/>
      <c r="FV108" s="47"/>
      <c r="FW108" s="47"/>
      <c r="FX108" s="47"/>
      <c r="FY108" s="47"/>
      <c r="FZ108" s="47"/>
      <c r="GA108" s="49"/>
      <c r="GB108" s="49"/>
      <c r="GC108" s="49"/>
      <c r="GD108" s="49"/>
      <c r="GE108" s="49"/>
      <c r="GF108" s="49"/>
      <c r="GG108" s="49"/>
      <c r="GH108" s="49"/>
      <c r="GI108" s="49"/>
      <c r="GJ108" s="49"/>
      <c r="GK108" s="49"/>
      <c r="GL108" s="49"/>
      <c r="GM108" s="49"/>
      <c r="GN108" s="49"/>
      <c r="GO108" s="49"/>
      <c r="GP108" s="49"/>
      <c r="GQ108" s="49"/>
      <c r="GR108" s="49"/>
      <c r="GS108" s="49"/>
      <c r="GT108" s="49"/>
      <c r="GU108" s="49"/>
      <c r="GV108" s="49"/>
      <c r="GW108" s="49"/>
      <c r="GX108" s="49"/>
      <c r="GY108" s="49"/>
      <c r="GZ108" s="49"/>
      <c r="HA108" s="49"/>
      <c r="HB108" s="49"/>
      <c r="HC108" s="49"/>
      <c r="HD108" s="49"/>
      <c r="HE108" s="49"/>
      <c r="HF108" s="49"/>
      <c r="HG108" s="49"/>
      <c r="HH108" s="49"/>
      <c r="HI108" s="49"/>
      <c r="HJ108" s="49"/>
      <c r="HK108" s="49"/>
      <c r="HL108" s="49"/>
      <c r="HM108" s="49"/>
    </row>
    <row r="109" spans="1:221" ht="3.75" customHeight="1">
      <c r="A109" s="1"/>
      <c r="B109" s="3"/>
      <c r="C109" s="3"/>
      <c r="D109" s="38"/>
      <c r="E109" s="43">
        <v>38</v>
      </c>
      <c r="F109" s="43" t="e">
        <f ca="1">E109*AB105/40</f>
        <v>#VALUE!</v>
      </c>
      <c r="G109" s="79"/>
      <c r="H109" s="79"/>
      <c r="I109" s="79"/>
      <c r="J109" s="79"/>
      <c r="K109" s="43"/>
      <c r="L109" s="43"/>
      <c r="M109" s="43"/>
      <c r="N109" s="43"/>
      <c r="O109" s="79"/>
      <c r="P109" s="79"/>
      <c r="Q109" s="43"/>
      <c r="R109" s="43"/>
      <c r="S109" s="43"/>
      <c r="T109" s="43"/>
      <c r="U109" s="43"/>
      <c r="V109" s="43"/>
      <c r="W109" s="43"/>
      <c r="X109" s="43"/>
      <c r="Y109" s="38"/>
      <c r="Z109" s="38"/>
      <c r="AA109" s="43"/>
      <c r="AB109" s="43"/>
      <c r="AC109" s="43"/>
      <c r="AD109" s="43"/>
      <c r="AE109" s="43"/>
      <c r="AF109" s="43"/>
      <c r="AG109" s="43"/>
      <c r="AH109" s="43"/>
      <c r="AI109" s="43"/>
      <c r="AJ109" s="43"/>
      <c r="AK109" s="43"/>
      <c r="AL109" s="43"/>
      <c r="AM109" s="126"/>
      <c r="AN109" s="43" t="str">
        <f ca="1">IF(FU96=0,"","`")</f>
        <v/>
      </c>
      <c r="AO109" s="215" t="str">
        <f ca="1">IF(FU96=0,"",IF(BC96="","",IF(BC96=0,"",IF(BC96=BX150,"",IF(AND(FO94&gt;=F109,BC96&gt;=AO155),"-","")))))</f>
        <v/>
      </c>
      <c r="AP109" s="215" t="str">
        <f ca="1">IF(FU96=0,"",IF(BC96="","",IF(BC96=0,"",IF(BC96=BX150,"",IF(AND(FO94&gt;=F109,BC96&gt;=AP155),"-","")))))</f>
        <v/>
      </c>
      <c r="AQ109" s="197" t="str">
        <f ca="1">IF(FU96=0,"",":")</f>
        <v/>
      </c>
      <c r="AR109" s="197"/>
      <c r="AS109" s="197"/>
      <c r="AT109" s="197"/>
      <c r="AU109" s="197"/>
      <c r="AV109" s="197"/>
      <c r="AW109" s="197"/>
      <c r="AX109" s="197"/>
      <c r="AY109" s="197"/>
      <c r="AZ109" s="197"/>
      <c r="BA109" s="197"/>
      <c r="BB109" s="197"/>
      <c r="BC109" s="197"/>
      <c r="BD109" s="197"/>
      <c r="BE109" s="197"/>
      <c r="BF109" s="197"/>
      <c r="BG109" s="197"/>
      <c r="BH109" s="197"/>
      <c r="BI109" s="197"/>
      <c r="BJ109" s="215"/>
      <c r="BK109" s="215"/>
      <c r="BL109" s="645"/>
      <c r="BM109" s="645"/>
      <c r="BN109" s="645"/>
      <c r="BO109" s="645"/>
      <c r="BP109" s="645"/>
      <c r="BQ109" s="645"/>
      <c r="BR109" s="645"/>
      <c r="BS109" s="645"/>
      <c r="BT109" s="645"/>
      <c r="BU109" s="645"/>
      <c r="BV109" s="645"/>
      <c r="BW109" s="645"/>
      <c r="BX109" s="645"/>
      <c r="BY109" s="645"/>
      <c r="BZ109" s="645"/>
      <c r="CA109" s="645"/>
      <c r="CB109" s="645"/>
      <c r="CC109" s="645"/>
      <c r="CD109" s="645"/>
      <c r="CE109" s="645"/>
      <c r="CF109" s="645"/>
      <c r="CG109" s="645"/>
      <c r="CH109" s="645"/>
      <c r="CI109" s="645"/>
      <c r="CJ109" s="645"/>
      <c r="CK109" s="645"/>
      <c r="CL109" s="645"/>
      <c r="CM109" s="645"/>
      <c r="CN109" s="645"/>
      <c r="CO109" s="645"/>
      <c r="CP109" s="645"/>
      <c r="CQ109" s="645"/>
      <c r="CR109" s="645"/>
      <c r="CS109" s="645"/>
      <c r="CT109" s="645"/>
      <c r="CU109" s="645"/>
      <c r="CV109" s="645"/>
      <c r="CW109" s="645"/>
      <c r="CX109" s="645"/>
      <c r="CY109" s="645"/>
      <c r="CZ109" s="645"/>
      <c r="DA109" s="645"/>
      <c r="DB109" s="645"/>
      <c r="DC109" s="645"/>
      <c r="DD109" s="645"/>
      <c r="DE109" s="645"/>
      <c r="DF109" s="645"/>
      <c r="DG109" s="645"/>
      <c r="DH109" s="645"/>
      <c r="DI109" s="645"/>
      <c r="DJ109" s="645"/>
      <c r="DK109" s="645"/>
      <c r="DL109" s="645"/>
      <c r="DM109" s="645"/>
      <c r="DN109" s="645"/>
      <c r="DO109" s="645"/>
      <c r="DP109" s="645"/>
      <c r="DQ109" s="645"/>
      <c r="DR109" s="645"/>
      <c r="DS109" s="645"/>
      <c r="DT109" s="645"/>
      <c r="DU109" s="645"/>
      <c r="DV109" s="645"/>
      <c r="DW109" s="645"/>
      <c r="DX109" s="645"/>
      <c r="DY109" s="645"/>
      <c r="DZ109" s="645"/>
      <c r="EA109" s="645"/>
      <c r="EB109" s="645"/>
      <c r="EC109" s="645"/>
      <c r="ED109" s="645"/>
      <c r="EE109" s="645"/>
      <c r="EF109" s="645"/>
      <c r="EG109" s="645"/>
      <c r="EH109" s="645"/>
      <c r="EI109" s="645"/>
      <c r="EJ109" s="645"/>
      <c r="EK109" s="79"/>
      <c r="EL109" s="79"/>
      <c r="EM109" s="79"/>
      <c r="EN109" s="79"/>
      <c r="EO109" s="79"/>
      <c r="EP109" s="79"/>
      <c r="EQ109" s="79"/>
      <c r="ER109" s="79"/>
      <c r="ES109" s="79"/>
      <c r="ET109" s="79"/>
      <c r="EU109" s="79"/>
      <c r="EV109" s="79"/>
      <c r="EW109" s="79"/>
      <c r="EX109" s="79"/>
      <c r="EY109" s="79"/>
      <c r="EZ109" s="79"/>
      <c r="FA109" s="79"/>
      <c r="FB109" s="79"/>
      <c r="FC109" s="79"/>
      <c r="FD109" s="79"/>
      <c r="FE109" s="79"/>
      <c r="FF109" s="79"/>
      <c r="FG109" s="79"/>
      <c r="FH109" s="79"/>
      <c r="FI109" s="79"/>
      <c r="FJ109" s="79"/>
      <c r="FK109" s="79"/>
      <c r="FL109" s="79"/>
      <c r="FM109" s="47"/>
      <c r="FN109" s="47"/>
      <c r="FO109" s="47"/>
      <c r="FP109" s="47"/>
      <c r="FQ109" s="47"/>
      <c r="FR109" s="47"/>
      <c r="FS109" s="47"/>
      <c r="FT109" s="47"/>
      <c r="FU109" s="47"/>
      <c r="FV109" s="47"/>
      <c r="FW109" s="47"/>
      <c r="FX109" s="47"/>
      <c r="FY109" s="47"/>
      <c r="FZ109" s="47"/>
      <c r="GA109" s="49"/>
      <c r="GB109" s="49"/>
      <c r="GC109" s="49"/>
      <c r="GD109" s="49"/>
      <c r="GE109" s="49"/>
      <c r="GF109" s="49"/>
      <c r="GG109" s="49"/>
      <c r="GH109" s="49"/>
      <c r="GI109" s="49"/>
      <c r="GJ109" s="49"/>
      <c r="GK109" s="49"/>
      <c r="GL109" s="49"/>
      <c r="GM109" s="49"/>
      <c r="GN109" s="49"/>
      <c r="GO109" s="49"/>
      <c r="GP109" s="49"/>
      <c r="GQ109" s="49"/>
      <c r="GR109" s="49"/>
      <c r="GS109" s="49"/>
      <c r="GT109" s="49"/>
      <c r="GU109" s="49"/>
      <c r="GV109" s="49"/>
      <c r="GW109" s="49"/>
      <c r="GX109" s="49"/>
      <c r="GY109" s="49"/>
      <c r="GZ109" s="49"/>
      <c r="HA109" s="49"/>
      <c r="HB109" s="49"/>
      <c r="HC109" s="49"/>
      <c r="HD109" s="49"/>
      <c r="HE109" s="49"/>
      <c r="HF109" s="49"/>
      <c r="HG109" s="49"/>
      <c r="HH109" s="49"/>
      <c r="HI109" s="49"/>
      <c r="HJ109" s="49"/>
      <c r="HK109" s="49"/>
      <c r="HL109" s="49"/>
      <c r="HM109" s="49"/>
    </row>
    <row r="110" spans="1:221" ht="3.75" customHeight="1">
      <c r="A110" s="1"/>
      <c r="B110" s="3"/>
      <c r="C110" s="3"/>
      <c r="D110" s="38"/>
      <c r="E110" s="43">
        <v>37</v>
      </c>
      <c r="F110" s="43" t="e">
        <f ca="1">E110*AB105/40</f>
        <v>#VALUE!</v>
      </c>
      <c r="G110" s="79"/>
      <c r="H110" s="79"/>
      <c r="I110" s="79"/>
      <c r="J110" s="79"/>
      <c r="K110" s="43"/>
      <c r="L110" s="43"/>
      <c r="M110" s="43"/>
      <c r="N110" s="43"/>
      <c r="O110" s="79"/>
      <c r="P110" s="79"/>
      <c r="Q110" s="43"/>
      <c r="R110" s="43"/>
      <c r="S110" s="43"/>
      <c r="T110" s="43"/>
      <c r="U110" s="43"/>
      <c r="V110" s="43"/>
      <c r="W110" s="43"/>
      <c r="X110" s="43"/>
      <c r="Y110" s="38"/>
      <c r="Z110" s="38"/>
      <c r="AA110" s="38"/>
      <c r="AB110" s="38"/>
      <c r="AC110" s="38"/>
      <c r="AD110" s="126"/>
      <c r="AE110" s="126"/>
      <c r="AF110" s="126"/>
      <c r="AG110" s="126"/>
      <c r="AH110" s="126"/>
      <c r="AI110" s="126"/>
      <c r="AJ110" s="126"/>
      <c r="AK110" s="126"/>
      <c r="AL110" s="126"/>
      <c r="AM110" s="126"/>
      <c r="AN110" s="43" t="str">
        <f ca="1">IF(FU96=0,"","`")</f>
        <v/>
      </c>
      <c r="AO110" s="215" t="str">
        <f ca="1">IF(FU96=0,"",IF(BC96="","",IF(BC96=0,"",IF(BC96=BX150,"",IF(AND(FO94&gt;=F110,BC96&gt;=AO155),"-","")))))</f>
        <v/>
      </c>
      <c r="AP110" s="215" t="str">
        <f ca="1">IF(FU96=0,"",IF(BC96="","",IF(BC96=0,"",IF(BC96=BX150,"",IF(AND(FO94&gt;=F110,BC96&gt;=AP155),"-","")))))</f>
        <v/>
      </c>
      <c r="AQ110" s="215" t="str">
        <f ca="1">IF(FU96=0,"",IF(BC96="","",IF(BC96=0,"",IF(BC96=BX150,"",IF(AND(FO94&gt;=F110,BC96&gt;=AQ155),"-","")))))</f>
        <v/>
      </c>
      <c r="AR110" s="197" t="str">
        <f ca="1">IF(FU96=0,"",":")</f>
        <v/>
      </c>
      <c r="AS110" s="197"/>
      <c r="AT110" s="197"/>
      <c r="AU110" s="197"/>
      <c r="AV110" s="197"/>
      <c r="AW110" s="197"/>
      <c r="AX110" s="197"/>
      <c r="AY110" s="197"/>
      <c r="AZ110" s="197"/>
      <c r="BA110" s="197"/>
      <c r="BB110" s="197"/>
      <c r="BC110" s="197"/>
      <c r="BD110" s="197"/>
      <c r="BE110" s="197"/>
      <c r="BF110" s="197"/>
      <c r="BG110" s="197"/>
      <c r="BH110" s="197"/>
      <c r="BI110" s="197"/>
      <c r="BJ110" s="215"/>
      <c r="BK110" s="215"/>
      <c r="BL110" s="645"/>
      <c r="BM110" s="645"/>
      <c r="BN110" s="645"/>
      <c r="BO110" s="645"/>
      <c r="BP110" s="645"/>
      <c r="BQ110" s="645"/>
      <c r="BR110" s="645"/>
      <c r="BS110" s="645"/>
      <c r="BT110" s="645"/>
      <c r="BU110" s="645"/>
      <c r="BV110" s="645"/>
      <c r="BW110" s="645"/>
      <c r="BX110" s="645"/>
      <c r="BY110" s="645"/>
      <c r="BZ110" s="645"/>
      <c r="CA110" s="645"/>
      <c r="CB110" s="645"/>
      <c r="CC110" s="645"/>
      <c r="CD110" s="645"/>
      <c r="CE110" s="645"/>
      <c r="CF110" s="645"/>
      <c r="CG110" s="645"/>
      <c r="CH110" s="645"/>
      <c r="CI110" s="645"/>
      <c r="CJ110" s="645"/>
      <c r="CK110" s="645"/>
      <c r="CL110" s="645"/>
      <c r="CM110" s="645"/>
      <c r="CN110" s="645"/>
      <c r="CO110" s="645"/>
      <c r="CP110" s="645"/>
      <c r="CQ110" s="645"/>
      <c r="CR110" s="645"/>
      <c r="CS110" s="645"/>
      <c r="CT110" s="645"/>
      <c r="CU110" s="645"/>
      <c r="CV110" s="645"/>
      <c r="CW110" s="645"/>
      <c r="CX110" s="645"/>
      <c r="CY110" s="645"/>
      <c r="CZ110" s="645"/>
      <c r="DA110" s="645"/>
      <c r="DB110" s="645"/>
      <c r="DC110" s="645"/>
      <c r="DD110" s="645"/>
      <c r="DE110" s="645"/>
      <c r="DF110" s="645"/>
      <c r="DG110" s="645"/>
      <c r="DH110" s="645"/>
      <c r="DI110" s="645"/>
      <c r="DJ110" s="645"/>
      <c r="DK110" s="645"/>
      <c r="DL110" s="645"/>
      <c r="DM110" s="645"/>
      <c r="DN110" s="645"/>
      <c r="DO110" s="645"/>
      <c r="DP110" s="645"/>
      <c r="DQ110" s="645"/>
      <c r="DR110" s="645"/>
      <c r="DS110" s="645"/>
      <c r="DT110" s="645"/>
      <c r="DU110" s="645"/>
      <c r="DV110" s="645"/>
      <c r="DW110" s="645"/>
      <c r="DX110" s="645"/>
      <c r="DY110" s="645"/>
      <c r="DZ110" s="645"/>
      <c r="EA110" s="645"/>
      <c r="EB110" s="645"/>
      <c r="EC110" s="645"/>
      <c r="ED110" s="645"/>
      <c r="EE110" s="645"/>
      <c r="EF110" s="645"/>
      <c r="EG110" s="645"/>
      <c r="EH110" s="645"/>
      <c r="EI110" s="645"/>
      <c r="EJ110" s="645"/>
      <c r="EK110" s="79"/>
      <c r="EL110" s="79"/>
      <c r="EM110" s="79"/>
      <c r="EN110" s="79"/>
      <c r="EO110" s="79"/>
      <c r="EP110" s="79"/>
      <c r="EQ110" s="79"/>
      <c r="ER110" s="79"/>
      <c r="ES110" s="79"/>
      <c r="ET110" s="79"/>
      <c r="EU110" s="79"/>
      <c r="EV110" s="79"/>
      <c r="EW110" s="79"/>
      <c r="EX110" s="79"/>
      <c r="EY110" s="79"/>
      <c r="EZ110" s="79"/>
      <c r="FA110" s="79"/>
      <c r="FB110" s="79"/>
      <c r="FC110" s="79"/>
      <c r="FD110" s="79"/>
      <c r="FE110" s="79"/>
      <c r="FF110" s="79"/>
      <c r="FG110" s="79"/>
      <c r="FH110" s="79"/>
      <c r="FI110" s="79"/>
      <c r="FJ110" s="79"/>
      <c r="FK110" s="79"/>
      <c r="FL110" s="79"/>
      <c r="FM110" s="47"/>
      <c r="FN110" s="47"/>
      <c r="FO110" s="47"/>
      <c r="FP110" s="47"/>
      <c r="FQ110" s="47"/>
      <c r="FR110" s="47"/>
      <c r="FS110" s="47"/>
      <c r="FT110" s="47"/>
      <c r="FU110" s="47"/>
      <c r="FV110" s="47"/>
      <c r="FW110" s="47"/>
      <c r="FX110" s="47"/>
      <c r="FY110" s="47"/>
      <c r="FZ110" s="47"/>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row>
    <row r="111" spans="1:221" ht="3.75" customHeight="1">
      <c r="A111" s="1"/>
      <c r="B111" s="3"/>
      <c r="C111" s="3"/>
      <c r="D111" s="38"/>
      <c r="E111" s="43">
        <v>36</v>
      </c>
      <c r="F111" s="43" t="e">
        <f ca="1">E111*AB105/40</f>
        <v>#VALUE!</v>
      </c>
      <c r="G111" s="79"/>
      <c r="H111" s="79"/>
      <c r="I111" s="79"/>
      <c r="J111" s="79"/>
      <c r="K111" s="43"/>
      <c r="L111" s="43"/>
      <c r="M111" s="43"/>
      <c r="N111" s="43"/>
      <c r="O111" s="79"/>
      <c r="P111" s="79"/>
      <c r="Q111" s="43"/>
      <c r="R111" s="43"/>
      <c r="S111" s="43"/>
      <c r="T111" s="43"/>
      <c r="U111" s="43"/>
      <c r="V111" s="43"/>
      <c r="W111" s="43"/>
      <c r="X111" s="43"/>
      <c r="Y111" s="38"/>
      <c r="Z111" s="38"/>
      <c r="AA111" s="79"/>
      <c r="AB111" s="79"/>
      <c r="AC111" s="79"/>
      <c r="AD111" s="79"/>
      <c r="AE111" s="79"/>
      <c r="AF111" s="79"/>
      <c r="AG111" s="79"/>
      <c r="AH111" s="79"/>
      <c r="AI111" s="79"/>
      <c r="AJ111" s="79"/>
      <c r="AK111" s="79"/>
      <c r="AL111" s="79"/>
      <c r="AM111" s="126"/>
      <c r="AN111" s="43" t="str">
        <f ca="1">IF(FU96=0,"","`")</f>
        <v/>
      </c>
      <c r="AO111" s="215" t="str">
        <f ca="1">IF(FU96=0,"",IF(BC96="","",IF(BC96=0,"",IF(BC96=BX150,"",IF(AND(FO94&gt;=F111,BC96&gt;=AO155),"-","")))))</f>
        <v/>
      </c>
      <c r="AP111" s="215" t="str">
        <f ca="1">IF(FU96=0,"",IF(BC96="","",IF(BC96=0,"",IF(BC96=BX150,"",IF(AND(FO94&gt;=F111,BC96&gt;=AP155),"-","")))))</f>
        <v/>
      </c>
      <c r="AQ111" s="215" t="str">
        <f ca="1">IF(FU96=0,"",IF(BC96="","",IF(BC96=0,"",IF(BC96=BX150,"",IF(AND(FO94&gt;=F111,BC96&gt;=AQ155),"-","")))))</f>
        <v/>
      </c>
      <c r="AR111" s="215" t="str">
        <f ca="1">IF(FU96=0,"",IF(BC96="","",IF(BC96=0,"",IF(BC96=BX150,"",IF(AND(FO94&gt;=F111,BC96&gt;=AR155),"-","")))))</f>
        <v/>
      </c>
      <c r="AS111" s="197" t="str">
        <f ca="1">IF(FU96=0,"",":")</f>
        <v/>
      </c>
      <c r="AT111" s="197"/>
      <c r="AU111" s="197"/>
      <c r="AV111" s="197"/>
      <c r="AW111" s="197"/>
      <c r="AX111" s="197"/>
      <c r="AY111" s="197"/>
      <c r="AZ111" s="197"/>
      <c r="BA111" s="197"/>
      <c r="BB111" s="197"/>
      <c r="BC111" s="197"/>
      <c r="BD111" s="197"/>
      <c r="BE111" s="197"/>
      <c r="BF111" s="197"/>
      <c r="BG111" s="197"/>
      <c r="BH111" s="197"/>
      <c r="BI111" s="197"/>
      <c r="BJ111" s="215"/>
      <c r="BK111" s="215"/>
      <c r="BL111" s="645"/>
      <c r="BM111" s="645"/>
      <c r="BN111" s="645"/>
      <c r="BO111" s="645"/>
      <c r="BP111" s="645"/>
      <c r="BQ111" s="645"/>
      <c r="BR111" s="645"/>
      <c r="BS111" s="645"/>
      <c r="BT111" s="645"/>
      <c r="BU111" s="645"/>
      <c r="BV111" s="645"/>
      <c r="BW111" s="645"/>
      <c r="BX111" s="645"/>
      <c r="BY111" s="645"/>
      <c r="BZ111" s="645"/>
      <c r="CA111" s="645"/>
      <c r="CB111" s="645"/>
      <c r="CC111" s="645"/>
      <c r="CD111" s="645"/>
      <c r="CE111" s="645"/>
      <c r="CF111" s="645"/>
      <c r="CG111" s="645"/>
      <c r="CH111" s="645"/>
      <c r="CI111" s="645"/>
      <c r="CJ111" s="645"/>
      <c r="CK111" s="645"/>
      <c r="CL111" s="645"/>
      <c r="CM111" s="645"/>
      <c r="CN111" s="645"/>
      <c r="CO111" s="645"/>
      <c r="CP111" s="645"/>
      <c r="CQ111" s="645"/>
      <c r="CR111" s="645"/>
      <c r="CS111" s="645"/>
      <c r="CT111" s="645"/>
      <c r="CU111" s="645"/>
      <c r="CV111" s="645"/>
      <c r="CW111" s="645"/>
      <c r="CX111" s="645"/>
      <c r="CY111" s="645"/>
      <c r="CZ111" s="645"/>
      <c r="DA111" s="645"/>
      <c r="DB111" s="645"/>
      <c r="DC111" s="645"/>
      <c r="DD111" s="645"/>
      <c r="DE111" s="645"/>
      <c r="DF111" s="645"/>
      <c r="DG111" s="645"/>
      <c r="DH111" s="645"/>
      <c r="DI111" s="645"/>
      <c r="DJ111" s="645"/>
      <c r="DK111" s="645"/>
      <c r="DL111" s="645"/>
      <c r="DM111" s="645"/>
      <c r="DN111" s="645"/>
      <c r="DO111" s="645"/>
      <c r="DP111" s="645"/>
      <c r="DQ111" s="645"/>
      <c r="DR111" s="645"/>
      <c r="DS111" s="645"/>
      <c r="DT111" s="645"/>
      <c r="DU111" s="645"/>
      <c r="DV111" s="645"/>
      <c r="DW111" s="645"/>
      <c r="DX111" s="645"/>
      <c r="DY111" s="645"/>
      <c r="DZ111" s="645"/>
      <c r="EA111" s="645"/>
      <c r="EB111" s="645"/>
      <c r="EC111" s="645"/>
      <c r="ED111" s="645"/>
      <c r="EE111" s="645"/>
      <c r="EF111" s="645"/>
      <c r="EG111" s="645"/>
      <c r="EH111" s="645"/>
      <c r="EI111" s="645"/>
      <c r="EJ111" s="645"/>
      <c r="EK111" s="79"/>
      <c r="EL111" s="79"/>
      <c r="EM111" s="79"/>
      <c r="EN111" s="79"/>
      <c r="EO111" s="79"/>
      <c r="EP111" s="79"/>
      <c r="EQ111" s="79"/>
      <c r="ER111" s="79"/>
      <c r="ES111" s="79"/>
      <c r="ET111" s="79"/>
      <c r="EU111" s="79"/>
      <c r="EV111" s="79"/>
      <c r="EW111" s="79"/>
      <c r="EX111" s="79"/>
      <c r="EY111" s="79"/>
      <c r="EZ111" s="79"/>
      <c r="FA111" s="79"/>
      <c r="FB111" s="79"/>
      <c r="FC111" s="79"/>
      <c r="FD111" s="79"/>
      <c r="FE111" s="79"/>
      <c r="FF111" s="79"/>
      <c r="FG111" s="79"/>
      <c r="FH111" s="79"/>
      <c r="FI111" s="79"/>
      <c r="FJ111" s="79"/>
      <c r="FK111" s="79"/>
      <c r="FL111" s="79"/>
      <c r="FM111" s="47"/>
      <c r="FN111" s="47"/>
      <c r="FO111" s="47"/>
      <c r="FP111" s="47"/>
      <c r="FQ111" s="47"/>
      <c r="FR111" s="47"/>
      <c r="FS111" s="47"/>
      <c r="FT111" s="47"/>
      <c r="FU111" s="47"/>
      <c r="FV111" s="47"/>
      <c r="FW111" s="47"/>
      <c r="FX111" s="47"/>
      <c r="FY111" s="47"/>
      <c r="FZ111" s="47"/>
      <c r="GA111" s="49"/>
      <c r="GB111" s="49"/>
      <c r="GC111" s="49"/>
      <c r="GD111" s="49"/>
      <c r="GE111" s="49"/>
      <c r="GF111" s="49"/>
      <c r="GG111" s="49"/>
      <c r="GH111" s="49"/>
      <c r="GI111" s="49"/>
      <c r="GJ111" s="49"/>
      <c r="GK111" s="49"/>
      <c r="GL111" s="49"/>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row>
    <row r="112" spans="1:221" ht="3.75" customHeight="1">
      <c r="A112" s="1"/>
      <c r="B112" s="3"/>
      <c r="C112" s="3"/>
      <c r="D112" s="38"/>
      <c r="E112" s="43">
        <v>35</v>
      </c>
      <c r="F112" s="43" t="e">
        <f ca="1">E112*AB105/40</f>
        <v>#VALUE!</v>
      </c>
      <c r="G112" s="79"/>
      <c r="H112" s="79"/>
      <c r="I112" s="79"/>
      <c r="J112" s="79"/>
      <c r="K112" s="43"/>
      <c r="L112" s="43"/>
      <c r="M112" s="43"/>
      <c r="N112" s="43"/>
      <c r="O112" s="79"/>
      <c r="P112" s="79"/>
      <c r="Q112" s="43"/>
      <c r="R112" s="43"/>
      <c r="S112" s="43"/>
      <c r="T112" s="43"/>
      <c r="U112" s="43"/>
      <c r="V112" s="43"/>
      <c r="W112" s="43"/>
      <c r="X112" s="43"/>
      <c r="Y112" s="38"/>
      <c r="Z112" s="38"/>
      <c r="AA112" s="79"/>
      <c r="AB112" s="79"/>
      <c r="AC112" s="79"/>
      <c r="AD112" s="79"/>
      <c r="AE112" s="79"/>
      <c r="AF112" s="79"/>
      <c r="AG112" s="79"/>
      <c r="AH112" s="79"/>
      <c r="AI112" s="79"/>
      <c r="AJ112" s="79"/>
      <c r="AK112" s="79"/>
      <c r="AL112" s="79"/>
      <c r="AM112" s="126"/>
      <c r="AN112" s="43" t="str">
        <f ca="1">IF(FU96=0,"","`")</f>
        <v/>
      </c>
      <c r="AO112" s="215" t="str">
        <f ca="1">IF(FU96=0,"",IF(BC96="","",IF(BC96=0,"",IF(BC96=BX150,"",IF(AND(FO94&gt;=F112,BC96&gt;=AO155),"-","")))))</f>
        <v/>
      </c>
      <c r="AP112" s="215" t="str">
        <f ca="1">IF(FU96=0,"",IF(BC96="","",IF(BC96=0,"",IF(BC96=BX150,"",IF(AND(FO94&gt;=F112,BC96&gt;=AP155),"-","")))))</f>
        <v/>
      </c>
      <c r="AQ112" s="215" t="str">
        <f ca="1">IF(FU96=0,"",IF(BC96="","",IF(BC96=0,"",IF(BC96=BX150,"",IF(AND(FO94&gt;=F112,BC96&gt;=AQ155),"-","")))))</f>
        <v/>
      </c>
      <c r="AR112" s="215" t="str">
        <f ca="1">IF(FU96=0,"",IF(BC96="","",IF(BC96=0,"",IF(BC96=BX150,"",IF(AND(FO94&gt;=F112,BC96&gt;=AR155),"-","")))))</f>
        <v/>
      </c>
      <c r="AS112" s="215" t="str">
        <f ca="1">IF(FU96=0,"",IF(BC96="","",IF(BC96=0,"",IF(BC96=BX150,"",IF(AND(FO94&gt;=F112,BC96&gt;=AS155),"-","")))))</f>
        <v/>
      </c>
      <c r="AT112" s="197" t="str">
        <f ca="1">IF(FU96=0,"",":")</f>
        <v/>
      </c>
      <c r="AU112" s="197"/>
      <c r="AV112" s="197"/>
      <c r="AW112" s="197"/>
      <c r="AX112" s="197"/>
      <c r="AY112" s="197"/>
      <c r="AZ112" s="197"/>
      <c r="BA112" s="197"/>
      <c r="BB112" s="197"/>
      <c r="BC112" s="197"/>
      <c r="BD112" s="197"/>
      <c r="BE112" s="197"/>
      <c r="BF112" s="197"/>
      <c r="BG112" s="197"/>
      <c r="BH112" s="197"/>
      <c r="BI112" s="197"/>
      <c r="BJ112" s="215"/>
      <c r="BK112" s="215"/>
      <c r="BL112" s="645"/>
      <c r="BM112" s="645"/>
      <c r="BN112" s="645"/>
      <c r="BO112" s="645"/>
      <c r="BP112" s="645"/>
      <c r="BQ112" s="645"/>
      <c r="BR112" s="645"/>
      <c r="BS112" s="645"/>
      <c r="BT112" s="645"/>
      <c r="BU112" s="645"/>
      <c r="BV112" s="645"/>
      <c r="BW112" s="645"/>
      <c r="BX112" s="645"/>
      <c r="BY112" s="645"/>
      <c r="BZ112" s="645"/>
      <c r="CA112" s="645"/>
      <c r="CB112" s="645"/>
      <c r="CC112" s="645"/>
      <c r="CD112" s="645"/>
      <c r="CE112" s="645"/>
      <c r="CF112" s="645"/>
      <c r="CG112" s="645"/>
      <c r="CH112" s="645"/>
      <c r="CI112" s="645"/>
      <c r="CJ112" s="645"/>
      <c r="CK112" s="645"/>
      <c r="CL112" s="645"/>
      <c r="CM112" s="645"/>
      <c r="CN112" s="645"/>
      <c r="CO112" s="645"/>
      <c r="CP112" s="645"/>
      <c r="CQ112" s="645"/>
      <c r="CR112" s="645"/>
      <c r="CS112" s="645"/>
      <c r="CT112" s="645"/>
      <c r="CU112" s="645"/>
      <c r="CV112" s="645"/>
      <c r="CW112" s="645"/>
      <c r="CX112" s="645"/>
      <c r="CY112" s="645"/>
      <c r="CZ112" s="645"/>
      <c r="DA112" s="645"/>
      <c r="DB112" s="645"/>
      <c r="DC112" s="645"/>
      <c r="DD112" s="645"/>
      <c r="DE112" s="645"/>
      <c r="DF112" s="645"/>
      <c r="DG112" s="645"/>
      <c r="DH112" s="645"/>
      <c r="DI112" s="645"/>
      <c r="DJ112" s="645"/>
      <c r="DK112" s="645"/>
      <c r="DL112" s="645"/>
      <c r="DM112" s="645"/>
      <c r="DN112" s="645"/>
      <c r="DO112" s="645"/>
      <c r="DP112" s="645"/>
      <c r="DQ112" s="645"/>
      <c r="DR112" s="645"/>
      <c r="DS112" s="645"/>
      <c r="DT112" s="645"/>
      <c r="DU112" s="645"/>
      <c r="DV112" s="645"/>
      <c r="DW112" s="645"/>
      <c r="DX112" s="645"/>
      <c r="DY112" s="645"/>
      <c r="DZ112" s="645"/>
      <c r="EA112" s="645"/>
      <c r="EB112" s="645"/>
      <c r="EC112" s="645"/>
      <c r="ED112" s="645"/>
      <c r="EE112" s="645"/>
      <c r="EF112" s="645"/>
      <c r="EG112" s="645"/>
      <c r="EH112" s="645"/>
      <c r="EI112" s="645"/>
      <c r="EJ112" s="645"/>
      <c r="EK112" s="79"/>
      <c r="EL112" s="79"/>
      <c r="EM112" s="79"/>
      <c r="EN112" s="79"/>
      <c r="EO112" s="79"/>
      <c r="EP112" s="79"/>
      <c r="EQ112" s="79"/>
      <c r="ER112" s="79"/>
      <c r="ES112" s="79"/>
      <c r="ET112" s="79"/>
      <c r="EU112" s="79"/>
      <c r="EV112" s="79"/>
      <c r="EW112" s="79"/>
      <c r="EX112" s="79"/>
      <c r="EY112" s="79"/>
      <c r="EZ112" s="79"/>
      <c r="FA112" s="79"/>
      <c r="FB112" s="79"/>
      <c r="FC112" s="79"/>
      <c r="FD112" s="79"/>
      <c r="FE112" s="79"/>
      <c r="FF112" s="79"/>
      <c r="FG112" s="79"/>
      <c r="FH112" s="79"/>
      <c r="FI112" s="79"/>
      <c r="FJ112" s="79"/>
      <c r="FK112" s="79"/>
      <c r="FL112" s="79"/>
      <c r="FM112" s="47"/>
      <c r="FN112" s="47"/>
      <c r="FO112" s="47"/>
      <c r="FP112" s="47"/>
      <c r="FQ112" s="47"/>
      <c r="FR112" s="47"/>
      <c r="FS112" s="47"/>
      <c r="FT112" s="47"/>
      <c r="FU112" s="47"/>
      <c r="FV112" s="47"/>
      <c r="FW112" s="47"/>
      <c r="FX112" s="47"/>
      <c r="FY112" s="47"/>
      <c r="FZ112" s="47"/>
      <c r="GA112" s="49"/>
      <c r="GB112" s="49"/>
      <c r="GC112" s="49"/>
      <c r="GD112" s="49"/>
      <c r="GE112" s="49"/>
      <c r="GF112" s="49"/>
      <c r="GG112" s="49"/>
      <c r="GH112" s="49"/>
      <c r="GI112" s="49"/>
      <c r="GJ112" s="49"/>
      <c r="GK112" s="49"/>
      <c r="GL112" s="49"/>
      <c r="GM112" s="49"/>
      <c r="GN112" s="49"/>
      <c r="GO112" s="49"/>
      <c r="GP112" s="49"/>
      <c r="GQ112" s="49"/>
      <c r="GR112" s="49"/>
      <c r="GS112" s="49"/>
      <c r="GT112" s="49"/>
      <c r="GU112" s="49"/>
      <c r="GV112" s="49"/>
      <c r="GW112" s="49"/>
      <c r="GX112" s="49"/>
      <c r="GY112" s="49"/>
      <c r="GZ112" s="49"/>
      <c r="HA112" s="49"/>
      <c r="HB112" s="49"/>
      <c r="HC112" s="49"/>
      <c r="HD112" s="49"/>
      <c r="HE112" s="49"/>
      <c r="HF112" s="49"/>
      <c r="HG112" s="49"/>
      <c r="HH112" s="49"/>
      <c r="HI112" s="49"/>
      <c r="HJ112" s="49"/>
      <c r="HK112" s="49"/>
      <c r="HL112" s="49"/>
      <c r="HM112" s="49"/>
    </row>
    <row r="113" spans="1:221" ht="3.75" customHeight="1">
      <c r="A113" s="1"/>
      <c r="B113" s="3"/>
      <c r="C113" s="3"/>
      <c r="D113" s="38"/>
      <c r="E113" s="43">
        <v>34</v>
      </c>
      <c r="F113" s="43" t="e">
        <f ca="1">E113*AB105/40</f>
        <v>#VALUE!</v>
      </c>
      <c r="G113" s="79"/>
      <c r="H113" s="79"/>
      <c r="I113" s="79"/>
      <c r="J113" s="79"/>
      <c r="K113" s="43"/>
      <c r="L113" s="43"/>
      <c r="M113" s="43"/>
      <c r="N113" s="43"/>
      <c r="O113" s="79"/>
      <c r="P113" s="79"/>
      <c r="Q113" s="43"/>
      <c r="R113" s="43"/>
      <c r="S113" s="43"/>
      <c r="T113" s="43"/>
      <c r="U113" s="43"/>
      <c r="V113" s="43"/>
      <c r="W113" s="43"/>
      <c r="X113" s="43"/>
      <c r="Y113" s="38"/>
      <c r="Z113" s="38"/>
      <c r="AA113" s="79"/>
      <c r="AB113" s="79"/>
      <c r="AC113" s="79"/>
      <c r="AD113" s="79"/>
      <c r="AE113" s="79"/>
      <c r="AF113" s="79"/>
      <c r="AG113" s="79"/>
      <c r="AH113" s="79"/>
      <c r="AI113" s="79"/>
      <c r="AJ113" s="79"/>
      <c r="AK113" s="79"/>
      <c r="AL113" s="79"/>
      <c r="AM113" s="126"/>
      <c r="AN113" s="43" t="str">
        <f ca="1">IF(FU96=0,"","`")</f>
        <v/>
      </c>
      <c r="AO113" s="215" t="str">
        <f ca="1">IF(FU96=0,"",IF(BC96="","",IF(BC96=0,"",IF(BC96=BX150,"",IF(AND(FO94&gt;=F113,BC96&gt;=AO155),"-","")))))</f>
        <v/>
      </c>
      <c r="AP113" s="215" t="str">
        <f ca="1">IF(FU96=0,"",IF(BC96="","",IF(BC96=0,"",IF(BC96=BX150,"",IF(AND(FO94&gt;=F113,BC96&gt;=AP155),"-","")))))</f>
        <v/>
      </c>
      <c r="AQ113" s="215" t="str">
        <f ca="1">IF(FU96=0,"",IF(BC96="","",IF(BC96=0,"",IF(BC96=BX150,"",IF(AND(FO94&gt;=F113,BC96&gt;=AQ155),"-","")))))</f>
        <v/>
      </c>
      <c r="AR113" s="215" t="str">
        <f ca="1">IF(FU96=0,"",IF(BC96="","",IF(BC96=0,"",IF(BC96=BX150,"",IF(AND(FO94&gt;=F113,BC96&gt;=AR155),"-","")))))</f>
        <v/>
      </c>
      <c r="AS113" s="215" t="str">
        <f ca="1">IF(FU96=0,"",IF(BC96="","",IF(BC96=0,"",IF(BC96=BX150,"",IF(AND(FO94&gt;=F113,BC96&gt;=AS155),"-","")))))</f>
        <v/>
      </c>
      <c r="AT113" s="215" t="str">
        <f ca="1">IF(FU96=0,"",IF(BC96="","",IF(BC96=0,"",IF(BC96=BX150,"",IF(AND(FO94&gt;=F113,BC96&gt;=AT155),"-","")))))</f>
        <v/>
      </c>
      <c r="AU113" s="197" t="str">
        <f ca="1">IF(FU96=0,"",":")</f>
        <v/>
      </c>
      <c r="AV113" s="197"/>
      <c r="AW113" s="197"/>
      <c r="AX113" s="197"/>
      <c r="AY113" s="197"/>
      <c r="AZ113" s="197"/>
      <c r="BA113" s="197"/>
      <c r="BB113" s="197"/>
      <c r="BC113" s="197"/>
      <c r="BD113" s="197"/>
      <c r="BE113" s="197"/>
      <c r="BF113" s="197"/>
      <c r="BG113" s="197"/>
      <c r="BH113" s="197"/>
      <c r="BI113" s="197"/>
      <c r="BJ113" s="215"/>
      <c r="BK113" s="215"/>
      <c r="BL113" s="645"/>
      <c r="BM113" s="645"/>
      <c r="BN113" s="645"/>
      <c r="BO113" s="645"/>
      <c r="BP113" s="645"/>
      <c r="BQ113" s="645"/>
      <c r="BR113" s="645"/>
      <c r="BS113" s="645"/>
      <c r="BT113" s="645"/>
      <c r="BU113" s="645"/>
      <c r="BV113" s="645"/>
      <c r="BW113" s="645"/>
      <c r="BX113" s="645"/>
      <c r="BY113" s="645"/>
      <c r="BZ113" s="645"/>
      <c r="CA113" s="645"/>
      <c r="CB113" s="645"/>
      <c r="CC113" s="645"/>
      <c r="CD113" s="645"/>
      <c r="CE113" s="645"/>
      <c r="CF113" s="645"/>
      <c r="CG113" s="645"/>
      <c r="CH113" s="645"/>
      <c r="CI113" s="645"/>
      <c r="CJ113" s="645"/>
      <c r="CK113" s="645"/>
      <c r="CL113" s="645"/>
      <c r="CM113" s="645"/>
      <c r="CN113" s="645"/>
      <c r="CO113" s="645"/>
      <c r="CP113" s="645"/>
      <c r="CQ113" s="645"/>
      <c r="CR113" s="645"/>
      <c r="CS113" s="645"/>
      <c r="CT113" s="645"/>
      <c r="CU113" s="645"/>
      <c r="CV113" s="645"/>
      <c r="CW113" s="645"/>
      <c r="CX113" s="645"/>
      <c r="CY113" s="645"/>
      <c r="CZ113" s="645"/>
      <c r="DA113" s="645"/>
      <c r="DB113" s="645"/>
      <c r="DC113" s="645"/>
      <c r="DD113" s="645"/>
      <c r="DE113" s="645"/>
      <c r="DF113" s="645"/>
      <c r="DG113" s="645"/>
      <c r="DH113" s="645"/>
      <c r="DI113" s="645"/>
      <c r="DJ113" s="645"/>
      <c r="DK113" s="645"/>
      <c r="DL113" s="645"/>
      <c r="DM113" s="645"/>
      <c r="DN113" s="645"/>
      <c r="DO113" s="645"/>
      <c r="DP113" s="645"/>
      <c r="DQ113" s="645"/>
      <c r="DR113" s="645"/>
      <c r="DS113" s="645"/>
      <c r="DT113" s="645"/>
      <c r="DU113" s="645"/>
      <c r="DV113" s="645"/>
      <c r="DW113" s="645"/>
      <c r="DX113" s="645"/>
      <c r="DY113" s="645"/>
      <c r="DZ113" s="645"/>
      <c r="EA113" s="645"/>
      <c r="EB113" s="645"/>
      <c r="EC113" s="645"/>
      <c r="ED113" s="645"/>
      <c r="EE113" s="645"/>
      <c r="EF113" s="645"/>
      <c r="EG113" s="645"/>
      <c r="EH113" s="645"/>
      <c r="EI113" s="645"/>
      <c r="EJ113" s="645"/>
      <c r="EK113" s="79"/>
      <c r="EL113" s="79"/>
      <c r="EM113" s="79"/>
      <c r="EN113" s="79"/>
      <c r="EO113" s="79"/>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47"/>
      <c r="FN113" s="47"/>
      <c r="FO113" s="47"/>
      <c r="FP113" s="47"/>
      <c r="FQ113" s="47"/>
      <c r="FR113" s="47"/>
      <c r="FS113" s="47"/>
      <c r="FT113" s="47"/>
      <c r="FU113" s="47"/>
      <c r="FV113" s="47"/>
      <c r="FW113" s="47"/>
      <c r="FX113" s="47"/>
      <c r="FY113" s="47"/>
      <c r="FZ113" s="47"/>
      <c r="GA113" s="49"/>
      <c r="GB113" s="49"/>
      <c r="GC113" s="49"/>
      <c r="GD113" s="49"/>
      <c r="GE113" s="49"/>
      <c r="GF113" s="49"/>
      <c r="GG113" s="49"/>
      <c r="GH113" s="49"/>
      <c r="GI113" s="49"/>
      <c r="GJ113" s="49"/>
      <c r="GK113" s="49"/>
      <c r="GL113" s="49"/>
      <c r="GM113" s="49"/>
      <c r="GN113" s="49"/>
      <c r="GO113" s="49"/>
      <c r="GP113" s="49"/>
      <c r="GQ113" s="49"/>
      <c r="GR113" s="49"/>
      <c r="GS113" s="49"/>
      <c r="GT113" s="49"/>
      <c r="GU113" s="49"/>
      <c r="GV113" s="49"/>
      <c r="GW113" s="49"/>
      <c r="GX113" s="49"/>
      <c r="GY113" s="49"/>
      <c r="GZ113" s="49"/>
      <c r="HA113" s="49"/>
      <c r="HB113" s="49"/>
      <c r="HC113" s="49"/>
      <c r="HD113" s="49"/>
      <c r="HE113" s="49"/>
      <c r="HF113" s="49"/>
      <c r="HG113" s="49"/>
      <c r="HH113" s="49"/>
      <c r="HI113" s="49"/>
      <c r="HJ113" s="49"/>
      <c r="HK113" s="49"/>
      <c r="HL113" s="49"/>
      <c r="HM113" s="49"/>
    </row>
    <row r="114" spans="1:221" ht="3.75" customHeight="1">
      <c r="A114" s="1"/>
      <c r="B114" s="3"/>
      <c r="C114" s="3"/>
      <c r="D114" s="38"/>
      <c r="E114" s="43">
        <v>33</v>
      </c>
      <c r="F114" s="43" t="e">
        <f ca="1">E114*AB105/40</f>
        <v>#VALUE!</v>
      </c>
      <c r="G114" s="79"/>
      <c r="H114" s="79"/>
      <c r="I114" s="79"/>
      <c r="J114" s="79"/>
      <c r="K114" s="43"/>
      <c r="L114" s="43"/>
      <c r="M114" s="43"/>
      <c r="N114" s="43"/>
      <c r="O114" s="79"/>
      <c r="P114" s="79"/>
      <c r="Q114" s="43"/>
      <c r="R114" s="43"/>
      <c r="S114" s="43"/>
      <c r="T114" s="43"/>
      <c r="U114" s="43"/>
      <c r="V114" s="43"/>
      <c r="W114" s="43"/>
      <c r="X114" s="43"/>
      <c r="Y114" s="38"/>
      <c r="Z114" s="38"/>
      <c r="AA114" s="79"/>
      <c r="AB114" s="79"/>
      <c r="AC114" s="79"/>
      <c r="AD114" s="79"/>
      <c r="AE114" s="79"/>
      <c r="AF114" s="79"/>
      <c r="AG114" s="79"/>
      <c r="AH114" s="79"/>
      <c r="AI114" s="79"/>
      <c r="AJ114" s="79"/>
      <c r="AK114" s="79"/>
      <c r="AL114" s="79"/>
      <c r="AM114" s="126"/>
      <c r="AN114" s="43" t="str">
        <f ca="1">IF(FU96=0,"","`")</f>
        <v/>
      </c>
      <c r="AO114" s="215" t="str">
        <f ca="1">IF(FU96=0,"",IF(BC96="","",IF(BC96=0,"",IF(BC96=BX150,"",IF(AND(FO94&gt;=F114,BC96&gt;=AO155),"-","")))))</f>
        <v/>
      </c>
      <c r="AP114" s="215" t="str">
        <f ca="1">IF(FU96=0,"",IF(BC96="","",IF(BC96=0,"",IF(BC96=BX150,"",IF(AND(FO94&gt;=F114,BC96&gt;=AP155),"-","")))))</f>
        <v/>
      </c>
      <c r="AQ114" s="215" t="str">
        <f ca="1">IF(FU96=0,"",IF(BC96="","",IF(BC96=0,"",IF(BC96=BX150,"",IF(AND(FO94&gt;=F114,BC96&gt;=AQ155),"-","")))))</f>
        <v/>
      </c>
      <c r="AR114" s="215" t="str">
        <f ca="1">IF(FU96=0,"",IF(BC96="","",IF(BC96=0,"",IF(BC96=BX150,"",IF(AND(FO94&gt;=F114,BC96&gt;=AR155),"-","")))))</f>
        <v/>
      </c>
      <c r="AS114" s="215" t="str">
        <f ca="1">IF(FU96=0,"",IF(BC96="","",IF(BC96=0,"",IF(BC96=BX150,"",IF(AND(FO94&gt;=F114,BC96&gt;=AS155),"-","")))))</f>
        <v/>
      </c>
      <c r="AT114" s="215" t="str">
        <f ca="1">IF(FU96=0,"",IF(BC96="","",IF(BC96=0,"",IF(BC96=BX150,"",IF(AND(FO94&gt;=F114,BC96&gt;=AT155),"-","")))))</f>
        <v/>
      </c>
      <c r="AU114" s="215" t="str">
        <f ca="1">IF(FU96=0,"",IF(BC96="","",IF(BC96=0,"",IF(BC96=BX150,"",IF(AND(FO94&gt;=F114,BC96&gt;=AU155),"-","")))))</f>
        <v/>
      </c>
      <c r="AV114" s="197" t="str">
        <f ca="1">IF(FU96=0,"",":")</f>
        <v/>
      </c>
      <c r="AW114" s="197"/>
      <c r="AX114" s="197"/>
      <c r="AY114" s="197"/>
      <c r="AZ114" s="197"/>
      <c r="BA114" s="197"/>
      <c r="BB114" s="197"/>
      <c r="BC114" s="197"/>
      <c r="BD114" s="197"/>
      <c r="BE114" s="197"/>
      <c r="BF114" s="197"/>
      <c r="BG114" s="197"/>
      <c r="BH114" s="197"/>
      <c r="BI114" s="197"/>
      <c r="BJ114" s="215"/>
      <c r="BK114" s="215"/>
      <c r="BL114" s="645"/>
      <c r="BM114" s="645"/>
      <c r="BN114" s="645"/>
      <c r="BO114" s="645"/>
      <c r="BP114" s="645"/>
      <c r="BQ114" s="645"/>
      <c r="BR114" s="645"/>
      <c r="BS114" s="645"/>
      <c r="BT114" s="645"/>
      <c r="BU114" s="645"/>
      <c r="BV114" s="645"/>
      <c r="BW114" s="645"/>
      <c r="BX114" s="645"/>
      <c r="BY114" s="645"/>
      <c r="BZ114" s="645"/>
      <c r="CA114" s="645"/>
      <c r="CB114" s="645"/>
      <c r="CC114" s="645"/>
      <c r="CD114" s="645"/>
      <c r="CE114" s="645"/>
      <c r="CF114" s="645"/>
      <c r="CG114" s="645"/>
      <c r="CH114" s="645"/>
      <c r="CI114" s="645"/>
      <c r="CJ114" s="645"/>
      <c r="CK114" s="645"/>
      <c r="CL114" s="645"/>
      <c r="CM114" s="645"/>
      <c r="CN114" s="645"/>
      <c r="CO114" s="645"/>
      <c r="CP114" s="645"/>
      <c r="CQ114" s="645"/>
      <c r="CR114" s="645"/>
      <c r="CS114" s="645"/>
      <c r="CT114" s="645"/>
      <c r="CU114" s="645"/>
      <c r="CV114" s="645"/>
      <c r="CW114" s="645"/>
      <c r="CX114" s="645"/>
      <c r="CY114" s="645"/>
      <c r="CZ114" s="645"/>
      <c r="DA114" s="645"/>
      <c r="DB114" s="645"/>
      <c r="DC114" s="645"/>
      <c r="DD114" s="645"/>
      <c r="DE114" s="645"/>
      <c r="DF114" s="645"/>
      <c r="DG114" s="645"/>
      <c r="DH114" s="645"/>
      <c r="DI114" s="645"/>
      <c r="DJ114" s="645"/>
      <c r="DK114" s="645"/>
      <c r="DL114" s="645"/>
      <c r="DM114" s="645"/>
      <c r="DN114" s="645"/>
      <c r="DO114" s="645"/>
      <c r="DP114" s="645"/>
      <c r="DQ114" s="645"/>
      <c r="DR114" s="645"/>
      <c r="DS114" s="645"/>
      <c r="DT114" s="645"/>
      <c r="DU114" s="645"/>
      <c r="DV114" s="645"/>
      <c r="DW114" s="645"/>
      <c r="DX114" s="645"/>
      <c r="DY114" s="645"/>
      <c r="DZ114" s="645"/>
      <c r="EA114" s="645"/>
      <c r="EB114" s="645"/>
      <c r="EC114" s="645"/>
      <c r="ED114" s="645"/>
      <c r="EE114" s="645"/>
      <c r="EF114" s="645"/>
      <c r="EG114" s="645"/>
      <c r="EH114" s="645"/>
      <c r="EI114" s="645"/>
      <c r="EJ114" s="645"/>
      <c r="EK114" s="79"/>
      <c r="EL114" s="79"/>
      <c r="EM114" s="79"/>
      <c r="EN114" s="79"/>
      <c r="EO114" s="79"/>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47"/>
      <c r="FN114" s="47"/>
      <c r="FO114" s="47"/>
      <c r="FP114" s="47"/>
      <c r="FQ114" s="47"/>
      <c r="FR114" s="47"/>
      <c r="FS114" s="47"/>
      <c r="FT114" s="47"/>
      <c r="FU114" s="47"/>
      <c r="FV114" s="47"/>
      <c r="FW114" s="47"/>
      <c r="FX114" s="47"/>
      <c r="FY114" s="47"/>
      <c r="FZ114" s="47"/>
      <c r="GA114" s="49"/>
      <c r="GB114" s="49"/>
      <c r="GC114" s="49"/>
      <c r="GD114" s="49"/>
      <c r="GE114" s="49"/>
      <c r="GF114" s="49"/>
      <c r="GG114" s="49"/>
      <c r="GH114" s="49"/>
      <c r="GI114" s="49"/>
      <c r="GJ114" s="49"/>
      <c r="GK114" s="49"/>
      <c r="GL114" s="49"/>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row>
    <row r="115" spans="1:221" ht="3.75" customHeight="1">
      <c r="A115" s="1"/>
      <c r="B115" s="3"/>
      <c r="C115" s="3"/>
      <c r="D115" s="38"/>
      <c r="E115" s="43">
        <v>32</v>
      </c>
      <c r="F115" s="43" t="e">
        <f ca="1">E115*AB105/40</f>
        <v>#VALUE!</v>
      </c>
      <c r="G115" s="79"/>
      <c r="H115" s="79"/>
      <c r="I115" s="79"/>
      <c r="J115" s="79"/>
      <c r="K115" s="43"/>
      <c r="L115" s="43"/>
      <c r="M115" s="43"/>
      <c r="N115" s="43"/>
      <c r="O115" s="79"/>
      <c r="P115" s="79"/>
      <c r="Q115" s="43"/>
      <c r="R115" s="43"/>
      <c r="S115" s="43"/>
      <c r="T115" s="43"/>
      <c r="U115" s="43"/>
      <c r="V115" s="43"/>
      <c r="W115" s="43"/>
      <c r="X115" s="43"/>
      <c r="Y115" s="40"/>
      <c r="Z115" s="148"/>
      <c r="AA115" s="79"/>
      <c r="AB115" s="647" t="str">
        <f ca="1">IF(FO50=0,"",ROUND(0.75*FN94,0))</f>
        <v/>
      </c>
      <c r="AC115" s="647"/>
      <c r="AD115" s="647"/>
      <c r="AE115" s="647"/>
      <c r="AF115" s="647"/>
      <c r="AG115" s="647"/>
      <c r="AH115" s="647"/>
      <c r="AI115" s="647"/>
      <c r="AJ115" s="647"/>
      <c r="AK115" s="647"/>
      <c r="AL115" s="79"/>
      <c r="AM115" s="126"/>
      <c r="AN115" s="43" t="str">
        <f ca="1">IF(FU96=0,"","`")</f>
        <v/>
      </c>
      <c r="AO115" s="215" t="str">
        <f ca="1">IF(FU96=0,"",IF(BC96="","",IF(BC96=0,"",IF(BC96=BX150,"",IF(AND(FO94&gt;=F115,BC96&gt;=AO155),"-","")))))</f>
        <v/>
      </c>
      <c r="AP115" s="215" t="str">
        <f ca="1">IF(FU96=0,"",IF(BC96="","",IF(BC96=0,"",IF(BC96=BX150,"",IF(AND(FO94&gt;=F115,BC96&gt;=AP155),"-","")))))</f>
        <v/>
      </c>
      <c r="AQ115" s="215" t="str">
        <f ca="1">IF(FU96=0,"",IF(BC96="","",IF(BC96=0,"",IF(BC96=BX150,"",IF(AND(FO94&gt;=F115,BC96&gt;=AQ155),"-","")))))</f>
        <v/>
      </c>
      <c r="AR115" s="215" t="str">
        <f ca="1">IF(FU96=0,"",IF(BC96="","",IF(BC96=0,"",IF(BC96=BX150,"",IF(AND(FO94&gt;=F115,BC96&gt;=AR155),"-","")))))</f>
        <v/>
      </c>
      <c r="AS115" s="215" t="str">
        <f ca="1">IF(FU96=0,"",IF(BC96="","",IF(BC96=0,"",IF(BC96=BX150,"",IF(AND(FO94&gt;=F115,BC96&gt;=AS155),"-","")))))</f>
        <v/>
      </c>
      <c r="AT115" s="215" t="str">
        <f ca="1">IF(FU96=0,"",IF(BC96="","",IF(BC96=0,"",IF(BC96=BX150,"",IF(AND(FO94&gt;=F115,BC96&gt;=AT155),"-","")))))</f>
        <v/>
      </c>
      <c r="AU115" s="215" t="str">
        <f ca="1">IF(FU96=0,"",IF(BC96="","",IF(BC96=0,"",IF(BC96=BX150,"",IF(AND(FO94&gt;=F115,BC96&gt;=AU155),"-","")))))</f>
        <v/>
      </c>
      <c r="AV115" s="215" t="str">
        <f ca="1">IF(FU96=0,"",IF(BC96="","",IF(BC96=0,"",IF(BC96=BX150,"",IF(AND(FO94&gt;=F115,BC96&gt;=AV155),"-","")))))</f>
        <v/>
      </c>
      <c r="AW115" s="197" t="str">
        <f ca="1">IF(FU96=0,"",":")</f>
        <v/>
      </c>
      <c r="AX115" s="197"/>
      <c r="AY115" s="197"/>
      <c r="AZ115" s="197"/>
      <c r="BA115" s="197"/>
      <c r="BB115" s="197"/>
      <c r="BC115" s="197"/>
      <c r="BD115" s="197"/>
      <c r="BE115" s="197"/>
      <c r="BF115" s="197"/>
      <c r="BG115" s="197"/>
      <c r="BH115" s="197"/>
      <c r="BI115" s="197"/>
      <c r="BJ115" s="197"/>
      <c r="BK115" s="197"/>
      <c r="BL115" s="645"/>
      <c r="BM115" s="645"/>
      <c r="BN115" s="645"/>
      <c r="BO115" s="645"/>
      <c r="BP115" s="645"/>
      <c r="BQ115" s="645"/>
      <c r="BR115" s="645"/>
      <c r="BS115" s="645"/>
      <c r="BT115" s="645"/>
      <c r="BU115" s="645"/>
      <c r="BV115" s="645"/>
      <c r="BW115" s="645"/>
      <c r="BX115" s="645"/>
      <c r="BY115" s="645"/>
      <c r="BZ115" s="645"/>
      <c r="CA115" s="645"/>
      <c r="CB115" s="645"/>
      <c r="CC115" s="645"/>
      <c r="CD115" s="645"/>
      <c r="CE115" s="645"/>
      <c r="CF115" s="645"/>
      <c r="CG115" s="645"/>
      <c r="CH115" s="645"/>
      <c r="CI115" s="645"/>
      <c r="CJ115" s="645"/>
      <c r="CK115" s="645"/>
      <c r="CL115" s="645"/>
      <c r="CM115" s="645"/>
      <c r="CN115" s="645"/>
      <c r="CO115" s="645"/>
      <c r="CP115" s="645"/>
      <c r="CQ115" s="645"/>
      <c r="CR115" s="645"/>
      <c r="CS115" s="645"/>
      <c r="CT115" s="645"/>
      <c r="CU115" s="645"/>
      <c r="CV115" s="645"/>
      <c r="CW115" s="645"/>
      <c r="CX115" s="645"/>
      <c r="CY115" s="645"/>
      <c r="CZ115" s="645"/>
      <c r="DA115" s="645"/>
      <c r="DB115" s="645"/>
      <c r="DC115" s="645"/>
      <c r="DD115" s="645"/>
      <c r="DE115" s="645"/>
      <c r="DF115" s="645"/>
      <c r="DG115" s="645"/>
      <c r="DH115" s="645"/>
      <c r="DI115" s="645"/>
      <c r="DJ115" s="645"/>
      <c r="DK115" s="645"/>
      <c r="DL115" s="645"/>
      <c r="DM115" s="645"/>
      <c r="DN115" s="645"/>
      <c r="DO115" s="645"/>
      <c r="DP115" s="645"/>
      <c r="DQ115" s="645"/>
      <c r="DR115" s="645"/>
      <c r="DS115" s="645"/>
      <c r="DT115" s="645"/>
      <c r="DU115" s="645"/>
      <c r="DV115" s="645"/>
      <c r="DW115" s="645"/>
      <c r="DX115" s="645"/>
      <c r="DY115" s="645"/>
      <c r="DZ115" s="645"/>
      <c r="EA115" s="645"/>
      <c r="EB115" s="645"/>
      <c r="EC115" s="645"/>
      <c r="ED115" s="645"/>
      <c r="EE115" s="645"/>
      <c r="EF115" s="645"/>
      <c r="EG115" s="645"/>
      <c r="EH115" s="645"/>
      <c r="EI115" s="645"/>
      <c r="EJ115" s="645"/>
      <c r="EK115" s="79"/>
      <c r="EL115" s="79"/>
      <c r="EM115" s="79"/>
      <c r="EN115" s="79"/>
      <c r="EO115" s="79"/>
      <c r="EP115" s="79"/>
      <c r="EQ115" s="79"/>
      <c r="ER115" s="79"/>
      <c r="ES115" s="79"/>
      <c r="ET115" s="79"/>
      <c r="EU115" s="79"/>
      <c r="EV115" s="79"/>
      <c r="EW115" s="79"/>
      <c r="EX115" s="79"/>
      <c r="EY115" s="79"/>
      <c r="EZ115" s="79"/>
      <c r="FA115" s="79"/>
      <c r="FB115" s="79"/>
      <c r="FC115" s="79"/>
      <c r="FD115" s="79"/>
      <c r="FE115" s="79"/>
      <c r="FF115" s="79"/>
      <c r="FG115" s="79"/>
      <c r="FH115" s="79"/>
      <c r="FI115" s="79"/>
      <c r="FJ115" s="79"/>
      <c r="FK115" s="79"/>
      <c r="FL115" s="79"/>
      <c r="FM115" s="47"/>
      <c r="FN115" s="47"/>
      <c r="FO115" s="47"/>
      <c r="FP115" s="47"/>
      <c r="FQ115" s="47"/>
      <c r="FR115" s="47"/>
      <c r="FS115" s="47"/>
      <c r="FT115" s="47"/>
      <c r="FU115" s="47"/>
      <c r="FV115" s="47"/>
      <c r="FW115" s="47"/>
      <c r="FX115" s="47"/>
      <c r="FY115" s="47"/>
      <c r="FZ115" s="47"/>
      <c r="GA115" s="49"/>
      <c r="GB115" s="49"/>
      <c r="GC115" s="49"/>
      <c r="GD115" s="49"/>
      <c r="GE115" s="49"/>
      <c r="GF115" s="49"/>
      <c r="GG115" s="49"/>
      <c r="GH115" s="49"/>
      <c r="GI115" s="49"/>
      <c r="GJ115" s="49"/>
      <c r="GK115" s="49"/>
      <c r="GL115" s="49"/>
      <c r="GM115" s="49"/>
      <c r="GN115" s="49"/>
      <c r="GO115" s="49"/>
      <c r="GP115" s="49"/>
      <c r="GQ115" s="49"/>
      <c r="GR115" s="49"/>
      <c r="GS115" s="49"/>
      <c r="GT115" s="49"/>
      <c r="GU115" s="49"/>
      <c r="GV115" s="49"/>
      <c r="GW115" s="49"/>
      <c r="GX115" s="49"/>
      <c r="GY115" s="49"/>
      <c r="GZ115" s="49"/>
      <c r="HA115" s="49"/>
      <c r="HB115" s="49"/>
      <c r="HC115" s="49"/>
      <c r="HD115" s="49"/>
      <c r="HE115" s="49"/>
      <c r="HF115" s="49"/>
      <c r="HG115" s="49"/>
      <c r="HH115" s="49"/>
      <c r="HI115" s="49"/>
      <c r="HJ115" s="49"/>
      <c r="HK115" s="49"/>
      <c r="HL115" s="49"/>
      <c r="HM115" s="49"/>
    </row>
    <row r="116" spans="1:221" ht="3.75" customHeight="1">
      <c r="A116" s="1"/>
      <c r="B116" s="3"/>
      <c r="C116" s="3"/>
      <c r="D116" s="38"/>
      <c r="E116" s="43">
        <v>31</v>
      </c>
      <c r="F116" s="43" t="e">
        <f ca="1">E116*AB105/40</f>
        <v>#VALUE!</v>
      </c>
      <c r="G116" s="79"/>
      <c r="H116" s="79"/>
      <c r="I116" s="79"/>
      <c r="J116" s="79"/>
      <c r="K116" s="43"/>
      <c r="L116" s="43"/>
      <c r="M116" s="43"/>
      <c r="N116" s="43"/>
      <c r="O116" s="79"/>
      <c r="P116" s="79"/>
      <c r="Q116" s="43"/>
      <c r="R116" s="43"/>
      <c r="S116" s="43"/>
      <c r="T116" s="43"/>
      <c r="U116" s="43"/>
      <c r="V116" s="43"/>
      <c r="W116" s="43"/>
      <c r="X116" s="43"/>
      <c r="Y116" s="148"/>
      <c r="Z116" s="148"/>
      <c r="AA116" s="79"/>
      <c r="AB116" s="647"/>
      <c r="AC116" s="647"/>
      <c r="AD116" s="647"/>
      <c r="AE116" s="647"/>
      <c r="AF116" s="647"/>
      <c r="AG116" s="647"/>
      <c r="AH116" s="647"/>
      <c r="AI116" s="647"/>
      <c r="AJ116" s="647"/>
      <c r="AK116" s="647"/>
      <c r="AL116" s="79"/>
      <c r="AM116" s="126"/>
      <c r="AN116" s="43" t="str">
        <f ca="1">IF(FU96=0,"","`")</f>
        <v/>
      </c>
      <c r="AO116" s="215" t="str">
        <f ca="1">IF(FU96=0,"",IF(BC96="","",IF(BC96=0,"",IF(BC96=BX150,"",IF(AND(FO94&gt;=F116,BC96&gt;=AO155),"-","")))))</f>
        <v/>
      </c>
      <c r="AP116" s="215" t="str">
        <f ca="1">IF(FU96=0,"",IF(BC96="","",IF(BC96=0,"",IF(BC96=BX150,"",IF(AND(FO94&gt;=F116,BC96&gt;=AP155),"-","")))))</f>
        <v/>
      </c>
      <c r="AQ116" s="215" t="str">
        <f ca="1">IF(FU96=0,"",IF(BC96="","",IF(BC96=0,"",IF(BC96=BX150,"",IF(AND(FO94&gt;=F116,BC96&gt;=AQ155),"-","")))))</f>
        <v/>
      </c>
      <c r="AR116" s="215" t="str">
        <f ca="1">IF(FU96=0,"",IF(BC96="","",IF(BC96=0,"",IF(BC96=BX150,"",IF(AND(FO94&gt;=F116,BC96&gt;=AR155),"-","")))))</f>
        <v/>
      </c>
      <c r="AS116" s="215" t="str">
        <f ca="1">IF(FU96=0,"",IF(BC96="","",IF(BC96=0,"",IF(BC96=BX150,"",IF(AND(FO94&gt;=F116,BC96&gt;=AS155),"-","")))))</f>
        <v/>
      </c>
      <c r="AT116" s="215" t="str">
        <f ca="1">IF(FU96=0,"",IF(BC96="","",IF(BC96=0,"",IF(BC96=BX150,"",IF(AND(FO94&gt;=F116,BC96&gt;=AT155),"-","")))))</f>
        <v/>
      </c>
      <c r="AU116" s="215" t="str">
        <f ca="1">IF(FU96=0,"",IF(BC96="","",IF(BC96=0,"",IF(BC96=BX150,"",IF(AND(FO94&gt;=F116,BC96&gt;=AU155),"-","")))))</f>
        <v/>
      </c>
      <c r="AV116" s="215" t="str">
        <f ca="1">IF(FU96=0,"",IF(BC96="","",IF(BC96=0,"",IF(BC96=BX150,"",IF(AND(FO94&gt;=F116,BC96&gt;=AV155),"-","")))))</f>
        <v/>
      </c>
      <c r="AW116" s="215" t="str">
        <f ca="1">IF(FU96=0,"",IF(BC96="","",IF(BC96=0,"",IF(BC96=BX150,"",IF(AND(FO94&gt;=F116,BC96&gt;=AW155),"-","")))))</f>
        <v/>
      </c>
      <c r="AX116" s="197" t="str">
        <f ca="1">IF(FU96=0,"",":")</f>
        <v/>
      </c>
      <c r="AY116" s="197"/>
      <c r="AZ116" s="197"/>
      <c r="BA116" s="197"/>
      <c r="BB116" s="197"/>
      <c r="BC116" s="197"/>
      <c r="BD116" s="197"/>
      <c r="BE116" s="197"/>
      <c r="BF116" s="197"/>
      <c r="BG116" s="197"/>
      <c r="BH116" s="197"/>
      <c r="BI116" s="197"/>
      <c r="BJ116" s="197"/>
      <c r="BK116" s="197"/>
      <c r="BL116" s="645"/>
      <c r="BM116" s="645"/>
      <c r="BN116" s="645"/>
      <c r="BO116" s="645"/>
      <c r="BP116" s="645"/>
      <c r="BQ116" s="645"/>
      <c r="BR116" s="645"/>
      <c r="BS116" s="645"/>
      <c r="BT116" s="645"/>
      <c r="BU116" s="645"/>
      <c r="BV116" s="645"/>
      <c r="BW116" s="645"/>
      <c r="BX116" s="645"/>
      <c r="BY116" s="645"/>
      <c r="BZ116" s="645"/>
      <c r="CA116" s="645"/>
      <c r="CB116" s="645"/>
      <c r="CC116" s="645"/>
      <c r="CD116" s="645"/>
      <c r="CE116" s="645"/>
      <c r="CF116" s="645"/>
      <c r="CG116" s="645"/>
      <c r="CH116" s="645"/>
      <c r="CI116" s="645"/>
      <c r="CJ116" s="645"/>
      <c r="CK116" s="645"/>
      <c r="CL116" s="645"/>
      <c r="CM116" s="645"/>
      <c r="CN116" s="645"/>
      <c r="CO116" s="645"/>
      <c r="CP116" s="645"/>
      <c r="CQ116" s="645"/>
      <c r="CR116" s="645"/>
      <c r="CS116" s="645"/>
      <c r="CT116" s="645"/>
      <c r="CU116" s="645"/>
      <c r="CV116" s="645"/>
      <c r="CW116" s="645"/>
      <c r="CX116" s="645"/>
      <c r="CY116" s="645"/>
      <c r="CZ116" s="645"/>
      <c r="DA116" s="645"/>
      <c r="DB116" s="645"/>
      <c r="DC116" s="645"/>
      <c r="DD116" s="645"/>
      <c r="DE116" s="645"/>
      <c r="DF116" s="645"/>
      <c r="DG116" s="645"/>
      <c r="DH116" s="645"/>
      <c r="DI116" s="645"/>
      <c r="DJ116" s="645"/>
      <c r="DK116" s="645"/>
      <c r="DL116" s="645"/>
      <c r="DM116" s="645"/>
      <c r="DN116" s="645"/>
      <c r="DO116" s="645"/>
      <c r="DP116" s="645"/>
      <c r="DQ116" s="645"/>
      <c r="DR116" s="645"/>
      <c r="DS116" s="645"/>
      <c r="DT116" s="645"/>
      <c r="DU116" s="645"/>
      <c r="DV116" s="645"/>
      <c r="DW116" s="645"/>
      <c r="DX116" s="645"/>
      <c r="DY116" s="645"/>
      <c r="DZ116" s="645"/>
      <c r="EA116" s="645"/>
      <c r="EB116" s="645"/>
      <c r="EC116" s="645"/>
      <c r="ED116" s="645"/>
      <c r="EE116" s="645"/>
      <c r="EF116" s="645"/>
      <c r="EG116" s="645"/>
      <c r="EH116" s="645"/>
      <c r="EI116" s="645"/>
      <c r="EJ116" s="645"/>
      <c r="EK116" s="79"/>
      <c r="EL116" s="79"/>
      <c r="EM116" s="79"/>
      <c r="EN116" s="79"/>
      <c r="EO116" s="79"/>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47"/>
      <c r="FN116" s="47"/>
      <c r="FO116" s="47"/>
      <c r="FP116" s="47"/>
      <c r="FQ116" s="47"/>
      <c r="FR116" s="47"/>
      <c r="FS116" s="47"/>
      <c r="FT116" s="47"/>
      <c r="FU116" s="47"/>
      <c r="FV116" s="47"/>
      <c r="FW116" s="47"/>
      <c r="FX116" s="47"/>
      <c r="FY116" s="47"/>
      <c r="FZ116" s="47"/>
      <c r="GA116" s="49"/>
      <c r="GB116" s="49"/>
      <c r="GC116" s="49"/>
      <c r="GD116" s="49"/>
      <c r="GE116" s="49"/>
      <c r="GF116" s="49"/>
      <c r="GG116" s="49"/>
      <c r="GH116" s="49"/>
      <c r="GI116" s="49"/>
      <c r="GJ116" s="49"/>
      <c r="GK116" s="49"/>
      <c r="GL116" s="49"/>
      <c r="GM116" s="49"/>
      <c r="GN116" s="49"/>
      <c r="GO116" s="49"/>
      <c r="GP116" s="49"/>
      <c r="GQ116" s="49"/>
      <c r="GR116" s="49"/>
      <c r="GS116" s="49"/>
      <c r="GT116" s="49"/>
      <c r="GU116" s="49"/>
      <c r="GV116" s="49"/>
      <c r="GW116" s="49"/>
      <c r="GX116" s="49"/>
      <c r="GY116" s="49"/>
      <c r="GZ116" s="49"/>
      <c r="HA116" s="49"/>
      <c r="HB116" s="49"/>
      <c r="HC116" s="49"/>
      <c r="HD116" s="49"/>
      <c r="HE116" s="49"/>
      <c r="HF116" s="49"/>
      <c r="HG116" s="49"/>
      <c r="HH116" s="49"/>
      <c r="HI116" s="49"/>
      <c r="HJ116" s="49"/>
      <c r="HK116" s="49"/>
      <c r="HL116" s="49"/>
      <c r="HM116" s="49"/>
    </row>
    <row r="117" spans="1:221" ht="3.75" customHeight="1">
      <c r="A117" s="1"/>
      <c r="B117" s="3"/>
      <c r="C117" s="3"/>
      <c r="D117" s="38"/>
      <c r="E117" s="43">
        <v>30</v>
      </c>
      <c r="F117" s="43" t="e">
        <f ca="1">E117*AB105/40</f>
        <v>#VALUE!</v>
      </c>
      <c r="G117" s="79"/>
      <c r="H117" s="79"/>
      <c r="I117" s="79"/>
      <c r="J117" s="79"/>
      <c r="K117" s="43"/>
      <c r="L117" s="43"/>
      <c r="M117" s="43"/>
      <c r="N117" s="43"/>
      <c r="O117" s="79"/>
      <c r="P117" s="79"/>
      <c r="Q117" s="43"/>
      <c r="R117" s="43"/>
      <c r="S117" s="43"/>
      <c r="T117" s="43"/>
      <c r="U117" s="43"/>
      <c r="V117" s="43"/>
      <c r="W117" s="43"/>
      <c r="X117" s="43"/>
      <c r="Y117" s="148"/>
      <c r="Z117" s="148"/>
      <c r="AA117" s="148"/>
      <c r="AB117" s="647"/>
      <c r="AC117" s="647"/>
      <c r="AD117" s="647"/>
      <c r="AE117" s="647"/>
      <c r="AF117" s="647"/>
      <c r="AG117" s="647"/>
      <c r="AH117" s="647"/>
      <c r="AI117" s="647"/>
      <c r="AJ117" s="647"/>
      <c r="AK117" s="647"/>
      <c r="AL117" s="148"/>
      <c r="AM117" s="126"/>
      <c r="AN117" s="43" t="str">
        <f ca="1">IF(FU96=0,"","`")</f>
        <v/>
      </c>
      <c r="AO117" s="215" t="str">
        <f ca="1">IF(FU96=0,"",IF(BC96="","",IF(BC96=0,"",IF(BC96=BX150,"",IF(AND(FO94&gt;=F117,BC96&gt;=AO155),"-","")))))</f>
        <v/>
      </c>
      <c r="AP117" s="215" t="str">
        <f ca="1">IF(FU96=0,"",IF(BC96="","",IF(BC96=0,"",IF(BC96=BX150,"",IF(AND(FO94&gt;=F117,BC96&gt;=AP155),"-","")))))</f>
        <v/>
      </c>
      <c r="AQ117" s="215" t="str">
        <f ca="1">IF(FU96=0,"",IF(BC96="","",IF(BC96=0,"",IF(BC96=BX150,"",IF(AND(FO94&gt;=F117,BC96&gt;=AQ155),"-","")))))</f>
        <v/>
      </c>
      <c r="AR117" s="215" t="str">
        <f ca="1">IF(FU96=0,"",IF(BC96="","",IF(BC96=0,"",IF(BC96=BX150,"",IF(AND(FO94&gt;=F117,BC96&gt;=AR155),"-","")))))</f>
        <v/>
      </c>
      <c r="AS117" s="215" t="str">
        <f ca="1">IF(FU96=0,"",IF(BC96="","",IF(BC96=0,"",IF(BC96=BX150,"",IF(AND(FO94&gt;=F117,BC96&gt;=AS155),"-","")))))</f>
        <v/>
      </c>
      <c r="AT117" s="215" t="str">
        <f ca="1">IF(FU96=0,"",IF(BC96="","",IF(BC96=0,"",IF(BC96=BX150,"",IF(AND(FO94&gt;=F117,BC96&gt;=AT155),"-","")))))</f>
        <v/>
      </c>
      <c r="AU117" s="215" t="str">
        <f ca="1">IF(FU96=0,"",IF(BC96="","",IF(BC96=0,"",IF(BC96=BX150,"",IF(AND(FO94&gt;=F117,BC96&gt;=AU155),"-","")))))</f>
        <v/>
      </c>
      <c r="AV117" s="215" t="str">
        <f ca="1">IF(FU96=0,"",IF(BC96="","",IF(BC96=0,"",IF(BC96=BX150,"",IF(AND(FO94&gt;=F117,BC96&gt;=AV155),"-","")))))</f>
        <v/>
      </c>
      <c r="AW117" s="215" t="str">
        <f ca="1">IF(FU96=0,"",IF(BC96="","",IF(BC96=0,"",IF(BC96=BX150,"",IF(AND(FO94&gt;=F117,BC96&gt;=AW155),"-","")))))</f>
        <v/>
      </c>
      <c r="AX117" s="215" t="str">
        <f ca="1">IF(FU96=0,"",IF(BC96="","",IF(BC96=0,"",IF(BC96=BX150,"",IF(AND(FO94&gt;=F117,BC96&gt;=AX155),"-","")))))</f>
        <v/>
      </c>
      <c r="AY117" s="197" t="str">
        <f ca="1">IF(FU96=0,"",":")</f>
        <v/>
      </c>
      <c r="AZ117" s="197"/>
      <c r="BA117" s="197"/>
      <c r="BB117" s="197"/>
      <c r="BC117" s="197"/>
      <c r="BD117" s="197"/>
      <c r="BE117" s="197"/>
      <c r="BF117" s="197"/>
      <c r="BG117" s="197"/>
      <c r="BH117" s="197"/>
      <c r="BI117" s="197"/>
      <c r="BJ117" s="197"/>
      <c r="BK117" s="197"/>
      <c r="BL117" s="645"/>
      <c r="BM117" s="645"/>
      <c r="BN117" s="645"/>
      <c r="BO117" s="645"/>
      <c r="BP117" s="645"/>
      <c r="BQ117" s="645"/>
      <c r="BR117" s="645"/>
      <c r="BS117" s="645"/>
      <c r="BT117" s="645"/>
      <c r="BU117" s="645"/>
      <c r="BV117" s="645"/>
      <c r="BW117" s="645"/>
      <c r="BX117" s="645"/>
      <c r="BY117" s="645"/>
      <c r="BZ117" s="645"/>
      <c r="CA117" s="645"/>
      <c r="CB117" s="645"/>
      <c r="CC117" s="645"/>
      <c r="CD117" s="645"/>
      <c r="CE117" s="645"/>
      <c r="CF117" s="645"/>
      <c r="CG117" s="645"/>
      <c r="CH117" s="645"/>
      <c r="CI117" s="645"/>
      <c r="CJ117" s="645"/>
      <c r="CK117" s="645"/>
      <c r="CL117" s="645"/>
      <c r="CM117" s="645"/>
      <c r="CN117" s="645"/>
      <c r="CO117" s="645"/>
      <c r="CP117" s="645"/>
      <c r="CQ117" s="645"/>
      <c r="CR117" s="645"/>
      <c r="CS117" s="645"/>
      <c r="CT117" s="645"/>
      <c r="CU117" s="645"/>
      <c r="CV117" s="645"/>
      <c r="CW117" s="645"/>
      <c r="CX117" s="645"/>
      <c r="CY117" s="645"/>
      <c r="CZ117" s="645"/>
      <c r="DA117" s="645"/>
      <c r="DB117" s="645"/>
      <c r="DC117" s="645"/>
      <c r="DD117" s="645"/>
      <c r="DE117" s="645"/>
      <c r="DF117" s="645"/>
      <c r="DG117" s="645"/>
      <c r="DH117" s="645"/>
      <c r="DI117" s="645"/>
      <c r="DJ117" s="645"/>
      <c r="DK117" s="645"/>
      <c r="DL117" s="645"/>
      <c r="DM117" s="645"/>
      <c r="DN117" s="645"/>
      <c r="DO117" s="645"/>
      <c r="DP117" s="645"/>
      <c r="DQ117" s="645"/>
      <c r="DR117" s="645"/>
      <c r="DS117" s="645"/>
      <c r="DT117" s="645"/>
      <c r="DU117" s="645"/>
      <c r="DV117" s="645"/>
      <c r="DW117" s="645"/>
      <c r="DX117" s="645"/>
      <c r="DY117" s="645"/>
      <c r="DZ117" s="645"/>
      <c r="EA117" s="645"/>
      <c r="EB117" s="645"/>
      <c r="EC117" s="645"/>
      <c r="ED117" s="645"/>
      <c r="EE117" s="645"/>
      <c r="EF117" s="645"/>
      <c r="EG117" s="645"/>
      <c r="EH117" s="645"/>
      <c r="EI117" s="645"/>
      <c r="EJ117" s="645"/>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47"/>
      <c r="FN117" s="47"/>
      <c r="FO117" s="47"/>
      <c r="FP117" s="47"/>
      <c r="FQ117" s="47"/>
      <c r="FR117" s="47"/>
      <c r="FS117" s="47"/>
      <c r="FT117" s="47"/>
      <c r="FU117" s="47"/>
      <c r="FV117" s="47"/>
      <c r="FW117" s="47"/>
      <c r="FX117" s="47"/>
      <c r="FY117" s="47"/>
      <c r="FZ117" s="47"/>
      <c r="GA117" s="49"/>
      <c r="GB117" s="49"/>
      <c r="GC117" s="49"/>
      <c r="GD117" s="49"/>
      <c r="GE117" s="49"/>
      <c r="GF117" s="49"/>
      <c r="GG117" s="49"/>
      <c r="GH117" s="49"/>
      <c r="GI117" s="49"/>
      <c r="GJ117" s="49"/>
      <c r="GK117" s="49"/>
      <c r="GL117" s="49"/>
      <c r="GM117" s="49"/>
      <c r="GN117" s="49"/>
      <c r="GO117" s="49"/>
      <c r="GP117" s="49"/>
      <c r="GQ117" s="49"/>
      <c r="GR117" s="49"/>
      <c r="GS117" s="49"/>
      <c r="GT117" s="49"/>
      <c r="GU117" s="49"/>
      <c r="GV117" s="49"/>
      <c r="GW117" s="49"/>
      <c r="GX117" s="49"/>
      <c r="GY117" s="49"/>
      <c r="GZ117" s="49"/>
      <c r="HA117" s="49"/>
      <c r="HB117" s="49"/>
      <c r="HC117" s="49"/>
      <c r="HD117" s="49"/>
      <c r="HE117" s="49"/>
      <c r="HF117" s="49"/>
      <c r="HG117" s="49"/>
      <c r="HH117" s="49"/>
      <c r="HI117" s="49"/>
      <c r="HJ117" s="49"/>
      <c r="HK117" s="49"/>
      <c r="HL117" s="49"/>
      <c r="HM117" s="49"/>
    </row>
    <row r="118" spans="1:221" ht="3.75" customHeight="1">
      <c r="A118" s="1"/>
      <c r="B118" s="3"/>
      <c r="C118" s="3"/>
      <c r="D118" s="38"/>
      <c r="E118" s="43">
        <v>29</v>
      </c>
      <c r="F118" s="43" t="e">
        <f ca="1">E118*AB105/40</f>
        <v>#VALUE!</v>
      </c>
      <c r="G118" s="79"/>
      <c r="H118" s="79"/>
      <c r="I118" s="79"/>
      <c r="J118" s="79"/>
      <c r="K118" s="43"/>
      <c r="L118" s="45"/>
      <c r="M118" s="39"/>
      <c r="N118" s="39"/>
      <c r="O118" s="39"/>
      <c r="P118" s="39"/>
      <c r="Q118" s="39"/>
      <c r="R118" s="39"/>
      <c r="S118" s="39"/>
      <c r="T118" s="39"/>
      <c r="U118" s="39"/>
      <c r="V118" s="39"/>
      <c r="W118" s="39"/>
      <c r="X118" s="39"/>
      <c r="Y118" s="39"/>
      <c r="Z118" s="39"/>
      <c r="AA118" s="39"/>
      <c r="AB118" s="647"/>
      <c r="AC118" s="647"/>
      <c r="AD118" s="647"/>
      <c r="AE118" s="647"/>
      <c r="AF118" s="647"/>
      <c r="AG118" s="647"/>
      <c r="AH118" s="647"/>
      <c r="AI118" s="647"/>
      <c r="AJ118" s="647"/>
      <c r="AK118" s="647"/>
      <c r="AL118" s="39"/>
      <c r="AM118" s="126"/>
      <c r="AN118" s="43" t="str">
        <f ca="1">IF(FU96=0,"","`")</f>
        <v/>
      </c>
      <c r="AO118" s="215" t="str">
        <f ca="1">IF(FU96=0,"",IF(BC96="","",IF(BC96=0,"",IF(BC96=BX150,"",IF(AND(FO94&gt;=F118,BC96&gt;=AO155),"-","")))))</f>
        <v/>
      </c>
      <c r="AP118" s="215" t="str">
        <f ca="1">IF(FU96=0,"",IF(BC96="","",IF(BC96=0,"",IF(BC96=BX150,"",IF(AND(FO94&gt;=F118,BC96&gt;=AP155),"-","")))))</f>
        <v/>
      </c>
      <c r="AQ118" s="215" t="str">
        <f ca="1">IF(FU96=0,"",IF(BC96="","",IF(BC96=0,"",IF(BC96=BX150,"",IF(AND(FO94&gt;=F118,BC96&gt;=AQ155),"-","")))))</f>
        <v/>
      </c>
      <c r="AR118" s="215" t="str">
        <f ca="1">IF(FU96=0,"",IF(BC96="","",IF(BC96=0,"",IF(BC96=BX150,"",IF(AND(FO94&gt;=F118,BC96&gt;=AR155),"-","")))))</f>
        <v/>
      </c>
      <c r="AS118" s="215" t="str">
        <f ca="1">IF(FU96=0,"",IF(BC96="","",IF(BC96=0,"",IF(BC96=BX150,"",IF(AND(FO94&gt;=F118,BC96&gt;=AS155),"-","")))))</f>
        <v/>
      </c>
      <c r="AT118" s="215" t="str">
        <f ca="1">IF(FU96=0,"",IF(BC96="","",IF(BC96=0,"",IF(BC96=BX150,"",IF(AND(FO94&gt;=F118,BC96&gt;=AT155),"-","")))))</f>
        <v/>
      </c>
      <c r="AU118" s="215" t="str">
        <f ca="1">IF(FU96=0,"",IF(BC96="","",IF(BC96=0,"",IF(BC96=BX150,"",IF(AND(FO94&gt;=F118,BC96&gt;=AU155),"-","")))))</f>
        <v/>
      </c>
      <c r="AV118" s="215" t="str">
        <f ca="1">IF(FU96=0,"",IF(BC96="","",IF(BC96=0,"",IF(BC96=BX150,"",IF(AND(FO94&gt;=F118,BC96&gt;=AV155),"-","")))))</f>
        <v/>
      </c>
      <c r="AW118" s="215" t="str">
        <f ca="1">IF(FU96=0,"",IF(BC96="","",IF(BC96=0,"",IF(BC96=BX150,"",IF(AND(FO94&gt;=F118,BC96&gt;=AW155),"-","")))))</f>
        <v/>
      </c>
      <c r="AX118" s="215" t="str">
        <f ca="1">IF(FU96=0,"",IF(BC96="","",IF(BC96=0,"",IF(BC96=BX150,"",IF(AND(FO94&gt;=F118,BC96&gt;=AX155),"-","")))))</f>
        <v/>
      </c>
      <c r="AY118" s="215" t="str">
        <f ca="1">IF(FU96=0,"",IF(BC96="","",IF(BC96=0,"",IF(BC96=BX150,"",IF(AND(FO94&gt;=F118,BC96&gt;=AY155),"-","")))))</f>
        <v/>
      </c>
      <c r="AZ118" s="197" t="str">
        <f ca="1">IF(FU96=0,"",":")</f>
        <v/>
      </c>
      <c r="BA118" s="197"/>
      <c r="BB118" s="197"/>
      <c r="BC118" s="197"/>
      <c r="BD118" s="215"/>
      <c r="BE118" s="197"/>
      <c r="BF118" s="197"/>
      <c r="BG118" s="197"/>
      <c r="BH118" s="197"/>
      <c r="BI118" s="197"/>
      <c r="BJ118" s="197"/>
      <c r="BK118" s="197"/>
      <c r="BL118" s="645"/>
      <c r="BM118" s="645"/>
      <c r="BN118" s="645"/>
      <c r="BO118" s="645"/>
      <c r="BP118" s="645"/>
      <c r="BQ118" s="645"/>
      <c r="BR118" s="645"/>
      <c r="BS118" s="645"/>
      <c r="BT118" s="645"/>
      <c r="BU118" s="645"/>
      <c r="BV118" s="645"/>
      <c r="BW118" s="645"/>
      <c r="BX118" s="645"/>
      <c r="BY118" s="645"/>
      <c r="BZ118" s="645"/>
      <c r="CA118" s="645"/>
      <c r="CB118" s="645"/>
      <c r="CC118" s="645"/>
      <c r="CD118" s="645"/>
      <c r="CE118" s="645"/>
      <c r="CF118" s="645"/>
      <c r="CG118" s="645"/>
      <c r="CH118" s="645"/>
      <c r="CI118" s="645"/>
      <c r="CJ118" s="645"/>
      <c r="CK118" s="645"/>
      <c r="CL118" s="645"/>
      <c r="CM118" s="645"/>
      <c r="CN118" s="645"/>
      <c r="CO118" s="645"/>
      <c r="CP118" s="645"/>
      <c r="CQ118" s="645"/>
      <c r="CR118" s="645"/>
      <c r="CS118" s="645"/>
      <c r="CT118" s="645"/>
      <c r="CU118" s="645"/>
      <c r="CV118" s="645"/>
      <c r="CW118" s="645"/>
      <c r="CX118" s="645"/>
      <c r="CY118" s="645"/>
      <c r="CZ118" s="645"/>
      <c r="DA118" s="645"/>
      <c r="DB118" s="645"/>
      <c r="DC118" s="645"/>
      <c r="DD118" s="645"/>
      <c r="DE118" s="645"/>
      <c r="DF118" s="645"/>
      <c r="DG118" s="645"/>
      <c r="DH118" s="645"/>
      <c r="DI118" s="645"/>
      <c r="DJ118" s="645"/>
      <c r="DK118" s="645"/>
      <c r="DL118" s="645"/>
      <c r="DM118" s="645"/>
      <c r="DN118" s="645"/>
      <c r="DO118" s="645"/>
      <c r="DP118" s="645"/>
      <c r="DQ118" s="645"/>
      <c r="DR118" s="645"/>
      <c r="DS118" s="645"/>
      <c r="DT118" s="645"/>
      <c r="DU118" s="645"/>
      <c r="DV118" s="645"/>
      <c r="DW118" s="645"/>
      <c r="DX118" s="645"/>
      <c r="DY118" s="645"/>
      <c r="DZ118" s="645"/>
      <c r="EA118" s="645"/>
      <c r="EB118" s="645"/>
      <c r="EC118" s="645"/>
      <c r="ED118" s="645"/>
      <c r="EE118" s="645"/>
      <c r="EF118" s="645"/>
      <c r="EG118" s="645"/>
      <c r="EH118" s="645"/>
      <c r="EI118" s="645"/>
      <c r="EJ118" s="645"/>
      <c r="EK118" s="79"/>
      <c r="EL118" s="79"/>
      <c r="EM118" s="79"/>
      <c r="EN118" s="79"/>
      <c r="EO118" s="79"/>
      <c r="EP118" s="79"/>
      <c r="EQ118" s="79"/>
      <c r="ER118" s="79"/>
      <c r="ES118" s="79"/>
      <c r="ET118" s="79"/>
      <c r="EU118" s="79"/>
      <c r="EV118" s="79"/>
      <c r="EW118" s="79"/>
      <c r="EX118" s="79"/>
      <c r="EY118" s="79"/>
      <c r="EZ118" s="79"/>
      <c r="FA118" s="79"/>
      <c r="FB118" s="79"/>
      <c r="FC118" s="79"/>
      <c r="FD118" s="79"/>
      <c r="FE118" s="79"/>
      <c r="FF118" s="79"/>
      <c r="FG118" s="79"/>
      <c r="FH118" s="79"/>
      <c r="FI118" s="79"/>
      <c r="FJ118" s="79"/>
      <c r="FK118" s="79"/>
      <c r="FL118" s="79"/>
      <c r="FM118" s="47"/>
      <c r="FN118" s="47"/>
      <c r="FO118" s="47"/>
      <c r="FP118" s="47"/>
      <c r="FQ118" s="47"/>
      <c r="FR118" s="47"/>
      <c r="FS118" s="47"/>
      <c r="FT118" s="47"/>
      <c r="FU118" s="47"/>
      <c r="FV118" s="47"/>
      <c r="FW118" s="47"/>
      <c r="FX118" s="47"/>
      <c r="FY118" s="47"/>
      <c r="FZ118" s="47"/>
      <c r="GA118" s="49"/>
      <c r="GB118" s="49"/>
      <c r="GC118" s="49"/>
      <c r="GD118" s="49"/>
      <c r="GE118" s="49"/>
      <c r="GF118" s="49"/>
      <c r="GG118" s="49"/>
      <c r="GH118" s="49"/>
      <c r="GI118" s="49"/>
      <c r="GJ118" s="49"/>
      <c r="GK118" s="49"/>
      <c r="GL118" s="49"/>
      <c r="GM118" s="49"/>
      <c r="GN118" s="49"/>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row>
    <row r="119" spans="1:221" ht="3.75" customHeight="1">
      <c r="A119" s="1"/>
      <c r="B119" s="3"/>
      <c r="C119" s="3"/>
      <c r="D119" s="38"/>
      <c r="E119" s="43">
        <v>28</v>
      </c>
      <c r="F119" s="43" t="e">
        <f ca="1">E119*AB105/40</f>
        <v>#VALUE!</v>
      </c>
      <c r="G119" s="79"/>
      <c r="H119" s="79"/>
      <c r="I119" s="79"/>
      <c r="J119" s="79"/>
      <c r="K119" s="43"/>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126"/>
      <c r="AN119" s="43" t="str">
        <f ca="1">IF(FU96=0,"","`")</f>
        <v/>
      </c>
      <c r="AO119" s="215" t="str">
        <f ca="1">IF(FU96=0,"",IF(BC96="","",IF(BC96=0,"",IF(BC96=BX150,"",IF(AND(FO94&gt;=F119,BC96&gt;=AO155),"-","")))))</f>
        <v/>
      </c>
      <c r="AP119" s="215" t="str">
        <f ca="1">IF(FU96=0,"",IF(BC96="","",IF(BC96=0,"",IF(BC96=BX150,"",IF(AND(FO94&gt;=F119,BC96&gt;=AP155),"-","")))))</f>
        <v/>
      </c>
      <c r="AQ119" s="215" t="str">
        <f ca="1">IF(FU96=0,"",IF(BC96="","",IF(BC96=0,"",IF(BC96=BX150,"",IF(AND(FO94&gt;=F119,BC96&gt;=AQ155),"-","")))))</f>
        <v/>
      </c>
      <c r="AR119" s="215" t="str">
        <f ca="1">IF(FU96=0,"",IF(BC96="","",IF(BC96=0,"",IF(BC96=BX150,"",IF(AND(FO94&gt;=F119,BC96&gt;=AR155),"-","")))))</f>
        <v/>
      </c>
      <c r="AS119" s="215" t="str">
        <f ca="1">IF(FU96=0,"",IF(BC96="","",IF(BC96=0,"",IF(BC96=BX150,"",IF(AND(FO94&gt;=F119,BC96&gt;=AS155),"-","")))))</f>
        <v/>
      </c>
      <c r="AT119" s="215" t="str">
        <f ca="1">IF(FU96=0,"",IF(BC96="","",IF(BC96=0,"",IF(BC96=BX150,"",IF(AND(FO94&gt;=F119,BC96&gt;=AT155),"-","")))))</f>
        <v/>
      </c>
      <c r="AU119" s="215" t="str">
        <f ca="1">IF(FU96=0,"",IF(BC96="","",IF(BC96=0,"",IF(BC96=BX150,"",IF(AND(FO94&gt;=F119,BC96&gt;=AU155),"-","")))))</f>
        <v/>
      </c>
      <c r="AV119" s="215" t="str">
        <f ca="1">IF(FU96=0,"",IF(BC96="","",IF(BC96=0,"",IF(BC96=BX150,"",IF(AND(FO94&gt;=F119,BC96&gt;=AV155),"-","")))))</f>
        <v/>
      </c>
      <c r="AW119" s="215" t="str">
        <f ca="1">IF(FU96=0,"",IF(BC96="","",IF(BC96=0,"",IF(BC96=BX150,"",IF(AND(FO94&gt;=F119,BC96&gt;=AW155),"-","")))))</f>
        <v/>
      </c>
      <c r="AX119" s="215" t="str">
        <f ca="1">IF(FU96=0,"",IF(BC96="","",IF(BC96=0,"",IF(BC96=BX150,"",IF(AND(FO94&gt;=F119,BC96&gt;=AX155),"-","")))))</f>
        <v/>
      </c>
      <c r="AY119" s="215" t="str">
        <f ca="1">IF(FU96=0,"",IF(BC96="","",IF(BC96=0,"",IF(BC96=BX150,"",IF(AND(FO94&gt;=F119,BC96&gt;=AY155),"-","")))))</f>
        <v/>
      </c>
      <c r="AZ119" s="215" t="str">
        <f ca="1">IF(FU96=0,"",IF(BC96="","",IF(BC96=0,"",IF(BC96=BX150,"",IF(AND(FO94&gt;=F119,BC96&gt;=AZ155),"-","")))))</f>
        <v/>
      </c>
      <c r="BA119" s="197" t="str">
        <f ca="1">IF(FU96=0,"",":")</f>
        <v/>
      </c>
      <c r="BB119" s="197"/>
      <c r="BC119" s="215"/>
      <c r="BD119" s="215"/>
      <c r="BE119" s="197"/>
      <c r="BF119" s="197"/>
      <c r="BG119" s="197"/>
      <c r="BH119" s="197"/>
      <c r="BI119" s="197"/>
      <c r="BJ119" s="197"/>
      <c r="BK119" s="197"/>
      <c r="BL119" s="645"/>
      <c r="BM119" s="645"/>
      <c r="BN119" s="645"/>
      <c r="BO119" s="645"/>
      <c r="BP119" s="645"/>
      <c r="BQ119" s="645"/>
      <c r="BR119" s="645"/>
      <c r="BS119" s="645"/>
      <c r="BT119" s="645"/>
      <c r="BU119" s="645"/>
      <c r="BV119" s="645"/>
      <c r="BW119" s="645"/>
      <c r="BX119" s="645"/>
      <c r="BY119" s="645"/>
      <c r="BZ119" s="645"/>
      <c r="CA119" s="645"/>
      <c r="CB119" s="645"/>
      <c r="CC119" s="645"/>
      <c r="CD119" s="645"/>
      <c r="CE119" s="645"/>
      <c r="CF119" s="645"/>
      <c r="CG119" s="645"/>
      <c r="CH119" s="645"/>
      <c r="CI119" s="645"/>
      <c r="CJ119" s="645"/>
      <c r="CK119" s="645"/>
      <c r="CL119" s="645"/>
      <c r="CM119" s="645"/>
      <c r="CN119" s="645"/>
      <c r="CO119" s="645"/>
      <c r="CP119" s="645"/>
      <c r="CQ119" s="645"/>
      <c r="CR119" s="645"/>
      <c r="CS119" s="645"/>
      <c r="CT119" s="645"/>
      <c r="CU119" s="645"/>
      <c r="CV119" s="645"/>
      <c r="CW119" s="645"/>
      <c r="CX119" s="645"/>
      <c r="CY119" s="645"/>
      <c r="CZ119" s="645"/>
      <c r="DA119" s="645"/>
      <c r="DB119" s="645"/>
      <c r="DC119" s="645"/>
      <c r="DD119" s="645"/>
      <c r="DE119" s="645"/>
      <c r="DF119" s="645"/>
      <c r="DG119" s="645"/>
      <c r="DH119" s="645"/>
      <c r="DI119" s="645"/>
      <c r="DJ119" s="645"/>
      <c r="DK119" s="645"/>
      <c r="DL119" s="645"/>
      <c r="DM119" s="645"/>
      <c r="DN119" s="645"/>
      <c r="DO119" s="645"/>
      <c r="DP119" s="645"/>
      <c r="DQ119" s="645"/>
      <c r="DR119" s="645"/>
      <c r="DS119" s="645"/>
      <c r="DT119" s="645"/>
      <c r="DU119" s="645"/>
      <c r="DV119" s="645"/>
      <c r="DW119" s="645"/>
      <c r="DX119" s="645"/>
      <c r="DY119" s="645"/>
      <c r="DZ119" s="645"/>
      <c r="EA119" s="645"/>
      <c r="EB119" s="645"/>
      <c r="EC119" s="645"/>
      <c r="ED119" s="645"/>
      <c r="EE119" s="645"/>
      <c r="EF119" s="645"/>
      <c r="EG119" s="645"/>
      <c r="EH119" s="645"/>
      <c r="EI119" s="645"/>
      <c r="EJ119" s="645"/>
      <c r="EK119" s="79"/>
      <c r="EL119" s="79"/>
      <c r="EM119" s="79"/>
      <c r="EN119" s="79"/>
      <c r="EO119" s="79"/>
      <c r="EP119" s="79"/>
      <c r="EQ119" s="79"/>
      <c r="ER119" s="79"/>
      <c r="ES119" s="79"/>
      <c r="ET119" s="79"/>
      <c r="EU119" s="79"/>
      <c r="EV119" s="79"/>
      <c r="EW119" s="79"/>
      <c r="EX119" s="79"/>
      <c r="EY119" s="79"/>
      <c r="EZ119" s="79"/>
      <c r="FA119" s="79"/>
      <c r="FB119" s="79"/>
      <c r="FC119" s="79"/>
      <c r="FD119" s="79"/>
      <c r="FE119" s="79"/>
      <c r="FF119" s="79"/>
      <c r="FG119" s="79"/>
      <c r="FH119" s="79"/>
      <c r="FI119" s="79"/>
      <c r="FJ119" s="79"/>
      <c r="FK119" s="79"/>
      <c r="FL119" s="79"/>
      <c r="FM119" s="47"/>
      <c r="FN119" s="47"/>
      <c r="FO119" s="47"/>
      <c r="FP119" s="47"/>
      <c r="FQ119" s="47"/>
      <c r="FR119" s="47"/>
      <c r="FS119" s="47"/>
      <c r="FT119" s="47"/>
      <c r="FU119" s="47"/>
      <c r="FV119" s="47"/>
      <c r="FW119" s="47"/>
      <c r="FX119" s="47"/>
      <c r="FY119" s="47"/>
      <c r="FZ119" s="47"/>
      <c r="GA119" s="49"/>
      <c r="GB119" s="49"/>
      <c r="GC119" s="49"/>
      <c r="GD119" s="49"/>
      <c r="GE119" s="49"/>
      <c r="GF119" s="49"/>
      <c r="GG119" s="49"/>
      <c r="GH119" s="49"/>
      <c r="GI119" s="49"/>
      <c r="GJ119" s="49"/>
      <c r="GK119" s="49"/>
      <c r="GL119" s="49"/>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row>
    <row r="120" spans="1:221" ht="3.75" customHeight="1">
      <c r="A120" s="1"/>
      <c r="B120" s="3"/>
      <c r="C120" s="3"/>
      <c r="D120" s="38"/>
      <c r="E120" s="43">
        <v>27</v>
      </c>
      <c r="F120" s="43" t="e">
        <f ca="1">E120*AB105/40</f>
        <v>#VALUE!</v>
      </c>
      <c r="G120" s="79"/>
      <c r="H120" s="79"/>
      <c r="I120" s="79"/>
      <c r="J120" s="79"/>
      <c r="K120" s="43"/>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126"/>
      <c r="AN120" s="43" t="str">
        <f ca="1">IF(FU96=0,"","`")</f>
        <v/>
      </c>
      <c r="AO120" s="215" t="str">
        <f ca="1">IF(FU96=0,"",IF(BC96="","",IF(BC96=0,"",IF(BC96=BX150,"",IF(AND(FO94&gt;=F120,BC96&gt;=AO155),"-","")))))</f>
        <v/>
      </c>
      <c r="AP120" s="215" t="str">
        <f ca="1">IF(FU96=0,"",IF(BC96="","",IF(BC96=0,"",IF(BC96=BX150,"",IF(AND(FO94&gt;=F120,BC96&gt;=AP155),"-","")))))</f>
        <v/>
      </c>
      <c r="AQ120" s="215" t="str">
        <f ca="1">IF(FU96=0,"",IF(BC96="","",IF(BC96=0,"",IF(BC96=BX150,"",IF(AND(FO94&gt;=F120,BC96&gt;=AQ155),"-","")))))</f>
        <v/>
      </c>
      <c r="AR120" s="215" t="str">
        <f ca="1">IF(FU96=0,"",IF(BC96="","",IF(BC96=0,"",IF(BC96=BX150,"",IF(AND(FO94&gt;=F120,BC96&gt;=AR155),"-","")))))</f>
        <v/>
      </c>
      <c r="AS120" s="215" t="str">
        <f ca="1">IF(FU96=0,"",IF(BC96="","",IF(BC96=0,"",IF(BC96=BX150,"",IF(AND(FO94&gt;=F120,BC96&gt;=AS155),"-","")))))</f>
        <v/>
      </c>
      <c r="AT120" s="215" t="str">
        <f ca="1">IF(FU96=0,"",IF(BC96="","",IF(BC96=0,"",IF(BC96=BX150,"",IF(AND(FO94&gt;=F120,BC96&gt;=AT155),"-","")))))</f>
        <v/>
      </c>
      <c r="AU120" s="215" t="str">
        <f ca="1">IF(FU96=0,"",IF(BC96="","",IF(BC96=0,"",IF(BC96=BX150,"",IF(AND(FO94&gt;=F120,BC96&gt;=AU155),"-","")))))</f>
        <v/>
      </c>
      <c r="AV120" s="215" t="str">
        <f ca="1">IF(FU96=0,"",IF(BC96="","",IF(BC96=0,"",IF(BC96=BX150,"",IF(AND(FO94&gt;=F120,BC96&gt;=AV155),"-","")))))</f>
        <v/>
      </c>
      <c r="AW120" s="215" t="str">
        <f ca="1">IF(FU96=0,"",IF(BC96="","",IF(BC96=0,"",IF(BC96=BX150,"",IF(AND(FO94&gt;=F120,BC96&gt;=AW155),"-","")))))</f>
        <v/>
      </c>
      <c r="AX120" s="215" t="str">
        <f ca="1">IF(FU96=0,"",IF(BC96="","",IF(BC96=0,"",IF(BC96=BX150,"",IF(AND(FO94&gt;=F120,BC96&gt;=AX155),"-","")))))</f>
        <v/>
      </c>
      <c r="AY120" s="215" t="str">
        <f ca="1">IF(FU96=0,"",IF(BC96="","",IF(BC96=0,"",IF(BC96=BX150,"",IF(AND(FO94&gt;=F120,BC96&gt;=AY155),"-","")))))</f>
        <v/>
      </c>
      <c r="AZ120" s="215" t="str">
        <f ca="1">IF(FU96=0,"",IF(BC96="","",IF(BC96=0,"",IF(BC96=BX150,"",IF(AND(FO94&gt;=F120,BC96&gt;=AZ155),"-","")))))</f>
        <v/>
      </c>
      <c r="BA120" s="215" t="str">
        <f ca="1">IF(FU96=0,"",IF(BC96="","",IF(BC96=0,"",IF(BC96=BX150,"",IF(AND(FO94&gt;=F120,BC96&gt;=BA155),"-","")))))</f>
        <v/>
      </c>
      <c r="BB120" s="197" t="str">
        <f ca="1">IF(FU96=0,"",":")</f>
        <v/>
      </c>
      <c r="BC120" s="215"/>
      <c r="BD120" s="215"/>
      <c r="BE120" s="197"/>
      <c r="BF120" s="197"/>
      <c r="BG120" s="197"/>
      <c r="BH120" s="197"/>
      <c r="BI120" s="197"/>
      <c r="BJ120" s="197"/>
      <c r="BK120" s="197"/>
      <c r="BL120" s="645"/>
      <c r="BM120" s="645"/>
      <c r="BN120" s="645"/>
      <c r="BO120" s="645"/>
      <c r="BP120" s="645"/>
      <c r="BQ120" s="645"/>
      <c r="BR120" s="645"/>
      <c r="BS120" s="645"/>
      <c r="BT120" s="645"/>
      <c r="BU120" s="645"/>
      <c r="BV120" s="645"/>
      <c r="BW120" s="645"/>
      <c r="BX120" s="645"/>
      <c r="BY120" s="645"/>
      <c r="BZ120" s="645"/>
      <c r="CA120" s="645"/>
      <c r="CB120" s="645"/>
      <c r="CC120" s="645"/>
      <c r="CD120" s="645"/>
      <c r="CE120" s="645"/>
      <c r="CF120" s="645"/>
      <c r="CG120" s="645"/>
      <c r="CH120" s="645"/>
      <c r="CI120" s="645"/>
      <c r="CJ120" s="645"/>
      <c r="CK120" s="645"/>
      <c r="CL120" s="645"/>
      <c r="CM120" s="645"/>
      <c r="CN120" s="645"/>
      <c r="CO120" s="645"/>
      <c r="CP120" s="645"/>
      <c r="CQ120" s="645"/>
      <c r="CR120" s="645"/>
      <c r="CS120" s="645"/>
      <c r="CT120" s="645"/>
      <c r="CU120" s="645"/>
      <c r="CV120" s="645"/>
      <c r="CW120" s="645"/>
      <c r="CX120" s="645"/>
      <c r="CY120" s="645"/>
      <c r="CZ120" s="645"/>
      <c r="DA120" s="645"/>
      <c r="DB120" s="645"/>
      <c r="DC120" s="645"/>
      <c r="DD120" s="645"/>
      <c r="DE120" s="645"/>
      <c r="DF120" s="645"/>
      <c r="DG120" s="645"/>
      <c r="DH120" s="645"/>
      <c r="DI120" s="645"/>
      <c r="DJ120" s="645"/>
      <c r="DK120" s="645"/>
      <c r="DL120" s="645"/>
      <c r="DM120" s="645"/>
      <c r="DN120" s="645"/>
      <c r="DO120" s="645"/>
      <c r="DP120" s="645"/>
      <c r="DQ120" s="645"/>
      <c r="DR120" s="645"/>
      <c r="DS120" s="645"/>
      <c r="DT120" s="645"/>
      <c r="DU120" s="645"/>
      <c r="DV120" s="645"/>
      <c r="DW120" s="645"/>
      <c r="DX120" s="645"/>
      <c r="DY120" s="645"/>
      <c r="DZ120" s="645"/>
      <c r="EA120" s="645"/>
      <c r="EB120" s="645"/>
      <c r="EC120" s="645"/>
      <c r="ED120" s="645"/>
      <c r="EE120" s="645"/>
      <c r="EF120" s="645"/>
      <c r="EG120" s="645"/>
      <c r="EH120" s="645"/>
      <c r="EI120" s="645"/>
      <c r="EJ120" s="645"/>
      <c r="EK120" s="79"/>
      <c r="EL120" s="79"/>
      <c r="EM120" s="79"/>
      <c r="EN120" s="79"/>
      <c r="EO120" s="79"/>
      <c r="EP120" s="79"/>
      <c r="EQ120" s="79"/>
      <c r="ER120" s="79"/>
      <c r="ES120" s="79"/>
      <c r="ET120" s="79"/>
      <c r="EU120" s="79"/>
      <c r="EV120" s="79"/>
      <c r="EW120" s="79"/>
      <c r="EX120" s="79"/>
      <c r="EY120" s="79"/>
      <c r="EZ120" s="79"/>
      <c r="FA120" s="79"/>
      <c r="FB120" s="79"/>
      <c r="FC120" s="79"/>
      <c r="FD120" s="79"/>
      <c r="FE120" s="79"/>
      <c r="FF120" s="79"/>
      <c r="FG120" s="79"/>
      <c r="FH120" s="79"/>
      <c r="FI120" s="79"/>
      <c r="FJ120" s="79"/>
      <c r="FK120" s="79"/>
      <c r="FL120" s="79"/>
      <c r="FM120" s="47"/>
      <c r="FN120" s="47"/>
      <c r="FO120" s="47"/>
      <c r="FP120" s="47"/>
      <c r="FQ120" s="47"/>
      <c r="FR120" s="47"/>
      <c r="FS120" s="47"/>
      <c r="FT120" s="47"/>
      <c r="FU120" s="47"/>
      <c r="FV120" s="47"/>
      <c r="FW120" s="47"/>
      <c r="FX120" s="47"/>
      <c r="FY120" s="47"/>
      <c r="FZ120" s="47"/>
      <c r="GA120" s="49"/>
      <c r="GB120" s="49"/>
      <c r="GC120" s="49"/>
      <c r="GD120" s="49"/>
      <c r="GE120" s="49"/>
      <c r="GF120" s="49"/>
      <c r="GG120" s="49"/>
      <c r="GH120" s="49"/>
      <c r="GI120" s="49"/>
      <c r="GJ120" s="49"/>
      <c r="GK120" s="49"/>
      <c r="GL120" s="49"/>
      <c r="GM120" s="49"/>
      <c r="GN120" s="49"/>
      <c r="GO120" s="49"/>
      <c r="GP120" s="49"/>
      <c r="GQ120" s="49"/>
      <c r="GR120" s="49"/>
      <c r="GS120" s="49"/>
      <c r="GT120" s="49"/>
      <c r="GU120" s="49"/>
      <c r="GV120" s="49"/>
      <c r="GW120" s="49"/>
      <c r="GX120" s="49"/>
      <c r="GY120" s="49"/>
      <c r="GZ120" s="49"/>
      <c r="HA120" s="49"/>
      <c r="HB120" s="49"/>
      <c r="HC120" s="49"/>
      <c r="HD120" s="49"/>
      <c r="HE120" s="49"/>
      <c r="HF120" s="49"/>
      <c r="HG120" s="49"/>
      <c r="HH120" s="49"/>
      <c r="HI120" s="49"/>
      <c r="HJ120" s="49"/>
      <c r="HK120" s="49"/>
      <c r="HL120" s="49"/>
      <c r="HM120" s="49"/>
    </row>
    <row r="121" spans="1:221" ht="3.75" customHeight="1">
      <c r="A121" s="1"/>
      <c r="B121" s="3"/>
      <c r="C121" s="3"/>
      <c r="D121" s="38"/>
      <c r="E121" s="43">
        <v>26</v>
      </c>
      <c r="F121" s="43" t="e">
        <f ca="1">E121*AB105/40</f>
        <v>#VALUE!</v>
      </c>
      <c r="G121" s="79"/>
      <c r="H121" s="79"/>
      <c r="I121" s="79"/>
      <c r="J121" s="79"/>
      <c r="K121" s="43"/>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126"/>
      <c r="AN121" s="43" t="str">
        <f ca="1">IF(FU96=0,"","`")</f>
        <v/>
      </c>
      <c r="AO121" s="215" t="str">
        <f ca="1">IF(FU96=0,"",IF(BC96="","",IF(BC96=0,"",IF(BC96=BX150,"",IF(AND(FO94&gt;=F121,BC96&gt;=AO155),"-","")))))</f>
        <v/>
      </c>
      <c r="AP121" s="215" t="str">
        <f ca="1">IF(FU96=0,"",IF(BC96="","",IF(BC96=0,"",IF(BC96=BX150,"",IF(AND(FO94&gt;=F121,BC96&gt;=AP155),"-","")))))</f>
        <v/>
      </c>
      <c r="AQ121" s="215" t="str">
        <f ca="1">IF(FU96=0,"",IF(BC96="","",IF(BC96=0,"",IF(BC96=BX150,"",IF(AND(FO94&gt;=F121,BC96&gt;=AQ155),"-","")))))</f>
        <v/>
      </c>
      <c r="AR121" s="215" t="str">
        <f ca="1">IF(FU96=0,"",IF(BC96="","",IF(BC96=0,"",IF(BC96=BX150,"",IF(AND(FO94&gt;=F121,BC96&gt;=AR155),"-","")))))</f>
        <v/>
      </c>
      <c r="AS121" s="215" t="str">
        <f ca="1">IF(FU96=0,"",IF(BC96="","",IF(BC96=0,"",IF(BC96=BX150,"",IF(AND(FO94&gt;=F121,BC96&gt;=AS155),"-","")))))</f>
        <v/>
      </c>
      <c r="AT121" s="215" t="str">
        <f ca="1">IF(FU96=0,"",IF(BC96="","",IF(BC96=0,"",IF(BC96=BX150,"",IF(AND(FO94&gt;=F121,BC96&gt;=AT155),"-","")))))</f>
        <v/>
      </c>
      <c r="AU121" s="215" t="str">
        <f ca="1">IF(FU96=0,"",IF(BC96="","",IF(BC96=0,"",IF(BC96=BX150,"",IF(AND(FO94&gt;=F121,BC96&gt;=AU155),"-","")))))</f>
        <v/>
      </c>
      <c r="AV121" s="215" t="str">
        <f ca="1">IF(FU96=0,"",IF(BC96="","",IF(BC96=0,"",IF(BC96=BX150,"",IF(AND(FO94&gt;=F121,BC96&gt;=AV155),"-","")))))</f>
        <v/>
      </c>
      <c r="AW121" s="215" t="str">
        <f ca="1">IF(FU96=0,"",IF(BC96="","",IF(BC96=0,"",IF(BC96=BX150,"",IF(AND(FO94&gt;=F121,BC96&gt;=AW155),"-","")))))</f>
        <v/>
      </c>
      <c r="AX121" s="215" t="str">
        <f ca="1">IF(FU96=0,"",IF(BC96="","",IF(BC96=0,"",IF(BC96=BX150,"",IF(AND(FO94&gt;=F121,BC96&gt;=AX155),"-","")))))</f>
        <v/>
      </c>
      <c r="AY121" s="215" t="str">
        <f ca="1">IF(FU96=0,"",IF(BC96="","",IF(BC96=0,"",IF(BC96=BX150,"",IF(AND(FO94&gt;=F121,BC96&gt;=AY155),"-","")))))</f>
        <v/>
      </c>
      <c r="AZ121" s="215" t="str">
        <f ca="1">IF(FU96=0,"",IF(BC96="","",IF(BC96=0,"",IF(BC96=BX150,"",IF(AND(FO94&gt;=F121,BC96&gt;=AZ155),"-","")))))</f>
        <v/>
      </c>
      <c r="BA121" s="215" t="str">
        <f ca="1">IF(FU96=0,"",IF(BC96="","",IF(BC96=0,"",IF(BC96=BX150,"",IF(AND(FO94&gt;=F121,BC96&gt;=BA155),"-","")))))</f>
        <v/>
      </c>
      <c r="BB121" s="215" t="str">
        <f ca="1">IF(FU96=0,"",IF(BC96="","",IF(BC96=0,"",IF(BC96=BX150,"",IF(AND(FO94&gt;=F121,BC96&gt;=BB155),"-","")))))</f>
        <v/>
      </c>
      <c r="BC121" s="197" t="str">
        <f ca="1">IF(FU96=0,"",":")</f>
        <v/>
      </c>
      <c r="BD121" s="197"/>
      <c r="BE121" s="197"/>
      <c r="BF121" s="197"/>
      <c r="BG121" s="197"/>
      <c r="BH121" s="197"/>
      <c r="BI121" s="197"/>
      <c r="BJ121" s="197"/>
      <c r="BK121" s="197"/>
      <c r="BL121" s="645"/>
      <c r="BM121" s="645"/>
      <c r="BN121" s="645"/>
      <c r="BO121" s="645"/>
      <c r="BP121" s="645"/>
      <c r="BQ121" s="645"/>
      <c r="BR121" s="645"/>
      <c r="BS121" s="645"/>
      <c r="BT121" s="645"/>
      <c r="BU121" s="645"/>
      <c r="BV121" s="645"/>
      <c r="BW121" s="645"/>
      <c r="BX121" s="645"/>
      <c r="BY121" s="645"/>
      <c r="BZ121" s="645"/>
      <c r="CA121" s="645"/>
      <c r="CB121" s="645"/>
      <c r="CC121" s="645"/>
      <c r="CD121" s="645"/>
      <c r="CE121" s="645"/>
      <c r="CF121" s="645"/>
      <c r="CG121" s="645"/>
      <c r="CH121" s="645"/>
      <c r="CI121" s="645"/>
      <c r="CJ121" s="645"/>
      <c r="CK121" s="645"/>
      <c r="CL121" s="645"/>
      <c r="CM121" s="645"/>
      <c r="CN121" s="645"/>
      <c r="CO121" s="645"/>
      <c r="CP121" s="645"/>
      <c r="CQ121" s="645"/>
      <c r="CR121" s="645"/>
      <c r="CS121" s="645"/>
      <c r="CT121" s="645"/>
      <c r="CU121" s="645"/>
      <c r="CV121" s="645"/>
      <c r="CW121" s="645"/>
      <c r="CX121" s="645"/>
      <c r="CY121" s="645"/>
      <c r="CZ121" s="645"/>
      <c r="DA121" s="645"/>
      <c r="DB121" s="645"/>
      <c r="DC121" s="645"/>
      <c r="DD121" s="645"/>
      <c r="DE121" s="645"/>
      <c r="DF121" s="645"/>
      <c r="DG121" s="645"/>
      <c r="DH121" s="645"/>
      <c r="DI121" s="645"/>
      <c r="DJ121" s="645"/>
      <c r="DK121" s="645"/>
      <c r="DL121" s="645"/>
      <c r="DM121" s="645"/>
      <c r="DN121" s="645"/>
      <c r="DO121" s="645"/>
      <c r="DP121" s="645"/>
      <c r="DQ121" s="645"/>
      <c r="DR121" s="645"/>
      <c r="DS121" s="645"/>
      <c r="DT121" s="645"/>
      <c r="DU121" s="645"/>
      <c r="DV121" s="645"/>
      <c r="DW121" s="645"/>
      <c r="DX121" s="645"/>
      <c r="DY121" s="645"/>
      <c r="DZ121" s="645"/>
      <c r="EA121" s="645"/>
      <c r="EB121" s="645"/>
      <c r="EC121" s="645"/>
      <c r="ED121" s="645"/>
      <c r="EE121" s="645"/>
      <c r="EF121" s="645"/>
      <c r="EG121" s="645"/>
      <c r="EH121" s="645"/>
      <c r="EI121" s="645"/>
      <c r="EJ121" s="645"/>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47"/>
      <c r="FN121" s="47"/>
      <c r="FO121" s="47"/>
      <c r="FP121" s="47"/>
      <c r="FQ121" s="47"/>
      <c r="FR121" s="47"/>
      <c r="FS121" s="47"/>
      <c r="FT121" s="47"/>
      <c r="FU121" s="47"/>
      <c r="FV121" s="47"/>
      <c r="FW121" s="47"/>
      <c r="FX121" s="47"/>
      <c r="FY121" s="47"/>
      <c r="FZ121" s="47"/>
      <c r="GA121" s="49"/>
      <c r="GB121" s="49"/>
      <c r="GC121" s="49"/>
      <c r="GD121" s="49"/>
      <c r="GE121" s="49"/>
      <c r="GF121" s="49"/>
      <c r="GG121" s="49"/>
      <c r="GH121" s="49"/>
      <c r="GI121" s="49"/>
      <c r="GJ121" s="49"/>
      <c r="GK121" s="49"/>
      <c r="GL121" s="49"/>
      <c r="GM121" s="49"/>
      <c r="GN121" s="49"/>
      <c r="GO121" s="49"/>
      <c r="GP121" s="49"/>
      <c r="GQ121" s="49"/>
      <c r="GR121" s="49"/>
      <c r="GS121" s="49"/>
      <c r="GT121" s="49"/>
      <c r="GU121" s="49"/>
      <c r="GV121" s="49"/>
      <c r="GW121" s="49"/>
      <c r="GX121" s="49"/>
      <c r="GY121" s="49"/>
      <c r="GZ121" s="49"/>
      <c r="HA121" s="49"/>
      <c r="HB121" s="49"/>
      <c r="HC121" s="49"/>
      <c r="HD121" s="49"/>
      <c r="HE121" s="49"/>
      <c r="HF121" s="49"/>
      <c r="HG121" s="49"/>
      <c r="HH121" s="49"/>
      <c r="HI121" s="49"/>
      <c r="HJ121" s="49"/>
      <c r="HK121" s="49"/>
      <c r="HL121" s="49"/>
      <c r="HM121" s="49"/>
    </row>
    <row r="122" spans="1:221" ht="3.75" customHeight="1">
      <c r="A122" s="1"/>
      <c r="B122" s="3"/>
      <c r="C122" s="3"/>
      <c r="D122" s="38"/>
      <c r="E122" s="43">
        <v>25</v>
      </c>
      <c r="F122" s="43" t="e">
        <f ca="1">E122*AB105/40</f>
        <v>#VALUE!</v>
      </c>
      <c r="G122" s="79"/>
      <c r="H122" s="79"/>
      <c r="I122" s="79"/>
      <c r="J122" s="79"/>
      <c r="K122" s="43"/>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126"/>
      <c r="AN122" s="43" t="str">
        <f ca="1">IF(FU96=0,"","`")</f>
        <v/>
      </c>
      <c r="AO122" s="215" t="str">
        <f ca="1">IF(FU96=0,"",IF(BC96="","",IF(BC96=0,"",IF(BC96=BX150,"",IF(AND(FO94&gt;=F122,BC96&gt;=AO155),"-","")))))</f>
        <v/>
      </c>
      <c r="AP122" s="215" t="str">
        <f ca="1">IF(FU96=0,"",IF(BC96="","",IF(BC96=0,"",IF(BC96=BX150,"",IF(AND(FO94&gt;=F122,BC96&gt;=AP155),"-","")))))</f>
        <v/>
      </c>
      <c r="AQ122" s="215" t="str">
        <f ca="1">IF(FU96=0,"",IF(BC96="","",IF(BC96=0,"",IF(BC96=BX150,"",IF(AND(FO94&gt;=F122,BC96&gt;=AQ155),"-","")))))</f>
        <v/>
      </c>
      <c r="AR122" s="215" t="str">
        <f ca="1">IF(FU96=0,"",IF(BC96="","",IF(BC96=0,"",IF(BC96=BX150,"",IF(AND(FO94&gt;=F122,BC96&gt;=AR155),"-","")))))</f>
        <v/>
      </c>
      <c r="AS122" s="215" t="str">
        <f ca="1">IF(FU96=0,"",IF(BC96="","",IF(BC96=0,"",IF(BC96=BX150,"",IF(AND(FO94&gt;=F122,BC96&gt;=AS155),"-","")))))</f>
        <v/>
      </c>
      <c r="AT122" s="215" t="str">
        <f ca="1">IF(FU96=0,"",IF(BC96="","",IF(BC96=0,"",IF(BC96=BX150,"",IF(AND(FO94&gt;=F122,BC96&gt;=AT155),"-","")))))</f>
        <v/>
      </c>
      <c r="AU122" s="215" t="str">
        <f ca="1">IF(FU96=0,"",IF(BC96="","",IF(BC96=0,"",IF(BC96=BX150,"",IF(AND(FO94&gt;=F122,BC96&gt;=AU155),"-","")))))</f>
        <v/>
      </c>
      <c r="AV122" s="215" t="str">
        <f ca="1">IF(FU96=0,"",IF(BC96="","",IF(BC96=0,"",IF(BC96=BX150,"",IF(AND(FO94&gt;=F122,BC96&gt;=AV155),"-","")))))</f>
        <v/>
      </c>
      <c r="AW122" s="215" t="str">
        <f ca="1">IF(FU96=0,"",IF(BC96="","",IF(BC96=0,"",IF(BC96=BX150,"",IF(AND(FO94&gt;=F122,BC96&gt;=AW155),"-","")))))</f>
        <v/>
      </c>
      <c r="AX122" s="215" t="str">
        <f ca="1">IF(FU96=0,"",IF(BC96="","",IF(BC96=0,"",IF(BC96=BX150,"",IF(AND(FO94&gt;=F122,BC96&gt;=AX155),"-","")))))</f>
        <v/>
      </c>
      <c r="AY122" s="215" t="str">
        <f ca="1">IF(FU96=0,"",IF(BC96="","",IF(BC96=0,"",IF(BC96=BX150,"",IF(AND(FO94&gt;=F122,BC96&gt;=AY155),"-","")))))</f>
        <v/>
      </c>
      <c r="AZ122" s="215" t="str">
        <f ca="1">IF(FU96=0,"",IF(BC96="","",IF(BC96=0,"",IF(BC96=BX150,"",IF(AND(FO94&gt;=F122,BC96&gt;=AZ155),"-","")))))</f>
        <v/>
      </c>
      <c r="BA122" s="215" t="str">
        <f ca="1">IF(FU96=0,"",IF(BC96="","",IF(BC96=0,"",IF(BC96=BX150,"",IF(AND(FO94&gt;=F122,BC96&gt;=BA155),"-","")))))</f>
        <v/>
      </c>
      <c r="BB122" s="215" t="str">
        <f ca="1">IF(FU96=0,"",IF(BC96="","",IF(BC96=0,"",IF(BC96=BX150,"",IF(AND(FO94&gt;=F122,BC96&gt;=BB155),"-","")))))</f>
        <v/>
      </c>
      <c r="BC122" s="215" t="str">
        <f ca="1">IF(FU96=0,"",IF(BC96="","",IF(BC96=0,"",IF(BC96=BX150,"",IF(AND(FO94&gt;=F122,BC96&gt;=BC155),"-","")))))</f>
        <v/>
      </c>
      <c r="BD122" s="197" t="str">
        <f ca="1">IF(FU96=0,"",":")</f>
        <v/>
      </c>
      <c r="BE122" s="197"/>
      <c r="BF122" s="197"/>
      <c r="BG122" s="197"/>
      <c r="BH122" s="197"/>
      <c r="BI122" s="197"/>
      <c r="BJ122" s="197"/>
      <c r="BK122" s="197"/>
      <c r="BL122" s="645"/>
      <c r="BM122" s="645"/>
      <c r="BN122" s="645"/>
      <c r="BO122" s="645"/>
      <c r="BP122" s="645"/>
      <c r="BQ122" s="645"/>
      <c r="BR122" s="645"/>
      <c r="BS122" s="645"/>
      <c r="BT122" s="645"/>
      <c r="BU122" s="645"/>
      <c r="BV122" s="645"/>
      <c r="BW122" s="645"/>
      <c r="BX122" s="645"/>
      <c r="BY122" s="645"/>
      <c r="BZ122" s="645"/>
      <c r="CA122" s="645"/>
      <c r="CB122" s="645"/>
      <c r="CC122" s="645"/>
      <c r="CD122" s="645"/>
      <c r="CE122" s="645"/>
      <c r="CF122" s="645"/>
      <c r="CG122" s="645"/>
      <c r="CH122" s="645"/>
      <c r="CI122" s="645"/>
      <c r="CJ122" s="645"/>
      <c r="CK122" s="645"/>
      <c r="CL122" s="645"/>
      <c r="CM122" s="645"/>
      <c r="CN122" s="645"/>
      <c r="CO122" s="645"/>
      <c r="CP122" s="645"/>
      <c r="CQ122" s="645"/>
      <c r="CR122" s="645"/>
      <c r="CS122" s="645"/>
      <c r="CT122" s="645"/>
      <c r="CU122" s="645"/>
      <c r="CV122" s="645"/>
      <c r="CW122" s="645"/>
      <c r="CX122" s="645"/>
      <c r="CY122" s="645"/>
      <c r="CZ122" s="645"/>
      <c r="DA122" s="645"/>
      <c r="DB122" s="645"/>
      <c r="DC122" s="645"/>
      <c r="DD122" s="645"/>
      <c r="DE122" s="645"/>
      <c r="DF122" s="645"/>
      <c r="DG122" s="645"/>
      <c r="DH122" s="645"/>
      <c r="DI122" s="645"/>
      <c r="DJ122" s="645"/>
      <c r="DK122" s="645"/>
      <c r="DL122" s="645"/>
      <c r="DM122" s="645"/>
      <c r="DN122" s="645"/>
      <c r="DO122" s="645"/>
      <c r="DP122" s="645"/>
      <c r="DQ122" s="645"/>
      <c r="DR122" s="645"/>
      <c r="DS122" s="645"/>
      <c r="DT122" s="645"/>
      <c r="DU122" s="645"/>
      <c r="DV122" s="645"/>
      <c r="DW122" s="645"/>
      <c r="DX122" s="645"/>
      <c r="DY122" s="645"/>
      <c r="DZ122" s="645"/>
      <c r="EA122" s="645"/>
      <c r="EB122" s="645"/>
      <c r="EC122" s="645"/>
      <c r="ED122" s="645"/>
      <c r="EE122" s="645"/>
      <c r="EF122" s="645"/>
      <c r="EG122" s="645"/>
      <c r="EH122" s="645"/>
      <c r="EI122" s="645"/>
      <c r="EJ122" s="645"/>
      <c r="EK122" s="79"/>
      <c r="EL122" s="79"/>
      <c r="EM122" s="79"/>
      <c r="EN122" s="79"/>
      <c r="EO122" s="79"/>
      <c r="EP122" s="79"/>
      <c r="EQ122" s="79"/>
      <c r="ER122" s="79"/>
      <c r="ES122" s="79"/>
      <c r="ET122" s="79"/>
      <c r="EU122" s="79"/>
      <c r="EV122" s="79"/>
      <c r="EW122" s="79"/>
      <c r="EX122" s="79"/>
      <c r="EY122" s="79"/>
      <c r="EZ122" s="79"/>
      <c r="FA122" s="79"/>
      <c r="FB122" s="79"/>
      <c r="FC122" s="79"/>
      <c r="FD122" s="79"/>
      <c r="FE122" s="79"/>
      <c r="FF122" s="79"/>
      <c r="FG122" s="79"/>
      <c r="FH122" s="79"/>
      <c r="FI122" s="79"/>
      <c r="FJ122" s="79"/>
      <c r="FK122" s="79"/>
      <c r="FL122" s="79"/>
      <c r="FM122" s="47"/>
      <c r="FN122" s="47"/>
      <c r="FO122" s="47"/>
      <c r="FP122" s="47"/>
      <c r="FQ122" s="47"/>
      <c r="FR122" s="47"/>
      <c r="FS122" s="47"/>
      <c r="FT122" s="47"/>
      <c r="FU122" s="47"/>
      <c r="FV122" s="47"/>
      <c r="FW122" s="47"/>
      <c r="FX122" s="47"/>
      <c r="FY122" s="47"/>
      <c r="FZ122" s="47"/>
      <c r="GA122" s="49"/>
      <c r="GB122" s="49"/>
      <c r="GC122" s="49"/>
      <c r="GD122" s="49"/>
      <c r="GE122" s="49"/>
      <c r="GF122" s="49"/>
      <c r="GG122" s="49"/>
      <c r="GH122" s="49"/>
      <c r="GI122" s="49"/>
      <c r="GJ122" s="49"/>
      <c r="GK122" s="49"/>
      <c r="GL122" s="49"/>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row>
    <row r="123" spans="1:221" ht="3.75" customHeight="1">
      <c r="A123" s="1"/>
      <c r="B123" s="3"/>
      <c r="C123" s="3"/>
      <c r="D123" s="38"/>
      <c r="E123" s="43">
        <v>24</v>
      </c>
      <c r="F123" s="43" t="e">
        <f ca="1">E123*AB105/40</f>
        <v>#VALUE!</v>
      </c>
      <c r="G123" s="79"/>
      <c r="H123" s="79"/>
      <c r="I123" s="79"/>
      <c r="J123" s="79"/>
      <c r="K123" s="43"/>
      <c r="L123" s="39"/>
      <c r="M123" s="39"/>
      <c r="N123" s="39"/>
      <c r="O123" s="39"/>
      <c r="P123" s="39"/>
      <c r="Q123" s="39"/>
      <c r="R123" s="39"/>
      <c r="S123" s="39"/>
      <c r="T123" s="39"/>
      <c r="U123" s="39"/>
      <c r="V123" s="39"/>
      <c r="W123" s="39"/>
      <c r="X123" s="39"/>
      <c r="Y123" s="39"/>
      <c r="Z123" s="39"/>
      <c r="AA123" s="39"/>
      <c r="AB123" s="79"/>
      <c r="AC123" s="79"/>
      <c r="AD123" s="79"/>
      <c r="AE123" s="79"/>
      <c r="AF123" s="79"/>
      <c r="AG123" s="79"/>
      <c r="AH123" s="79"/>
      <c r="AI123" s="79"/>
      <c r="AJ123" s="79"/>
      <c r="AK123" s="79"/>
      <c r="AL123" s="39"/>
      <c r="AM123" s="126"/>
      <c r="AN123" s="43" t="str">
        <f ca="1">IF(FU96=0,"","`")</f>
        <v/>
      </c>
      <c r="AO123" s="215" t="str">
        <f ca="1">IF(FU96=0,"",IF(BC96="","",IF(BC96=0,"",IF(BC96=BX150,"",IF(AND(FO94&gt;=F123,BC96&gt;=AO155),"-","")))))</f>
        <v/>
      </c>
      <c r="AP123" s="215" t="str">
        <f ca="1">IF(FU96=0,"",IF(BC96="","",IF(BC96=0,"",IF(BC96=BX150,"",IF(AND(FO94&gt;=F123,BC96&gt;=AP155),"-","")))))</f>
        <v/>
      </c>
      <c r="AQ123" s="215" t="str">
        <f ca="1">IF(FU96=0,"",IF(BC96="","",IF(BC96=0,"",IF(BC96=BX150,"",IF(AND(FO94&gt;=F123,BC96&gt;=AQ155),"-","")))))</f>
        <v/>
      </c>
      <c r="AR123" s="215" t="str">
        <f ca="1">IF(FU96=0,"",IF(BC96="","",IF(BC96=0,"",IF(BC96=BX150,"",IF(AND(FO94&gt;=F123,BC96&gt;=AR155),"-","")))))</f>
        <v/>
      </c>
      <c r="AS123" s="215" t="str">
        <f ca="1">IF(FU96=0,"",IF(BC96="","",IF(BC96=0,"",IF(BC96=BX150,"",IF(AND(FO94&gt;=F123,BC96&gt;=AS155),"-","")))))</f>
        <v/>
      </c>
      <c r="AT123" s="215" t="str">
        <f ca="1">IF(FU96=0,"",IF(BC96="","",IF(BC96=0,"",IF(BC96=BX150,"",IF(AND(FO94&gt;=F123,BC96&gt;=AT155),"-","")))))</f>
        <v/>
      </c>
      <c r="AU123" s="215" t="str">
        <f ca="1">IF(FU96=0,"",IF(BC96="","",IF(BC96=0,"",IF(BC96=BX150,"",IF(AND(FO94&gt;=F123,BC96&gt;=AU155),"-","")))))</f>
        <v/>
      </c>
      <c r="AV123" s="215" t="str">
        <f ca="1">IF(FU96=0,"",IF(BC96="","",IF(BC96=0,"",IF(BC96=BX150,"",IF(AND(FO94&gt;=F123,BC96&gt;=AV155),"-","")))))</f>
        <v/>
      </c>
      <c r="AW123" s="215" t="str">
        <f ca="1">IF(FU96=0,"",IF(BC96="","",IF(BC96=0,"",IF(BC96=BX150,"",IF(AND(FO94&gt;=F123,BC96&gt;=AW155),"-","")))))</f>
        <v/>
      </c>
      <c r="AX123" s="215" t="str">
        <f ca="1">IF(FU96=0,"",IF(BC96="","",IF(BC96=0,"",IF(BC96=BX150,"",IF(AND(FO94&gt;=F123,BC96&gt;=AX155),"-","")))))</f>
        <v/>
      </c>
      <c r="AY123" s="215" t="str">
        <f ca="1">IF(FU96=0,"",IF(BC96="","",IF(BC96=0,"",IF(BC96=BX150,"",IF(AND(FO94&gt;=F123,BC96&gt;=AY155),"-","")))))</f>
        <v/>
      </c>
      <c r="AZ123" s="215" t="str">
        <f ca="1">IF(FU96=0,"",IF(BC96="","",IF(BC96=0,"",IF(BC96=BX150,"",IF(AND(FO94&gt;=F123,BC96&gt;=AZ155),"-","")))))</f>
        <v/>
      </c>
      <c r="BA123" s="215" t="str">
        <f ca="1">IF(FU96=0,"",IF(BC96="","",IF(BC96=0,"",IF(BC96=BX150,"",IF(AND(FO94&gt;=F123,BC96&gt;=BA155),"-","")))))</f>
        <v/>
      </c>
      <c r="BB123" s="215" t="str">
        <f ca="1">IF(FU96=0,"",IF(BC96="","",IF(BC96=0,"",IF(BC96=BX150,"",IF(AND(FO94&gt;=F123,BC96&gt;=BB155),"-","")))))</f>
        <v/>
      </c>
      <c r="BC123" s="215" t="str">
        <f ca="1">IF(FU96=0,"",IF(BC96="","",IF(BC96=0,"",IF(BC96=BX150,"",IF(AND(FO94&gt;=F123,BC96&gt;=BC155),"-","")))))</f>
        <v/>
      </c>
      <c r="BD123" s="215" t="str">
        <f ca="1">IF(FU96=0,"",IF(BC96="","",IF(BC96=0,"",IF(BC96=BX150,"",IF(AND(FO94&gt;=F123,BC96&gt;=BD155),"-","")))))</f>
        <v/>
      </c>
      <c r="BE123" s="197" t="str">
        <f ca="1">IF(FU96=0,"",":")</f>
        <v/>
      </c>
      <c r="BF123" s="197"/>
      <c r="BG123" s="197"/>
      <c r="BH123" s="197"/>
      <c r="BI123" s="197"/>
      <c r="BJ123" s="197"/>
      <c r="BK123" s="197"/>
      <c r="BL123" s="645"/>
      <c r="BM123" s="645"/>
      <c r="BN123" s="645"/>
      <c r="BO123" s="645"/>
      <c r="BP123" s="645"/>
      <c r="BQ123" s="645"/>
      <c r="BR123" s="645"/>
      <c r="BS123" s="645"/>
      <c r="BT123" s="645"/>
      <c r="BU123" s="645"/>
      <c r="BV123" s="645"/>
      <c r="BW123" s="645"/>
      <c r="BX123" s="645"/>
      <c r="BY123" s="645"/>
      <c r="BZ123" s="645"/>
      <c r="CA123" s="645"/>
      <c r="CB123" s="645"/>
      <c r="CC123" s="645"/>
      <c r="CD123" s="645"/>
      <c r="CE123" s="645"/>
      <c r="CF123" s="645"/>
      <c r="CG123" s="645"/>
      <c r="CH123" s="645"/>
      <c r="CI123" s="645"/>
      <c r="CJ123" s="645"/>
      <c r="CK123" s="645"/>
      <c r="CL123" s="645"/>
      <c r="CM123" s="645"/>
      <c r="CN123" s="645"/>
      <c r="CO123" s="645"/>
      <c r="CP123" s="645"/>
      <c r="CQ123" s="645"/>
      <c r="CR123" s="645"/>
      <c r="CS123" s="645"/>
      <c r="CT123" s="645"/>
      <c r="CU123" s="645"/>
      <c r="CV123" s="645"/>
      <c r="CW123" s="645"/>
      <c r="CX123" s="645"/>
      <c r="CY123" s="645"/>
      <c r="CZ123" s="645"/>
      <c r="DA123" s="645"/>
      <c r="DB123" s="645"/>
      <c r="DC123" s="645"/>
      <c r="DD123" s="645"/>
      <c r="DE123" s="645"/>
      <c r="DF123" s="645"/>
      <c r="DG123" s="645"/>
      <c r="DH123" s="645"/>
      <c r="DI123" s="645"/>
      <c r="DJ123" s="645"/>
      <c r="DK123" s="645"/>
      <c r="DL123" s="645"/>
      <c r="DM123" s="645"/>
      <c r="DN123" s="645"/>
      <c r="DO123" s="645"/>
      <c r="DP123" s="645"/>
      <c r="DQ123" s="645"/>
      <c r="DR123" s="645"/>
      <c r="DS123" s="645"/>
      <c r="DT123" s="645"/>
      <c r="DU123" s="645"/>
      <c r="DV123" s="645"/>
      <c r="DW123" s="645"/>
      <c r="DX123" s="645"/>
      <c r="DY123" s="645"/>
      <c r="DZ123" s="645"/>
      <c r="EA123" s="645"/>
      <c r="EB123" s="645"/>
      <c r="EC123" s="645"/>
      <c r="ED123" s="645"/>
      <c r="EE123" s="645"/>
      <c r="EF123" s="645"/>
      <c r="EG123" s="645"/>
      <c r="EH123" s="645"/>
      <c r="EI123" s="645"/>
      <c r="EJ123" s="645"/>
      <c r="EK123" s="79"/>
      <c r="EL123" s="79"/>
      <c r="EM123" s="79"/>
      <c r="EN123" s="79"/>
      <c r="EO123" s="79"/>
      <c r="EP123" s="79"/>
      <c r="EQ123" s="79"/>
      <c r="ER123" s="79"/>
      <c r="ES123" s="79"/>
      <c r="ET123" s="79"/>
      <c r="EU123" s="79"/>
      <c r="EV123" s="79"/>
      <c r="EW123" s="79"/>
      <c r="EX123" s="79"/>
      <c r="EY123" s="79"/>
      <c r="EZ123" s="79"/>
      <c r="FA123" s="79"/>
      <c r="FB123" s="79"/>
      <c r="FC123" s="79"/>
      <c r="FD123" s="79"/>
      <c r="FE123" s="79"/>
      <c r="FF123" s="79"/>
      <c r="FG123" s="79"/>
      <c r="FH123" s="79"/>
      <c r="FI123" s="79"/>
      <c r="FJ123" s="79"/>
      <c r="FK123" s="79"/>
      <c r="FL123" s="79"/>
      <c r="FM123" s="47"/>
      <c r="FN123" s="47"/>
      <c r="FO123" s="47"/>
      <c r="FP123" s="47"/>
      <c r="FQ123" s="47"/>
      <c r="FR123" s="47"/>
      <c r="FS123" s="47"/>
      <c r="FT123" s="47"/>
      <c r="FU123" s="47"/>
      <c r="FV123" s="47"/>
      <c r="FW123" s="47"/>
      <c r="FX123" s="47"/>
      <c r="FY123" s="47"/>
      <c r="FZ123" s="47"/>
      <c r="GA123" s="49"/>
      <c r="GB123" s="49"/>
      <c r="GC123" s="49"/>
      <c r="GD123" s="49"/>
      <c r="GE123" s="49"/>
      <c r="GF123" s="49"/>
      <c r="GG123" s="49"/>
      <c r="GH123" s="49"/>
      <c r="GI123" s="49"/>
      <c r="GJ123" s="49"/>
      <c r="GK123" s="49"/>
      <c r="GL123" s="49"/>
      <c r="GM123" s="49"/>
      <c r="GN123" s="49"/>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row>
    <row r="124" spans="1:221" ht="3.75" customHeight="1">
      <c r="A124" s="1"/>
      <c r="B124" s="3"/>
      <c r="C124" s="3"/>
      <c r="D124" s="38"/>
      <c r="E124" s="43">
        <v>23</v>
      </c>
      <c r="F124" s="43" t="e">
        <f ca="1">E124*AB105/40</f>
        <v>#VALUE!</v>
      </c>
      <c r="G124" s="79"/>
      <c r="H124" s="79"/>
      <c r="I124" s="79"/>
      <c r="J124" s="79"/>
      <c r="K124" s="43"/>
      <c r="L124" s="39"/>
      <c r="M124" s="39"/>
      <c r="N124" s="39"/>
      <c r="O124" s="39"/>
      <c r="P124" s="39"/>
      <c r="Q124" s="39"/>
      <c r="R124" s="39"/>
      <c r="S124" s="39"/>
      <c r="T124" s="39"/>
      <c r="U124" s="39"/>
      <c r="V124" s="39"/>
      <c r="W124" s="39"/>
      <c r="X124" s="39"/>
      <c r="Y124" s="39"/>
      <c r="Z124" s="39"/>
      <c r="AA124" s="39"/>
      <c r="AB124" s="79"/>
      <c r="AC124" s="79"/>
      <c r="AD124" s="79"/>
      <c r="AE124" s="79"/>
      <c r="AF124" s="79"/>
      <c r="AG124" s="79"/>
      <c r="AH124" s="79"/>
      <c r="AI124" s="79"/>
      <c r="AJ124" s="79"/>
      <c r="AK124" s="79"/>
      <c r="AL124" s="39"/>
      <c r="AM124" s="126"/>
      <c r="AN124" s="43" t="str">
        <f ca="1">IF(FU96=0,"","`")</f>
        <v/>
      </c>
      <c r="AO124" s="215" t="str">
        <f ca="1">IF(FU96=0,"",IF(BC96="","",IF(BC96=0,"",IF(BC96=BX150,"",IF(AND(FO94&gt;=F124,BC96&gt;=AO155),"-","")))))</f>
        <v/>
      </c>
      <c r="AP124" s="215" t="str">
        <f ca="1">IF(FU96=0,"",IF(BC96="","",IF(BC96=0,"",IF(BC96=BX150,"",IF(AND(FO94&gt;=F124,BC96&gt;=AP155),"-","")))))</f>
        <v/>
      </c>
      <c r="AQ124" s="215" t="str">
        <f ca="1">IF(FU96=0,"",IF(BC96="","",IF(BC96=0,"",IF(BC96=BX150,"",IF(AND(FO94&gt;=F124,BC96&gt;=AQ155),"-","")))))</f>
        <v/>
      </c>
      <c r="AR124" s="215" t="str">
        <f ca="1">IF(FU96=0,"",IF(BC96="","",IF(BC96=0,"",IF(BC96=BX150,"",IF(AND(FO94&gt;=F124,BC96&gt;=AR155),"-","")))))</f>
        <v/>
      </c>
      <c r="AS124" s="215" t="str">
        <f ca="1">IF(FU96=0,"",IF(BC96="","",IF(BC96=0,"",IF(BC96=BX150,"",IF(AND(FO94&gt;=F124,BC96&gt;=AS155),"-","")))))</f>
        <v/>
      </c>
      <c r="AT124" s="215" t="str">
        <f ca="1">IF(FU96=0,"",IF(BC96="","",IF(BC96=0,"",IF(BC96=BX150,"",IF(AND(FO94&gt;=F124,BC96&gt;=AT155),"-","")))))</f>
        <v/>
      </c>
      <c r="AU124" s="215" t="str">
        <f ca="1">IF(FU96=0,"",IF(BC96="","",IF(BC96=0,"",IF(BC96=BX150,"",IF(AND(FO94&gt;=F124,BC96&gt;=AU155),"-","")))))</f>
        <v/>
      </c>
      <c r="AV124" s="215" t="str">
        <f ca="1">IF(FU96=0,"",IF(BC96="","",IF(BC96=0,"",IF(BC96=BX150,"",IF(AND(FO94&gt;=F124,BC96&gt;=AV155),"-","")))))</f>
        <v/>
      </c>
      <c r="AW124" s="215" t="str">
        <f ca="1">IF(FU96=0,"",IF(BC96="","",IF(BC96=0,"",IF(BC96=BX150,"",IF(AND(FO94&gt;=F124,BC96&gt;=AW155),"-","")))))</f>
        <v/>
      </c>
      <c r="AX124" s="215" t="str">
        <f ca="1">IF(FU96=0,"",IF(BC96="","",IF(BC96=0,"",IF(BC96=BX150,"",IF(AND(FO94&gt;=F124,BC96&gt;=AX155),"-","")))))</f>
        <v/>
      </c>
      <c r="AY124" s="215" t="str">
        <f ca="1">IF(FU96=0,"",IF(BC96="","",IF(BC96=0,"",IF(BC96=BX150,"",IF(AND(FO94&gt;=F124,BC96&gt;=AY155),"-","")))))</f>
        <v/>
      </c>
      <c r="AZ124" s="215" t="str">
        <f ca="1">IF(FU96=0,"",IF(BC96="","",IF(BC96=0,"",IF(BC96=BX150,"",IF(AND(FO94&gt;=F124,BC96&gt;=AZ155),"-","")))))</f>
        <v/>
      </c>
      <c r="BA124" s="215" t="str">
        <f ca="1">IF(FU96=0,"",IF(BC96="","",IF(BC96=0,"",IF(BC96=BX150,"",IF(AND(FO94&gt;=F124,BC96&gt;=BA155),"-","")))))</f>
        <v/>
      </c>
      <c r="BB124" s="215" t="str">
        <f ca="1">IF(FU96=0,"",IF(BC96="","",IF(BC96=0,"",IF(BC96=BX150,"",IF(AND(FO94&gt;=F124,BC96&gt;=BB155),"-","")))))</f>
        <v/>
      </c>
      <c r="BC124" s="215" t="str">
        <f ca="1">IF(FU96=0,"",IF(BC96="","",IF(BC96=0,"",IF(BC96=BX150,"",IF(AND(FO94&gt;=F124,BC96&gt;=BC155),"-","")))))</f>
        <v/>
      </c>
      <c r="BD124" s="215" t="str">
        <f ca="1">IF(FU96=0,"",IF(BC96="","",IF(BC96=0,"",IF(BC96=BX150,"",IF(AND(FO94&gt;=F124,BC96&gt;=BD155),"-","")))))</f>
        <v/>
      </c>
      <c r="BE124" s="215" t="str">
        <f ca="1">IF(FU96=0,"",IF(BC96="","",IF(BC96=0,"",IF(BC96=BX150,"",IF(AND(FO94&gt;=F124,BC96&gt;=BE155),"-","")))))</f>
        <v/>
      </c>
      <c r="BF124" s="197" t="str">
        <f ca="1">IF(FU96=0,"",":")</f>
        <v/>
      </c>
      <c r="BG124" s="197"/>
      <c r="BH124" s="197"/>
      <c r="BI124" s="197"/>
      <c r="BJ124" s="197"/>
      <c r="BK124" s="197"/>
      <c r="BL124" s="645"/>
      <c r="BM124" s="645"/>
      <c r="BN124" s="645"/>
      <c r="BO124" s="645"/>
      <c r="BP124" s="645"/>
      <c r="BQ124" s="645"/>
      <c r="BR124" s="645"/>
      <c r="BS124" s="645"/>
      <c r="BT124" s="645"/>
      <c r="BU124" s="645"/>
      <c r="BV124" s="645"/>
      <c r="BW124" s="645"/>
      <c r="BX124" s="645"/>
      <c r="BY124" s="645"/>
      <c r="BZ124" s="645"/>
      <c r="CA124" s="645"/>
      <c r="CB124" s="645"/>
      <c r="CC124" s="645"/>
      <c r="CD124" s="645"/>
      <c r="CE124" s="645"/>
      <c r="CF124" s="645"/>
      <c r="CG124" s="645"/>
      <c r="CH124" s="645"/>
      <c r="CI124" s="645"/>
      <c r="CJ124" s="645"/>
      <c r="CK124" s="645"/>
      <c r="CL124" s="645"/>
      <c r="CM124" s="645"/>
      <c r="CN124" s="645"/>
      <c r="CO124" s="645"/>
      <c r="CP124" s="645"/>
      <c r="CQ124" s="645"/>
      <c r="CR124" s="645"/>
      <c r="CS124" s="645"/>
      <c r="CT124" s="645"/>
      <c r="CU124" s="645"/>
      <c r="CV124" s="645"/>
      <c r="CW124" s="645"/>
      <c r="CX124" s="645"/>
      <c r="CY124" s="645"/>
      <c r="CZ124" s="645"/>
      <c r="DA124" s="645"/>
      <c r="DB124" s="645"/>
      <c r="DC124" s="645"/>
      <c r="DD124" s="645"/>
      <c r="DE124" s="645"/>
      <c r="DF124" s="645"/>
      <c r="DG124" s="645"/>
      <c r="DH124" s="645"/>
      <c r="DI124" s="645"/>
      <c r="DJ124" s="645"/>
      <c r="DK124" s="645"/>
      <c r="DL124" s="645"/>
      <c r="DM124" s="645"/>
      <c r="DN124" s="645"/>
      <c r="DO124" s="645"/>
      <c r="DP124" s="645"/>
      <c r="DQ124" s="645"/>
      <c r="DR124" s="645"/>
      <c r="DS124" s="645"/>
      <c r="DT124" s="645"/>
      <c r="DU124" s="645"/>
      <c r="DV124" s="645"/>
      <c r="DW124" s="645"/>
      <c r="DX124" s="645"/>
      <c r="DY124" s="645"/>
      <c r="DZ124" s="645"/>
      <c r="EA124" s="645"/>
      <c r="EB124" s="645"/>
      <c r="EC124" s="645"/>
      <c r="ED124" s="645"/>
      <c r="EE124" s="645"/>
      <c r="EF124" s="645"/>
      <c r="EG124" s="645"/>
      <c r="EH124" s="645"/>
      <c r="EI124" s="645"/>
      <c r="EJ124" s="645"/>
      <c r="EK124" s="79"/>
      <c r="EL124" s="79"/>
      <c r="EM124" s="79"/>
      <c r="EN124" s="79"/>
      <c r="EO124" s="79"/>
      <c r="EP124" s="79"/>
      <c r="EQ124" s="79"/>
      <c r="ER124" s="79"/>
      <c r="ES124" s="79"/>
      <c r="ET124" s="79"/>
      <c r="EU124" s="79"/>
      <c r="EV124" s="79"/>
      <c r="EW124" s="79"/>
      <c r="EX124" s="79"/>
      <c r="EY124" s="79"/>
      <c r="EZ124" s="79"/>
      <c r="FA124" s="79"/>
      <c r="FB124" s="79"/>
      <c r="FC124" s="79"/>
      <c r="FD124" s="79"/>
      <c r="FE124" s="79"/>
      <c r="FF124" s="79"/>
      <c r="FG124" s="79"/>
      <c r="FH124" s="79"/>
      <c r="FI124" s="79"/>
      <c r="FJ124" s="79"/>
      <c r="FK124" s="79"/>
      <c r="FL124" s="79"/>
      <c r="FM124" s="47"/>
      <c r="FN124" s="47"/>
      <c r="FO124" s="47"/>
      <c r="FP124" s="47"/>
      <c r="FQ124" s="47"/>
      <c r="FR124" s="47"/>
      <c r="FS124" s="47"/>
      <c r="FT124" s="47"/>
      <c r="FU124" s="47"/>
      <c r="FV124" s="47"/>
      <c r="FW124" s="47"/>
      <c r="FX124" s="47"/>
      <c r="FY124" s="47"/>
      <c r="FZ124" s="47"/>
      <c r="GA124" s="49"/>
      <c r="GB124" s="49"/>
      <c r="GC124" s="49"/>
      <c r="GD124" s="49"/>
      <c r="GE124" s="49"/>
      <c r="GF124" s="49"/>
      <c r="GG124" s="49"/>
      <c r="GH124" s="49"/>
      <c r="GI124" s="49"/>
      <c r="GJ124" s="49"/>
      <c r="GK124" s="49"/>
      <c r="GL124" s="49"/>
      <c r="GM124" s="49"/>
      <c r="GN124" s="49"/>
      <c r="GO124" s="49"/>
      <c r="GP124" s="49"/>
      <c r="GQ124" s="49"/>
      <c r="GR124" s="49"/>
      <c r="GS124" s="49"/>
      <c r="GT124" s="49"/>
      <c r="GU124" s="49"/>
      <c r="GV124" s="49"/>
      <c r="GW124" s="49"/>
      <c r="GX124" s="49"/>
      <c r="GY124" s="49"/>
      <c r="GZ124" s="49"/>
      <c r="HA124" s="49"/>
      <c r="HB124" s="49"/>
      <c r="HC124" s="49"/>
      <c r="HD124" s="49"/>
      <c r="HE124" s="49"/>
      <c r="HF124" s="49"/>
      <c r="HG124" s="49"/>
      <c r="HH124" s="49"/>
      <c r="HI124" s="49"/>
      <c r="HJ124" s="49"/>
      <c r="HK124" s="49"/>
      <c r="HL124" s="49"/>
      <c r="HM124" s="49"/>
    </row>
    <row r="125" spans="1:221" ht="3.75" customHeight="1">
      <c r="A125" s="1"/>
      <c r="B125" s="3"/>
      <c r="C125" s="3"/>
      <c r="D125" s="38"/>
      <c r="E125" s="43">
        <v>22</v>
      </c>
      <c r="F125" s="43" t="e">
        <f ca="1">E125*AB105/40</f>
        <v>#VALUE!</v>
      </c>
      <c r="G125" s="79"/>
      <c r="H125" s="79"/>
      <c r="I125" s="79"/>
      <c r="J125" s="79"/>
      <c r="K125" s="43"/>
      <c r="L125" s="39"/>
      <c r="M125" s="39"/>
      <c r="N125" s="39"/>
      <c r="O125" s="39"/>
      <c r="P125" s="39"/>
      <c r="Q125" s="39"/>
      <c r="R125" s="39"/>
      <c r="S125" s="39"/>
      <c r="T125" s="39"/>
      <c r="U125" s="39"/>
      <c r="V125" s="39"/>
      <c r="W125" s="39"/>
      <c r="X125" s="39"/>
      <c r="Y125" s="39"/>
      <c r="Z125" s="39"/>
      <c r="AA125" s="39"/>
      <c r="AB125" s="647" t="str">
        <f ca="1">IF(FO50=0,"",ROUND(0.5*FN94,0))</f>
        <v/>
      </c>
      <c r="AC125" s="647"/>
      <c r="AD125" s="647"/>
      <c r="AE125" s="647"/>
      <c r="AF125" s="647"/>
      <c r="AG125" s="647"/>
      <c r="AH125" s="647"/>
      <c r="AI125" s="647"/>
      <c r="AJ125" s="647"/>
      <c r="AK125" s="647"/>
      <c r="AL125" s="39"/>
      <c r="AM125" s="126"/>
      <c r="AN125" s="43" t="str">
        <f ca="1">IF(FU96=0,"","`")</f>
        <v/>
      </c>
      <c r="AO125" s="215" t="str">
        <f ca="1">IF(FU96=0,"",IF(BC96="","",IF(BC96=0,"",IF(BC96=BX150,"",IF(AND(FO94&gt;=F125,BC96&gt;=AO155),"-","")))))</f>
        <v/>
      </c>
      <c r="AP125" s="215" t="str">
        <f ca="1">IF(FU96=0,"",IF(BC96="","",IF(BC96=0,"",IF(BC96=BX150,"",IF(AND(FO94&gt;=F125,BC96&gt;=AP155),"-","")))))</f>
        <v/>
      </c>
      <c r="AQ125" s="215" t="str">
        <f ca="1">IF(FU96=0,"",IF(BC96="","",IF(BC96=0,"",IF(BC96=BX150,"",IF(AND(FO94&gt;=F125,BC96&gt;=AQ155),"-","")))))</f>
        <v/>
      </c>
      <c r="AR125" s="215" t="str">
        <f ca="1">IF(FU96=0,"",IF(BC96="","",IF(BC96=0,"",IF(BC96=BX150,"",IF(AND(FO94&gt;=F125,BC96&gt;=AR155),"-","")))))</f>
        <v/>
      </c>
      <c r="AS125" s="215" t="str">
        <f ca="1">IF(FU96=0,"",IF(BC96="","",IF(BC96=0,"",IF(BC96=BX150,"",IF(AND(FO94&gt;=F125,BC96&gt;=AS155),"-","")))))</f>
        <v/>
      </c>
      <c r="AT125" s="215" t="str">
        <f ca="1">IF(FU96=0,"",IF(BC96="","",IF(BC96=0,"",IF(BC96=BX150,"",IF(AND(FO94&gt;=F125,BC96&gt;=AT155),"-","")))))</f>
        <v/>
      </c>
      <c r="AU125" s="215" t="str">
        <f ca="1">IF(FU96=0,"",IF(BC96="","",IF(BC96=0,"",IF(BC96=BX150,"",IF(AND(FO94&gt;=F125,BC96&gt;=AU155),"-","")))))</f>
        <v/>
      </c>
      <c r="AV125" s="215" t="str">
        <f ca="1">IF(FU96=0,"",IF(BC96="","",IF(BC96=0,"",IF(BC96=BX150,"",IF(AND(FO94&gt;=F125,BC96&gt;=AV155),"-","")))))</f>
        <v/>
      </c>
      <c r="AW125" s="215" t="str">
        <f ca="1">IF(FU96=0,"",IF(BC96="","",IF(BC96=0,"",IF(BC96=BX150,"",IF(AND(FO94&gt;=F125,BC96&gt;=AW155),"-","")))))</f>
        <v/>
      </c>
      <c r="AX125" s="215" t="str">
        <f ca="1">IF(FU96=0,"",IF(BC96="","",IF(BC96=0,"",IF(BC96=BX150,"",IF(AND(FO94&gt;=F125,BC96&gt;=AX155),"-","")))))</f>
        <v/>
      </c>
      <c r="AY125" s="215" t="str">
        <f ca="1">IF(FU96=0,"",IF(BC96="","",IF(BC96=0,"",IF(BC96=BX150,"",IF(AND(FO94&gt;=F125,BC96&gt;=AY155),"-","")))))</f>
        <v/>
      </c>
      <c r="AZ125" s="215" t="str">
        <f ca="1">IF(FU96=0,"",IF(BC96="","",IF(BC96=0,"",IF(BC96=BX150,"",IF(AND(FO94&gt;=F125,BC96&gt;=AZ155),"-","")))))</f>
        <v/>
      </c>
      <c r="BA125" s="215" t="str">
        <f ca="1">IF(FU96=0,"",IF(BC96="","",IF(BC96=0,"",IF(BC96=BX150,"",IF(AND(FO94&gt;=F125,BC96&gt;=BA155),"-","")))))</f>
        <v/>
      </c>
      <c r="BB125" s="215" t="str">
        <f ca="1">IF(FU96=0,"",IF(BC96="","",IF(BC96=0,"",IF(BC96=BX150,"",IF(AND(FO94&gt;=F125,BC96&gt;=BB155),"-","")))))</f>
        <v/>
      </c>
      <c r="BC125" s="215" t="str">
        <f ca="1">IF(FU96=0,"",IF(BC96="","",IF(BC96=0,"",IF(BC96=BX150,"",IF(AND(FO94&gt;=F125,BC96&gt;=BC155),"-","")))))</f>
        <v/>
      </c>
      <c r="BD125" s="215" t="str">
        <f ca="1">IF(FU96=0,"",IF(BC96="","",IF(BC96=0,"",IF(BC96=BX150,"",IF(AND(FO94&gt;=F125,BC96&gt;=BD155),"-","")))))</f>
        <v/>
      </c>
      <c r="BE125" s="215" t="str">
        <f ca="1">IF(FU96=0,"",IF(BC96="","",IF(BC96=0,"",IF(BC96=BX150,"",IF(AND(FO94&gt;=F125,BC96&gt;=BE155),"-","")))))</f>
        <v/>
      </c>
      <c r="BF125" s="215" t="str">
        <f ca="1">IF(FU96=0,"",IF(BC96="","",IF(BC96=0,"",IF(BC96=BX150,"",IF(AND(FO94&gt;=F125,BC96&gt;=BF155),"-","")))))</f>
        <v/>
      </c>
      <c r="BG125" s="197" t="str">
        <f ca="1">IF(FU96=0,"",":")</f>
        <v/>
      </c>
      <c r="BH125" s="197"/>
      <c r="BI125" s="197"/>
      <c r="BJ125" s="197"/>
      <c r="BK125" s="197"/>
      <c r="BL125" s="645"/>
      <c r="BM125" s="645"/>
      <c r="BN125" s="645"/>
      <c r="BO125" s="645"/>
      <c r="BP125" s="645"/>
      <c r="BQ125" s="645"/>
      <c r="BR125" s="645"/>
      <c r="BS125" s="645"/>
      <c r="BT125" s="645"/>
      <c r="BU125" s="645"/>
      <c r="BV125" s="645"/>
      <c r="BW125" s="645"/>
      <c r="BX125" s="645"/>
      <c r="BY125" s="645"/>
      <c r="BZ125" s="645"/>
      <c r="CA125" s="645"/>
      <c r="CB125" s="645"/>
      <c r="CC125" s="645"/>
      <c r="CD125" s="645"/>
      <c r="CE125" s="645"/>
      <c r="CF125" s="645"/>
      <c r="CG125" s="645"/>
      <c r="CH125" s="645"/>
      <c r="CI125" s="645"/>
      <c r="CJ125" s="645"/>
      <c r="CK125" s="645"/>
      <c r="CL125" s="645"/>
      <c r="CM125" s="645"/>
      <c r="CN125" s="645"/>
      <c r="CO125" s="645"/>
      <c r="CP125" s="645"/>
      <c r="CQ125" s="645"/>
      <c r="CR125" s="645"/>
      <c r="CS125" s="645"/>
      <c r="CT125" s="645"/>
      <c r="CU125" s="645"/>
      <c r="CV125" s="645"/>
      <c r="CW125" s="645"/>
      <c r="CX125" s="645"/>
      <c r="CY125" s="645"/>
      <c r="CZ125" s="645"/>
      <c r="DA125" s="645"/>
      <c r="DB125" s="645"/>
      <c r="DC125" s="645"/>
      <c r="DD125" s="645"/>
      <c r="DE125" s="645"/>
      <c r="DF125" s="645"/>
      <c r="DG125" s="645"/>
      <c r="DH125" s="645"/>
      <c r="DI125" s="645"/>
      <c r="DJ125" s="645"/>
      <c r="DK125" s="645"/>
      <c r="DL125" s="645"/>
      <c r="DM125" s="645"/>
      <c r="DN125" s="645"/>
      <c r="DO125" s="645"/>
      <c r="DP125" s="645"/>
      <c r="DQ125" s="645"/>
      <c r="DR125" s="645"/>
      <c r="DS125" s="645"/>
      <c r="DT125" s="645"/>
      <c r="DU125" s="645"/>
      <c r="DV125" s="645"/>
      <c r="DW125" s="645"/>
      <c r="DX125" s="645"/>
      <c r="DY125" s="645"/>
      <c r="DZ125" s="645"/>
      <c r="EA125" s="645"/>
      <c r="EB125" s="645"/>
      <c r="EC125" s="645"/>
      <c r="ED125" s="645"/>
      <c r="EE125" s="645"/>
      <c r="EF125" s="645"/>
      <c r="EG125" s="645"/>
      <c r="EH125" s="645"/>
      <c r="EI125" s="645"/>
      <c r="EJ125" s="645"/>
      <c r="EK125" s="79"/>
      <c r="EL125" s="79"/>
      <c r="EM125" s="79"/>
      <c r="EN125" s="79"/>
      <c r="EO125" s="79"/>
      <c r="EP125" s="79"/>
      <c r="EQ125" s="79"/>
      <c r="ER125" s="79"/>
      <c r="ES125" s="79"/>
      <c r="ET125" s="79"/>
      <c r="EU125" s="79"/>
      <c r="EV125" s="79"/>
      <c r="EW125" s="79"/>
      <c r="EX125" s="79"/>
      <c r="EY125" s="79"/>
      <c r="EZ125" s="79"/>
      <c r="FA125" s="79"/>
      <c r="FB125" s="79"/>
      <c r="FC125" s="79"/>
      <c r="FD125" s="79"/>
      <c r="FE125" s="79"/>
      <c r="FF125" s="79"/>
      <c r="FG125" s="79"/>
      <c r="FH125" s="79"/>
      <c r="FI125" s="79"/>
      <c r="FJ125" s="79"/>
      <c r="FK125" s="79"/>
      <c r="FL125" s="79"/>
      <c r="FM125" s="47"/>
      <c r="FN125" s="47"/>
      <c r="FO125" s="47"/>
      <c r="FP125" s="47"/>
      <c r="FQ125" s="47"/>
      <c r="FR125" s="47"/>
      <c r="FS125" s="47"/>
      <c r="FT125" s="47"/>
      <c r="FU125" s="47"/>
      <c r="FV125" s="47"/>
      <c r="FW125" s="47"/>
      <c r="FX125" s="47"/>
      <c r="FY125" s="47"/>
      <c r="FZ125" s="47"/>
      <c r="GA125" s="49"/>
      <c r="GB125" s="49"/>
      <c r="GC125" s="49"/>
      <c r="GD125" s="49"/>
      <c r="GE125" s="49"/>
      <c r="GF125" s="49"/>
      <c r="GG125" s="49"/>
      <c r="GH125" s="49"/>
      <c r="GI125" s="49"/>
      <c r="GJ125" s="49"/>
      <c r="GK125" s="49"/>
      <c r="GL125" s="49"/>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row>
    <row r="126" spans="1:221" ht="3.75" customHeight="1">
      <c r="A126" s="1"/>
      <c r="B126" s="3"/>
      <c r="C126" s="3"/>
      <c r="D126" s="38"/>
      <c r="E126" s="43">
        <v>21</v>
      </c>
      <c r="F126" s="43" t="e">
        <f ca="1">E126*AB105/40</f>
        <v>#VALUE!</v>
      </c>
      <c r="G126" s="79"/>
      <c r="H126" s="79"/>
      <c r="I126" s="79"/>
      <c r="J126" s="79"/>
      <c r="K126" s="43"/>
      <c r="L126" s="39"/>
      <c r="M126" s="39"/>
      <c r="N126" s="39"/>
      <c r="O126" s="39"/>
      <c r="P126" s="39"/>
      <c r="Q126" s="39"/>
      <c r="R126" s="39"/>
      <c r="S126" s="39"/>
      <c r="T126" s="39"/>
      <c r="U126" s="39"/>
      <c r="V126" s="39"/>
      <c r="W126" s="39"/>
      <c r="X126" s="39"/>
      <c r="Y126" s="39"/>
      <c r="Z126" s="39"/>
      <c r="AA126" s="39"/>
      <c r="AB126" s="647"/>
      <c r="AC126" s="647"/>
      <c r="AD126" s="647"/>
      <c r="AE126" s="647"/>
      <c r="AF126" s="647"/>
      <c r="AG126" s="647"/>
      <c r="AH126" s="647"/>
      <c r="AI126" s="647"/>
      <c r="AJ126" s="647"/>
      <c r="AK126" s="647"/>
      <c r="AL126" s="39"/>
      <c r="AM126" s="213"/>
      <c r="AN126" s="43" t="str">
        <f ca="1">IF(FU96=0,"","`")</f>
        <v/>
      </c>
      <c r="AO126" s="215" t="str">
        <f ca="1">IF(FU96=0,"",IF(BC96="","",IF(BC96=0,"",IF(BC96=BX150,"",IF(AND(FO94&gt;=F126,BC96&gt;=AO155),"-","")))))</f>
        <v/>
      </c>
      <c r="AP126" s="215" t="str">
        <f ca="1">IF(FU96=0,"",IF(BC96="","",IF(BC96=0,"",IF(BC96=BX150,"",IF(AND(FO94&gt;=F126,BC96&gt;=AP155),"-","")))))</f>
        <v/>
      </c>
      <c r="AQ126" s="215" t="str">
        <f ca="1">IF(FU96=0,"",IF(BC96="","",IF(BC96=0,"",IF(BC96=BX150,"",IF(AND(FO94&gt;=F126,BC96&gt;=AQ155),"-","")))))</f>
        <v/>
      </c>
      <c r="AR126" s="215" t="str">
        <f ca="1">IF(FU96=0,"",IF(BC96="","",IF(BC96=0,"",IF(BC96=BX150,"",IF(AND(FO94&gt;=F126,BC96&gt;=AR155),"-","")))))</f>
        <v/>
      </c>
      <c r="AS126" s="215" t="str">
        <f ca="1">IF(FU96=0,"",IF(BC96="","",IF(BC96=0,"",IF(BC96=BX150,"",IF(AND(FO94&gt;=F126,BC96&gt;=AS155),"-","")))))</f>
        <v/>
      </c>
      <c r="AT126" s="215" t="str">
        <f ca="1">IF(FU96=0,"",IF(BC96="","",IF(BC96=0,"",IF(BC96=BX150,"",IF(AND(FO94&gt;=F126,BC96&gt;=AT155),"-","")))))</f>
        <v/>
      </c>
      <c r="AU126" s="215" t="str">
        <f ca="1">IF(FU96=0,"",IF(BC96="","",IF(BC96=0,"",IF(BC96=BX150,"",IF(AND(FO94&gt;=F126,BC96&gt;=AU155),"-","")))))</f>
        <v/>
      </c>
      <c r="AV126" s="215" t="str">
        <f ca="1">IF(FU96=0,"",IF(BC96="","",IF(BC96=0,"",IF(BC96=BX150,"",IF(AND(FO94&gt;=F126,BC96&gt;=AV155),"-","")))))</f>
        <v/>
      </c>
      <c r="AW126" s="215" t="str">
        <f ca="1">IF(FU96=0,"",IF(BC96="","",IF(BC96=0,"",IF(BC96=BX150,"",IF(AND(FO94&gt;=F126,BC96&gt;=AW155),"-","")))))</f>
        <v/>
      </c>
      <c r="AX126" s="215" t="str">
        <f ca="1">IF(FU96=0,"",IF(BC96="","",IF(BC96=0,"",IF(BC96=BX150,"",IF(AND(FO94&gt;=F126,BC96&gt;=AX155),"-","")))))</f>
        <v/>
      </c>
      <c r="AY126" s="215" t="str">
        <f ca="1">IF(FU96=0,"",IF(BC96="","",IF(BC96=0,"",IF(BC96=BX150,"",IF(AND(FO94&gt;=F126,BC96&gt;=AY155),"-","")))))</f>
        <v/>
      </c>
      <c r="AZ126" s="215" t="str">
        <f ca="1">IF(FU96=0,"",IF(BC96="","",IF(BC96=0,"",IF(BC96=BX150,"",IF(AND(FO94&gt;=F126,BC96&gt;=AZ155),"-","")))))</f>
        <v/>
      </c>
      <c r="BA126" s="215" t="str">
        <f ca="1">IF(FU96=0,"",IF(BC96="","",IF(BC96=0,"",IF(BC96=BX150,"",IF(AND(FO94&gt;=F126,BC96&gt;=BA155),"-","")))))</f>
        <v/>
      </c>
      <c r="BB126" s="215" t="str">
        <f ca="1">IF(FU96=0,"",IF(BC96="","",IF(BC96=0,"",IF(BC96=BX150,"",IF(AND(FO94&gt;=F126,BC96&gt;=BB155),"-","")))))</f>
        <v/>
      </c>
      <c r="BC126" s="215" t="str">
        <f ca="1">IF(FU96=0,"",IF(BC96="","",IF(BC96=0,"",IF(BC96=BX150,"",IF(AND(FO94&gt;=F126,BC96&gt;=BC155),"-","")))))</f>
        <v/>
      </c>
      <c r="BD126" s="215" t="str">
        <f ca="1">IF(FU96=0,"",IF(BC96="","",IF(BC96=0,"",IF(BC96=BX150,"",IF(AND(FO94&gt;=F126,BC96&gt;=BD155),"-","")))))</f>
        <v/>
      </c>
      <c r="BE126" s="215" t="str">
        <f ca="1">IF(FU96=0,"",IF(BC96="","",IF(BC96=0,"",IF(BC96=BX150,"",IF(AND(FO94&gt;=F126,BC96&gt;=BE155),"-","")))))</f>
        <v/>
      </c>
      <c r="BF126" s="215" t="str">
        <f ca="1">IF(FU96=0,"",IF(BC96="","",IF(BC96=0,"",IF(BC96=BX150,"",IF(AND(FO94&gt;=F126,BC96&gt;=BF155),"-","")))))</f>
        <v/>
      </c>
      <c r="BG126" s="215" t="str">
        <f ca="1">IF(FU96=0,"",IF(BC96="","",IF(BC96=0,"",IF(BC96=BX150,"",IF(AND(FO94&gt;=F126,BC96&gt;=BG155),"-","")))))</f>
        <v/>
      </c>
      <c r="BH126" s="197" t="str">
        <f ca="1">IF(FU96=0,"",":")</f>
        <v/>
      </c>
      <c r="BI126" s="197"/>
      <c r="BJ126" s="197"/>
      <c r="BK126" s="197"/>
      <c r="BL126" s="645"/>
      <c r="BM126" s="645"/>
      <c r="BN126" s="645"/>
      <c r="BO126" s="645"/>
      <c r="BP126" s="645"/>
      <c r="BQ126" s="645"/>
      <c r="BR126" s="645"/>
      <c r="BS126" s="645"/>
      <c r="BT126" s="645"/>
      <c r="BU126" s="645"/>
      <c r="BV126" s="645"/>
      <c r="BW126" s="645"/>
      <c r="BX126" s="645"/>
      <c r="BY126" s="645"/>
      <c r="BZ126" s="645"/>
      <c r="CA126" s="645"/>
      <c r="CB126" s="645"/>
      <c r="CC126" s="645"/>
      <c r="CD126" s="645"/>
      <c r="CE126" s="645"/>
      <c r="CF126" s="645"/>
      <c r="CG126" s="645"/>
      <c r="CH126" s="645"/>
      <c r="CI126" s="645"/>
      <c r="CJ126" s="645"/>
      <c r="CK126" s="645"/>
      <c r="CL126" s="645"/>
      <c r="CM126" s="645"/>
      <c r="CN126" s="645"/>
      <c r="CO126" s="645"/>
      <c r="CP126" s="645"/>
      <c r="CQ126" s="645"/>
      <c r="CR126" s="645"/>
      <c r="CS126" s="645"/>
      <c r="CT126" s="645"/>
      <c r="CU126" s="645"/>
      <c r="CV126" s="645"/>
      <c r="CW126" s="645"/>
      <c r="CX126" s="645"/>
      <c r="CY126" s="645"/>
      <c r="CZ126" s="645"/>
      <c r="DA126" s="645"/>
      <c r="DB126" s="645"/>
      <c r="DC126" s="645"/>
      <c r="DD126" s="645"/>
      <c r="DE126" s="645"/>
      <c r="DF126" s="645"/>
      <c r="DG126" s="645"/>
      <c r="DH126" s="645"/>
      <c r="DI126" s="645"/>
      <c r="DJ126" s="645"/>
      <c r="DK126" s="645"/>
      <c r="DL126" s="645"/>
      <c r="DM126" s="645"/>
      <c r="DN126" s="645"/>
      <c r="DO126" s="645"/>
      <c r="DP126" s="645"/>
      <c r="DQ126" s="645"/>
      <c r="DR126" s="645"/>
      <c r="DS126" s="645"/>
      <c r="DT126" s="645"/>
      <c r="DU126" s="645"/>
      <c r="DV126" s="645"/>
      <c r="DW126" s="645"/>
      <c r="DX126" s="645"/>
      <c r="DY126" s="645"/>
      <c r="DZ126" s="645"/>
      <c r="EA126" s="645"/>
      <c r="EB126" s="645"/>
      <c r="EC126" s="645"/>
      <c r="ED126" s="645"/>
      <c r="EE126" s="645"/>
      <c r="EF126" s="645"/>
      <c r="EG126" s="645"/>
      <c r="EH126" s="645"/>
      <c r="EI126" s="645"/>
      <c r="EJ126" s="645"/>
      <c r="EK126" s="79"/>
      <c r="EL126" s="79"/>
      <c r="EM126" s="79"/>
      <c r="EN126" s="79"/>
      <c r="EO126" s="79"/>
      <c r="EP126" s="79"/>
      <c r="EQ126" s="79"/>
      <c r="ER126" s="79"/>
      <c r="ES126" s="79"/>
      <c r="ET126" s="79"/>
      <c r="EU126" s="79"/>
      <c r="EV126" s="79"/>
      <c r="EW126" s="79"/>
      <c r="EX126" s="79"/>
      <c r="EY126" s="79"/>
      <c r="EZ126" s="79"/>
      <c r="FA126" s="79"/>
      <c r="FB126" s="79"/>
      <c r="FC126" s="79"/>
      <c r="FD126" s="79"/>
      <c r="FE126" s="79"/>
      <c r="FF126" s="79"/>
      <c r="FG126" s="79"/>
      <c r="FH126" s="79"/>
      <c r="FI126" s="79"/>
      <c r="FJ126" s="79"/>
      <c r="FK126" s="79"/>
      <c r="FL126" s="79"/>
      <c r="FM126" s="47"/>
      <c r="FN126" s="47"/>
      <c r="FO126" s="47"/>
      <c r="FP126" s="47"/>
      <c r="FQ126" s="47"/>
      <c r="FR126" s="47"/>
      <c r="FS126" s="47"/>
      <c r="FT126" s="47"/>
      <c r="FU126" s="47"/>
      <c r="FV126" s="47"/>
      <c r="FW126" s="47"/>
      <c r="FX126" s="47"/>
      <c r="FY126" s="47"/>
      <c r="FZ126" s="47"/>
      <c r="GA126" s="49"/>
      <c r="GB126" s="49"/>
      <c r="GC126" s="49"/>
      <c r="GD126" s="49"/>
      <c r="GE126" s="49"/>
      <c r="GF126" s="49"/>
      <c r="GG126" s="49"/>
      <c r="GH126" s="49"/>
      <c r="GI126" s="49"/>
      <c r="GJ126" s="49"/>
      <c r="GK126" s="49"/>
      <c r="GL126" s="49"/>
      <c r="GM126" s="49"/>
      <c r="GN126" s="49"/>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row>
    <row r="127" spans="1:221" ht="3.75" customHeight="1">
      <c r="A127" s="1"/>
      <c r="B127" s="3"/>
      <c r="C127" s="3"/>
      <c r="D127" s="38"/>
      <c r="E127" s="43">
        <v>20</v>
      </c>
      <c r="F127" s="43" t="e">
        <f ca="1">E127*AB105/40</f>
        <v>#VALUE!</v>
      </c>
      <c r="G127" s="79"/>
      <c r="H127" s="79"/>
      <c r="I127" s="79"/>
      <c r="J127" s="79"/>
      <c r="K127" s="43"/>
      <c r="L127" s="39"/>
      <c r="M127" s="39"/>
      <c r="N127" s="39"/>
      <c r="O127" s="39"/>
      <c r="P127" s="39"/>
      <c r="Q127" s="39"/>
      <c r="R127" s="39"/>
      <c r="S127" s="39"/>
      <c r="T127" s="39"/>
      <c r="U127" s="39"/>
      <c r="V127" s="39"/>
      <c r="W127" s="39"/>
      <c r="X127" s="39"/>
      <c r="Y127" s="39"/>
      <c r="Z127" s="39"/>
      <c r="AA127" s="39"/>
      <c r="AB127" s="647"/>
      <c r="AC127" s="647"/>
      <c r="AD127" s="647"/>
      <c r="AE127" s="647"/>
      <c r="AF127" s="647"/>
      <c r="AG127" s="647"/>
      <c r="AH127" s="647"/>
      <c r="AI127" s="647"/>
      <c r="AJ127" s="647"/>
      <c r="AK127" s="647"/>
      <c r="AL127" s="39"/>
      <c r="AM127" s="213"/>
      <c r="AN127" s="43" t="str">
        <f ca="1">IF(FU96=0,"","`")</f>
        <v/>
      </c>
      <c r="AO127" s="215" t="str">
        <f ca="1">IF(FU96=0,"",IF(BC96="","",IF(BC96=0,"",IF(BC96=BX150,"",IF(AND(FO94&gt;=F127,BC96&gt;=AO155),"-","")))))</f>
        <v/>
      </c>
      <c r="AP127" s="215" t="str">
        <f ca="1">IF(FU96=0,"",IF(BC96="","",IF(BC96=0,"",IF(BC96=BX150,"",IF(AND(FO94&gt;=F127,BC96&gt;=AP155),"-","")))))</f>
        <v/>
      </c>
      <c r="AQ127" s="215" t="str">
        <f ca="1">IF(FU96=0,"",IF(BC96="","",IF(BC96=0,"",IF(BC96=BX150,"",IF(AND(FO94&gt;=F127,BC96&gt;=AQ155),"-","")))))</f>
        <v/>
      </c>
      <c r="AR127" s="215" t="str">
        <f ca="1">IF(FU96=0,"",IF(BC96="","",IF(BC96=0,"",IF(BC96=BX150,"",IF(AND(FO94&gt;=F127,BC96&gt;=AR155),"-","")))))</f>
        <v/>
      </c>
      <c r="AS127" s="215" t="str">
        <f ca="1">IF(FU96=0,"",IF(BC96="","",IF(BC96=0,"",IF(BC96=BX150,"",IF(AND(FO94&gt;=F127,BC96&gt;=AS155),"-","")))))</f>
        <v/>
      </c>
      <c r="AT127" s="215" t="str">
        <f ca="1">IF(FU96=0,"",IF(BC96="","",IF(BC96=0,"",IF(BC96=BX150,"",IF(AND(FO94&gt;=F127,BC96&gt;=AT155),"-","")))))</f>
        <v/>
      </c>
      <c r="AU127" s="215" t="str">
        <f ca="1">IF(FU96=0,"",IF(BC96="","",IF(BC96=0,"",IF(BC96=BX150,"",IF(AND(FO94&gt;=F127,BC96&gt;=AU155),"-","")))))</f>
        <v/>
      </c>
      <c r="AV127" s="215" t="str">
        <f ca="1">IF(FU96=0,"",IF(BC96="","",IF(BC96=0,"",IF(BC96=BX150,"",IF(AND(FO94&gt;=F127,BC96&gt;=AV155),"-","")))))</f>
        <v/>
      </c>
      <c r="AW127" s="215" t="str">
        <f ca="1">IF(FU96=0,"",IF(BC96="","",IF(BC96=0,"",IF(BC96=BX150,"",IF(AND(FO94&gt;=F127,BC96&gt;=AW155),"-","")))))</f>
        <v/>
      </c>
      <c r="AX127" s="215" t="str">
        <f ca="1">IF(FU96=0,"",IF(BC96="","",IF(BC96=0,"",IF(BC96=BX150,"",IF(AND(FO94&gt;=F127,BC96&gt;=AX155),"-","")))))</f>
        <v/>
      </c>
      <c r="AY127" s="215" t="str">
        <f ca="1">IF(FU96=0,"",IF(BC96="","",IF(BC96=0,"",IF(BC96=BX150,"",IF(AND(FO94&gt;=F127,BC96&gt;=AY155),"-","")))))</f>
        <v/>
      </c>
      <c r="AZ127" s="215" t="str">
        <f ca="1">IF(FU96=0,"",IF(BC96="","",IF(BC96=0,"",IF(BC96=BX150,"",IF(AND(FO94&gt;=F127,BC96&gt;=AZ155),"-","")))))</f>
        <v/>
      </c>
      <c r="BA127" s="215" t="str">
        <f ca="1">IF(FU96=0,"",IF(BC96="","",IF(BC96=0,"",IF(BC96=BX150,"",IF(AND(FO94&gt;=F127,BC96&gt;=BA155),"-","")))))</f>
        <v/>
      </c>
      <c r="BB127" s="215" t="str">
        <f ca="1">IF(FU96=0,"",IF(BC96="","",IF(BC96=0,"",IF(BC96=BX150,"",IF(AND(FO94&gt;=F127,BC96&gt;=BB155),"-","")))))</f>
        <v/>
      </c>
      <c r="BC127" s="215" t="str">
        <f ca="1">IF(FU96=0,"",IF(BC96="","",IF(BC96=0,"",IF(BC96=BX150,"",IF(AND(FO94&gt;=F127,BC96&gt;=BC155),"-","")))))</f>
        <v/>
      </c>
      <c r="BD127" s="215" t="str">
        <f ca="1">IF(FU96=0,"",IF(BC96="","",IF(BC96=0,"",IF(BC96=BX150,"",IF(AND(FO94&gt;=F127,BC96&gt;=BD155),"-","")))))</f>
        <v/>
      </c>
      <c r="BE127" s="215" t="str">
        <f ca="1">IF(FU96=0,"",IF(BC96="","",IF(BC96=0,"",IF(BC96=BX150,"",IF(AND(FO94&gt;=F127,BC96&gt;=BE155),"-","")))))</f>
        <v/>
      </c>
      <c r="BF127" s="215" t="str">
        <f ca="1">IF(FU96=0,"",IF(BC96="","",IF(BC96=0,"",IF(BC96=BX150,"",IF(AND(FO94&gt;=F127,BC96&gt;=BF155),"-","")))))</f>
        <v/>
      </c>
      <c r="BG127" s="215" t="str">
        <f ca="1">IF(FU96=0,"",IF(BC96="","",IF(BC96=0,"",IF(BC96=BX150,"",IF(AND(FO94&gt;=F127,BC96&gt;=BG155),"-","")))))</f>
        <v/>
      </c>
      <c r="BH127" s="215" t="str">
        <f ca="1">IF(FU96=0,"",IF(BC96="","",IF(BC96=0,"",IF(BC96=BX150,"",IF(AND(FO94&gt;=F127,BC96&gt;=BH155),"-","")))))</f>
        <v/>
      </c>
      <c r="BI127" s="197" t="str">
        <f ca="1">IF(FU96=0,"",":")</f>
        <v/>
      </c>
      <c r="BJ127" s="197"/>
      <c r="BK127" s="197"/>
      <c r="BL127" s="645"/>
      <c r="BM127" s="645"/>
      <c r="BN127" s="645"/>
      <c r="BO127" s="645"/>
      <c r="BP127" s="645"/>
      <c r="BQ127" s="645"/>
      <c r="BR127" s="645"/>
      <c r="BS127" s="645"/>
      <c r="BT127" s="645"/>
      <c r="BU127" s="645"/>
      <c r="BV127" s="645"/>
      <c r="BW127" s="645"/>
      <c r="BX127" s="645"/>
      <c r="BY127" s="645"/>
      <c r="BZ127" s="645"/>
      <c r="CA127" s="645"/>
      <c r="CB127" s="645"/>
      <c r="CC127" s="645"/>
      <c r="CD127" s="645"/>
      <c r="CE127" s="645"/>
      <c r="CF127" s="645"/>
      <c r="CG127" s="645"/>
      <c r="CH127" s="645"/>
      <c r="CI127" s="645"/>
      <c r="CJ127" s="645"/>
      <c r="CK127" s="645"/>
      <c r="CL127" s="645"/>
      <c r="CM127" s="645"/>
      <c r="CN127" s="645"/>
      <c r="CO127" s="645"/>
      <c r="CP127" s="645"/>
      <c r="CQ127" s="645"/>
      <c r="CR127" s="645"/>
      <c r="CS127" s="645"/>
      <c r="CT127" s="645"/>
      <c r="CU127" s="645"/>
      <c r="CV127" s="645"/>
      <c r="CW127" s="645"/>
      <c r="CX127" s="645"/>
      <c r="CY127" s="645"/>
      <c r="CZ127" s="645"/>
      <c r="DA127" s="645"/>
      <c r="DB127" s="645"/>
      <c r="DC127" s="645"/>
      <c r="DD127" s="645"/>
      <c r="DE127" s="645"/>
      <c r="DF127" s="645"/>
      <c r="DG127" s="645"/>
      <c r="DH127" s="645"/>
      <c r="DI127" s="645"/>
      <c r="DJ127" s="645"/>
      <c r="DK127" s="645"/>
      <c r="DL127" s="645"/>
      <c r="DM127" s="645"/>
      <c r="DN127" s="645"/>
      <c r="DO127" s="645"/>
      <c r="DP127" s="645"/>
      <c r="DQ127" s="645"/>
      <c r="DR127" s="645"/>
      <c r="DS127" s="645"/>
      <c r="DT127" s="645"/>
      <c r="DU127" s="645"/>
      <c r="DV127" s="645"/>
      <c r="DW127" s="645"/>
      <c r="DX127" s="645"/>
      <c r="DY127" s="645"/>
      <c r="DZ127" s="645"/>
      <c r="EA127" s="645"/>
      <c r="EB127" s="645"/>
      <c r="EC127" s="645"/>
      <c r="ED127" s="645"/>
      <c r="EE127" s="645"/>
      <c r="EF127" s="645"/>
      <c r="EG127" s="645"/>
      <c r="EH127" s="645"/>
      <c r="EI127" s="645"/>
      <c r="EJ127" s="645"/>
      <c r="EK127" s="79"/>
      <c r="EL127" s="79"/>
      <c r="EM127" s="79"/>
      <c r="EN127" s="79"/>
      <c r="EO127" s="79"/>
      <c r="EP127" s="79"/>
      <c r="EQ127" s="79"/>
      <c r="ER127" s="79"/>
      <c r="ES127" s="79"/>
      <c r="ET127" s="79"/>
      <c r="EU127" s="79"/>
      <c r="EV127" s="79"/>
      <c r="EW127" s="79"/>
      <c r="EX127" s="79"/>
      <c r="EY127" s="79"/>
      <c r="EZ127" s="79"/>
      <c r="FA127" s="79"/>
      <c r="FB127" s="79"/>
      <c r="FC127" s="79"/>
      <c r="FD127" s="79"/>
      <c r="FE127" s="79"/>
      <c r="FF127" s="79"/>
      <c r="FG127" s="79"/>
      <c r="FH127" s="79"/>
      <c r="FI127" s="79"/>
      <c r="FJ127" s="79"/>
      <c r="FK127" s="79"/>
      <c r="FL127" s="79"/>
      <c r="FM127" s="47"/>
      <c r="FN127" s="47"/>
      <c r="FO127" s="47"/>
      <c r="FP127" s="47"/>
      <c r="FQ127" s="47"/>
      <c r="FR127" s="47"/>
      <c r="FS127" s="47"/>
      <c r="FT127" s="47"/>
      <c r="FU127" s="47"/>
      <c r="FV127" s="47"/>
      <c r="FW127" s="47"/>
      <c r="FX127" s="47"/>
      <c r="FY127" s="47"/>
      <c r="FZ127" s="47"/>
      <c r="GA127" s="49"/>
      <c r="GB127" s="49"/>
      <c r="GC127" s="49"/>
      <c r="GD127" s="49"/>
      <c r="GE127" s="49"/>
      <c r="GF127" s="49"/>
      <c r="GG127" s="49"/>
      <c r="GH127" s="49"/>
      <c r="GI127" s="49"/>
      <c r="GJ127" s="49"/>
      <c r="GK127" s="49"/>
      <c r="GL127" s="49"/>
      <c r="GM127" s="49"/>
      <c r="GN127" s="49"/>
      <c r="GO127" s="49"/>
      <c r="GP127" s="49"/>
      <c r="GQ127" s="49"/>
      <c r="GR127" s="49"/>
      <c r="GS127" s="49"/>
      <c r="GT127" s="49"/>
      <c r="GU127" s="49"/>
      <c r="GV127" s="49"/>
      <c r="GW127" s="49"/>
      <c r="GX127" s="49"/>
      <c r="GY127" s="49"/>
      <c r="GZ127" s="49"/>
      <c r="HA127" s="49"/>
      <c r="HB127" s="49"/>
      <c r="HC127" s="49"/>
      <c r="HD127" s="49"/>
      <c r="HE127" s="49"/>
      <c r="HF127" s="49"/>
      <c r="HG127" s="49"/>
      <c r="HH127" s="49"/>
      <c r="HI127" s="49"/>
      <c r="HJ127" s="49"/>
      <c r="HK127" s="49"/>
      <c r="HL127" s="49"/>
      <c r="HM127" s="49"/>
    </row>
    <row r="128" spans="1:221" ht="3.75" customHeight="1">
      <c r="A128" s="1"/>
      <c r="B128" s="3"/>
      <c r="C128" s="3"/>
      <c r="D128" s="38"/>
      <c r="E128" s="43">
        <v>19</v>
      </c>
      <c r="F128" s="43" t="e">
        <f ca="1">E128*AB105/40</f>
        <v>#VALUE!</v>
      </c>
      <c r="G128" s="79"/>
      <c r="H128" s="79"/>
      <c r="I128" s="79"/>
      <c r="J128" s="79"/>
      <c r="K128" s="43"/>
      <c r="L128" s="39"/>
      <c r="M128" s="39"/>
      <c r="N128" s="39"/>
      <c r="O128" s="39"/>
      <c r="P128" s="39"/>
      <c r="Q128" s="39"/>
      <c r="R128" s="39"/>
      <c r="S128" s="39"/>
      <c r="T128" s="39"/>
      <c r="U128" s="39"/>
      <c r="V128" s="39"/>
      <c r="W128" s="39"/>
      <c r="X128" s="39"/>
      <c r="Y128" s="39"/>
      <c r="Z128" s="39"/>
      <c r="AA128" s="39"/>
      <c r="AB128" s="647"/>
      <c r="AC128" s="647"/>
      <c r="AD128" s="647"/>
      <c r="AE128" s="647"/>
      <c r="AF128" s="647"/>
      <c r="AG128" s="647"/>
      <c r="AH128" s="647"/>
      <c r="AI128" s="647"/>
      <c r="AJ128" s="647"/>
      <c r="AK128" s="647"/>
      <c r="AL128" s="39"/>
      <c r="AM128" s="213"/>
      <c r="AN128" s="43" t="str">
        <f ca="1">IF(FU96=0,"","`")</f>
        <v/>
      </c>
      <c r="AO128" s="215" t="str">
        <f ca="1">IF(FU96=0,"",IF(BC96="","",IF(BC96=0,"",IF(BC96=BX150,"",IF(AND(FO94&gt;=F128,BC96&gt;=AO155),"-","")))))</f>
        <v/>
      </c>
      <c r="AP128" s="215" t="str">
        <f ca="1">IF(FU96=0,"",IF(BC96="","",IF(BC96=0,"",IF(BC96=BX150,"",IF(AND(FO94&gt;=F128,BC96&gt;=AP155),"-","")))))</f>
        <v/>
      </c>
      <c r="AQ128" s="215" t="str">
        <f ca="1">IF(FU96=0,"",IF(BC96="","",IF(BC96=0,"",IF(BC96=BX150,"",IF(AND(FO94&gt;=F128,BC96&gt;=AQ155),"-","")))))</f>
        <v/>
      </c>
      <c r="AR128" s="215" t="str">
        <f ca="1">IF(FU96=0,"",IF(BC96="","",IF(BC96=0,"",IF(BC96=BX150,"",IF(AND(FO94&gt;=F128,BC96&gt;=AR155),"-","")))))</f>
        <v/>
      </c>
      <c r="AS128" s="215" t="str">
        <f ca="1">IF(FU96=0,"",IF(BC96="","",IF(BC96=0,"",IF(BC96=BX150,"",IF(AND(FO94&gt;=F128,BC96&gt;=AS155),"-","")))))</f>
        <v/>
      </c>
      <c r="AT128" s="215" t="str">
        <f ca="1">IF(FU96=0,"",IF(BC96="","",IF(BC96=0,"",IF(BC96=BX150,"",IF(AND(FO94&gt;=F128,BC96&gt;=AT155),"-","")))))</f>
        <v/>
      </c>
      <c r="AU128" s="215" t="str">
        <f ca="1">IF(FU96=0,"",IF(BC96="","",IF(BC96=0,"",IF(BC96=BX150,"",IF(AND(FO94&gt;=F128,BC96&gt;=AU155),"-","")))))</f>
        <v/>
      </c>
      <c r="AV128" s="215" t="str">
        <f ca="1">IF(FU96=0,"",IF(BC96="","",IF(BC96=0,"",IF(BC96=BX150,"",IF(AND(FO94&gt;=F128,BC96&gt;=AV155),"-","")))))</f>
        <v/>
      </c>
      <c r="AW128" s="215" t="str">
        <f ca="1">IF(FU96=0,"",IF(BC96="","",IF(BC96=0,"",IF(BC96=BX150,"",IF(AND(FO94&gt;=F128,BC96&gt;=AW155),"-","")))))</f>
        <v/>
      </c>
      <c r="AX128" s="215" t="str">
        <f ca="1">IF(FU96=0,"",IF(BC96="","",IF(BC96=0,"",IF(BC96=BX150,"",IF(AND(FO94&gt;=F128,BC96&gt;=AX155),"-","")))))</f>
        <v/>
      </c>
      <c r="AY128" s="215" t="str">
        <f ca="1">IF(FU96=0,"",IF(BC96="","",IF(BC96=0,"",IF(BC96=BX150,"",IF(AND(FO94&gt;=F128,BC96&gt;=AY155),"-","")))))</f>
        <v/>
      </c>
      <c r="AZ128" s="215" t="str">
        <f ca="1">IF(FU96=0,"",IF(BC96="","",IF(BC96=0,"",IF(BC96=BX150,"",IF(AND(FO94&gt;=F128,BC96&gt;=AZ155),"-","")))))</f>
        <v/>
      </c>
      <c r="BA128" s="215" t="str">
        <f ca="1">IF(FU96=0,"",IF(BC96="","",IF(BC96=0,"",IF(BC96=BX150,"",IF(AND(FO94&gt;=F128,BC96&gt;=BA155),"-","")))))</f>
        <v/>
      </c>
      <c r="BB128" s="215" t="str">
        <f ca="1">IF(FU96=0,"",IF(BC96="","",IF(BC96=0,"",IF(BC96=BX150,"",IF(AND(FO94&gt;=F128,BC96&gt;=BB155),"-","")))))</f>
        <v/>
      </c>
      <c r="BC128" s="215" t="str">
        <f ca="1">IF(FU96=0,"",IF(BC96="","",IF(BC96=0,"",IF(BC96=BX150,"",IF(AND(FO94&gt;=F128,BC96&gt;=BC155),"-","")))))</f>
        <v/>
      </c>
      <c r="BD128" s="215" t="str">
        <f ca="1">IF(FU96=0,"",IF(BC96="","",IF(BC96=0,"",IF(BC96=BX150,"",IF(AND(FO94&gt;=F128,BC96&gt;=BD155),"-","")))))</f>
        <v/>
      </c>
      <c r="BE128" s="215" t="str">
        <f ca="1">IF(FU96=0,"",IF(BC96="","",IF(BC96=0,"",IF(BC96=BX150,"",IF(AND(FO94&gt;=F128,BC96&gt;=BE155),"-","")))))</f>
        <v/>
      </c>
      <c r="BF128" s="215" t="str">
        <f ca="1">IF(FU96=0,"",IF(BC96="","",IF(BC96=0,"",IF(BC96=BX150,"",IF(AND(FO94&gt;=F128,BC96&gt;=BF155),"-","")))))</f>
        <v/>
      </c>
      <c r="BG128" s="215" t="str">
        <f ca="1">IF(FU96=0,"",IF(BC96="","",IF(BC96=0,"",IF(BC96=BX150,"",IF(AND(FO94&gt;=F128,BC96&gt;=BG155),"-","")))))</f>
        <v/>
      </c>
      <c r="BH128" s="215" t="str">
        <f ca="1">IF(FU96=0,"",IF(BC96="","",IF(BC96=0,"",IF(BC96=BX150,"",IF(AND(FO94&gt;=F128,BC96&gt;=BH155),"-","")))))</f>
        <v/>
      </c>
      <c r="BI128" s="215" t="str">
        <f ca="1">IF(FU96=0,"",IF(BC96="","",IF(BC96=0,"",IF(BC96=BX150,"",IF(AND(FO94&gt;=F128,BC96&gt;=BI155),"-","")))))</f>
        <v/>
      </c>
      <c r="BJ128" s="197" t="str">
        <f ca="1">IF(FU96=0,"",":")</f>
        <v/>
      </c>
      <c r="BK128" s="197"/>
      <c r="BL128" s="645"/>
      <c r="BM128" s="645"/>
      <c r="BN128" s="645"/>
      <c r="BO128" s="645"/>
      <c r="BP128" s="645"/>
      <c r="BQ128" s="645"/>
      <c r="BR128" s="645"/>
      <c r="BS128" s="645"/>
      <c r="BT128" s="645"/>
      <c r="BU128" s="645"/>
      <c r="BV128" s="645"/>
      <c r="BW128" s="645"/>
      <c r="BX128" s="645"/>
      <c r="BY128" s="645"/>
      <c r="BZ128" s="645"/>
      <c r="CA128" s="645"/>
      <c r="CB128" s="645"/>
      <c r="CC128" s="645"/>
      <c r="CD128" s="645"/>
      <c r="CE128" s="645"/>
      <c r="CF128" s="645"/>
      <c r="CG128" s="645"/>
      <c r="CH128" s="645"/>
      <c r="CI128" s="645"/>
      <c r="CJ128" s="645"/>
      <c r="CK128" s="645"/>
      <c r="CL128" s="645"/>
      <c r="CM128" s="645"/>
      <c r="CN128" s="645"/>
      <c r="CO128" s="645"/>
      <c r="CP128" s="645"/>
      <c r="CQ128" s="645"/>
      <c r="CR128" s="645"/>
      <c r="CS128" s="645"/>
      <c r="CT128" s="645"/>
      <c r="CU128" s="645"/>
      <c r="CV128" s="645"/>
      <c r="CW128" s="645"/>
      <c r="CX128" s="645"/>
      <c r="CY128" s="645"/>
      <c r="CZ128" s="645"/>
      <c r="DA128" s="645"/>
      <c r="DB128" s="645"/>
      <c r="DC128" s="645"/>
      <c r="DD128" s="645"/>
      <c r="DE128" s="645"/>
      <c r="DF128" s="645"/>
      <c r="DG128" s="645"/>
      <c r="DH128" s="645"/>
      <c r="DI128" s="645"/>
      <c r="DJ128" s="645"/>
      <c r="DK128" s="645"/>
      <c r="DL128" s="645"/>
      <c r="DM128" s="645"/>
      <c r="DN128" s="645"/>
      <c r="DO128" s="645"/>
      <c r="DP128" s="645"/>
      <c r="DQ128" s="645"/>
      <c r="DR128" s="645"/>
      <c r="DS128" s="645"/>
      <c r="DT128" s="645"/>
      <c r="DU128" s="645"/>
      <c r="DV128" s="645"/>
      <c r="DW128" s="645"/>
      <c r="DX128" s="645"/>
      <c r="DY128" s="645"/>
      <c r="DZ128" s="645"/>
      <c r="EA128" s="645"/>
      <c r="EB128" s="645"/>
      <c r="EC128" s="645"/>
      <c r="ED128" s="645"/>
      <c r="EE128" s="645"/>
      <c r="EF128" s="645"/>
      <c r="EG128" s="645"/>
      <c r="EH128" s="645"/>
      <c r="EI128" s="645"/>
      <c r="EJ128" s="645"/>
      <c r="EK128" s="79"/>
      <c r="EL128" s="79"/>
      <c r="EM128" s="79"/>
      <c r="EN128" s="79"/>
      <c r="EO128" s="79"/>
      <c r="EP128" s="79"/>
      <c r="EQ128" s="79"/>
      <c r="ER128" s="79"/>
      <c r="ES128" s="79"/>
      <c r="ET128" s="79"/>
      <c r="EU128" s="79"/>
      <c r="EV128" s="79"/>
      <c r="EW128" s="79"/>
      <c r="EX128" s="79"/>
      <c r="EY128" s="79"/>
      <c r="EZ128" s="79"/>
      <c r="FA128" s="79"/>
      <c r="FB128" s="79"/>
      <c r="FC128" s="79"/>
      <c r="FD128" s="79"/>
      <c r="FE128" s="79"/>
      <c r="FF128" s="79"/>
      <c r="FG128" s="79"/>
      <c r="FH128" s="79"/>
      <c r="FI128" s="79"/>
      <c r="FJ128" s="79"/>
      <c r="FK128" s="79"/>
      <c r="FL128" s="79"/>
      <c r="FM128" s="47"/>
      <c r="FN128" s="47"/>
      <c r="FO128" s="47"/>
      <c r="FP128" s="47"/>
      <c r="FQ128" s="47"/>
      <c r="FR128" s="47"/>
      <c r="FS128" s="47"/>
      <c r="FT128" s="47"/>
      <c r="FU128" s="47"/>
      <c r="FV128" s="47"/>
      <c r="FW128" s="47"/>
      <c r="FX128" s="47"/>
      <c r="FY128" s="47"/>
      <c r="FZ128" s="47"/>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row>
    <row r="129" spans="1:221" ht="3.75" customHeight="1">
      <c r="A129" s="1"/>
      <c r="B129" s="3"/>
      <c r="C129" s="3"/>
      <c r="D129" s="38"/>
      <c r="E129" s="43">
        <v>18</v>
      </c>
      <c r="F129" s="43" t="e">
        <f ca="1">E129*AB105/40</f>
        <v>#VALUE!</v>
      </c>
      <c r="G129" s="79"/>
      <c r="H129" s="79"/>
      <c r="I129" s="79"/>
      <c r="J129" s="79"/>
      <c r="K129" s="43"/>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213"/>
      <c r="AN129" s="43" t="str">
        <f ca="1">IF(FU96=0,"","`")</f>
        <v/>
      </c>
      <c r="AO129" s="215" t="str">
        <f ca="1">IF(FU96=0,"",IF(BC96="","",IF(BC96=0,"",IF(BC96=BX150,"",IF(AND(FO94&gt;=F129,BC96&gt;=AO155),"-","")))))</f>
        <v/>
      </c>
      <c r="AP129" s="215" t="str">
        <f ca="1">IF(FU96=0,"",IF(BC96="","",IF(BC96=0,"",IF(BC96=BX150,"",IF(AND(FO94&gt;=F129,BC96&gt;=AP155),"-","")))))</f>
        <v/>
      </c>
      <c r="AQ129" s="215" t="str">
        <f ca="1">IF(FU96=0,"",IF(BC96="","",IF(BC96=0,"",IF(BC96=BX150,"",IF(AND(FO94&gt;=F129,BC96&gt;=AQ155),"-","")))))</f>
        <v/>
      </c>
      <c r="AR129" s="215" t="str">
        <f ca="1">IF(FU96=0,"",IF(BC96="","",IF(BC96=0,"",IF(BC96=BX150,"",IF(AND(FO94&gt;=F129,BC96&gt;=AR155),"-","")))))</f>
        <v/>
      </c>
      <c r="AS129" s="215" t="str">
        <f ca="1">IF(FU96=0,"",IF(BC96="","",IF(BC96=0,"",IF(BC96=BX150,"",IF(AND(FO94&gt;=F129,BC96&gt;=AS155),"-","")))))</f>
        <v/>
      </c>
      <c r="AT129" s="215" t="str">
        <f ca="1">IF(FU96=0,"",IF(BC96="","",IF(BC96=0,"",IF(BC96=BX150,"",IF(AND(FO94&gt;=F129,BC96&gt;=AT155),"-","")))))</f>
        <v/>
      </c>
      <c r="AU129" s="215" t="str">
        <f ca="1">IF(FU96=0,"",IF(BC96="","",IF(BC96=0,"",IF(BC96=BX150,"",IF(AND(FO94&gt;=F129,BC96&gt;=AU155),"-","")))))</f>
        <v/>
      </c>
      <c r="AV129" s="215" t="str">
        <f ca="1">IF(FU96=0,"",IF(BC96="","",IF(BC96=0,"",IF(BC96=BX150,"",IF(AND(FO94&gt;=F129,BC96&gt;=AV155),"-","")))))</f>
        <v/>
      </c>
      <c r="AW129" s="215" t="str">
        <f ca="1">IF(FU96=0,"",IF(BC96="","",IF(BC96=0,"",IF(BC96=BX150,"",IF(AND(FO94&gt;=F129,BC96&gt;=AW155),"-","")))))</f>
        <v/>
      </c>
      <c r="AX129" s="215" t="str">
        <f ca="1">IF(FU96=0,"",IF(BC96="","",IF(BC96=0,"",IF(BC96=BX150,"",IF(AND(FO94&gt;=F129,BC96&gt;=AX155),"-","")))))</f>
        <v/>
      </c>
      <c r="AY129" s="215" t="str">
        <f ca="1">IF(FU96=0,"",IF(BC96="","",IF(BC96=0,"",IF(BC96=BX150,"",IF(AND(FO94&gt;=F129,BC96&gt;=AY155),"-","")))))</f>
        <v/>
      </c>
      <c r="AZ129" s="215" t="str">
        <f ca="1">IF(FU96=0,"",IF(BC96="","",IF(BC96=0,"",IF(BC96=BX150,"",IF(AND(FO94&gt;=F129,BC96&gt;=AZ155),"-","")))))</f>
        <v/>
      </c>
      <c r="BA129" s="215" t="str">
        <f ca="1">IF(FU96=0,"",IF(BC96="","",IF(BC96=0,"",IF(BC96=BX150,"",IF(AND(FO94&gt;=F129,BC96&gt;=BA155),"-","")))))</f>
        <v/>
      </c>
      <c r="BB129" s="215" t="str">
        <f ca="1">IF(FU96=0,"",IF(BC96="","",IF(BC96=0,"",IF(BC96=BX150,"",IF(AND(FO94&gt;=F129,BC96&gt;=BB155),"-","")))))</f>
        <v/>
      </c>
      <c r="BC129" s="215" t="str">
        <f ca="1">IF(FU96=0,"",IF(BC96="","",IF(BC96=0,"",IF(BC96=BX150,"",IF(AND(FO94&gt;=F129,BC96&gt;=BC155),"-","")))))</f>
        <v/>
      </c>
      <c r="BD129" s="215" t="str">
        <f ca="1">IF(FU96=0,"",IF(BC96="","",IF(BC96=0,"",IF(BC96=BX150,"",IF(AND(FO94&gt;=F129,BC96&gt;=BD155),"-","")))))</f>
        <v/>
      </c>
      <c r="BE129" s="215" t="str">
        <f ca="1">IF(FU96=0,"",IF(BC96="","",IF(BC96=0,"",IF(BC96=BX150,"",IF(AND(FO94&gt;=F129,BC96&gt;=BE155),"-","")))))</f>
        <v/>
      </c>
      <c r="BF129" s="215" t="str">
        <f ca="1">IF(FU96=0,"",IF(BC96="","",IF(BC96=0,"",IF(BC96=BX150,"",IF(AND(FO94&gt;=F129,BC96&gt;=BF155),"-","")))))</f>
        <v/>
      </c>
      <c r="BG129" s="215" t="str">
        <f ca="1">IF(FU96=0,"",IF(BC96="","",IF(BC96=0,"",IF(BC96=BX150,"",IF(AND(FO94&gt;=F129,BC96&gt;=BG155),"-","")))))</f>
        <v/>
      </c>
      <c r="BH129" s="215" t="str">
        <f ca="1">IF(FU96=0,"",IF(BC96="","",IF(BC96=0,"",IF(BC96=BX150,"",IF(AND(FO94&gt;=F129,BC96&gt;=BH155),"-","")))))</f>
        <v/>
      </c>
      <c r="BI129" s="215" t="str">
        <f ca="1">IF(FU96=0,"",IF(BC96="","",IF(BC96=0,"",IF(BC96=BX150,"",IF(AND(FO94&gt;=F129,BC96&gt;=BI155),"-","")))))</f>
        <v/>
      </c>
      <c r="BJ129" s="215" t="str">
        <f ca="1">IF(FU96=0,"",IF(BC96="","",IF(BC96=0,"",IF(BC96=BX150,"",IF(AND(FO94&gt;=F129,BC96&gt;=BJ155),"-","")))))</f>
        <v/>
      </c>
      <c r="BK129" s="197" t="str">
        <f ca="1">IF(FU96=0,"",":")</f>
        <v/>
      </c>
      <c r="BL129" s="197"/>
      <c r="BM129" s="197"/>
      <c r="BN129" s="197"/>
      <c r="BO129" s="197"/>
      <c r="BP129" s="197"/>
      <c r="BQ129" s="197"/>
      <c r="BR129" s="197"/>
      <c r="BS129" s="197"/>
      <c r="BT129" s="197"/>
      <c r="BU129" s="197"/>
      <c r="BV129" s="197"/>
      <c r="BW129" s="197"/>
      <c r="BX129" s="197"/>
      <c r="BY129" s="197"/>
      <c r="BZ129" s="197"/>
      <c r="CA129" s="197"/>
      <c r="CB129" s="197"/>
      <c r="CC129" s="197"/>
      <c r="CD129" s="197"/>
      <c r="CE129" s="197"/>
      <c r="CF129" s="197"/>
      <c r="CG129" s="197"/>
      <c r="CH129" s="197"/>
      <c r="CI129" s="197"/>
      <c r="CJ129" s="197"/>
      <c r="CK129" s="197"/>
      <c r="CL129" s="43"/>
      <c r="CM129" s="43"/>
      <c r="CN129" s="43"/>
      <c r="CO129" s="197"/>
      <c r="CP129" s="197"/>
      <c r="CQ129" s="43"/>
      <c r="CR129" s="43"/>
      <c r="CS129" s="43"/>
      <c r="CT129" s="43"/>
      <c r="CU129" s="43"/>
      <c r="CV129" s="43"/>
      <c r="CW129" s="43"/>
      <c r="CX129" s="43"/>
      <c r="CY129" s="43"/>
      <c r="CZ129" s="43"/>
      <c r="DA129" s="43"/>
      <c r="DB129" s="43"/>
      <c r="DC129" s="43"/>
      <c r="DD129" s="43"/>
      <c r="DE129" s="43"/>
      <c r="DF129" s="79"/>
      <c r="DG129" s="79"/>
      <c r="DH129" s="79"/>
      <c r="DI129" s="79"/>
      <c r="DJ129" s="79"/>
      <c r="DK129" s="79"/>
      <c r="DL129" s="79"/>
      <c r="DM129" s="79"/>
      <c r="DN129" s="79"/>
      <c r="DO129" s="79"/>
      <c r="DP129" s="79"/>
      <c r="DQ129" s="79"/>
      <c r="DR129" s="79"/>
      <c r="DS129" s="79"/>
      <c r="DT129" s="79"/>
      <c r="DU129" s="79"/>
      <c r="DV129" s="79"/>
      <c r="DW129" s="79"/>
      <c r="DX129" s="79"/>
      <c r="DY129" s="79"/>
      <c r="DZ129" s="79"/>
      <c r="EA129" s="79"/>
      <c r="EB129" s="79"/>
      <c r="EC129" s="79"/>
      <c r="ED129" s="79"/>
      <c r="EE129" s="79"/>
      <c r="EF129" s="79"/>
      <c r="EG129" s="79"/>
      <c r="EH129" s="79"/>
      <c r="EI129" s="79"/>
      <c r="EJ129" s="79"/>
      <c r="EK129" s="79"/>
      <c r="EL129" s="79"/>
      <c r="EM129" s="79"/>
      <c r="EN129" s="79"/>
      <c r="EO129" s="79"/>
      <c r="EP129" s="79"/>
      <c r="EQ129" s="79"/>
      <c r="ER129" s="79"/>
      <c r="ES129" s="79"/>
      <c r="ET129" s="79"/>
      <c r="EU129" s="79"/>
      <c r="EV129" s="79"/>
      <c r="EW129" s="79"/>
      <c r="EX129" s="79"/>
      <c r="EY129" s="79"/>
      <c r="EZ129" s="79"/>
      <c r="FA129" s="79"/>
      <c r="FB129" s="79"/>
      <c r="FC129" s="79"/>
      <c r="FD129" s="79"/>
      <c r="FE129" s="79"/>
      <c r="FF129" s="79"/>
      <c r="FG129" s="79"/>
      <c r="FH129" s="79"/>
      <c r="FI129" s="79"/>
      <c r="FJ129" s="79"/>
      <c r="FK129" s="79"/>
      <c r="FL129" s="79"/>
      <c r="FM129" s="47"/>
      <c r="FN129" s="47"/>
      <c r="FO129" s="47"/>
      <c r="FP129" s="47"/>
      <c r="FQ129" s="47"/>
      <c r="FR129" s="47"/>
      <c r="FS129" s="47"/>
      <c r="FT129" s="47"/>
      <c r="FU129" s="47"/>
      <c r="FV129" s="47"/>
      <c r="FW129" s="47"/>
      <c r="FX129" s="47"/>
      <c r="FY129" s="47"/>
      <c r="FZ129" s="47"/>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row>
    <row r="130" spans="1:221" ht="3.75" customHeight="1">
      <c r="A130" s="1"/>
      <c r="B130" s="3"/>
      <c r="C130" s="3"/>
      <c r="D130" s="38"/>
      <c r="E130" s="43">
        <v>17</v>
      </c>
      <c r="F130" s="43" t="e">
        <f ca="1">E130*AB105/40</f>
        <v>#VALUE!</v>
      </c>
      <c r="G130" s="79"/>
      <c r="H130" s="79"/>
      <c r="I130" s="79"/>
      <c r="J130" s="79"/>
      <c r="K130" s="43"/>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213"/>
      <c r="AN130" s="43" t="str">
        <f ca="1">IF(FU96=0,"","`")</f>
        <v/>
      </c>
      <c r="AO130" s="215" t="str">
        <f ca="1">IF(FU96=0,"",IF(BC96="","",IF(BC96=0,"",IF(BC96=BX150,"",IF(AND(FO94&gt;=F130,BC96&gt;=AO155),"-","")))))</f>
        <v/>
      </c>
      <c r="AP130" s="215" t="str">
        <f ca="1">IF(FU96=0,"",IF(BC96="","",IF(BC96=0,"",IF(BC96=BX150,"",IF(AND(FO94&gt;=F130,BC96&gt;=AP155),"-","")))))</f>
        <v/>
      </c>
      <c r="AQ130" s="215" t="str">
        <f ca="1">IF(FU96=0,"",IF(BC96="","",IF(BC96=0,"",IF(BC96=BX150,"",IF(AND(FO94&gt;=F130,BC96&gt;=AQ155),"-","")))))</f>
        <v/>
      </c>
      <c r="AR130" s="215" t="str">
        <f ca="1">IF(FU96=0,"",IF(BC96="","",IF(BC96=0,"",IF(BC96=BX150,"",IF(AND(FO94&gt;=F130,BC96&gt;=AR155),"-","")))))</f>
        <v/>
      </c>
      <c r="AS130" s="215" t="str">
        <f ca="1">IF(FU96=0,"",IF(BC96="","",IF(BC96=0,"",IF(BC96=BX150,"",IF(AND(FO94&gt;=F130,BC96&gt;=AS155),"-","")))))</f>
        <v/>
      </c>
      <c r="AT130" s="215" t="str">
        <f ca="1">IF(FU96=0,"",IF(BC96="","",IF(BC96=0,"",IF(BC96=BX150,"",IF(AND(FO94&gt;=F130,BC96&gt;=AT155),"-","")))))</f>
        <v/>
      </c>
      <c r="AU130" s="215" t="str">
        <f ca="1">IF(FU96=0,"",IF(BC96="","",IF(BC96=0,"",IF(BC96=BX150,"",IF(AND(FO94&gt;=F130,BC96&gt;=AU155),"-","")))))</f>
        <v/>
      </c>
      <c r="AV130" s="215" t="str">
        <f ca="1">IF(FU96=0,"",IF(BC96="","",IF(BC96=0,"",IF(BC96=BX150,"",IF(AND(FO94&gt;=F130,BC96&gt;=AV155),"-","")))))</f>
        <v/>
      </c>
      <c r="AW130" s="215" t="str">
        <f ca="1">IF(FU96=0,"",IF(BC96="","",IF(BC96=0,"",IF(BC96=BX150,"",IF(AND(FO94&gt;=F130,BC96&gt;=AW155),"-","")))))</f>
        <v/>
      </c>
      <c r="AX130" s="215" t="str">
        <f ca="1">IF(FU96=0,"",IF(BC96="","",IF(BC96=0,"",IF(BC96=BX150,"",IF(AND(FO94&gt;=F130,BC96&gt;=AX155),"-","")))))</f>
        <v/>
      </c>
      <c r="AY130" s="215" t="str">
        <f ca="1">IF(FU96=0,"",IF(BC96="","",IF(BC96=0,"",IF(BC96=BX150,"",IF(AND(FO94&gt;=F130,BC96&gt;=AY155),"-","")))))</f>
        <v/>
      </c>
      <c r="AZ130" s="215" t="str">
        <f ca="1">IF(FU96=0,"",IF(BC96="","",IF(BC96=0,"",IF(BC96=BX150,"",IF(AND(FO94&gt;=F130,BC96&gt;=AZ155),"-","")))))</f>
        <v/>
      </c>
      <c r="BA130" s="215" t="str">
        <f ca="1">IF(FU96=0,"",IF(BC96="","",IF(BC96=0,"",IF(BC96=BX150,"",IF(AND(FO94&gt;=F130,BC96&gt;=BA155),"-","")))))</f>
        <v/>
      </c>
      <c r="BB130" s="215" t="str">
        <f ca="1">IF(FU96=0,"",IF(BC96="","",IF(BC96=0,"",IF(BC96=BX150,"",IF(AND(FO94&gt;=F130,BC96&gt;=BB155),"-","")))))</f>
        <v/>
      </c>
      <c r="BC130" s="215" t="str">
        <f ca="1">IF(FU96=0,"",IF(BC96="","",IF(BC96=0,"",IF(BC96=BX150,"",IF(AND(FO94&gt;=F130,BC96&gt;=BC155),"-","")))))</f>
        <v/>
      </c>
      <c r="BD130" s="215" t="str">
        <f ca="1">IF(FU96=0,"",IF(BC96="","",IF(BC96=0,"",IF(BC96=BX150,"",IF(AND(FO94&gt;=F130,BC96&gt;=BD155),"-","")))))</f>
        <v/>
      </c>
      <c r="BE130" s="215" t="str">
        <f ca="1">IF(FU96=0,"",IF(BC96="","",IF(BC96=0,"",IF(BC96=BX150,"",IF(AND(FO94&gt;=F130,BC96&gt;=BE155),"-","")))))</f>
        <v/>
      </c>
      <c r="BF130" s="215" t="str">
        <f ca="1">IF(FU96=0,"",IF(BC96="","",IF(BC96=0,"",IF(BC96=BX150,"",IF(AND(FO94&gt;=F130,BC96&gt;=BF155),"-","")))))</f>
        <v/>
      </c>
      <c r="BG130" s="215" t="str">
        <f ca="1">IF(FU96=0,"",IF(BC96="","",IF(BC96=0,"",IF(BC96=BX150,"",IF(AND(FO94&gt;=F130,BC96&gt;=BG155),"-","")))))</f>
        <v/>
      </c>
      <c r="BH130" s="215" t="str">
        <f ca="1">IF(FU96=0,"",IF(BC96="","",IF(BC96=0,"",IF(BC96=BX150,"",IF(AND(FO94&gt;=F130,BC96&gt;=BH155),"-","")))))</f>
        <v/>
      </c>
      <c r="BI130" s="215" t="str">
        <f ca="1">IF(FU96=0,"",IF(BC96="","",IF(BC96=0,"",IF(BC96=BX150,"",IF(AND(FO94&gt;=F130,BC96&gt;=BI155),"-","")))))</f>
        <v/>
      </c>
      <c r="BJ130" s="215" t="str">
        <f ca="1">IF(FU96=0,"",IF(BC96="","",IF(BC96=0,"",IF(BC96=BX150,"",IF(AND(FO94&gt;=F130,BC96&gt;=BJ155),"-","")))))</f>
        <v/>
      </c>
      <c r="BK130" s="215" t="str">
        <f ca="1">IF(FU96=0,"",IF(BC96="","",IF(BC96=0,"",IF(BC96=BX150,"",IF(AND(FO94&gt;=F130,BC96&gt;=BK155),"-","")))))</f>
        <v/>
      </c>
      <c r="BL130" s="197" t="str">
        <f ca="1">IF(FU96=0,"",":")</f>
        <v/>
      </c>
      <c r="BM130" s="197"/>
      <c r="BN130" s="197"/>
      <c r="BO130" s="197"/>
      <c r="BP130" s="197"/>
      <c r="BQ130" s="197"/>
      <c r="BR130" s="197"/>
      <c r="BS130" s="197"/>
      <c r="BT130" s="197"/>
      <c r="BU130" s="197"/>
      <c r="BV130" s="197"/>
      <c r="BW130" s="197"/>
      <c r="BX130" s="197"/>
      <c r="BY130" s="197"/>
      <c r="BZ130" s="197"/>
      <c r="CA130" s="197"/>
      <c r="CB130" s="197"/>
      <c r="CC130" s="197"/>
      <c r="CD130" s="197"/>
      <c r="CE130" s="197"/>
      <c r="CF130" s="45"/>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c r="DL130" s="46"/>
      <c r="DM130" s="46"/>
      <c r="DN130" s="46"/>
      <c r="DO130" s="46"/>
      <c r="DP130" s="46"/>
      <c r="DQ130" s="46"/>
      <c r="DR130" s="46"/>
      <c r="DS130" s="46"/>
      <c r="DT130" s="46"/>
      <c r="DU130" s="46"/>
      <c r="DV130" s="46"/>
      <c r="DW130" s="46"/>
      <c r="DX130" s="46"/>
      <c r="DY130" s="46"/>
      <c r="DZ130" s="46"/>
      <c r="EA130" s="46"/>
      <c r="EB130" s="46"/>
      <c r="EC130" s="46"/>
      <c r="ED130" s="46"/>
      <c r="EE130" s="39"/>
      <c r="EF130" s="39"/>
      <c r="EG130" s="39"/>
      <c r="EH130" s="39"/>
      <c r="EI130" s="39"/>
      <c r="EJ130" s="39"/>
      <c r="EK130" s="39"/>
      <c r="EL130" s="39"/>
      <c r="EM130" s="39"/>
      <c r="EN130" s="39"/>
      <c r="EO130" s="39"/>
      <c r="EP130" s="39"/>
      <c r="EQ130" s="39"/>
      <c r="ER130" s="39"/>
      <c r="ES130" s="79"/>
      <c r="ET130" s="79"/>
      <c r="EU130" s="79"/>
      <c r="EV130" s="79"/>
      <c r="EW130" s="79"/>
      <c r="EX130" s="79"/>
      <c r="EY130" s="79"/>
      <c r="EZ130" s="79"/>
      <c r="FA130" s="79"/>
      <c r="FB130" s="79"/>
      <c r="FC130" s="79"/>
      <c r="FD130" s="79"/>
      <c r="FE130" s="79"/>
      <c r="FF130" s="79"/>
      <c r="FG130" s="79"/>
      <c r="FH130" s="79"/>
      <c r="FI130" s="79"/>
      <c r="FJ130" s="79"/>
      <c r="FK130" s="79"/>
      <c r="FL130" s="79"/>
      <c r="FM130" s="47"/>
      <c r="FN130" s="47"/>
      <c r="FO130" s="47"/>
      <c r="FP130" s="47"/>
      <c r="FQ130" s="47"/>
      <c r="FR130" s="47"/>
      <c r="FS130" s="47"/>
      <c r="FT130" s="47"/>
      <c r="FU130" s="47"/>
      <c r="FV130" s="47"/>
      <c r="FW130" s="47"/>
      <c r="FX130" s="47"/>
      <c r="FY130" s="47"/>
      <c r="FZ130" s="47"/>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row>
    <row r="131" spans="1:221" ht="3.75" customHeight="1">
      <c r="A131" s="1"/>
      <c r="B131" s="3"/>
      <c r="C131" s="3"/>
      <c r="D131" s="38"/>
      <c r="E131" s="43">
        <v>16</v>
      </c>
      <c r="F131" s="43" t="e">
        <f ca="1">E131*AB105/40</f>
        <v>#VALUE!</v>
      </c>
      <c r="G131" s="79"/>
      <c r="H131" s="79"/>
      <c r="I131" s="79"/>
      <c r="J131" s="79"/>
      <c r="K131" s="43"/>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126"/>
      <c r="AN131" s="43" t="str">
        <f ca="1">IF(FU96=0,"","`")</f>
        <v/>
      </c>
      <c r="AO131" s="215" t="str">
        <f ca="1">IF(FU96=0,"",IF(BC96="","",IF(BC96=0,"",IF(BC96=BX150,"",IF(AND(FO94&gt;=F131,BC96&gt;=AO155),"-","")))))</f>
        <v/>
      </c>
      <c r="AP131" s="215" t="str">
        <f ca="1">IF(FU96=0,"",IF(BC96="","",IF(BC96=0,"",IF(BC96=BX150,"",IF(AND(FO94&gt;=F131,BC96&gt;=AP155),"-","")))))</f>
        <v/>
      </c>
      <c r="AQ131" s="215" t="str">
        <f ca="1">IF(FU96=0,"",IF(BC96="","",IF(BC96=0,"",IF(BC96=BX150,"",IF(AND(FO94&gt;=F131,BC96&gt;=AQ155),"-","")))))</f>
        <v/>
      </c>
      <c r="AR131" s="215" t="str">
        <f ca="1">IF(FU96=0,"",IF(BC96="","",IF(BC96=0,"",IF(BC96=BX150,"",IF(AND(FO94&gt;=F131,BC96&gt;=AR155),"-","")))))</f>
        <v/>
      </c>
      <c r="AS131" s="215" t="str">
        <f ca="1">IF(FU96=0,"",IF(BC96="","",IF(BC96=0,"",IF(BC96=BX150,"",IF(AND(FO94&gt;=F131,BC96&gt;=AS155),"-","")))))</f>
        <v/>
      </c>
      <c r="AT131" s="215" t="str">
        <f ca="1">IF(FU96=0,"",IF(BC96="","",IF(BC96=0,"",IF(BC96=BX150,"",IF(AND(FO94&gt;=F131,BC96&gt;=AT155),"-","")))))</f>
        <v/>
      </c>
      <c r="AU131" s="215" t="str">
        <f ca="1">IF(FU96=0,"",IF(BC96="","",IF(BC96=0,"",IF(BC96=BX150,"",IF(AND(FO94&gt;=F131,BC96&gt;=AU155),"-","")))))</f>
        <v/>
      </c>
      <c r="AV131" s="215" t="str">
        <f ca="1">IF(FU96=0,"",IF(BC96="","",IF(BC96=0,"",IF(BC96=BX150,"",IF(AND(FO94&gt;=F131,BC96&gt;=AV155),"-","")))))</f>
        <v/>
      </c>
      <c r="AW131" s="215" t="str">
        <f ca="1">IF(FU96=0,"",IF(BC96="","",IF(BC96=0,"",IF(BC96=BX150,"",IF(AND(FO94&gt;=F131,BC96&gt;=AW155),"-","")))))</f>
        <v/>
      </c>
      <c r="AX131" s="215" t="str">
        <f ca="1">IF(FU96=0,"",IF(BC96="","",IF(BC96=0,"",IF(BC96=BX150,"",IF(AND(FO94&gt;=F131,BC96&gt;=AX155),"-","")))))</f>
        <v/>
      </c>
      <c r="AY131" s="215" t="str">
        <f ca="1">IF(FU96=0,"",IF(BC96="","",IF(BC96=0,"",IF(BC96=BX150,"",IF(AND(FO94&gt;=F131,BC96&gt;=AY155),"-","")))))</f>
        <v/>
      </c>
      <c r="AZ131" s="215" t="str">
        <f ca="1">IF(FU96=0,"",IF(BC96="","",IF(BC96=0,"",IF(BC96=BX150,"",IF(AND(FO94&gt;=F131,BC96&gt;=AZ155),"-","")))))</f>
        <v/>
      </c>
      <c r="BA131" s="215" t="str">
        <f ca="1">IF(FU96=0,"",IF(BC96="","",IF(BC96=0,"",IF(BC96=BX150,"",IF(AND(FO94&gt;=F131,BC96&gt;=BA155),"-","")))))</f>
        <v/>
      </c>
      <c r="BB131" s="215" t="str">
        <f ca="1">IF(FU96=0,"",IF(BC96="","",IF(BC96=0,"",IF(BC96=BX150,"",IF(AND(FO94&gt;=F131,BC96&gt;=BB155),"-","")))))</f>
        <v/>
      </c>
      <c r="BC131" s="215" t="str">
        <f ca="1">IF(FU96=0,"",IF(BC96="","",IF(BC96=0,"",IF(BC96=BX150,"",IF(AND(FO94&gt;=F131,BC96&gt;=BC155),"-","")))))</f>
        <v/>
      </c>
      <c r="BD131" s="215" t="str">
        <f ca="1">IF(FU96=0,"",IF(BC96="","",IF(BC96=0,"",IF(BC96=BX150,"",IF(AND(FO94&gt;=F131,BC96&gt;=BD155),"-","")))))</f>
        <v/>
      </c>
      <c r="BE131" s="215" t="str">
        <f ca="1">IF(FU96=0,"",IF(BC96="","",IF(BC96=0,"",IF(BC96=BX150,"",IF(AND(FO94&gt;=F131,BC96&gt;=BE155),"-","")))))</f>
        <v/>
      </c>
      <c r="BF131" s="215" t="str">
        <f ca="1">IF(FU96=0,"",IF(BC96="","",IF(BC96=0,"",IF(BC96=BX150,"",IF(AND(FO94&gt;=F131,BC96&gt;=BF155),"-","")))))</f>
        <v/>
      </c>
      <c r="BG131" s="215" t="str">
        <f ca="1">IF(FU96=0,"",IF(BC96="","",IF(BC96=0,"",IF(BC96=BX150,"",IF(AND(FO94&gt;=F131,BC96&gt;=BG155),"-","")))))</f>
        <v/>
      </c>
      <c r="BH131" s="215" t="str">
        <f ca="1">IF(FU96=0,"",IF(BC96="","",IF(BC96=0,"",IF(BC96=BX150,"",IF(AND(FO94&gt;=F131,BC96&gt;=BH155),"-","")))))</f>
        <v/>
      </c>
      <c r="BI131" s="215" t="str">
        <f ca="1">IF(FU96=0,"",IF(BC96="","",IF(BC96=0,"",IF(BC96=BX150,"",IF(AND(FO94&gt;=F131,BC96&gt;=BI155),"-","")))))</f>
        <v/>
      </c>
      <c r="BJ131" s="215" t="str">
        <f ca="1">IF(FU96=0,"",IF(BC96="","",IF(BC96=0,"",IF(BC96=BX150,"",IF(AND(FO94&gt;=F131,BC96&gt;=BJ155),"-","")))))</f>
        <v/>
      </c>
      <c r="BK131" s="215" t="str">
        <f ca="1">IF(FU96=0,"",IF(BC96="","",IF(BC96=0,"",IF(BC96=BX150,"",IF(AND(FO94&gt;=F131,BC96&gt;=BK155),"-","")))))</f>
        <v/>
      </c>
      <c r="BL131" s="215" t="str">
        <f ca="1">IF(FU96=0,"",IF(BC96="","",IF(BC96=0,"",IF(BC96=BX150,"",IF(AND(FO94&gt;=F131,BC96&gt;=BL155),"-","")))))</f>
        <v/>
      </c>
      <c r="BM131" s="197" t="str">
        <f ca="1">IF(FU96=0,"",":")</f>
        <v/>
      </c>
      <c r="BN131" s="197"/>
      <c r="BO131" s="197"/>
      <c r="BP131" s="197"/>
      <c r="BQ131" s="197"/>
      <c r="BR131" s="197"/>
      <c r="BS131" s="197"/>
      <c r="BT131" s="197"/>
      <c r="BU131" s="197"/>
      <c r="BV131" s="197"/>
      <c r="BW131" s="197"/>
      <c r="BX131" s="197"/>
      <c r="BY131" s="197"/>
      <c r="BZ131" s="197"/>
      <c r="CA131" s="197"/>
      <c r="CB131" s="197"/>
      <c r="CC131" s="197"/>
      <c r="CD131" s="197"/>
      <c r="CE131" s="197"/>
      <c r="CF131" s="46"/>
      <c r="CG131" s="46"/>
      <c r="CH131" s="46"/>
      <c r="CI131" s="46"/>
      <c r="CJ131" s="46"/>
      <c r="CK131" s="46"/>
      <c r="CL131" s="46"/>
      <c r="CM131" s="46"/>
      <c r="CN131" s="46"/>
      <c r="CO131" s="46"/>
      <c r="CP131" s="46"/>
      <c r="CQ131" s="46"/>
      <c r="CR131" s="46"/>
      <c r="CS131" s="46"/>
      <c r="CT131" s="46"/>
      <c r="CU131" s="46"/>
      <c r="CV131" s="46"/>
      <c r="CW131" s="46"/>
      <c r="CX131" s="46"/>
      <c r="CY131" s="46"/>
      <c r="CZ131" s="46"/>
      <c r="DA131" s="46"/>
      <c r="DB131" s="46"/>
      <c r="DC131" s="46"/>
      <c r="DD131" s="46"/>
      <c r="DE131" s="46"/>
      <c r="DF131" s="46"/>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D131" s="46"/>
      <c r="EE131" s="39"/>
      <c r="EF131" s="39"/>
      <c r="EG131" s="39"/>
      <c r="EH131" s="39"/>
      <c r="EI131" s="39"/>
      <c r="EJ131" s="39"/>
      <c r="EK131" s="39"/>
      <c r="EL131" s="39"/>
      <c r="EM131" s="39"/>
      <c r="EN131" s="39"/>
      <c r="EO131" s="39"/>
      <c r="EP131" s="39"/>
      <c r="EQ131" s="39"/>
      <c r="ER131" s="39"/>
      <c r="ES131" s="79"/>
      <c r="ET131" s="79"/>
      <c r="EU131" s="79"/>
      <c r="EV131" s="79"/>
      <c r="EW131" s="79"/>
      <c r="EX131" s="79"/>
      <c r="EY131" s="79"/>
      <c r="EZ131" s="79"/>
      <c r="FA131" s="79"/>
      <c r="FB131" s="79"/>
      <c r="FC131" s="79"/>
      <c r="FD131" s="79"/>
      <c r="FE131" s="79"/>
      <c r="FF131" s="79"/>
      <c r="FG131" s="79"/>
      <c r="FH131" s="79"/>
      <c r="FI131" s="79"/>
      <c r="FJ131" s="79"/>
      <c r="FK131" s="79"/>
      <c r="FL131" s="79"/>
      <c r="FM131" s="47"/>
      <c r="FN131" s="47"/>
      <c r="FO131" s="47"/>
      <c r="FP131" s="47"/>
      <c r="FQ131" s="47"/>
      <c r="FR131" s="47"/>
      <c r="FS131" s="47"/>
      <c r="FT131" s="47"/>
      <c r="FU131" s="47"/>
      <c r="FV131" s="47"/>
      <c r="FW131" s="47"/>
      <c r="FX131" s="47"/>
      <c r="FY131" s="47"/>
      <c r="FZ131" s="47"/>
      <c r="GA131" s="49"/>
      <c r="GB131" s="49"/>
      <c r="GC131" s="49"/>
      <c r="GD131" s="49"/>
      <c r="GE131" s="49"/>
      <c r="GF131" s="49"/>
      <c r="GG131" s="49"/>
      <c r="GH131" s="49"/>
      <c r="GI131" s="49"/>
      <c r="GJ131" s="49"/>
      <c r="GK131" s="49"/>
      <c r="GL131" s="49"/>
      <c r="GM131" s="49"/>
      <c r="GN131" s="49"/>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row>
    <row r="132" spans="1:221" ht="3.75" customHeight="1">
      <c r="A132" s="1"/>
      <c r="B132" s="3"/>
      <c r="C132" s="3"/>
      <c r="D132" s="38"/>
      <c r="E132" s="43">
        <v>15</v>
      </c>
      <c r="F132" s="43" t="e">
        <f ca="1">E132*AB105/40</f>
        <v>#VALUE!</v>
      </c>
      <c r="G132" s="79"/>
      <c r="H132" s="79"/>
      <c r="I132" s="79"/>
      <c r="J132" s="79"/>
      <c r="K132" s="43"/>
      <c r="L132" s="39"/>
      <c r="M132" s="39"/>
      <c r="N132" s="39"/>
      <c r="O132" s="39"/>
      <c r="P132" s="39"/>
      <c r="Q132" s="39"/>
      <c r="R132" s="39"/>
      <c r="S132" s="39"/>
      <c r="T132" s="39"/>
      <c r="U132" s="39"/>
      <c r="V132" s="39"/>
      <c r="W132" s="39"/>
      <c r="X132" s="39"/>
      <c r="Y132" s="39"/>
      <c r="Z132" s="39"/>
      <c r="AA132" s="39"/>
      <c r="AB132" s="204"/>
      <c r="AC132" s="204"/>
      <c r="AD132" s="204"/>
      <c r="AE132" s="204"/>
      <c r="AF132" s="204"/>
      <c r="AG132" s="204"/>
      <c r="AH132" s="204"/>
      <c r="AI132" s="204"/>
      <c r="AJ132" s="204"/>
      <c r="AK132" s="204"/>
      <c r="AL132" s="39"/>
      <c r="AM132" s="126"/>
      <c r="AN132" s="43" t="str">
        <f ca="1">IF(FU96=0,"","`")</f>
        <v/>
      </c>
      <c r="AO132" s="215" t="str">
        <f ca="1">IF(FU96=0,"",IF(BC96="","",IF(BC96=0,"",IF(BC96=BX150,"",IF(AND(FO94&gt;=F132,BC96&gt;=AO155),"-","")))))</f>
        <v/>
      </c>
      <c r="AP132" s="215" t="str">
        <f ca="1">IF(FU96=0,"",IF(BC96="","",IF(BC96=0,"",IF(BC96=BX150,"",IF(AND(FO94&gt;=F132,BC96&gt;=AP155),"-","")))))</f>
        <v/>
      </c>
      <c r="AQ132" s="215" t="str">
        <f ca="1">IF(FU96=0,"",IF(BC96="","",IF(BC96=0,"",IF(BC96=BX150,"",IF(AND(FO94&gt;=F132,BC96&gt;=AQ155),"-","")))))</f>
        <v/>
      </c>
      <c r="AR132" s="215" t="str">
        <f ca="1">IF(FU96=0,"",IF(BC96="","",IF(BC96=0,"",IF(BC96=BX150,"",IF(AND(FO94&gt;=F132,BC96&gt;=AR155),"-","")))))</f>
        <v/>
      </c>
      <c r="AS132" s="215" t="str">
        <f ca="1">IF(FU96=0,"",IF(BC96="","",IF(BC96=0,"",IF(BC96=BX150,"",IF(AND(FO94&gt;=F132,BC96&gt;=AS155),"-","")))))</f>
        <v/>
      </c>
      <c r="AT132" s="215" t="str">
        <f ca="1">IF(FU96=0,"",IF(BC96="","",IF(BC96=0,"",IF(BC96=BX150,"",IF(AND(FO94&gt;=F132,BC96&gt;=AT155),"-","")))))</f>
        <v/>
      </c>
      <c r="AU132" s="215" t="str">
        <f ca="1">IF(FU96=0,"",IF(BC96="","",IF(BC96=0,"",IF(BC96=BX150,"",IF(AND(FO94&gt;=F132,BC96&gt;=AU155),"-","")))))</f>
        <v/>
      </c>
      <c r="AV132" s="215" t="str">
        <f ca="1">IF(FU96=0,"",IF(BC96="","",IF(BC96=0,"",IF(BC96=BX150,"",IF(AND(FO94&gt;=F132,BC96&gt;=AV155),"-","")))))</f>
        <v/>
      </c>
      <c r="AW132" s="215" t="str">
        <f ca="1">IF(FU96=0,"",IF(BC96="","",IF(BC96=0,"",IF(BC96=BX150,"",IF(AND(FO94&gt;=F132,BC96&gt;=AW155),"-","")))))</f>
        <v/>
      </c>
      <c r="AX132" s="215" t="str">
        <f ca="1">IF(FU96=0,"",IF(BC96="","",IF(BC96=0,"",IF(BC96=BX150,"",IF(AND(FO94&gt;=F132,BC96&gt;=AX155),"-","")))))</f>
        <v/>
      </c>
      <c r="AY132" s="215" t="str">
        <f ca="1">IF(FU96=0,"",IF(BC96="","",IF(BC96=0,"",IF(BC96=BX150,"",IF(AND(FO94&gt;=F132,BC96&gt;=AY155),"-","")))))</f>
        <v/>
      </c>
      <c r="AZ132" s="215" t="str">
        <f ca="1">IF(FU96=0,"",IF(BC96="","",IF(BC96=0,"",IF(BC96=BX150,"",IF(AND(FO94&gt;=F132,BC96&gt;=AZ155),"-","")))))</f>
        <v/>
      </c>
      <c r="BA132" s="215" t="str">
        <f ca="1">IF(FU96=0,"",IF(BC96="","",IF(BC96=0,"",IF(BC96=BX150,"",IF(AND(FO94&gt;=F132,BC96&gt;=BA155),"-","")))))</f>
        <v/>
      </c>
      <c r="BB132" s="215" t="str">
        <f ca="1">IF(FU96=0,"",IF(BC96="","",IF(BC96=0,"",IF(BC96=BX150,"",IF(AND(FO94&gt;=F132,BC96&gt;=BB155),"-","")))))</f>
        <v/>
      </c>
      <c r="BC132" s="215" t="str">
        <f ca="1">IF(FU96=0,"",IF(BC96="","",IF(BC96=0,"",IF(BC96=BX150,"",IF(AND(FO94&gt;=F132,BC96&gt;=BC155),"-","")))))</f>
        <v/>
      </c>
      <c r="BD132" s="215" t="str">
        <f ca="1">IF(FU96=0,"",IF(BC96="","",IF(BC96=0,"",IF(BC96=BX150,"",IF(AND(FO94&gt;=F132,BC96&gt;=BD155),"-","")))))</f>
        <v/>
      </c>
      <c r="BE132" s="215" t="str">
        <f ca="1">IF(FU96=0,"",IF(BC96="","",IF(BC96=0,"",IF(BC96=BX150,"",IF(AND(FO94&gt;=F132,BC96&gt;=BE155),"-","")))))</f>
        <v/>
      </c>
      <c r="BF132" s="215" t="str">
        <f ca="1">IF(FU96=0,"",IF(BC96="","",IF(BC96=0,"",IF(BC96=BX150,"",IF(AND(FO94&gt;=F132,BC96&gt;=BF155),"-","")))))</f>
        <v/>
      </c>
      <c r="BG132" s="215" t="str">
        <f ca="1">IF(FU96=0,"",IF(BC96="","",IF(BC96=0,"",IF(BC96=BX150,"",IF(AND(FO94&gt;=F132,BC96&gt;=BG155),"-","")))))</f>
        <v/>
      </c>
      <c r="BH132" s="215" t="str">
        <f ca="1">IF(FU96=0,"",IF(BC96="","",IF(BC96=0,"",IF(BC96=BX150,"",IF(AND(FO94&gt;=F132,BC96&gt;=BH155),"-","")))))</f>
        <v/>
      </c>
      <c r="BI132" s="215" t="str">
        <f ca="1">IF(FU96=0,"",IF(BC96="","",IF(BC96=0,"",IF(BC96=BX150,"",IF(AND(FO94&gt;=F132,BC96&gt;=BI155),"-","")))))</f>
        <v/>
      </c>
      <c r="BJ132" s="215" t="str">
        <f ca="1">IF(FU96=0,"",IF(BC96="","",IF(BC96=0,"",IF(BC96=BX150,"",IF(AND(FO94&gt;=F132,BC96&gt;=BJ155),"-","")))))</f>
        <v/>
      </c>
      <c r="BK132" s="215" t="str">
        <f ca="1">IF(FU96=0,"",IF(BC96="","",IF(BC96=0,"",IF(BC96=BX150,"",IF(AND(FO94&gt;=F132,BC96&gt;=BK155),"-","")))))</f>
        <v/>
      </c>
      <c r="BL132" s="215" t="str">
        <f ca="1">IF(FU96=0,"",IF(BC96="","",IF(BC96=0,"",IF(BC96=BX150,"",IF(AND(FO94&gt;=F132,BC96&gt;=BL155),"-","")))))</f>
        <v/>
      </c>
      <c r="BM132" s="215" t="str">
        <f ca="1">IF(FU96=0,"",IF(BC96="","",IF(BC96=0,"",IF(BC96=BX150,"",IF(AND(FO94&gt;=F132,BC96&gt;=BM155),"-","")))))</f>
        <v/>
      </c>
      <c r="BN132" s="197" t="str">
        <f ca="1">IF(FU96=0,"",":")</f>
        <v/>
      </c>
      <c r="BO132" s="197"/>
      <c r="BP132" s="197"/>
      <c r="BQ132" s="197"/>
      <c r="BR132" s="197"/>
      <c r="BS132" s="197"/>
      <c r="BT132" s="126"/>
      <c r="BU132" s="126"/>
      <c r="BV132" s="126"/>
      <c r="BW132" s="126"/>
      <c r="BX132" s="126"/>
      <c r="BY132" s="126"/>
      <c r="BZ132" s="126"/>
      <c r="CA132" s="126"/>
      <c r="CB132" s="126"/>
      <c r="CC132" s="126"/>
      <c r="CD132" s="126"/>
      <c r="CE132" s="12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D132" s="46"/>
      <c r="EE132" s="39"/>
      <c r="EF132" s="39"/>
      <c r="EG132" s="39"/>
      <c r="EH132" s="39"/>
      <c r="EI132" s="39"/>
      <c r="EJ132" s="39"/>
      <c r="EK132" s="39"/>
      <c r="EL132" s="39"/>
      <c r="EM132" s="39"/>
      <c r="EN132" s="39"/>
      <c r="EO132" s="39"/>
      <c r="EP132" s="39"/>
      <c r="EQ132" s="39"/>
      <c r="ER132" s="39"/>
      <c r="ES132" s="79"/>
      <c r="ET132" s="79"/>
      <c r="EU132" s="79"/>
      <c r="EV132" s="79"/>
      <c r="EW132" s="79"/>
      <c r="EX132" s="79"/>
      <c r="EY132" s="79"/>
      <c r="EZ132" s="79"/>
      <c r="FA132" s="79"/>
      <c r="FB132" s="79"/>
      <c r="FC132" s="79"/>
      <c r="FD132" s="79"/>
      <c r="FE132" s="79"/>
      <c r="FF132" s="79"/>
      <c r="FG132" s="79"/>
      <c r="FH132" s="79"/>
      <c r="FI132" s="79"/>
      <c r="FJ132" s="79"/>
      <c r="FK132" s="79"/>
      <c r="FL132" s="79"/>
      <c r="FM132" s="47"/>
      <c r="FN132" s="47"/>
      <c r="FO132" s="47"/>
      <c r="FP132" s="47"/>
      <c r="FQ132" s="47"/>
      <c r="FR132" s="47"/>
      <c r="FS132" s="47"/>
      <c r="FT132" s="47"/>
      <c r="FU132" s="47"/>
      <c r="FV132" s="47"/>
      <c r="FW132" s="47"/>
      <c r="FX132" s="47"/>
      <c r="FY132" s="47"/>
      <c r="FZ132" s="47"/>
      <c r="GA132" s="49"/>
      <c r="GB132" s="49"/>
      <c r="GC132" s="49"/>
      <c r="GD132" s="49"/>
      <c r="GE132" s="49"/>
      <c r="GF132" s="49"/>
      <c r="GG132" s="49"/>
      <c r="GH132" s="49"/>
      <c r="GI132" s="49"/>
      <c r="GJ132" s="49"/>
      <c r="GK132" s="49"/>
      <c r="GL132" s="49"/>
      <c r="GM132" s="49"/>
      <c r="GN132" s="49"/>
      <c r="GO132" s="49"/>
      <c r="GP132" s="49"/>
      <c r="GQ132" s="49"/>
      <c r="GR132" s="49"/>
      <c r="GS132" s="49"/>
      <c r="GT132" s="49"/>
      <c r="GU132" s="49"/>
      <c r="GV132" s="49"/>
      <c r="GW132" s="49"/>
      <c r="GX132" s="49"/>
      <c r="GY132" s="49"/>
      <c r="GZ132" s="49"/>
      <c r="HA132" s="49"/>
      <c r="HB132" s="49"/>
      <c r="HC132" s="49"/>
      <c r="HD132" s="49"/>
      <c r="HE132" s="49"/>
      <c r="HF132" s="49"/>
      <c r="HG132" s="49"/>
      <c r="HH132" s="49"/>
      <c r="HI132" s="49"/>
      <c r="HJ132" s="49"/>
      <c r="HK132" s="49"/>
      <c r="HL132" s="49"/>
      <c r="HM132" s="49"/>
    </row>
    <row r="133" spans="1:221" ht="3.75" customHeight="1">
      <c r="A133" s="1"/>
      <c r="B133" s="3"/>
      <c r="C133" s="3"/>
      <c r="D133" s="38"/>
      <c r="E133" s="43">
        <v>14</v>
      </c>
      <c r="F133" s="43" t="e">
        <f ca="1">E133*AB105/40</f>
        <v>#VALUE!</v>
      </c>
      <c r="G133" s="79"/>
      <c r="H133" s="79"/>
      <c r="I133" s="79"/>
      <c r="J133" s="79"/>
      <c r="K133" s="43"/>
      <c r="L133" s="39"/>
      <c r="M133" s="39"/>
      <c r="N133" s="39"/>
      <c r="O133" s="39"/>
      <c r="P133" s="39"/>
      <c r="Q133" s="39"/>
      <c r="R133" s="39"/>
      <c r="S133" s="39"/>
      <c r="T133" s="39"/>
      <c r="U133" s="39"/>
      <c r="V133" s="39"/>
      <c r="W133" s="39"/>
      <c r="X133" s="39"/>
      <c r="Y133" s="39"/>
      <c r="Z133" s="39"/>
      <c r="AA133" s="39"/>
      <c r="AB133" s="204"/>
      <c r="AC133" s="204"/>
      <c r="AD133" s="204"/>
      <c r="AE133" s="204"/>
      <c r="AF133" s="204"/>
      <c r="AG133" s="204"/>
      <c r="AH133" s="204"/>
      <c r="AI133" s="204"/>
      <c r="AJ133" s="204"/>
      <c r="AK133" s="204"/>
      <c r="AL133" s="39"/>
      <c r="AM133" s="126"/>
      <c r="AN133" s="43" t="str">
        <f ca="1">IF(FU96=0,"","`")</f>
        <v/>
      </c>
      <c r="AO133" s="215" t="str">
        <f ca="1">IF(FU96=0,"",IF(BC96="","",IF(BC96=0,"",IF(BC96=BX150,"",IF(AND(FO94&gt;=F133,BC96&gt;=AO155),"-","")))))</f>
        <v/>
      </c>
      <c r="AP133" s="215" t="str">
        <f ca="1">IF(FU96=0,"",IF(BC96="","",IF(BC96=0,"",IF(BC96=BX150,"",IF(AND(FO94&gt;=F133,BC96&gt;=AP155),"-","")))))</f>
        <v/>
      </c>
      <c r="AQ133" s="215" t="str">
        <f ca="1">IF(FU96=0,"",IF(BC96="","",IF(BC96=0,"",IF(BC96=BX150,"",IF(AND(FO94&gt;=F133,BC96&gt;=AQ155),"-","")))))</f>
        <v/>
      </c>
      <c r="AR133" s="215" t="str">
        <f ca="1">IF(FU96=0,"",IF(BC96="","",IF(BC96=0,"",IF(BC96=BX150,"",IF(AND(FO94&gt;=F133,BC96&gt;=AR155),"-","")))))</f>
        <v/>
      </c>
      <c r="AS133" s="215" t="str">
        <f ca="1">IF(FU96=0,"",IF(BC96="","",IF(BC96=0,"",IF(BC96=BX150,"",IF(AND(FO94&gt;=F133,BC96&gt;=AS155),"-","")))))</f>
        <v/>
      </c>
      <c r="AT133" s="215" t="str">
        <f ca="1">IF(FU96=0,"",IF(BC96="","",IF(BC96=0,"",IF(BC96=BX150,"",IF(AND(FO94&gt;=F133,BC96&gt;=AT155),"-","")))))</f>
        <v/>
      </c>
      <c r="AU133" s="215" t="str">
        <f ca="1">IF(FU96=0,"",IF(BC96="","",IF(BC96=0,"",IF(BC96=BX150,"",IF(AND(FO94&gt;=F133,BC96&gt;=AU155),"-","")))))</f>
        <v/>
      </c>
      <c r="AV133" s="215" t="str">
        <f ca="1">IF(FU96=0,"",IF(BC96="","",IF(BC96=0,"",IF(BC96=BX150,"",IF(AND(FO94&gt;=F133,BC96&gt;=AV155),"-","")))))</f>
        <v/>
      </c>
      <c r="AW133" s="215" t="str">
        <f ca="1">IF(FU96=0,"",IF(BC96="","",IF(BC96=0,"",IF(BC96=BX150,"",IF(AND(FO94&gt;=F133,BC96&gt;=AW155),"-","")))))</f>
        <v/>
      </c>
      <c r="AX133" s="215" t="str">
        <f ca="1">IF(FU96=0,"",IF(BC96="","",IF(BC96=0,"",IF(BC96=BX150,"",IF(AND(FO94&gt;=F133,BC96&gt;=AX155),"-","")))))</f>
        <v/>
      </c>
      <c r="AY133" s="215" t="str">
        <f ca="1">IF(FU96=0,"",IF(BC96="","",IF(BC96=0,"",IF(BC96=BX150,"",IF(AND(FO94&gt;=F133,BC96&gt;=AY155),"-","")))))</f>
        <v/>
      </c>
      <c r="AZ133" s="215" t="str">
        <f ca="1">IF(FU96=0,"",IF(BC96="","",IF(BC96=0,"",IF(BC96=BX150,"",IF(AND(FO94&gt;=F133,BC96&gt;=AZ155),"-","")))))</f>
        <v/>
      </c>
      <c r="BA133" s="215" t="str">
        <f ca="1">IF(FU96=0,"",IF(BC96="","",IF(BC96=0,"",IF(BC96=BX150,"",IF(AND(FO94&gt;=F133,BC96&gt;=BA155),"-","")))))</f>
        <v/>
      </c>
      <c r="BB133" s="215" t="str">
        <f ca="1">IF(FU96=0,"",IF(BC96="","",IF(BC96=0,"",IF(BC96=BX150,"",IF(AND(FO94&gt;=F133,BC96&gt;=BB155),"-","")))))</f>
        <v/>
      </c>
      <c r="BC133" s="215" t="str">
        <f ca="1">IF(FU96=0,"",IF(BC96="","",IF(BC96=0,"",IF(BC96=BX150,"",IF(AND(FO94&gt;=F133,BC96&gt;=BC155),"-","")))))</f>
        <v/>
      </c>
      <c r="BD133" s="215" t="str">
        <f ca="1">IF(FU96=0,"",IF(BC96="","",IF(BC96=0,"",IF(BC96=BX150,"",IF(AND(FO94&gt;=F133,BC96&gt;=BD155),"-","")))))</f>
        <v/>
      </c>
      <c r="BE133" s="215" t="str">
        <f ca="1">IF(FU96=0,"",IF(BC96="","",IF(BC96=0,"",IF(BC96=BX150,"",IF(AND(FO94&gt;=F133,BC96&gt;=BE155),"-","")))))</f>
        <v/>
      </c>
      <c r="BF133" s="215" t="str">
        <f ca="1">IF(FU96=0,"",IF(BC96="","",IF(BC96=0,"",IF(BC96=BX150,"",IF(AND(FO94&gt;=F133,BC96&gt;=BF155),"-","")))))</f>
        <v/>
      </c>
      <c r="BG133" s="215" t="str">
        <f ca="1">IF(FU96=0,"",IF(BC96="","",IF(BC96=0,"",IF(BC96=BX150,"",IF(AND(FO94&gt;=F133,BC96&gt;=BG155),"-","")))))</f>
        <v/>
      </c>
      <c r="BH133" s="215" t="str">
        <f ca="1">IF(FU96=0,"",IF(BC96="","",IF(BC96=0,"",IF(BC96=BX150,"",IF(AND(FO94&gt;=F133,BC96&gt;=BH155),"-","")))))</f>
        <v/>
      </c>
      <c r="BI133" s="215" t="str">
        <f ca="1">IF(FU96=0,"",IF(BC96="","",IF(BC96=0,"",IF(BC96=BX150,"",IF(AND(FO94&gt;=F133,BC96&gt;=BI155),"-","")))))</f>
        <v/>
      </c>
      <c r="BJ133" s="215" t="str">
        <f ca="1">IF(FU96=0,"",IF(BC96="","",IF(BC96=0,"",IF(BC96=BX150,"",IF(AND(FO94&gt;=F133,BC96&gt;=BJ155),"-","")))))</f>
        <v/>
      </c>
      <c r="BK133" s="215" t="str">
        <f ca="1">IF(FU96=0,"",IF(BC96="","",IF(BC96=0,"",IF(BC96=BX150,"",IF(AND(FO94&gt;=F133,BC96&gt;=BK155),"-","")))))</f>
        <v/>
      </c>
      <c r="BL133" s="215" t="str">
        <f ca="1">IF(FU96=0,"",IF(BC96="","",IF(BC96=0,"",IF(BC96=BX150,"",IF(AND(FO94&gt;=F133,BC96&gt;=BL155),"-","")))))</f>
        <v/>
      </c>
      <c r="BM133" s="215" t="str">
        <f ca="1">IF(FU96=0,"",IF(BC96="","",IF(BC96=0,"",IF(BC96=BX150,"",IF(AND(FO94&gt;=F133,BC96&gt;=BM155),"-","")))))</f>
        <v/>
      </c>
      <c r="BN133" s="215" t="str">
        <f ca="1">IF(FU96=0,"",IF(BC96="","",IF(BC96=0,"",IF(BC96=BX150,"",IF(AND(FO94&gt;=F133,BC96&gt;=BN155),"-","")))))</f>
        <v/>
      </c>
      <c r="BO133" s="197" t="str">
        <f ca="1">IF(FU96=0,"",":")</f>
        <v/>
      </c>
      <c r="BP133" s="197"/>
      <c r="BQ133" s="197"/>
      <c r="BR133" s="197"/>
      <c r="BS133" s="197"/>
      <c r="BT133" s="126"/>
      <c r="BU133" s="126"/>
      <c r="BV133" s="126"/>
      <c r="BW133" s="126"/>
      <c r="BX133" s="126"/>
      <c r="BY133" s="126"/>
      <c r="BZ133" s="126"/>
      <c r="CA133" s="126"/>
      <c r="CB133" s="126"/>
      <c r="CC133" s="126"/>
      <c r="CD133" s="126"/>
      <c r="CE133" s="12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DQ133" s="46"/>
      <c r="DR133" s="46"/>
      <c r="DS133" s="46"/>
      <c r="DT133" s="46"/>
      <c r="DU133" s="46"/>
      <c r="DV133" s="46"/>
      <c r="DW133" s="46"/>
      <c r="DX133" s="46"/>
      <c r="DY133" s="46"/>
      <c r="DZ133" s="46"/>
      <c r="EA133" s="46"/>
      <c r="EB133" s="46"/>
      <c r="EC133" s="46"/>
      <c r="ED133" s="46"/>
      <c r="EE133" s="39"/>
      <c r="EF133" s="39"/>
      <c r="EG133" s="39"/>
      <c r="EH133" s="39"/>
      <c r="EI133" s="39"/>
      <c r="EJ133" s="39"/>
      <c r="EK133" s="39"/>
      <c r="EL133" s="39"/>
      <c r="EM133" s="39"/>
      <c r="EN133" s="39"/>
      <c r="EO133" s="39"/>
      <c r="EP133" s="39"/>
      <c r="EQ133" s="39"/>
      <c r="ER133" s="39"/>
      <c r="ES133" s="79"/>
      <c r="ET133" s="79"/>
      <c r="EU133" s="79"/>
      <c r="EV133" s="79"/>
      <c r="EW133" s="79"/>
      <c r="EX133" s="79"/>
      <c r="EY133" s="79"/>
      <c r="EZ133" s="79"/>
      <c r="FA133" s="79"/>
      <c r="FB133" s="79"/>
      <c r="FC133" s="79"/>
      <c r="FD133" s="79"/>
      <c r="FE133" s="79"/>
      <c r="FF133" s="79"/>
      <c r="FG133" s="79"/>
      <c r="FH133" s="79"/>
      <c r="FI133" s="79"/>
      <c r="FJ133" s="79"/>
      <c r="FK133" s="79"/>
      <c r="FL133" s="79"/>
      <c r="FM133" s="47"/>
      <c r="FN133" s="47"/>
      <c r="FO133" s="47"/>
      <c r="FP133" s="47"/>
      <c r="FQ133" s="47"/>
      <c r="FR133" s="47"/>
      <c r="FS133" s="47"/>
      <c r="FT133" s="47"/>
      <c r="FU133" s="47"/>
      <c r="FV133" s="47"/>
      <c r="FW133" s="47"/>
      <c r="FX133" s="47"/>
      <c r="FY133" s="47"/>
      <c r="FZ133" s="47"/>
      <c r="GA133" s="49"/>
      <c r="GB133" s="49"/>
      <c r="GC133" s="49"/>
      <c r="GD133" s="49"/>
      <c r="GE133" s="49"/>
      <c r="GF133" s="49"/>
      <c r="GG133" s="49"/>
      <c r="GH133" s="49"/>
      <c r="GI133" s="49"/>
      <c r="GJ133" s="49"/>
      <c r="GK133" s="49"/>
      <c r="GL133" s="49"/>
      <c r="GM133" s="49"/>
      <c r="GN133" s="49"/>
      <c r="GO133" s="49"/>
      <c r="GP133" s="49"/>
      <c r="GQ133" s="49"/>
      <c r="GR133" s="49"/>
      <c r="GS133" s="49"/>
      <c r="GT133" s="49"/>
      <c r="GU133" s="49"/>
      <c r="GV133" s="49"/>
      <c r="GW133" s="49"/>
      <c r="GX133" s="49"/>
      <c r="GY133" s="49"/>
      <c r="GZ133" s="49"/>
      <c r="HA133" s="49"/>
      <c r="HB133" s="49"/>
      <c r="HC133" s="49"/>
      <c r="HD133" s="49"/>
      <c r="HE133" s="49"/>
      <c r="HF133" s="49"/>
      <c r="HG133" s="49"/>
      <c r="HH133" s="49"/>
      <c r="HI133" s="49"/>
      <c r="HJ133" s="49"/>
      <c r="HK133" s="49"/>
      <c r="HL133" s="49"/>
      <c r="HM133" s="49"/>
    </row>
    <row r="134" spans="1:221" ht="3.75" customHeight="1">
      <c r="A134" s="1"/>
      <c r="B134" s="3"/>
      <c r="C134" s="3"/>
      <c r="D134" s="38"/>
      <c r="E134" s="43">
        <v>13</v>
      </c>
      <c r="F134" s="43" t="e">
        <f ca="1">E134*AB105/40</f>
        <v>#VALUE!</v>
      </c>
      <c r="G134" s="79"/>
      <c r="H134" s="79"/>
      <c r="I134" s="79"/>
      <c r="J134" s="79"/>
      <c r="K134" s="43"/>
      <c r="L134" s="39"/>
      <c r="M134" s="39"/>
      <c r="N134" s="39"/>
      <c r="O134" s="39"/>
      <c r="P134" s="39"/>
      <c r="Q134" s="39"/>
      <c r="R134" s="39"/>
      <c r="S134" s="39"/>
      <c r="T134" s="39"/>
      <c r="U134" s="39"/>
      <c r="V134" s="39"/>
      <c r="W134" s="39"/>
      <c r="X134" s="39"/>
      <c r="Y134" s="39"/>
      <c r="Z134" s="39"/>
      <c r="AA134" s="39"/>
      <c r="AB134" s="204"/>
      <c r="AC134" s="204"/>
      <c r="AD134" s="204"/>
      <c r="AE134" s="204"/>
      <c r="AF134" s="204"/>
      <c r="AG134" s="204"/>
      <c r="AH134" s="204"/>
      <c r="AI134" s="204"/>
      <c r="AJ134" s="204"/>
      <c r="AK134" s="204"/>
      <c r="AL134" s="39"/>
      <c r="AM134" s="126"/>
      <c r="AN134" s="43" t="str">
        <f ca="1">IF(FU96=0,"","`")</f>
        <v/>
      </c>
      <c r="AO134" s="215" t="str">
        <f ca="1">IF(FU96=0,"",IF(BC96="","",IF(BC96=0,"",IF(BC96=BX150,"",IF(AND(FO94&gt;=F134,BC96&gt;=AO155),"-","")))))</f>
        <v/>
      </c>
      <c r="AP134" s="215" t="str">
        <f ca="1">IF(FU96=0,"",IF(BC96="","",IF(BC96=0,"",IF(BC96=BX150,"",IF(AND(FO94&gt;=F134,BC96&gt;=AP155),"-","")))))</f>
        <v/>
      </c>
      <c r="AQ134" s="215" t="str">
        <f ca="1">IF(FU96=0,"",IF(BC96="","",IF(BC96=0,"",IF(BC96=BX150,"",IF(AND(FO94&gt;=F134,BC96&gt;=AQ155),"-","")))))</f>
        <v/>
      </c>
      <c r="AR134" s="215" t="str">
        <f ca="1">IF(FU96=0,"",IF(BC96="","",IF(BC96=0,"",IF(BC96=BX150,"",IF(AND(FO94&gt;=F134,BC96&gt;=AR155),"-","")))))</f>
        <v/>
      </c>
      <c r="AS134" s="215" t="str">
        <f ca="1">IF(FU96=0,"",IF(BC96="","",IF(BC96=0,"",IF(BC96=BX150,"",IF(AND(FO94&gt;=F134,BC96&gt;=AS155),"-","")))))</f>
        <v/>
      </c>
      <c r="AT134" s="215" t="str">
        <f ca="1">IF(FU96=0,"",IF(BC96="","",IF(BC96=0,"",IF(BC96=BX150,"",IF(AND(FO94&gt;=F134,BC96&gt;=AT155),"-","")))))</f>
        <v/>
      </c>
      <c r="AU134" s="215" t="str">
        <f ca="1">IF(FU96=0,"",IF(BC96="","",IF(BC96=0,"",IF(BC96=BX150,"",IF(AND(FO94&gt;=F134,BC96&gt;=AU155),"-","")))))</f>
        <v/>
      </c>
      <c r="AV134" s="215" t="str">
        <f ca="1">IF(FU96=0,"",IF(BC96="","",IF(BC96=0,"",IF(BC96=BX150,"",IF(AND(FO94&gt;=F134,BC96&gt;=AV155),"-","")))))</f>
        <v/>
      </c>
      <c r="AW134" s="215" t="str">
        <f ca="1">IF(FU96=0,"",IF(BC96="","",IF(BC96=0,"",IF(BC96=BX150,"",IF(AND(FO94&gt;=F134,BC96&gt;=AW155),"-","")))))</f>
        <v/>
      </c>
      <c r="AX134" s="215" t="str">
        <f ca="1">IF(FU96=0,"",IF(BC96="","",IF(BC96=0,"",IF(BC96=BX150,"",IF(AND(FO94&gt;=F134,BC96&gt;=AX155),"-","")))))</f>
        <v/>
      </c>
      <c r="AY134" s="215" t="str">
        <f ca="1">IF(FU96=0,"",IF(BC96="","",IF(BC96=0,"",IF(BC96=BX150,"",IF(AND(FO94&gt;=F134,BC96&gt;=AY155),"-","")))))</f>
        <v/>
      </c>
      <c r="AZ134" s="215" t="str">
        <f ca="1">IF(FU96=0,"",IF(BC96="","",IF(BC96=0,"",IF(BC96=BX150,"",IF(AND(FO94&gt;=F134,BC96&gt;=AZ155),"-","")))))</f>
        <v/>
      </c>
      <c r="BA134" s="215" t="str">
        <f ca="1">IF(FU96=0,"",IF(BC96="","",IF(BC96=0,"",IF(BC96=BX150,"",IF(AND(FO94&gt;=F134,BC96&gt;=BA155),"-","")))))</f>
        <v/>
      </c>
      <c r="BB134" s="215" t="str">
        <f ca="1">IF(FU96=0,"",IF(BC96="","",IF(BC96=0,"",IF(BC96=BX150,"",IF(AND(FO94&gt;=F134,BC96&gt;=BB155),"-","")))))</f>
        <v/>
      </c>
      <c r="BC134" s="215" t="str">
        <f ca="1">IF(FU96=0,"",IF(BC96="","",IF(BC96=0,"",IF(BC96=BX150,"",IF(AND(FO94&gt;=F134,BC96&gt;=BC155),"-","")))))</f>
        <v/>
      </c>
      <c r="BD134" s="215" t="str">
        <f ca="1">IF(FU96=0,"",IF(BC96="","",IF(BC96=0,"",IF(BC96=BX150,"",IF(AND(FO94&gt;=F134,BC96&gt;=BD155),"-","")))))</f>
        <v/>
      </c>
      <c r="BE134" s="215" t="str">
        <f ca="1">IF(FU96=0,"",IF(BC96="","",IF(BC96=0,"",IF(BC96=BX150,"",IF(AND(FO94&gt;=F134,BC96&gt;=BE155),"-","")))))</f>
        <v/>
      </c>
      <c r="BF134" s="215" t="str">
        <f ca="1">IF(FU96=0,"",IF(BC96="","",IF(BC96=0,"",IF(BC96=BX150,"",IF(AND(FO94&gt;=F134,BC96&gt;=BF155),"-","")))))</f>
        <v/>
      </c>
      <c r="BG134" s="215" t="str">
        <f ca="1">IF(FU96=0,"",IF(BC96="","",IF(BC96=0,"",IF(BC96=BX150,"",IF(AND(FO94&gt;=F134,BC96&gt;=BG155),"-","")))))</f>
        <v/>
      </c>
      <c r="BH134" s="215" t="str">
        <f ca="1">IF(FU96=0,"",IF(BC96="","",IF(BC96=0,"",IF(BC96=BX150,"",IF(AND(FO94&gt;=F134,BC96&gt;=BH155),"-","")))))</f>
        <v/>
      </c>
      <c r="BI134" s="215" t="str">
        <f ca="1">IF(FU96=0,"",IF(BC96="","",IF(BC96=0,"",IF(BC96=BX150,"",IF(AND(FO94&gt;=F134,BC96&gt;=BI155),"-","")))))</f>
        <v/>
      </c>
      <c r="BJ134" s="215" t="str">
        <f ca="1">IF(FU96=0,"",IF(BC96="","",IF(BC96=0,"",IF(BC96=BX150,"",IF(AND(FO94&gt;=F134,BC96&gt;=BJ155),"-","")))))</f>
        <v/>
      </c>
      <c r="BK134" s="215" t="str">
        <f ca="1">IF(FU96=0,"",IF(BC96="","",IF(BC96=0,"",IF(BC96=BX150,"",IF(AND(FO94&gt;=F134,BC96&gt;=BK155),"-","")))))</f>
        <v/>
      </c>
      <c r="BL134" s="215" t="str">
        <f ca="1">IF(FU96=0,"",IF(BC96="","",IF(BC96=0,"",IF(BC96=BX150,"",IF(AND(FO94&gt;=F134,BC96&gt;=BL155),"-","")))))</f>
        <v/>
      </c>
      <c r="BM134" s="215" t="str">
        <f ca="1">IF(FU96=0,"",IF(BC96="","",IF(BC96=0,"",IF(BC96=BX150,"",IF(AND(FO94&gt;=F134,BC96&gt;=BM155),"-","")))))</f>
        <v/>
      </c>
      <c r="BN134" s="215" t="str">
        <f ca="1">IF(FU96=0,"",IF(BC96="","",IF(BC96=0,"",IF(BC96=BX150,"",IF(AND(FO94&gt;=F134,BC96&gt;=BN155),"-","")))))</f>
        <v/>
      </c>
      <c r="BO134" s="215" t="str">
        <f ca="1">IF(FU96=0,"",IF(BC96="","",IF(BC96=0,"",IF(BC96=BX150,"",IF(AND(FO94&gt;=F134,BC96&gt;=BO155),"-","")))))</f>
        <v/>
      </c>
      <c r="BP134" s="197" t="str">
        <f ca="1">IF(FU96=0,"",":")</f>
        <v/>
      </c>
      <c r="BQ134" s="197"/>
      <c r="BR134" s="197"/>
      <c r="BS134" s="197"/>
      <c r="BT134" s="197"/>
      <c r="BU134" s="197"/>
      <c r="BV134" s="197"/>
      <c r="BW134" s="197"/>
      <c r="BX134" s="197"/>
      <c r="BY134" s="197"/>
      <c r="BZ134" s="197"/>
      <c r="CA134" s="197"/>
      <c r="CB134" s="197"/>
      <c r="CC134" s="126"/>
      <c r="CD134" s="126"/>
      <c r="CE134" s="12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c r="DL134" s="46"/>
      <c r="DM134" s="46"/>
      <c r="DN134" s="46"/>
      <c r="DO134" s="46"/>
      <c r="DP134" s="46"/>
      <c r="DQ134" s="46"/>
      <c r="DR134" s="46"/>
      <c r="DS134" s="46"/>
      <c r="DT134" s="46"/>
      <c r="DU134" s="46"/>
      <c r="DV134" s="46"/>
      <c r="DW134" s="46"/>
      <c r="DX134" s="46"/>
      <c r="DY134" s="46"/>
      <c r="DZ134" s="46"/>
      <c r="EA134" s="46"/>
      <c r="EB134" s="46"/>
      <c r="EC134" s="46"/>
      <c r="ED134" s="46"/>
      <c r="EE134" s="39"/>
      <c r="EF134" s="39"/>
      <c r="EG134" s="39"/>
      <c r="EH134" s="39"/>
      <c r="EI134" s="39"/>
      <c r="EJ134" s="39"/>
      <c r="EK134" s="39"/>
      <c r="EL134" s="39"/>
      <c r="EM134" s="39"/>
      <c r="EN134" s="39"/>
      <c r="EO134" s="39"/>
      <c r="EP134" s="39"/>
      <c r="EQ134" s="39"/>
      <c r="ER134" s="39"/>
      <c r="ES134" s="79"/>
      <c r="ET134" s="79"/>
      <c r="EU134" s="79"/>
      <c r="EV134" s="79"/>
      <c r="EW134" s="79"/>
      <c r="EX134" s="79"/>
      <c r="EY134" s="79"/>
      <c r="EZ134" s="79"/>
      <c r="FA134" s="79"/>
      <c r="FB134" s="79"/>
      <c r="FC134" s="79"/>
      <c r="FD134" s="79"/>
      <c r="FE134" s="79"/>
      <c r="FF134" s="79"/>
      <c r="FG134" s="79"/>
      <c r="FH134" s="79"/>
      <c r="FI134" s="79"/>
      <c r="FJ134" s="79"/>
      <c r="FK134" s="79"/>
      <c r="FL134" s="79"/>
      <c r="FM134" s="47"/>
      <c r="FN134" s="47"/>
      <c r="FO134" s="47"/>
      <c r="FP134" s="47"/>
      <c r="FQ134" s="47"/>
      <c r="FR134" s="47"/>
      <c r="FS134" s="47"/>
      <c r="FT134" s="47"/>
      <c r="FU134" s="47"/>
      <c r="FV134" s="47"/>
      <c r="FW134" s="47"/>
      <c r="FX134" s="47"/>
      <c r="FY134" s="47"/>
      <c r="FZ134" s="47"/>
      <c r="GA134" s="49"/>
      <c r="GB134" s="49"/>
      <c r="GC134" s="49"/>
      <c r="GD134" s="49"/>
      <c r="GE134" s="49"/>
      <c r="GF134" s="49"/>
      <c r="GG134" s="49"/>
      <c r="GH134" s="49"/>
      <c r="GI134" s="49"/>
      <c r="GJ134" s="49"/>
      <c r="GK134" s="49"/>
      <c r="GL134" s="49"/>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row>
    <row r="135" spans="1:221" ht="3.75" customHeight="1">
      <c r="A135" s="1"/>
      <c r="B135" s="3"/>
      <c r="C135" s="3"/>
      <c r="D135" s="38"/>
      <c r="E135" s="43">
        <v>12</v>
      </c>
      <c r="F135" s="43" t="e">
        <f ca="1">E135*AB105/40</f>
        <v>#VALUE!</v>
      </c>
      <c r="G135" s="79"/>
      <c r="H135" s="79"/>
      <c r="I135" s="79"/>
      <c r="J135" s="79"/>
      <c r="K135" s="43"/>
      <c r="L135" s="39"/>
      <c r="M135" s="39"/>
      <c r="N135" s="39"/>
      <c r="O135" s="39"/>
      <c r="P135" s="39"/>
      <c r="Q135" s="39"/>
      <c r="R135" s="39"/>
      <c r="S135" s="39"/>
      <c r="T135" s="39"/>
      <c r="U135" s="39"/>
      <c r="V135" s="39"/>
      <c r="W135" s="39"/>
      <c r="X135" s="39"/>
      <c r="Y135" s="39"/>
      <c r="Z135" s="39"/>
      <c r="AA135" s="39"/>
      <c r="AB135" s="647" t="str">
        <f ca="1">IF(FO50=0,"",ROUND(0.25*FN94,0))</f>
        <v/>
      </c>
      <c r="AC135" s="647"/>
      <c r="AD135" s="647"/>
      <c r="AE135" s="647"/>
      <c r="AF135" s="647"/>
      <c r="AG135" s="647"/>
      <c r="AH135" s="647"/>
      <c r="AI135" s="647"/>
      <c r="AJ135" s="647"/>
      <c r="AK135" s="647"/>
      <c r="AL135" s="39"/>
      <c r="AM135" s="126"/>
      <c r="AN135" s="43" t="str">
        <f ca="1">IF(FU96=0,"","`")</f>
        <v/>
      </c>
      <c r="AO135" s="215" t="str">
        <f ca="1">IF(FU96=0,"",IF(BC96="","",IF(BC96=0,"",IF(BC96=BX150,"",IF(AND(FO94&gt;=F135,BC96&gt;=AO155),"-","")))))</f>
        <v/>
      </c>
      <c r="AP135" s="215" t="str">
        <f ca="1">IF(FU96=0,"",IF(BC96="","",IF(BC96=0,"",IF(BC96=BX150,"",IF(AND(FO94&gt;=F135,BC96&gt;=AP155),"-","")))))</f>
        <v/>
      </c>
      <c r="AQ135" s="215" t="str">
        <f ca="1">IF(FU96=0,"",IF(BC96="","",IF(BC96=0,"",IF(BC96=BX150,"",IF(AND(FO94&gt;=F135,BC96&gt;=AQ155),"-","")))))</f>
        <v/>
      </c>
      <c r="AR135" s="215" t="str">
        <f ca="1">IF(FU96=0,"",IF(BC96="","",IF(BC96=0,"",IF(BC96=BX150,"",IF(AND(FO94&gt;=F135,BC96&gt;=AR155),"-","")))))</f>
        <v/>
      </c>
      <c r="AS135" s="215" t="str">
        <f ca="1">IF(FU96=0,"",IF(BC96="","",IF(BC96=0,"",IF(BC96=BX150,"",IF(AND(FO94&gt;=F135,BC96&gt;=AS155),"-","")))))</f>
        <v/>
      </c>
      <c r="AT135" s="215" t="str">
        <f ca="1">IF(FU96=0,"",IF(BC96="","",IF(BC96=0,"",IF(BC96=BX150,"",IF(AND(FO94&gt;=F135,BC96&gt;=AT155),"-","")))))</f>
        <v/>
      </c>
      <c r="AU135" s="215" t="str">
        <f ca="1">IF(FU96=0,"",IF(BC96="","",IF(BC96=0,"",IF(BC96=BX150,"",IF(AND(FO94&gt;=F135,BC96&gt;=AU155),"-","")))))</f>
        <v/>
      </c>
      <c r="AV135" s="215" t="str">
        <f ca="1">IF(FU96=0,"",IF(BC96="","",IF(BC96=0,"",IF(BC96=BX150,"",IF(AND(FO94&gt;=F135,BC96&gt;=AV155),"-","")))))</f>
        <v/>
      </c>
      <c r="AW135" s="215" t="str">
        <f ca="1">IF(FU96=0,"",IF(BC96="","",IF(BC96=0,"",IF(BC96=BX150,"",IF(AND(FO94&gt;=F135,BC96&gt;=AW155),"-","")))))</f>
        <v/>
      </c>
      <c r="AX135" s="215" t="str">
        <f ca="1">IF(FU96=0,"",IF(BC96="","",IF(BC96=0,"",IF(BC96=BX150,"",IF(AND(FO94&gt;=F135,BC96&gt;=AX155),"-","")))))</f>
        <v/>
      </c>
      <c r="AY135" s="215" t="str">
        <f ca="1">IF(FU96=0,"",IF(BC96="","",IF(BC96=0,"",IF(BC96=BX150,"",IF(AND(FO94&gt;=F135,BC96&gt;=AY155),"-","")))))</f>
        <v/>
      </c>
      <c r="AZ135" s="215" t="str">
        <f ca="1">IF(FU96=0,"",IF(BC96="","",IF(BC96=0,"",IF(BC96=BX150,"",IF(AND(FO94&gt;=F135,BC96&gt;=AZ155),"-","")))))</f>
        <v/>
      </c>
      <c r="BA135" s="215" t="str">
        <f ca="1">IF(FU96=0,"",IF(BC96="","",IF(BC96=0,"",IF(BC96=BX150,"",IF(AND(FO94&gt;=F135,BC96&gt;=BA155),"-","")))))</f>
        <v/>
      </c>
      <c r="BB135" s="215" t="str">
        <f ca="1">IF(FU96=0,"",IF(BC96="","",IF(BC96=0,"",IF(BC96=BX150,"",IF(AND(FO94&gt;=F135,BC96&gt;=BB155),"-","")))))</f>
        <v/>
      </c>
      <c r="BC135" s="215" t="str">
        <f ca="1">IF(FU96=0,"",IF(BC96="","",IF(BC96=0,"",IF(BC96=BX150,"",IF(AND(FO94&gt;=F135,BC96&gt;=BC155),"-","")))))</f>
        <v/>
      </c>
      <c r="BD135" s="215" t="str">
        <f ca="1">IF(FU96=0,"",IF(BC96="","",IF(BC96=0,"",IF(BC96=BX150,"",IF(AND(FO94&gt;=F135,BC96&gt;=BD155),"-","")))))</f>
        <v/>
      </c>
      <c r="BE135" s="215" t="str">
        <f ca="1">IF(FU96=0,"",IF(BC96="","",IF(BC96=0,"",IF(BC96=BX150,"",IF(AND(FO94&gt;=F135,BC96&gt;=BE155),"-","")))))</f>
        <v/>
      </c>
      <c r="BF135" s="215" t="str">
        <f ca="1">IF(FU96=0,"",IF(BC96="","",IF(BC96=0,"",IF(BC96=BX150,"",IF(AND(FO94&gt;=F135,BC96&gt;=BF155),"-","")))))</f>
        <v/>
      </c>
      <c r="BG135" s="215" t="str">
        <f ca="1">IF(FU96=0,"",IF(BC96="","",IF(BC96=0,"",IF(BC96=BX150,"",IF(AND(FO94&gt;=F135,BC96&gt;=BG155),"-","")))))</f>
        <v/>
      </c>
      <c r="BH135" s="215" t="str">
        <f ca="1">IF(FU96=0,"",IF(BC96="","",IF(BC96=0,"",IF(BC96=BX150,"",IF(AND(FO94&gt;=F135,BC96&gt;=BH155),"-","")))))</f>
        <v/>
      </c>
      <c r="BI135" s="215" t="str">
        <f ca="1">IF(FU96=0,"",IF(BC96="","",IF(BC96=0,"",IF(BC96=BX150,"",IF(AND(FO94&gt;=F135,BC96&gt;=BI155),"-","")))))</f>
        <v/>
      </c>
      <c r="BJ135" s="215" t="str">
        <f ca="1">IF(FU96=0,"",IF(BC96="","",IF(BC96=0,"",IF(BC96=BX150,"",IF(AND(FO94&gt;=F135,BC96&gt;=BJ155),"-","")))))</f>
        <v/>
      </c>
      <c r="BK135" s="215" t="str">
        <f ca="1">IF(FU96=0,"",IF(BC96="","",IF(BC96=0,"",IF(BC96=BX150,"",IF(AND(FO94&gt;=F135,BC96&gt;=BK155),"-","")))))</f>
        <v/>
      </c>
      <c r="BL135" s="215" t="str">
        <f ca="1">IF(FU96=0,"",IF(BC96="","",IF(BC96=0,"",IF(BC96=BX150,"",IF(AND(FO94&gt;=F135,BC96&gt;=BL155),"-","")))))</f>
        <v/>
      </c>
      <c r="BM135" s="215" t="str">
        <f ca="1">IF(FU96=0,"",IF(BC96="","",IF(BC96=0,"",IF(BC96=BX150,"",IF(AND(FO94&gt;=F135,BC96&gt;=BM155),"-","")))))</f>
        <v/>
      </c>
      <c r="BN135" s="215" t="str">
        <f ca="1">IF(FU96=0,"",IF(BC96="","",IF(BC96=0,"",IF(BC96=BX150,"",IF(AND(FO94&gt;=F135,BC96&gt;=BN155),"-","")))))</f>
        <v/>
      </c>
      <c r="BO135" s="215" t="str">
        <f ca="1">IF(FU96=0,"",IF(BC96="","",IF(BC96=0,"",IF(BC96=BX150,"",IF(AND(FO94&gt;=F135,BC96&gt;=BO155),"-","")))))</f>
        <v/>
      </c>
      <c r="BP135" s="215" t="str">
        <f ca="1">IF(FU96=0,"",IF(BC96="","",IF(BC96=0,"",IF(BC96=BX150,"",IF(AND(FO94&gt;=F135,BC96&gt;=BP155),"-","")))))</f>
        <v/>
      </c>
      <c r="BQ135" s="197" t="str">
        <f ca="1">IF(FU96=0,"",":")</f>
        <v/>
      </c>
      <c r="BR135" s="197"/>
      <c r="BS135" s="197"/>
      <c r="BT135" s="197"/>
      <c r="BU135" s="197"/>
      <c r="BV135" s="197"/>
      <c r="BW135" s="197"/>
      <c r="BX135" s="197"/>
      <c r="BY135" s="197"/>
      <c r="BZ135" s="197"/>
      <c r="CA135" s="197"/>
      <c r="CB135" s="197"/>
      <c r="CC135" s="126"/>
      <c r="CD135" s="126"/>
      <c r="CE135" s="126"/>
      <c r="CF135" s="46"/>
      <c r="CG135" s="46"/>
      <c r="CH135" s="46"/>
      <c r="CI135" s="46"/>
      <c r="CJ135" s="46"/>
      <c r="CK135" s="46"/>
      <c r="CL135" s="46"/>
      <c r="CM135" s="46"/>
      <c r="CN135" s="46"/>
      <c r="CO135" s="46"/>
      <c r="CP135" s="46"/>
      <c r="CQ135" s="46"/>
      <c r="CR135" s="46"/>
      <c r="CS135" s="46"/>
      <c r="CT135" s="46"/>
      <c r="CU135" s="46"/>
      <c r="CV135" s="46"/>
      <c r="CW135" s="46"/>
      <c r="CX135" s="46"/>
      <c r="CY135" s="46"/>
      <c r="CZ135" s="46"/>
      <c r="DA135" s="46"/>
      <c r="DB135" s="46"/>
      <c r="DC135" s="46"/>
      <c r="DD135" s="46"/>
      <c r="DE135" s="46"/>
      <c r="DF135" s="46"/>
      <c r="DG135" s="46"/>
      <c r="DH135" s="46"/>
      <c r="DI135" s="46"/>
      <c r="DJ135" s="46"/>
      <c r="DK135" s="46"/>
      <c r="DL135" s="46"/>
      <c r="DM135" s="46"/>
      <c r="DN135" s="46"/>
      <c r="DO135" s="46"/>
      <c r="DP135" s="46"/>
      <c r="DQ135" s="46"/>
      <c r="DR135" s="46"/>
      <c r="DS135" s="46"/>
      <c r="DT135" s="46"/>
      <c r="DU135" s="46"/>
      <c r="DV135" s="46"/>
      <c r="DW135" s="46"/>
      <c r="DX135" s="46"/>
      <c r="DY135" s="46"/>
      <c r="DZ135" s="46"/>
      <c r="EA135" s="46"/>
      <c r="EB135" s="46"/>
      <c r="EC135" s="46"/>
      <c r="ED135" s="46"/>
      <c r="EE135" s="39"/>
      <c r="EF135" s="39"/>
      <c r="EG135" s="39"/>
      <c r="EH135" s="39"/>
      <c r="EI135" s="39"/>
      <c r="EJ135" s="39"/>
      <c r="EK135" s="39"/>
      <c r="EL135" s="39"/>
      <c r="EM135" s="39"/>
      <c r="EN135" s="39"/>
      <c r="EO135" s="39"/>
      <c r="EP135" s="39"/>
      <c r="EQ135" s="39"/>
      <c r="ER135" s="39"/>
      <c r="ES135" s="79"/>
      <c r="ET135" s="79"/>
      <c r="EU135" s="79"/>
      <c r="EV135" s="79"/>
      <c r="EW135" s="79"/>
      <c r="EX135" s="79"/>
      <c r="EY135" s="79"/>
      <c r="EZ135" s="79"/>
      <c r="FA135" s="79"/>
      <c r="FB135" s="79"/>
      <c r="FC135" s="79"/>
      <c r="FD135" s="79"/>
      <c r="FE135" s="79"/>
      <c r="FF135" s="79"/>
      <c r="FG135" s="79"/>
      <c r="FH135" s="79"/>
      <c r="FI135" s="79"/>
      <c r="FJ135" s="79"/>
      <c r="FK135" s="79"/>
      <c r="FL135" s="79"/>
      <c r="FM135" s="47"/>
      <c r="FN135" s="47"/>
      <c r="FO135" s="47"/>
      <c r="FP135" s="47"/>
      <c r="FQ135" s="47"/>
      <c r="FR135" s="47"/>
      <c r="FS135" s="47"/>
      <c r="FT135" s="47"/>
      <c r="FU135" s="47"/>
      <c r="FV135" s="47"/>
      <c r="FW135" s="47"/>
      <c r="FX135" s="47"/>
      <c r="FY135" s="47"/>
      <c r="FZ135" s="47"/>
      <c r="GA135" s="49"/>
      <c r="GB135" s="49"/>
      <c r="GC135" s="49"/>
      <c r="GD135" s="49"/>
      <c r="GE135" s="49"/>
      <c r="GF135" s="49"/>
      <c r="GG135" s="49"/>
      <c r="GH135" s="49"/>
      <c r="GI135" s="49"/>
      <c r="GJ135" s="49"/>
      <c r="GK135" s="49"/>
      <c r="GL135" s="49"/>
      <c r="GM135" s="49"/>
      <c r="GN135" s="49"/>
      <c r="GO135" s="49"/>
      <c r="GP135" s="49"/>
      <c r="GQ135" s="49"/>
      <c r="GR135" s="49"/>
      <c r="GS135" s="49"/>
      <c r="GT135" s="49"/>
      <c r="GU135" s="49"/>
      <c r="GV135" s="49"/>
      <c r="GW135" s="49"/>
      <c r="GX135" s="49"/>
      <c r="GY135" s="49"/>
      <c r="GZ135" s="49"/>
      <c r="HA135" s="49"/>
      <c r="HB135" s="49"/>
      <c r="HC135" s="49"/>
      <c r="HD135" s="49"/>
      <c r="HE135" s="49"/>
      <c r="HF135" s="49"/>
      <c r="HG135" s="49"/>
      <c r="HH135" s="49"/>
      <c r="HI135" s="49"/>
      <c r="HJ135" s="49"/>
      <c r="HK135" s="49"/>
      <c r="HL135" s="49"/>
      <c r="HM135" s="49"/>
    </row>
    <row r="136" spans="1:221" ht="3.75" customHeight="1">
      <c r="A136" s="1"/>
      <c r="B136" s="3"/>
      <c r="C136" s="3"/>
      <c r="D136" s="38"/>
      <c r="E136" s="43">
        <v>11</v>
      </c>
      <c r="F136" s="43" t="e">
        <f ca="1">E136*AB105/40</f>
        <v>#VALUE!</v>
      </c>
      <c r="G136" s="79"/>
      <c r="H136" s="79"/>
      <c r="I136" s="79"/>
      <c r="J136" s="79"/>
      <c r="K136" s="43"/>
      <c r="L136" s="39"/>
      <c r="M136" s="39"/>
      <c r="N136" s="39"/>
      <c r="O136" s="39"/>
      <c r="P136" s="39"/>
      <c r="Q136" s="39"/>
      <c r="R136" s="39"/>
      <c r="S136" s="39"/>
      <c r="T136" s="39"/>
      <c r="U136" s="39"/>
      <c r="V136" s="39"/>
      <c r="W136" s="39"/>
      <c r="X136" s="39"/>
      <c r="Y136" s="39"/>
      <c r="Z136" s="39"/>
      <c r="AA136" s="39"/>
      <c r="AB136" s="647"/>
      <c r="AC136" s="647"/>
      <c r="AD136" s="647"/>
      <c r="AE136" s="647"/>
      <c r="AF136" s="647"/>
      <c r="AG136" s="647"/>
      <c r="AH136" s="647"/>
      <c r="AI136" s="647"/>
      <c r="AJ136" s="647"/>
      <c r="AK136" s="647"/>
      <c r="AL136" s="39"/>
      <c r="AM136" s="126"/>
      <c r="AN136" s="43" t="str">
        <f ca="1">IF(FU96=0,"","`")</f>
        <v/>
      </c>
      <c r="AO136" s="215" t="str">
        <f ca="1">IF(FU96=0,"",IF(BC96="","",IF(BC96=0,"",IF(BC96=BX150,"",IF(AND(FO94&gt;=F136,BC96&gt;=AO155),"-","")))))</f>
        <v/>
      </c>
      <c r="AP136" s="215" t="str">
        <f ca="1">IF(FU96=0,"",IF(BC96="","",IF(BC96=0,"",IF(BC96=BX150,"",IF(AND(FO94&gt;=F136,BC96&gt;=AP155),"-","")))))</f>
        <v/>
      </c>
      <c r="AQ136" s="215" t="str">
        <f ca="1">IF(FU96=0,"",IF(BC96="","",IF(BC96=0,"",IF(BC96=BX150,"",IF(AND(FO94&gt;=F136,BC96&gt;=AQ155),"-","")))))</f>
        <v/>
      </c>
      <c r="AR136" s="215" t="str">
        <f ca="1">IF(FU96=0,"",IF(BC96="","",IF(BC96=0,"",IF(BC96=BX150,"",IF(AND(FO94&gt;=F136,BC96&gt;=AR155),"-","")))))</f>
        <v/>
      </c>
      <c r="AS136" s="215" t="str">
        <f ca="1">IF(FU96=0,"",IF(BC96="","",IF(BC96=0,"",IF(BC96=BX150,"",IF(AND(FO94&gt;=F136,BC96&gt;=AS155),"-","")))))</f>
        <v/>
      </c>
      <c r="AT136" s="215" t="str">
        <f ca="1">IF(FU96=0,"",IF(BC96="","",IF(BC96=0,"",IF(BC96=BX150,"",IF(AND(FO94&gt;=F136,BC96&gt;=AT155),"-","")))))</f>
        <v/>
      </c>
      <c r="AU136" s="215" t="str">
        <f ca="1">IF(FU96=0,"",IF(BC96="","",IF(BC96=0,"",IF(BC96=BX150,"",IF(AND(FO94&gt;=F136,BC96&gt;=AU155),"-","")))))</f>
        <v/>
      </c>
      <c r="AV136" s="215" t="str">
        <f ca="1">IF(FU96=0,"",IF(BC96="","",IF(BC96=0,"",IF(BC96=BX150,"",IF(AND(FO94&gt;=F136,BC96&gt;=AV155),"-","")))))</f>
        <v/>
      </c>
      <c r="AW136" s="215" t="str">
        <f ca="1">IF(FU96=0,"",IF(BC96="","",IF(BC96=0,"",IF(BC96=BX150,"",IF(AND(FO94&gt;=F136,BC96&gt;=AW155),"-","")))))</f>
        <v/>
      </c>
      <c r="AX136" s="215" t="str">
        <f ca="1">IF(FU96=0,"",IF(BC96="","",IF(BC96=0,"",IF(BC96=BX150,"",IF(AND(FO94&gt;=F136,BC96&gt;=AX155),"-","")))))</f>
        <v/>
      </c>
      <c r="AY136" s="215" t="str">
        <f ca="1">IF(FU96=0,"",IF(BC96="","",IF(BC96=0,"",IF(BC96=BX150,"",IF(AND(FO94&gt;=F136,BC96&gt;=AY155),"-","")))))</f>
        <v/>
      </c>
      <c r="AZ136" s="215" t="str">
        <f ca="1">IF(FU96=0,"",IF(BC96="","",IF(BC96=0,"",IF(BC96=BX150,"",IF(AND(FO94&gt;=F136,BC96&gt;=AZ155),"-","")))))</f>
        <v/>
      </c>
      <c r="BA136" s="215" t="str">
        <f ca="1">IF(FU96=0,"",IF(BC96="","",IF(BC96=0,"",IF(BC96=BX150,"",IF(AND(FO94&gt;=F136,BC96&gt;=BA155),"-","")))))</f>
        <v/>
      </c>
      <c r="BB136" s="215" t="str">
        <f ca="1">IF(FU96=0,"",IF(BC96="","",IF(BC96=0,"",IF(BC96=BX150,"",IF(AND(FO94&gt;=F136,BC96&gt;=BB155),"-","")))))</f>
        <v/>
      </c>
      <c r="BC136" s="215" t="str">
        <f ca="1">IF(FU96=0,"",IF(BC96="","",IF(BC96=0,"",IF(BC96=BX150,"",IF(AND(FO94&gt;=F136,BC96&gt;=BC155),"-","")))))</f>
        <v/>
      </c>
      <c r="BD136" s="215" t="str">
        <f ca="1">IF(FU96=0,"",IF(BC96="","",IF(BC96=0,"",IF(BC96=BX150,"",IF(AND(FO94&gt;=F136,BC96&gt;=BD155),"-","")))))</f>
        <v/>
      </c>
      <c r="BE136" s="215" t="str">
        <f ca="1">IF(FU96=0,"",IF(BC96="","",IF(BC96=0,"",IF(BC96=BX150,"",IF(AND(FO94&gt;=F136,BC96&gt;=BE155),"-","")))))</f>
        <v/>
      </c>
      <c r="BF136" s="215" t="str">
        <f ca="1">IF(FU96=0,"",IF(BC96="","",IF(BC96=0,"",IF(BC96=BX150,"",IF(AND(FO94&gt;=F136,BC96&gt;=BF155),"-","")))))</f>
        <v/>
      </c>
      <c r="BG136" s="215" t="str">
        <f ca="1">IF(FU96=0,"",IF(BC96="","",IF(BC96=0,"",IF(BC96=BX150,"",IF(AND(FO94&gt;=F136,BC96&gt;=BG155),"-","")))))</f>
        <v/>
      </c>
      <c r="BH136" s="215" t="str">
        <f ca="1">IF(FU96=0,"",IF(BC96="","",IF(BC96=0,"",IF(BC96=BX150,"",IF(AND(FO94&gt;=F136,BC96&gt;=BH155),"-","")))))</f>
        <v/>
      </c>
      <c r="BI136" s="215" t="str">
        <f ca="1">IF(FU96=0,"",IF(BC96="","",IF(BC96=0,"",IF(BC96=BX150,"",IF(AND(FO94&gt;=F136,BC96&gt;=BI155),"-","")))))</f>
        <v/>
      </c>
      <c r="BJ136" s="215" t="str">
        <f ca="1">IF(FU96=0,"",IF(BC96="","",IF(BC96=0,"",IF(BC96=BX150,"",IF(AND(FO94&gt;=F136,BC96&gt;=BJ155),"-","")))))</f>
        <v/>
      </c>
      <c r="BK136" s="215" t="str">
        <f ca="1">IF(FU96=0,"",IF(BC96="","",IF(BC96=0,"",IF(BC96=BX150,"",IF(AND(FO94&gt;=F136,BC96&gt;=BK155),"-","")))))</f>
        <v/>
      </c>
      <c r="BL136" s="215" t="str">
        <f ca="1">IF(FU96=0,"",IF(BC96="","",IF(BC96=0,"",IF(BC96=BX150,"",IF(AND(FO94&gt;=F136,BC96&gt;=BL155),"-","")))))</f>
        <v/>
      </c>
      <c r="BM136" s="215" t="str">
        <f ca="1">IF(FU96=0,"",IF(BC96="","",IF(BC96=0,"",IF(BC96=BX150,"",IF(AND(FO94&gt;=F136,BC96&gt;=BM155),"-","")))))</f>
        <v/>
      </c>
      <c r="BN136" s="215" t="str">
        <f ca="1">IF(FU96=0,"",IF(BC96="","",IF(BC96=0,"",IF(BC96=BX150,"",IF(AND(FO94&gt;=F136,BC96&gt;=BN155),"-","")))))</f>
        <v/>
      </c>
      <c r="BO136" s="215" t="str">
        <f ca="1">IF(FU96=0,"",IF(BC96="","",IF(BC96=0,"",IF(BC96=BX150,"",IF(AND(FO94&gt;=F136,BC96&gt;=BO155),"-","")))))</f>
        <v/>
      </c>
      <c r="BP136" s="215" t="str">
        <f ca="1">IF(FU96=0,"",IF(BC96="","",IF(BC96=0,"",IF(BC96=BX150,"",IF(AND(FO94&gt;=F136,BC96&gt;=BP155),"-","")))))</f>
        <v/>
      </c>
      <c r="BQ136" s="215" t="str">
        <f ca="1">IF(FU96=0,"",IF(BC96="","",IF(BC96=0,"",IF(BC96=BX150,"",IF(AND(FO94&gt;=F136,BC96&gt;=BQ155),"-","")))))</f>
        <v/>
      </c>
      <c r="BR136" s="197" t="str">
        <f ca="1">IF(FU96=0,"",":")</f>
        <v/>
      </c>
      <c r="BS136" s="197"/>
      <c r="BT136" s="197"/>
      <c r="BU136" s="197"/>
      <c r="BV136" s="197"/>
      <c r="BW136" s="197"/>
      <c r="BX136" s="197"/>
      <c r="BY136" s="197"/>
      <c r="BZ136" s="197"/>
      <c r="CA136" s="197"/>
      <c r="CB136" s="197"/>
      <c r="CC136" s="126"/>
      <c r="CD136" s="126"/>
      <c r="CE136" s="12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c r="DL136" s="46"/>
      <c r="DM136" s="46"/>
      <c r="DN136" s="46"/>
      <c r="DO136" s="46"/>
      <c r="DP136" s="46"/>
      <c r="DQ136" s="46"/>
      <c r="DR136" s="46"/>
      <c r="DS136" s="46"/>
      <c r="DT136" s="46"/>
      <c r="DU136" s="46"/>
      <c r="DV136" s="46"/>
      <c r="DW136" s="46"/>
      <c r="DX136" s="46"/>
      <c r="DY136" s="46"/>
      <c r="DZ136" s="46"/>
      <c r="EA136" s="46"/>
      <c r="EB136" s="46"/>
      <c r="EC136" s="46"/>
      <c r="ED136" s="46"/>
      <c r="EE136" s="39"/>
      <c r="EF136" s="39"/>
      <c r="EG136" s="39"/>
      <c r="EH136" s="39"/>
      <c r="EI136" s="39"/>
      <c r="EJ136" s="39"/>
      <c r="EK136" s="39"/>
      <c r="EL136" s="39"/>
      <c r="EM136" s="39"/>
      <c r="EN136" s="39"/>
      <c r="EO136" s="39"/>
      <c r="EP136" s="39"/>
      <c r="EQ136" s="39"/>
      <c r="ER136" s="39"/>
      <c r="ES136" s="79"/>
      <c r="ET136" s="79"/>
      <c r="EU136" s="79"/>
      <c r="EV136" s="79"/>
      <c r="EW136" s="79"/>
      <c r="EX136" s="79"/>
      <c r="EY136" s="79"/>
      <c r="EZ136" s="79"/>
      <c r="FA136" s="79"/>
      <c r="FB136" s="79"/>
      <c r="FC136" s="79"/>
      <c r="FD136" s="79"/>
      <c r="FE136" s="79"/>
      <c r="FF136" s="79"/>
      <c r="FG136" s="79"/>
      <c r="FH136" s="79"/>
      <c r="FI136" s="79"/>
      <c r="FJ136" s="79"/>
      <c r="FK136" s="79"/>
      <c r="FL136" s="79"/>
      <c r="FM136" s="47"/>
      <c r="FN136" s="47"/>
      <c r="FO136" s="47"/>
      <c r="FP136" s="47"/>
      <c r="FQ136" s="47"/>
      <c r="FR136" s="47"/>
      <c r="FS136" s="47"/>
      <c r="FT136" s="47"/>
      <c r="FU136" s="47"/>
      <c r="FV136" s="47"/>
      <c r="FW136" s="47"/>
      <c r="FX136" s="47"/>
      <c r="FY136" s="47"/>
      <c r="FZ136" s="47"/>
      <c r="GA136" s="49"/>
      <c r="GB136" s="49"/>
      <c r="GC136" s="49"/>
      <c r="GD136" s="49"/>
      <c r="GE136" s="49"/>
      <c r="GF136" s="49"/>
      <c r="GG136" s="49"/>
      <c r="GH136" s="49"/>
      <c r="GI136" s="49"/>
      <c r="GJ136" s="49"/>
      <c r="GK136" s="49"/>
      <c r="GL136" s="49"/>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row>
    <row r="137" spans="1:221" ht="3.75" customHeight="1">
      <c r="A137" s="1"/>
      <c r="B137" s="3"/>
      <c r="C137" s="3"/>
      <c r="D137" s="38"/>
      <c r="E137" s="43">
        <v>10</v>
      </c>
      <c r="F137" s="43" t="e">
        <f ca="1">E137*AB105/40</f>
        <v>#VALUE!</v>
      </c>
      <c r="G137" s="79"/>
      <c r="H137" s="79"/>
      <c r="I137" s="79"/>
      <c r="J137" s="79"/>
      <c r="K137" s="43"/>
      <c r="L137" s="39"/>
      <c r="M137" s="39"/>
      <c r="N137" s="39"/>
      <c r="O137" s="39"/>
      <c r="P137" s="39"/>
      <c r="Q137" s="39"/>
      <c r="R137" s="39"/>
      <c r="S137" s="39"/>
      <c r="T137" s="39"/>
      <c r="U137" s="39"/>
      <c r="V137" s="39"/>
      <c r="W137" s="39"/>
      <c r="X137" s="39"/>
      <c r="Y137" s="39"/>
      <c r="Z137" s="39"/>
      <c r="AA137" s="39"/>
      <c r="AB137" s="647"/>
      <c r="AC137" s="647"/>
      <c r="AD137" s="647"/>
      <c r="AE137" s="647"/>
      <c r="AF137" s="647"/>
      <c r="AG137" s="647"/>
      <c r="AH137" s="647"/>
      <c r="AI137" s="647"/>
      <c r="AJ137" s="647"/>
      <c r="AK137" s="647"/>
      <c r="AL137" s="39"/>
      <c r="AM137" s="126"/>
      <c r="AN137" s="43" t="str">
        <f ca="1">IF(FU96=0,"","`")</f>
        <v/>
      </c>
      <c r="AO137" s="215" t="str">
        <f ca="1">IF(FU96=0,"",IF(BC96="","",IF(BC96=0,"",IF(BC96=BX150,"",IF(AND(FO94&gt;=F137,BC96&gt;=AO155),"-","")))))</f>
        <v/>
      </c>
      <c r="AP137" s="215" t="str">
        <f ca="1">IF(FU96=0,"",IF(BC96="","",IF(BC96=0,"",IF(BC96=BX150,"",IF(AND(FO94&gt;=F137,BC96&gt;=AP155),"-","")))))</f>
        <v/>
      </c>
      <c r="AQ137" s="215" t="str">
        <f ca="1">IF(FU96=0,"",IF(BC96="","",IF(BC96=0,"",IF(BC96=BX150,"",IF(AND(FO94&gt;=F137,BC96&gt;=AQ155),"-","")))))</f>
        <v/>
      </c>
      <c r="AR137" s="215" t="str">
        <f ca="1">IF(FU96=0,"",IF(BC96="","",IF(BC96=0,"",IF(BC96=BX150,"",IF(AND(FO94&gt;=F137,BC96&gt;=AR155),"-","")))))</f>
        <v/>
      </c>
      <c r="AS137" s="215" t="str">
        <f ca="1">IF(FU96=0,"",IF(BC96="","",IF(BC96=0,"",IF(BC96=BX150,"",IF(AND(FO94&gt;=F137,BC96&gt;=AS155),"-","")))))</f>
        <v/>
      </c>
      <c r="AT137" s="215" t="str">
        <f ca="1">IF(FU96=0,"",IF(BC96="","",IF(BC96=0,"",IF(BC96=BX150,"",IF(AND(FO94&gt;=F137,BC96&gt;=AT155),"-","")))))</f>
        <v/>
      </c>
      <c r="AU137" s="215" t="str">
        <f ca="1">IF(FU96=0,"",IF(BC96="","",IF(BC96=0,"",IF(BC96=BX150,"",IF(AND(FO94&gt;=F137,BC96&gt;=AU155),"-","")))))</f>
        <v/>
      </c>
      <c r="AV137" s="215" t="str">
        <f ca="1">IF(FU96=0,"",IF(BC96="","",IF(BC96=0,"",IF(BC96=BX150,"",IF(AND(FO94&gt;=F137,BC96&gt;=AV155),"-","")))))</f>
        <v/>
      </c>
      <c r="AW137" s="215" t="str">
        <f ca="1">IF(FU96=0,"",IF(BC96="","",IF(BC96=0,"",IF(BC96=BX150,"",IF(AND(FO94&gt;=F137,BC96&gt;=AW155),"-","")))))</f>
        <v/>
      </c>
      <c r="AX137" s="215" t="str">
        <f ca="1">IF(FU96=0,"",IF(BC96="","",IF(BC96=0,"",IF(BC96=BX150,"",IF(AND(FO94&gt;=F137,BC96&gt;=AX155),"-","")))))</f>
        <v/>
      </c>
      <c r="AY137" s="215" t="str">
        <f ca="1">IF(FU96=0,"",IF(BC96="","",IF(BC96=0,"",IF(BC96=BX150,"",IF(AND(FO94&gt;=F137,BC96&gt;=AY155),"-","")))))</f>
        <v/>
      </c>
      <c r="AZ137" s="215" t="str">
        <f ca="1">IF(FU96=0,"",IF(BC96="","",IF(BC96=0,"",IF(BC96=BX150,"",IF(AND(FO94&gt;=F137,BC96&gt;=AZ155),"-","")))))</f>
        <v/>
      </c>
      <c r="BA137" s="215" t="str">
        <f ca="1">IF(FU96=0,"",IF(BC96="","",IF(BC96=0,"",IF(BC96=BX150,"",IF(AND(FO94&gt;=F137,BC96&gt;=BA155),"-","")))))</f>
        <v/>
      </c>
      <c r="BB137" s="215" t="str">
        <f ca="1">IF(FU96=0,"",IF(BC96="","",IF(BC96=0,"",IF(BC96=BX150,"",IF(AND(FO94&gt;=F137,BC96&gt;=BB155),"-","")))))</f>
        <v/>
      </c>
      <c r="BC137" s="215" t="str">
        <f ca="1">IF(FU96=0,"",IF(BC96="","",IF(BC96=0,"",IF(BC96=BX150,"",IF(AND(FO94&gt;=F137,BC96&gt;=BC155),"-","")))))</f>
        <v/>
      </c>
      <c r="BD137" s="215" t="str">
        <f ca="1">IF(FU96=0,"",IF(BC96="","",IF(BC96=0,"",IF(BC96=BX150,"",IF(AND(FO94&gt;=F137,BC96&gt;=BD155),"-","")))))</f>
        <v/>
      </c>
      <c r="BE137" s="215" t="str">
        <f ca="1">IF(FU96=0,"",IF(BC96="","",IF(BC96=0,"",IF(BC96=BX150,"",IF(AND(FO94&gt;=F137,BC96&gt;=BE155),"-","")))))</f>
        <v/>
      </c>
      <c r="BF137" s="215" t="str">
        <f ca="1">IF(FU96=0,"",IF(BC96="","",IF(BC96=0,"",IF(BC96=BX150,"",IF(AND(FO94&gt;=F137,BC96&gt;=BF155),"-","")))))</f>
        <v/>
      </c>
      <c r="BG137" s="215" t="str">
        <f ca="1">IF(FU96=0,"",IF(BC96="","",IF(BC96=0,"",IF(BC96=BX150,"",IF(AND(FO94&gt;=F137,BC96&gt;=BG155),"-","")))))</f>
        <v/>
      </c>
      <c r="BH137" s="215" t="str">
        <f ca="1">IF(FU96=0,"",IF(BC96="","",IF(BC96=0,"",IF(BC96=BX150,"",IF(AND(FO94&gt;=F137,BC96&gt;=BH155),"-","")))))</f>
        <v/>
      </c>
      <c r="BI137" s="215" t="str">
        <f ca="1">IF(FU96=0,"",IF(BC96="","",IF(BC96=0,"",IF(BC96=BX150,"",IF(AND(FO94&gt;=F137,BC96&gt;=BI155),"-","")))))</f>
        <v/>
      </c>
      <c r="BJ137" s="215" t="str">
        <f ca="1">IF(FU96=0,"",IF(BC96="","",IF(BC96=0,"",IF(BC96=BX150,"",IF(AND(FO94&gt;=F137,BC96&gt;=BJ155),"-","")))))</f>
        <v/>
      </c>
      <c r="BK137" s="215" t="str">
        <f ca="1">IF(FU96=0,"",IF(BC96="","",IF(BC96=0,"",IF(BC96=BX150,"",IF(AND(FO94&gt;=F137,BC96&gt;=BK155),"-","")))))</f>
        <v/>
      </c>
      <c r="BL137" s="215" t="str">
        <f ca="1">IF(FU96=0,"",IF(BC96="","",IF(BC96=0,"",IF(BC96=BX150,"",IF(AND(FO94&gt;=F137,BC96&gt;=BL155),"-","")))))</f>
        <v/>
      </c>
      <c r="BM137" s="215" t="str">
        <f ca="1">IF(FU96=0,"",IF(BC96="","",IF(BC96=0,"",IF(BC96=BX150,"",IF(AND(FO94&gt;=F137,BC96&gt;=BM155),"-","")))))</f>
        <v/>
      </c>
      <c r="BN137" s="215" t="str">
        <f ca="1">IF(FU96=0,"",IF(BC96="","",IF(BC96=0,"",IF(BC96=BX150,"",IF(AND(FO94&gt;=F137,BC96&gt;=BN155),"-","")))))</f>
        <v/>
      </c>
      <c r="BO137" s="215" t="str">
        <f ca="1">IF(FU96=0,"",IF(BC96="","",IF(BC96=0,"",IF(BC96=BX150,"",IF(AND(FO94&gt;=F137,BC96&gt;=BO155),"-","")))))</f>
        <v/>
      </c>
      <c r="BP137" s="215" t="str">
        <f ca="1">IF(FU96=0,"",IF(BC96="","",IF(BC96=0,"",IF(BC96=BX150,"",IF(AND(FO94&gt;=F137,BC96&gt;=BP155),"-","")))))</f>
        <v/>
      </c>
      <c r="BQ137" s="215" t="str">
        <f ca="1">IF(FU96=0,"",IF(BC96="","",IF(BC96=0,"",IF(BC96=BX150,"",IF(AND(FO94&gt;=F137,BC96&gt;=BQ155),"-","")))))</f>
        <v/>
      </c>
      <c r="BR137" s="215" t="str">
        <f ca="1">IF(FU96=0,"",IF(BC96="","",IF(BC96=0,"",IF(BC96=BX150,"",IF(AND(FO94&gt;=F137,BC96&gt;=BR155),"-","")))))</f>
        <v/>
      </c>
      <c r="BS137" s="197" t="str">
        <f ca="1">IF(FU96=0,"",":")</f>
        <v/>
      </c>
      <c r="BT137" s="197"/>
      <c r="BU137" s="197"/>
      <c r="BV137" s="197"/>
      <c r="BW137" s="197"/>
      <c r="BX137" s="197"/>
      <c r="BY137" s="197"/>
      <c r="BZ137" s="197"/>
      <c r="CA137" s="197"/>
      <c r="CB137" s="197"/>
      <c r="CC137" s="126"/>
      <c r="CD137" s="126"/>
      <c r="CE137" s="126"/>
      <c r="CF137" s="46"/>
      <c r="CG137" s="46"/>
      <c r="CH137" s="46"/>
      <c r="CI137" s="46"/>
      <c r="CJ137" s="46"/>
      <c r="CK137" s="46"/>
      <c r="CL137" s="46"/>
      <c r="CM137" s="46"/>
      <c r="CN137" s="46"/>
      <c r="CO137" s="46"/>
      <c r="CP137" s="46"/>
      <c r="CQ137" s="46"/>
      <c r="CR137" s="46"/>
      <c r="CS137" s="46"/>
      <c r="CT137" s="46"/>
      <c r="CU137" s="46"/>
      <c r="CV137" s="46"/>
      <c r="CW137" s="46"/>
      <c r="CX137" s="46"/>
      <c r="CY137" s="46"/>
      <c r="CZ137" s="46"/>
      <c r="DA137" s="46"/>
      <c r="DB137" s="46"/>
      <c r="DC137" s="46"/>
      <c r="DD137" s="46"/>
      <c r="DE137" s="46"/>
      <c r="DF137" s="46"/>
      <c r="DG137" s="46"/>
      <c r="DH137" s="46"/>
      <c r="DI137" s="46"/>
      <c r="DJ137" s="46"/>
      <c r="DK137" s="46"/>
      <c r="DL137" s="46"/>
      <c r="DM137" s="46"/>
      <c r="DN137" s="46"/>
      <c r="DO137" s="46"/>
      <c r="DP137" s="46"/>
      <c r="DQ137" s="46"/>
      <c r="DR137" s="46"/>
      <c r="DS137" s="46"/>
      <c r="DT137" s="46"/>
      <c r="DU137" s="46"/>
      <c r="DV137" s="46"/>
      <c r="DW137" s="46"/>
      <c r="DX137" s="46"/>
      <c r="DY137" s="46"/>
      <c r="DZ137" s="46"/>
      <c r="EA137" s="46"/>
      <c r="EB137" s="46"/>
      <c r="EC137" s="46"/>
      <c r="ED137" s="46"/>
      <c r="EE137" s="39"/>
      <c r="EF137" s="39"/>
      <c r="EG137" s="39"/>
      <c r="EH137" s="39"/>
      <c r="EI137" s="39"/>
      <c r="EJ137" s="39"/>
      <c r="EK137" s="39"/>
      <c r="EL137" s="39"/>
      <c r="EM137" s="39"/>
      <c r="EN137" s="39"/>
      <c r="EO137" s="39"/>
      <c r="EP137" s="39"/>
      <c r="EQ137" s="39"/>
      <c r="ER137" s="39"/>
      <c r="ES137" s="79"/>
      <c r="ET137" s="79"/>
      <c r="EU137" s="79"/>
      <c r="EV137" s="79"/>
      <c r="EW137" s="79"/>
      <c r="EX137" s="79"/>
      <c r="EY137" s="79"/>
      <c r="EZ137" s="79"/>
      <c r="FA137" s="79"/>
      <c r="FB137" s="79"/>
      <c r="FC137" s="79"/>
      <c r="FD137" s="79"/>
      <c r="FE137" s="79"/>
      <c r="FF137" s="79"/>
      <c r="FG137" s="79"/>
      <c r="FH137" s="79"/>
      <c r="FI137" s="79"/>
      <c r="FJ137" s="79"/>
      <c r="FK137" s="79"/>
      <c r="FL137" s="79"/>
      <c r="FM137" s="47"/>
      <c r="FN137" s="47"/>
      <c r="FO137" s="47"/>
      <c r="FP137" s="47"/>
      <c r="FQ137" s="47"/>
      <c r="FR137" s="47"/>
      <c r="FS137" s="47"/>
      <c r="FT137" s="47"/>
      <c r="FU137" s="47"/>
      <c r="FV137" s="47"/>
      <c r="FW137" s="47"/>
      <c r="FX137" s="47"/>
      <c r="FY137" s="47"/>
      <c r="FZ137" s="47"/>
      <c r="GA137" s="49"/>
      <c r="GB137" s="49"/>
      <c r="GC137" s="49"/>
      <c r="GD137" s="49"/>
      <c r="GE137" s="49"/>
      <c r="GF137" s="49"/>
      <c r="GG137" s="49"/>
      <c r="GH137" s="49"/>
      <c r="GI137" s="49"/>
      <c r="GJ137" s="49"/>
      <c r="GK137" s="49"/>
      <c r="GL137" s="49"/>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row>
    <row r="138" spans="1:221" ht="3.75" customHeight="1">
      <c r="A138" s="1"/>
      <c r="B138" s="3"/>
      <c r="C138" s="3"/>
      <c r="D138" s="38"/>
      <c r="E138" s="43">
        <v>9</v>
      </c>
      <c r="F138" s="43" t="e">
        <f ca="1">E138*AB105/40</f>
        <v>#VALUE!</v>
      </c>
      <c r="G138" s="79"/>
      <c r="H138" s="79"/>
      <c r="I138" s="79"/>
      <c r="J138" s="79"/>
      <c r="K138" s="43"/>
      <c r="L138" s="39"/>
      <c r="M138" s="39"/>
      <c r="N138" s="39"/>
      <c r="O138" s="39"/>
      <c r="P138" s="39"/>
      <c r="Q138" s="39"/>
      <c r="R138" s="39"/>
      <c r="S138" s="39"/>
      <c r="T138" s="39"/>
      <c r="U138" s="39"/>
      <c r="V138" s="39"/>
      <c r="W138" s="39"/>
      <c r="X138" s="39"/>
      <c r="Y138" s="39"/>
      <c r="Z138" s="39"/>
      <c r="AA138" s="39"/>
      <c r="AB138" s="647"/>
      <c r="AC138" s="647"/>
      <c r="AD138" s="647"/>
      <c r="AE138" s="647"/>
      <c r="AF138" s="647"/>
      <c r="AG138" s="647"/>
      <c r="AH138" s="647"/>
      <c r="AI138" s="647"/>
      <c r="AJ138" s="647"/>
      <c r="AK138" s="647"/>
      <c r="AL138" s="39"/>
      <c r="AM138" s="126"/>
      <c r="AN138" s="43" t="str">
        <f ca="1">IF(FU96=0,"","`")</f>
        <v/>
      </c>
      <c r="AO138" s="215" t="str">
        <f ca="1">IF(FU96=0,"",IF(BC96="","",IF(BC96=0,"",IF(BC96=BX150,"",IF(AND(FO94&gt;=F138,BC96&gt;=AO155),"-","")))))</f>
        <v/>
      </c>
      <c r="AP138" s="215" t="str">
        <f ca="1">IF(FU96=0,"",IF(BC96="","",IF(BC96=0,"",IF(BC96=BX150,"",IF(AND(FO94&gt;=F138,BC96&gt;=AP155),"-","")))))</f>
        <v/>
      </c>
      <c r="AQ138" s="215" t="str">
        <f ca="1">IF(FU96=0,"",IF(BC96="","",IF(BC96=0,"",IF(BC96=BX150,"",IF(AND(FO94&gt;=F138,BC96&gt;=AQ155),"-","")))))</f>
        <v/>
      </c>
      <c r="AR138" s="215" t="str">
        <f ca="1">IF(FU96=0,"",IF(BC96="","",IF(BC96=0,"",IF(BC96=BX150,"",IF(AND(FO94&gt;=F138,BC96&gt;=AR155),"-","")))))</f>
        <v/>
      </c>
      <c r="AS138" s="215" t="str">
        <f ca="1">IF(FU96=0,"",IF(BC96="","",IF(BC96=0,"",IF(BC96=BX150,"",IF(AND(FO94&gt;=F138,BC96&gt;=AS155),"-","")))))</f>
        <v/>
      </c>
      <c r="AT138" s="215" t="str">
        <f ca="1">IF(FU96=0,"",IF(BC96="","",IF(BC96=0,"",IF(BC96=BX150,"",IF(AND(FO94&gt;=F138,BC96&gt;=AT155),"-","")))))</f>
        <v/>
      </c>
      <c r="AU138" s="215" t="str">
        <f ca="1">IF(FU96=0,"",IF(BC96="","",IF(BC96=0,"",IF(BC96=BX150,"",IF(AND(FO94&gt;=F138,BC96&gt;=AU155),"-","")))))</f>
        <v/>
      </c>
      <c r="AV138" s="215" t="str">
        <f ca="1">IF(FU96=0,"",IF(BC96="","",IF(BC96=0,"",IF(BC96=BX150,"",IF(AND(FO94&gt;=F138,BC96&gt;=AV155),"-","")))))</f>
        <v/>
      </c>
      <c r="AW138" s="215" t="str">
        <f ca="1">IF(FU96=0,"",IF(BC96="","",IF(BC96=0,"",IF(BC96=BX150,"",IF(AND(FO94&gt;=F138,BC96&gt;=AW155),"-","")))))</f>
        <v/>
      </c>
      <c r="AX138" s="215" t="str">
        <f ca="1">IF(FU96=0,"",IF(BC96="","",IF(BC96=0,"",IF(BC96=BX150,"",IF(AND(FO94&gt;=F138,BC96&gt;=AX155),"-","")))))</f>
        <v/>
      </c>
      <c r="AY138" s="215" t="str">
        <f ca="1">IF(FU96=0,"",IF(BC96="","",IF(BC96=0,"",IF(BC96=BX150,"",IF(AND(FO94&gt;=F138,BC96&gt;=AY155),"-","")))))</f>
        <v/>
      </c>
      <c r="AZ138" s="215" t="str">
        <f ca="1">IF(FU96=0,"",IF(BC96="","",IF(BC96=0,"",IF(BC96=BX150,"",IF(AND(FO94&gt;=F138,BC96&gt;=AZ155),"-","")))))</f>
        <v/>
      </c>
      <c r="BA138" s="215" t="str">
        <f ca="1">IF(FU96=0,"",IF(BC96="","",IF(BC96=0,"",IF(BC96=BX150,"",IF(AND(FO94&gt;=F138,BC96&gt;=BA155),"-","")))))</f>
        <v/>
      </c>
      <c r="BB138" s="215" t="str">
        <f ca="1">IF(FU96=0,"",IF(BC96="","",IF(BC96=0,"",IF(BC96=BX150,"",IF(AND(FO94&gt;=F138,BC96&gt;=BB155),"-","")))))</f>
        <v/>
      </c>
      <c r="BC138" s="215" t="str">
        <f ca="1">IF(FU96=0,"",IF(BC96="","",IF(BC96=0,"",IF(BC96=BX150,"",IF(AND(FO94&gt;=F138,BC96&gt;=BC155),"-","")))))</f>
        <v/>
      </c>
      <c r="BD138" s="215" t="str">
        <f ca="1">IF(FU96=0,"",IF(BC96="","",IF(BC96=0,"",IF(BC96=BX150,"",IF(AND(FO94&gt;=F138,BC96&gt;=BD155),"-","")))))</f>
        <v/>
      </c>
      <c r="BE138" s="215" t="str">
        <f ca="1">IF(FU96=0,"",IF(BC96="","",IF(BC96=0,"",IF(BC96=BX150,"",IF(AND(FO94&gt;=F138,BC96&gt;=BE155),"-","")))))</f>
        <v/>
      </c>
      <c r="BF138" s="215" t="str">
        <f ca="1">IF(FU96=0,"",IF(BC96="","",IF(BC96=0,"",IF(BC96=BX150,"",IF(AND(FO94&gt;=F138,BC96&gt;=BF155),"-","")))))</f>
        <v/>
      </c>
      <c r="BG138" s="215" t="str">
        <f ca="1">IF(FU96=0,"",IF(BC96="","",IF(BC96=0,"",IF(BC96=BX150,"",IF(AND(FO94&gt;=F138,BC96&gt;=BG155),"-","")))))</f>
        <v/>
      </c>
      <c r="BH138" s="215" t="str">
        <f ca="1">IF(FU96=0,"",IF(BC96="","",IF(BC96=0,"",IF(BC96=BX150,"",IF(AND(FO94&gt;=F138,BC96&gt;=BH155),"-","")))))</f>
        <v/>
      </c>
      <c r="BI138" s="215" t="str">
        <f ca="1">IF(FU96=0,"",IF(BC96="","",IF(BC96=0,"",IF(BC96=BX150,"",IF(AND(FO94&gt;=F138,BC96&gt;=BI155),"-","")))))</f>
        <v/>
      </c>
      <c r="BJ138" s="215" t="str">
        <f ca="1">IF(FU96=0,"",IF(BC96="","",IF(BC96=0,"",IF(BC96=BX150,"",IF(AND(FO94&gt;=F138,BC96&gt;=BJ155),"-","")))))</f>
        <v/>
      </c>
      <c r="BK138" s="215" t="str">
        <f ca="1">IF(FU96=0,"",IF(BC96="","",IF(BC96=0,"",IF(BC96=BX150,"",IF(AND(FO94&gt;=F138,BC96&gt;=BK155),"-","")))))</f>
        <v/>
      </c>
      <c r="BL138" s="215" t="str">
        <f ca="1">IF(FU96=0,"",IF(BC96="","",IF(BC96=0,"",IF(BC96=BX150,"",IF(AND(FO94&gt;=F138,BC96&gt;=BL155),"-","")))))</f>
        <v/>
      </c>
      <c r="BM138" s="215" t="str">
        <f ca="1">IF(FU96=0,"",IF(BC96="","",IF(BC96=0,"",IF(BC96=BX150,"",IF(AND(FO94&gt;=F138,BC96&gt;=BM155),"-","")))))</f>
        <v/>
      </c>
      <c r="BN138" s="215" t="str">
        <f ca="1">IF(FU96=0,"",IF(BC96="","",IF(BC96=0,"",IF(BC96=BX150,"",IF(AND(FO94&gt;=F138,BC96&gt;=BN155),"-","")))))</f>
        <v/>
      </c>
      <c r="BO138" s="215" t="str">
        <f ca="1">IF(FU96=0,"",IF(BC96="","",IF(BC96=0,"",IF(BC96=BX150,"",IF(AND(FO94&gt;=F138,BC96&gt;=BO155),"-","")))))</f>
        <v/>
      </c>
      <c r="BP138" s="215" t="str">
        <f ca="1">IF(FU96=0,"",IF(BC96="","",IF(BC96=0,"",IF(BC96=BX150,"",IF(AND(FO94&gt;=F138,BC96&gt;=BP155),"-","")))))</f>
        <v/>
      </c>
      <c r="BQ138" s="215" t="str">
        <f ca="1">IF(FU96=0,"",IF(BC96="","",IF(BC96=0,"",IF(BC96=BX150,"",IF(AND(FO94&gt;=F138,BC96&gt;=BQ155),"-","")))))</f>
        <v/>
      </c>
      <c r="BR138" s="215" t="str">
        <f ca="1">IF(FU96=0,"",IF(BC96="","",IF(BC96=0,"",IF(BC96=BX150,"",IF(AND(FO94&gt;=F138,BC96&gt;=BR155),"-","")))))</f>
        <v/>
      </c>
      <c r="BS138" s="215" t="str">
        <f ca="1">IF(FU96=0,"",IF(BC96="","",IF(BC96=0,"",IF(BC96=BX150,"",IF(AND(FO94&gt;=F138,BC96&gt;=BS155),"-","")))))</f>
        <v/>
      </c>
      <c r="BT138" s="197" t="str">
        <f ca="1">IF(FU96=0,"",":")</f>
        <v/>
      </c>
      <c r="BU138" s="197"/>
      <c r="BV138" s="197"/>
      <c r="BW138" s="197"/>
      <c r="BX138" s="197"/>
      <c r="BY138" s="197"/>
      <c r="BZ138" s="197"/>
      <c r="CA138" s="197"/>
      <c r="CB138" s="197"/>
      <c r="CC138" s="126"/>
      <c r="CD138" s="126"/>
      <c r="CE138" s="12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c r="DL138" s="46"/>
      <c r="DM138" s="46"/>
      <c r="DN138" s="46"/>
      <c r="DO138" s="46"/>
      <c r="DP138" s="46"/>
      <c r="DQ138" s="46"/>
      <c r="DR138" s="46"/>
      <c r="DS138" s="46"/>
      <c r="DT138" s="46"/>
      <c r="DU138" s="46"/>
      <c r="DV138" s="46"/>
      <c r="DW138" s="46"/>
      <c r="DX138" s="46"/>
      <c r="DY138" s="46"/>
      <c r="DZ138" s="46"/>
      <c r="EA138" s="46"/>
      <c r="EB138" s="46"/>
      <c r="EC138" s="46"/>
      <c r="ED138" s="46"/>
      <c r="EE138" s="39"/>
      <c r="EF138" s="39"/>
      <c r="EG138" s="39"/>
      <c r="EH138" s="39"/>
      <c r="EI138" s="39"/>
      <c r="EJ138" s="39"/>
      <c r="EK138" s="39"/>
      <c r="EL138" s="39"/>
      <c r="EM138" s="39"/>
      <c r="EN138" s="39"/>
      <c r="EO138" s="39"/>
      <c r="EP138" s="39"/>
      <c r="EQ138" s="39"/>
      <c r="ER138" s="39"/>
      <c r="ES138" s="79"/>
      <c r="ET138" s="79"/>
      <c r="EU138" s="79"/>
      <c r="EV138" s="79"/>
      <c r="EW138" s="79"/>
      <c r="EX138" s="79"/>
      <c r="EY138" s="79"/>
      <c r="EZ138" s="79"/>
      <c r="FA138" s="79"/>
      <c r="FB138" s="79"/>
      <c r="FC138" s="79"/>
      <c r="FD138" s="79"/>
      <c r="FE138" s="79"/>
      <c r="FF138" s="79"/>
      <c r="FG138" s="79"/>
      <c r="FH138" s="79"/>
      <c r="FI138" s="79"/>
      <c r="FJ138" s="79"/>
      <c r="FK138" s="79"/>
      <c r="FL138" s="79"/>
      <c r="FM138" s="47"/>
      <c r="FN138" s="47"/>
      <c r="FO138" s="47"/>
      <c r="FP138" s="47"/>
      <c r="FQ138" s="47"/>
      <c r="FR138" s="47"/>
      <c r="FS138" s="47"/>
      <c r="FT138" s="47"/>
      <c r="FU138" s="47"/>
      <c r="FV138" s="47"/>
      <c r="FW138" s="47"/>
      <c r="FX138" s="47"/>
      <c r="FY138" s="47"/>
      <c r="FZ138" s="47"/>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row>
    <row r="139" spans="1:221" ht="3.75" customHeight="1">
      <c r="A139" s="1"/>
      <c r="B139" s="3"/>
      <c r="C139" s="3"/>
      <c r="D139" s="38"/>
      <c r="E139" s="43">
        <v>8</v>
      </c>
      <c r="F139" s="43" t="e">
        <f ca="1">E139*AB105/40</f>
        <v>#VALUE!</v>
      </c>
      <c r="G139" s="79"/>
      <c r="H139" s="79"/>
      <c r="I139" s="79"/>
      <c r="J139" s="79"/>
      <c r="K139" s="43"/>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126"/>
      <c r="AN139" s="43" t="str">
        <f ca="1">IF(FU96=0,"","`")</f>
        <v/>
      </c>
      <c r="AO139" s="215" t="str">
        <f ca="1">IF(FU96=0,"",IF(BC96="","",IF(BC96=0,"",IF(BC96=BX150,"",IF(AND(FO94&gt;=F139,BC96&gt;=AO155),"-","")))))</f>
        <v/>
      </c>
      <c r="AP139" s="215" t="str">
        <f ca="1">IF(FU96=0,"",IF(BC96="","",IF(BC96=0,"",IF(BC96=BX150,"",IF(AND(FO94&gt;=F139,BC96&gt;=AP155),"-","")))))</f>
        <v/>
      </c>
      <c r="AQ139" s="215" t="str">
        <f ca="1">IF(FU96=0,"",IF(BC96="","",IF(BC96=0,"",IF(BC96=BX150,"",IF(AND(FO94&gt;=F139,BC96&gt;=AQ155),"-","")))))</f>
        <v/>
      </c>
      <c r="AR139" s="215" t="str">
        <f ca="1">IF(FU96=0,"",IF(BC96="","",IF(BC96=0,"",IF(BC96=BX150,"",IF(AND(FO94&gt;=F139,BC96&gt;=AR155),"-","")))))</f>
        <v/>
      </c>
      <c r="AS139" s="215" t="str">
        <f ca="1">IF(FU96=0,"",IF(BC96="","",IF(BC96=0,"",IF(BC96=BX150,"",IF(AND(FO94&gt;=F139,BC96&gt;=AS155),"-","")))))</f>
        <v/>
      </c>
      <c r="AT139" s="215" t="str">
        <f ca="1">IF(FU96=0,"",IF(BC96="","",IF(BC96=0,"",IF(BC96=BX150,"",IF(AND(FO94&gt;=F139,BC96&gt;=AT155),"-","")))))</f>
        <v/>
      </c>
      <c r="AU139" s="215" t="str">
        <f ca="1">IF(FU96=0,"",IF(BC96="","",IF(BC96=0,"",IF(BC96=BX150,"",IF(AND(FO94&gt;=F139,BC96&gt;=AU155),"-","")))))</f>
        <v/>
      </c>
      <c r="AV139" s="215" t="str">
        <f ca="1">IF(FU96=0,"",IF(BC96="","",IF(BC96=0,"",IF(BC96=BX150,"",IF(AND(FO94&gt;=F139,BC96&gt;=AV155),"-","")))))</f>
        <v/>
      </c>
      <c r="AW139" s="215" t="str">
        <f ca="1">IF(FU96=0,"",IF(BC96="","",IF(BC96=0,"",IF(BC96=BX150,"",IF(AND(FO94&gt;=F139,BC96&gt;=AW155),"-","")))))</f>
        <v/>
      </c>
      <c r="AX139" s="215" t="str">
        <f ca="1">IF(FU96=0,"",IF(BC96="","",IF(BC96=0,"",IF(BC96=BX150,"",IF(AND(FO94&gt;=F139,BC96&gt;=AX155),"-","")))))</f>
        <v/>
      </c>
      <c r="AY139" s="215" t="str">
        <f ca="1">IF(FU96=0,"",IF(BC96="","",IF(BC96=0,"",IF(BC96=BX150,"",IF(AND(FO94&gt;=F139,BC96&gt;=AY155),"-","")))))</f>
        <v/>
      </c>
      <c r="AZ139" s="215" t="str">
        <f ca="1">IF(FU96=0,"",IF(BC96="","",IF(BC96=0,"",IF(BC96=BX150,"",IF(AND(FO94&gt;=F139,BC96&gt;=AZ155),"-","")))))</f>
        <v/>
      </c>
      <c r="BA139" s="215" t="str">
        <f ca="1">IF(FU96=0,"",IF(BC96="","",IF(BC96=0,"",IF(BC96=BX150,"",IF(AND(FO94&gt;=F139,BC96&gt;=BA155),"-","")))))</f>
        <v/>
      </c>
      <c r="BB139" s="215" t="str">
        <f ca="1">IF(FU96=0,"",IF(BC96="","",IF(BC96=0,"",IF(BC96=BX150,"",IF(AND(FO94&gt;=F139,BC96&gt;=BB155),"-","")))))</f>
        <v/>
      </c>
      <c r="BC139" s="215" t="str">
        <f ca="1">IF(FU96=0,"",IF(BC96="","",IF(BC96=0,"",IF(BC96=BX150,"",IF(AND(FO94&gt;=F139,BC96&gt;=BC155),"-","")))))</f>
        <v/>
      </c>
      <c r="BD139" s="215" t="str">
        <f ca="1">IF(FU96=0,"",IF(BC96="","",IF(BC96=0,"",IF(BC96=BX150,"",IF(AND(FO94&gt;=F139,BC96&gt;=BD155),"-","")))))</f>
        <v/>
      </c>
      <c r="BE139" s="215" t="str">
        <f ca="1">IF(FU96=0,"",IF(BC96="","",IF(BC96=0,"",IF(BC96=BX150,"",IF(AND(FO94&gt;=F139,BC96&gt;=BE155),"-","")))))</f>
        <v/>
      </c>
      <c r="BF139" s="215" t="str">
        <f ca="1">IF(FU96=0,"",IF(BC96="","",IF(BC96=0,"",IF(BC96=BX150,"",IF(AND(FO94&gt;=F139,BC96&gt;=BF155),"-","")))))</f>
        <v/>
      </c>
      <c r="BG139" s="215" t="str">
        <f ca="1">IF(FU96=0,"",IF(BC96="","",IF(BC96=0,"",IF(BC96=BX150,"",IF(AND(FO94&gt;=F139,BC96&gt;=BG155),"-","")))))</f>
        <v/>
      </c>
      <c r="BH139" s="215" t="str">
        <f ca="1">IF(FU96=0,"",IF(BC96="","",IF(BC96=0,"",IF(BC96=BX150,"",IF(AND(FO94&gt;=F139,BC96&gt;=BH155),"-","")))))</f>
        <v/>
      </c>
      <c r="BI139" s="215" t="str">
        <f ca="1">IF(FU96=0,"",IF(BC96="","",IF(BC96=0,"",IF(BC96=BX150,"",IF(AND(FO94&gt;=F139,BC96&gt;=BI155),"-","")))))</f>
        <v/>
      </c>
      <c r="BJ139" s="215" t="str">
        <f ca="1">IF(FU96=0,"",IF(BC96="","",IF(BC96=0,"",IF(BC96=BX150,"",IF(AND(FO94&gt;=F139,BC96&gt;=BJ155),"-","")))))</f>
        <v/>
      </c>
      <c r="BK139" s="215" t="str">
        <f ca="1">IF(FU96=0,"",IF(BC96="","",IF(BC96=0,"",IF(BC96=BX150,"",IF(AND(FO94&gt;=F139,BC96&gt;=BK155),"-","")))))</f>
        <v/>
      </c>
      <c r="BL139" s="215" t="str">
        <f ca="1">IF(FU96=0,"",IF(BC96="","",IF(BC96=0,"",IF(BC96=BX150,"",IF(AND(FO94&gt;=F139,BC96&gt;=BL155),"-","")))))</f>
        <v/>
      </c>
      <c r="BM139" s="215" t="str">
        <f ca="1">IF(FU96=0,"",IF(BC96="","",IF(BC96=0,"",IF(BC96=BX150,"",IF(AND(FO94&gt;=F139,BC96&gt;=BM155),"-","")))))</f>
        <v/>
      </c>
      <c r="BN139" s="215" t="str">
        <f ca="1">IF(FU96=0,"",IF(BC96="","",IF(BC96=0,"",IF(BC96=BX150,"",IF(AND(FO94&gt;=F139,BC96&gt;=BN155),"-","")))))</f>
        <v/>
      </c>
      <c r="BO139" s="215" t="str">
        <f ca="1">IF(FU96=0,"",IF(BC96="","",IF(BC96=0,"",IF(BC96=BX150,"",IF(AND(FO94&gt;=F139,BC96&gt;=BO155),"-","")))))</f>
        <v/>
      </c>
      <c r="BP139" s="215" t="str">
        <f ca="1">IF(FU96=0,"",IF(BC96="","",IF(BC96=0,"",IF(BC96=BX150,"",IF(AND(FO94&gt;=F139,BC96&gt;=BP155),"-","")))))</f>
        <v/>
      </c>
      <c r="BQ139" s="215" t="str">
        <f ca="1">IF(FU96=0,"",IF(BC96="","",IF(BC96=0,"",IF(BC96=BX150,"",IF(AND(FO94&gt;=F139,BC96&gt;=BQ155),"-","")))))</f>
        <v/>
      </c>
      <c r="BR139" s="215" t="str">
        <f ca="1">IF(FU96=0,"",IF(BC96="","",IF(BC96=0,"",IF(BC96=BX150,"",IF(AND(FO94&gt;=F139,BC96&gt;=BR155),"-","")))))</f>
        <v/>
      </c>
      <c r="BS139" s="215" t="str">
        <f ca="1">IF(FU96=0,"",IF(BC96="","",IF(BC96=0,"",IF(BC96=BX150,"",IF(AND(FO94&gt;=F139,BC96&gt;=BS155),"-","")))))</f>
        <v/>
      </c>
      <c r="BT139" s="215" t="str">
        <f ca="1">IF(FU96=0,"",IF(BC96="","",IF(BC96=0,"",IF(BC96=BX150,"",IF(AND(FO94&gt;=F139,BC96&gt;=BT155),"-","")))))</f>
        <v/>
      </c>
      <c r="BU139" s="197" t="str">
        <f ca="1">IF(FU96=0,"",":")</f>
        <v/>
      </c>
      <c r="BV139" s="197"/>
      <c r="BW139" s="197"/>
      <c r="BX139" s="197"/>
      <c r="BY139" s="197"/>
      <c r="BZ139" s="197"/>
      <c r="CA139" s="197"/>
      <c r="CB139" s="197"/>
      <c r="CC139" s="146"/>
      <c r="CD139" s="146"/>
      <c r="CE139" s="146"/>
      <c r="CF139" s="46"/>
      <c r="CG139" s="46"/>
      <c r="CH139" s="46"/>
      <c r="CI139" s="46"/>
      <c r="CJ139" s="46"/>
      <c r="CK139" s="46"/>
      <c r="CL139" s="46"/>
      <c r="CM139" s="46"/>
      <c r="CN139" s="46"/>
      <c r="CO139" s="46"/>
      <c r="CP139" s="46"/>
      <c r="CQ139" s="46"/>
      <c r="CR139" s="46"/>
      <c r="CS139" s="46"/>
      <c r="CT139" s="46"/>
      <c r="CU139" s="46"/>
      <c r="CV139" s="46"/>
      <c r="CW139" s="46"/>
      <c r="CX139" s="46"/>
      <c r="CY139" s="46"/>
      <c r="CZ139" s="46"/>
      <c r="DA139" s="46"/>
      <c r="DB139" s="46"/>
      <c r="DC139" s="46"/>
      <c r="DD139" s="46"/>
      <c r="DE139" s="46"/>
      <c r="DF139" s="46"/>
      <c r="DG139" s="46"/>
      <c r="DH139" s="46"/>
      <c r="DI139" s="46"/>
      <c r="DJ139" s="46"/>
      <c r="DK139" s="46"/>
      <c r="DL139" s="46"/>
      <c r="DM139" s="46"/>
      <c r="DN139" s="46"/>
      <c r="DO139" s="46"/>
      <c r="DP139" s="46"/>
      <c r="DQ139" s="46"/>
      <c r="DR139" s="46"/>
      <c r="DS139" s="46"/>
      <c r="DT139" s="46"/>
      <c r="DU139" s="46"/>
      <c r="DV139" s="46"/>
      <c r="DW139" s="46"/>
      <c r="DX139" s="46"/>
      <c r="DY139" s="46"/>
      <c r="DZ139" s="46"/>
      <c r="EA139" s="46"/>
      <c r="EB139" s="46"/>
      <c r="EC139" s="46"/>
      <c r="ED139" s="46"/>
      <c r="EE139" s="39"/>
      <c r="EF139" s="39"/>
      <c r="EG139" s="39"/>
      <c r="EH139" s="39"/>
      <c r="EI139" s="39"/>
      <c r="EJ139" s="39"/>
      <c r="EK139" s="39"/>
      <c r="EL139" s="39"/>
      <c r="EM139" s="39"/>
      <c r="EN139" s="39"/>
      <c r="EO139" s="39"/>
      <c r="EP139" s="39"/>
      <c r="EQ139" s="39"/>
      <c r="ER139" s="39"/>
      <c r="ES139" s="79"/>
      <c r="ET139" s="79"/>
      <c r="EU139" s="79"/>
      <c r="EV139" s="79"/>
      <c r="EW139" s="79"/>
      <c r="EX139" s="79"/>
      <c r="EY139" s="79"/>
      <c r="EZ139" s="79"/>
      <c r="FA139" s="79"/>
      <c r="FB139" s="79"/>
      <c r="FC139" s="79"/>
      <c r="FD139" s="79"/>
      <c r="FE139" s="79"/>
      <c r="FF139" s="79"/>
      <c r="FG139" s="79"/>
      <c r="FH139" s="79"/>
      <c r="FI139" s="79"/>
      <c r="FJ139" s="79"/>
      <c r="FK139" s="79"/>
      <c r="FL139" s="79"/>
      <c r="FM139" s="47"/>
      <c r="FN139" s="47"/>
      <c r="FO139" s="47"/>
      <c r="FP139" s="47"/>
      <c r="FQ139" s="47"/>
      <c r="FR139" s="47"/>
      <c r="FS139" s="47"/>
      <c r="FT139" s="47"/>
      <c r="FU139" s="47"/>
      <c r="FV139" s="47"/>
      <c r="FW139" s="47"/>
      <c r="FX139" s="47"/>
      <c r="FY139" s="47"/>
      <c r="FZ139" s="47"/>
      <c r="GA139" s="49"/>
      <c r="GB139" s="49"/>
      <c r="GC139" s="49"/>
      <c r="GD139" s="49"/>
      <c r="GE139" s="49"/>
      <c r="GF139" s="49"/>
      <c r="GG139" s="49"/>
      <c r="GH139" s="49"/>
      <c r="GI139" s="49"/>
      <c r="GJ139" s="49"/>
      <c r="GK139" s="49"/>
      <c r="GL139" s="49"/>
      <c r="GM139" s="49"/>
      <c r="GN139" s="49"/>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row>
    <row r="140" spans="1:221" ht="3.75" customHeight="1">
      <c r="A140" s="1"/>
      <c r="B140" s="3"/>
      <c r="C140" s="3"/>
      <c r="D140" s="38"/>
      <c r="E140" s="43">
        <v>7</v>
      </c>
      <c r="F140" s="43" t="e">
        <f ca="1">E140*AB105/40</f>
        <v>#VALUE!</v>
      </c>
      <c r="G140" s="79"/>
      <c r="H140" s="79"/>
      <c r="I140" s="79"/>
      <c r="J140" s="79"/>
      <c r="K140" s="43"/>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126"/>
      <c r="AN140" s="43" t="str">
        <f ca="1">IF(FU96=0,"","`")</f>
        <v/>
      </c>
      <c r="AO140" s="215" t="str">
        <f ca="1">IF(FU96=0,"",IF(BC96="","",IF(BC96=0,"",IF(BC96=BX150,"",IF(AND(FO94&gt;=F140,BC96&gt;=AO155),"-","")))))</f>
        <v/>
      </c>
      <c r="AP140" s="215" t="str">
        <f ca="1">IF(FU96=0,"",IF(BC96="","",IF(BC96=0,"",IF(BC96=BX150,"",IF(AND(FO94&gt;=F140,BC96&gt;=AP155),"-","")))))</f>
        <v/>
      </c>
      <c r="AQ140" s="215" t="str">
        <f ca="1">IF(FU96=0,"",IF(BC96="","",IF(BC96=0,"",IF(BC96=BX150,"",IF(AND(FO94&gt;=F140,BC96&gt;=AQ155),"-","")))))</f>
        <v/>
      </c>
      <c r="AR140" s="215" t="str">
        <f ca="1">IF(FU96=0,"",IF(BC96="","",IF(BC96=0,"",IF(BC96=BX150,"",IF(AND(FO94&gt;=F140,BC96&gt;=AR155),"-","")))))</f>
        <v/>
      </c>
      <c r="AS140" s="215" t="str">
        <f ca="1">IF(FU96=0,"",IF(BC96="","",IF(BC96=0,"",IF(BC96=BX150,"",IF(AND(FO94&gt;=F140,BC96&gt;=AS155),"-","")))))</f>
        <v/>
      </c>
      <c r="AT140" s="215" t="str">
        <f ca="1">IF(FU96=0,"",IF(BC96="","",IF(BC96=0,"",IF(BC96=BX150,"",IF(AND(FO94&gt;=F140,BC96&gt;=AT155),"-","")))))</f>
        <v/>
      </c>
      <c r="AU140" s="215" t="str">
        <f ca="1">IF(FU96=0,"",IF(BC96="","",IF(BC96=0,"",IF(BC96=BX150,"",IF(AND(FO94&gt;=F140,BC96&gt;=AU155),"-","")))))</f>
        <v/>
      </c>
      <c r="AV140" s="215" t="str">
        <f ca="1">IF(FU96=0,"",IF(BC96="","",IF(BC96=0,"",IF(BC96=BX150,"",IF(AND(FO94&gt;=F140,BC96&gt;=AV155),"-","")))))</f>
        <v/>
      </c>
      <c r="AW140" s="215" t="str">
        <f ca="1">IF(FU96=0,"",IF(BC96="","",IF(BC96=0,"",IF(BC96=BX150,"",IF(AND(FO94&gt;=F140,BC96&gt;=AW155),"-","")))))</f>
        <v/>
      </c>
      <c r="AX140" s="215" t="str">
        <f ca="1">IF(FU96=0,"",IF(BC96="","",IF(BC96=0,"",IF(BC96=BX150,"",IF(AND(FO94&gt;=F140,BC96&gt;=AX155),"-","")))))</f>
        <v/>
      </c>
      <c r="AY140" s="215" t="str">
        <f ca="1">IF(FU96=0,"",IF(BC96="","",IF(BC96=0,"",IF(BC96=BX150,"",IF(AND(FO94&gt;=F140,BC96&gt;=AY155),"-","")))))</f>
        <v/>
      </c>
      <c r="AZ140" s="215" t="str">
        <f ca="1">IF(FU96=0,"",IF(BC96="","",IF(BC96=0,"",IF(BC96=BX150,"",IF(AND(FO94&gt;=F140,BC96&gt;=AZ155),"-","")))))</f>
        <v/>
      </c>
      <c r="BA140" s="215" t="str">
        <f ca="1">IF(FU96=0,"",IF(BC96="","",IF(BC96=0,"",IF(BC96=BX150,"",IF(AND(FO94&gt;=F140,BC96&gt;=BA155),"-","")))))</f>
        <v/>
      </c>
      <c r="BB140" s="215" t="str">
        <f ca="1">IF(FU96=0,"",IF(BC96="","",IF(BC96=0,"",IF(BC96=BX150,"",IF(AND(FO94&gt;=F140,BC96&gt;=BB155),"-","")))))</f>
        <v/>
      </c>
      <c r="BC140" s="215" t="str">
        <f ca="1">IF(FU96=0,"",IF(BC96="","",IF(BC96=0,"",IF(BC96=BX150,"",IF(AND(FO94&gt;=F140,BC96&gt;=BC155),"-","")))))</f>
        <v/>
      </c>
      <c r="BD140" s="215" t="str">
        <f ca="1">IF(FU96=0,"",IF(BC96="","",IF(BC96=0,"",IF(BC96=BX150,"",IF(AND(FO94&gt;=F140,BC96&gt;=BD155),"-","")))))</f>
        <v/>
      </c>
      <c r="BE140" s="215" t="str">
        <f ca="1">IF(FU96=0,"",IF(BC96="","",IF(BC96=0,"",IF(BC96=BX150,"",IF(AND(FO94&gt;=F140,BC96&gt;=BE155),"-","")))))</f>
        <v/>
      </c>
      <c r="BF140" s="215" t="str">
        <f ca="1">IF(FU96=0,"",IF(BC96="","",IF(BC96=0,"",IF(BC96=BX150,"",IF(AND(FO94&gt;=F140,BC96&gt;=BF155),"-","")))))</f>
        <v/>
      </c>
      <c r="BG140" s="215" t="str">
        <f ca="1">IF(FU96=0,"",IF(BC96="","",IF(BC96=0,"",IF(BC96=BX150,"",IF(AND(FO94&gt;=F140,BC96&gt;=BG155),"-","")))))</f>
        <v/>
      </c>
      <c r="BH140" s="215" t="str">
        <f ca="1">IF(FU96=0,"",IF(BC96="","",IF(BC96=0,"",IF(BC96=BX150,"",IF(AND(FO94&gt;=F140,BC96&gt;=BH155),"-","")))))</f>
        <v/>
      </c>
      <c r="BI140" s="215" t="str">
        <f ca="1">IF(FU96=0,"",IF(BC96="","",IF(BC96=0,"",IF(BC96=BX150,"",IF(AND(FO94&gt;=F140,BC96&gt;=BI155),"-","")))))</f>
        <v/>
      </c>
      <c r="BJ140" s="215" t="str">
        <f ca="1">IF(FU96=0,"",IF(BC96="","",IF(BC96=0,"",IF(BC96=BX150,"",IF(AND(FO94&gt;=F140,BC96&gt;=BJ155),"-","")))))</f>
        <v/>
      </c>
      <c r="BK140" s="215" t="str">
        <f ca="1">IF(FU96=0,"",IF(BC96="","",IF(BC96=0,"",IF(BC96=BX150,"",IF(AND(FO94&gt;=F140,BC96&gt;=BK155),"-","")))))</f>
        <v/>
      </c>
      <c r="BL140" s="215" t="str">
        <f ca="1">IF(FU96=0,"",IF(BC96="","",IF(BC96=0,"",IF(BC96=BX150,"",IF(AND(FO94&gt;=F140,BC96&gt;=BL155),"-","")))))</f>
        <v/>
      </c>
      <c r="BM140" s="215" t="str">
        <f ca="1">IF(FU96=0,"",IF(BC96="","",IF(BC96=0,"",IF(BC96=BX150,"",IF(AND(FO94&gt;=F140,BC96&gt;=BM155),"-","")))))</f>
        <v/>
      </c>
      <c r="BN140" s="215" t="str">
        <f ca="1">IF(FU96=0,"",IF(BC96="","",IF(BC96=0,"",IF(BC96=BX150,"",IF(AND(FO94&gt;=F140,BC96&gt;=BN155),"-","")))))</f>
        <v/>
      </c>
      <c r="BO140" s="215" t="str">
        <f ca="1">IF(FU96=0,"",IF(BC96="","",IF(BC96=0,"",IF(BC96=BX150,"",IF(AND(FO94&gt;=F140,BC96&gt;=BO155),"-","")))))</f>
        <v/>
      </c>
      <c r="BP140" s="215" t="str">
        <f ca="1">IF(FU96=0,"",IF(BC96="","",IF(BC96=0,"",IF(BC96=BX150,"",IF(AND(FO94&gt;=F140,BC96&gt;=BP155),"-","")))))</f>
        <v/>
      </c>
      <c r="BQ140" s="215" t="str">
        <f ca="1">IF(FU96=0,"",IF(BC96="","",IF(BC96=0,"",IF(BC96=BX150,"",IF(AND(FO94&gt;=F140,BC96&gt;=BQ155),"-","")))))</f>
        <v/>
      </c>
      <c r="BR140" s="215" t="str">
        <f ca="1">IF(FU96=0,"",IF(BC96="","",IF(BC96=0,"",IF(BC96=BX150,"",IF(AND(FO94&gt;=F140,BC96&gt;=BR155),"-","")))))</f>
        <v/>
      </c>
      <c r="BS140" s="215" t="str">
        <f ca="1">IF(FU96=0,"",IF(BC96="","",IF(BC96=0,"",IF(BC96=BX150,"",IF(AND(FO94&gt;=F140,BC96&gt;=BS155),"-","")))))</f>
        <v/>
      </c>
      <c r="BT140" s="215" t="str">
        <f ca="1">IF(FU96=0,"",IF(BC96="","",IF(BC96=0,"",IF(BC96=BX150,"",IF(AND(FO94&gt;=F140,BC96&gt;=BT155),"-","")))))</f>
        <v/>
      </c>
      <c r="BU140" s="215" t="str">
        <f ca="1">IF(FU96=0,"",IF(BC96="","",IF(BC96=0,"",IF(BC96=BX150,"",IF(AND(FO94&gt;=F140,BC96&gt;=BU155),"-","")))))</f>
        <v/>
      </c>
      <c r="BV140" s="197" t="str">
        <f ca="1">IF(FU96=0,"",":")</f>
        <v/>
      </c>
      <c r="BW140" s="197"/>
      <c r="BX140" s="197"/>
      <c r="BY140" s="197"/>
      <c r="BZ140" s="197"/>
      <c r="CA140" s="197"/>
      <c r="CB140" s="197"/>
      <c r="CC140" s="146"/>
      <c r="CD140" s="146"/>
      <c r="CE140" s="146"/>
      <c r="CF140" s="46"/>
      <c r="CG140" s="46"/>
      <c r="CH140" s="46"/>
      <c r="CI140" s="46"/>
      <c r="CJ140" s="46"/>
      <c r="CK140" s="46"/>
      <c r="CL140" s="46"/>
      <c r="CM140" s="46"/>
      <c r="CN140" s="46"/>
      <c r="CO140" s="46"/>
      <c r="CP140" s="46"/>
      <c r="CQ140" s="46"/>
      <c r="CR140" s="46"/>
      <c r="CS140" s="46"/>
      <c r="CT140" s="46"/>
      <c r="CU140" s="46"/>
      <c r="CV140" s="46"/>
      <c r="CW140" s="46"/>
      <c r="CX140" s="46"/>
      <c r="CY140" s="46"/>
      <c r="CZ140" s="46"/>
      <c r="DA140" s="46"/>
      <c r="DB140" s="46"/>
      <c r="DC140" s="46"/>
      <c r="DD140" s="46"/>
      <c r="DE140" s="46"/>
      <c r="DF140" s="46"/>
      <c r="DG140" s="46"/>
      <c r="DH140" s="46"/>
      <c r="DI140" s="46"/>
      <c r="DJ140" s="46"/>
      <c r="DK140" s="46"/>
      <c r="DL140" s="46"/>
      <c r="DM140" s="46"/>
      <c r="DN140" s="46"/>
      <c r="DO140" s="46"/>
      <c r="DP140" s="46"/>
      <c r="DQ140" s="46"/>
      <c r="DR140" s="46"/>
      <c r="DS140" s="46"/>
      <c r="DT140" s="46"/>
      <c r="DU140" s="46"/>
      <c r="DV140" s="46"/>
      <c r="DW140" s="46"/>
      <c r="DX140" s="46"/>
      <c r="DY140" s="46"/>
      <c r="DZ140" s="46"/>
      <c r="EA140" s="46"/>
      <c r="EB140" s="46"/>
      <c r="EC140" s="46"/>
      <c r="ED140" s="46"/>
      <c r="EE140" s="39"/>
      <c r="EF140" s="39"/>
      <c r="EG140" s="39"/>
      <c r="EH140" s="39"/>
      <c r="EI140" s="39"/>
      <c r="EJ140" s="39"/>
      <c r="EK140" s="39"/>
      <c r="EL140" s="39"/>
      <c r="EM140" s="39"/>
      <c r="EN140" s="39"/>
      <c r="EO140" s="39"/>
      <c r="EP140" s="39"/>
      <c r="EQ140" s="39"/>
      <c r="ER140" s="39"/>
      <c r="ES140" s="79"/>
      <c r="ET140" s="79"/>
      <c r="EU140" s="79"/>
      <c r="EV140" s="79"/>
      <c r="EW140" s="79"/>
      <c r="EX140" s="79"/>
      <c r="EY140" s="79"/>
      <c r="EZ140" s="79"/>
      <c r="FA140" s="79"/>
      <c r="FB140" s="79"/>
      <c r="FC140" s="79"/>
      <c r="FD140" s="79"/>
      <c r="FE140" s="79"/>
      <c r="FF140" s="79"/>
      <c r="FG140" s="79"/>
      <c r="FH140" s="79"/>
      <c r="FI140" s="79"/>
      <c r="FJ140" s="79"/>
      <c r="FK140" s="79"/>
      <c r="FL140" s="79"/>
      <c r="FM140" s="47"/>
      <c r="FN140" s="47"/>
      <c r="FO140" s="47"/>
      <c r="FP140" s="47"/>
      <c r="FQ140" s="47"/>
      <c r="FR140" s="47"/>
      <c r="FS140" s="47"/>
      <c r="FT140" s="47"/>
      <c r="FU140" s="47"/>
      <c r="FV140" s="47"/>
      <c r="FW140" s="47"/>
      <c r="FX140" s="47"/>
      <c r="FY140" s="47"/>
      <c r="FZ140" s="47"/>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row>
    <row r="141" spans="1:221" ht="3.75" customHeight="1">
      <c r="A141" s="1"/>
      <c r="B141" s="3"/>
      <c r="C141" s="3"/>
      <c r="D141" s="38"/>
      <c r="E141" s="43">
        <v>6</v>
      </c>
      <c r="F141" s="43" t="e">
        <f ca="1">E141*AB105/40</f>
        <v>#VALUE!</v>
      </c>
      <c r="G141" s="79"/>
      <c r="H141" s="79"/>
      <c r="I141" s="79"/>
      <c r="J141" s="79"/>
      <c r="K141" s="43"/>
      <c r="L141" s="43"/>
      <c r="M141" s="43"/>
      <c r="N141" s="43"/>
      <c r="O141" s="79"/>
      <c r="P141" s="79"/>
      <c r="Q141" s="43"/>
      <c r="R141" s="43"/>
      <c r="S141" s="43"/>
      <c r="T141" s="43"/>
      <c r="U141" s="43"/>
      <c r="V141" s="43"/>
      <c r="W141" s="43"/>
      <c r="X141" s="43"/>
      <c r="Y141" s="43"/>
      <c r="Z141" s="43"/>
      <c r="AA141" s="43"/>
      <c r="AB141" s="79"/>
      <c r="AC141" s="79"/>
      <c r="AD141" s="79"/>
      <c r="AE141" s="79"/>
      <c r="AF141" s="79"/>
      <c r="AG141" s="79"/>
      <c r="AH141" s="79"/>
      <c r="AI141" s="79"/>
      <c r="AJ141" s="79"/>
      <c r="AK141" s="79"/>
      <c r="AL141" s="197"/>
      <c r="AM141" s="126"/>
      <c r="AN141" s="43" t="str">
        <f ca="1">IF(FU96=0,"","`")</f>
        <v/>
      </c>
      <c r="AO141" s="215" t="str">
        <f ca="1">IF(FU96=0,"",IF(BC96="","",IF(BC96=0,"",IF(BC96=BX150,"",IF(AND(FO94&gt;=F141,BC96&gt;=AO155),"-","")))))</f>
        <v/>
      </c>
      <c r="AP141" s="215" t="str">
        <f ca="1">IF(FU96=0,"",IF(BC96="","",IF(BC96=0,"",IF(BC96=BX150,"",IF(AND(FO94&gt;=F141,BC96&gt;=AP155),"-","")))))</f>
        <v/>
      </c>
      <c r="AQ141" s="215" t="str">
        <f ca="1">IF(FU96=0,"",IF(BC96="","",IF(BC96=0,"",IF(BC96=BX150,"",IF(AND(FO94&gt;=F141,BC96&gt;=AQ155),"-","")))))</f>
        <v/>
      </c>
      <c r="AR141" s="215" t="str">
        <f ca="1">IF(FU96=0,"",IF(BC96="","",IF(BC96=0,"",IF(BC96=BX150,"",IF(AND(FO94&gt;=F141,BC96&gt;=AR155),"-","")))))</f>
        <v/>
      </c>
      <c r="AS141" s="215" t="str">
        <f ca="1">IF(FU96=0,"",IF(BC96="","",IF(BC96=0,"",IF(BC96=BX150,"",IF(AND(FO94&gt;=F141,BC96&gt;=AS155),"-","")))))</f>
        <v/>
      </c>
      <c r="AT141" s="215" t="str">
        <f ca="1">IF(FU96=0,"",IF(BC96="","",IF(BC96=0,"",IF(BC96=BX150,"",IF(AND(FO94&gt;=F141,BC96&gt;=AT155),"-","")))))</f>
        <v/>
      </c>
      <c r="AU141" s="215" t="str">
        <f ca="1">IF(FU96=0,"",IF(BC96="","",IF(BC96=0,"",IF(BC96=BX150,"",IF(AND(FO94&gt;=F141,BC96&gt;=AU155),"-","")))))</f>
        <v/>
      </c>
      <c r="AV141" s="215" t="str">
        <f ca="1">IF(FU96=0,"",IF(BC96="","",IF(BC96=0,"",IF(BC96=BX150,"",IF(AND(FO94&gt;=F141,BC96&gt;=AV155),"-","")))))</f>
        <v/>
      </c>
      <c r="AW141" s="215" t="str">
        <f ca="1">IF(FU96=0,"",IF(BC96="","",IF(BC96=0,"",IF(BC96=BX150,"",IF(AND(FO94&gt;=F141,BC96&gt;=AW155),"-","")))))</f>
        <v/>
      </c>
      <c r="AX141" s="215" t="str">
        <f ca="1">IF(FU96=0,"",IF(BC96="","",IF(BC96=0,"",IF(BC96=BX150,"",IF(AND(FO94&gt;=F141,BC96&gt;=AX155),"-","")))))</f>
        <v/>
      </c>
      <c r="AY141" s="215" t="str">
        <f ca="1">IF(FU96=0,"",IF(BC96="","",IF(BC96=0,"",IF(BC96=BX150,"",IF(AND(FO94&gt;=F141,BC96&gt;=AY155),"-","")))))</f>
        <v/>
      </c>
      <c r="AZ141" s="215" t="str">
        <f ca="1">IF(FU96=0,"",IF(BC96="","",IF(BC96=0,"",IF(BC96=BX150,"",IF(AND(FO94&gt;=F141,BC96&gt;=AZ155),"-","")))))</f>
        <v/>
      </c>
      <c r="BA141" s="215" t="str">
        <f ca="1">IF(FU96=0,"",IF(BC96="","",IF(BC96=0,"",IF(BC96=BX150,"",IF(AND(FO94&gt;=F141,BC96&gt;=BA155),"-","")))))</f>
        <v/>
      </c>
      <c r="BB141" s="215" t="str">
        <f ca="1">IF(FU96=0,"",IF(BC96="","",IF(BC96=0,"",IF(BC96=BX150,"",IF(AND(FO94&gt;=F141,BC96&gt;=BB155),"-","")))))</f>
        <v/>
      </c>
      <c r="BC141" s="215" t="str">
        <f ca="1">IF(FU96=0,"",IF(BC96="","",IF(BC96=0,"",IF(BC96=BX150,"",IF(AND(FO94&gt;=F141,BC96&gt;=BC155),"-","")))))</f>
        <v/>
      </c>
      <c r="BD141" s="215" t="str">
        <f ca="1">IF(FU96=0,"",IF(BC96="","",IF(BC96=0,"",IF(BC96=BX150,"",IF(AND(FO94&gt;=F141,BC96&gt;=BD155),"-","")))))</f>
        <v/>
      </c>
      <c r="BE141" s="215" t="str">
        <f ca="1">IF(FU96=0,"",IF(BC96="","",IF(BC96=0,"",IF(BC96=BX150,"",IF(AND(FO94&gt;=F141,BC96&gt;=BE155),"-","")))))</f>
        <v/>
      </c>
      <c r="BF141" s="215" t="str">
        <f ca="1">IF(FU96=0,"",IF(BC96="","",IF(BC96=0,"",IF(BC96=BX150,"",IF(AND(FO94&gt;=F141,BC96&gt;=BF155),"-","")))))</f>
        <v/>
      </c>
      <c r="BG141" s="215" t="str">
        <f ca="1">IF(FU96=0,"",IF(BC96="","",IF(BC96=0,"",IF(BC96=BX150,"",IF(AND(FO94&gt;=F141,BC96&gt;=BG155),"-","")))))</f>
        <v/>
      </c>
      <c r="BH141" s="215" t="str">
        <f ca="1">IF(FU96=0,"",IF(BC96="","",IF(BC96=0,"",IF(BC96=BX150,"",IF(AND(FO94&gt;=F141,BC96&gt;=BH155),"-","")))))</f>
        <v/>
      </c>
      <c r="BI141" s="215" t="str">
        <f ca="1">IF(FU96=0,"",IF(BC96="","",IF(BC96=0,"",IF(BC96=BX150,"",IF(AND(FO94&gt;=F141,BC96&gt;=BI155),"-","")))))</f>
        <v/>
      </c>
      <c r="BJ141" s="215" t="str">
        <f ca="1">IF(FU96=0,"",IF(BC96="","",IF(BC96=0,"",IF(BC96=BX150,"",IF(AND(FO94&gt;=F141,BC96&gt;=BJ155),"-","")))))</f>
        <v/>
      </c>
      <c r="BK141" s="215" t="str">
        <f ca="1">IF(FU96=0,"",IF(BC96="","",IF(BC96=0,"",IF(BC96=BX150,"",IF(AND(FO94&gt;=F141,BC96&gt;=BK155),"-","")))))</f>
        <v/>
      </c>
      <c r="BL141" s="215" t="str">
        <f ca="1">IF(FU96=0,"",IF(BC96="","",IF(BC96=0,"",IF(BC96=BX150,"",IF(AND(FO94&gt;=F141,BC96&gt;=BL155),"-","")))))</f>
        <v/>
      </c>
      <c r="BM141" s="215" t="str">
        <f ca="1">IF(FU96=0,"",IF(BC96="","",IF(BC96=0,"",IF(BC96=BX150,"",IF(AND(FO94&gt;=F141,BC96&gt;=BM155),"-","")))))</f>
        <v/>
      </c>
      <c r="BN141" s="215" t="str">
        <f ca="1">IF(FU96=0,"",IF(BC96="","",IF(BC96=0,"",IF(BC96=BX150,"",IF(AND(FO94&gt;=F141,BC96&gt;=BN155),"-","")))))</f>
        <v/>
      </c>
      <c r="BO141" s="215" t="str">
        <f ca="1">IF(FU96=0,"",IF(BC96="","",IF(BC96=0,"",IF(BC96=BX150,"",IF(AND(FO94&gt;=F141,BC96&gt;=BO155),"-","")))))</f>
        <v/>
      </c>
      <c r="BP141" s="215" t="str">
        <f ca="1">IF(FU96=0,"",IF(BC96="","",IF(BC96=0,"",IF(BC96=BX150,"",IF(AND(FO94&gt;=F141,BC96&gt;=BP155),"-","")))))</f>
        <v/>
      </c>
      <c r="BQ141" s="215" t="str">
        <f ca="1">IF(FU96=0,"",IF(BC96="","",IF(BC96=0,"",IF(BC96=BX150,"",IF(AND(FO94&gt;=F141,BC96&gt;=BQ155),"-","")))))</f>
        <v/>
      </c>
      <c r="BR141" s="215" t="str">
        <f ca="1">IF(FU96=0,"",IF(BC96="","",IF(BC96=0,"",IF(BC96=BX150,"",IF(AND(FO94&gt;=F141,BC96&gt;=BR155),"-","")))))</f>
        <v/>
      </c>
      <c r="BS141" s="215" t="str">
        <f ca="1">IF(FU96=0,"",IF(BC96="","",IF(BC96=0,"",IF(BC96=BX150,"",IF(AND(FO94&gt;=F141,BC96&gt;=BS155),"-","")))))</f>
        <v/>
      </c>
      <c r="BT141" s="215" t="str">
        <f ca="1">IF(FU96=0,"",IF(BC96="","",IF(BC96=0,"",IF(BC96=BX150,"",IF(AND(FO94&gt;=F141,BC96&gt;=BT155),"-","")))))</f>
        <v/>
      </c>
      <c r="BU141" s="215" t="str">
        <f ca="1">IF(FU96=0,"",IF(BC96="","",IF(BC96=0,"",IF(BC96=BX150,"",IF(AND(FO94&gt;=F141,BC96&gt;=BU155),"-","")))))</f>
        <v/>
      </c>
      <c r="BV141" s="215" t="str">
        <f ca="1">IF(FU96=0,"",IF(BC96="","",IF(BC96=0,"",IF(BC96=BX150,"",IF(AND(FO94&gt;=F141,BC96&gt;=BV155),"-","")))))</f>
        <v/>
      </c>
      <c r="BW141" s="197" t="str">
        <f ca="1">IF(FU96=0,"",":")</f>
        <v/>
      </c>
      <c r="BX141" s="197"/>
      <c r="BY141" s="197"/>
      <c r="BZ141" s="197"/>
      <c r="CA141" s="197"/>
      <c r="CB141" s="197"/>
      <c r="CC141" s="146"/>
      <c r="CD141" s="146"/>
      <c r="CE141" s="146"/>
      <c r="CF141" s="46"/>
      <c r="CG141" s="46"/>
      <c r="CH141" s="46"/>
      <c r="CI141" s="46"/>
      <c r="CJ141" s="46"/>
      <c r="CK141" s="46"/>
      <c r="CL141" s="46"/>
      <c r="CM141" s="46"/>
      <c r="CN141" s="46"/>
      <c r="CO141" s="46"/>
      <c r="CP141" s="46"/>
      <c r="CQ141" s="46"/>
      <c r="CR141" s="46"/>
      <c r="CS141" s="46"/>
      <c r="CT141" s="46"/>
      <c r="CU141" s="46"/>
      <c r="CV141" s="46"/>
      <c r="CW141" s="46"/>
      <c r="CX141" s="46"/>
      <c r="CY141" s="46"/>
      <c r="CZ141" s="46"/>
      <c r="DA141" s="46"/>
      <c r="DB141" s="46"/>
      <c r="DC141" s="46"/>
      <c r="DD141" s="46"/>
      <c r="DE141" s="46"/>
      <c r="DF141" s="46"/>
      <c r="DG141" s="46"/>
      <c r="DH141" s="46"/>
      <c r="DI141" s="46"/>
      <c r="DJ141" s="46"/>
      <c r="DK141" s="46"/>
      <c r="DL141" s="46"/>
      <c r="DM141" s="46"/>
      <c r="DN141" s="46"/>
      <c r="DO141" s="46"/>
      <c r="DP141" s="46"/>
      <c r="DQ141" s="46"/>
      <c r="DR141" s="46"/>
      <c r="DS141" s="46"/>
      <c r="DT141" s="46"/>
      <c r="DU141" s="46"/>
      <c r="DV141" s="46"/>
      <c r="DW141" s="46"/>
      <c r="DX141" s="46"/>
      <c r="DY141" s="46"/>
      <c r="DZ141" s="46"/>
      <c r="EA141" s="46"/>
      <c r="EB141" s="46"/>
      <c r="EC141" s="46"/>
      <c r="ED141" s="46"/>
      <c r="EE141" s="39"/>
      <c r="EF141" s="39"/>
      <c r="EG141" s="39"/>
      <c r="EH141" s="39"/>
      <c r="EI141" s="39"/>
      <c r="EJ141" s="39"/>
      <c r="EK141" s="39"/>
      <c r="EL141" s="39"/>
      <c r="EM141" s="39"/>
      <c r="EN141" s="39"/>
      <c r="EO141" s="39"/>
      <c r="EP141" s="39"/>
      <c r="EQ141" s="39"/>
      <c r="ER141" s="39"/>
      <c r="ES141" s="79"/>
      <c r="ET141" s="79"/>
      <c r="EU141" s="79"/>
      <c r="EV141" s="79"/>
      <c r="EW141" s="79"/>
      <c r="EX141" s="79"/>
      <c r="EY141" s="79"/>
      <c r="EZ141" s="79"/>
      <c r="FA141" s="79"/>
      <c r="FB141" s="79"/>
      <c r="FC141" s="79"/>
      <c r="FD141" s="79"/>
      <c r="FE141" s="79"/>
      <c r="FF141" s="79"/>
      <c r="FG141" s="79"/>
      <c r="FH141" s="79"/>
      <c r="FI141" s="79"/>
      <c r="FJ141" s="79"/>
      <c r="FK141" s="79"/>
      <c r="FL141" s="79"/>
      <c r="FM141" s="47"/>
      <c r="FN141" s="47"/>
      <c r="FO141" s="47"/>
      <c r="FP141" s="47"/>
      <c r="FQ141" s="47"/>
      <c r="FR141" s="47"/>
      <c r="FS141" s="47"/>
      <c r="FT141" s="47"/>
      <c r="FU141" s="47"/>
      <c r="FV141" s="47"/>
      <c r="FW141" s="47"/>
      <c r="FX141" s="47"/>
      <c r="FY141" s="47"/>
      <c r="FZ141" s="47"/>
      <c r="GA141" s="49"/>
      <c r="GB141" s="49"/>
      <c r="GC141" s="49"/>
      <c r="GD141" s="49"/>
      <c r="GE141" s="49"/>
      <c r="GF141" s="49"/>
      <c r="GG141" s="49"/>
      <c r="GH141" s="49"/>
      <c r="GI141" s="49"/>
      <c r="GJ141" s="49"/>
      <c r="GK141" s="49"/>
      <c r="GL141" s="49"/>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row>
    <row r="142" spans="1:221" ht="3.75" customHeight="1">
      <c r="A142" s="1"/>
      <c r="B142" s="3"/>
      <c r="C142" s="3"/>
      <c r="D142" s="38"/>
      <c r="E142" s="43">
        <v>5</v>
      </c>
      <c r="F142" s="43" t="e">
        <f ca="1">E142*AB105/40</f>
        <v>#VALUE!</v>
      </c>
      <c r="G142" s="79"/>
      <c r="H142" s="79"/>
      <c r="I142" s="79"/>
      <c r="J142" s="79"/>
      <c r="K142" s="43"/>
      <c r="L142" s="43"/>
      <c r="M142" s="43"/>
      <c r="N142" s="43"/>
      <c r="O142" s="79"/>
      <c r="P142" s="79"/>
      <c r="Q142" s="43"/>
      <c r="R142" s="43"/>
      <c r="S142" s="43"/>
      <c r="T142" s="43"/>
      <c r="U142" s="43"/>
      <c r="V142" s="43"/>
      <c r="W142" s="43"/>
      <c r="X142" s="43"/>
      <c r="Y142" s="43"/>
      <c r="Z142" s="43"/>
      <c r="AA142" s="43"/>
      <c r="AB142" s="79"/>
      <c r="AC142" s="79"/>
      <c r="AD142" s="79"/>
      <c r="AE142" s="79"/>
      <c r="AF142" s="79"/>
      <c r="AG142" s="79"/>
      <c r="AH142" s="79"/>
      <c r="AI142" s="79"/>
      <c r="AJ142" s="79"/>
      <c r="AK142" s="79"/>
      <c r="AL142" s="197"/>
      <c r="AM142" s="126"/>
      <c r="AN142" s="43" t="str">
        <f ca="1">IF(FU96=0,"","`")</f>
        <v/>
      </c>
      <c r="AO142" s="215" t="str">
        <f ca="1">IF(FU96=0,"",IF(BC96="","",IF(BC96=0,"",IF(BC96=BX150,"",IF(AND(FO94&gt;=F142,BC96&gt;=AO155),"-","")))))</f>
        <v/>
      </c>
      <c r="AP142" s="215" t="str">
        <f ca="1">IF(FU96=0,"",IF(BC96="","",IF(BC96=0,"",IF(BC96=BX150,"",IF(AND(FO94&gt;=F142,BC96&gt;=AP155),"-","")))))</f>
        <v/>
      </c>
      <c r="AQ142" s="215" t="str">
        <f ca="1">IF(FU96=0,"",IF(BC96="","",IF(BC96=0,"",IF(BC96=BX150,"",IF(AND(FO94&gt;=F142,BC96&gt;=AQ155),"-","")))))</f>
        <v/>
      </c>
      <c r="AR142" s="215" t="str">
        <f ca="1">IF(FU96=0,"",IF(BC96="","",IF(BC96=0,"",IF(BC96=BX150,"",IF(AND(FO94&gt;=F142,BC96&gt;=AR155),"-","")))))</f>
        <v/>
      </c>
      <c r="AS142" s="215" t="str">
        <f ca="1">IF(FU96=0,"",IF(BC96="","",IF(BC96=0,"",IF(BC96=BX150,"",IF(AND(FO94&gt;=F142,BC96&gt;=AS155),"-","")))))</f>
        <v/>
      </c>
      <c r="AT142" s="215" t="str">
        <f ca="1">IF(FU96=0,"",IF(BC96="","",IF(BC96=0,"",IF(BC96=BX150,"",IF(AND(FO94&gt;=F142,BC96&gt;=AT155),"-","")))))</f>
        <v/>
      </c>
      <c r="AU142" s="215" t="str">
        <f ca="1">IF(FU96=0,"",IF(BC96="","",IF(BC96=0,"",IF(BC96=BX150,"",IF(AND(FO94&gt;=F142,BC96&gt;=AU155),"-","")))))</f>
        <v/>
      </c>
      <c r="AV142" s="215" t="str">
        <f ca="1">IF(FU96=0,"",IF(BC96="","",IF(BC96=0,"",IF(BC96=BX150,"",IF(AND(FO94&gt;=F142,BC96&gt;=AV155),"-","")))))</f>
        <v/>
      </c>
      <c r="AW142" s="215" t="str">
        <f ca="1">IF(FU96=0,"",IF(BC96="","",IF(BC96=0,"",IF(BC96=BX150,"",IF(AND(FO94&gt;=F142,BC96&gt;=AW155),"-","")))))</f>
        <v/>
      </c>
      <c r="AX142" s="215" t="str">
        <f ca="1">IF(FU96=0,"",IF(BC96="","",IF(BC96=0,"",IF(BC96=BX150,"",IF(AND(FO94&gt;=F142,BC96&gt;=AX155),"-","")))))</f>
        <v/>
      </c>
      <c r="AY142" s="215" t="str">
        <f ca="1">IF(FU96=0,"",IF(BC96="","",IF(BC96=0,"",IF(BC96=BX150,"",IF(AND(FO94&gt;=F142,BC96&gt;=AY155),"-","")))))</f>
        <v/>
      </c>
      <c r="AZ142" s="215" t="str">
        <f ca="1">IF(FU96=0,"",IF(BC96="","",IF(BC96=0,"",IF(BC96=BX150,"",IF(AND(FO94&gt;=F142,BC96&gt;=AZ155),"-","")))))</f>
        <v/>
      </c>
      <c r="BA142" s="215" t="str">
        <f ca="1">IF(FU96=0,"",IF(BC96="","",IF(BC96=0,"",IF(BC96=BX150,"",IF(AND(FO94&gt;=F142,BC96&gt;=BA155),"-","")))))</f>
        <v/>
      </c>
      <c r="BB142" s="215" t="str">
        <f ca="1">IF(FU96=0,"",IF(BC96="","",IF(BC96=0,"",IF(BC96=BX150,"",IF(AND(FO94&gt;=F142,BC96&gt;=BB155),"-","")))))</f>
        <v/>
      </c>
      <c r="BC142" s="215" t="str">
        <f ca="1">IF(FU96=0,"",IF(BC96="","",IF(BC96=0,"",IF(BC96=BX150,"",IF(AND(FO94&gt;=F142,BC96&gt;=BC155),"-","")))))</f>
        <v/>
      </c>
      <c r="BD142" s="215" t="str">
        <f ca="1">IF(FU96=0,"",IF(BC96="","",IF(BC96=0,"",IF(BC96=BX150,"",IF(AND(FO94&gt;=F142,BC96&gt;=BD155),"-","")))))</f>
        <v/>
      </c>
      <c r="BE142" s="215" t="str">
        <f ca="1">IF(FU96=0,"",IF(BC96="","",IF(BC96=0,"",IF(BC96=BX150,"",IF(AND(FO94&gt;=F142,BC96&gt;=BE155),"-","")))))</f>
        <v/>
      </c>
      <c r="BF142" s="215" t="str">
        <f ca="1">IF(FU96=0,"",IF(BC96="","",IF(BC96=0,"",IF(BC96=BX150,"",IF(AND(FO94&gt;=F142,BC96&gt;=BF155),"-","")))))</f>
        <v/>
      </c>
      <c r="BG142" s="215" t="str">
        <f ca="1">IF(FU96=0,"",IF(BC96="","",IF(BC96=0,"",IF(BC96=BX150,"",IF(AND(FO94&gt;=F142,BC96&gt;=BG155),"-","")))))</f>
        <v/>
      </c>
      <c r="BH142" s="215" t="str">
        <f ca="1">IF(FU96=0,"",IF(BC96="","",IF(BC96=0,"",IF(BC96=BX150,"",IF(AND(FO94&gt;=F142,BC96&gt;=BH155),"-","")))))</f>
        <v/>
      </c>
      <c r="BI142" s="215" t="str">
        <f ca="1">IF(FU96=0,"",IF(BC96="","",IF(BC96=0,"",IF(BC96=BX150,"",IF(AND(FO94&gt;=F142,BC96&gt;=BI155),"-","")))))</f>
        <v/>
      </c>
      <c r="BJ142" s="215" t="str">
        <f ca="1">IF(FU96=0,"",IF(BC96="","",IF(BC96=0,"",IF(BC96=BX150,"",IF(AND(FO94&gt;=F142,BC96&gt;=BJ155),"-","")))))</f>
        <v/>
      </c>
      <c r="BK142" s="215" t="str">
        <f ca="1">IF(FU96=0,"",IF(BC96="","",IF(BC96=0,"",IF(BC96=BX150,"",IF(AND(FO94&gt;=F142,BC96&gt;=BK155),"-","")))))</f>
        <v/>
      </c>
      <c r="BL142" s="215" t="str">
        <f ca="1">IF(FU96=0,"",IF(BC96="","",IF(BC96=0,"",IF(BC96=BX150,"",IF(AND(FO94&gt;=F142,BC96&gt;=BL155),"-","")))))</f>
        <v/>
      </c>
      <c r="BM142" s="215" t="str">
        <f ca="1">IF(FU96=0,"",IF(BC96="","",IF(BC96=0,"",IF(BC96=BX150,"",IF(AND(FO94&gt;=F142,BC96&gt;=BM155),"-","")))))</f>
        <v/>
      </c>
      <c r="BN142" s="215" t="str">
        <f ca="1">IF(FU96=0,"",IF(BC96="","",IF(BC96=0,"",IF(BC96=BX150,"",IF(AND(FO94&gt;=F142,BC96&gt;=BN155),"-","")))))</f>
        <v/>
      </c>
      <c r="BO142" s="215" t="str">
        <f ca="1">IF(FU96=0,"",IF(BC96="","",IF(BC96=0,"",IF(BC96=BX150,"",IF(AND(FO94&gt;=F142,BC96&gt;=BO155),"-","")))))</f>
        <v/>
      </c>
      <c r="BP142" s="215" t="str">
        <f ca="1">IF(FU96=0,"",IF(BC96="","",IF(BC96=0,"",IF(BC96=BX150,"",IF(AND(FO94&gt;=F142,BC96&gt;=BP155),"-","")))))</f>
        <v/>
      </c>
      <c r="BQ142" s="215" t="str">
        <f ca="1">IF(FU96=0,"",IF(BC96="","",IF(BC96=0,"",IF(BC96=BX150,"",IF(AND(FO94&gt;=F142,BC96&gt;=BQ155),"-","")))))</f>
        <v/>
      </c>
      <c r="BR142" s="215" t="str">
        <f ca="1">IF(FU96=0,"",IF(BC96="","",IF(BC96=0,"",IF(BC96=BX150,"",IF(AND(FO94&gt;=F142,BC96&gt;=BR155),"-","")))))</f>
        <v/>
      </c>
      <c r="BS142" s="215" t="str">
        <f ca="1">IF(FU96=0,"",IF(BC96="","",IF(BC96=0,"",IF(BC96=BX150,"",IF(AND(FO94&gt;=F142,BC96&gt;=BS155),"-","")))))</f>
        <v/>
      </c>
      <c r="BT142" s="215" t="str">
        <f ca="1">IF(FU96=0,"",IF(BC96="","",IF(BC96=0,"",IF(BC96=BX150,"",IF(AND(FO94&gt;=F142,BC96&gt;=BT155),"-","")))))</f>
        <v/>
      </c>
      <c r="BU142" s="215" t="str">
        <f ca="1">IF(FU96=0,"",IF(BC96="","",IF(BC96=0,"",IF(BC96=BX150,"",IF(AND(FO94&gt;=F142,BC96&gt;=BU155),"-","")))))</f>
        <v/>
      </c>
      <c r="BV142" s="215" t="str">
        <f ca="1">IF(FU96=0,"",IF(BC96="","",IF(BC96=0,"",IF(BC96=BX150,"",IF(AND(FO94&gt;=F142,BC96&gt;=BV155),"-","")))))</f>
        <v/>
      </c>
      <c r="BW142" s="215" t="str">
        <f ca="1">IF(FU96=0,"",IF(BC96="","",IF(BC96=0,"",IF(BC96=BX150,"",IF(AND(FO94&gt;=F142,BC96&gt;=BW155),"-","")))))</f>
        <v/>
      </c>
      <c r="BX142" s="197" t="str">
        <f ca="1">IF(FU96=0,"",":")</f>
        <v/>
      </c>
      <c r="BY142" s="197"/>
      <c r="BZ142" s="197"/>
      <c r="CA142" s="197"/>
      <c r="CB142" s="197"/>
      <c r="CC142" s="146"/>
      <c r="CD142" s="146"/>
      <c r="CE142" s="146"/>
      <c r="CF142" s="46"/>
      <c r="CG142" s="46"/>
      <c r="CH142" s="46"/>
      <c r="CI142" s="46"/>
      <c r="CJ142" s="46"/>
      <c r="CK142" s="46"/>
      <c r="CL142" s="46"/>
      <c r="CM142" s="46"/>
      <c r="CN142" s="46"/>
      <c r="CO142" s="46"/>
      <c r="CP142" s="46"/>
      <c r="CQ142" s="46"/>
      <c r="CR142" s="46"/>
      <c r="CS142" s="46"/>
      <c r="CT142" s="46"/>
      <c r="CU142" s="46"/>
      <c r="CV142" s="46"/>
      <c r="CW142" s="46"/>
      <c r="CX142" s="46"/>
      <c r="CY142" s="46"/>
      <c r="CZ142" s="46"/>
      <c r="DA142" s="46"/>
      <c r="DB142" s="46"/>
      <c r="DC142" s="46"/>
      <c r="DD142" s="46"/>
      <c r="DE142" s="46"/>
      <c r="DF142" s="46"/>
      <c r="DG142" s="46"/>
      <c r="DH142" s="46"/>
      <c r="DI142" s="46"/>
      <c r="DJ142" s="46"/>
      <c r="DK142" s="46"/>
      <c r="DL142" s="46"/>
      <c r="DM142" s="46"/>
      <c r="DN142" s="46"/>
      <c r="DO142" s="46"/>
      <c r="DP142" s="46"/>
      <c r="DQ142" s="46"/>
      <c r="DR142" s="46"/>
      <c r="DS142" s="46"/>
      <c r="DT142" s="46"/>
      <c r="DU142" s="46"/>
      <c r="DV142" s="46"/>
      <c r="DW142" s="46"/>
      <c r="DX142" s="46"/>
      <c r="DY142" s="46"/>
      <c r="DZ142" s="46"/>
      <c r="EA142" s="46"/>
      <c r="EB142" s="46"/>
      <c r="EC142" s="46"/>
      <c r="ED142" s="46"/>
      <c r="EE142" s="39"/>
      <c r="EF142" s="39"/>
      <c r="EG142" s="39"/>
      <c r="EH142" s="39"/>
      <c r="EI142" s="39"/>
      <c r="EJ142" s="39"/>
      <c r="EK142" s="39"/>
      <c r="EL142" s="39"/>
      <c r="EM142" s="39"/>
      <c r="EN142" s="39"/>
      <c r="EO142" s="39"/>
      <c r="EP142" s="39"/>
      <c r="EQ142" s="39"/>
      <c r="ER142" s="39"/>
      <c r="ES142" s="79"/>
      <c r="ET142" s="79"/>
      <c r="EU142" s="79"/>
      <c r="EV142" s="79"/>
      <c r="EW142" s="79"/>
      <c r="EX142" s="79"/>
      <c r="EY142" s="79"/>
      <c r="EZ142" s="79"/>
      <c r="FA142" s="79"/>
      <c r="FB142" s="79"/>
      <c r="FC142" s="79"/>
      <c r="FD142" s="79"/>
      <c r="FE142" s="79"/>
      <c r="FF142" s="79"/>
      <c r="FG142" s="79"/>
      <c r="FH142" s="79"/>
      <c r="FI142" s="79"/>
      <c r="FJ142" s="79"/>
      <c r="FK142" s="79"/>
      <c r="FL142" s="79"/>
      <c r="FM142" s="47"/>
      <c r="FN142" s="47"/>
      <c r="FO142" s="47"/>
      <c r="FP142" s="47"/>
      <c r="FQ142" s="47"/>
      <c r="FR142" s="47"/>
      <c r="FS142" s="47"/>
      <c r="FT142" s="47"/>
      <c r="FU142" s="47"/>
      <c r="FV142" s="47"/>
      <c r="FW142" s="47"/>
      <c r="FX142" s="47"/>
      <c r="FY142" s="47"/>
      <c r="FZ142" s="47"/>
      <c r="GA142" s="49"/>
      <c r="GB142" s="49"/>
      <c r="GC142" s="49"/>
      <c r="GD142" s="49"/>
      <c r="GE142" s="49"/>
      <c r="GF142" s="49"/>
      <c r="GG142" s="49"/>
      <c r="GH142" s="49"/>
      <c r="GI142" s="49"/>
      <c r="GJ142" s="49"/>
      <c r="GK142" s="49"/>
      <c r="GL142" s="49"/>
      <c r="GM142" s="49"/>
      <c r="GN142" s="49"/>
      <c r="GO142" s="49"/>
      <c r="GP142" s="49"/>
      <c r="GQ142" s="49"/>
      <c r="GR142" s="49"/>
      <c r="GS142" s="49"/>
      <c r="GT142" s="49"/>
      <c r="GU142" s="49"/>
      <c r="GV142" s="49"/>
      <c r="GW142" s="49"/>
      <c r="GX142" s="49"/>
      <c r="GY142" s="49"/>
      <c r="GZ142" s="49"/>
      <c r="HA142" s="49"/>
      <c r="HB142" s="49"/>
      <c r="HC142" s="49"/>
      <c r="HD142" s="49"/>
      <c r="HE142" s="49"/>
      <c r="HF142" s="49"/>
      <c r="HG142" s="49"/>
      <c r="HH142" s="49"/>
      <c r="HI142" s="49"/>
      <c r="HJ142" s="49"/>
      <c r="HK142" s="49"/>
      <c r="HL142" s="49"/>
      <c r="HM142" s="49"/>
    </row>
    <row r="143" spans="1:221" ht="3.75" customHeight="1">
      <c r="A143" s="1"/>
      <c r="B143" s="3"/>
      <c r="C143" s="3"/>
      <c r="D143" s="38"/>
      <c r="E143" s="43">
        <v>4</v>
      </c>
      <c r="F143" s="43" t="e">
        <f ca="1">E143*AB105/40</f>
        <v>#VALUE!</v>
      </c>
      <c r="G143" s="79"/>
      <c r="H143" s="79"/>
      <c r="I143" s="79"/>
      <c r="J143" s="79"/>
      <c r="K143" s="43"/>
      <c r="L143" s="43"/>
      <c r="M143" s="43"/>
      <c r="N143" s="43"/>
      <c r="O143" s="79"/>
      <c r="P143" s="79"/>
      <c r="Q143" s="43"/>
      <c r="R143" s="43"/>
      <c r="S143" s="43"/>
      <c r="T143" s="43"/>
      <c r="U143" s="43"/>
      <c r="V143" s="43"/>
      <c r="W143" s="43"/>
      <c r="X143" s="43"/>
      <c r="Y143" s="43"/>
      <c r="Z143" s="43"/>
      <c r="AA143" s="43"/>
      <c r="AB143" s="79"/>
      <c r="AC143" s="79"/>
      <c r="AD143" s="79"/>
      <c r="AE143" s="79"/>
      <c r="AF143" s="79"/>
      <c r="AG143" s="79"/>
      <c r="AH143" s="79"/>
      <c r="AI143" s="79"/>
      <c r="AJ143" s="79"/>
      <c r="AK143" s="79"/>
      <c r="AL143" s="197"/>
      <c r="AM143" s="126"/>
      <c r="AN143" s="43" t="str">
        <f ca="1">IF(FU96=0,"","`")</f>
        <v/>
      </c>
      <c r="AO143" s="215" t="str">
        <f ca="1">IF(FU96=0,"",IF(BC96="","",IF(BC96=0,"",IF(BC96=BX150,"",IF(AND(FO94&gt;=F143,BC96&gt;=AO155),"-","")))))</f>
        <v/>
      </c>
      <c r="AP143" s="215" t="str">
        <f ca="1">IF(FU96=0,"",IF(BC96="","",IF(BC96=0,"",IF(BC96=BX150,"",IF(AND(FO94&gt;=F143,BC96&gt;=AP155),"-","")))))</f>
        <v/>
      </c>
      <c r="AQ143" s="215" t="str">
        <f ca="1">IF(FU96=0,"",IF(BC96="","",IF(BC96=0,"",IF(BC96=BX150,"",IF(AND(FO94&gt;=F143,BC96&gt;=AQ155),"-","")))))</f>
        <v/>
      </c>
      <c r="AR143" s="215" t="str">
        <f ca="1">IF(FU96=0,"",IF(BC96="","",IF(BC96=0,"",IF(BC96=BX150,"",IF(AND(FO94&gt;=F143,BC96&gt;=AR155),"-","")))))</f>
        <v/>
      </c>
      <c r="AS143" s="215" t="str">
        <f ca="1">IF(FU96=0,"",IF(BC96="","",IF(BC96=0,"",IF(BC96=BX150,"",IF(AND(FO94&gt;=F143,BC96&gt;=AS155),"-","")))))</f>
        <v/>
      </c>
      <c r="AT143" s="215" t="str">
        <f ca="1">IF(FU96=0,"",IF(BC96="","",IF(BC96=0,"",IF(BC96=BX150,"",IF(AND(FO94&gt;=F143,BC96&gt;=AT155),"-","")))))</f>
        <v/>
      </c>
      <c r="AU143" s="215" t="str">
        <f ca="1">IF(FU96=0,"",IF(BC96="","",IF(BC96=0,"",IF(BC96=BX150,"",IF(AND(FO94&gt;=F143,BC96&gt;=AU155),"-","")))))</f>
        <v/>
      </c>
      <c r="AV143" s="215" t="str">
        <f ca="1">IF(FU96=0,"",IF(BC96="","",IF(BC96=0,"",IF(BC96=BX150,"",IF(AND(FO94&gt;=F143,BC96&gt;=AV155),"-","")))))</f>
        <v/>
      </c>
      <c r="AW143" s="215" t="str">
        <f ca="1">IF(FU96=0,"",IF(BC96="","",IF(BC96=0,"",IF(BC96=BX150,"",IF(AND(FO94&gt;=F143,BC96&gt;=AW155),"-","")))))</f>
        <v/>
      </c>
      <c r="AX143" s="215" t="str">
        <f ca="1">IF(FU96=0,"",IF(BC96="","",IF(BC96=0,"",IF(BC96=BX150,"",IF(AND(FO94&gt;=F143,BC96&gt;=AX155),"-","")))))</f>
        <v/>
      </c>
      <c r="AY143" s="215" t="str">
        <f ca="1">IF(FU96=0,"",IF(BC96="","",IF(BC96=0,"",IF(BC96=BX150,"",IF(AND(FO94&gt;=F143,BC96&gt;=AY155),"-","")))))</f>
        <v/>
      </c>
      <c r="AZ143" s="215" t="str">
        <f ca="1">IF(FU96=0,"",IF(BC96="","",IF(BC96=0,"",IF(BC96=BX150,"",IF(AND(FO94&gt;=F143,BC96&gt;=AZ155),"-","")))))</f>
        <v/>
      </c>
      <c r="BA143" s="215" t="str">
        <f ca="1">IF(FU96=0,"",IF(BC96="","",IF(BC96=0,"",IF(BC96=BX150,"",IF(AND(FO94&gt;=F143,BC96&gt;=BA155),"-","")))))</f>
        <v/>
      </c>
      <c r="BB143" s="215" t="str">
        <f ca="1">IF(FU96=0,"",IF(BC96="","",IF(BC96=0,"",IF(BC96=BX150,"",IF(AND(FO94&gt;=F143,BC96&gt;=BB155),"-","")))))</f>
        <v/>
      </c>
      <c r="BC143" s="215" t="str">
        <f ca="1">IF(FU96=0,"",IF(BC96="","",IF(BC96=0,"",IF(BC96=BX150,"",IF(AND(FO94&gt;=F143,BC96&gt;=BC155),"-","")))))</f>
        <v/>
      </c>
      <c r="BD143" s="215" t="str">
        <f ca="1">IF(FU96=0,"",IF(BC96="","",IF(BC96=0,"",IF(BC96=BX150,"",IF(AND(FO94&gt;=F143,BC96&gt;=BD155),"-","")))))</f>
        <v/>
      </c>
      <c r="BE143" s="215" t="str">
        <f ca="1">IF(FU96=0,"",IF(BC96="","",IF(BC96=0,"",IF(BC96=BX150,"",IF(AND(FO94&gt;=F143,BC96&gt;=BE155),"-","")))))</f>
        <v/>
      </c>
      <c r="BF143" s="215" t="str">
        <f ca="1">IF(FU96=0,"",IF(BC96="","",IF(BC96=0,"",IF(BC96=BX150,"",IF(AND(FO94&gt;=F143,BC96&gt;=BF155),"-","")))))</f>
        <v/>
      </c>
      <c r="BG143" s="215" t="str">
        <f ca="1">IF(FU96=0,"",IF(BC96="","",IF(BC96=0,"",IF(BC96=BX150,"",IF(AND(FO94&gt;=F143,BC96&gt;=BG155),"-","")))))</f>
        <v/>
      </c>
      <c r="BH143" s="215" t="str">
        <f ca="1">IF(FU96=0,"",IF(BC96="","",IF(BC96=0,"",IF(BC96=BX150,"",IF(AND(FO94&gt;=F143,BC96&gt;=BH155),"-","")))))</f>
        <v/>
      </c>
      <c r="BI143" s="215" t="str">
        <f ca="1">IF(FU96=0,"",IF(BC96="","",IF(BC96=0,"",IF(BC96=BX150,"",IF(AND(FO94&gt;=F143,BC96&gt;=BI155),"-","")))))</f>
        <v/>
      </c>
      <c r="BJ143" s="215" t="str">
        <f ca="1">IF(FU96=0,"",IF(BC96="","",IF(BC96=0,"",IF(BC96=BX150,"",IF(AND(FO94&gt;=F143,BC96&gt;=BJ155),"-","")))))</f>
        <v/>
      </c>
      <c r="BK143" s="215" t="str">
        <f ca="1">IF(FU96=0,"",IF(BC96="","",IF(BC96=0,"",IF(BC96=BX150,"",IF(AND(FO94&gt;=F143,BC96&gt;=BK155),"-","")))))</f>
        <v/>
      </c>
      <c r="BL143" s="215" t="str">
        <f ca="1">IF(FU96=0,"",IF(BC96="","",IF(BC96=0,"",IF(BC96=BX150,"",IF(AND(FO94&gt;=F143,BC96&gt;=BL155),"-","")))))</f>
        <v/>
      </c>
      <c r="BM143" s="215" t="str">
        <f ca="1">IF(FU96=0,"",IF(BC96="","",IF(BC96=0,"",IF(BC96=BX150,"",IF(AND(FO94&gt;=F143,BC96&gt;=BM155),"-","")))))</f>
        <v/>
      </c>
      <c r="BN143" s="215" t="str">
        <f ca="1">IF(FU96=0,"",IF(BC96="","",IF(BC96=0,"",IF(BC96=BX150,"",IF(AND(FO94&gt;=F143,BC96&gt;=BN155),"-","")))))</f>
        <v/>
      </c>
      <c r="BO143" s="215" t="str">
        <f ca="1">IF(FU96=0,"",IF(BC96="","",IF(BC96=0,"",IF(BC96=BX150,"",IF(AND(FO94&gt;=F143,BC96&gt;=BO155),"-","")))))</f>
        <v/>
      </c>
      <c r="BP143" s="215" t="str">
        <f ca="1">IF(FU96=0,"",IF(BC96="","",IF(BC96=0,"",IF(BC96=BX150,"",IF(AND(FO94&gt;=F143,BC96&gt;=BP155),"-","")))))</f>
        <v/>
      </c>
      <c r="BQ143" s="215" t="str">
        <f ca="1">IF(FU96=0,"",IF(BC96="","",IF(BC96=0,"",IF(BC96=BX150,"",IF(AND(FO94&gt;=F143,BC96&gt;=BQ155),"-","")))))</f>
        <v/>
      </c>
      <c r="BR143" s="215" t="str">
        <f ca="1">IF(FU96=0,"",IF(BC96="","",IF(BC96=0,"",IF(BC96=BX150,"",IF(AND(FO94&gt;=F143,BC96&gt;=BR155),"-","")))))</f>
        <v/>
      </c>
      <c r="BS143" s="215" t="str">
        <f ca="1">IF(FU96=0,"",IF(BC96="","",IF(BC96=0,"",IF(BC96=BX150,"",IF(AND(FO94&gt;=F143,BC96&gt;=BS155),"-","")))))</f>
        <v/>
      </c>
      <c r="BT143" s="215" t="str">
        <f ca="1">IF(FU96=0,"",IF(BC96="","",IF(BC96=0,"",IF(BC96=BX150,"",IF(AND(FO94&gt;=F143,BC96&gt;=BT155),"-","")))))</f>
        <v/>
      </c>
      <c r="BU143" s="215" t="str">
        <f ca="1">IF(FU96=0,"",IF(BC96="","",IF(BC96=0,"",IF(BC96=BX150,"",IF(AND(FO94&gt;=F143,BC96&gt;=BU155),"-","")))))</f>
        <v/>
      </c>
      <c r="BV143" s="215" t="str">
        <f ca="1">IF(FU96=0,"",IF(BC96="","",IF(BC96=0,"",IF(BC96=BX150,"",IF(AND(FO94&gt;=F143,BC96&gt;=BV155),"-","")))))</f>
        <v/>
      </c>
      <c r="BW143" s="215" t="str">
        <f ca="1">IF(FU96=0,"",IF(BC96="","",IF(BC96=0,"",IF(BC96=BX150,"",IF(AND(FO94&gt;=F143,BC96&gt;=BW155),"-","")))))</f>
        <v/>
      </c>
      <c r="BX143" s="215" t="str">
        <f ca="1">IF(FU96=0,"",IF(BC96="","",IF(BC96=0,"",IF(BC96=BX150,"",IF(AND(FO94&gt;=F143,BC96&gt;=BX155),"-","")))))</f>
        <v/>
      </c>
      <c r="BY143" s="197" t="str">
        <f ca="1">IF(FU96=0,"",":")</f>
        <v/>
      </c>
      <c r="BZ143" s="197"/>
      <c r="CA143" s="197"/>
      <c r="CB143" s="197"/>
      <c r="CC143" s="126"/>
      <c r="CD143" s="126"/>
      <c r="CE143" s="12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c r="DL143" s="46"/>
      <c r="DM143" s="46"/>
      <c r="DN143" s="46"/>
      <c r="DO143" s="46"/>
      <c r="DP143" s="46"/>
      <c r="DQ143" s="46"/>
      <c r="DR143" s="46"/>
      <c r="DS143" s="46"/>
      <c r="DT143" s="46"/>
      <c r="DU143" s="46"/>
      <c r="DV143" s="46"/>
      <c r="DW143" s="46"/>
      <c r="DX143" s="46"/>
      <c r="DY143" s="46"/>
      <c r="DZ143" s="46"/>
      <c r="EA143" s="46"/>
      <c r="EB143" s="46"/>
      <c r="EC143" s="46"/>
      <c r="ED143" s="46"/>
      <c r="EE143" s="39"/>
      <c r="EF143" s="39"/>
      <c r="EG143" s="39"/>
      <c r="EH143" s="39"/>
      <c r="EI143" s="39"/>
      <c r="EJ143" s="39"/>
      <c r="EK143" s="39"/>
      <c r="EL143" s="39"/>
      <c r="EM143" s="39"/>
      <c r="EN143" s="39"/>
      <c r="EO143" s="39"/>
      <c r="EP143" s="39"/>
      <c r="EQ143" s="39"/>
      <c r="ER143" s="39"/>
      <c r="ES143" s="79"/>
      <c r="ET143" s="79"/>
      <c r="EU143" s="79"/>
      <c r="EV143" s="79"/>
      <c r="EW143" s="79"/>
      <c r="EX143" s="79"/>
      <c r="EY143" s="79"/>
      <c r="EZ143" s="79"/>
      <c r="FA143" s="79"/>
      <c r="FB143" s="79"/>
      <c r="FC143" s="79"/>
      <c r="FD143" s="79"/>
      <c r="FE143" s="79"/>
      <c r="FF143" s="79"/>
      <c r="FG143" s="79"/>
      <c r="FH143" s="79"/>
      <c r="FI143" s="79"/>
      <c r="FJ143" s="79"/>
      <c r="FK143" s="79"/>
      <c r="FL143" s="79"/>
      <c r="FM143" s="49"/>
      <c r="FN143" s="49"/>
      <c r="FO143" s="49"/>
      <c r="FP143" s="47"/>
      <c r="FQ143" s="47"/>
      <c r="FR143" s="47"/>
      <c r="FS143" s="47"/>
      <c r="FT143" s="47"/>
      <c r="FU143" s="47"/>
      <c r="FV143" s="47"/>
      <c r="FW143" s="47"/>
      <c r="FX143" s="47"/>
      <c r="FY143" s="47"/>
      <c r="FZ143" s="47"/>
      <c r="GA143" s="49"/>
      <c r="GB143" s="49"/>
      <c r="GC143" s="49"/>
      <c r="GD143" s="49"/>
      <c r="GE143" s="49"/>
      <c r="GF143" s="49"/>
      <c r="GG143" s="49"/>
      <c r="GH143" s="49"/>
      <c r="GI143" s="49"/>
      <c r="GJ143" s="49"/>
      <c r="GK143" s="49"/>
      <c r="GL143" s="49"/>
      <c r="GM143" s="49"/>
      <c r="GN143" s="49"/>
      <c r="GO143" s="49"/>
      <c r="GP143" s="49"/>
      <c r="GQ143" s="49"/>
      <c r="GR143" s="49"/>
      <c r="GS143" s="49"/>
      <c r="GT143" s="49"/>
      <c r="GU143" s="49"/>
      <c r="GV143" s="49"/>
      <c r="GW143" s="49"/>
      <c r="GX143" s="49"/>
      <c r="GY143" s="49"/>
      <c r="GZ143" s="49"/>
      <c r="HA143" s="49"/>
      <c r="HB143" s="49"/>
      <c r="HC143" s="49"/>
      <c r="HD143" s="49"/>
      <c r="HE143" s="49"/>
      <c r="HF143" s="49"/>
      <c r="HG143" s="49"/>
      <c r="HH143" s="49"/>
      <c r="HI143" s="49"/>
      <c r="HJ143" s="49"/>
      <c r="HK143" s="49"/>
      <c r="HL143" s="49"/>
      <c r="HM143" s="49"/>
    </row>
    <row r="144" spans="1:221" ht="3.75" customHeight="1">
      <c r="A144" s="1"/>
      <c r="B144" s="3"/>
      <c r="C144" s="3"/>
      <c r="D144" s="38"/>
      <c r="E144" s="43">
        <v>3</v>
      </c>
      <c r="F144" s="43" t="e">
        <f ca="1">E144*AB105/40</f>
        <v>#VALUE!</v>
      </c>
      <c r="G144" s="79"/>
      <c r="H144" s="79"/>
      <c r="I144" s="79"/>
      <c r="J144" s="79"/>
      <c r="K144" s="43"/>
      <c r="L144" s="43"/>
      <c r="M144" s="43"/>
      <c r="N144" s="43"/>
      <c r="O144" s="79"/>
      <c r="P144" s="79"/>
      <c r="Q144" s="43"/>
      <c r="R144" s="43"/>
      <c r="S144" s="43"/>
      <c r="T144" s="43"/>
      <c r="U144" s="43"/>
      <c r="V144" s="43"/>
      <c r="W144" s="43"/>
      <c r="X144" s="43"/>
      <c r="Y144" s="43"/>
      <c r="Z144" s="43"/>
      <c r="AA144" s="43"/>
      <c r="AB144" s="79"/>
      <c r="AC144" s="79"/>
      <c r="AD144" s="79"/>
      <c r="AE144" s="79"/>
      <c r="AF144" s="79"/>
      <c r="AG144" s="79"/>
      <c r="AH144" s="79"/>
      <c r="AI144" s="79"/>
      <c r="AJ144" s="79"/>
      <c r="AK144" s="79"/>
      <c r="AL144" s="197"/>
      <c r="AM144" s="126"/>
      <c r="AN144" s="43" t="str">
        <f ca="1">IF(FU96=0,"","`")</f>
        <v/>
      </c>
      <c r="AO144" s="215" t="str">
        <f ca="1">IF(FU96=0,"",IF(BC96="","",IF(BC96=0,"",IF(BC96=BX150,"",IF(AND(FO94&gt;=F144,BC96&gt;=AO155),"-","")))))</f>
        <v/>
      </c>
      <c r="AP144" s="215" t="str">
        <f ca="1">IF(FU96=0,"",IF(BC96="","",IF(BC96=0,"",IF(BC96=BX150,"",IF(AND(FO94&gt;=F144,BC96&gt;=AP155),"-","")))))</f>
        <v/>
      </c>
      <c r="AQ144" s="215" t="str">
        <f ca="1">IF(FU96=0,"",IF(BC96="","",IF(BC96=0,"",IF(BC96=BX150,"",IF(AND(FO94&gt;=F144,BC96&gt;=AQ155),"-","")))))</f>
        <v/>
      </c>
      <c r="AR144" s="215" t="str">
        <f ca="1">IF(FU96=0,"",IF(BC96="","",IF(BC96=0,"",IF(BC96=BX150,"",IF(AND(FO94&gt;=F144,BC96&gt;=AR155),"-","")))))</f>
        <v/>
      </c>
      <c r="AS144" s="215" t="str">
        <f ca="1">IF(FU96=0,"",IF(BC96="","",IF(BC96=0,"",IF(BC96=BX150,"",IF(AND(FO94&gt;=F144,BC96&gt;=AS155),"-","")))))</f>
        <v/>
      </c>
      <c r="AT144" s="215" t="str">
        <f ca="1">IF(FU96=0,"",IF(BC96="","",IF(BC96=0,"",IF(BC96=BX150,"",IF(AND(FO94&gt;=F144,BC96&gt;=AT155),"-","")))))</f>
        <v/>
      </c>
      <c r="AU144" s="215" t="str">
        <f ca="1">IF(FU96=0,"",IF(BC96="","",IF(BC96=0,"",IF(BC96=BX150,"",IF(AND(FO94&gt;=F144,BC96&gt;=AU155),"-","")))))</f>
        <v/>
      </c>
      <c r="AV144" s="215" t="str">
        <f ca="1">IF(FU96=0,"",IF(BC96="","",IF(BC96=0,"",IF(BC96=BX150,"",IF(AND(FO94&gt;=F144,BC96&gt;=AV155),"-","")))))</f>
        <v/>
      </c>
      <c r="AW144" s="215" t="str">
        <f ca="1">IF(FU96=0,"",IF(BC96="","",IF(BC96=0,"",IF(BC96=BX150,"",IF(AND(FO94&gt;=F144,BC96&gt;=AW155),"-","")))))</f>
        <v/>
      </c>
      <c r="AX144" s="215" t="str">
        <f ca="1">IF(FU96=0,"",IF(BC96="","",IF(BC96=0,"",IF(BC96=BX150,"",IF(AND(FO94&gt;=F144,BC96&gt;=AX155),"-","")))))</f>
        <v/>
      </c>
      <c r="AY144" s="215" t="str">
        <f ca="1">IF(FU96=0,"",IF(BC96="","",IF(BC96=0,"",IF(BC96=BX150,"",IF(AND(FO94&gt;=F144,BC96&gt;=AY155),"-","")))))</f>
        <v/>
      </c>
      <c r="AZ144" s="215" t="str">
        <f ca="1">IF(FU96=0,"",IF(BC96="","",IF(BC96=0,"",IF(BC96=BX150,"",IF(AND(FO94&gt;=F144,BC96&gt;=AZ155),"-","")))))</f>
        <v/>
      </c>
      <c r="BA144" s="215" t="str">
        <f ca="1">IF(FU96=0,"",IF(BC96="","",IF(BC96=0,"",IF(BC96=BX150,"",IF(AND(FO94&gt;=F144,BC96&gt;=BA155),"-","")))))</f>
        <v/>
      </c>
      <c r="BB144" s="215" t="str">
        <f ca="1">IF(FU96=0,"",IF(BC96="","",IF(BC96=0,"",IF(BC96=BX150,"",IF(AND(FO94&gt;=F144,BC96&gt;=BB155),"-","")))))</f>
        <v/>
      </c>
      <c r="BC144" s="215" t="str">
        <f ca="1">IF(FU96=0,"",IF(BC96="","",IF(BC96=0,"",IF(BC96=BX150,"",IF(AND(FO94&gt;=F144,BC96&gt;=BC155),"-","")))))</f>
        <v/>
      </c>
      <c r="BD144" s="215" t="str">
        <f ca="1">IF(FU96=0,"",IF(BC96="","",IF(BC96=0,"",IF(BC96=BX150,"",IF(AND(FO94&gt;=F144,BC96&gt;=BD155),"-","")))))</f>
        <v/>
      </c>
      <c r="BE144" s="215" t="str">
        <f ca="1">IF(FU96=0,"",IF(BC96="","",IF(BC96=0,"",IF(BC96=BX150,"",IF(AND(FO94&gt;=F144,BC96&gt;=BE155),"-","")))))</f>
        <v/>
      </c>
      <c r="BF144" s="215" t="str">
        <f ca="1">IF(FU96=0,"",IF(BC96="","",IF(BC96=0,"",IF(BC96=BX150,"",IF(AND(FO94&gt;=F144,BC96&gt;=BF155),"-","")))))</f>
        <v/>
      </c>
      <c r="BG144" s="215" t="str">
        <f ca="1">IF(FU96=0,"",IF(BC96="","",IF(BC96=0,"",IF(BC96=BX150,"",IF(AND(FO94&gt;=F144,BC96&gt;=BG155),"-","")))))</f>
        <v/>
      </c>
      <c r="BH144" s="215" t="str">
        <f ca="1">IF(FU96=0,"",IF(BC96="","",IF(BC96=0,"",IF(BC96=BX150,"",IF(AND(FO94&gt;=F144,BC96&gt;=BH155),"-","")))))</f>
        <v/>
      </c>
      <c r="BI144" s="215" t="str">
        <f ca="1">IF(FU96=0,"",IF(BC96="","",IF(BC96=0,"",IF(BC96=BX150,"",IF(AND(FO94&gt;=F144,BC96&gt;=BI155),"-","")))))</f>
        <v/>
      </c>
      <c r="BJ144" s="215" t="str">
        <f ca="1">IF(FU96=0,"",IF(BC96="","",IF(BC96=0,"",IF(BC96=BX150,"",IF(AND(FO94&gt;=F144,BC96&gt;=BJ155),"-","")))))</f>
        <v/>
      </c>
      <c r="BK144" s="215" t="str">
        <f ca="1">IF(FU96=0,"",IF(BC96="","",IF(BC96=0,"",IF(BC96=BX150,"",IF(AND(FO94&gt;=F144,BC96&gt;=BK155),"-","")))))</f>
        <v/>
      </c>
      <c r="BL144" s="215" t="str">
        <f ca="1">IF(FU96=0,"",IF(BC96="","",IF(BC96=0,"",IF(BC96=BX150,"",IF(AND(FO94&gt;=F144,BC96&gt;=BL155),"-","")))))</f>
        <v/>
      </c>
      <c r="BM144" s="215" t="str">
        <f ca="1">IF(FU96=0,"",IF(BC96="","",IF(BC96=0,"",IF(BC96=BX150,"",IF(AND(FO94&gt;=F144,BC96&gt;=BM155),"-","")))))</f>
        <v/>
      </c>
      <c r="BN144" s="215" t="str">
        <f ca="1">IF(FU96=0,"",IF(BC96="","",IF(BC96=0,"",IF(BC96=BX150,"",IF(AND(FO94&gt;=F144,BC96&gt;=BN155),"-","")))))</f>
        <v/>
      </c>
      <c r="BO144" s="215" t="str">
        <f ca="1">IF(FU96=0,"",IF(BC96="","",IF(BC96=0,"",IF(BC96=BX150,"",IF(AND(FO94&gt;=F144,BC96&gt;=BO155),"-","")))))</f>
        <v/>
      </c>
      <c r="BP144" s="215" t="str">
        <f ca="1">IF(FU96=0,"",IF(BC96="","",IF(BC96=0,"",IF(BC96=BX150,"",IF(AND(FO94&gt;=F144,BC96&gt;=BP155),"-","")))))</f>
        <v/>
      </c>
      <c r="BQ144" s="215" t="str">
        <f ca="1">IF(FU96=0,"",IF(BC96="","",IF(BC96=0,"",IF(BC96=BX150,"",IF(AND(FO94&gt;=F144,BC96&gt;=BQ155),"-","")))))</f>
        <v/>
      </c>
      <c r="BR144" s="215" t="str">
        <f ca="1">IF(FU96=0,"",IF(BC96="","",IF(BC96=0,"",IF(BC96=BX150,"",IF(AND(FO94&gt;=F144,BC96&gt;=BR155),"-","")))))</f>
        <v/>
      </c>
      <c r="BS144" s="215" t="str">
        <f ca="1">IF(FU96=0,"",IF(BC96="","",IF(BC96=0,"",IF(BC96=BX150,"",IF(AND(FO94&gt;=F144,BC96&gt;=BS155),"-","")))))</f>
        <v/>
      </c>
      <c r="BT144" s="215" t="str">
        <f ca="1">IF(FU96=0,"",IF(BC96="","",IF(BC96=0,"",IF(BC96=BX150,"",IF(AND(FO94&gt;=F144,BC96&gt;=BT155),"-","")))))</f>
        <v/>
      </c>
      <c r="BU144" s="215" t="str">
        <f ca="1">IF(FU96=0,"",IF(BC96="","",IF(BC96=0,"",IF(BC96=BX150,"",IF(AND(FO94&gt;=F144,BC96&gt;=BU155),"-","")))))</f>
        <v/>
      </c>
      <c r="BV144" s="215" t="str">
        <f ca="1">IF(FU96=0,"",IF(BC96="","",IF(BC96=0,"",IF(BC96=BX150,"",IF(AND(FO94&gt;=F144,BC96&gt;=BV155),"-","")))))</f>
        <v/>
      </c>
      <c r="BW144" s="215" t="str">
        <f ca="1">IF(FU96=0,"",IF(BC96="","",IF(BC96=0,"",IF(BC96=BX150,"",IF(AND(FO94&gt;=F144,BC96&gt;=BW155),"-","")))))</f>
        <v/>
      </c>
      <c r="BX144" s="215" t="str">
        <f ca="1">IF(FU96=0,"",IF(BC96="","",IF(BC96=0,"",IF(BC96=BX150,"",IF(AND(FO94&gt;=F144,BC96&gt;=BX155),"-","")))))</f>
        <v/>
      </c>
      <c r="BY144" s="215" t="str">
        <f ca="1">IF(FU96=0,"",IF(BC96="","",IF(BC96=0,"",IF(BC96=BX150,"",IF(AND(FO94&gt;=F144,BC96&gt;=BY155),"-","")))))</f>
        <v/>
      </c>
      <c r="BZ144" s="197" t="str">
        <f ca="1">IF(FU96=0,"",":")</f>
        <v/>
      </c>
      <c r="CA144" s="197"/>
      <c r="CB144" s="197"/>
      <c r="CC144" s="126"/>
      <c r="CD144" s="126"/>
      <c r="CE144" s="126"/>
      <c r="CF144" s="46"/>
      <c r="CG144" s="46"/>
      <c r="CH144" s="46"/>
      <c r="CI144" s="46"/>
      <c r="CJ144" s="46"/>
      <c r="CK144" s="46"/>
      <c r="CL144" s="46"/>
      <c r="CM144" s="46"/>
      <c r="CN144" s="46"/>
      <c r="CO144" s="46"/>
      <c r="CP144" s="46"/>
      <c r="CQ144" s="46"/>
      <c r="CR144" s="46"/>
      <c r="CS144" s="46"/>
      <c r="CT144" s="46"/>
      <c r="CU144" s="46"/>
      <c r="CV144" s="46"/>
      <c r="CW144" s="46"/>
      <c r="CX144" s="46"/>
      <c r="CY144" s="46"/>
      <c r="CZ144" s="46"/>
      <c r="DA144" s="46"/>
      <c r="DB144" s="46"/>
      <c r="DC144" s="46"/>
      <c r="DD144" s="46"/>
      <c r="DE144" s="46"/>
      <c r="DF144" s="46"/>
      <c r="DG144" s="46"/>
      <c r="DH144" s="46"/>
      <c r="DI144" s="46"/>
      <c r="DJ144" s="46"/>
      <c r="DK144" s="46"/>
      <c r="DL144" s="46"/>
      <c r="DM144" s="46"/>
      <c r="DN144" s="46"/>
      <c r="DO144" s="46"/>
      <c r="DP144" s="46"/>
      <c r="DQ144" s="46"/>
      <c r="DR144" s="46"/>
      <c r="DS144" s="46"/>
      <c r="DT144" s="46"/>
      <c r="DU144" s="46"/>
      <c r="DV144" s="46"/>
      <c r="DW144" s="46"/>
      <c r="DX144" s="46"/>
      <c r="DY144" s="46"/>
      <c r="DZ144" s="46"/>
      <c r="EA144" s="46"/>
      <c r="EB144" s="46"/>
      <c r="EC144" s="46"/>
      <c r="ED144" s="46"/>
      <c r="EE144" s="39"/>
      <c r="EF144" s="39"/>
      <c r="EG144" s="39"/>
      <c r="EH144" s="39"/>
      <c r="EI144" s="39"/>
      <c r="EJ144" s="39"/>
      <c r="EK144" s="39"/>
      <c r="EL144" s="39"/>
      <c r="EM144" s="39"/>
      <c r="EN144" s="39"/>
      <c r="EO144" s="39"/>
      <c r="EP144" s="39"/>
      <c r="EQ144" s="39"/>
      <c r="ER144" s="39"/>
      <c r="ES144" s="79"/>
      <c r="ET144" s="79"/>
      <c r="EU144" s="79"/>
      <c r="EV144" s="79"/>
      <c r="EW144" s="79"/>
      <c r="EX144" s="79"/>
      <c r="EY144" s="79"/>
      <c r="EZ144" s="79"/>
      <c r="FA144" s="79"/>
      <c r="FB144" s="79"/>
      <c r="FC144" s="79"/>
      <c r="FD144" s="79"/>
      <c r="FE144" s="79"/>
      <c r="FF144" s="79"/>
      <c r="FG144" s="79"/>
      <c r="FH144" s="79"/>
      <c r="FI144" s="79"/>
      <c r="FJ144" s="79"/>
      <c r="FK144" s="79"/>
      <c r="FL144" s="79"/>
      <c r="FM144" s="49"/>
      <c r="FN144" s="49"/>
      <c r="FO144" s="49"/>
      <c r="FP144" s="47"/>
      <c r="FQ144" s="47"/>
      <c r="FR144" s="47"/>
      <c r="FS144" s="47"/>
      <c r="FT144" s="47"/>
      <c r="FU144" s="47"/>
      <c r="FV144" s="47"/>
      <c r="FW144" s="47"/>
      <c r="FX144" s="47"/>
      <c r="FY144" s="47"/>
      <c r="FZ144" s="47"/>
      <c r="GA144" s="49"/>
      <c r="GB144" s="49"/>
      <c r="GC144" s="49"/>
      <c r="GD144" s="49"/>
      <c r="GE144" s="49"/>
      <c r="GF144" s="49"/>
      <c r="GG144" s="49"/>
      <c r="GH144" s="49"/>
      <c r="GI144" s="49"/>
      <c r="GJ144" s="49"/>
      <c r="GK144" s="49"/>
      <c r="GL144" s="49"/>
      <c r="GM144" s="49"/>
      <c r="GN144" s="49"/>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row>
    <row r="145" spans="1:221" ht="3.75" customHeight="1">
      <c r="A145" s="1"/>
      <c r="B145" s="3"/>
      <c r="C145" s="3"/>
      <c r="D145" s="38"/>
      <c r="E145" s="43">
        <v>2</v>
      </c>
      <c r="F145" s="43" t="e">
        <f ca="1">E145*AB105/40</f>
        <v>#VALUE!</v>
      </c>
      <c r="G145" s="79"/>
      <c r="H145" s="79"/>
      <c r="I145" s="79"/>
      <c r="J145" s="79"/>
      <c r="K145" s="43"/>
      <c r="L145" s="43"/>
      <c r="M145" s="43"/>
      <c r="N145" s="43"/>
      <c r="O145" s="79"/>
      <c r="P145" s="79"/>
      <c r="Q145" s="43"/>
      <c r="R145" s="43"/>
      <c r="S145" s="43"/>
      <c r="T145" s="43"/>
      <c r="U145" s="43"/>
      <c r="V145" s="43"/>
      <c r="W145" s="43"/>
      <c r="X145" s="43"/>
      <c r="Y145" s="43"/>
      <c r="Z145" s="43"/>
      <c r="AA145" s="43"/>
      <c r="AB145" s="43"/>
      <c r="AC145" s="43"/>
      <c r="AD145" s="43"/>
      <c r="AE145" s="43"/>
      <c r="AF145" s="43"/>
      <c r="AG145" s="197"/>
      <c r="AH145" s="197"/>
      <c r="AI145" s="197"/>
      <c r="AJ145" s="197"/>
      <c r="AK145" s="197"/>
      <c r="AL145" s="197"/>
      <c r="AM145" s="126"/>
      <c r="AN145" s="43" t="str">
        <f ca="1">IF(FU96=0,"","`")</f>
        <v/>
      </c>
      <c r="AO145" s="215" t="str">
        <f ca="1">IF(FU96=0,"",IF(BC96="","",IF(BC96=0,"",IF(BC96=BX150,"",IF(AND(FO94&gt;=F145,BC96&gt;=AO155),"-","")))))</f>
        <v/>
      </c>
      <c r="AP145" s="215" t="str">
        <f ca="1">IF(FU96=0,"",IF(BC96="","",IF(BC96=0,"",IF(BC96=BX150,"",IF(AND(FO94&gt;=F145,BC96&gt;=AP155),"-","")))))</f>
        <v/>
      </c>
      <c r="AQ145" s="215" t="str">
        <f ca="1">IF(FU96=0,"",IF(BC96="","",IF(BC96=0,"",IF(BC96=BX150,"",IF(AND(FO94&gt;=F145,BC96&gt;=AQ155),"-","")))))</f>
        <v/>
      </c>
      <c r="AR145" s="215" t="str">
        <f ca="1">IF(FU96=0,"",IF(BC96="","",IF(BC96=0,"",IF(BC96=BX150,"",IF(AND(FO94&gt;=F145,BC96&gt;=AR155),"-","")))))</f>
        <v/>
      </c>
      <c r="AS145" s="215" t="str">
        <f ca="1">IF(FU96=0,"",IF(BC96="","",IF(BC96=0,"",IF(BC96=BX150,"",IF(AND(FO94&gt;=F145,BC96&gt;=AS155),"-","")))))</f>
        <v/>
      </c>
      <c r="AT145" s="215" t="str">
        <f ca="1">IF(FU96=0,"",IF(BC96="","",IF(BC96=0,"",IF(BC96=BX150,"",IF(AND(FO94&gt;=F145,BC96&gt;=AT155),"-","")))))</f>
        <v/>
      </c>
      <c r="AU145" s="215" t="str">
        <f ca="1">IF(FU96=0,"",IF(BC96="","",IF(BC96=0,"",IF(BC96=BX150,"",IF(AND(FO94&gt;=F145,BC96&gt;=AU155),"-","")))))</f>
        <v/>
      </c>
      <c r="AV145" s="215" t="str">
        <f ca="1">IF(FU96=0,"",IF(BC96="","",IF(BC96=0,"",IF(BC96=BX150,"",IF(AND(FO94&gt;=F145,BC96&gt;=AV155),"-","")))))</f>
        <v/>
      </c>
      <c r="AW145" s="215" t="str">
        <f ca="1">IF(FU96=0,"",IF(BC96="","",IF(BC96=0,"",IF(BC96=BX150,"",IF(AND(FO94&gt;=F145,BC96&gt;=AW155),"-","")))))</f>
        <v/>
      </c>
      <c r="AX145" s="215" t="str">
        <f ca="1">IF(FU96=0,"",IF(BC96="","",IF(BC96=0,"",IF(BC96=BX150,"",IF(AND(FO94&gt;=F145,BC96&gt;=AX155),"-","")))))</f>
        <v/>
      </c>
      <c r="AY145" s="215" t="str">
        <f ca="1">IF(FU96=0,"",IF(BC96="","",IF(BC96=0,"",IF(BC96=BX150,"",IF(AND(FO94&gt;=F145,BC96&gt;=AY155),"-","")))))</f>
        <v/>
      </c>
      <c r="AZ145" s="215" t="str">
        <f ca="1">IF(FU96=0,"",IF(BC96="","",IF(BC96=0,"",IF(BC96=BX150,"",IF(AND(FO94&gt;=F145,BC96&gt;=AZ155),"-","")))))</f>
        <v/>
      </c>
      <c r="BA145" s="215" t="str">
        <f ca="1">IF(FU96=0,"",IF(BC96="","",IF(BC96=0,"",IF(BC96=BX150,"",IF(AND(FO94&gt;=F145,BC96&gt;=BA155),"-","")))))</f>
        <v/>
      </c>
      <c r="BB145" s="215" t="str">
        <f ca="1">IF(FU96=0,"",IF(BC96="","",IF(BC96=0,"",IF(BC96=BX150,"",IF(AND(FO94&gt;=F145,BC96&gt;=BB155),"-","")))))</f>
        <v/>
      </c>
      <c r="BC145" s="215" t="str">
        <f ca="1">IF(FU96=0,"",IF(BC96="","",IF(BC96=0,"",IF(BC96=BX150,"",IF(AND(FO94&gt;=F145,BC96&gt;=BC155),"-","")))))</f>
        <v/>
      </c>
      <c r="BD145" s="215" t="str">
        <f ca="1">IF(FU96=0,"",IF(BC96="","",IF(BC96=0,"",IF(BC96=BX150,"",IF(AND(FO94&gt;=F145,BC96&gt;=BD155),"-","")))))</f>
        <v/>
      </c>
      <c r="BE145" s="215" t="str">
        <f ca="1">IF(FU96=0,"",IF(BC96="","",IF(BC96=0,"",IF(BC96=BX150,"",IF(AND(FO94&gt;=F145,BC96&gt;=BE155),"-","")))))</f>
        <v/>
      </c>
      <c r="BF145" s="215" t="str">
        <f ca="1">IF(FU96=0,"",IF(BC96="","",IF(BC96=0,"",IF(BC96=BX150,"",IF(AND(FO94&gt;=F145,BC96&gt;=BF155),"-","")))))</f>
        <v/>
      </c>
      <c r="BG145" s="215" t="str">
        <f ca="1">IF(FU96=0,"",IF(BC96="","",IF(BC96=0,"",IF(BC96=BX150,"",IF(AND(FO94&gt;=F145,BC96&gt;=BG155),"-","")))))</f>
        <v/>
      </c>
      <c r="BH145" s="215" t="str">
        <f ca="1">IF(FU96=0,"",IF(BC96="","",IF(BC96=0,"",IF(BC96=BX150,"",IF(AND(FO94&gt;=F145,BC96&gt;=BH155),"-","")))))</f>
        <v/>
      </c>
      <c r="BI145" s="215" t="str">
        <f ca="1">IF(FU96=0,"",IF(BC96="","",IF(BC96=0,"",IF(BC96=BX150,"",IF(AND(FO94&gt;=F145,BC96&gt;=BI155),"-","")))))</f>
        <v/>
      </c>
      <c r="BJ145" s="215" t="str">
        <f ca="1">IF(FU96=0,"",IF(BC96="","",IF(BC96=0,"",IF(BC96=BX150,"",IF(AND(FO94&gt;=F145,BC96&gt;=BJ155),"-","")))))</f>
        <v/>
      </c>
      <c r="BK145" s="215" t="str">
        <f ca="1">IF(FU96=0,"",IF(BC96="","",IF(BC96=0,"",IF(BC96=BX150,"",IF(AND(FO94&gt;=F145,BC96&gt;=BK155),"-","")))))</f>
        <v/>
      </c>
      <c r="BL145" s="215" t="str">
        <f ca="1">IF(FU96=0,"",IF(BC96="","",IF(BC96=0,"",IF(BC96=BX150,"",IF(AND(FO94&gt;=F145,BC96&gt;=BL155),"-","")))))</f>
        <v/>
      </c>
      <c r="BM145" s="215" t="str">
        <f ca="1">IF(FU96=0,"",IF(BC96="","",IF(BC96=0,"",IF(BC96=BX150,"",IF(AND(FO94&gt;=F145,BC96&gt;=BM155),"-","")))))</f>
        <v/>
      </c>
      <c r="BN145" s="215" t="str">
        <f ca="1">IF(FU96=0,"",IF(BC96="","",IF(BC96=0,"",IF(BC96=BX150,"",IF(AND(FO94&gt;=F145,BC96&gt;=BN155),"-","")))))</f>
        <v/>
      </c>
      <c r="BO145" s="215" t="str">
        <f ca="1">IF(FU96=0,"",IF(BC96="","",IF(BC96=0,"",IF(BC96=BX150,"",IF(AND(FO94&gt;=F145,BC96&gt;=BO155),"-","")))))</f>
        <v/>
      </c>
      <c r="BP145" s="215" t="str">
        <f ca="1">IF(FU96=0,"",IF(BC96="","",IF(BC96=0,"",IF(BC96=BX150,"",IF(AND(FO94&gt;=F145,BC96&gt;=BP155),"-","")))))</f>
        <v/>
      </c>
      <c r="BQ145" s="215" t="str">
        <f ca="1">IF(FU96=0,"",IF(BC96="","",IF(BC96=0,"",IF(BC96=BX150,"",IF(AND(FO94&gt;=F145,BC96&gt;=BQ155),"-","")))))</f>
        <v/>
      </c>
      <c r="BR145" s="215" t="str">
        <f ca="1">IF(FU96=0,"",IF(BC96="","",IF(BC96=0,"",IF(BC96=BX150,"",IF(AND(FO94&gt;=F145,BC96&gt;=BR155),"-","")))))</f>
        <v/>
      </c>
      <c r="BS145" s="215" t="str">
        <f ca="1">IF(FU96=0,"",IF(BC96="","",IF(BC96=0,"",IF(BC96=BX150,"",IF(AND(FO94&gt;=F145,BC96&gt;=BS155),"-","")))))</f>
        <v/>
      </c>
      <c r="BT145" s="215" t="str">
        <f ca="1">IF(FU96=0,"",IF(BC96="","",IF(BC96=0,"",IF(BC96=BX150,"",IF(AND(FO94&gt;=F145,BC96&gt;=BT155),"-","")))))</f>
        <v/>
      </c>
      <c r="BU145" s="215" t="str">
        <f ca="1">IF(FU96=0,"",IF(BC96="","",IF(BC96=0,"",IF(BC96=BX150,"",IF(AND(FO94&gt;=F145,BC96&gt;=BU155),"-","")))))</f>
        <v/>
      </c>
      <c r="BV145" s="215" t="str">
        <f ca="1">IF(FU96=0,"",IF(BC96="","",IF(BC96=0,"",IF(BC96=BX150,"",IF(AND(FO94&gt;=F145,BC96&gt;=BV155),"-","")))))</f>
        <v/>
      </c>
      <c r="BW145" s="215" t="str">
        <f ca="1">IF(FU96=0,"",IF(BC96="","",IF(BC96=0,"",IF(BC96=BX150,"",IF(AND(FO94&gt;=F145,BC96&gt;=BW155),"-","")))))</f>
        <v/>
      </c>
      <c r="BX145" s="215" t="str">
        <f ca="1">IF(FU96=0,"",IF(BC96="","",IF(BC96=0,"",IF(BC96=BX150,"",IF(AND(FO94&gt;=F145,BC96&gt;=BX155),"-","")))))</f>
        <v/>
      </c>
      <c r="BY145" s="215" t="str">
        <f ca="1">IF(FU96=0,"",IF(BC96="","",IF(BC96=0,"",IF(BC96=BX150,"",IF(AND(FO94&gt;=F145,BC96&gt;=BY155),"-","")))))</f>
        <v/>
      </c>
      <c r="BZ145" s="215" t="str">
        <f ca="1">IF(FU96=0,"",IF(BC96="","",IF(BC96=0,"",IF(BC96=BX150,"",IF(AND(FO94&gt;=F145,BC96&gt;=BZ155),"-","")))))</f>
        <v/>
      </c>
      <c r="CA145" s="197" t="str">
        <f ca="1">IF(FU96=0,"",":")</f>
        <v/>
      </c>
      <c r="CB145" s="197"/>
      <c r="CC145" s="126"/>
      <c r="CD145" s="126"/>
      <c r="CE145" s="126"/>
      <c r="CF145" s="126"/>
      <c r="CG145" s="126"/>
      <c r="CH145" s="126"/>
      <c r="CI145" s="126"/>
      <c r="CJ145" s="126"/>
      <c r="CK145" s="126"/>
      <c r="CL145" s="126"/>
      <c r="CM145" s="126"/>
      <c r="CN145" s="126"/>
      <c r="CO145" s="197"/>
      <c r="CP145" s="197"/>
      <c r="CQ145" s="43"/>
      <c r="CR145" s="43"/>
      <c r="CS145" s="43"/>
      <c r="CT145" s="43"/>
      <c r="CU145" s="43"/>
      <c r="CV145" s="43"/>
      <c r="CW145" s="43"/>
      <c r="CX145" s="43"/>
      <c r="CY145" s="43"/>
      <c r="CZ145" s="43"/>
      <c r="DA145" s="43"/>
      <c r="DB145" s="43"/>
      <c r="DC145" s="43"/>
      <c r="DD145" s="43"/>
      <c r="DE145" s="43"/>
      <c r="DF145" s="79"/>
      <c r="DG145" s="79"/>
      <c r="DH145" s="79"/>
      <c r="DI145" s="79"/>
      <c r="DJ145" s="79"/>
      <c r="DK145" s="79"/>
      <c r="DL145" s="79"/>
      <c r="DM145" s="79"/>
      <c r="DN145" s="79"/>
      <c r="DO145" s="79"/>
      <c r="DP145" s="79"/>
      <c r="DQ145" s="79"/>
      <c r="DR145" s="79"/>
      <c r="DS145" s="79"/>
      <c r="DT145" s="79"/>
      <c r="DU145" s="79"/>
      <c r="DV145" s="79"/>
      <c r="DW145" s="79"/>
      <c r="DX145" s="79"/>
      <c r="DY145" s="79"/>
      <c r="DZ145" s="79"/>
      <c r="EA145" s="79"/>
      <c r="EB145" s="79"/>
      <c r="EC145" s="79"/>
      <c r="ED145" s="79"/>
      <c r="EE145" s="79"/>
      <c r="EF145" s="79"/>
      <c r="EG145" s="79"/>
      <c r="EH145" s="79"/>
      <c r="EI145" s="79"/>
      <c r="EJ145" s="79"/>
      <c r="EK145" s="79"/>
      <c r="EL145" s="79"/>
      <c r="EM145" s="79"/>
      <c r="EN145" s="79"/>
      <c r="EO145" s="79"/>
      <c r="EP145" s="79"/>
      <c r="EQ145" s="79"/>
      <c r="ER145" s="79"/>
      <c r="ES145" s="79"/>
      <c r="ET145" s="79"/>
      <c r="EU145" s="79"/>
      <c r="EV145" s="79"/>
      <c r="EW145" s="79"/>
      <c r="EX145" s="79"/>
      <c r="EY145" s="79"/>
      <c r="EZ145" s="79"/>
      <c r="FA145" s="79"/>
      <c r="FB145" s="79"/>
      <c r="FC145" s="79"/>
      <c r="FD145" s="79"/>
      <c r="FE145" s="79"/>
      <c r="FF145" s="79"/>
      <c r="FG145" s="79"/>
      <c r="FH145" s="79"/>
      <c r="FI145" s="79"/>
      <c r="FJ145" s="79"/>
      <c r="FK145" s="79"/>
      <c r="FL145" s="79"/>
      <c r="FM145" s="49"/>
      <c r="FN145" s="49"/>
      <c r="FO145" s="49"/>
      <c r="FP145" s="47"/>
      <c r="FQ145" s="47"/>
      <c r="FR145" s="47"/>
      <c r="FS145" s="47"/>
      <c r="FT145" s="47"/>
      <c r="FU145" s="47"/>
      <c r="FV145" s="47"/>
      <c r="FW145" s="47"/>
      <c r="FX145" s="47"/>
      <c r="FY145" s="47"/>
      <c r="FZ145" s="47"/>
      <c r="GA145" s="49"/>
      <c r="GB145" s="49"/>
      <c r="GC145" s="49"/>
      <c r="GD145" s="49"/>
      <c r="GE145" s="49"/>
      <c r="GF145" s="49"/>
      <c r="GG145" s="49"/>
      <c r="GH145" s="49"/>
      <c r="GI145" s="49"/>
      <c r="GJ145" s="49"/>
      <c r="GK145" s="49"/>
      <c r="GL145" s="49"/>
      <c r="GM145" s="49"/>
      <c r="GN145" s="49"/>
      <c r="GO145" s="49"/>
      <c r="GP145" s="49"/>
      <c r="GQ145" s="49"/>
      <c r="GR145" s="49"/>
      <c r="GS145" s="49"/>
      <c r="GT145" s="49"/>
      <c r="GU145" s="49"/>
      <c r="GV145" s="49"/>
      <c r="GW145" s="49"/>
      <c r="GX145" s="49"/>
      <c r="GY145" s="49"/>
      <c r="GZ145" s="49"/>
      <c r="HA145" s="49"/>
      <c r="HB145" s="49"/>
      <c r="HC145" s="49"/>
      <c r="HD145" s="49"/>
      <c r="HE145" s="49"/>
      <c r="HF145" s="49"/>
      <c r="HG145" s="49"/>
      <c r="HH145" s="49"/>
      <c r="HI145" s="49"/>
      <c r="HJ145" s="49"/>
      <c r="HK145" s="49"/>
      <c r="HL145" s="49"/>
      <c r="HM145" s="49"/>
    </row>
    <row r="146" spans="1:221" ht="3.75" customHeight="1">
      <c r="A146" s="1"/>
      <c r="B146" s="3"/>
      <c r="C146" s="3"/>
      <c r="D146" s="38"/>
      <c r="E146" s="43">
        <v>1</v>
      </c>
      <c r="F146" s="43" t="e">
        <f ca="1">E146*AB105/40</f>
        <v>#VALUE!</v>
      </c>
      <c r="G146" s="79"/>
      <c r="H146" s="79"/>
      <c r="I146" s="79"/>
      <c r="J146" s="79"/>
      <c r="K146" s="43"/>
      <c r="L146" s="43"/>
      <c r="M146" s="43"/>
      <c r="N146" s="43"/>
      <c r="O146" s="79"/>
      <c r="P146" s="79"/>
      <c r="Q146" s="43"/>
      <c r="R146" s="149"/>
      <c r="S146" s="43"/>
      <c r="T146" s="43"/>
      <c r="U146" s="43"/>
      <c r="V146" s="43"/>
      <c r="W146" s="43"/>
      <c r="X146" s="43"/>
      <c r="Y146" s="43"/>
      <c r="Z146" s="43"/>
      <c r="AA146" s="43"/>
      <c r="AB146" s="43"/>
      <c r="AC146" s="43"/>
      <c r="AD146" s="43"/>
      <c r="AE146" s="43"/>
      <c r="AF146" s="43"/>
      <c r="AG146" s="197"/>
      <c r="AH146" s="197"/>
      <c r="AI146" s="197"/>
      <c r="AJ146" s="197"/>
      <c r="AK146" s="197"/>
      <c r="AL146" s="197"/>
      <c r="AM146" s="126"/>
      <c r="AN146" s="43" t="str">
        <f ca="1">IF(FU96=0,"","`")</f>
        <v/>
      </c>
      <c r="AO146" s="215" t="str">
        <f ca="1">IF(FU96=0,"",IF(BC96="","",IF(BC96=0,"",IF(BC96=BX150,"",IF(AND(FO94&gt;=F146,BC96&gt;=AO155),"-","")))))</f>
        <v/>
      </c>
      <c r="AP146" s="215" t="str">
        <f ca="1">IF(FU96=0,"",IF(BC96="","",IF(BC96=0,"",IF(BC96=BX150,"",IF(AND(FO94&gt;=F146,BC96&gt;=AP155),"-","")))))</f>
        <v/>
      </c>
      <c r="AQ146" s="215" t="str">
        <f ca="1">IF(FU96=0,"",IF(BC96="","",IF(BC96=0,"",IF(BC96=BX150,"",IF(AND(FO94&gt;=F146,BC96&gt;=AQ155),"-","")))))</f>
        <v/>
      </c>
      <c r="AR146" s="215" t="str">
        <f ca="1">IF(FU96=0,"",IF(BC96="","",IF(BC96=0,"",IF(BC96=BX150,"",IF(AND(FO94&gt;=F146,BC96&gt;=AR155),"-","")))))</f>
        <v/>
      </c>
      <c r="AS146" s="215" t="str">
        <f ca="1">IF(FU96=0,"",IF(BC96="","",IF(BC96=0,"",IF(BC96=BX150,"",IF(AND(FO94&gt;=F146,BC96&gt;=AS155),"-","")))))</f>
        <v/>
      </c>
      <c r="AT146" s="215" t="str">
        <f ca="1">IF(FU96=0,"",IF(BC96="","",IF(BC96=0,"",IF(BC96=BX150,"",IF(AND(FO94&gt;=F146,BC96&gt;=AT155),"-","")))))</f>
        <v/>
      </c>
      <c r="AU146" s="215" t="str">
        <f ca="1">IF(FU96=0,"",IF(BC96="","",IF(BC96=0,"",IF(BC96=BX150,"",IF(AND(FO94&gt;=F146,BC96&gt;=AU155),"-","")))))</f>
        <v/>
      </c>
      <c r="AV146" s="215" t="str">
        <f ca="1">IF(FU96=0,"",IF(BC96="","",IF(BC96=0,"",IF(BC96=BX150,"",IF(AND(FO94&gt;=F146,BC96&gt;=AV155),"-","")))))</f>
        <v/>
      </c>
      <c r="AW146" s="215" t="str">
        <f ca="1">IF(FU96=0,"",IF(BC96="","",IF(BC96=0,"",IF(BC96=BX150,"",IF(AND(FO94&gt;=F146,BC96&gt;=AW155),"-","")))))</f>
        <v/>
      </c>
      <c r="AX146" s="215" t="str">
        <f ca="1">IF(FU96=0,"",IF(BC96="","",IF(BC96=0,"",IF(BC96=BX150,"",IF(AND(FO94&gt;=F146,BC96&gt;=AX155),"-","")))))</f>
        <v/>
      </c>
      <c r="AY146" s="215" t="str">
        <f ca="1">IF(FU96=0,"",IF(BC96="","",IF(BC96=0,"",IF(BC96=BX150,"",IF(AND(FO94&gt;=F146,BC96&gt;=AY155),"-","")))))</f>
        <v/>
      </c>
      <c r="AZ146" s="215" t="str">
        <f ca="1">IF(FU96=0,"",IF(BC96="","",IF(BC96=0,"",IF(BC96=BX150,"",IF(AND(FO94&gt;=F146,BC96&gt;=AZ155),"-","")))))</f>
        <v/>
      </c>
      <c r="BA146" s="215" t="str">
        <f ca="1">IF(FU96=0,"",IF(BC96="","",IF(BC96=0,"",IF(BC96=BX150,"",IF(AND(FO94&gt;=F146,BC96&gt;=BA155),"-","")))))</f>
        <v/>
      </c>
      <c r="BB146" s="215" t="str">
        <f ca="1">IF(FU96=0,"",IF(BC96="","",IF(BC96=0,"",IF(BC96=BX150,"",IF(AND(FO94&gt;=F146,BC96&gt;=BB155),"-","")))))</f>
        <v/>
      </c>
      <c r="BC146" s="215" t="str">
        <f ca="1">IF(FU96=0,"",IF(BC96="","",IF(BC96=0,"",IF(BC96=BX150,"",IF(AND(FO94&gt;=F146,BC96&gt;=BC155),"-","")))))</f>
        <v/>
      </c>
      <c r="BD146" s="215" t="str">
        <f ca="1">IF(FU96=0,"",IF(BC96="","",IF(BC96=0,"",IF(BC96=BX150,"",IF(AND(FO94&gt;=F146,BC96&gt;=BD155),"-","")))))</f>
        <v/>
      </c>
      <c r="BE146" s="215" t="str">
        <f ca="1">IF(FU96=0,"",IF(BC96="","",IF(BC96=0,"",IF(BC96=BX150,"",IF(AND(FO94&gt;=F146,BC96&gt;=BE155),"-","")))))</f>
        <v/>
      </c>
      <c r="BF146" s="215" t="str">
        <f ca="1">IF(FU96=0,"",IF(BC96="","",IF(BC96=0,"",IF(BC96=BX150,"",IF(AND(FO94&gt;=F146,BC96&gt;=BF155),"-","")))))</f>
        <v/>
      </c>
      <c r="BG146" s="215" t="str">
        <f ca="1">IF(FU96=0,"",IF(BC96="","",IF(BC96=0,"",IF(BC96=BX150,"",IF(AND(FO94&gt;=F146,BC96&gt;=BG155),"-","")))))</f>
        <v/>
      </c>
      <c r="BH146" s="215" t="str">
        <f ca="1">IF(FU96=0,"",IF(BC96="","",IF(BC96=0,"",IF(BC96=BX150,"",IF(AND(FO94&gt;=F146,BC96&gt;=BH155),"-","")))))</f>
        <v/>
      </c>
      <c r="BI146" s="215" t="str">
        <f ca="1">IF(FU96=0,"",IF(BC96="","",IF(BC96=0,"",IF(BC96=BX150,"",IF(AND(FO94&gt;=F146,BC96&gt;=BI155),"-","")))))</f>
        <v/>
      </c>
      <c r="BJ146" s="215" t="str">
        <f ca="1">IF(FU96=0,"",IF(BC96="","",IF(BC96=0,"",IF(BC96=BX150,"",IF(AND(FO94&gt;=F146,BC96&gt;=BJ155),"-","")))))</f>
        <v/>
      </c>
      <c r="BK146" s="215" t="str">
        <f ca="1">IF(FU96=0,"",IF(BC96="","",IF(BC96=0,"",IF(BC96=BX150,"",IF(AND(FO94&gt;=F146,BC96&gt;=BK155),"-","")))))</f>
        <v/>
      </c>
      <c r="BL146" s="215" t="str">
        <f ca="1">IF(FU96=0,"",IF(BC96="","",IF(BC96=0,"",IF(BC96=BX150,"",IF(AND(FO94&gt;=F146,BC96&gt;=BL155),"-","")))))</f>
        <v/>
      </c>
      <c r="BM146" s="215" t="str">
        <f ca="1">IF(FU96=0,"",IF(BC96="","",IF(BC96=0,"",IF(BC96=BX150,"",IF(AND(FO94&gt;=F146,BC96&gt;=BM155),"-","")))))</f>
        <v/>
      </c>
      <c r="BN146" s="215" t="str">
        <f ca="1">IF(FU96=0,"",IF(BC96="","",IF(BC96=0,"",IF(BC96=BX150,"",IF(AND(FO94&gt;=F146,BC96&gt;=BN155),"-","")))))</f>
        <v/>
      </c>
      <c r="BO146" s="215" t="str">
        <f ca="1">IF(FU96=0,"",IF(BC96="","",IF(BC96=0,"",IF(BC96=BX150,"",IF(AND(FO94&gt;=F146,BC96&gt;=BO155),"-","")))))</f>
        <v/>
      </c>
      <c r="BP146" s="215" t="str">
        <f ca="1">IF(FU96=0,"",IF(BC96="","",IF(BC96=0,"",IF(BC96=BX150,"",IF(AND(FO94&gt;=F146,BC96&gt;=BP155),"-","")))))</f>
        <v/>
      </c>
      <c r="BQ146" s="215" t="str">
        <f ca="1">IF(FU96=0,"",IF(BC96="","",IF(BC96=0,"",IF(BC96=BX150,"",IF(AND(FO94&gt;=F146,BC96&gt;=BQ155),"-","")))))</f>
        <v/>
      </c>
      <c r="BR146" s="215" t="str">
        <f ca="1">IF(FU96=0,"",IF(BC96="","",IF(BC96=0,"",IF(BC96=BX150,"",IF(AND(FO94&gt;=F146,BC96&gt;=BR155),"-","")))))</f>
        <v/>
      </c>
      <c r="BS146" s="215" t="str">
        <f ca="1">IF(FU96=0,"",IF(BC96="","",IF(BC96=0,"",IF(BC96=BX150,"",IF(AND(FO94&gt;=F146,BC96&gt;=BS155),"-","")))))</f>
        <v/>
      </c>
      <c r="BT146" s="215" t="str">
        <f ca="1">IF(FU96=0,"",IF(BC96="","",IF(BC96=0,"",IF(BC96=BX150,"",IF(AND(FO94&gt;=F146,BC96&gt;=BT155),"-","")))))</f>
        <v/>
      </c>
      <c r="BU146" s="215" t="str">
        <f ca="1">IF(FU96=0,"",IF(BC96="","",IF(BC96=0,"",IF(BC96=BX150,"",IF(AND(FO94&gt;=F146,BC96&gt;=BU155),"-","")))))</f>
        <v/>
      </c>
      <c r="BV146" s="215" t="str">
        <f ca="1">IF(FU96=0,"",IF(BC96="","",IF(BC96=0,"",IF(BC96=BX150,"",IF(AND(FO94&gt;=F146,BC96&gt;=BV155),"-","")))))</f>
        <v/>
      </c>
      <c r="BW146" s="215" t="str">
        <f ca="1">IF(FU96=0,"",IF(BC96="","",IF(BC96=0,"",IF(BC96=BX150,"",IF(AND(FO94&gt;=F146,BC96&gt;=BW155),"-","")))))</f>
        <v/>
      </c>
      <c r="BX146" s="215" t="str">
        <f ca="1">IF(FU96=0,"",IF(BC96="","",IF(BC96=0,"",IF(BC96=BX150,"",IF(AND(FO94&gt;=F146,BC96&gt;=BX155),"-","")))))</f>
        <v/>
      </c>
      <c r="BY146" s="215" t="str">
        <f ca="1">IF(FU96=0,"",IF(BC96="","",IF(BC96=0,"",IF(BC96=BX150,"",IF(AND(FO94&gt;=F146,BC96&gt;=BY155),"-","")))))</f>
        <v/>
      </c>
      <c r="BZ146" s="215" t="str">
        <f ca="1">IF(FU96=0,"",IF(BC96="","",IF(BC96=0,"",IF(BC96=BX150,"",IF(AND(FO94&gt;=F146,BC96&gt;=BZ155),"-","")))))</f>
        <v/>
      </c>
      <c r="CA146" s="215" t="str">
        <f ca="1">IF(FU96=0,"",IF(BC96="","",IF(BC96=0,"",IF(BC96=BX150,"",IF(AND(FO94&gt;=F146,BC96&gt;=CA155),"-","")))))</f>
        <v/>
      </c>
      <c r="CB146" s="197" t="str">
        <f ca="1">IF(FU96=0,"",":")</f>
        <v/>
      </c>
      <c r="CC146" s="126"/>
      <c r="CD146" s="126"/>
      <c r="CE146" s="126"/>
      <c r="CF146" s="126"/>
      <c r="CG146" s="126"/>
      <c r="CH146" s="126"/>
      <c r="CI146" s="126"/>
      <c r="CJ146" s="126"/>
      <c r="CK146" s="126"/>
      <c r="CL146" s="126"/>
      <c r="CM146" s="126"/>
      <c r="CN146" s="126"/>
      <c r="CO146" s="197"/>
      <c r="CP146" s="197"/>
      <c r="CQ146" s="43"/>
      <c r="CR146" s="43"/>
      <c r="CS146" s="43"/>
      <c r="CT146" s="43"/>
      <c r="CU146" s="43"/>
      <c r="CV146" s="43"/>
      <c r="CW146" s="43"/>
      <c r="CX146" s="43"/>
      <c r="CY146" s="43"/>
      <c r="CZ146" s="43"/>
      <c r="DA146" s="43"/>
      <c r="DB146" s="43"/>
      <c r="DC146" s="43"/>
      <c r="DD146" s="43"/>
      <c r="DE146" s="43"/>
      <c r="DF146" s="79"/>
      <c r="DG146" s="79"/>
      <c r="DH146" s="79"/>
      <c r="DI146" s="79"/>
      <c r="DJ146" s="79"/>
      <c r="DK146" s="79"/>
      <c r="DL146" s="79"/>
      <c r="DM146" s="79"/>
      <c r="DN146" s="79"/>
      <c r="DO146" s="79"/>
      <c r="DP146" s="79"/>
      <c r="DQ146" s="79"/>
      <c r="DR146" s="79"/>
      <c r="DS146" s="79"/>
      <c r="DT146" s="79"/>
      <c r="DU146" s="79"/>
      <c r="DV146" s="79"/>
      <c r="DW146" s="79"/>
      <c r="DX146" s="79"/>
      <c r="DY146" s="79"/>
      <c r="DZ146" s="79"/>
      <c r="EA146" s="79"/>
      <c r="EB146" s="79"/>
      <c r="EC146" s="79"/>
      <c r="ED146" s="79"/>
      <c r="EE146" s="79"/>
      <c r="EF146" s="79"/>
      <c r="EG146" s="79"/>
      <c r="EH146" s="79"/>
      <c r="EI146" s="79"/>
      <c r="EJ146" s="79"/>
      <c r="EK146" s="79"/>
      <c r="EL146" s="79"/>
      <c r="EM146" s="79"/>
      <c r="EN146" s="79"/>
      <c r="EO146" s="79"/>
      <c r="EP146" s="79"/>
      <c r="EQ146" s="79"/>
      <c r="ER146" s="79"/>
      <c r="ES146" s="79"/>
      <c r="ET146" s="79"/>
      <c r="EU146" s="79"/>
      <c r="EV146" s="79"/>
      <c r="EW146" s="79"/>
      <c r="EX146" s="79"/>
      <c r="EY146" s="79"/>
      <c r="EZ146" s="79"/>
      <c r="FA146" s="79"/>
      <c r="FB146" s="79"/>
      <c r="FC146" s="79"/>
      <c r="FD146" s="79"/>
      <c r="FE146" s="79"/>
      <c r="FF146" s="79"/>
      <c r="FG146" s="79"/>
      <c r="FH146" s="79"/>
      <c r="FI146" s="79"/>
      <c r="FJ146" s="79"/>
      <c r="FK146" s="79"/>
      <c r="FL146" s="79"/>
      <c r="FM146" s="49"/>
      <c r="FN146" s="49"/>
      <c r="FO146" s="49"/>
      <c r="FP146" s="47"/>
      <c r="FQ146" s="47"/>
      <c r="FR146" s="47"/>
      <c r="FS146" s="47"/>
      <c r="FT146" s="47"/>
      <c r="FU146" s="47"/>
      <c r="FV146" s="47"/>
      <c r="FW146" s="47"/>
      <c r="FX146" s="47"/>
      <c r="FY146" s="47"/>
      <c r="FZ146" s="47"/>
      <c r="GA146" s="49"/>
      <c r="GB146" s="49"/>
      <c r="GC146" s="49"/>
      <c r="GD146" s="49"/>
      <c r="GE146" s="49"/>
      <c r="GF146" s="49"/>
      <c r="GG146" s="49"/>
      <c r="GH146" s="49"/>
      <c r="GI146" s="49"/>
      <c r="GJ146" s="49"/>
      <c r="GK146" s="49"/>
      <c r="GL146" s="49"/>
      <c r="GM146" s="49"/>
      <c r="GN146" s="49"/>
      <c r="GO146" s="49"/>
      <c r="GP146" s="49"/>
      <c r="GQ146" s="49"/>
      <c r="GR146" s="49"/>
      <c r="GS146" s="49"/>
      <c r="GT146" s="49"/>
      <c r="GU146" s="49"/>
      <c r="GV146" s="49"/>
      <c r="GW146" s="49"/>
      <c r="GX146" s="49"/>
      <c r="GY146" s="49"/>
      <c r="GZ146" s="49"/>
      <c r="HA146" s="49"/>
      <c r="HB146" s="49"/>
      <c r="HC146" s="49"/>
      <c r="HD146" s="49"/>
      <c r="HE146" s="49"/>
      <c r="HF146" s="49"/>
      <c r="HG146" s="49"/>
      <c r="HH146" s="49"/>
      <c r="HI146" s="49"/>
      <c r="HJ146" s="49"/>
      <c r="HK146" s="49"/>
      <c r="HL146" s="49"/>
      <c r="HM146" s="49"/>
    </row>
    <row r="147" spans="1:221" ht="3.75" customHeight="1">
      <c r="A147" s="1"/>
      <c r="B147" s="3"/>
      <c r="C147" s="3"/>
      <c r="D147" s="38"/>
      <c r="E147" s="43"/>
      <c r="F147" s="43"/>
      <c r="G147" s="79"/>
      <c r="H147" s="79"/>
      <c r="I147" s="79"/>
      <c r="J147" s="79"/>
      <c r="K147" s="43"/>
      <c r="L147" s="43"/>
      <c r="M147" s="43"/>
      <c r="N147" s="43"/>
      <c r="O147" s="79"/>
      <c r="P147" s="79"/>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126"/>
      <c r="AN147" s="43" t="str">
        <f ca="1">IF(FU96=0,"","`")</f>
        <v/>
      </c>
      <c r="AO147" s="43" t="str">
        <f ca="1">IF(FU96=0,"","`")</f>
        <v/>
      </c>
      <c r="AP147" s="43" t="str">
        <f ca="1">IF(FU96=0,"","`")</f>
        <v/>
      </c>
      <c r="AQ147" s="43" t="str">
        <f ca="1">IF(FU96=0,"","`")</f>
        <v/>
      </c>
      <c r="AR147" s="43" t="str">
        <f ca="1">IF(FU96=0,"","`")</f>
        <v/>
      </c>
      <c r="AS147" s="43" t="str">
        <f ca="1">IF(FU96=0,"","`")</f>
        <v/>
      </c>
      <c r="AT147" s="43" t="str">
        <f ca="1">IF(FU96=0,"","`")</f>
        <v/>
      </c>
      <c r="AU147" s="43" t="str">
        <f ca="1">IF(FU96=0,"","`")</f>
        <v/>
      </c>
      <c r="AV147" s="43" t="str">
        <f ca="1">IF(FU96=0,"","`")</f>
        <v/>
      </c>
      <c r="AW147" s="43" t="str">
        <f ca="1">IF(FU96=0,"","`")</f>
        <v/>
      </c>
      <c r="AX147" s="43" t="str">
        <f ca="1">IF(FU96=0,"","`")</f>
        <v/>
      </c>
      <c r="AY147" s="43" t="str">
        <f ca="1">IF(FU96=0,"","`")</f>
        <v/>
      </c>
      <c r="AZ147" s="43" t="str">
        <f ca="1">IF(FU96=0,"","`")</f>
        <v/>
      </c>
      <c r="BA147" s="43" t="str">
        <f ca="1">IF(FU96=0,"","`")</f>
        <v/>
      </c>
      <c r="BB147" s="43" t="str">
        <f ca="1">IF(FU96=0,"","`")</f>
        <v/>
      </c>
      <c r="BC147" s="43" t="str">
        <f ca="1">IF(FU96=0,"","`")</f>
        <v/>
      </c>
      <c r="BD147" s="43" t="str">
        <f ca="1">IF(FU96=0,"","`")</f>
        <v/>
      </c>
      <c r="BE147" s="43" t="str">
        <f ca="1">IF(FU96=0,"","`")</f>
        <v/>
      </c>
      <c r="BF147" s="43" t="str">
        <f ca="1">IF(FU96=0,"","`")</f>
        <v/>
      </c>
      <c r="BG147" s="43" t="str">
        <f ca="1">IF(FU96=0,"","`")</f>
        <v/>
      </c>
      <c r="BH147" s="43" t="str">
        <f ca="1">IF(FU96=0,"","`")</f>
        <v/>
      </c>
      <c r="BI147" s="43" t="str">
        <f ca="1">IF(FU96=0,"","`")</f>
        <v/>
      </c>
      <c r="BJ147" s="43" t="str">
        <f ca="1">IF(FU96=0,"","`")</f>
        <v/>
      </c>
      <c r="BK147" s="43" t="str">
        <f ca="1">IF(FU96=0,"","`")</f>
        <v/>
      </c>
      <c r="BL147" s="43" t="str">
        <f ca="1">IF(FU96=0,"","`")</f>
        <v/>
      </c>
      <c r="BM147" s="43" t="str">
        <f ca="1">IF(FU96=0,"","`")</f>
        <v/>
      </c>
      <c r="BN147" s="43" t="str">
        <f ca="1">IF(FU96=0,"","`")</f>
        <v/>
      </c>
      <c r="BO147" s="43" t="str">
        <f ca="1">IF(FU96=0,"","`")</f>
        <v/>
      </c>
      <c r="BP147" s="43" t="str">
        <f ca="1">IF(FU96=0,"","`")</f>
        <v/>
      </c>
      <c r="BQ147" s="43" t="str">
        <f ca="1">IF(FU96=0,"","`")</f>
        <v/>
      </c>
      <c r="BR147" s="43" t="str">
        <f ca="1">IF(FU96=0,"","`")</f>
        <v/>
      </c>
      <c r="BS147" s="43" t="str">
        <f ca="1">IF(FU96=0,"","`")</f>
        <v/>
      </c>
      <c r="BT147" s="43" t="str">
        <f ca="1">IF(FU96=0,"","`")</f>
        <v/>
      </c>
      <c r="BU147" s="43" t="str">
        <f ca="1">IF(FU96=0,"","`")</f>
        <v/>
      </c>
      <c r="BV147" s="43" t="str">
        <f ca="1">IF(FU96=0,"","`")</f>
        <v/>
      </c>
      <c r="BW147" s="43" t="str">
        <f ca="1">IF(FU96=0,"","`")</f>
        <v/>
      </c>
      <c r="BX147" s="43" t="str">
        <f ca="1">IF(FU96=0,"","`")</f>
        <v/>
      </c>
      <c r="BY147" s="43" t="str">
        <f ca="1">IF(FU96=0,"","`")</f>
        <v/>
      </c>
      <c r="BZ147" s="43" t="str">
        <f ca="1">IF(FU96=0,"","`")</f>
        <v/>
      </c>
      <c r="CA147" s="43" t="str">
        <f ca="1">IF(FU96=0,"","`")</f>
        <v/>
      </c>
      <c r="CB147" s="43" t="str">
        <f ca="1">IF(FU96=0,"","`")</f>
        <v/>
      </c>
      <c r="CC147" s="43" t="str">
        <f ca="1">IF(FU96=0,"","`")</f>
        <v/>
      </c>
      <c r="CD147" s="43" t="str">
        <f ca="1">IF(FU96=0,"","`")</f>
        <v/>
      </c>
      <c r="CE147" s="43" t="str">
        <f ca="1">IF(FU96=0,"","`")</f>
        <v/>
      </c>
      <c r="CF147" s="43" t="str">
        <f ca="1">IF(FU96=0,"","`")</f>
        <v/>
      </c>
      <c r="CG147" s="43" t="str">
        <f ca="1">IF(FU96=0,"","`")</f>
        <v/>
      </c>
      <c r="CH147" s="43" t="str">
        <f ca="1">IF(FU96=0,"","`")</f>
        <v/>
      </c>
      <c r="CI147" s="43" t="str">
        <f ca="1">IF(FU96=0,"","`")</f>
        <v/>
      </c>
      <c r="CJ147" s="43" t="str">
        <f ca="1">IF(FU96=0,"","`")</f>
        <v/>
      </c>
      <c r="CK147" s="43" t="str">
        <f ca="1">IF(FU96=0,"","`")</f>
        <v/>
      </c>
      <c r="CL147" s="126"/>
      <c r="CM147" s="126"/>
      <c r="CN147" s="126"/>
      <c r="CO147" s="197"/>
      <c r="CP147" s="197"/>
      <c r="CQ147" s="43"/>
      <c r="CR147" s="43"/>
      <c r="CS147" s="43"/>
      <c r="CT147" s="43"/>
      <c r="CU147" s="43"/>
      <c r="CV147" s="43"/>
      <c r="CW147" s="43"/>
      <c r="CX147" s="43"/>
      <c r="CY147" s="43"/>
      <c r="CZ147" s="43"/>
      <c r="DA147" s="43"/>
      <c r="DB147" s="43"/>
      <c r="DC147" s="43"/>
      <c r="DD147" s="43"/>
      <c r="DE147" s="43"/>
      <c r="DF147" s="79"/>
      <c r="DG147" s="79"/>
      <c r="DH147" s="79"/>
      <c r="DI147" s="79"/>
      <c r="DJ147" s="79"/>
      <c r="DK147" s="79"/>
      <c r="DL147" s="79"/>
      <c r="DM147" s="79"/>
      <c r="DN147" s="79"/>
      <c r="DO147" s="79"/>
      <c r="DP147" s="79"/>
      <c r="DQ147" s="79"/>
      <c r="DR147" s="79"/>
      <c r="DS147" s="79"/>
      <c r="DT147" s="79"/>
      <c r="DU147" s="79"/>
      <c r="DV147" s="79"/>
      <c r="DW147" s="79"/>
      <c r="DX147" s="79"/>
      <c r="DY147" s="79"/>
      <c r="DZ147" s="79"/>
      <c r="EA147" s="79"/>
      <c r="EB147" s="79"/>
      <c r="EC147" s="79"/>
      <c r="ED147" s="79"/>
      <c r="EE147" s="79"/>
      <c r="EF147" s="79"/>
      <c r="EG147" s="79"/>
      <c r="EH147" s="79"/>
      <c r="EI147" s="79"/>
      <c r="EJ147" s="79"/>
      <c r="EK147" s="79"/>
      <c r="EL147" s="79"/>
      <c r="EM147" s="79"/>
      <c r="EN147" s="79"/>
      <c r="EO147" s="79"/>
      <c r="EP147" s="79"/>
      <c r="EQ147" s="79"/>
      <c r="ER147" s="79"/>
      <c r="ES147" s="79"/>
      <c r="ET147" s="79"/>
      <c r="EU147" s="79"/>
      <c r="EV147" s="79"/>
      <c r="EW147" s="79"/>
      <c r="EX147" s="79"/>
      <c r="EY147" s="79"/>
      <c r="EZ147" s="79"/>
      <c r="FA147" s="79"/>
      <c r="FB147" s="79"/>
      <c r="FC147" s="79"/>
      <c r="FD147" s="79"/>
      <c r="FE147" s="79"/>
      <c r="FF147" s="79"/>
      <c r="FG147" s="79"/>
      <c r="FH147" s="79"/>
      <c r="FI147" s="79"/>
      <c r="FJ147" s="79"/>
      <c r="FK147" s="79"/>
      <c r="FL147" s="79"/>
      <c r="FM147" s="49"/>
      <c r="FN147" s="49"/>
      <c r="FO147" s="49"/>
      <c r="FP147" s="47"/>
      <c r="FQ147" s="47"/>
      <c r="FR147" s="47"/>
      <c r="FS147" s="47"/>
      <c r="FT147" s="47"/>
      <c r="FU147" s="47"/>
      <c r="FV147" s="47"/>
      <c r="FW147" s="47"/>
      <c r="FX147" s="47"/>
      <c r="FY147" s="47"/>
      <c r="FZ147" s="47"/>
      <c r="GA147" s="49"/>
      <c r="GB147" s="49"/>
      <c r="GC147" s="49"/>
      <c r="GD147" s="49"/>
      <c r="GE147" s="49"/>
      <c r="GF147" s="49"/>
      <c r="GG147" s="49"/>
      <c r="GH147" s="49"/>
      <c r="GI147" s="49"/>
      <c r="GJ147" s="49"/>
      <c r="GK147" s="49"/>
      <c r="GL147" s="49"/>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row>
    <row r="148" spans="1:221" ht="3.75" customHeight="1">
      <c r="A148" s="1"/>
      <c r="B148" s="3"/>
      <c r="C148" s="3"/>
      <c r="D148" s="38"/>
      <c r="E148" s="43"/>
      <c r="F148" s="43"/>
      <c r="G148" s="79"/>
      <c r="H148" s="79"/>
      <c r="I148" s="79"/>
      <c r="J148" s="79"/>
      <c r="K148" s="43"/>
      <c r="L148" s="43"/>
      <c r="M148" s="43"/>
      <c r="N148" s="43"/>
      <c r="O148" s="79"/>
      <c r="P148" s="79"/>
      <c r="Q148" s="43"/>
      <c r="R148" s="43"/>
      <c r="S148" s="43"/>
      <c r="T148" s="43"/>
      <c r="U148" s="43"/>
      <c r="V148" s="43"/>
      <c r="W148" s="43"/>
      <c r="X148" s="43"/>
      <c r="Y148" s="38"/>
      <c r="Z148" s="38"/>
      <c r="AA148" s="38"/>
      <c r="AB148" s="38"/>
      <c r="AC148" s="38"/>
      <c r="AD148" s="126"/>
      <c r="AE148" s="126"/>
      <c r="AF148" s="126"/>
      <c r="AG148" s="126"/>
      <c r="AH148" s="126"/>
      <c r="AI148" s="126"/>
      <c r="AJ148" s="126"/>
      <c r="AK148" s="126"/>
      <c r="AL148" s="126"/>
      <c r="AM148" s="126"/>
      <c r="AN148" s="197"/>
      <c r="AO148" s="197"/>
      <c r="AP148" s="197"/>
      <c r="AQ148" s="197"/>
      <c r="AR148" s="197"/>
      <c r="AS148" s="197"/>
      <c r="AT148" s="197"/>
      <c r="AU148" s="197"/>
      <c r="AV148" s="197"/>
      <c r="AW148" s="197"/>
      <c r="AX148" s="197"/>
      <c r="AY148" s="150"/>
      <c r="AZ148" s="150"/>
      <c r="BA148" s="150"/>
      <c r="BB148" s="150"/>
      <c r="BC148" s="150"/>
      <c r="BD148" s="150"/>
      <c r="BE148" s="150"/>
      <c r="BF148" s="150"/>
      <c r="BG148" s="197"/>
      <c r="BH148" s="197"/>
      <c r="BI148" s="150"/>
      <c r="BJ148" s="150"/>
      <c r="BK148" s="150"/>
      <c r="BL148" s="150"/>
      <c r="BM148" s="150"/>
      <c r="BN148" s="150"/>
      <c r="BO148" s="150"/>
      <c r="BP148" s="150"/>
      <c r="BQ148" s="197"/>
      <c r="BR148" s="197"/>
      <c r="BS148" s="197"/>
      <c r="BT148" s="197"/>
      <c r="BU148" s="197"/>
      <c r="BV148" s="146"/>
      <c r="BW148" s="146"/>
      <c r="BX148" s="146"/>
      <c r="BY148" s="146"/>
      <c r="BZ148" s="146"/>
      <c r="CA148" s="146"/>
      <c r="CB148" s="146"/>
      <c r="CC148" s="146"/>
      <c r="CD148" s="43"/>
      <c r="CE148" s="43"/>
      <c r="CF148" s="43"/>
      <c r="CG148" s="43"/>
      <c r="CH148" s="43"/>
      <c r="CI148" s="43"/>
      <c r="CJ148" s="43"/>
      <c r="CK148" s="649" t="str">
        <f ca="1">IF(FU96=0,"","Q")</f>
        <v/>
      </c>
      <c r="CL148" s="645"/>
      <c r="CM148" s="645"/>
      <c r="CN148" s="645"/>
      <c r="CO148" s="197"/>
      <c r="CP148" s="197"/>
      <c r="CQ148" s="43"/>
      <c r="CR148" s="43"/>
      <c r="CS148" s="43"/>
      <c r="CT148" s="43"/>
      <c r="CU148" s="43"/>
      <c r="CV148" s="43"/>
      <c r="CW148" s="43"/>
      <c r="CX148" s="43"/>
      <c r="CY148" s="43"/>
      <c r="CZ148" s="43"/>
      <c r="DA148" s="43"/>
      <c r="DB148" s="43"/>
      <c r="DC148" s="43"/>
      <c r="DD148" s="43"/>
      <c r="DE148" s="43"/>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c r="EZ148" s="79"/>
      <c r="FA148" s="79"/>
      <c r="FB148" s="79"/>
      <c r="FC148" s="79"/>
      <c r="FD148" s="79"/>
      <c r="FE148" s="79"/>
      <c r="FF148" s="79"/>
      <c r="FG148" s="79"/>
      <c r="FH148" s="79"/>
      <c r="FI148" s="79"/>
      <c r="FJ148" s="79"/>
      <c r="FK148" s="79"/>
      <c r="FL148" s="79"/>
      <c r="FM148" s="49"/>
      <c r="FN148" s="49"/>
      <c r="FO148" s="49"/>
      <c r="FP148" s="47"/>
      <c r="FQ148" s="47"/>
      <c r="FR148" s="47"/>
      <c r="FS148" s="47"/>
      <c r="FT148" s="47"/>
      <c r="FU148" s="47"/>
      <c r="FV148" s="47"/>
      <c r="FW148" s="47"/>
      <c r="FX148" s="47"/>
      <c r="FY148" s="47"/>
      <c r="FZ148" s="47"/>
      <c r="GA148" s="49"/>
      <c r="GB148" s="49"/>
      <c r="GC148" s="49"/>
      <c r="GD148" s="49"/>
      <c r="GE148" s="49"/>
      <c r="GF148" s="49"/>
      <c r="GG148" s="49"/>
      <c r="GH148" s="49"/>
      <c r="GI148" s="49"/>
      <c r="GJ148" s="49"/>
      <c r="GK148" s="49"/>
      <c r="GL148" s="49"/>
      <c r="GM148" s="49"/>
      <c r="GN148" s="49"/>
      <c r="GO148" s="49"/>
      <c r="GP148" s="49"/>
      <c r="GQ148" s="49"/>
      <c r="GR148" s="49"/>
      <c r="GS148" s="49"/>
      <c r="GT148" s="49"/>
      <c r="GU148" s="49"/>
      <c r="GV148" s="49"/>
      <c r="GW148" s="49"/>
      <c r="GX148" s="49"/>
      <c r="GY148" s="49"/>
      <c r="GZ148" s="49"/>
      <c r="HA148" s="49"/>
      <c r="HB148" s="49"/>
      <c r="HC148" s="49"/>
      <c r="HD148" s="49"/>
      <c r="HE148" s="49"/>
      <c r="HF148" s="49"/>
      <c r="HG148" s="49"/>
      <c r="HH148" s="49"/>
      <c r="HI148" s="49"/>
      <c r="HJ148" s="49"/>
      <c r="HK148" s="49"/>
      <c r="HL148" s="49"/>
      <c r="HM148" s="49"/>
    </row>
    <row r="149" spans="1:221" ht="3.75" customHeight="1">
      <c r="A149" s="1"/>
      <c r="B149" s="3"/>
      <c r="C149" s="3"/>
      <c r="D149" s="38"/>
      <c r="E149" s="43"/>
      <c r="F149" s="43"/>
      <c r="G149" s="79"/>
      <c r="H149" s="79"/>
      <c r="I149" s="79"/>
      <c r="J149" s="79"/>
      <c r="K149" s="43"/>
      <c r="L149" s="43"/>
      <c r="M149" s="43"/>
      <c r="N149" s="43"/>
      <c r="O149" s="79"/>
      <c r="P149" s="79"/>
      <c r="Q149" s="43"/>
      <c r="R149" s="43"/>
      <c r="S149" s="43"/>
      <c r="T149" s="43"/>
      <c r="U149" s="43"/>
      <c r="V149" s="43"/>
      <c r="W149" s="43"/>
      <c r="X149" s="43"/>
      <c r="Y149" s="38"/>
      <c r="Z149" s="38"/>
      <c r="AA149" s="38"/>
      <c r="AB149" s="38"/>
      <c r="AC149" s="38"/>
      <c r="AD149" s="126"/>
      <c r="AE149" s="126"/>
      <c r="AF149" s="126"/>
      <c r="AG149" s="126"/>
      <c r="AH149" s="126"/>
      <c r="AI149" s="650" t="str">
        <f ca="1">IF(FO50=0,"",0)</f>
        <v/>
      </c>
      <c r="AJ149" s="650"/>
      <c r="AK149" s="650"/>
      <c r="AL149" s="650"/>
      <c r="AM149" s="39"/>
      <c r="AN149" s="151"/>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79"/>
      <c r="BW149" s="43"/>
      <c r="BX149" s="43"/>
      <c r="BY149" s="43"/>
      <c r="BZ149" s="43"/>
      <c r="CA149" s="43"/>
      <c r="CB149" s="43"/>
      <c r="CC149" s="43"/>
      <c r="CD149" s="43"/>
      <c r="CE149" s="43"/>
      <c r="CF149" s="43"/>
      <c r="CG149" s="43"/>
      <c r="CH149" s="43"/>
      <c r="CI149" s="43"/>
      <c r="CJ149" s="43"/>
      <c r="CK149" s="645"/>
      <c r="CL149" s="645"/>
      <c r="CM149" s="645"/>
      <c r="CN149" s="645"/>
      <c r="CO149" s="197"/>
      <c r="CP149" s="197"/>
      <c r="CQ149" s="43"/>
      <c r="CR149" s="43"/>
      <c r="CS149" s="43"/>
      <c r="CT149" s="43"/>
      <c r="CU149" s="43"/>
      <c r="CV149" s="43"/>
      <c r="CW149" s="43"/>
      <c r="CX149" s="43"/>
      <c r="CY149" s="43"/>
      <c r="CZ149" s="43"/>
      <c r="DA149" s="43"/>
      <c r="DB149" s="43"/>
      <c r="DC149" s="43"/>
      <c r="DD149" s="43"/>
      <c r="DE149" s="43"/>
      <c r="DF149" s="79"/>
      <c r="DG149" s="79"/>
      <c r="DH149" s="79"/>
      <c r="DI149" s="79"/>
      <c r="DJ149" s="79"/>
      <c r="DK149" s="79"/>
      <c r="DL149" s="79"/>
      <c r="DM149" s="79"/>
      <c r="DN149" s="79"/>
      <c r="DO149" s="79"/>
      <c r="DP149" s="79"/>
      <c r="DQ149" s="79"/>
      <c r="DR149" s="79"/>
      <c r="DS149" s="79"/>
      <c r="DT149" s="79"/>
      <c r="DU149" s="79"/>
      <c r="DV149" s="79"/>
      <c r="DW149" s="79"/>
      <c r="DX149" s="79"/>
      <c r="DY149" s="79"/>
      <c r="DZ149" s="79"/>
      <c r="EA149" s="79"/>
      <c r="EB149" s="79"/>
      <c r="EC149" s="79"/>
      <c r="ED149" s="79"/>
      <c r="EE149" s="79"/>
      <c r="EF149" s="79"/>
      <c r="EG149" s="79"/>
      <c r="EH149" s="79"/>
      <c r="EI149" s="79"/>
      <c r="EJ149" s="79"/>
      <c r="EK149" s="79"/>
      <c r="EL149" s="79"/>
      <c r="EM149" s="79"/>
      <c r="EN149" s="79"/>
      <c r="EO149" s="79"/>
      <c r="EP149" s="79"/>
      <c r="EQ149" s="79"/>
      <c r="ER149" s="79"/>
      <c r="ES149" s="79"/>
      <c r="ET149" s="79"/>
      <c r="EU149" s="79"/>
      <c r="EV149" s="79"/>
      <c r="EW149" s="79"/>
      <c r="EX149" s="79"/>
      <c r="EY149" s="79"/>
      <c r="EZ149" s="79"/>
      <c r="FA149" s="79"/>
      <c r="FB149" s="79"/>
      <c r="FC149" s="79"/>
      <c r="FD149" s="79"/>
      <c r="FE149" s="79"/>
      <c r="FF149" s="79"/>
      <c r="FG149" s="79"/>
      <c r="FH149" s="79"/>
      <c r="FI149" s="79"/>
      <c r="FJ149" s="79"/>
      <c r="FK149" s="79"/>
      <c r="FL149" s="79"/>
      <c r="FM149" s="49"/>
      <c r="FN149" s="49"/>
      <c r="FO149" s="49"/>
      <c r="FP149" s="47"/>
      <c r="FQ149" s="47"/>
      <c r="FR149" s="47"/>
      <c r="FS149" s="47"/>
      <c r="FT149" s="47"/>
      <c r="FU149" s="47"/>
      <c r="FV149" s="47"/>
      <c r="FW149" s="47"/>
      <c r="FX149" s="47"/>
      <c r="FY149" s="47"/>
      <c r="FZ149" s="47"/>
      <c r="GA149" s="49"/>
      <c r="GB149" s="49"/>
      <c r="GC149" s="49"/>
      <c r="GD149" s="49"/>
      <c r="GE149" s="49"/>
      <c r="GF149" s="49"/>
      <c r="GG149" s="49"/>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row>
    <row r="150" spans="1:221" ht="3.75" customHeight="1">
      <c r="A150" s="1"/>
      <c r="B150" s="3"/>
      <c r="C150" s="3"/>
      <c r="D150" s="38"/>
      <c r="E150" s="43"/>
      <c r="F150" s="43"/>
      <c r="G150" s="79"/>
      <c r="H150" s="79"/>
      <c r="I150" s="79"/>
      <c r="J150" s="79"/>
      <c r="K150" s="43"/>
      <c r="L150" s="43"/>
      <c r="M150" s="43"/>
      <c r="N150" s="43"/>
      <c r="O150" s="79"/>
      <c r="P150" s="79"/>
      <c r="Q150" s="43"/>
      <c r="R150" s="43"/>
      <c r="S150" s="43"/>
      <c r="T150" s="43"/>
      <c r="U150" s="43"/>
      <c r="V150" s="43"/>
      <c r="W150" s="43"/>
      <c r="X150" s="43"/>
      <c r="Y150" s="38"/>
      <c r="Z150" s="38"/>
      <c r="AA150" s="38"/>
      <c r="AB150" s="38"/>
      <c r="AC150" s="38"/>
      <c r="AD150" s="126"/>
      <c r="AE150" s="126"/>
      <c r="AF150" s="126"/>
      <c r="AG150" s="126"/>
      <c r="AH150" s="126"/>
      <c r="AI150" s="650"/>
      <c r="AJ150" s="650"/>
      <c r="AK150" s="650"/>
      <c r="AL150" s="650"/>
      <c r="AM150" s="39"/>
      <c r="AN150" s="39"/>
      <c r="AO150" s="39"/>
      <c r="AP150" s="39"/>
      <c r="AQ150" s="39"/>
      <c r="AR150" s="39"/>
      <c r="AS150" s="39"/>
      <c r="AT150" s="651" t="str">
        <f ca="1">IF(FO50=0,"",ROUND(0.25*FN96,0))</f>
        <v/>
      </c>
      <c r="AU150" s="651"/>
      <c r="AV150" s="651"/>
      <c r="AW150" s="651"/>
      <c r="AX150" s="651"/>
      <c r="AY150" s="651"/>
      <c r="AZ150" s="651"/>
      <c r="BA150" s="651"/>
      <c r="BB150" s="651"/>
      <c r="BC150" s="651"/>
      <c r="BD150" s="651" t="str">
        <f ca="1">IF(FO50=0,"",ROUND(0.5*FN96,0))</f>
        <v/>
      </c>
      <c r="BE150" s="651"/>
      <c r="BF150" s="651"/>
      <c r="BG150" s="651"/>
      <c r="BH150" s="651"/>
      <c r="BI150" s="651"/>
      <c r="BJ150" s="651"/>
      <c r="BK150" s="651"/>
      <c r="BL150" s="651"/>
      <c r="BM150" s="651"/>
      <c r="BN150" s="651" t="str">
        <f ca="1">IF(FO50=0,"",ROUND(0.75*FN96,0))</f>
        <v/>
      </c>
      <c r="BO150" s="651"/>
      <c r="BP150" s="651"/>
      <c r="BQ150" s="651"/>
      <c r="BR150" s="651"/>
      <c r="BS150" s="651"/>
      <c r="BT150" s="651"/>
      <c r="BU150" s="651"/>
      <c r="BV150" s="651"/>
      <c r="BW150" s="651"/>
      <c r="BX150" s="651" t="str">
        <f ca="1">IF(FO50=0,"",FN96)</f>
        <v/>
      </c>
      <c r="BY150" s="651"/>
      <c r="BZ150" s="651"/>
      <c r="CA150" s="651"/>
      <c r="CB150" s="651"/>
      <c r="CC150" s="651"/>
      <c r="CD150" s="651"/>
      <c r="CE150" s="651"/>
      <c r="CF150" s="651"/>
      <c r="CG150" s="651"/>
      <c r="CH150" s="43"/>
      <c r="CI150" s="43"/>
      <c r="CJ150" s="43"/>
      <c r="CK150" s="645"/>
      <c r="CL150" s="645"/>
      <c r="CM150" s="645"/>
      <c r="CN150" s="645"/>
      <c r="CO150" s="197"/>
      <c r="CP150" s="197"/>
      <c r="CQ150" s="43"/>
      <c r="CR150" s="43"/>
      <c r="CS150" s="43"/>
      <c r="CT150" s="43"/>
      <c r="CU150" s="43"/>
      <c r="CV150" s="43"/>
      <c r="CW150" s="43"/>
      <c r="CX150" s="43"/>
      <c r="CY150" s="43"/>
      <c r="CZ150" s="43"/>
      <c r="DA150" s="43"/>
      <c r="DB150" s="43"/>
      <c r="DC150" s="43"/>
      <c r="DD150" s="43"/>
      <c r="DE150" s="43"/>
      <c r="DF150" s="79"/>
      <c r="DG150" s="79"/>
      <c r="DH150" s="79"/>
      <c r="DI150" s="79"/>
      <c r="DJ150" s="79"/>
      <c r="DK150" s="79"/>
      <c r="DL150" s="79"/>
      <c r="DM150" s="79"/>
      <c r="DN150" s="79"/>
      <c r="DO150" s="79"/>
      <c r="DP150" s="79"/>
      <c r="DQ150" s="79"/>
      <c r="DR150" s="79"/>
      <c r="DS150" s="79"/>
      <c r="DT150" s="79"/>
      <c r="DU150" s="79"/>
      <c r="DV150" s="79"/>
      <c r="DW150" s="79"/>
      <c r="DX150" s="79"/>
      <c r="DY150" s="79"/>
      <c r="DZ150" s="79"/>
      <c r="EA150" s="79"/>
      <c r="EB150" s="79"/>
      <c r="EC150" s="79"/>
      <c r="ED150" s="79"/>
      <c r="EE150" s="79"/>
      <c r="EF150" s="79"/>
      <c r="EG150" s="79"/>
      <c r="EH150" s="79"/>
      <c r="EI150" s="79"/>
      <c r="EJ150" s="79"/>
      <c r="EK150" s="79"/>
      <c r="EL150" s="79"/>
      <c r="EM150" s="79"/>
      <c r="EN150" s="79"/>
      <c r="EO150" s="79"/>
      <c r="EP150" s="79"/>
      <c r="EQ150" s="79"/>
      <c r="ER150" s="79"/>
      <c r="ES150" s="79"/>
      <c r="ET150" s="79"/>
      <c r="EU150" s="79"/>
      <c r="EV150" s="79"/>
      <c r="EW150" s="79"/>
      <c r="EX150" s="79"/>
      <c r="EY150" s="79"/>
      <c r="EZ150" s="79"/>
      <c r="FA150" s="79"/>
      <c r="FB150" s="79"/>
      <c r="FC150" s="79"/>
      <c r="FD150" s="79"/>
      <c r="FE150" s="79"/>
      <c r="FF150" s="79"/>
      <c r="FG150" s="79"/>
      <c r="FH150" s="79"/>
      <c r="FI150" s="79"/>
      <c r="FJ150" s="79"/>
      <c r="FK150" s="79"/>
      <c r="FL150" s="79"/>
      <c r="FM150" s="49"/>
      <c r="FN150" s="49"/>
      <c r="FO150" s="49"/>
      <c r="FP150" s="47"/>
      <c r="FQ150" s="47"/>
      <c r="FR150" s="47"/>
      <c r="FS150" s="47"/>
      <c r="FT150" s="47"/>
      <c r="FU150" s="47"/>
      <c r="FV150" s="47"/>
      <c r="FW150" s="47"/>
      <c r="FX150" s="47"/>
      <c r="FY150" s="47"/>
      <c r="FZ150" s="47"/>
      <c r="GA150" s="49"/>
      <c r="GB150" s="49"/>
      <c r="GC150" s="49"/>
      <c r="GD150" s="49"/>
      <c r="GE150" s="49"/>
      <c r="GF150" s="49"/>
      <c r="GG150" s="49"/>
      <c r="GH150" s="49"/>
      <c r="GI150" s="49"/>
      <c r="GJ150" s="49"/>
      <c r="GK150" s="49"/>
      <c r="GL150" s="49"/>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row>
    <row r="151" spans="1:221" ht="3.75" customHeight="1">
      <c r="A151" s="1"/>
      <c r="B151" s="3"/>
      <c r="C151" s="3"/>
      <c r="D151" s="38"/>
      <c r="E151" s="43"/>
      <c r="F151" s="43"/>
      <c r="G151" s="79"/>
      <c r="H151" s="79"/>
      <c r="I151" s="79"/>
      <c r="J151" s="79"/>
      <c r="K151" s="43"/>
      <c r="L151" s="43"/>
      <c r="M151" s="43"/>
      <c r="N151" s="43"/>
      <c r="O151" s="79"/>
      <c r="P151" s="79"/>
      <c r="Q151" s="43"/>
      <c r="R151" s="43"/>
      <c r="S151" s="43"/>
      <c r="T151" s="43"/>
      <c r="U151" s="43"/>
      <c r="V151" s="43"/>
      <c r="W151" s="43"/>
      <c r="X151" s="43"/>
      <c r="Y151" s="38"/>
      <c r="Z151" s="38"/>
      <c r="AA151" s="38"/>
      <c r="AB151" s="38"/>
      <c r="AC151" s="38"/>
      <c r="AD151" s="126"/>
      <c r="AE151" s="126"/>
      <c r="AF151" s="126"/>
      <c r="AG151" s="126"/>
      <c r="AH151" s="126"/>
      <c r="AI151" s="650"/>
      <c r="AJ151" s="650"/>
      <c r="AK151" s="650"/>
      <c r="AL151" s="650"/>
      <c r="AM151" s="39"/>
      <c r="AN151" s="39"/>
      <c r="AO151" s="39"/>
      <c r="AP151" s="39"/>
      <c r="AQ151" s="39"/>
      <c r="AR151" s="39"/>
      <c r="AS151" s="39"/>
      <c r="AT151" s="651"/>
      <c r="AU151" s="651"/>
      <c r="AV151" s="651"/>
      <c r="AW151" s="651"/>
      <c r="AX151" s="651"/>
      <c r="AY151" s="651"/>
      <c r="AZ151" s="651"/>
      <c r="BA151" s="651"/>
      <c r="BB151" s="651"/>
      <c r="BC151" s="651"/>
      <c r="BD151" s="651"/>
      <c r="BE151" s="651"/>
      <c r="BF151" s="651"/>
      <c r="BG151" s="651"/>
      <c r="BH151" s="651"/>
      <c r="BI151" s="651"/>
      <c r="BJ151" s="651"/>
      <c r="BK151" s="651"/>
      <c r="BL151" s="651"/>
      <c r="BM151" s="651"/>
      <c r="BN151" s="651"/>
      <c r="BO151" s="651"/>
      <c r="BP151" s="651"/>
      <c r="BQ151" s="651"/>
      <c r="BR151" s="651"/>
      <c r="BS151" s="651"/>
      <c r="BT151" s="651"/>
      <c r="BU151" s="651"/>
      <c r="BV151" s="651"/>
      <c r="BW151" s="651"/>
      <c r="BX151" s="651"/>
      <c r="BY151" s="651"/>
      <c r="BZ151" s="651"/>
      <c r="CA151" s="651"/>
      <c r="CB151" s="651"/>
      <c r="CC151" s="651"/>
      <c r="CD151" s="651"/>
      <c r="CE151" s="651"/>
      <c r="CF151" s="651"/>
      <c r="CG151" s="651"/>
      <c r="CH151" s="43"/>
      <c r="CI151" s="43"/>
      <c r="CJ151" s="43"/>
      <c r="CK151" s="645"/>
      <c r="CL151" s="645"/>
      <c r="CM151" s="645"/>
      <c r="CN151" s="645"/>
      <c r="CO151" s="197"/>
      <c r="CP151" s="197"/>
      <c r="CQ151" s="43"/>
      <c r="CR151" s="43"/>
      <c r="CS151" s="43"/>
      <c r="CT151" s="43"/>
      <c r="CU151" s="43"/>
      <c r="CV151" s="43"/>
      <c r="CW151" s="43"/>
      <c r="CX151" s="43"/>
      <c r="CY151" s="43"/>
      <c r="CZ151" s="43"/>
      <c r="DA151" s="43"/>
      <c r="DB151" s="43"/>
      <c r="DC151" s="43"/>
      <c r="DD151" s="43"/>
      <c r="DE151" s="43"/>
      <c r="DF151" s="79"/>
      <c r="DG151" s="79"/>
      <c r="DH151" s="79"/>
      <c r="DI151" s="79"/>
      <c r="DJ151" s="79"/>
      <c r="DK151" s="79"/>
      <c r="DL151" s="79"/>
      <c r="DM151" s="79"/>
      <c r="DN151" s="79"/>
      <c r="DO151" s="79"/>
      <c r="DP151" s="79"/>
      <c r="DQ151" s="79"/>
      <c r="DR151" s="79"/>
      <c r="DS151" s="79"/>
      <c r="DT151" s="79"/>
      <c r="DU151" s="79"/>
      <c r="DV151" s="79"/>
      <c r="DW151" s="79"/>
      <c r="DX151" s="79"/>
      <c r="DY151" s="79"/>
      <c r="DZ151" s="79"/>
      <c r="EA151" s="79"/>
      <c r="EB151" s="79"/>
      <c r="EC151" s="79"/>
      <c r="ED151" s="79"/>
      <c r="EE151" s="79"/>
      <c r="EF151" s="79"/>
      <c r="EG151" s="79"/>
      <c r="EH151" s="79"/>
      <c r="EI151" s="79"/>
      <c r="EJ151" s="79"/>
      <c r="EK151" s="79"/>
      <c r="EL151" s="79"/>
      <c r="EM151" s="79"/>
      <c r="EN151" s="79"/>
      <c r="EO151" s="79"/>
      <c r="EP151" s="79"/>
      <c r="EQ151" s="79"/>
      <c r="ER151" s="79"/>
      <c r="ES151" s="79"/>
      <c r="ET151" s="79"/>
      <c r="EU151" s="79"/>
      <c r="EV151" s="79"/>
      <c r="EW151" s="79"/>
      <c r="EX151" s="79"/>
      <c r="EY151" s="79"/>
      <c r="EZ151" s="79"/>
      <c r="FA151" s="79"/>
      <c r="FB151" s="79"/>
      <c r="FC151" s="79"/>
      <c r="FD151" s="79"/>
      <c r="FE151" s="79"/>
      <c r="FF151" s="79"/>
      <c r="FG151" s="79"/>
      <c r="FH151" s="79"/>
      <c r="FI151" s="79"/>
      <c r="FJ151" s="79"/>
      <c r="FK151" s="79"/>
      <c r="FL151" s="79"/>
      <c r="FM151" s="49"/>
      <c r="FN151" s="49"/>
      <c r="FO151" s="49"/>
      <c r="FP151" s="47"/>
      <c r="FQ151" s="47"/>
      <c r="FR151" s="47"/>
      <c r="FS151" s="47"/>
      <c r="FT151" s="47"/>
      <c r="FU151" s="47"/>
      <c r="FV151" s="47"/>
      <c r="FW151" s="47"/>
      <c r="FX151" s="47"/>
      <c r="FY151" s="47"/>
      <c r="FZ151" s="47"/>
      <c r="GA151" s="49"/>
      <c r="GB151" s="49"/>
      <c r="GC151" s="49"/>
      <c r="GD151" s="49"/>
      <c r="GE151" s="49"/>
      <c r="GF151" s="49"/>
      <c r="GG151" s="49"/>
      <c r="GH151" s="49"/>
      <c r="GI151" s="49"/>
      <c r="GJ151" s="49"/>
      <c r="GK151" s="49"/>
      <c r="GL151" s="49"/>
      <c r="GM151" s="49"/>
      <c r="GN151" s="49"/>
      <c r="GO151" s="49"/>
      <c r="GP151" s="49"/>
      <c r="GQ151" s="49"/>
      <c r="GR151" s="49"/>
      <c r="GS151" s="49"/>
      <c r="GT151" s="49"/>
      <c r="GU151" s="49"/>
      <c r="GV151" s="49"/>
      <c r="GW151" s="49"/>
      <c r="GX151" s="49"/>
      <c r="GY151" s="49"/>
      <c r="GZ151" s="49"/>
      <c r="HA151" s="49"/>
      <c r="HB151" s="49"/>
      <c r="HC151" s="49"/>
      <c r="HD151" s="49"/>
      <c r="HE151" s="49"/>
      <c r="HF151" s="49"/>
      <c r="HG151" s="49"/>
      <c r="HH151" s="49"/>
      <c r="HI151" s="49"/>
      <c r="HJ151" s="49"/>
      <c r="HK151" s="49"/>
      <c r="HL151" s="49"/>
      <c r="HM151" s="49"/>
    </row>
    <row r="152" spans="1:221" ht="3.75" customHeight="1">
      <c r="A152" s="1"/>
      <c r="B152" s="3"/>
      <c r="C152" s="3"/>
      <c r="D152" s="38"/>
      <c r="E152" s="43"/>
      <c r="F152" s="43"/>
      <c r="G152" s="79"/>
      <c r="H152" s="79"/>
      <c r="I152" s="79"/>
      <c r="J152" s="79"/>
      <c r="K152" s="43"/>
      <c r="L152" s="43"/>
      <c r="M152" s="43"/>
      <c r="N152" s="43"/>
      <c r="O152" s="79"/>
      <c r="P152" s="79"/>
      <c r="Q152" s="43"/>
      <c r="R152" s="43"/>
      <c r="S152" s="43"/>
      <c r="T152" s="43"/>
      <c r="U152" s="43"/>
      <c r="V152" s="43"/>
      <c r="W152" s="43"/>
      <c r="X152" s="43"/>
      <c r="Y152" s="38"/>
      <c r="Z152" s="38"/>
      <c r="AA152" s="38"/>
      <c r="AB152" s="38"/>
      <c r="AC152" s="38"/>
      <c r="AD152" s="126"/>
      <c r="AE152" s="126"/>
      <c r="AF152" s="126"/>
      <c r="AG152" s="126"/>
      <c r="AH152" s="126"/>
      <c r="AI152" s="650"/>
      <c r="AJ152" s="650"/>
      <c r="AK152" s="650"/>
      <c r="AL152" s="650"/>
      <c r="AM152" s="39"/>
      <c r="AN152" s="39"/>
      <c r="AO152" s="39"/>
      <c r="AP152" s="39"/>
      <c r="AQ152" s="39"/>
      <c r="AR152" s="39"/>
      <c r="AS152" s="39"/>
      <c r="AT152" s="651"/>
      <c r="AU152" s="651"/>
      <c r="AV152" s="651"/>
      <c r="AW152" s="651"/>
      <c r="AX152" s="651"/>
      <c r="AY152" s="651"/>
      <c r="AZ152" s="651"/>
      <c r="BA152" s="651"/>
      <c r="BB152" s="651"/>
      <c r="BC152" s="651"/>
      <c r="BD152" s="651"/>
      <c r="BE152" s="651"/>
      <c r="BF152" s="651"/>
      <c r="BG152" s="651"/>
      <c r="BH152" s="651"/>
      <c r="BI152" s="651"/>
      <c r="BJ152" s="651"/>
      <c r="BK152" s="651"/>
      <c r="BL152" s="651"/>
      <c r="BM152" s="651"/>
      <c r="BN152" s="651"/>
      <c r="BO152" s="651"/>
      <c r="BP152" s="651"/>
      <c r="BQ152" s="651"/>
      <c r="BR152" s="651"/>
      <c r="BS152" s="651"/>
      <c r="BT152" s="651"/>
      <c r="BU152" s="651"/>
      <c r="BV152" s="651"/>
      <c r="BW152" s="651"/>
      <c r="BX152" s="651"/>
      <c r="BY152" s="651"/>
      <c r="BZ152" s="651"/>
      <c r="CA152" s="651"/>
      <c r="CB152" s="651"/>
      <c r="CC152" s="651"/>
      <c r="CD152" s="651"/>
      <c r="CE152" s="651"/>
      <c r="CF152" s="651"/>
      <c r="CG152" s="651"/>
      <c r="CH152" s="43"/>
      <c r="CI152" s="197"/>
      <c r="CJ152" s="197"/>
      <c r="CK152" s="197"/>
      <c r="CL152" s="197"/>
      <c r="CM152" s="197"/>
      <c r="CN152" s="197"/>
      <c r="CO152" s="197"/>
      <c r="CP152" s="197"/>
      <c r="CQ152" s="43"/>
      <c r="CR152" s="43"/>
      <c r="CS152" s="43"/>
      <c r="CT152" s="43"/>
      <c r="CU152" s="43"/>
      <c r="CV152" s="43"/>
      <c r="CW152" s="43"/>
      <c r="CX152" s="43"/>
      <c r="CY152" s="43"/>
      <c r="CZ152" s="43"/>
      <c r="DA152" s="43"/>
      <c r="DB152" s="43"/>
      <c r="DC152" s="43"/>
      <c r="DD152" s="43"/>
      <c r="DE152" s="43"/>
      <c r="DF152" s="79"/>
      <c r="DG152" s="79"/>
      <c r="DH152" s="79"/>
      <c r="DI152" s="79"/>
      <c r="DJ152" s="79"/>
      <c r="DK152" s="79"/>
      <c r="DL152" s="79"/>
      <c r="DM152" s="79"/>
      <c r="DN152" s="79"/>
      <c r="DO152" s="79"/>
      <c r="DP152" s="79"/>
      <c r="DQ152" s="79"/>
      <c r="DR152" s="79"/>
      <c r="DS152" s="79"/>
      <c r="DT152" s="79"/>
      <c r="DU152" s="79"/>
      <c r="DV152" s="79"/>
      <c r="DW152" s="79"/>
      <c r="DX152" s="79"/>
      <c r="DY152" s="79"/>
      <c r="DZ152" s="79"/>
      <c r="EA152" s="79"/>
      <c r="EB152" s="79"/>
      <c r="EC152" s="79"/>
      <c r="ED152" s="79"/>
      <c r="EE152" s="79"/>
      <c r="EF152" s="79"/>
      <c r="EG152" s="79"/>
      <c r="EH152" s="79"/>
      <c r="EI152" s="79"/>
      <c r="EJ152" s="79"/>
      <c r="EK152" s="79"/>
      <c r="EL152" s="79"/>
      <c r="EM152" s="79"/>
      <c r="EN152" s="79"/>
      <c r="EO152" s="79"/>
      <c r="EP152" s="79"/>
      <c r="EQ152" s="79"/>
      <c r="ER152" s="79"/>
      <c r="ES152" s="79"/>
      <c r="ET152" s="79"/>
      <c r="EU152" s="79"/>
      <c r="EV152" s="79"/>
      <c r="EW152" s="79"/>
      <c r="EX152" s="10"/>
      <c r="EY152" s="10"/>
      <c r="EZ152" s="10"/>
      <c r="FA152" s="10"/>
      <c r="FB152" s="10"/>
      <c r="FC152" s="10"/>
      <c r="FD152" s="10"/>
      <c r="FE152" s="10"/>
      <c r="FF152" s="10"/>
      <c r="FG152" s="10"/>
      <c r="FH152" s="10"/>
      <c r="FI152" s="10"/>
      <c r="FJ152" s="10"/>
      <c r="FK152" s="10"/>
      <c r="FL152" s="10"/>
      <c r="FM152" s="49"/>
      <c r="FN152" s="49"/>
      <c r="FO152" s="49"/>
      <c r="FP152" s="47"/>
      <c r="FQ152" s="47"/>
      <c r="FR152" s="47"/>
      <c r="FS152" s="47"/>
      <c r="FT152" s="47"/>
      <c r="FU152" s="47"/>
      <c r="FV152" s="47"/>
      <c r="FW152" s="47"/>
      <c r="FX152" s="47"/>
      <c r="FY152" s="47"/>
      <c r="FZ152" s="47"/>
      <c r="GA152" s="49"/>
      <c r="GB152" s="49"/>
      <c r="GC152" s="49"/>
      <c r="GD152" s="49"/>
      <c r="GE152" s="49"/>
      <c r="GF152" s="49"/>
      <c r="GG152" s="49"/>
      <c r="GH152" s="49"/>
      <c r="GI152" s="49"/>
      <c r="GJ152" s="49"/>
      <c r="GK152" s="49"/>
      <c r="GL152" s="49"/>
      <c r="GM152" s="49"/>
      <c r="GN152" s="49"/>
      <c r="GO152" s="49"/>
      <c r="GP152" s="49"/>
      <c r="GQ152" s="49"/>
      <c r="GR152" s="49"/>
      <c r="GS152" s="49"/>
      <c r="GT152" s="49"/>
      <c r="GU152" s="49"/>
      <c r="GV152" s="49"/>
      <c r="GW152" s="49"/>
      <c r="GX152" s="49"/>
      <c r="GY152" s="49"/>
      <c r="GZ152" s="49"/>
      <c r="HA152" s="49"/>
      <c r="HB152" s="49"/>
      <c r="HC152" s="49"/>
      <c r="HD152" s="49"/>
      <c r="HE152" s="49"/>
      <c r="HF152" s="49"/>
      <c r="HG152" s="49"/>
      <c r="HH152" s="49"/>
      <c r="HI152" s="49"/>
      <c r="HJ152" s="49"/>
      <c r="HK152" s="49"/>
      <c r="HL152" s="49"/>
      <c r="HM152" s="49"/>
    </row>
    <row r="153" spans="1:221" ht="3.75" customHeight="1">
      <c r="A153" s="1"/>
      <c r="B153" s="3"/>
      <c r="C153" s="3"/>
      <c r="D153" s="38"/>
      <c r="E153" s="43"/>
      <c r="F153" s="43"/>
      <c r="G153" s="79"/>
      <c r="H153" s="79"/>
      <c r="I153" s="79"/>
      <c r="J153" s="79"/>
      <c r="K153" s="43"/>
      <c r="L153" s="43"/>
      <c r="M153" s="43"/>
      <c r="N153" s="43"/>
      <c r="O153" s="79"/>
      <c r="P153" s="79"/>
      <c r="Q153" s="43"/>
      <c r="R153" s="43"/>
      <c r="S153" s="43"/>
      <c r="T153" s="43"/>
      <c r="U153" s="43"/>
      <c r="V153" s="43"/>
      <c r="W153" s="43"/>
      <c r="X153" s="43"/>
      <c r="Y153" s="38"/>
      <c r="Z153" s="38"/>
      <c r="AA153" s="38"/>
      <c r="AB153" s="38"/>
      <c r="AC153" s="38"/>
      <c r="AD153" s="126"/>
      <c r="AE153" s="126"/>
      <c r="AF153" s="126"/>
      <c r="AG153" s="126"/>
      <c r="AH153" s="126"/>
      <c r="AI153" s="126"/>
      <c r="AJ153" s="126"/>
      <c r="AK153" s="126"/>
      <c r="AL153" s="39"/>
      <c r="AM153" s="39"/>
      <c r="AN153" s="39"/>
      <c r="AO153" s="39"/>
      <c r="AP153" s="39"/>
      <c r="AQ153" s="39"/>
      <c r="AR153" s="39"/>
      <c r="AS153" s="39"/>
      <c r="AT153" s="651"/>
      <c r="AU153" s="651"/>
      <c r="AV153" s="651"/>
      <c r="AW153" s="651"/>
      <c r="AX153" s="651"/>
      <c r="AY153" s="651"/>
      <c r="AZ153" s="651"/>
      <c r="BA153" s="651"/>
      <c r="BB153" s="651"/>
      <c r="BC153" s="651"/>
      <c r="BD153" s="651"/>
      <c r="BE153" s="651"/>
      <c r="BF153" s="651"/>
      <c r="BG153" s="651"/>
      <c r="BH153" s="651"/>
      <c r="BI153" s="651"/>
      <c r="BJ153" s="651"/>
      <c r="BK153" s="651"/>
      <c r="BL153" s="651"/>
      <c r="BM153" s="651"/>
      <c r="BN153" s="651"/>
      <c r="BO153" s="651"/>
      <c r="BP153" s="651"/>
      <c r="BQ153" s="651"/>
      <c r="BR153" s="651"/>
      <c r="BS153" s="651"/>
      <c r="BT153" s="651"/>
      <c r="BU153" s="651"/>
      <c r="BV153" s="651"/>
      <c r="BW153" s="651"/>
      <c r="BX153" s="651"/>
      <c r="BY153" s="651"/>
      <c r="BZ153" s="651"/>
      <c r="CA153" s="651"/>
      <c r="CB153" s="651"/>
      <c r="CC153" s="651"/>
      <c r="CD153" s="651"/>
      <c r="CE153" s="651"/>
      <c r="CF153" s="651"/>
      <c r="CG153" s="651"/>
      <c r="CH153" s="43"/>
      <c r="CI153" s="43"/>
      <c r="CJ153" s="43"/>
      <c r="CK153" s="43"/>
      <c r="CL153" s="43"/>
      <c r="CM153" s="43"/>
      <c r="CN153" s="43"/>
      <c r="CO153" s="43"/>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79"/>
      <c r="EK153" s="79"/>
      <c r="EL153" s="79"/>
      <c r="EM153" s="79"/>
      <c r="EN153" s="79"/>
      <c r="EO153" s="79"/>
      <c r="EP153" s="79"/>
      <c r="EQ153" s="79"/>
      <c r="ER153" s="79"/>
      <c r="ES153" s="79"/>
      <c r="ET153" s="79"/>
      <c r="EU153" s="79"/>
      <c r="EV153" s="79"/>
      <c r="EW153" s="79"/>
      <c r="EX153" s="10"/>
      <c r="EY153" s="10"/>
      <c r="EZ153" s="10"/>
      <c r="FA153" s="10"/>
      <c r="FB153" s="10"/>
      <c r="FC153" s="10"/>
      <c r="FD153" s="10"/>
      <c r="FE153" s="10"/>
      <c r="FF153" s="10"/>
      <c r="FG153" s="10"/>
      <c r="FH153" s="10"/>
      <c r="FI153" s="10"/>
      <c r="FJ153" s="10"/>
      <c r="FK153" s="10"/>
      <c r="FL153" s="10"/>
      <c r="FM153" s="49"/>
      <c r="FN153" s="49"/>
      <c r="FO153" s="49"/>
      <c r="FP153" s="47"/>
      <c r="FQ153" s="47"/>
      <c r="FR153" s="47"/>
      <c r="FS153" s="47"/>
      <c r="FT153" s="47"/>
      <c r="FU153" s="47"/>
      <c r="FV153" s="47"/>
      <c r="FW153" s="47"/>
      <c r="FX153" s="47"/>
      <c r="FY153" s="47"/>
      <c r="FZ153" s="47"/>
      <c r="GA153" s="49"/>
      <c r="GB153" s="49"/>
      <c r="GC153" s="49"/>
      <c r="GD153" s="49"/>
      <c r="GE153" s="49"/>
      <c r="GF153" s="49"/>
      <c r="GG153" s="49"/>
      <c r="GH153" s="49"/>
      <c r="GI153" s="49"/>
      <c r="GJ153" s="49"/>
      <c r="GK153" s="49"/>
      <c r="GL153" s="49"/>
      <c r="GM153" s="49"/>
      <c r="GN153" s="49"/>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row>
    <row r="154" spans="1:221" ht="5.25" customHeight="1">
      <c r="A154" s="1"/>
      <c r="B154" s="3"/>
      <c r="C154" s="3"/>
      <c r="D154" s="43"/>
      <c r="E154" s="43"/>
      <c r="F154" s="43"/>
      <c r="G154" s="79"/>
      <c r="H154" s="79"/>
      <c r="I154" s="79"/>
      <c r="J154" s="79"/>
      <c r="K154" s="79"/>
      <c r="L154" s="79"/>
      <c r="M154" s="79"/>
      <c r="N154" s="79"/>
      <c r="O154" s="79"/>
      <c r="P154" s="79"/>
      <c r="Q154" s="79"/>
      <c r="R154" s="79"/>
      <c r="S154" s="79"/>
      <c r="T154" s="79"/>
      <c r="U154" s="79"/>
      <c r="V154" s="79"/>
      <c r="W154" s="79"/>
      <c r="X154" s="79"/>
      <c r="Y154" s="38"/>
      <c r="Z154" s="38"/>
      <c r="AA154" s="38"/>
      <c r="AB154" s="38"/>
      <c r="AC154" s="38"/>
      <c r="AD154" s="126"/>
      <c r="AE154" s="126"/>
      <c r="AF154" s="126"/>
      <c r="AG154" s="126"/>
      <c r="AH154" s="126"/>
      <c r="AI154" s="126"/>
      <c r="AJ154" s="126"/>
      <c r="AK154" s="126"/>
      <c r="AL154" s="126"/>
      <c r="AM154" s="126"/>
      <c r="AN154" s="43"/>
      <c r="AO154" s="43">
        <v>1</v>
      </c>
      <c r="AP154" s="43">
        <v>2</v>
      </c>
      <c r="AQ154" s="43">
        <v>3</v>
      </c>
      <c r="AR154" s="43">
        <v>4</v>
      </c>
      <c r="AS154" s="43">
        <v>5</v>
      </c>
      <c r="AT154" s="43">
        <v>6</v>
      </c>
      <c r="AU154" s="43">
        <v>7</v>
      </c>
      <c r="AV154" s="43">
        <v>8</v>
      </c>
      <c r="AW154" s="43">
        <v>9</v>
      </c>
      <c r="AX154" s="43">
        <v>10</v>
      </c>
      <c r="AY154" s="43">
        <v>11</v>
      </c>
      <c r="AZ154" s="43">
        <v>12</v>
      </c>
      <c r="BA154" s="43">
        <v>13</v>
      </c>
      <c r="BB154" s="43">
        <v>14</v>
      </c>
      <c r="BC154" s="43">
        <v>15</v>
      </c>
      <c r="BD154" s="43">
        <v>16</v>
      </c>
      <c r="BE154" s="43">
        <v>17</v>
      </c>
      <c r="BF154" s="43">
        <v>18</v>
      </c>
      <c r="BG154" s="43">
        <v>19</v>
      </c>
      <c r="BH154" s="43">
        <v>20</v>
      </c>
      <c r="BI154" s="43">
        <v>21</v>
      </c>
      <c r="BJ154" s="43">
        <v>22</v>
      </c>
      <c r="BK154" s="43">
        <v>23</v>
      </c>
      <c r="BL154" s="43">
        <v>24</v>
      </c>
      <c r="BM154" s="43">
        <v>25</v>
      </c>
      <c r="BN154" s="43">
        <v>26</v>
      </c>
      <c r="BO154" s="43">
        <v>27</v>
      </c>
      <c r="BP154" s="43">
        <v>28</v>
      </c>
      <c r="BQ154" s="43">
        <v>29</v>
      </c>
      <c r="BR154" s="43">
        <v>30</v>
      </c>
      <c r="BS154" s="43">
        <v>31</v>
      </c>
      <c r="BT154" s="43">
        <v>32</v>
      </c>
      <c r="BU154" s="43">
        <v>33</v>
      </c>
      <c r="BV154" s="43">
        <v>34</v>
      </c>
      <c r="BW154" s="43">
        <v>35</v>
      </c>
      <c r="BX154" s="43">
        <v>36</v>
      </c>
      <c r="BY154" s="43">
        <v>37</v>
      </c>
      <c r="BZ154" s="43">
        <v>38</v>
      </c>
      <c r="CA154" s="43">
        <v>39</v>
      </c>
      <c r="CB154" s="43">
        <v>40</v>
      </c>
      <c r="CC154" s="43"/>
      <c r="CD154" s="43"/>
      <c r="CE154" s="43"/>
      <c r="CF154" s="43"/>
      <c r="CG154" s="43"/>
      <c r="CH154" s="43"/>
      <c r="CI154" s="126"/>
      <c r="CJ154" s="126"/>
      <c r="CK154" s="126"/>
      <c r="CL154" s="126"/>
      <c r="CM154" s="126"/>
      <c r="CN154" s="126"/>
      <c r="CO154" s="38"/>
      <c r="CP154" s="38"/>
      <c r="CQ154" s="79"/>
      <c r="CR154" s="79"/>
      <c r="CS154" s="79"/>
      <c r="CT154" s="79"/>
      <c r="CU154" s="79"/>
      <c r="CV154" s="79"/>
      <c r="CW154" s="79"/>
      <c r="CX154" s="79"/>
      <c r="CY154" s="79"/>
      <c r="CZ154" s="79"/>
      <c r="DA154" s="79"/>
      <c r="DB154" s="79"/>
      <c r="DC154" s="79"/>
      <c r="DD154" s="79"/>
      <c r="DE154" s="79"/>
      <c r="DF154" s="79"/>
      <c r="DG154" s="79"/>
      <c r="DH154" s="79"/>
      <c r="DI154" s="79"/>
      <c r="DJ154" s="79"/>
      <c r="DK154" s="79"/>
      <c r="DL154" s="79"/>
      <c r="DM154" s="79"/>
      <c r="DN154" s="79"/>
      <c r="DO154" s="79"/>
      <c r="DP154" s="79"/>
      <c r="DQ154" s="79"/>
      <c r="DR154" s="79"/>
      <c r="DS154" s="79"/>
      <c r="DT154" s="79"/>
      <c r="DU154" s="79"/>
      <c r="DV154" s="79"/>
      <c r="DW154" s="79"/>
      <c r="DX154" s="79"/>
      <c r="DY154" s="79"/>
      <c r="DZ154" s="79"/>
      <c r="EA154" s="79"/>
      <c r="EB154" s="79"/>
      <c r="EC154" s="79"/>
      <c r="ED154" s="79"/>
      <c r="EE154" s="79"/>
      <c r="EF154" s="79"/>
      <c r="EG154" s="79"/>
      <c r="EH154" s="79"/>
      <c r="EI154" s="79"/>
      <c r="EJ154" s="79"/>
      <c r="EK154" s="79"/>
      <c r="EL154" s="79"/>
      <c r="EM154" s="79"/>
      <c r="EN154" s="79"/>
      <c r="EO154" s="79"/>
      <c r="EP154" s="79"/>
      <c r="EQ154" s="79"/>
      <c r="ER154" s="79"/>
      <c r="ES154" s="79"/>
      <c r="ET154" s="79"/>
      <c r="EU154" s="79"/>
      <c r="EV154" s="79"/>
      <c r="EW154" s="79"/>
      <c r="EX154" s="10"/>
      <c r="EY154" s="10"/>
      <c r="EZ154" s="10"/>
      <c r="FA154" s="10"/>
      <c r="FB154" s="10"/>
      <c r="FC154" s="10"/>
      <c r="FD154" s="10"/>
      <c r="FE154" s="10"/>
      <c r="FF154" s="10"/>
      <c r="FG154" s="10"/>
      <c r="FH154" s="10"/>
      <c r="FI154" s="10"/>
      <c r="FJ154" s="10"/>
      <c r="FK154" s="10"/>
      <c r="FL154" s="10"/>
      <c r="FM154" s="49"/>
      <c r="FN154" s="49">
        <v>1</v>
      </c>
      <c r="FO154" s="49"/>
      <c r="FP154" s="47"/>
      <c r="FQ154" s="47"/>
      <c r="FR154" s="47"/>
      <c r="FS154" s="47"/>
      <c r="FT154" s="47"/>
      <c r="FU154" s="47"/>
      <c r="FV154" s="47"/>
      <c r="FW154" s="47"/>
      <c r="FX154" s="47"/>
      <c r="FY154" s="47"/>
      <c r="FZ154" s="47"/>
      <c r="GA154" s="49"/>
      <c r="GB154" s="49"/>
      <c r="GC154" s="49"/>
      <c r="GD154" s="49"/>
      <c r="GE154" s="49"/>
      <c r="GF154" s="49"/>
      <c r="GG154" s="49"/>
      <c r="GH154" s="49"/>
      <c r="GI154" s="49"/>
      <c r="GJ154" s="49"/>
      <c r="GK154" s="49"/>
      <c r="GL154" s="49"/>
      <c r="GM154" s="49"/>
      <c r="GN154" s="49"/>
      <c r="GO154" s="49"/>
      <c r="GP154" s="49"/>
      <c r="GQ154" s="49"/>
      <c r="GR154" s="49"/>
      <c r="GS154" s="49"/>
      <c r="GT154" s="49"/>
      <c r="GU154" s="49"/>
      <c r="GV154" s="49"/>
      <c r="GW154" s="49"/>
      <c r="GX154" s="49"/>
      <c r="GY154" s="49"/>
      <c r="GZ154" s="49"/>
      <c r="HA154" s="49"/>
      <c r="HB154" s="49"/>
      <c r="HC154" s="49"/>
      <c r="HD154" s="49"/>
      <c r="HE154" s="49"/>
      <c r="HF154" s="49"/>
      <c r="HG154" s="49"/>
      <c r="HH154" s="49"/>
      <c r="HI154" s="49"/>
      <c r="HJ154" s="49"/>
      <c r="HK154" s="49"/>
      <c r="HL154" s="49"/>
      <c r="HM154" s="49"/>
    </row>
    <row r="155" spans="1:221" ht="5.25" customHeight="1">
      <c r="A155" s="1"/>
      <c r="B155" s="3"/>
      <c r="C155" s="3"/>
      <c r="D155" s="38"/>
      <c r="E155" s="43"/>
      <c r="F155" s="43"/>
      <c r="G155" s="79"/>
      <c r="H155" s="79"/>
      <c r="I155" s="79"/>
      <c r="J155" s="79"/>
      <c r="K155" s="79"/>
      <c r="L155" s="79"/>
      <c r="M155" s="79"/>
      <c r="N155" s="79"/>
      <c r="O155" s="79"/>
      <c r="P155" s="79"/>
      <c r="Q155" s="79"/>
      <c r="R155" s="79"/>
      <c r="S155" s="79"/>
      <c r="T155" s="79"/>
      <c r="U155" s="79"/>
      <c r="V155" s="79"/>
      <c r="W155" s="79"/>
      <c r="X155" s="79"/>
      <c r="Y155" s="38"/>
      <c r="Z155" s="38"/>
      <c r="AA155" s="38"/>
      <c r="AB155" s="38"/>
      <c r="AC155" s="38"/>
      <c r="AD155" s="126"/>
      <c r="AE155" s="126"/>
      <c r="AF155" s="126"/>
      <c r="AG155" s="126"/>
      <c r="AH155" s="126"/>
      <c r="AI155" s="126"/>
      <c r="AJ155" s="126"/>
      <c r="AK155" s="126"/>
      <c r="AL155" s="126"/>
      <c r="AM155" s="126"/>
      <c r="AN155" s="43"/>
      <c r="AO155" s="135" t="e">
        <f ca="1">AO154*BX150/40</f>
        <v>#VALUE!</v>
      </c>
      <c r="AP155" s="135" t="e">
        <f ca="1">AP154*BX150/40</f>
        <v>#VALUE!</v>
      </c>
      <c r="AQ155" s="135" t="e">
        <f ca="1">AQ154*BX150/40</f>
        <v>#VALUE!</v>
      </c>
      <c r="AR155" s="135" t="e">
        <f ca="1">AR154*BX150/40</f>
        <v>#VALUE!</v>
      </c>
      <c r="AS155" s="135" t="e">
        <f ca="1">AS154*BX150/40</f>
        <v>#VALUE!</v>
      </c>
      <c r="AT155" s="135" t="e">
        <f ca="1">AT154*BX150/40</f>
        <v>#VALUE!</v>
      </c>
      <c r="AU155" s="135" t="e">
        <f ca="1">AU154*BX150/40</f>
        <v>#VALUE!</v>
      </c>
      <c r="AV155" s="135" t="e">
        <f ca="1">AV154*BX150/40</f>
        <v>#VALUE!</v>
      </c>
      <c r="AW155" s="135" t="e">
        <f ca="1">AW154*BX150/40</f>
        <v>#VALUE!</v>
      </c>
      <c r="AX155" s="135" t="e">
        <f ca="1">AX154*BX150/40</f>
        <v>#VALUE!</v>
      </c>
      <c r="AY155" s="135" t="e">
        <f ca="1">AY154*BX150/40</f>
        <v>#VALUE!</v>
      </c>
      <c r="AZ155" s="135" t="e">
        <f ca="1">AZ154*BX150/40</f>
        <v>#VALUE!</v>
      </c>
      <c r="BA155" s="135" t="e">
        <f ca="1">BA154*BX150/40</f>
        <v>#VALUE!</v>
      </c>
      <c r="BB155" s="135" t="e">
        <f ca="1">BB154*BX150/40</f>
        <v>#VALUE!</v>
      </c>
      <c r="BC155" s="135" t="e">
        <f ca="1">BC154*BX150/40</f>
        <v>#VALUE!</v>
      </c>
      <c r="BD155" s="135" t="e">
        <f ca="1">BD154*BX150/40</f>
        <v>#VALUE!</v>
      </c>
      <c r="BE155" s="135" t="e">
        <f ca="1">BE154*BX150/40</f>
        <v>#VALUE!</v>
      </c>
      <c r="BF155" s="135" t="e">
        <f ca="1">BF154*BX150/40</f>
        <v>#VALUE!</v>
      </c>
      <c r="BG155" s="135" t="e">
        <f ca="1">BG154*BX150/40</f>
        <v>#VALUE!</v>
      </c>
      <c r="BH155" s="135" t="e">
        <f ca="1">BH154*BX150/40</f>
        <v>#VALUE!</v>
      </c>
      <c r="BI155" s="135" t="e">
        <f ca="1">BI154*BX150/40</f>
        <v>#VALUE!</v>
      </c>
      <c r="BJ155" s="135" t="e">
        <f ca="1">BJ154*BX150/40</f>
        <v>#VALUE!</v>
      </c>
      <c r="BK155" s="135" t="e">
        <f ca="1">BK154*BX150/40</f>
        <v>#VALUE!</v>
      </c>
      <c r="BL155" s="135" t="e">
        <f ca="1">BL154*BX150/40</f>
        <v>#VALUE!</v>
      </c>
      <c r="BM155" s="135" t="e">
        <f ca="1">BM154*BX150/40</f>
        <v>#VALUE!</v>
      </c>
      <c r="BN155" s="135" t="e">
        <f ca="1">BN154*BX150/40</f>
        <v>#VALUE!</v>
      </c>
      <c r="BO155" s="135" t="e">
        <f ca="1">BO154*BX150/40</f>
        <v>#VALUE!</v>
      </c>
      <c r="BP155" s="135" t="e">
        <f ca="1">BP154*BX150/40</f>
        <v>#VALUE!</v>
      </c>
      <c r="BQ155" s="135" t="e">
        <f ca="1">BQ154*BX150/40</f>
        <v>#VALUE!</v>
      </c>
      <c r="BR155" s="135" t="e">
        <f ca="1">BR154*BX150/40</f>
        <v>#VALUE!</v>
      </c>
      <c r="BS155" s="135" t="e">
        <f ca="1">BS154*BX150/40</f>
        <v>#VALUE!</v>
      </c>
      <c r="BT155" s="135" t="e">
        <f ca="1">BT154*BX150/40</f>
        <v>#VALUE!</v>
      </c>
      <c r="BU155" s="135" t="e">
        <f ca="1">BU154*BX150/40</f>
        <v>#VALUE!</v>
      </c>
      <c r="BV155" s="135" t="e">
        <f ca="1">BV154*BX150/40</f>
        <v>#VALUE!</v>
      </c>
      <c r="BW155" s="135" t="e">
        <f ca="1">BW154*BX150/40</f>
        <v>#VALUE!</v>
      </c>
      <c r="BX155" s="135" t="e">
        <f ca="1">BX154*BX150/40</f>
        <v>#VALUE!</v>
      </c>
      <c r="BY155" s="135" t="e">
        <f ca="1">BY154*BX150/40</f>
        <v>#VALUE!</v>
      </c>
      <c r="BZ155" s="135" t="e">
        <f ca="1">BZ154*BX150/40</f>
        <v>#VALUE!</v>
      </c>
      <c r="CA155" s="135" t="e">
        <f ca="1">CA154*BX150/40</f>
        <v>#VALUE!</v>
      </c>
      <c r="CB155" s="135" t="e">
        <f ca="1">CB154*BX150/40</f>
        <v>#VALUE!</v>
      </c>
      <c r="CC155" s="135"/>
      <c r="CD155" s="135"/>
      <c r="CE155" s="135"/>
      <c r="CF155" s="135"/>
      <c r="CG155" s="135"/>
      <c r="CH155" s="135"/>
      <c r="CI155" s="135"/>
      <c r="CJ155" s="135"/>
      <c r="CK155" s="126"/>
      <c r="CL155" s="126"/>
      <c r="CM155" s="126"/>
      <c r="CN155" s="126"/>
      <c r="CO155" s="38"/>
      <c r="CP155" s="38"/>
      <c r="CQ155" s="79"/>
      <c r="CR155" s="79"/>
      <c r="CS155" s="79"/>
      <c r="CT155" s="79"/>
      <c r="CU155" s="79"/>
      <c r="CV155" s="79"/>
      <c r="CW155" s="79"/>
      <c r="CX155" s="79"/>
      <c r="CY155" s="79"/>
      <c r="CZ155" s="79"/>
      <c r="DA155" s="79"/>
      <c r="DB155" s="79"/>
      <c r="DC155" s="79"/>
      <c r="DD155" s="79"/>
      <c r="DE155" s="79"/>
      <c r="DF155" s="79"/>
      <c r="DG155" s="79"/>
      <c r="DH155" s="79"/>
      <c r="DI155" s="79"/>
      <c r="DJ155" s="79"/>
      <c r="DK155" s="79"/>
      <c r="DL155" s="79"/>
      <c r="DM155" s="79"/>
      <c r="DN155" s="79"/>
      <c r="DO155" s="79"/>
      <c r="DP155" s="79"/>
      <c r="DQ155" s="79"/>
      <c r="DR155" s="79"/>
      <c r="DS155" s="79"/>
      <c r="DT155" s="79"/>
      <c r="DU155" s="79"/>
      <c r="DV155" s="79"/>
      <c r="DW155" s="79"/>
      <c r="DX155" s="79"/>
      <c r="DY155" s="79"/>
      <c r="DZ155" s="79"/>
      <c r="EA155" s="79"/>
      <c r="EB155" s="79"/>
      <c r="EC155" s="79"/>
      <c r="ED155" s="79"/>
      <c r="EE155" s="79"/>
      <c r="EF155" s="79"/>
      <c r="EG155" s="79"/>
      <c r="EH155" s="79"/>
      <c r="EI155" s="79"/>
      <c r="EJ155" s="79"/>
      <c r="EK155" s="79"/>
      <c r="EL155" s="79"/>
      <c r="EM155" s="79"/>
      <c r="EN155" s="79"/>
      <c r="EO155" s="79"/>
      <c r="EP155" s="79"/>
      <c r="EQ155" s="79"/>
      <c r="ER155" s="79"/>
      <c r="ES155" s="79"/>
      <c r="ET155" s="79"/>
      <c r="EU155" s="79"/>
      <c r="EV155" s="79"/>
      <c r="EW155" s="79"/>
      <c r="EX155" s="10"/>
      <c r="EY155" s="10"/>
      <c r="EZ155" s="10"/>
      <c r="FA155" s="10"/>
      <c r="FB155" s="10"/>
      <c r="FC155" s="10"/>
      <c r="FD155" s="10"/>
      <c r="FE155" s="10"/>
      <c r="FF155" s="10"/>
      <c r="FG155" s="10"/>
      <c r="FH155" s="10"/>
      <c r="FI155" s="10"/>
      <c r="FJ155" s="10"/>
      <c r="FK155" s="10"/>
      <c r="FL155" s="10"/>
      <c r="FM155" s="49"/>
      <c r="FN155" s="49"/>
      <c r="FO155" s="49"/>
      <c r="FP155" s="47"/>
      <c r="FQ155" s="47"/>
      <c r="FR155" s="47"/>
      <c r="FS155" s="47"/>
      <c r="FT155" s="47"/>
      <c r="FU155" s="47"/>
      <c r="FV155" s="47"/>
      <c r="FW155" s="47"/>
      <c r="FX155" s="47"/>
      <c r="FY155" s="47"/>
      <c r="FZ155" s="47"/>
      <c r="GA155" s="49"/>
      <c r="GB155" s="49"/>
      <c r="GC155" s="49"/>
      <c r="GD155" s="49"/>
      <c r="GE155" s="49"/>
      <c r="GF155" s="49"/>
      <c r="GG155" s="49"/>
      <c r="GH155" s="49"/>
      <c r="GI155" s="49"/>
      <c r="GJ155" s="49"/>
      <c r="GK155" s="49"/>
      <c r="GL155" s="49"/>
      <c r="GM155" s="49"/>
      <c r="GN155" s="49"/>
      <c r="GO155" s="49"/>
      <c r="GP155" s="49"/>
      <c r="GQ155" s="49"/>
      <c r="GR155" s="49"/>
      <c r="GS155" s="49"/>
      <c r="GT155" s="49"/>
      <c r="GU155" s="49"/>
      <c r="GV155" s="49"/>
      <c r="GW155" s="49"/>
      <c r="GX155" s="49"/>
      <c r="GY155" s="49"/>
      <c r="GZ155" s="49"/>
      <c r="HA155" s="49"/>
      <c r="HB155" s="49"/>
      <c r="HC155" s="49"/>
      <c r="HD155" s="49"/>
      <c r="HE155" s="49"/>
      <c r="HF155" s="49"/>
      <c r="HG155" s="49"/>
      <c r="HH155" s="49"/>
      <c r="HI155" s="49"/>
      <c r="HJ155" s="49"/>
      <c r="HK155" s="49"/>
      <c r="HL155" s="49"/>
      <c r="HM155" s="49"/>
    </row>
    <row r="156" spans="1:221" ht="16.95" customHeight="1">
      <c r="A156" s="1"/>
      <c r="B156" s="3"/>
      <c r="C156" s="3"/>
      <c r="D156" s="373" t="str">
        <f ca="1">IF(FN156=0,"","Nu gaan we de GO- en MO-lijn combineren met de GTK-, GVK- en MK-lijn.")</f>
        <v/>
      </c>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49"/>
      <c r="FN156" s="49">
        <f ca="1">IF(programma!B1="X",1,IF(OR(FO50=0,BC96="",FU96=0),0,1))</f>
        <v>0</v>
      </c>
      <c r="FO156" s="49"/>
      <c r="FP156" s="49"/>
      <c r="FQ156" s="49"/>
      <c r="FR156" s="49"/>
      <c r="FS156" s="49"/>
      <c r="FT156" s="49"/>
      <c r="FU156" s="47"/>
      <c r="FV156" s="48"/>
      <c r="FW156" s="94"/>
      <c r="FX156" s="135"/>
      <c r="FY156" s="47"/>
      <c r="FZ156" s="47"/>
      <c r="GA156" s="49"/>
      <c r="GB156" s="49"/>
      <c r="GC156" s="49"/>
      <c r="GD156" s="49"/>
      <c r="GE156" s="49"/>
      <c r="GF156" s="49"/>
      <c r="GG156" s="49"/>
      <c r="GH156" s="49"/>
      <c r="GI156" s="49"/>
      <c r="GJ156" s="49"/>
      <c r="GK156" s="49"/>
      <c r="GL156" s="49"/>
      <c r="GM156" s="49"/>
      <c r="GN156" s="49"/>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row>
    <row r="157" spans="1:221" ht="16.95" customHeight="1">
      <c r="A157" s="1"/>
      <c r="B157" s="3"/>
      <c r="C157" s="3"/>
      <c r="D157" s="373" t="str">
        <f ca="1">IF(FN156=0,"","Om het verband met de totale opbrengst en kosten te kunnen zien, starten we")</f>
        <v/>
      </c>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49"/>
      <c r="FN157" s="49"/>
      <c r="FO157" s="49"/>
      <c r="FP157" s="49"/>
      <c r="FQ157" s="49"/>
      <c r="FR157" s="49"/>
      <c r="FS157" s="49"/>
      <c r="FT157" s="49"/>
      <c r="FU157" s="47"/>
      <c r="FV157" s="48"/>
      <c r="FW157" s="94"/>
      <c r="FX157" s="135"/>
      <c r="FY157" s="47"/>
      <c r="FZ157" s="47"/>
      <c r="GA157" s="49"/>
      <c r="GB157" s="49"/>
      <c r="GC157" s="49"/>
      <c r="GD157" s="49"/>
      <c r="GE157" s="49"/>
      <c r="GF157" s="49"/>
      <c r="GG157" s="49"/>
      <c r="GH157" s="49"/>
      <c r="GI157" s="49"/>
      <c r="GJ157" s="49"/>
      <c r="GK157" s="49"/>
      <c r="GL157" s="49"/>
      <c r="GM157" s="49"/>
      <c r="GN157" s="49"/>
      <c r="GO157" s="49"/>
      <c r="GP157" s="49"/>
      <c r="GQ157" s="49"/>
      <c r="GR157" s="49"/>
      <c r="GS157" s="49"/>
      <c r="GT157" s="49"/>
      <c r="GU157" s="49"/>
      <c r="GV157" s="49"/>
      <c r="GW157" s="49"/>
      <c r="GX157" s="49"/>
      <c r="GY157" s="49"/>
      <c r="GZ157" s="49"/>
      <c r="HA157" s="49"/>
      <c r="HB157" s="49"/>
      <c r="HC157" s="49"/>
      <c r="HD157" s="49"/>
      <c r="HE157" s="49"/>
      <c r="HF157" s="49"/>
      <c r="HG157" s="49"/>
      <c r="HH157" s="49"/>
      <c r="HI157" s="49"/>
      <c r="HJ157" s="49"/>
      <c r="HK157" s="49"/>
      <c r="HL157" s="49"/>
      <c r="HM157" s="49"/>
    </row>
    <row r="158" spans="1:221" ht="16.95" customHeight="1">
      <c r="A158" s="1"/>
      <c r="B158" s="3"/>
      <c r="C158" s="3"/>
      <c r="D158" s="373" t="str">
        <f ca="1">IF(FN156=0,"","aan de linkerzijde met de grafiek waarin de totale winst is af te lezen als het")</f>
        <v/>
      </c>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49"/>
      <c r="FN158" s="49"/>
      <c r="FO158" s="49"/>
      <c r="FP158" s="49"/>
      <c r="FQ158" s="49"/>
      <c r="FR158" s="49"/>
      <c r="FS158" s="49"/>
      <c r="FT158" s="49"/>
      <c r="FU158" s="47"/>
      <c r="FV158" s="48"/>
      <c r="FW158" s="94"/>
      <c r="FX158" s="135"/>
      <c r="FY158" s="47"/>
      <c r="FZ158" s="47"/>
      <c r="GA158" s="49"/>
      <c r="GB158" s="49"/>
      <c r="GC158" s="49"/>
      <c r="GD158" s="49"/>
      <c r="GE158" s="49"/>
      <c r="GF158" s="49"/>
      <c r="GG158" s="49"/>
      <c r="GH158" s="49"/>
      <c r="GI158" s="49"/>
      <c r="GJ158" s="49"/>
      <c r="GK158" s="49"/>
      <c r="GL158" s="49"/>
      <c r="GM158" s="49"/>
      <c r="GN158" s="49"/>
      <c r="GO158" s="49"/>
      <c r="GP158" s="49"/>
      <c r="GQ158" s="49"/>
      <c r="GR158" s="49"/>
      <c r="GS158" s="49"/>
      <c r="GT158" s="49"/>
      <c r="GU158" s="49"/>
      <c r="GV158" s="49"/>
      <c r="GW158" s="49"/>
      <c r="GX158" s="49"/>
      <c r="GY158" s="49"/>
      <c r="GZ158" s="49"/>
      <c r="HA158" s="49"/>
      <c r="HB158" s="49"/>
      <c r="HC158" s="49"/>
      <c r="HD158" s="49"/>
      <c r="HE158" s="49"/>
      <c r="HF158" s="49"/>
      <c r="HG158" s="49"/>
      <c r="HH158" s="49"/>
      <c r="HI158" s="49"/>
      <c r="HJ158" s="49"/>
      <c r="HK158" s="49"/>
      <c r="HL158" s="49"/>
      <c r="HM158" s="49"/>
    </row>
    <row r="159" spans="1:221" ht="16.95" customHeight="1">
      <c r="A159" s="1"/>
      <c r="B159" s="3"/>
      <c r="C159" s="3"/>
      <c r="D159" s="373" t="str">
        <f ca="1">IF(FN156=0,"","verschil tussen TO en TK. De raaklijn met de TO-lijn is paars gekleurd om")</f>
        <v/>
      </c>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49"/>
      <c r="FN159" s="49"/>
      <c r="FO159" s="49"/>
      <c r="FP159" s="49"/>
      <c r="FQ159" s="49"/>
      <c r="FR159" s="49"/>
      <c r="FS159" s="49"/>
      <c r="FT159" s="49"/>
      <c r="FU159" s="47"/>
      <c r="FV159" s="48"/>
      <c r="FW159" s="94"/>
      <c r="FX159" s="135"/>
      <c r="FY159" s="47"/>
      <c r="FZ159" s="47"/>
      <c r="GA159" s="49"/>
      <c r="GB159" s="49"/>
      <c r="GC159" s="49"/>
      <c r="GD159" s="49"/>
      <c r="GE159" s="49"/>
      <c r="GF159" s="49"/>
      <c r="GG159" s="49"/>
      <c r="GH159" s="49"/>
      <c r="GI159" s="49"/>
      <c r="GJ159" s="49"/>
      <c r="GK159" s="49"/>
      <c r="GL159" s="49"/>
      <c r="GM159" s="49"/>
      <c r="GN159" s="49"/>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row>
    <row r="160" spans="1:221" ht="16.95" customHeight="1">
      <c r="A160" s="1"/>
      <c r="B160" s="3"/>
      <c r="C160" s="3"/>
      <c r="D160" s="373" t="str">
        <f ca="1">IF(FN156=0,"","goed te laten uitkomen dat de richtingscoëfficiënt van deze raaklijn gelijk is")</f>
        <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49"/>
      <c r="FN160" s="49"/>
      <c r="FO160" s="49"/>
      <c r="FP160" s="49"/>
      <c r="FQ160" s="49"/>
      <c r="FR160" s="49"/>
      <c r="FS160" s="49"/>
      <c r="FT160" s="49"/>
      <c r="FU160" s="47"/>
      <c r="FV160" s="48"/>
      <c r="FW160" s="94"/>
      <c r="FX160" s="135"/>
      <c r="FY160" s="47"/>
      <c r="FZ160" s="47"/>
      <c r="GA160" s="49"/>
      <c r="GB160" s="49"/>
      <c r="GC160" s="49"/>
      <c r="GD160" s="49"/>
      <c r="GE160" s="49"/>
      <c r="GF160" s="49"/>
      <c r="GG160" s="49"/>
      <c r="GH160" s="49"/>
      <c r="GI160" s="49"/>
      <c r="GJ160" s="49"/>
      <c r="GK160" s="49"/>
      <c r="GL160" s="49"/>
      <c r="GM160" s="49"/>
      <c r="GN160" s="49"/>
      <c r="GO160" s="49"/>
      <c r="GP160" s="49"/>
      <c r="GQ160" s="49"/>
      <c r="GR160" s="49"/>
      <c r="GS160" s="49"/>
      <c r="GT160" s="49"/>
      <c r="GU160" s="49"/>
      <c r="GV160" s="49"/>
      <c r="GW160" s="49"/>
      <c r="GX160" s="49"/>
      <c r="GY160" s="49"/>
      <c r="GZ160" s="49"/>
      <c r="HA160" s="49"/>
      <c r="HB160" s="49"/>
      <c r="HC160" s="49"/>
      <c r="HD160" s="49"/>
      <c r="HE160" s="49"/>
      <c r="HF160" s="49"/>
      <c r="HG160" s="49"/>
      <c r="HH160" s="49"/>
      <c r="HI160" s="49"/>
      <c r="HJ160" s="49"/>
      <c r="HK160" s="49"/>
      <c r="HL160" s="49"/>
      <c r="HM160" s="49"/>
    </row>
    <row r="161" spans="1:221" ht="16.95" customHeight="1">
      <c r="A161" s="1"/>
      <c r="B161" s="3"/>
      <c r="C161" s="3"/>
      <c r="D161" s="373" t="str">
        <f ca="1">IF(FN156=0,"","aan de marginale opbrengst bij de hoeveelheid van maximale winst. In de")</f>
        <v/>
      </c>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49"/>
      <c r="FN161" s="49"/>
      <c r="FO161" s="49"/>
      <c r="FP161" s="49"/>
      <c r="FQ161" s="49"/>
      <c r="FR161" s="49"/>
      <c r="FS161" s="49"/>
      <c r="FT161" s="49"/>
      <c r="FU161" s="47"/>
      <c r="FV161" s="48"/>
      <c r="FW161" s="94"/>
      <c r="FX161" s="135"/>
      <c r="FY161" s="47"/>
      <c r="FZ161" s="47"/>
      <c r="GA161" s="49"/>
      <c r="GB161" s="49"/>
      <c r="GC161" s="49"/>
      <c r="GD161" s="49"/>
      <c r="GE161" s="49"/>
      <c r="GF161" s="49"/>
      <c r="GG161" s="49"/>
      <c r="GH161" s="49"/>
      <c r="GI161" s="49"/>
      <c r="GJ161" s="49"/>
      <c r="GK161" s="49"/>
      <c r="GL161" s="49"/>
      <c r="GM161" s="49"/>
      <c r="GN161" s="49"/>
      <c r="GO161" s="49"/>
      <c r="GP161" s="49"/>
      <c r="GQ161" s="49"/>
      <c r="GR161" s="49"/>
      <c r="GS161" s="49"/>
      <c r="GT161" s="49"/>
      <c r="GU161" s="49"/>
      <c r="GV161" s="49"/>
      <c r="GW161" s="49"/>
      <c r="GX161" s="49"/>
      <c r="GY161" s="49"/>
      <c r="GZ161" s="49"/>
      <c r="HA161" s="49"/>
      <c r="HB161" s="49"/>
      <c r="HC161" s="49"/>
      <c r="HD161" s="49"/>
      <c r="HE161" s="49"/>
      <c r="HF161" s="49"/>
      <c r="HG161" s="49"/>
      <c r="HH161" s="49"/>
      <c r="HI161" s="49"/>
      <c r="HJ161" s="49"/>
      <c r="HK161" s="49"/>
      <c r="HL161" s="49"/>
      <c r="HM161" s="49"/>
    </row>
    <row r="162" spans="1:221" ht="16.95" customHeight="1">
      <c r="A162" s="1"/>
      <c r="B162" s="3"/>
      <c r="C162" s="3"/>
      <c r="D162" s="373" t="str">
        <f ca="1">IF(FN156=0,"","rechtergrafiek is de totale winst te zien aan de hand van de oppervlakte van ")</f>
        <v/>
      </c>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49"/>
      <c r="FN162" s="49"/>
      <c r="FO162" s="49"/>
      <c r="FP162" s="49"/>
      <c r="FQ162" s="49"/>
      <c r="FR162" s="49"/>
      <c r="FS162" s="49"/>
      <c r="FT162" s="49"/>
      <c r="FU162" s="47"/>
      <c r="FV162" s="48"/>
      <c r="FW162" s="94"/>
      <c r="FX162" s="135"/>
      <c r="FY162" s="47"/>
      <c r="FZ162" s="47"/>
      <c r="GA162" s="49"/>
      <c r="GB162" s="49"/>
      <c r="GC162" s="49"/>
      <c r="GD162" s="49"/>
      <c r="GE162" s="49"/>
      <c r="GF162" s="49"/>
      <c r="GG162" s="49"/>
      <c r="GH162" s="49"/>
      <c r="GI162" s="49"/>
      <c r="GJ162" s="49"/>
      <c r="GK162" s="49"/>
      <c r="GL162" s="49"/>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row>
    <row r="163" spans="1:221" ht="16.95" customHeight="1">
      <c r="A163" s="1"/>
      <c r="B163" s="3"/>
      <c r="C163" s="3"/>
      <c r="D163" s="373" t="str">
        <f ca="1">IF(FN156=0,"","een rechthoek, die links begrensd wordt door de as van de grafiek, rechts")</f>
        <v/>
      </c>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49"/>
      <c r="FN163" s="49"/>
      <c r="FO163" s="49"/>
      <c r="FP163" s="49"/>
      <c r="FQ163" s="49"/>
      <c r="FR163" s="49"/>
      <c r="FS163" s="49"/>
      <c r="FT163" s="49"/>
      <c r="FU163" s="47"/>
      <c r="FV163" s="48"/>
      <c r="FW163" s="94"/>
      <c r="FX163" s="135"/>
      <c r="FY163" s="47"/>
      <c r="FZ163" s="47"/>
      <c r="GA163" s="49"/>
      <c r="GB163" s="49"/>
      <c r="GC163" s="49"/>
      <c r="GD163" s="49"/>
      <c r="GE163" s="49"/>
      <c r="GF163" s="49"/>
      <c r="GG163" s="49"/>
      <c r="GH163" s="49"/>
      <c r="GI163" s="49"/>
      <c r="GJ163" s="49"/>
      <c r="GK163" s="49"/>
      <c r="GL163" s="49"/>
      <c r="GM163" s="49"/>
      <c r="GN163" s="49"/>
      <c r="GO163" s="49"/>
      <c r="GP163" s="49"/>
      <c r="GQ163" s="49"/>
      <c r="GR163" s="49"/>
      <c r="GS163" s="49"/>
      <c r="GT163" s="49"/>
      <c r="GU163" s="49"/>
      <c r="GV163" s="49"/>
      <c r="GW163" s="49"/>
      <c r="GX163" s="49"/>
      <c r="GY163" s="49"/>
      <c r="GZ163" s="49"/>
      <c r="HA163" s="49"/>
      <c r="HB163" s="49"/>
      <c r="HC163" s="49"/>
      <c r="HD163" s="49"/>
      <c r="HE163" s="49"/>
      <c r="HF163" s="49"/>
      <c r="HG163" s="49"/>
      <c r="HH163" s="49"/>
      <c r="HI163" s="49"/>
      <c r="HJ163" s="49"/>
      <c r="HK163" s="49"/>
      <c r="HL163" s="49"/>
      <c r="HM163" s="49"/>
    </row>
    <row r="164" spans="1:221" ht="16.95" customHeight="1">
      <c r="A164" s="1"/>
      <c r="B164" s="3"/>
      <c r="C164" s="3"/>
      <c r="D164" s="373" t="str">
        <f ca="1">IF(FN156=0,"","door de rechtopstaande stippellijn, en boven en onder door de liggende")</f>
        <v/>
      </c>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49"/>
      <c r="FN164" s="49"/>
      <c r="FO164" s="49"/>
      <c r="FP164" s="49"/>
      <c r="FQ164" s="49"/>
      <c r="FR164" s="49"/>
      <c r="FS164" s="49"/>
      <c r="FT164" s="49"/>
      <c r="FU164" s="47"/>
      <c r="FV164" s="48"/>
      <c r="FW164" s="94"/>
      <c r="FX164" s="135"/>
      <c r="FY164" s="47"/>
      <c r="FZ164" s="47"/>
      <c r="GA164" s="49"/>
      <c r="GB164" s="49"/>
      <c r="GC164" s="49"/>
      <c r="GD164" s="49"/>
      <c r="GE164" s="49"/>
      <c r="GF164" s="49"/>
      <c r="GG164" s="49"/>
      <c r="GH164" s="49"/>
      <c r="GI164" s="49"/>
      <c r="GJ164" s="49"/>
      <c r="GK164" s="49"/>
      <c r="GL164" s="49"/>
      <c r="GM164" s="49"/>
      <c r="GN164" s="49"/>
      <c r="GO164" s="49"/>
      <c r="GP164" s="49"/>
      <c r="GQ164" s="49"/>
      <c r="GR164" s="49"/>
      <c r="GS164" s="49"/>
      <c r="GT164" s="49"/>
      <c r="GU164" s="49"/>
      <c r="GV164" s="49"/>
      <c r="GW164" s="49"/>
      <c r="GX164" s="49"/>
      <c r="GY164" s="49"/>
      <c r="GZ164" s="49"/>
      <c r="HA164" s="49"/>
      <c r="HB164" s="49"/>
      <c r="HC164" s="49"/>
      <c r="HD164" s="49"/>
      <c r="HE164" s="49"/>
      <c r="HF164" s="49"/>
      <c r="HG164" s="49"/>
      <c r="HH164" s="49"/>
      <c r="HI164" s="49"/>
      <c r="HJ164" s="49"/>
      <c r="HK164" s="49"/>
      <c r="HL164" s="49"/>
      <c r="HM164" s="49"/>
    </row>
    <row r="165" spans="1:221" ht="16.95" customHeight="1">
      <c r="A165" s="1"/>
      <c r="B165" s="3"/>
      <c r="C165" s="3"/>
      <c r="D165" s="373" t="str">
        <f ca="1">IF(FN156=0,"","stippellijnen. De bovenste stippellijn geeft aan hoeveel de opbrengst per")</f>
        <v/>
      </c>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49"/>
      <c r="FN165" s="49"/>
      <c r="FO165" s="49"/>
      <c r="FP165" s="49"/>
      <c r="FQ165" s="49"/>
      <c r="FR165" s="49"/>
      <c r="FS165" s="49"/>
      <c r="FT165" s="49"/>
      <c r="FU165" s="47"/>
      <c r="FV165" s="48"/>
      <c r="FW165" s="94"/>
      <c r="FX165" s="135"/>
      <c r="FY165" s="47"/>
      <c r="FZ165" s="47"/>
      <c r="GA165" s="49"/>
      <c r="GB165" s="49"/>
      <c r="GC165" s="49"/>
      <c r="GD165" s="49"/>
      <c r="GE165" s="49"/>
      <c r="GF165" s="49"/>
      <c r="GG165" s="49"/>
      <c r="GH165" s="49"/>
      <c r="GI165" s="49"/>
      <c r="GJ165" s="49"/>
      <c r="GK165" s="49"/>
      <c r="GL165" s="49"/>
      <c r="GM165" s="49"/>
      <c r="GN165" s="49"/>
      <c r="GO165" s="49"/>
      <c r="GP165" s="49"/>
      <c r="GQ165" s="49"/>
      <c r="GR165" s="49"/>
      <c r="GS165" s="49"/>
      <c r="GT165" s="49"/>
      <c r="GU165" s="49"/>
      <c r="GV165" s="49"/>
      <c r="GW165" s="49"/>
      <c r="GX165" s="49"/>
      <c r="GY165" s="49"/>
      <c r="GZ165" s="49"/>
      <c r="HA165" s="49"/>
      <c r="HB165" s="49"/>
      <c r="HC165" s="49"/>
      <c r="HD165" s="49"/>
      <c r="HE165" s="49"/>
      <c r="HF165" s="49"/>
      <c r="HG165" s="49"/>
      <c r="HH165" s="49"/>
      <c r="HI165" s="49"/>
      <c r="HJ165" s="49"/>
      <c r="HK165" s="49"/>
      <c r="HL165" s="49"/>
      <c r="HM165" s="49"/>
    </row>
    <row r="166" spans="1:221" ht="16.95" customHeight="1">
      <c r="A166" s="1"/>
      <c r="B166" s="3"/>
      <c r="C166" s="3"/>
      <c r="D166" s="373" t="str">
        <f ca="1">IF(FN156=0,"","stuk is en de onderste hoeveel de kosten per stuk zijn. In het linkse blauw-")</f>
        <v/>
      </c>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49"/>
      <c r="FN166" s="49"/>
      <c r="FO166" s="49"/>
      <c r="FP166" s="49"/>
      <c r="FQ166" s="49"/>
      <c r="FR166" s="49"/>
      <c r="FS166" s="49"/>
      <c r="FT166" s="49"/>
      <c r="FU166" s="47"/>
      <c r="FV166" s="48"/>
      <c r="FW166" s="94"/>
      <c r="FX166" s="135"/>
      <c r="FY166" s="47"/>
      <c r="FZ166" s="47"/>
      <c r="GA166" s="49"/>
      <c r="GB166" s="49"/>
      <c r="GC166" s="49"/>
      <c r="GD166" s="49">
        <f ca="1">Blad1!AA26</f>
        <v>0</v>
      </c>
      <c r="GE166" s="49" t="e">
        <f ca="1">3*GH177</f>
        <v>#VALUE!</v>
      </c>
      <c r="GF166" s="49" t="e">
        <f ca="1">2*GI177+2*GD177</f>
        <v>#VALUE!</v>
      </c>
      <c r="GG166" s="49" t="e">
        <f ca="1">GJ177-GE177</f>
        <v>#VALUE!</v>
      </c>
      <c r="GH166" s="49" t="e">
        <f ca="1">(-GF166+(GF166^2-4*GE166*GG166)^0.5)/(2*GE166)</f>
        <v>#VALUE!</v>
      </c>
      <c r="GI166" s="49"/>
      <c r="GJ166" s="49">
        <v>2</v>
      </c>
      <c r="GK166" s="49"/>
      <c r="GL166" s="49"/>
      <c r="GM166" s="49"/>
      <c r="GN166" s="49"/>
      <c r="GO166" s="49"/>
      <c r="GP166" s="49"/>
      <c r="GQ166" s="49"/>
      <c r="GR166" s="49"/>
      <c r="GS166" s="49"/>
      <c r="GT166" s="49"/>
      <c r="GU166" s="49"/>
      <c r="GV166" s="49"/>
      <c r="GW166" s="49"/>
      <c r="GX166" s="49"/>
      <c r="GY166" s="49"/>
      <c r="GZ166" s="49"/>
      <c r="HA166" s="49"/>
      <c r="HB166" s="49"/>
      <c r="HC166" s="49"/>
      <c r="HD166" s="49"/>
      <c r="HE166" s="49"/>
      <c r="HF166" s="49"/>
      <c r="HG166" s="49"/>
      <c r="HH166" s="49"/>
      <c r="HI166" s="49"/>
      <c r="HJ166" s="49"/>
      <c r="HK166" s="49"/>
      <c r="HL166" s="49"/>
      <c r="HM166" s="49"/>
    </row>
    <row r="167" spans="1:221" ht="16.95" customHeight="1">
      <c r="A167" s="1"/>
      <c r="B167" s="3"/>
      <c r="C167" s="3"/>
      <c r="D167" s="373" t="str">
        <f ca="1">IF(FN156=0,"","omrande vak kun je aangeven dat je in plaats van maximale winst nog eens")</f>
        <v/>
      </c>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49"/>
      <c r="FN167" s="49"/>
      <c r="FO167" s="49"/>
      <c r="FP167" s="49"/>
      <c r="FQ167" s="49"/>
      <c r="FR167" s="49"/>
      <c r="FS167" s="49"/>
      <c r="FT167" s="49"/>
      <c r="FU167" s="47"/>
      <c r="FV167" s="48"/>
      <c r="FW167" s="94"/>
      <c r="FX167" s="135"/>
      <c r="FY167" s="47"/>
      <c r="FZ167" s="47"/>
      <c r="GA167" s="49"/>
      <c r="GB167" s="49"/>
      <c r="GC167" s="49"/>
      <c r="GD167" s="49">
        <f ca="1">GD166*4*Blad1!AA25</f>
        <v>0</v>
      </c>
      <c r="GE167" s="49"/>
      <c r="GF167" s="49" t="e">
        <f ca="1">IF(GG169&gt;GG168,GG168,GG169)</f>
        <v>#DIV/0!</v>
      </c>
      <c r="GG167" s="49" t="e">
        <f ca="1">IF(GG169&gt;GG168,GG169,GG168)</f>
        <v>#DIV/0!</v>
      </c>
      <c r="GH167" s="49" t="e">
        <f ca="1">0.25*GG174</f>
        <v>#DIV/0!</v>
      </c>
      <c r="GI167" s="49"/>
      <c r="GJ167" s="49">
        <v>1.7</v>
      </c>
      <c r="GK167" s="49"/>
      <c r="GL167" s="49"/>
      <c r="GM167" s="49" t="s">
        <v>85</v>
      </c>
      <c r="GN167" s="49" t="e">
        <f ca="1">GE177-GL177</f>
        <v>#VALUE!</v>
      </c>
      <c r="GO167" s="49" t="s">
        <v>38</v>
      </c>
      <c r="GP167" s="49" t="s">
        <v>39</v>
      </c>
      <c r="GQ167" s="49" t="s">
        <v>86</v>
      </c>
      <c r="GR167" s="49" t="e">
        <f ca="1">GE177-GN177</f>
        <v>#VALUE!</v>
      </c>
      <c r="GS167" s="49" t="s">
        <v>38</v>
      </c>
      <c r="GT167" s="49" t="s">
        <v>39</v>
      </c>
      <c r="GU167" s="49"/>
      <c r="GV167" s="49"/>
      <c r="GW167" s="49"/>
      <c r="GX167" s="49"/>
      <c r="GY167" s="49"/>
      <c r="GZ167" s="49"/>
      <c r="HA167" s="49"/>
      <c r="HB167" s="49"/>
      <c r="HC167" s="49"/>
      <c r="HD167" s="49"/>
      <c r="HE167" s="49"/>
      <c r="HF167" s="49"/>
      <c r="HG167" s="49"/>
      <c r="HH167" s="49"/>
      <c r="HI167" s="49"/>
      <c r="HJ167" s="49"/>
      <c r="HK167" s="49"/>
      <c r="HL167" s="49"/>
      <c r="HM167" s="49"/>
    </row>
    <row r="168" spans="1:221" ht="16.95" customHeight="1">
      <c r="A168" s="1"/>
      <c r="B168" s="3"/>
      <c r="C168" s="3"/>
      <c r="D168" s="373" t="str">
        <f ca="1">IF(FN156=0,"","maximale omzet wilt zien en in het rechtse blauwomrande vak kun je kiezen")</f>
        <v/>
      </c>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49"/>
      <c r="FN168" s="49"/>
      <c r="FO168" s="49"/>
      <c r="FP168" s="49"/>
      <c r="FQ168" s="49"/>
      <c r="FR168" s="49"/>
      <c r="FS168" s="49"/>
      <c r="FT168" s="49"/>
      <c r="FU168" s="47"/>
      <c r="FV168" s="48"/>
      <c r="FW168" s="94"/>
      <c r="FX168" s="135"/>
      <c r="FY168" s="47"/>
      <c r="FZ168" s="47"/>
      <c r="GA168" s="49"/>
      <c r="GB168" s="49"/>
      <c r="GC168" s="49"/>
      <c r="GD168" s="49" t="s">
        <v>35</v>
      </c>
      <c r="GE168" s="49"/>
      <c r="GF168" s="49" t="e">
        <f ca="1">IF(0.4*(GH174-GH169)/GF174&gt;0,0.4*(GH174-GH169)/GF174,-0.4*(GH174-GH169)/GF174)</f>
        <v>#DIV/0!</v>
      </c>
      <c r="GG168" s="49" t="e">
        <f ca="1">IF(GF168&lt;1,FLOOR(GF168,0.1),IF(GF168&lt;10,FLOOR(GF168,1),IF(GF168&lt;100,FLOOR(GF168,10),IF(GF168&lt;1000,FLOOR(GF168,100),IF(GF168&lt;10000,FLOOR(GF168,1000),IF(GF168&lt;100000,FLOOR(GF168,10000),FLOOR(GF168,100000)))))))</f>
        <v>#DIV/0!</v>
      </c>
      <c r="GH168" s="49" t="e">
        <f ca="1">IF(GH167&lt;100,FLOOR(GH167,10),IF(GH167&lt;1000,FLOOR(GH167,100),IF(GH167&lt;10000,FLOOR(GH167,1000),IF(GH167&lt;100000,FLOOR(GH167,10000),IF(GH167&lt;1000000,FLOOR(GH167,100000),IF(GH167&lt;10000000,FLOOR(GH167,1000000),FLOOR(GH167,10000000)))))))</f>
        <v>#DIV/0!</v>
      </c>
      <c r="GI168" s="49"/>
      <c r="GJ168" s="49">
        <v>0.6</v>
      </c>
      <c r="GK168" s="49">
        <v>1.7</v>
      </c>
      <c r="GL168" s="49">
        <v>0.6</v>
      </c>
      <c r="GM168" s="49">
        <v>-0.3</v>
      </c>
      <c r="GN168" s="49" t="e">
        <f ca="1">GN167/GM172</f>
        <v>#VALUE!</v>
      </c>
      <c r="GO168" s="49" t="e">
        <f ca="1">(-2*GD177)*GN168+GE177</f>
        <v>#DIV/0!</v>
      </c>
      <c r="GP168" s="49" t="e">
        <f ca="1">2*GK177*GN168^1+GL177</f>
        <v>#VALUE!</v>
      </c>
      <c r="GQ168" s="49">
        <f ca="1">IF(OR(FO176=5,FO176=11,FO176=14,FO176=15,FO176=16,FO176=17,FO176=18,FO176=19,FO176=27,FO176=30,FO176=33,FO176=36,FO176=37,FO176=38,FO176=39,FO176=40),0.9,1.4)</f>
        <v>1.4</v>
      </c>
      <c r="GR168" s="49" t="e">
        <f ca="1">GR167/GQ172</f>
        <v>#VALUE!</v>
      </c>
      <c r="GS168" s="49" t="e">
        <f ca="1">-2*GD177*GR168+GE177</f>
        <v>#DIV/0!</v>
      </c>
      <c r="GT168" s="49" t="e">
        <f ca="1">2*GM177*GR168^1+GN177</f>
        <v>#VALUE!</v>
      </c>
      <c r="GU168" s="49"/>
      <c r="GV168" s="49"/>
      <c r="GW168" s="49"/>
      <c r="GX168" s="49"/>
      <c r="GY168" s="49"/>
      <c r="GZ168" s="49"/>
      <c r="HA168" s="49"/>
      <c r="HB168" s="49"/>
      <c r="HC168" s="49"/>
      <c r="HD168" s="49"/>
      <c r="HE168" s="49"/>
      <c r="HF168" s="49"/>
      <c r="HG168" s="49"/>
      <c r="HH168" s="49"/>
      <c r="HI168" s="49"/>
      <c r="HJ168" s="49"/>
      <c r="HK168" s="49"/>
      <c r="HL168" s="49"/>
      <c r="HM168" s="49"/>
    </row>
    <row r="169" spans="1:221" ht="16.95" customHeight="1">
      <c r="A169" s="1"/>
      <c r="B169" s="3"/>
      <c r="C169" s="3"/>
      <c r="D169" s="373" t="str">
        <f ca="1">IF(FN156=0,"","voor andere functievoorschriften (om zo te kunnen zien dat het niet uitmaakt")</f>
        <v/>
      </c>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49"/>
      <c r="FN169" s="49"/>
      <c r="FO169" s="49"/>
      <c r="FP169" s="49"/>
      <c r="FQ169" s="49"/>
      <c r="FR169" s="49"/>
      <c r="FS169" s="49"/>
      <c r="FT169" s="49"/>
      <c r="FU169" s="47"/>
      <c r="FV169" s="48"/>
      <c r="FW169" s="94"/>
      <c r="FX169" s="135"/>
      <c r="FY169" s="47"/>
      <c r="FZ169" s="47"/>
      <c r="GA169" s="49"/>
      <c r="GB169" s="49"/>
      <c r="GC169" s="49"/>
      <c r="GD169" s="49" t="e">
        <f ca="1">GF177*(((ROUND(GD167/GD166,2))-GF177)/(2/GD166))+GG177</f>
        <v>#DIV/0!</v>
      </c>
      <c r="GE169" s="49" t="e">
        <f ca="1">((ROUND(GD167/GD166,2))*(((ROUND(GD167/GD166,2))-GF177)/(2/GD166))-(1/GD166)*(((ROUND(GD167/GD166,2))-GF177)/(2/GD166))^2)-GD169</f>
        <v>#DIV/0!</v>
      </c>
      <c r="GF169" s="49" t="e">
        <f ca="1">(GH173-GH168)/GF174</f>
        <v>#DIV/0!</v>
      </c>
      <c r="GG169" s="49" t="e">
        <f ca="1">IF(GF169&lt;1,FLOOR(GF169,0.1),IF(GF169&lt;10,FLOOR(GF169,1),IF(GF169&lt;100,FLOOR(GF169,10),IF(GF169&lt;1000,FLOOR(GF169,100),IF(GF169&lt;10000,FLOOR(GF169,1000),IF(GF169&lt;100000,FLOOR(GF169,10000),FLOOR(GF169,100000)))))))</f>
        <v>#DIV/0!</v>
      </c>
      <c r="GH169" s="49" t="e">
        <f ca="1">2*GH168</f>
        <v>#DIV/0!</v>
      </c>
      <c r="GI169" s="49" t="e">
        <f ca="1">GH166</f>
        <v>#VALUE!</v>
      </c>
      <c r="GJ169" s="49" t="s">
        <v>40</v>
      </c>
      <c r="GK169" s="49" t="e">
        <f ca="1">0.5*-2*GD177*GI169^2+GE177*GI169</f>
        <v>#DIV/0!</v>
      </c>
      <c r="GL169" s="49" t="e">
        <f ca="1">GK169-GI169*GI172</f>
        <v>#DIV/0!</v>
      </c>
      <c r="GM169" s="49">
        <v>0.9</v>
      </c>
      <c r="GN169" s="49" t="s">
        <v>40</v>
      </c>
      <c r="GO169" s="49" t="e">
        <f ca="1">0.5*(-2*GD177)*GN168^2+GE177*GN168</f>
        <v>#DIV/0!</v>
      </c>
      <c r="GP169" s="49" t="e">
        <f ca="1">GO169-GN168*GO168</f>
        <v>#DIV/0!</v>
      </c>
      <c r="GQ169" s="49">
        <v>0.2</v>
      </c>
      <c r="GR169" s="49" t="s">
        <v>40</v>
      </c>
      <c r="GS169" s="49" t="e">
        <f ca="1">0.5*(-2*GD177)*GR168^2+GE177*GR168</f>
        <v>#DIV/0!</v>
      </c>
      <c r="GT169" s="49" t="e">
        <f ca="1">GS169-GR168*GS168</f>
        <v>#DIV/0!</v>
      </c>
      <c r="GU169" s="49"/>
      <c r="GV169" s="49"/>
      <c r="GW169" s="49"/>
      <c r="GX169" s="49"/>
      <c r="GY169" s="49"/>
      <c r="GZ169" s="49"/>
      <c r="HA169" s="49"/>
      <c r="HB169" s="49"/>
      <c r="HC169" s="49"/>
      <c r="HD169" s="49"/>
      <c r="HE169" s="49"/>
      <c r="HF169" s="49"/>
      <c r="HG169" s="49"/>
      <c r="HH169" s="49"/>
      <c r="HI169" s="49"/>
      <c r="HJ169" s="49"/>
      <c r="HK169" s="49"/>
      <c r="HL169" s="49"/>
      <c r="HM169" s="49"/>
    </row>
    <row r="170" spans="1:221" ht="16.95" customHeight="1">
      <c r="A170" s="1"/>
      <c r="B170" s="3"/>
      <c r="C170" s="3"/>
      <c r="D170" s="373" t="str">
        <f ca="1">IF(FN156=0,"","welke getallen in de functies staan). Pas als je bij beide vakken iets hebt")</f>
        <v/>
      </c>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49"/>
      <c r="FN170" s="49"/>
      <c r="FO170" s="49"/>
      <c r="FP170" s="49"/>
      <c r="FQ170" s="49"/>
      <c r="FR170" s="49"/>
      <c r="FS170" s="49"/>
      <c r="FT170" s="49"/>
      <c r="FU170" s="47"/>
      <c r="FV170" s="48"/>
      <c r="FW170" s="94"/>
      <c r="FX170" s="135"/>
      <c r="FY170" s="47"/>
      <c r="FZ170" s="47"/>
      <c r="GA170" s="49"/>
      <c r="GB170" s="49"/>
      <c r="GC170" s="49"/>
      <c r="GD170" s="49"/>
      <c r="GE170" s="49"/>
      <c r="GF170" s="49"/>
      <c r="GG170" s="49"/>
      <c r="GH170" s="49"/>
      <c r="GI170" s="49"/>
      <c r="GJ170" s="49"/>
      <c r="GK170" s="49"/>
      <c r="GL170" s="49"/>
      <c r="GM170" s="49"/>
      <c r="GN170" s="49"/>
      <c r="GO170" s="49"/>
      <c r="GP170" s="49"/>
      <c r="GQ170" s="49"/>
      <c r="GR170" s="49"/>
      <c r="GS170" s="49"/>
      <c r="GT170" s="49"/>
      <c r="GU170" s="49"/>
      <c r="GV170" s="49"/>
      <c r="GW170" s="49"/>
      <c r="GX170" s="49"/>
      <c r="GY170" s="49"/>
      <c r="GZ170" s="49"/>
      <c r="HA170" s="49"/>
      <c r="HB170" s="49"/>
      <c r="HC170" s="49"/>
      <c r="HD170" s="49"/>
      <c r="HE170" s="49"/>
      <c r="HF170" s="49"/>
      <c r="HG170" s="49"/>
      <c r="HH170" s="49"/>
      <c r="HI170" s="49"/>
      <c r="HJ170" s="49"/>
      <c r="HK170" s="49"/>
      <c r="HL170" s="49"/>
      <c r="HM170" s="49"/>
    </row>
    <row r="171" spans="1:221" ht="16.95" customHeight="1">
      <c r="A171" s="1"/>
      <c r="B171" s="3"/>
      <c r="C171" s="3"/>
      <c r="D171" s="373" t="str">
        <f ca="1">IF(FN156=0,"","ingevuld, kun je verder.")</f>
        <v/>
      </c>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49"/>
      <c r="FN171" s="49"/>
      <c r="FO171" s="49"/>
      <c r="FP171" s="49"/>
      <c r="FQ171" s="49"/>
      <c r="FR171" s="49"/>
      <c r="FS171" s="49"/>
      <c r="FT171" s="49"/>
      <c r="FU171" s="47"/>
      <c r="FV171" s="48"/>
      <c r="FW171" s="94"/>
      <c r="FX171" s="135"/>
      <c r="FY171" s="47"/>
      <c r="FZ171" s="47"/>
      <c r="GA171" s="49"/>
      <c r="GB171" s="49"/>
      <c r="GC171" s="49"/>
      <c r="GD171" s="49"/>
      <c r="GE171" s="49"/>
      <c r="GF171" s="49"/>
      <c r="GG171" s="49"/>
      <c r="GH171" s="49"/>
      <c r="GI171" s="49"/>
      <c r="GJ171" s="49"/>
      <c r="GK171" s="49"/>
      <c r="GL171" s="49"/>
      <c r="GM171" s="49"/>
      <c r="GN171" s="49"/>
      <c r="GO171" s="49"/>
      <c r="GP171" s="49"/>
      <c r="GQ171" s="49"/>
      <c r="GR171" s="49"/>
      <c r="GS171" s="49"/>
      <c r="GT171" s="49"/>
      <c r="GU171" s="49"/>
      <c r="GV171" s="49"/>
      <c r="GW171" s="49"/>
      <c r="GX171" s="49"/>
      <c r="GY171" s="49"/>
      <c r="GZ171" s="49"/>
      <c r="HA171" s="49"/>
      <c r="HB171" s="49"/>
      <c r="HC171" s="49"/>
      <c r="HD171" s="49"/>
      <c r="HE171" s="49"/>
      <c r="HF171" s="49"/>
      <c r="HG171" s="49"/>
      <c r="HH171" s="49"/>
      <c r="HI171" s="49"/>
      <c r="HJ171" s="49"/>
      <c r="HK171" s="49"/>
      <c r="HL171" s="49"/>
      <c r="HM171" s="49"/>
    </row>
    <row r="172" spans="1:221" ht="9.6" customHeight="1">
      <c r="A172" s="1"/>
      <c r="B172" s="3"/>
      <c r="C172" s="3"/>
      <c r="D172" s="38"/>
      <c r="E172" s="126"/>
      <c r="F172" s="126"/>
      <c r="G172" s="10"/>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97"/>
      <c r="AY172" s="43"/>
      <c r="AZ172" s="41"/>
      <c r="BA172" s="41"/>
      <c r="BB172" s="41"/>
      <c r="BC172" s="41"/>
      <c r="BD172" s="42"/>
      <c r="BE172" s="41"/>
      <c r="BF172" s="41"/>
      <c r="BG172" s="41"/>
      <c r="BH172" s="41"/>
      <c r="BI172" s="41"/>
      <c r="BJ172" s="41"/>
      <c r="BK172" s="42"/>
      <c r="BL172" s="41"/>
      <c r="BM172" s="41"/>
      <c r="BN172" s="41"/>
      <c r="BO172" s="41"/>
      <c r="BP172" s="41"/>
      <c r="BQ172" s="41"/>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79"/>
      <c r="EM172" s="79"/>
      <c r="EN172" s="79"/>
      <c r="EO172" s="79"/>
      <c r="EP172" s="79"/>
      <c r="EQ172" s="79"/>
      <c r="ER172" s="79"/>
      <c r="ES172" s="79"/>
      <c r="ET172" s="79"/>
      <c r="EU172" s="79"/>
      <c r="EV172" s="79"/>
      <c r="EW172" s="79"/>
      <c r="EX172" s="79"/>
      <c r="EY172" s="79"/>
      <c r="EZ172" s="79"/>
      <c r="FA172" s="79"/>
      <c r="FB172" s="79"/>
      <c r="FC172" s="79"/>
      <c r="FD172" s="79"/>
      <c r="FE172" s="79"/>
      <c r="FF172" s="79"/>
      <c r="FG172" s="79"/>
      <c r="FH172" s="79"/>
      <c r="FI172" s="79"/>
      <c r="FJ172" s="79"/>
      <c r="FK172" s="79"/>
      <c r="FL172" s="79"/>
      <c r="FM172" s="47"/>
      <c r="FN172" s="47"/>
      <c r="FO172" s="47"/>
      <c r="FP172" s="47"/>
      <c r="FQ172" s="47"/>
      <c r="FR172" s="47"/>
      <c r="FS172" s="47"/>
      <c r="FT172" s="47"/>
      <c r="FU172" s="47"/>
      <c r="FV172" s="48"/>
      <c r="FW172" s="48"/>
      <c r="FX172" s="48"/>
      <c r="FY172" s="48"/>
      <c r="FZ172" s="48"/>
      <c r="GA172" s="49"/>
      <c r="GB172" s="49"/>
      <c r="GC172" s="49"/>
      <c r="GD172" s="49" t="s">
        <v>36</v>
      </c>
      <c r="GE172" s="49"/>
      <c r="GF172" s="49" t="e">
        <f ca="1">ROUND(GD167/GD166,2)</f>
        <v>#DIV/0!</v>
      </c>
      <c r="GG172" s="49" t="e">
        <f ca="1">ROUND(1/GD166,3)</f>
        <v>#DIV/0!</v>
      </c>
      <c r="GH172" s="49" t="e">
        <f ca="1">0.8*GG174</f>
        <v>#DIV/0!</v>
      </c>
      <c r="GI172" s="49" t="e">
        <f ca="1">-2*GD177*GI169+GE177</f>
        <v>#DIV/0!</v>
      </c>
      <c r="GJ172" s="49" t="s">
        <v>41</v>
      </c>
      <c r="GK172" s="49" t="e">
        <f ca="1">GH177*GI169^3+GI177*GI169^2+GJ177*GI169+GG177</f>
        <v>#VALUE!</v>
      </c>
      <c r="GL172" s="49" t="e">
        <f ca="1">GK172-GI169*GI172</f>
        <v>#VALUE!</v>
      </c>
      <c r="GM172" s="49" t="e">
        <f ca="1">2*GK177-(-2*GD177)</f>
        <v>#VALUE!</v>
      </c>
      <c r="GN172" s="49" t="s">
        <v>41</v>
      </c>
      <c r="GO172" s="49" t="e">
        <f ca="1">GK177*GN168^2+GL177*GN168+GG177</f>
        <v>#VALUE!</v>
      </c>
      <c r="GP172" s="49" t="e">
        <f ca="1">GO172-GN168*GO168</f>
        <v>#VALUE!</v>
      </c>
      <c r="GQ172" s="49" t="e">
        <f ca="1">2*GM177-(-2*GD177)</f>
        <v>#VALUE!</v>
      </c>
      <c r="GR172" s="49" t="s">
        <v>41</v>
      </c>
      <c r="GS172" s="49" t="e">
        <f ca="1">GM177*GR168^2+GN177*GR168+GG177</f>
        <v>#VALUE!</v>
      </c>
      <c r="GT172" s="49" t="e">
        <f ca="1">GS172-GR168*GS168</f>
        <v>#VALUE!</v>
      </c>
      <c r="GU172" s="49"/>
      <c r="GV172" s="49"/>
      <c r="GW172" s="49"/>
      <c r="GX172" s="49"/>
      <c r="GY172" s="49"/>
      <c r="GZ172" s="49"/>
      <c r="HA172" s="49"/>
      <c r="HB172" s="49"/>
      <c r="HC172" s="49"/>
      <c r="HD172" s="49"/>
      <c r="HE172" s="49"/>
      <c r="HF172" s="49"/>
      <c r="HG172" s="49"/>
      <c r="HH172" s="49"/>
      <c r="HI172" s="49"/>
      <c r="HJ172" s="49"/>
      <c r="HK172" s="49"/>
      <c r="HL172" s="49"/>
      <c r="HM172" s="49"/>
    </row>
    <row r="173" spans="1:221" ht="3.75" customHeight="1">
      <c r="A173" s="1"/>
      <c r="B173" s="3"/>
      <c r="C173" s="3"/>
      <c r="D173" s="38"/>
      <c r="E173" s="126"/>
      <c r="F173" s="126"/>
      <c r="G173" s="10"/>
      <c r="H173" s="43"/>
      <c r="I173" s="43"/>
      <c r="J173" s="43"/>
      <c r="K173" s="43"/>
      <c r="L173" s="43"/>
      <c r="M173" s="43"/>
      <c r="N173" s="43"/>
      <c r="O173" s="43"/>
      <c r="P173" s="43"/>
      <c r="Q173" s="538" t="str">
        <f ca="1">IF(FN156=0,"",":")</f>
        <v/>
      </c>
      <c r="R173" s="645"/>
      <c r="S173" s="645"/>
      <c r="T173" s="645"/>
      <c r="U173" s="645"/>
      <c r="V173" s="645"/>
      <c r="W173" s="645"/>
      <c r="X173" s="645"/>
      <c r="Y173" s="645"/>
      <c r="Z173" s="645"/>
      <c r="AA173" s="645"/>
      <c r="AB173" s="645"/>
      <c r="AC173" s="645"/>
      <c r="AD173" s="645"/>
      <c r="AE173" s="645"/>
      <c r="AF173" s="645"/>
      <c r="AG173" s="645"/>
      <c r="AH173" s="645"/>
      <c r="AI173" s="645"/>
      <c r="AJ173" s="645"/>
      <c r="AK173" s="645"/>
      <c r="AL173" s="645"/>
      <c r="AM173" s="645"/>
      <c r="AN173" s="645"/>
      <c r="AO173" s="645"/>
      <c r="AP173" s="645"/>
      <c r="AQ173" s="645"/>
      <c r="AR173" s="645"/>
      <c r="AS173" s="645"/>
      <c r="AT173" s="645"/>
      <c r="AU173" s="645"/>
      <c r="AV173" s="645"/>
      <c r="AW173" s="645"/>
      <c r="AX173" s="645"/>
      <c r="AY173" s="645"/>
      <c r="AZ173" s="645"/>
      <c r="BA173" s="645"/>
      <c r="BB173" s="645"/>
      <c r="BC173" s="645"/>
      <c r="BD173" s="645"/>
      <c r="BE173" s="645"/>
      <c r="BF173" s="645"/>
      <c r="BG173" s="645"/>
      <c r="BH173" s="645"/>
      <c r="BI173" s="645"/>
      <c r="BJ173" s="645"/>
      <c r="BK173" s="645"/>
      <c r="BL173" s="645"/>
      <c r="BM173" s="645"/>
      <c r="BN173" s="645"/>
      <c r="BO173" s="645"/>
      <c r="BP173" s="645"/>
      <c r="BQ173" s="645"/>
      <c r="BR173" s="645"/>
      <c r="BS173" s="645"/>
      <c r="BT173" s="645"/>
      <c r="BU173" s="645"/>
      <c r="BV173" s="645"/>
      <c r="BW173" s="645"/>
      <c r="BX173" s="645"/>
      <c r="BY173" s="645"/>
      <c r="BZ173" s="645"/>
      <c r="CA173" s="645"/>
      <c r="CB173" s="645"/>
      <c r="CC173" s="645"/>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538" t="str">
        <f ca="1">IF(FN156=0,"",":")</f>
        <v/>
      </c>
      <c r="DZ173" s="645"/>
      <c r="EA173" s="645"/>
      <c r="EB173" s="645"/>
      <c r="EC173" s="645"/>
      <c r="ED173" s="645"/>
      <c r="EE173" s="645"/>
      <c r="EF173" s="645"/>
      <c r="EG173" s="43"/>
      <c r="EH173" s="43"/>
      <c r="EI173" s="43"/>
      <c r="EJ173" s="43"/>
      <c r="EK173" s="43"/>
      <c r="EL173" s="79"/>
      <c r="EM173" s="79"/>
      <c r="EN173" s="79"/>
      <c r="EO173" s="79"/>
      <c r="EP173" s="79"/>
      <c r="EQ173" s="79"/>
      <c r="ER173" s="79"/>
      <c r="ES173" s="79"/>
      <c r="ET173" s="79"/>
      <c r="EU173" s="79"/>
      <c r="EV173" s="79"/>
      <c r="EW173" s="79"/>
      <c r="EX173" s="79"/>
      <c r="EY173" s="79"/>
      <c r="EZ173" s="79"/>
      <c r="FA173" s="79"/>
      <c r="FB173" s="79"/>
      <c r="FC173" s="79"/>
      <c r="FD173" s="79"/>
      <c r="FE173" s="79"/>
      <c r="FF173" s="79"/>
      <c r="FG173" s="79"/>
      <c r="FH173" s="79"/>
      <c r="FI173" s="79"/>
      <c r="FJ173" s="79"/>
      <c r="FK173" s="79"/>
      <c r="FL173" s="79"/>
      <c r="FM173" s="47"/>
      <c r="FN173" s="47"/>
      <c r="FO173" s="119"/>
      <c r="FP173" s="119"/>
      <c r="FQ173" s="119"/>
      <c r="FR173" s="119"/>
      <c r="FS173" s="119"/>
      <c r="FT173" s="119"/>
      <c r="FU173" s="119"/>
      <c r="FV173" s="48"/>
      <c r="FW173" s="48"/>
      <c r="FX173" s="48"/>
      <c r="FY173" s="48"/>
      <c r="FZ173" s="48"/>
      <c r="GA173" s="49"/>
      <c r="GB173" s="49"/>
      <c r="GC173" s="49"/>
      <c r="GD173" s="49"/>
      <c r="GE173" s="49"/>
      <c r="GF173" s="49" t="e">
        <f ca="1">(GD167/GD166)/(1/GD166)</f>
        <v>#DIV/0!</v>
      </c>
      <c r="GG173" s="49" t="e">
        <f ca="1">ROUND(1/GD166,3)</f>
        <v>#DIV/0!</v>
      </c>
      <c r="GH173" s="49" t="e">
        <f ca="1">(GH169+GH174)/2</f>
        <v>#DIV/0!</v>
      </c>
      <c r="GI173" s="49"/>
      <c r="GJ173" s="49"/>
      <c r="GK173" s="49"/>
      <c r="GL173" s="49"/>
      <c r="GM173" s="49"/>
      <c r="GN173" s="49"/>
      <c r="GO173" s="49"/>
      <c r="GP173" s="49"/>
      <c r="GQ173" s="49"/>
      <c r="GR173" s="49"/>
      <c r="GS173" s="49"/>
      <c r="GT173" s="49"/>
      <c r="GU173" s="49"/>
      <c r="GV173" s="49"/>
      <c r="GW173" s="49"/>
      <c r="GX173" s="49"/>
      <c r="GY173" s="49"/>
      <c r="GZ173" s="49"/>
      <c r="HA173" s="49"/>
      <c r="HB173" s="49"/>
      <c r="HC173" s="49"/>
      <c r="HD173" s="49"/>
      <c r="HE173" s="49"/>
      <c r="HF173" s="49"/>
      <c r="HG173" s="49"/>
      <c r="HH173" s="49"/>
      <c r="HI173" s="49"/>
      <c r="HJ173" s="49"/>
      <c r="HK173" s="49"/>
      <c r="HL173" s="49"/>
      <c r="HM173" s="49"/>
    </row>
    <row r="174" spans="1:221" ht="16.5" customHeight="1">
      <c r="A174" s="1"/>
      <c r="B174" s="3"/>
      <c r="C174" s="3"/>
      <c r="D174" s="38"/>
      <c r="E174" s="126"/>
      <c r="F174" s="126"/>
      <c r="G174" s="10"/>
      <c r="H174" s="43"/>
      <c r="I174" s="43"/>
      <c r="J174" s="43"/>
      <c r="K174" s="43"/>
      <c r="L174" s="43"/>
      <c r="M174" s="43"/>
      <c r="N174" s="43"/>
      <c r="O174" s="201" t="str">
        <f ca="1">IF(FN156=0,"","Punt:")</f>
        <v/>
      </c>
      <c r="P174" s="43"/>
      <c r="Q174" s="195" t="str">
        <f ca="1">IF(FN156=0,"",":")</f>
        <v/>
      </c>
      <c r="R174" s="624"/>
      <c r="S174" s="551"/>
      <c r="T174" s="551"/>
      <c r="U174" s="551"/>
      <c r="V174" s="551"/>
      <c r="W174" s="551"/>
      <c r="X174" s="551"/>
      <c r="Y174" s="551"/>
      <c r="Z174" s="551"/>
      <c r="AA174" s="551"/>
      <c r="AB174" s="551"/>
      <c r="AC174" s="551"/>
      <c r="AD174" s="551"/>
      <c r="AE174" s="551"/>
      <c r="AF174" s="551"/>
      <c r="AG174" s="551"/>
      <c r="AH174" s="551"/>
      <c r="AI174" s="551"/>
      <c r="AJ174" s="551"/>
      <c r="AK174" s="551"/>
      <c r="AL174" s="551"/>
      <c r="AM174" s="551"/>
      <c r="AN174" s="551"/>
      <c r="AO174" s="551"/>
      <c r="AP174" s="551"/>
      <c r="AQ174" s="551"/>
      <c r="AR174" s="551"/>
      <c r="AS174" s="551"/>
      <c r="AT174" s="551"/>
      <c r="AU174" s="551"/>
      <c r="AV174" s="551"/>
      <c r="AW174" s="551"/>
      <c r="AX174" s="551"/>
      <c r="AY174" s="551"/>
      <c r="AZ174" s="551"/>
      <c r="BA174" s="551"/>
      <c r="BB174" s="551"/>
      <c r="BC174" s="551"/>
      <c r="BD174" s="551"/>
      <c r="BE174" s="551"/>
      <c r="BF174" s="551"/>
      <c r="BG174" s="551"/>
      <c r="BH174" s="551"/>
      <c r="BI174" s="551"/>
      <c r="BJ174" s="551"/>
      <c r="BK174" s="551"/>
      <c r="BL174" s="551"/>
      <c r="BM174" s="551"/>
      <c r="BN174" s="551"/>
      <c r="BO174" s="551"/>
      <c r="BP174" s="551"/>
      <c r="BQ174" s="551"/>
      <c r="BR174" s="551"/>
      <c r="BS174" s="551"/>
      <c r="BT174" s="551"/>
      <c r="BU174" s="551"/>
      <c r="BV174" s="551"/>
      <c r="BW174" s="551"/>
      <c r="BX174" s="551"/>
      <c r="BY174" s="551"/>
      <c r="BZ174" s="551"/>
      <c r="CA174" s="551"/>
      <c r="CB174" s="551"/>
      <c r="CC174" s="226" t="str">
        <f ca="1">IF(FN156=0,"",":")</f>
        <v/>
      </c>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201" t="str">
        <f ca="1">IF(FN156=0,"","Functievoorschrift:")</f>
        <v/>
      </c>
      <c r="DX174" s="43"/>
      <c r="DY174" s="195" t="str">
        <f ca="1">IF(FN156=0,"",":")</f>
        <v/>
      </c>
      <c r="DZ174" s="637"/>
      <c r="EA174" s="637"/>
      <c r="EB174" s="637"/>
      <c r="EC174" s="637"/>
      <c r="ED174" s="637"/>
      <c r="EE174" s="637"/>
      <c r="EF174" s="226" t="str">
        <f ca="1">IF(FN156=0,"",":")</f>
        <v/>
      </c>
      <c r="EG174" s="43"/>
      <c r="EH174" s="43"/>
      <c r="EI174" s="43"/>
      <c r="EJ174" s="43"/>
      <c r="EK174" s="43"/>
      <c r="EL174" s="79"/>
      <c r="EM174" s="79"/>
      <c r="EN174" s="79"/>
      <c r="EO174" s="79"/>
      <c r="EP174" s="79"/>
      <c r="EQ174" s="79"/>
      <c r="ER174" s="79"/>
      <c r="ES174" s="79"/>
      <c r="ET174" s="79"/>
      <c r="EU174" s="79"/>
      <c r="EV174" s="79"/>
      <c r="EW174" s="79"/>
      <c r="EX174" s="79"/>
      <c r="EY174" s="79"/>
      <c r="EZ174" s="79"/>
      <c r="FA174" s="79"/>
      <c r="FB174" s="79"/>
      <c r="FC174" s="79"/>
      <c r="FD174" s="79"/>
      <c r="FE174" s="79"/>
      <c r="FF174" s="79"/>
      <c r="FG174" s="79"/>
      <c r="FH174" s="79"/>
      <c r="FI174" s="79"/>
      <c r="FJ174" s="79"/>
      <c r="FK174" s="79"/>
      <c r="FL174" s="79"/>
      <c r="FM174" s="48"/>
      <c r="FN174" s="48">
        <f>IF(R174="",0,1)</f>
        <v>0</v>
      </c>
      <c r="FO174" s="119">
        <f>IF(R174=FP174,1,IF(R174=FQ174,2,IF(R174=FR174,3,IF(R174=FS174,4,1))))</f>
        <v>3</v>
      </c>
      <c r="FP174" s="120" t="s">
        <v>75</v>
      </c>
      <c r="FQ174" s="119" t="s">
        <v>74</v>
      </c>
      <c r="FR174" s="120"/>
      <c r="FS174" s="120">
        <v>1</v>
      </c>
      <c r="FT174" s="120">
        <v>2</v>
      </c>
      <c r="FU174" s="119">
        <v>3</v>
      </c>
      <c r="FV174" s="48">
        <v>4</v>
      </c>
      <c r="FW174" s="48">
        <v>5</v>
      </c>
      <c r="FX174" s="48"/>
      <c r="FY174" s="48"/>
      <c r="FZ174" s="48"/>
      <c r="GA174" s="49"/>
      <c r="GB174" s="49"/>
      <c r="GC174" s="49"/>
      <c r="GD174" s="49" t="e">
        <f ca="1">IF(GH169&gt;GH168,GH168,GH169)</f>
        <v>#DIV/0!</v>
      </c>
      <c r="GE174" s="49" t="e">
        <f ca="1">IF(GH169&gt;GH168,GH169,GH168)</f>
        <v>#DIV/0!</v>
      </c>
      <c r="GF174" s="49" t="e">
        <f ca="1">ROUND(GD167/GD166,2)/(ROUND(1/GD166,3)*2)</f>
        <v>#DIV/0!</v>
      </c>
      <c r="GG174" s="49" t="e">
        <f ca="1">GF172*GF174-GG172*GF174^2</f>
        <v>#DIV/0!</v>
      </c>
      <c r="GH174" s="49" t="e">
        <f ca="1">IF(GH172&lt;100,FLOOR(GH172,10),IF(GH172&lt;1000,FLOOR(GH172,100),IF(GH172&lt;10000,FLOOR(GH172,1000),IF(GH172&lt;100000,FLOOR(GH172,10000),IF(GH172&lt;1000000,FLOOR(GH172,100000),IF(GH172&lt;10000000,FLOOR(GH172,1000000),FLOOR(GH172,10000000)))))))</f>
        <v>#DIV/0!</v>
      </c>
      <c r="GI174" s="49" t="e">
        <f ca="1">3*GH177*GI169^2+2*GI177*GI169^1+GJ177</f>
        <v>#VALUE!</v>
      </c>
      <c r="GJ174" s="49"/>
      <c r="GK174" s="49"/>
      <c r="GL174" s="49"/>
      <c r="GM174" s="49"/>
      <c r="GN174" s="49"/>
      <c r="GO174" s="49" t="s">
        <v>20</v>
      </c>
      <c r="GP174" s="49" t="s">
        <v>82</v>
      </c>
      <c r="GQ174" s="49" t="s">
        <v>83</v>
      </c>
      <c r="GR174" s="49"/>
      <c r="GS174" s="49"/>
      <c r="GT174" s="49"/>
      <c r="GU174" s="49"/>
      <c r="GV174" s="49"/>
      <c r="GW174" s="49"/>
      <c r="GX174" s="49"/>
      <c r="GY174" s="49"/>
      <c r="GZ174" s="49"/>
      <c r="HA174" s="49"/>
      <c r="HB174" s="49"/>
      <c r="HC174" s="49"/>
      <c r="HD174" s="49"/>
      <c r="HE174" s="49"/>
      <c r="HF174" s="49"/>
      <c r="HG174" s="49"/>
      <c r="HH174" s="49"/>
      <c r="HI174" s="49"/>
      <c r="HJ174" s="49"/>
      <c r="HK174" s="49"/>
      <c r="HL174" s="49"/>
      <c r="HM174" s="49"/>
    </row>
    <row r="175" spans="1:221" ht="3.75" customHeight="1">
      <c r="A175" s="1"/>
      <c r="B175" s="3"/>
      <c r="C175" s="3"/>
      <c r="D175" s="38"/>
      <c r="E175" s="126"/>
      <c r="F175" s="126"/>
      <c r="G175" s="10"/>
      <c r="H175" s="43"/>
      <c r="I175" s="43"/>
      <c r="J175" s="43"/>
      <c r="K175" s="43"/>
      <c r="L175" s="43"/>
      <c r="M175" s="43"/>
      <c r="N175" s="43"/>
      <c r="O175" s="43"/>
      <c r="P175" s="43"/>
      <c r="Q175" s="538" t="str">
        <f ca="1">IF(FN156=0,"",":")</f>
        <v/>
      </c>
      <c r="R175" s="645"/>
      <c r="S175" s="645"/>
      <c r="T175" s="645"/>
      <c r="U175" s="645"/>
      <c r="V175" s="645"/>
      <c r="W175" s="645"/>
      <c r="X175" s="645"/>
      <c r="Y175" s="645"/>
      <c r="Z175" s="645"/>
      <c r="AA175" s="645"/>
      <c r="AB175" s="645"/>
      <c r="AC175" s="645"/>
      <c r="AD175" s="645"/>
      <c r="AE175" s="645"/>
      <c r="AF175" s="645"/>
      <c r="AG175" s="645"/>
      <c r="AH175" s="645"/>
      <c r="AI175" s="645"/>
      <c r="AJ175" s="645"/>
      <c r="AK175" s="645"/>
      <c r="AL175" s="645"/>
      <c r="AM175" s="645"/>
      <c r="AN175" s="645"/>
      <c r="AO175" s="645"/>
      <c r="AP175" s="645"/>
      <c r="AQ175" s="645"/>
      <c r="AR175" s="645"/>
      <c r="AS175" s="645"/>
      <c r="AT175" s="645"/>
      <c r="AU175" s="645"/>
      <c r="AV175" s="645"/>
      <c r="AW175" s="645"/>
      <c r="AX175" s="645"/>
      <c r="AY175" s="645"/>
      <c r="AZ175" s="645"/>
      <c r="BA175" s="645"/>
      <c r="BB175" s="645"/>
      <c r="BC175" s="645"/>
      <c r="BD175" s="645"/>
      <c r="BE175" s="645"/>
      <c r="BF175" s="645"/>
      <c r="BG175" s="645"/>
      <c r="BH175" s="645"/>
      <c r="BI175" s="645"/>
      <c r="BJ175" s="645"/>
      <c r="BK175" s="645"/>
      <c r="BL175" s="645"/>
      <c r="BM175" s="645"/>
      <c r="BN175" s="645"/>
      <c r="BO175" s="645"/>
      <c r="BP175" s="645"/>
      <c r="BQ175" s="645"/>
      <c r="BR175" s="645"/>
      <c r="BS175" s="645"/>
      <c r="BT175" s="645"/>
      <c r="BU175" s="645"/>
      <c r="BV175" s="645"/>
      <c r="BW175" s="645"/>
      <c r="BX175" s="645"/>
      <c r="BY175" s="645"/>
      <c r="BZ175" s="645"/>
      <c r="CA175" s="645"/>
      <c r="CB175" s="645"/>
      <c r="CC175" s="645"/>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538" t="str">
        <f ca="1">IF(FN156=0,"",":")</f>
        <v/>
      </c>
      <c r="DZ175" s="645"/>
      <c r="EA175" s="645"/>
      <c r="EB175" s="645"/>
      <c r="EC175" s="645"/>
      <c r="ED175" s="645"/>
      <c r="EE175" s="645"/>
      <c r="EF175" s="645"/>
      <c r="EG175" s="43"/>
      <c r="EH175" s="43"/>
      <c r="EI175" s="43"/>
      <c r="EJ175" s="43"/>
      <c r="EK175" s="43"/>
      <c r="EL175" s="79"/>
      <c r="EM175" s="79"/>
      <c r="EN175" s="79"/>
      <c r="EO175" s="79"/>
      <c r="EP175" s="79"/>
      <c r="EQ175" s="79"/>
      <c r="ER175" s="79"/>
      <c r="ES175" s="79"/>
      <c r="ET175" s="79"/>
      <c r="EU175" s="79"/>
      <c r="EV175" s="79"/>
      <c r="EW175" s="79"/>
      <c r="EX175" s="79"/>
      <c r="EY175" s="79"/>
      <c r="EZ175" s="79"/>
      <c r="FA175" s="79"/>
      <c r="FB175" s="79"/>
      <c r="FC175" s="79"/>
      <c r="FD175" s="79"/>
      <c r="FE175" s="79"/>
      <c r="FF175" s="79"/>
      <c r="FG175" s="79"/>
      <c r="FH175" s="79"/>
      <c r="FI175" s="79"/>
      <c r="FJ175" s="79"/>
      <c r="FK175" s="79"/>
      <c r="FL175" s="79"/>
      <c r="FM175" s="47"/>
      <c r="FN175" s="47"/>
      <c r="FO175" s="119"/>
      <c r="FP175" s="119"/>
      <c r="FQ175" s="119"/>
      <c r="FR175" s="119"/>
      <c r="FS175" s="119"/>
      <c r="FT175" s="119"/>
      <c r="FU175" s="119"/>
      <c r="FV175" s="48"/>
      <c r="FW175" s="48"/>
      <c r="FX175" s="48"/>
      <c r="FY175" s="48"/>
      <c r="FZ175" s="48"/>
      <c r="GA175" s="49"/>
      <c r="GB175" s="49"/>
      <c r="GC175" s="49"/>
      <c r="GD175" s="49"/>
      <c r="GE175" s="49"/>
      <c r="GF175" s="49"/>
      <c r="GG175" s="49"/>
      <c r="GH175" s="49"/>
      <c r="GI175" s="49"/>
      <c r="GJ175" s="49"/>
      <c r="GK175" s="49"/>
      <c r="GL175" s="49"/>
      <c r="GM175" s="49"/>
      <c r="GN175" s="49"/>
      <c r="GO175" s="49"/>
      <c r="GP175" s="49"/>
      <c r="GQ175" s="49"/>
      <c r="GR175" s="49"/>
      <c r="GS175" s="49"/>
      <c r="GT175" s="49"/>
      <c r="GU175" s="49"/>
      <c r="GV175" s="49"/>
      <c r="GW175" s="49"/>
      <c r="GX175" s="49"/>
      <c r="GY175" s="49"/>
      <c r="GZ175" s="49"/>
      <c r="HA175" s="49"/>
      <c r="HB175" s="49"/>
      <c r="HC175" s="49"/>
      <c r="HD175" s="49"/>
      <c r="HE175" s="49"/>
      <c r="HF175" s="49"/>
      <c r="HG175" s="49"/>
      <c r="HH175" s="49"/>
      <c r="HI175" s="49"/>
      <c r="HJ175" s="49"/>
      <c r="HK175" s="49"/>
      <c r="HL175" s="49"/>
      <c r="HM175" s="49"/>
    </row>
    <row r="176" spans="1:221" ht="16.5" customHeight="1">
      <c r="A176" s="1"/>
      <c r="B176" s="3"/>
      <c r="C176" s="3"/>
      <c r="D176" s="38"/>
      <c r="E176" s="126"/>
      <c r="F176" s="126"/>
      <c r="G176" s="10"/>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97"/>
      <c r="AY176" s="43"/>
      <c r="AZ176" s="41"/>
      <c r="BA176" s="41"/>
      <c r="BB176" s="41"/>
      <c r="BC176" s="41"/>
      <c r="BD176" s="42"/>
      <c r="BE176" s="41"/>
      <c r="BF176" s="41"/>
      <c r="BG176" s="41"/>
      <c r="BH176" s="41"/>
      <c r="BI176" s="41"/>
      <c r="BJ176" s="41"/>
      <c r="BK176" s="42"/>
      <c r="BL176" s="41"/>
      <c r="BM176" s="41"/>
      <c r="BN176" s="41"/>
      <c r="BO176" s="41"/>
      <c r="BP176" s="41"/>
      <c r="BQ176" s="41"/>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79"/>
      <c r="EM176" s="79"/>
      <c r="EN176" s="79"/>
      <c r="EO176" s="79"/>
      <c r="EP176" s="79"/>
      <c r="EQ176" s="79"/>
      <c r="ER176" s="79"/>
      <c r="ES176" s="79"/>
      <c r="ET176" s="79"/>
      <c r="EU176" s="79"/>
      <c r="EV176" s="79"/>
      <c r="EW176" s="79"/>
      <c r="EX176" s="79"/>
      <c r="EY176" s="79"/>
      <c r="EZ176" s="79"/>
      <c r="FA176" s="79"/>
      <c r="FB176" s="79"/>
      <c r="FC176" s="79"/>
      <c r="FD176" s="79"/>
      <c r="FE176" s="79"/>
      <c r="FF176" s="79"/>
      <c r="FG176" s="79"/>
      <c r="FH176" s="79"/>
      <c r="FI176" s="79"/>
      <c r="FJ176" s="79"/>
      <c r="FK176" s="79"/>
      <c r="FL176" s="79"/>
      <c r="FM176" s="47"/>
      <c r="FN176" s="47"/>
      <c r="FO176" s="142">
        <f ca="1">IF(FN156=0,0,IF(DZ174="",1,DZ174))</f>
        <v>0</v>
      </c>
      <c r="FP176" s="48"/>
      <c r="FQ176" s="47"/>
      <c r="FR176" s="47"/>
      <c r="FS176" s="47"/>
      <c r="FT176" s="47"/>
      <c r="FU176" s="47"/>
      <c r="FV176" s="48"/>
      <c r="FW176" s="48"/>
      <c r="FX176" s="48"/>
      <c r="FY176" s="48"/>
      <c r="FZ176" s="48"/>
      <c r="GA176" s="49"/>
      <c r="GB176" s="49"/>
      <c r="GC176" s="49"/>
      <c r="GD176" s="49" t="s">
        <v>77</v>
      </c>
      <c r="GE176" s="49"/>
      <c r="GF176" s="49" t="s">
        <v>78</v>
      </c>
      <c r="GG176" s="49"/>
      <c r="GH176" s="49" t="s">
        <v>79</v>
      </c>
      <c r="GI176" s="49"/>
      <c r="GJ176" s="49"/>
      <c r="GK176" s="49" t="s">
        <v>81</v>
      </c>
      <c r="GL176" s="49"/>
      <c r="GM176" s="49" t="s">
        <v>80</v>
      </c>
      <c r="GN176" s="49"/>
      <c r="GO176" s="49" t="e">
        <f ca="1">-GD177</f>
        <v>#DIV/0!</v>
      </c>
      <c r="GP176" s="49" t="e">
        <f ca="1">GE177-GF177</f>
        <v>#DIV/0!</v>
      </c>
      <c r="GQ176" s="49" t="e">
        <f ca="1">-GG177</f>
        <v>#DIV/0!</v>
      </c>
      <c r="GR176" s="49" t="e">
        <f ca="1">-(GP176-(GP176^2-4*GO176*GQ176)^0.5)/(2*GO176)</f>
        <v>#DIV/0!</v>
      </c>
      <c r="GS176" s="49" t="e">
        <f ca="1">-(GP176+(GP176^2-4*GO176*GQ176)^0.5)/(2*GO176)</f>
        <v>#DIV/0!</v>
      </c>
      <c r="GT176" s="49"/>
      <c r="GU176" s="49"/>
      <c r="GV176" s="49"/>
      <c r="GW176" s="49"/>
      <c r="GX176" s="49"/>
      <c r="GY176" s="49"/>
      <c r="GZ176" s="49"/>
      <c r="HA176" s="49"/>
      <c r="HB176" s="49"/>
      <c r="HC176" s="49"/>
      <c r="HD176" s="49"/>
      <c r="HE176" s="49"/>
      <c r="HF176" s="49"/>
      <c r="HG176" s="49"/>
      <c r="HH176" s="49"/>
      <c r="HI176" s="49"/>
      <c r="HJ176" s="49"/>
      <c r="HK176" s="49"/>
      <c r="HL176" s="49"/>
      <c r="HM176" s="49"/>
    </row>
    <row r="177" spans="1:221" ht="16.5" customHeight="1">
      <c r="A177" s="1"/>
      <c r="B177" s="3"/>
      <c r="C177" s="3"/>
      <c r="D177" s="38"/>
      <c r="E177" s="126"/>
      <c r="F177" s="126"/>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25"/>
      <c r="AY177" s="26"/>
      <c r="AZ177" s="41"/>
      <c r="BA177" s="41"/>
      <c r="BB177" s="41"/>
      <c r="BC177" s="41"/>
      <c r="BD177" s="42"/>
      <c r="BE177" s="41"/>
      <c r="BF177" s="41"/>
      <c r="BG177" s="41"/>
      <c r="BH177" s="41"/>
      <c r="BI177" s="41"/>
      <c r="BJ177" s="41"/>
      <c r="BK177" s="42"/>
      <c r="BL177" s="41"/>
      <c r="BM177" s="41"/>
      <c r="BN177" s="41"/>
      <c r="BO177" s="41"/>
      <c r="BP177" s="41"/>
      <c r="BQ177" s="41"/>
      <c r="BR177" s="80"/>
      <c r="BS177" s="79"/>
      <c r="BT177" s="79"/>
      <c r="BU177" s="79"/>
      <c r="BV177" s="79"/>
      <c r="BW177" s="79"/>
      <c r="BX177" s="79"/>
      <c r="BY177" s="79"/>
      <c r="BZ177" s="80"/>
      <c r="CA177" s="80"/>
      <c r="CB177" s="80"/>
      <c r="CC177" s="80"/>
      <c r="CD177" s="80"/>
      <c r="CE177" s="80"/>
      <c r="CF177" s="80"/>
      <c r="CG177" s="80"/>
      <c r="CH177" s="80"/>
      <c r="CI177" s="80"/>
      <c r="CJ177" s="80"/>
      <c r="CK177" s="80"/>
      <c r="CL177" s="80"/>
      <c r="CM177" s="80"/>
      <c r="CN177" s="80"/>
      <c r="CO177" s="80"/>
      <c r="CP177" s="79"/>
      <c r="CQ177" s="79"/>
      <c r="CR177" s="79"/>
      <c r="CS177" s="79"/>
      <c r="CT177" s="79"/>
      <c r="CU177" s="79"/>
      <c r="CV177" s="79"/>
      <c r="CW177" s="79"/>
      <c r="CX177" s="79"/>
      <c r="CY177" s="79"/>
      <c r="CZ177" s="79"/>
      <c r="DA177" s="79"/>
      <c r="DB177" s="79"/>
      <c r="DC177" s="79"/>
      <c r="DD177" s="79"/>
      <c r="DE177" s="79"/>
      <c r="DF177" s="79"/>
      <c r="DG177" s="79"/>
      <c r="DH177" s="79"/>
      <c r="DI177" s="79"/>
      <c r="DJ177" s="79"/>
      <c r="DK177" s="79"/>
      <c r="DL177" s="79"/>
      <c r="DM177" s="79"/>
      <c r="DN177" s="79"/>
      <c r="DO177" s="79"/>
      <c r="DP177" s="79"/>
      <c r="DQ177" s="79"/>
      <c r="DR177" s="79"/>
      <c r="DS177" s="79"/>
      <c r="DT177" s="79"/>
      <c r="DU177" s="79"/>
      <c r="DV177" s="79"/>
      <c r="DW177" s="79"/>
      <c r="DX177" s="79"/>
      <c r="DY177" s="79"/>
      <c r="DZ177" s="79"/>
      <c r="EA177" s="79"/>
      <c r="EB177" s="79"/>
      <c r="EC177" s="79"/>
      <c r="ED177" s="79"/>
      <c r="EE177" s="79"/>
      <c r="EF177" s="79"/>
      <c r="EG177" s="79"/>
      <c r="EH177" s="79"/>
      <c r="EI177" s="79"/>
      <c r="EJ177" s="79"/>
      <c r="EK177" s="79"/>
      <c r="EL177" s="79"/>
      <c r="EM177" s="79"/>
      <c r="EN177" s="79"/>
      <c r="EO177" s="79"/>
      <c r="EP177" s="79"/>
      <c r="EQ177" s="79"/>
      <c r="ER177" s="79"/>
      <c r="ES177" s="79"/>
      <c r="ET177" s="79"/>
      <c r="EU177" s="79"/>
      <c r="EV177" s="79"/>
      <c r="EW177" s="79"/>
      <c r="EX177" s="79"/>
      <c r="EY177" s="79"/>
      <c r="EZ177" s="79"/>
      <c r="FA177" s="79"/>
      <c r="FB177" s="79"/>
      <c r="FC177" s="79"/>
      <c r="FD177" s="79"/>
      <c r="FE177" s="79"/>
      <c r="FF177" s="79"/>
      <c r="FG177" s="79"/>
      <c r="FH177" s="79"/>
      <c r="FI177" s="79"/>
      <c r="FJ177" s="79"/>
      <c r="FK177" s="79"/>
      <c r="FL177" s="79"/>
      <c r="FM177" s="470"/>
      <c r="FN177" s="79"/>
      <c r="FO177" s="50"/>
      <c r="FP177" s="79"/>
      <c r="FQ177" s="47"/>
      <c r="FR177" s="47"/>
      <c r="FS177" s="47"/>
      <c r="FT177" s="47"/>
      <c r="FU177" s="47"/>
      <c r="FV177" s="48"/>
      <c r="FW177" s="48"/>
      <c r="FX177" s="48"/>
      <c r="FY177" s="48"/>
      <c r="FZ177" s="48"/>
      <c r="GA177" s="49"/>
      <c r="GB177" s="49"/>
      <c r="GC177" s="49"/>
      <c r="GD177" s="49" t="e">
        <f ca="1">1/(Blad1!AA26)</f>
        <v>#DIV/0!</v>
      </c>
      <c r="GE177" s="49">
        <f ca="1">4*Blad1!AA25</f>
        <v>0</v>
      </c>
      <c r="GF177" s="49" t="e">
        <f ca="1">ROUND((GF167+GG167)/2,0)</f>
        <v>#DIV/0!</v>
      </c>
      <c r="GG177" s="49" t="e">
        <f ca="1">ROUND((GD174+GE174)/2,0)</f>
        <v>#DIV/0!</v>
      </c>
      <c r="GH177" s="49" t="e">
        <f ca="1">GN185*GJ166/GC190^3</f>
        <v>#VALUE!</v>
      </c>
      <c r="GI177" s="49" t="e">
        <f ca="1">-GN185*GJ167/GC190^2</f>
        <v>#VALUE!</v>
      </c>
      <c r="GJ177" s="49" t="e">
        <f ca="1">GN185*GJ168/GC190^1</f>
        <v>#VALUE!</v>
      </c>
      <c r="GK177" s="49" t="e">
        <f ca="1">GN185*GM168/GC190^2</f>
        <v>#VALUE!</v>
      </c>
      <c r="GL177" s="49" t="e">
        <f ca="1">GN185*GM169/GC190^1</f>
        <v>#VALUE!</v>
      </c>
      <c r="GM177" s="49" t="e">
        <f ca="1">GN185*GQ168/GC190^2</f>
        <v>#VALUE!</v>
      </c>
      <c r="GN177" s="49" t="e">
        <f ca="1">GN185*GQ169/GC190^1</f>
        <v>#VALUE!</v>
      </c>
      <c r="GO177" s="49" t="e">
        <f ca="1">-GD177-GK177</f>
        <v>#DIV/0!</v>
      </c>
      <c r="GP177" s="49" t="e">
        <f ca="1">GE177-GL177</f>
        <v>#VALUE!</v>
      </c>
      <c r="GQ177" s="49" t="e">
        <f ca="1">-GG177</f>
        <v>#DIV/0!</v>
      </c>
      <c r="GR177" s="49" t="e">
        <f ca="1">-(GP177-(GP177^2-4*GO177*GQ177)^0.5)/(2*GO177)</f>
        <v>#VALUE!</v>
      </c>
      <c r="GS177" s="49" t="e">
        <f ca="1">-(GP177+(GP177^2-4*GO177*GQ177)^0.5)/(2*GO177)</f>
        <v>#VALUE!</v>
      </c>
      <c r="GT177" s="49"/>
      <c r="GU177" s="49"/>
      <c r="GV177" s="49"/>
      <c r="GW177" s="49"/>
      <c r="GX177" s="49"/>
      <c r="GY177" s="49"/>
      <c r="GZ177" s="49"/>
      <c r="HA177" s="49"/>
      <c r="HB177" s="49"/>
      <c r="HC177" s="49"/>
      <c r="HD177" s="49"/>
      <c r="HE177" s="49"/>
      <c r="HF177" s="49"/>
      <c r="HG177" s="49"/>
      <c r="HH177" s="49"/>
      <c r="HI177" s="49"/>
      <c r="HJ177" s="49"/>
      <c r="HK177" s="49"/>
      <c r="HL177" s="49"/>
      <c r="HM177" s="49"/>
    </row>
    <row r="178" spans="1:221" ht="16.5" customHeight="1">
      <c r="A178" s="1"/>
      <c r="B178" s="3"/>
      <c r="C178" s="3"/>
      <c r="D178" s="38"/>
      <c r="E178" s="126"/>
      <c r="F178" s="126"/>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25"/>
      <c r="AY178" s="26"/>
      <c r="AZ178" s="41"/>
      <c r="BA178" s="41"/>
      <c r="BB178" s="41"/>
      <c r="BC178" s="41"/>
      <c r="BD178" s="42"/>
      <c r="BE178" s="41"/>
      <c r="BF178" s="41"/>
      <c r="BG178" s="41"/>
      <c r="BH178" s="41"/>
      <c r="BI178" s="41"/>
      <c r="BJ178" s="41"/>
      <c r="BK178" s="42"/>
      <c r="BL178" s="41"/>
      <c r="BM178" s="41"/>
      <c r="BN178" s="41"/>
      <c r="BO178" s="41"/>
      <c r="BP178" s="41"/>
      <c r="BQ178" s="41"/>
      <c r="BR178" s="80"/>
      <c r="BS178" s="79"/>
      <c r="BT178" s="79"/>
      <c r="BU178" s="79"/>
      <c r="BV178" s="79"/>
      <c r="BW178" s="79"/>
      <c r="BX178" s="79"/>
      <c r="BY178" s="79"/>
      <c r="BZ178" s="80"/>
      <c r="CA178" s="80"/>
      <c r="CB178" s="80"/>
      <c r="CC178" s="80"/>
      <c r="CD178" s="80"/>
      <c r="CE178" s="80"/>
      <c r="CF178" s="80"/>
      <c r="CG178" s="80"/>
      <c r="CH178" s="80"/>
      <c r="CI178" s="80"/>
      <c r="CJ178" s="80"/>
      <c r="CK178" s="80"/>
      <c r="CL178" s="80"/>
      <c r="CM178" s="80"/>
      <c r="CN178" s="80"/>
      <c r="CO178" s="80"/>
      <c r="CP178" s="79"/>
      <c r="CQ178" s="79"/>
      <c r="CR178" s="79"/>
      <c r="CS178" s="79"/>
      <c r="CT178" s="79"/>
      <c r="CU178" s="79"/>
      <c r="CV178" s="79"/>
      <c r="CW178" s="79"/>
      <c r="CX178" s="79"/>
      <c r="CY178" s="79"/>
      <c r="CZ178" s="79"/>
      <c r="DA178" s="79"/>
      <c r="DB178" s="79"/>
      <c r="DC178" s="79"/>
      <c r="DD178" s="79"/>
      <c r="DE178" s="79"/>
      <c r="DF178" s="79"/>
      <c r="DG178" s="79"/>
      <c r="DH178" s="79"/>
      <c r="DI178" s="79"/>
      <c r="DJ178" s="79"/>
      <c r="DK178" s="79"/>
      <c r="DL178" s="79"/>
      <c r="DM178" s="79"/>
      <c r="DN178" s="79"/>
      <c r="DO178" s="79"/>
      <c r="DP178" s="79"/>
      <c r="DQ178" s="79"/>
      <c r="DR178" s="79"/>
      <c r="DS178" s="79"/>
      <c r="DT178" s="79"/>
      <c r="DU178" s="79"/>
      <c r="DV178" s="79"/>
      <c r="DW178" s="79"/>
      <c r="DX178" s="79"/>
      <c r="DY178" s="79"/>
      <c r="DZ178" s="79"/>
      <c r="EA178" s="79"/>
      <c r="EB178" s="79"/>
      <c r="EC178" s="79"/>
      <c r="ED178" s="79"/>
      <c r="EE178" s="79"/>
      <c r="EF178" s="79"/>
      <c r="EG178" s="79"/>
      <c r="EH178" s="79"/>
      <c r="EI178" s="79"/>
      <c r="EJ178" s="79"/>
      <c r="EK178" s="79"/>
      <c r="EL178" s="79"/>
      <c r="EM178" s="79"/>
      <c r="EN178" s="79"/>
      <c r="EO178" s="79"/>
      <c r="EP178" s="79"/>
      <c r="EQ178" s="79"/>
      <c r="ER178" s="79"/>
      <c r="ES178" s="79"/>
      <c r="ET178" s="79"/>
      <c r="EU178" s="79"/>
      <c r="EV178" s="79"/>
      <c r="EW178" s="79"/>
      <c r="EX178" s="79"/>
      <c r="EY178" s="79"/>
      <c r="EZ178" s="79"/>
      <c r="FA178" s="79"/>
      <c r="FB178" s="79"/>
      <c r="FC178" s="79"/>
      <c r="FD178" s="79"/>
      <c r="FE178" s="79"/>
      <c r="FF178" s="79"/>
      <c r="FG178" s="79"/>
      <c r="FH178" s="79"/>
      <c r="FI178" s="79"/>
      <c r="FJ178" s="79"/>
      <c r="FK178" s="79"/>
      <c r="FL178" s="79"/>
      <c r="FM178" s="47"/>
      <c r="FN178" s="47"/>
      <c r="FO178" s="47"/>
      <c r="FP178" s="47"/>
      <c r="FQ178" s="47"/>
      <c r="FR178" s="47"/>
      <c r="FS178" s="47"/>
      <c r="FT178" s="47"/>
      <c r="FU178" s="47"/>
      <c r="FV178" s="48"/>
      <c r="FW178" s="48"/>
      <c r="FX178" s="48"/>
      <c r="FY178" s="48"/>
      <c r="FZ178" s="48"/>
      <c r="GA178" s="49"/>
      <c r="GB178" s="49"/>
      <c r="GC178" s="49"/>
      <c r="GD178" s="49"/>
      <c r="GE178" s="49"/>
      <c r="GF178" s="49"/>
      <c r="GG178" s="49"/>
      <c r="GH178" s="49"/>
      <c r="GI178" s="49"/>
      <c r="GJ178" s="49"/>
      <c r="GK178" s="49"/>
      <c r="GL178" s="49"/>
      <c r="GM178" s="49"/>
      <c r="GN178" s="49"/>
      <c r="GO178" s="49" t="e">
        <f ca="1">-GD177-GM177</f>
        <v>#DIV/0!</v>
      </c>
      <c r="GP178" s="49" t="e">
        <f ca="1">GE177-GN177</f>
        <v>#VALUE!</v>
      </c>
      <c r="GQ178" s="49" t="e">
        <f ca="1">-GG177</f>
        <v>#DIV/0!</v>
      </c>
      <c r="GR178" s="49" t="e">
        <f ca="1">-(GP178-(GP178^2-4*GO178*GQ178)^0.5)/(2*GO178)</f>
        <v>#VALUE!</v>
      </c>
      <c r="GS178" s="49" t="e">
        <f ca="1">-(GP178+(GP178^2-4*GO178*GQ178)^0.5)/(2*GO178)</f>
        <v>#VALUE!</v>
      </c>
      <c r="GT178" s="49"/>
      <c r="GU178" s="49"/>
      <c r="GV178" s="49"/>
      <c r="GW178" s="49"/>
      <c r="GX178" s="49"/>
      <c r="GY178" s="49"/>
      <c r="GZ178" s="49"/>
      <c r="HA178" s="49"/>
      <c r="HB178" s="49"/>
      <c r="HC178" s="49"/>
      <c r="HD178" s="49"/>
      <c r="HE178" s="49"/>
      <c r="HF178" s="49"/>
      <c r="HG178" s="49"/>
      <c r="HH178" s="49"/>
      <c r="HI178" s="49"/>
      <c r="HJ178" s="49"/>
      <c r="HK178" s="49"/>
      <c r="HL178" s="49"/>
      <c r="HM178" s="49"/>
    </row>
    <row r="179" spans="1:221" ht="16.5" customHeight="1">
      <c r="A179" s="1"/>
      <c r="B179" s="3"/>
      <c r="C179" s="3"/>
      <c r="D179" s="38"/>
      <c r="E179" s="126"/>
      <c r="F179" s="126"/>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25"/>
      <c r="AY179" s="26"/>
      <c r="AZ179" s="41"/>
      <c r="BA179" s="41"/>
      <c r="BB179" s="41"/>
      <c r="BC179" s="41"/>
      <c r="BD179" s="42"/>
      <c r="BE179" s="41"/>
      <c r="BF179" s="41"/>
      <c r="BG179" s="41"/>
      <c r="BH179" s="41"/>
      <c r="BI179" s="41"/>
      <c r="BJ179" s="41"/>
      <c r="BK179" s="42"/>
      <c r="BL179" s="41"/>
      <c r="BM179" s="41"/>
      <c r="BN179" s="41"/>
      <c r="BO179" s="41"/>
      <c r="BP179" s="41"/>
      <c r="BQ179" s="41"/>
      <c r="BR179" s="80"/>
      <c r="BS179" s="79"/>
      <c r="BT179" s="79"/>
      <c r="BU179" s="79"/>
      <c r="BV179" s="79"/>
      <c r="BW179" s="79"/>
      <c r="BX179" s="79"/>
      <c r="BY179" s="79"/>
      <c r="BZ179" s="80"/>
      <c r="CA179" s="80"/>
      <c r="CB179" s="80"/>
      <c r="CC179" s="80"/>
      <c r="CD179" s="80"/>
      <c r="CE179" s="80"/>
      <c r="CF179" s="80"/>
      <c r="CG179" s="80"/>
      <c r="CH179" s="80"/>
      <c r="CI179" s="80"/>
      <c r="CJ179" s="80"/>
      <c r="CK179" s="80"/>
      <c r="CL179" s="80"/>
      <c r="CM179" s="80"/>
      <c r="CN179" s="80"/>
      <c r="CO179" s="80"/>
      <c r="CP179" s="79"/>
      <c r="CQ179" s="79"/>
      <c r="CR179" s="79"/>
      <c r="CS179" s="79"/>
      <c r="CT179" s="79"/>
      <c r="CU179" s="79"/>
      <c r="CV179" s="79"/>
      <c r="CW179" s="79"/>
      <c r="CX179" s="79"/>
      <c r="CY179" s="79"/>
      <c r="CZ179" s="79"/>
      <c r="DA179" s="79"/>
      <c r="DB179" s="79"/>
      <c r="DC179" s="79"/>
      <c r="DD179" s="79"/>
      <c r="DE179" s="79"/>
      <c r="DF179" s="79"/>
      <c r="DG179" s="79"/>
      <c r="DH179" s="79"/>
      <c r="DI179" s="79"/>
      <c r="DJ179" s="79"/>
      <c r="DK179" s="79"/>
      <c r="DL179" s="79"/>
      <c r="DM179" s="79"/>
      <c r="DN179" s="79"/>
      <c r="DO179" s="79"/>
      <c r="DP179" s="79"/>
      <c r="DQ179" s="79"/>
      <c r="DR179" s="79"/>
      <c r="DS179" s="79"/>
      <c r="DT179" s="79"/>
      <c r="DU179" s="79"/>
      <c r="DV179" s="79"/>
      <c r="DW179" s="79"/>
      <c r="DX179" s="79"/>
      <c r="DY179" s="79"/>
      <c r="DZ179" s="79"/>
      <c r="EA179" s="79"/>
      <c r="EB179" s="79"/>
      <c r="EC179" s="79"/>
      <c r="ED179" s="79"/>
      <c r="EE179" s="79"/>
      <c r="EF179" s="79"/>
      <c r="EG179" s="79"/>
      <c r="EH179" s="79"/>
      <c r="EI179" s="79"/>
      <c r="EJ179" s="79"/>
      <c r="EK179" s="79"/>
      <c r="EL179" s="79"/>
      <c r="EM179" s="79"/>
      <c r="EN179" s="79"/>
      <c r="EO179" s="79"/>
      <c r="EP179" s="79"/>
      <c r="EQ179" s="79"/>
      <c r="ER179" s="79"/>
      <c r="ES179" s="79"/>
      <c r="ET179" s="79"/>
      <c r="EU179" s="79"/>
      <c r="EV179" s="79"/>
      <c r="EW179" s="79"/>
      <c r="EX179" s="79"/>
      <c r="EY179" s="79"/>
      <c r="EZ179" s="79"/>
      <c r="FA179" s="79"/>
      <c r="FB179" s="79"/>
      <c r="FC179" s="79"/>
      <c r="FD179" s="79"/>
      <c r="FE179" s="79"/>
      <c r="FF179" s="79"/>
      <c r="FG179" s="79"/>
      <c r="FH179" s="79"/>
      <c r="FI179" s="79"/>
      <c r="FJ179" s="79"/>
      <c r="FK179" s="79"/>
      <c r="FL179" s="79"/>
      <c r="FM179" s="47"/>
      <c r="FN179" s="47"/>
      <c r="FO179" s="47"/>
      <c r="FP179" s="47"/>
      <c r="FQ179" s="47"/>
      <c r="FR179" s="47"/>
      <c r="FS179" s="47"/>
      <c r="FT179" s="47"/>
      <c r="FU179" s="47"/>
      <c r="FV179" s="48"/>
      <c r="FW179" s="48"/>
      <c r="FX179" s="48"/>
      <c r="FY179" s="48"/>
      <c r="FZ179" s="48"/>
      <c r="GA179" s="49"/>
      <c r="GB179" s="49"/>
      <c r="GC179" s="49" t="s">
        <v>0</v>
      </c>
      <c r="GD179" s="49" t="s">
        <v>22</v>
      </c>
      <c r="GE179" s="49" t="s">
        <v>37</v>
      </c>
      <c r="GF179" s="49" t="s">
        <v>50</v>
      </c>
      <c r="GG179" s="49" t="s">
        <v>57</v>
      </c>
      <c r="GH179" s="49"/>
      <c r="GI179" s="49" t="s">
        <v>60</v>
      </c>
      <c r="GJ179" s="49"/>
      <c r="GK179" s="49" t="s">
        <v>71</v>
      </c>
      <c r="GL179" s="49" t="s">
        <v>72</v>
      </c>
      <c r="GM179" s="49" t="s">
        <v>73</v>
      </c>
      <c r="GN179" s="49" t="s">
        <v>5</v>
      </c>
      <c r="GO179" s="49" t="s">
        <v>3</v>
      </c>
      <c r="GP179" s="49" t="s">
        <v>58</v>
      </c>
      <c r="GQ179" s="49" t="s">
        <v>88</v>
      </c>
      <c r="GR179" s="49" t="s">
        <v>60</v>
      </c>
      <c r="GS179" s="49"/>
      <c r="GT179" s="49" t="s">
        <v>2</v>
      </c>
      <c r="GU179" s="49" t="s">
        <v>73</v>
      </c>
      <c r="GV179" s="49" t="s">
        <v>60</v>
      </c>
      <c r="GW179" s="49"/>
      <c r="GX179" s="49"/>
      <c r="GY179" s="49"/>
      <c r="GZ179" s="49"/>
      <c r="HA179" s="49"/>
      <c r="HB179" s="49" t="s">
        <v>76</v>
      </c>
      <c r="HC179" s="49"/>
      <c r="HD179" s="49"/>
      <c r="HE179" s="49"/>
      <c r="HF179" s="49"/>
      <c r="HG179" s="49"/>
      <c r="HH179" s="49"/>
      <c r="HI179" s="49"/>
      <c r="HJ179" s="49"/>
      <c r="HK179" s="49"/>
      <c r="HL179" s="49"/>
      <c r="HM179" s="49"/>
    </row>
    <row r="180" spans="1:221" ht="16.5" customHeight="1">
      <c r="A180" s="1"/>
      <c r="B180" s="3"/>
      <c r="C180" s="3"/>
      <c r="D180" s="38"/>
      <c r="E180" s="126"/>
      <c r="F180" s="126"/>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25"/>
      <c r="AY180" s="26"/>
      <c r="AZ180" s="41"/>
      <c r="BA180" s="41"/>
      <c r="BB180" s="41"/>
      <c r="BC180" s="41"/>
      <c r="BD180" s="42"/>
      <c r="BE180" s="41"/>
      <c r="BF180" s="41"/>
      <c r="BG180" s="41"/>
      <c r="BH180" s="41"/>
      <c r="BI180" s="41"/>
      <c r="BJ180" s="41"/>
      <c r="BK180" s="42"/>
      <c r="BL180" s="41"/>
      <c r="BM180" s="41"/>
      <c r="BN180" s="41"/>
      <c r="BO180" s="41"/>
      <c r="BP180" s="41"/>
      <c r="BQ180" s="41"/>
      <c r="BR180" s="80"/>
      <c r="BS180" s="79"/>
      <c r="BT180" s="79"/>
      <c r="BU180" s="79"/>
      <c r="BV180" s="79"/>
      <c r="BW180" s="79"/>
      <c r="BX180" s="79"/>
      <c r="BY180" s="79"/>
      <c r="BZ180" s="80"/>
      <c r="CA180" s="80"/>
      <c r="CB180" s="80"/>
      <c r="CC180" s="80"/>
      <c r="CD180" s="80"/>
      <c r="CE180" s="80"/>
      <c r="CF180" s="80"/>
      <c r="CG180" s="80"/>
      <c r="CH180" s="80"/>
      <c r="CI180" s="80"/>
      <c r="CJ180" s="80"/>
      <c r="CK180" s="80"/>
      <c r="CL180" s="80"/>
      <c r="CM180" s="80"/>
      <c r="CN180" s="80"/>
      <c r="CO180" s="80"/>
      <c r="CP180" s="79"/>
      <c r="CQ180" s="79"/>
      <c r="CR180" s="79"/>
      <c r="CS180" s="79"/>
      <c r="CT180" s="79"/>
      <c r="CU180" s="79"/>
      <c r="CV180" s="79"/>
      <c r="CW180" s="79"/>
      <c r="CX180" s="79"/>
      <c r="CY180" s="79"/>
      <c r="CZ180" s="79"/>
      <c r="DA180" s="79"/>
      <c r="DB180" s="79"/>
      <c r="DC180" s="79"/>
      <c r="DD180" s="79"/>
      <c r="DE180" s="79"/>
      <c r="DF180" s="79"/>
      <c r="DG180" s="79"/>
      <c r="DH180" s="79"/>
      <c r="DI180" s="79"/>
      <c r="DJ180" s="79"/>
      <c r="DK180" s="79"/>
      <c r="DL180" s="79"/>
      <c r="DM180" s="79"/>
      <c r="DN180" s="79"/>
      <c r="DO180" s="79"/>
      <c r="DP180" s="79"/>
      <c r="DQ180" s="79"/>
      <c r="DR180" s="79"/>
      <c r="DS180" s="79"/>
      <c r="DT180" s="79"/>
      <c r="DU180" s="79"/>
      <c r="DV180" s="79"/>
      <c r="DW180" s="79"/>
      <c r="DX180" s="79"/>
      <c r="DY180" s="79"/>
      <c r="DZ180" s="79"/>
      <c r="EA180" s="79"/>
      <c r="EB180" s="79"/>
      <c r="EC180" s="79"/>
      <c r="ED180" s="79"/>
      <c r="EE180" s="79"/>
      <c r="EF180" s="79"/>
      <c r="EG180" s="79"/>
      <c r="EH180" s="79"/>
      <c r="EI180" s="79"/>
      <c r="EJ180" s="79"/>
      <c r="EK180" s="79"/>
      <c r="EL180" s="79"/>
      <c r="EM180" s="79"/>
      <c r="EN180" s="79"/>
      <c r="EO180" s="79"/>
      <c r="EP180" s="79"/>
      <c r="EQ180" s="79"/>
      <c r="ER180" s="79"/>
      <c r="ES180" s="79"/>
      <c r="ET180" s="79"/>
      <c r="EU180" s="79"/>
      <c r="EV180" s="79"/>
      <c r="EW180" s="79"/>
      <c r="EX180" s="79"/>
      <c r="EY180" s="79"/>
      <c r="EZ180" s="79"/>
      <c r="FA180" s="79"/>
      <c r="FB180" s="79"/>
      <c r="FC180" s="79"/>
      <c r="FD180" s="79"/>
      <c r="FE180" s="79"/>
      <c r="FF180" s="79"/>
      <c r="FG180" s="79"/>
      <c r="FH180" s="79"/>
      <c r="FI180" s="79"/>
      <c r="FJ180" s="79"/>
      <c r="FK180" s="79"/>
      <c r="FL180" s="79"/>
      <c r="FM180" s="47"/>
      <c r="FN180" s="47"/>
      <c r="FO180" s="47"/>
      <c r="FP180" s="47"/>
      <c r="FQ180" s="47"/>
      <c r="FR180" s="47"/>
      <c r="FS180" s="47"/>
      <c r="FT180" s="47"/>
      <c r="FU180" s="47"/>
      <c r="FV180" s="48"/>
      <c r="FW180" s="48"/>
      <c r="FX180" s="48"/>
      <c r="FY180" s="48"/>
      <c r="FZ180" s="48"/>
      <c r="GA180" s="49"/>
      <c r="GB180" s="49">
        <f ca="1">IF(FN156=1,GG177/(1.1*GE177-GF177),0)</f>
        <v>0</v>
      </c>
      <c r="GC180" s="49" t="str">
        <f ca="1">IF(FN156=1,0,"")</f>
        <v/>
      </c>
      <c r="GD180" s="49">
        <f ca="1">IF(FN156=1,-GD177*GC180+GE177,0)</f>
        <v>0</v>
      </c>
      <c r="GE180" s="49">
        <f ca="1">IF(FN156=1,-2*GD177*GC180+GE177,0)</f>
        <v>0</v>
      </c>
      <c r="GF180" s="49">
        <f t="shared" ref="GF180:GF190" ca="1" si="3">IF(FN$156=1,GF$177+GG$177/GB180,0)</f>
        <v>0</v>
      </c>
      <c r="GG180" s="49">
        <f ca="1">IF(FN156=1,GF177,0)</f>
        <v>0</v>
      </c>
      <c r="GH180" s="49"/>
      <c r="GI180" s="49">
        <f ca="1">IF(FN156=0,0,IF(FO174=1,GI190,IF(FO174=2,GC185,IF(FO174=3,GR190,0))))</f>
        <v>0</v>
      </c>
      <c r="GJ180" s="49">
        <f ca="1">0*GJ190</f>
        <v>0</v>
      </c>
      <c r="GK180" s="49">
        <f ca="1">0*GK190</f>
        <v>0</v>
      </c>
      <c r="GL180" s="49">
        <f ca="1">GL190</f>
        <v>0</v>
      </c>
      <c r="GM180" s="49">
        <f ca="1">GM190</f>
        <v>0</v>
      </c>
      <c r="GN180" s="49">
        <f ca="1">IF(FN156=0,0,-GD177*GC180^2+GE177*GC180)</f>
        <v>0</v>
      </c>
      <c r="GO180" s="49">
        <f ca="1">IF(FN156=0,0,GF177*GC180+GG177)</f>
        <v>0</v>
      </c>
      <c r="GP180" s="49">
        <f ca="1">IF(FN156=0,0,IF(FO174=1,GF177*GQ180+GG177+GE169,IF(FO174=2,GN185,0)))</f>
        <v>0</v>
      </c>
      <c r="GQ180" s="49">
        <f ca="1">IF(FN156=0,0,IF(FO174=1,GI180-2*GC181,IF(FO174=2,GI180-2*GC181,0)))</f>
        <v>0</v>
      </c>
      <c r="GR180" s="49">
        <f ca="1">IF(FN156=0,0,IF(FO174=3,GR176,IF(FO174=2,GC185,IF(FO174=1,GK190,0))))</f>
        <v>0</v>
      </c>
      <c r="GS180" s="49">
        <f ca="1">0*GS190</f>
        <v>0</v>
      </c>
      <c r="GT180" s="49">
        <f ca="1">IF(FN156=1,GF177*GC180,0)</f>
        <v>0</v>
      </c>
      <c r="GU180" s="49">
        <f ca="1">GU190</f>
        <v>0</v>
      </c>
      <c r="GV180" s="49">
        <f ca="1">IF(FN156=0,0,IF(FO174=3,GV190,0))</f>
        <v>0</v>
      </c>
      <c r="GW180" s="49">
        <f ca="1">0*GW190</f>
        <v>0</v>
      </c>
      <c r="GX180" s="49">
        <f ca="1">0*GX190</f>
        <v>0</v>
      </c>
      <c r="GY180" s="49"/>
      <c r="GZ180" s="49"/>
      <c r="HA180" s="49"/>
      <c r="HB180" s="49" t="str">
        <f ca="1">GC196</f>
        <v/>
      </c>
      <c r="HC180" s="49" t="str">
        <f ca="1">GC202</f>
        <v/>
      </c>
      <c r="HD180" s="49" t="e">
        <f ca="1">GH177*HC180^3+GI177*HC180^2+GJ177*HC180+GG177+GD207</f>
        <v>#VALUE!</v>
      </c>
      <c r="HE180" s="49"/>
      <c r="HF180" s="49" t="str">
        <f t="shared" ref="HF180:HF212" ca="1" si="4">HB180</f>
        <v/>
      </c>
      <c r="HG180" s="49"/>
      <c r="HH180" s="49"/>
      <c r="HI180" s="49"/>
      <c r="HJ180" s="49"/>
      <c r="HK180" s="49"/>
      <c r="HL180" s="49"/>
      <c r="HM180" s="49"/>
    </row>
    <row r="181" spans="1:221" ht="16.5" customHeight="1">
      <c r="A181" s="1"/>
      <c r="B181" s="3"/>
      <c r="C181" s="3"/>
      <c r="D181" s="38"/>
      <c r="E181" s="126"/>
      <c r="F181" s="126"/>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25"/>
      <c r="AY181" s="26"/>
      <c r="AZ181" s="41"/>
      <c r="BA181" s="41"/>
      <c r="BB181" s="41"/>
      <c r="BC181" s="41"/>
      <c r="BD181" s="42"/>
      <c r="BE181" s="41"/>
      <c r="BF181" s="41"/>
      <c r="BG181" s="41"/>
      <c r="BH181" s="41"/>
      <c r="BI181" s="41"/>
      <c r="BJ181" s="41"/>
      <c r="BK181" s="42"/>
      <c r="BL181" s="41"/>
      <c r="BM181" s="41"/>
      <c r="BN181" s="41"/>
      <c r="BO181" s="41"/>
      <c r="BP181" s="41"/>
      <c r="BQ181" s="41"/>
      <c r="BR181" s="80"/>
      <c r="BS181" s="79"/>
      <c r="BT181" s="79"/>
      <c r="BU181" s="79"/>
      <c r="BV181" s="79"/>
      <c r="BW181" s="79"/>
      <c r="BX181" s="79"/>
      <c r="BY181" s="79"/>
      <c r="BZ181" s="80"/>
      <c r="CA181" s="80"/>
      <c r="CB181" s="80"/>
      <c r="CC181" s="80"/>
      <c r="CD181" s="80"/>
      <c r="CE181" s="80"/>
      <c r="CF181" s="80"/>
      <c r="CG181" s="80"/>
      <c r="CH181" s="80"/>
      <c r="CI181" s="80"/>
      <c r="CJ181" s="80"/>
      <c r="CK181" s="80"/>
      <c r="CL181" s="80"/>
      <c r="CM181" s="80"/>
      <c r="CN181" s="80"/>
      <c r="CO181" s="80"/>
      <c r="CP181" s="79"/>
      <c r="CQ181" s="79"/>
      <c r="CR181" s="79"/>
      <c r="CS181" s="79"/>
      <c r="CT181" s="79"/>
      <c r="CU181" s="79"/>
      <c r="CV181" s="79"/>
      <c r="CW181" s="79"/>
      <c r="CX181" s="79"/>
      <c r="CY181" s="79"/>
      <c r="CZ181" s="79"/>
      <c r="DA181" s="79"/>
      <c r="DB181" s="79"/>
      <c r="DC181" s="79"/>
      <c r="DD181" s="79"/>
      <c r="DE181" s="79"/>
      <c r="DF181" s="79"/>
      <c r="DG181" s="79"/>
      <c r="DH181" s="79"/>
      <c r="DI181" s="79"/>
      <c r="DJ181" s="79"/>
      <c r="DK181" s="79"/>
      <c r="DL181" s="79"/>
      <c r="DM181" s="79"/>
      <c r="DN181" s="79"/>
      <c r="DO181" s="79"/>
      <c r="DP181" s="79"/>
      <c r="DQ181" s="79"/>
      <c r="DR181" s="79"/>
      <c r="DS181" s="79"/>
      <c r="DT181" s="79"/>
      <c r="DU181" s="79"/>
      <c r="DV181" s="79"/>
      <c r="DW181" s="79"/>
      <c r="DX181" s="79"/>
      <c r="DY181" s="79"/>
      <c r="DZ181" s="79"/>
      <c r="EA181" s="79"/>
      <c r="EB181" s="79"/>
      <c r="EC181" s="79"/>
      <c r="ED181" s="79"/>
      <c r="EE181" s="79"/>
      <c r="EF181" s="79"/>
      <c r="EG181" s="79"/>
      <c r="EH181" s="79"/>
      <c r="EI181" s="79"/>
      <c r="EJ181" s="79"/>
      <c r="EK181" s="79"/>
      <c r="EL181" s="79"/>
      <c r="EM181" s="79"/>
      <c r="EN181" s="79"/>
      <c r="EO181" s="79"/>
      <c r="EP181" s="79"/>
      <c r="EQ181" s="79"/>
      <c r="ER181" s="79"/>
      <c r="ES181" s="79"/>
      <c r="ET181" s="79"/>
      <c r="EU181" s="79"/>
      <c r="EV181" s="79"/>
      <c r="EW181" s="79"/>
      <c r="EX181" s="79"/>
      <c r="EY181" s="79"/>
      <c r="EZ181" s="79"/>
      <c r="FA181" s="79"/>
      <c r="FB181" s="79"/>
      <c r="FC181" s="79"/>
      <c r="FD181" s="79"/>
      <c r="FE181" s="79"/>
      <c r="FF181" s="79"/>
      <c r="FG181" s="79"/>
      <c r="FH181" s="79"/>
      <c r="FI181" s="79"/>
      <c r="FJ181" s="79"/>
      <c r="FK181" s="79"/>
      <c r="FL181" s="79"/>
      <c r="FM181" s="47"/>
      <c r="FN181" s="47"/>
      <c r="FO181" s="47"/>
      <c r="FP181" s="47"/>
      <c r="FQ181" s="47"/>
      <c r="FR181" s="47"/>
      <c r="FS181" s="47"/>
      <c r="FT181" s="47"/>
      <c r="FU181" s="47"/>
      <c r="FV181" s="48"/>
      <c r="FW181" s="48"/>
      <c r="FX181" s="48"/>
      <c r="FY181" s="48"/>
      <c r="FZ181" s="48"/>
      <c r="GA181" s="49"/>
      <c r="GB181" s="49">
        <f ca="1">IF(FN156=1,(GB180+GB182)/2,0)</f>
        <v>0</v>
      </c>
      <c r="GC181" s="49" t="str">
        <f ca="1">IF(FN156=1,0.1*(GE177/GD177),"")</f>
        <v/>
      </c>
      <c r="GD181" s="49">
        <f ca="1">IF(FN156=1,-GD177*GC181+GE177,0)</f>
        <v>0</v>
      </c>
      <c r="GE181" s="49">
        <f ca="1">IF(FN156=1,-2*GD177*GC181+GE177,0)</f>
        <v>0</v>
      </c>
      <c r="GF181" s="49">
        <f t="shared" ca="1" si="3"/>
        <v>0</v>
      </c>
      <c r="GG181" s="49">
        <f ca="1">IF(FN156=1,GF177,0)</f>
        <v>0</v>
      </c>
      <c r="GH181" s="49"/>
      <c r="GI181" s="49">
        <f ca="1">IF(FN156=0,0,IF(FO174=1,GI190,IF(FO174=2,GC185,IF(FO174=3,GR190,0))))</f>
        <v>0</v>
      </c>
      <c r="GJ181" s="49">
        <f ca="1">IF(FN156=1,0.1*GJ190,0)</f>
        <v>0</v>
      </c>
      <c r="GK181" s="49">
        <f ca="1">0.1*GK190</f>
        <v>0</v>
      </c>
      <c r="GL181" s="49">
        <f ca="1">GL190</f>
        <v>0</v>
      </c>
      <c r="GM181" s="49">
        <f ca="1">GM190</f>
        <v>0</v>
      </c>
      <c r="GN181" s="49">
        <f ca="1">IF(FN156=0,0,-GD177*GC181^2+GE177*GC181)</f>
        <v>0</v>
      </c>
      <c r="GO181" s="49">
        <f ca="1">IF(FN156=0,0,GF177*GC181+GG177)</f>
        <v>0</v>
      </c>
      <c r="GP181" s="49">
        <f ca="1">IF(FN156=0,0,IF(FO174=1,GF177*GQ181+GG177+GE169,IF(FO174=2,GN185,0)))</f>
        <v>0</v>
      </c>
      <c r="GQ181" s="49">
        <f ca="1">IF(FN156=0,0,IF(FO174=1,GI180-1*GC181,IF(FO174=2,GI180-1*GC181,0)))</f>
        <v>0</v>
      </c>
      <c r="GR181" s="49">
        <f ca="1">IF(FN156=0,0,IF(FO174=3,GR176,IF(FO174=2,GC185,IF(FO174=1,GK190,0))))</f>
        <v>0</v>
      </c>
      <c r="GS181" s="49">
        <f ca="1">0.1*GS190</f>
        <v>0</v>
      </c>
      <c r="GT181" s="49">
        <f ca="1">IF(FN156=1,GF177*GC181,0)</f>
        <v>0</v>
      </c>
      <c r="GU181" s="49">
        <f ca="1">GU190</f>
        <v>0</v>
      </c>
      <c r="GV181" s="49">
        <f ca="1">IF(FN156=0,0,IF(FO174=3,GV190,0))</f>
        <v>0</v>
      </c>
      <c r="GW181" s="49">
        <f ca="1">0.1*GW190</f>
        <v>0</v>
      </c>
      <c r="GX181" s="49">
        <f ca="1">IF(FN156=1,0.1*GX190,0)</f>
        <v>0</v>
      </c>
      <c r="GY181" s="49"/>
      <c r="GZ181" s="49"/>
      <c r="HA181" s="49">
        <v>1</v>
      </c>
      <c r="HB181" s="49" t="e">
        <f ca="1">HB180+HA181*(HB232-HB180)/HA231</f>
        <v>#VALUE!</v>
      </c>
      <c r="HC181" s="49" t="e">
        <f ca="1">HC180+HA181*(HC232-HC180)/HA231</f>
        <v>#VALUE!</v>
      </c>
      <c r="HD181" s="49" t="e">
        <f ca="1">GH177*HC181^3+GI177*HC181^2+GJ177*HC181+GG177+GD207</f>
        <v>#VALUE!</v>
      </c>
      <c r="HE181" s="49" t="e">
        <f t="shared" ref="HE181:HE231" ca="1" si="5">IF(AND(HD181&gt;=0,HD180&lt;0),HC180-HD180/(HD181-HD180)*(HC181-HC180),0)</f>
        <v>#VALUE!</v>
      </c>
      <c r="HF181" s="49" t="e">
        <f t="shared" ca="1" si="4"/>
        <v>#VALUE!</v>
      </c>
      <c r="HG181" s="49" t="e">
        <f t="shared" ref="HG181:HG213" ca="1" si="6">GH$177*HF181^2+GI$177*HF181^1+GJ$177+GG$177/HF181-1.1*GE$177</f>
        <v>#VALUE!</v>
      </c>
      <c r="HH181" s="49" t="e">
        <f t="shared" ref="HH181:HH231" ca="1" si="7">IF(AND(HG181&lt;0,HG180&gt;=0),HF180-HG180/(HG181-HG180)*(HF181-HF180),0)</f>
        <v>#VALUE!</v>
      </c>
      <c r="HI181" s="49"/>
      <c r="HJ181" s="49"/>
      <c r="HK181" s="49"/>
      <c r="HL181" s="49"/>
      <c r="HM181" s="49"/>
    </row>
    <row r="182" spans="1:221" ht="16.5" customHeight="1">
      <c r="A182" s="1"/>
      <c r="B182" s="3"/>
      <c r="C182" s="3"/>
      <c r="D182" s="38"/>
      <c r="E182" s="126"/>
      <c r="F182" s="126"/>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25"/>
      <c r="AY182" s="26"/>
      <c r="AZ182" s="41"/>
      <c r="BA182" s="41"/>
      <c r="BB182" s="41"/>
      <c r="BC182" s="41"/>
      <c r="BD182" s="42"/>
      <c r="BE182" s="41"/>
      <c r="BF182" s="41"/>
      <c r="BG182" s="41"/>
      <c r="BH182" s="41"/>
      <c r="BI182" s="41"/>
      <c r="BJ182" s="41"/>
      <c r="BK182" s="42"/>
      <c r="BL182" s="41"/>
      <c r="BM182" s="41"/>
      <c r="BN182" s="41"/>
      <c r="BO182" s="41"/>
      <c r="BP182" s="41"/>
      <c r="BQ182" s="41"/>
      <c r="BR182" s="80"/>
      <c r="BS182" s="79"/>
      <c r="BT182" s="79"/>
      <c r="BU182" s="79"/>
      <c r="BV182" s="79"/>
      <c r="BW182" s="79"/>
      <c r="BX182" s="79"/>
      <c r="BY182" s="79"/>
      <c r="BZ182" s="80"/>
      <c r="CA182" s="80"/>
      <c r="CB182" s="80"/>
      <c r="CC182" s="80"/>
      <c r="CD182" s="80"/>
      <c r="CE182" s="80"/>
      <c r="CF182" s="80"/>
      <c r="CG182" s="80"/>
      <c r="CH182" s="80"/>
      <c r="CI182" s="80"/>
      <c r="CJ182" s="80"/>
      <c r="CK182" s="80"/>
      <c r="CL182" s="80"/>
      <c r="CM182" s="80"/>
      <c r="CN182" s="80"/>
      <c r="CO182" s="80"/>
      <c r="CP182" s="79"/>
      <c r="CQ182" s="79"/>
      <c r="CR182" s="79"/>
      <c r="CS182" s="79"/>
      <c r="CT182" s="79"/>
      <c r="CU182" s="79"/>
      <c r="CV182" s="79"/>
      <c r="CW182" s="79"/>
      <c r="CX182" s="79"/>
      <c r="CY182" s="79"/>
      <c r="CZ182" s="79"/>
      <c r="DA182" s="79"/>
      <c r="DB182" s="79"/>
      <c r="DC182" s="79"/>
      <c r="DD182" s="79"/>
      <c r="DE182" s="79"/>
      <c r="DF182" s="79"/>
      <c r="DG182" s="79"/>
      <c r="DH182" s="79"/>
      <c r="DI182" s="79"/>
      <c r="DJ182" s="79"/>
      <c r="DK182" s="79"/>
      <c r="DL182" s="79"/>
      <c r="DM182" s="79"/>
      <c r="DN182" s="79"/>
      <c r="DO182" s="79"/>
      <c r="DP182" s="79"/>
      <c r="DQ182" s="79"/>
      <c r="DR182" s="79"/>
      <c r="DS182" s="79"/>
      <c r="DT182" s="79"/>
      <c r="DU182" s="79"/>
      <c r="DV182" s="79"/>
      <c r="DW182" s="79"/>
      <c r="DX182" s="79"/>
      <c r="DY182" s="79"/>
      <c r="DZ182" s="79"/>
      <c r="EA182" s="79"/>
      <c r="EB182" s="79"/>
      <c r="EC182" s="79"/>
      <c r="ED182" s="79"/>
      <c r="EE182" s="79"/>
      <c r="EF182" s="79"/>
      <c r="EG182" s="79"/>
      <c r="EH182" s="79"/>
      <c r="EI182" s="79"/>
      <c r="EJ182" s="79"/>
      <c r="EK182" s="79"/>
      <c r="EL182" s="79"/>
      <c r="EM182" s="79"/>
      <c r="EN182" s="79"/>
      <c r="EO182" s="79"/>
      <c r="EP182" s="79"/>
      <c r="EQ182" s="79"/>
      <c r="ER182" s="79"/>
      <c r="ES182" s="79"/>
      <c r="ET182" s="79"/>
      <c r="EU182" s="79"/>
      <c r="EV182" s="79"/>
      <c r="EW182" s="79"/>
      <c r="EX182" s="79"/>
      <c r="EY182" s="79"/>
      <c r="EZ182" s="79"/>
      <c r="FA182" s="79"/>
      <c r="FB182" s="79"/>
      <c r="FC182" s="79"/>
      <c r="FD182" s="79"/>
      <c r="FE182" s="79"/>
      <c r="FF182" s="79"/>
      <c r="FG182" s="79"/>
      <c r="FH182" s="79"/>
      <c r="FI182" s="79"/>
      <c r="FJ182" s="79"/>
      <c r="FK182" s="79"/>
      <c r="FL182" s="79"/>
      <c r="FM182" s="47"/>
      <c r="FN182" s="47"/>
      <c r="FO182" s="47"/>
      <c r="FP182" s="47"/>
      <c r="FQ182" s="47"/>
      <c r="FR182" s="47"/>
      <c r="FS182" s="47"/>
      <c r="FT182" s="47"/>
      <c r="FU182" s="47"/>
      <c r="FV182" s="48"/>
      <c r="FW182" s="48"/>
      <c r="FX182" s="48"/>
      <c r="FY182" s="48"/>
      <c r="FZ182" s="48"/>
      <c r="GA182" s="49"/>
      <c r="GB182" s="49" t="str">
        <f t="shared" ref="GB182:GB189" ca="1" si="8">GC182</f>
        <v/>
      </c>
      <c r="GC182" s="49" t="str">
        <f ca="1">IF(FN156=1,0.2*(GE177/GD177),"")</f>
        <v/>
      </c>
      <c r="GD182" s="49">
        <f ca="1">IF(FN156=1,-GD177*GC182+GE177,0)</f>
        <v>0</v>
      </c>
      <c r="GE182" s="49">
        <f ca="1">IF(FN156=1,-2*GD177*GC182+GE177,0)</f>
        <v>0</v>
      </c>
      <c r="GF182" s="49">
        <f t="shared" ca="1" si="3"/>
        <v>0</v>
      </c>
      <c r="GG182" s="49">
        <f ca="1">IF(FN156=1,GF177,0)</f>
        <v>0</v>
      </c>
      <c r="GH182" s="49"/>
      <c r="GI182" s="49">
        <f ca="1">IF(FN156=0,0,IF(FO174=1,GI190,IF(FO174=2,GC185,IF(FO174=3,GR190,0))))</f>
        <v>0</v>
      </c>
      <c r="GJ182" s="49">
        <f ca="1">IF(FN156=1,0.2*GJ190,0)</f>
        <v>0</v>
      </c>
      <c r="GK182" s="49">
        <f ca="1">0.2*GK190</f>
        <v>0</v>
      </c>
      <c r="GL182" s="49">
        <f ca="1">GL190</f>
        <v>0</v>
      </c>
      <c r="GM182" s="49">
        <f ca="1">GM190</f>
        <v>0</v>
      </c>
      <c r="GN182" s="49">
        <f ca="1">IF(FN156=0,0,-GD177*GC182^2+GE177*GC182)</f>
        <v>0</v>
      </c>
      <c r="GO182" s="49">
        <f ca="1">IF(FN156=0,0,GF177*GC182+GG177)</f>
        <v>0</v>
      </c>
      <c r="GP182" s="49">
        <f ca="1">IF(FN156=0,0,IF(FO174=1,GF177*GQ182+GG177+GE169,IF(FO174=2,GN185,0)))</f>
        <v>0</v>
      </c>
      <c r="GQ182" s="49">
        <f ca="1">IF(FN156=0,0,IF(FO174=1,GI180,IF(FO174=2,GI180,0)))</f>
        <v>0</v>
      </c>
      <c r="GR182" s="49">
        <f ca="1">IF(FN156=0,0,IF(FO174=3,GR176,IF(FO174=2,GC185,IF(FO174=1,GK190,0))))</f>
        <v>0</v>
      </c>
      <c r="GS182" s="49">
        <f ca="1">0.2*GS190</f>
        <v>0</v>
      </c>
      <c r="GT182" s="49">
        <f ca="1">IF(FN156=1,GF177*GC182,0)</f>
        <v>0</v>
      </c>
      <c r="GU182" s="49">
        <f ca="1">GU190</f>
        <v>0</v>
      </c>
      <c r="GV182" s="49">
        <f ca="1">IF(FN156=0,0,IF(FO174=3,GV190,0))</f>
        <v>0</v>
      </c>
      <c r="GW182" s="49">
        <f ca="1">0.2*GW190</f>
        <v>0</v>
      </c>
      <c r="GX182" s="49">
        <f ca="1">IF(FN156=1,0.2*GX190,0)</f>
        <v>0</v>
      </c>
      <c r="GY182" s="49"/>
      <c r="GZ182" s="49"/>
      <c r="HA182" s="49">
        <v>2</v>
      </c>
      <c r="HB182" s="49" t="e">
        <f ca="1">HB180+HA182*(HB232-HB180)/HA231</f>
        <v>#VALUE!</v>
      </c>
      <c r="HC182" s="49" t="e">
        <f ca="1">HC180+HA182*(HC232-HC180)/HA231</f>
        <v>#VALUE!</v>
      </c>
      <c r="HD182" s="49" t="e">
        <f ca="1">GH177*HC182^3+GI177*HC182^2+GJ177*HC182+GG177+GD207</f>
        <v>#VALUE!</v>
      </c>
      <c r="HE182" s="49" t="e">
        <f t="shared" ca="1" si="5"/>
        <v>#VALUE!</v>
      </c>
      <c r="HF182" s="49" t="e">
        <f t="shared" ca="1" si="4"/>
        <v>#VALUE!</v>
      </c>
      <c r="HG182" s="49" t="e">
        <f t="shared" ca="1" si="6"/>
        <v>#VALUE!</v>
      </c>
      <c r="HH182" s="49" t="e">
        <f t="shared" ca="1" si="7"/>
        <v>#VALUE!</v>
      </c>
      <c r="HI182" s="49"/>
      <c r="HJ182" s="49"/>
      <c r="HK182" s="49"/>
      <c r="HL182" s="49"/>
      <c r="HM182" s="49"/>
    </row>
    <row r="183" spans="1:221" ht="16.5" customHeight="1">
      <c r="A183" s="1"/>
      <c r="B183" s="3"/>
      <c r="C183" s="3"/>
      <c r="D183" s="38"/>
      <c r="E183" s="126"/>
      <c r="F183" s="126"/>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25"/>
      <c r="AY183" s="26"/>
      <c r="AZ183" s="41"/>
      <c r="BA183" s="41"/>
      <c r="BB183" s="41"/>
      <c r="BC183" s="41"/>
      <c r="BD183" s="42"/>
      <c r="BE183" s="41"/>
      <c r="BF183" s="41"/>
      <c r="BG183" s="41"/>
      <c r="BH183" s="41"/>
      <c r="BI183" s="41"/>
      <c r="BJ183" s="41"/>
      <c r="BK183" s="42"/>
      <c r="BL183" s="41"/>
      <c r="BM183" s="41"/>
      <c r="BN183" s="41"/>
      <c r="BO183" s="41"/>
      <c r="BP183" s="41"/>
      <c r="BQ183" s="41"/>
      <c r="BR183" s="80"/>
      <c r="BS183" s="79"/>
      <c r="BT183" s="79"/>
      <c r="BU183" s="79"/>
      <c r="BV183" s="79"/>
      <c r="BW183" s="79"/>
      <c r="BX183" s="79"/>
      <c r="BY183" s="79"/>
      <c r="BZ183" s="80"/>
      <c r="CA183" s="80"/>
      <c r="CB183" s="80"/>
      <c r="CC183" s="80"/>
      <c r="CD183" s="80"/>
      <c r="CE183" s="80"/>
      <c r="CF183" s="80"/>
      <c r="CG183" s="80"/>
      <c r="CH183" s="80"/>
      <c r="CI183" s="80"/>
      <c r="CJ183" s="80"/>
      <c r="CK183" s="80"/>
      <c r="CL183" s="80"/>
      <c r="CM183" s="80"/>
      <c r="CN183" s="80"/>
      <c r="CO183" s="80"/>
      <c r="CP183" s="79"/>
      <c r="CQ183" s="79"/>
      <c r="CR183" s="79"/>
      <c r="CS183" s="79"/>
      <c r="CT183" s="79"/>
      <c r="CU183" s="79"/>
      <c r="CV183" s="79"/>
      <c r="CW183" s="79"/>
      <c r="CX183" s="79"/>
      <c r="CY183" s="79"/>
      <c r="CZ183" s="79"/>
      <c r="DA183" s="79"/>
      <c r="DB183" s="79"/>
      <c r="DC183" s="79"/>
      <c r="DD183" s="79"/>
      <c r="DE183" s="79"/>
      <c r="DF183" s="79"/>
      <c r="DG183" s="79"/>
      <c r="DH183" s="79"/>
      <c r="DI183" s="79"/>
      <c r="DJ183" s="79"/>
      <c r="DK183" s="79"/>
      <c r="DL183" s="79"/>
      <c r="DM183" s="79"/>
      <c r="DN183" s="79"/>
      <c r="DO183" s="79"/>
      <c r="DP183" s="79"/>
      <c r="DQ183" s="79"/>
      <c r="DR183" s="79"/>
      <c r="DS183" s="79"/>
      <c r="DT183" s="79"/>
      <c r="DU183" s="79"/>
      <c r="DV183" s="79"/>
      <c r="DW183" s="79"/>
      <c r="DX183" s="79"/>
      <c r="DY183" s="79"/>
      <c r="DZ183" s="79"/>
      <c r="EA183" s="79"/>
      <c r="EB183" s="79"/>
      <c r="EC183" s="79"/>
      <c r="ED183" s="79"/>
      <c r="EE183" s="79"/>
      <c r="EF183" s="79"/>
      <c r="EG183" s="79"/>
      <c r="EH183" s="79"/>
      <c r="EI183" s="79"/>
      <c r="EJ183" s="79"/>
      <c r="EK183" s="79"/>
      <c r="EL183" s="79"/>
      <c r="EM183" s="79"/>
      <c r="EN183" s="79"/>
      <c r="EO183" s="79"/>
      <c r="EP183" s="79"/>
      <c r="EQ183" s="79"/>
      <c r="ER183" s="79"/>
      <c r="ES183" s="79"/>
      <c r="ET183" s="79"/>
      <c r="EU183" s="79"/>
      <c r="EV183" s="79"/>
      <c r="EW183" s="79"/>
      <c r="EX183" s="79"/>
      <c r="EY183" s="79"/>
      <c r="EZ183" s="79"/>
      <c r="FA183" s="79"/>
      <c r="FB183" s="79"/>
      <c r="FC183" s="79"/>
      <c r="FD183" s="79"/>
      <c r="FE183" s="79"/>
      <c r="FF183" s="79"/>
      <c r="FG183" s="79"/>
      <c r="FH183" s="79"/>
      <c r="FI183" s="79"/>
      <c r="FJ183" s="79"/>
      <c r="FK183" s="79"/>
      <c r="FL183" s="79"/>
      <c r="FM183" s="47"/>
      <c r="FN183" s="47"/>
      <c r="FO183" s="47"/>
      <c r="FP183" s="47"/>
      <c r="FQ183" s="47"/>
      <c r="FR183" s="47"/>
      <c r="FS183" s="47"/>
      <c r="FT183" s="47"/>
      <c r="FU183" s="47"/>
      <c r="FV183" s="48"/>
      <c r="FW183" s="48"/>
      <c r="FX183" s="48"/>
      <c r="FY183" s="48"/>
      <c r="FZ183" s="48"/>
      <c r="GA183" s="49"/>
      <c r="GB183" s="49" t="str">
        <f t="shared" ca="1" si="8"/>
        <v/>
      </c>
      <c r="GC183" s="49" t="str">
        <f ca="1">IF(FN156=1,0.3*(GE177/GD177),"")</f>
        <v/>
      </c>
      <c r="GD183" s="49">
        <f ca="1">IF(FN156=1,-GD177*GC183+GE177,0)</f>
        <v>0</v>
      </c>
      <c r="GE183" s="49">
        <f ca="1">IF(FN156=1,-2*GD177*GC183+GE177,0)</f>
        <v>0</v>
      </c>
      <c r="GF183" s="49">
        <f t="shared" ca="1" si="3"/>
        <v>0</v>
      </c>
      <c r="GG183" s="49">
        <f ca="1">IF(FN156=1,GF177,0)</f>
        <v>0</v>
      </c>
      <c r="GH183" s="49"/>
      <c r="GI183" s="49">
        <f ca="1">IF(FN156=0,0,IF(FO174=1,GI190,IF(FO174=2,GC185,IF(FO174=3,GR190,0))))</f>
        <v>0</v>
      </c>
      <c r="GJ183" s="49">
        <f ca="1">IF(FN156=1,0.3*GJ190,0)</f>
        <v>0</v>
      </c>
      <c r="GK183" s="49">
        <f ca="1">0.3*GK190</f>
        <v>0</v>
      </c>
      <c r="GL183" s="49">
        <f ca="1">GL190</f>
        <v>0</v>
      </c>
      <c r="GM183" s="49">
        <f ca="1">GM190</f>
        <v>0</v>
      </c>
      <c r="GN183" s="49">
        <f ca="1">IF(FN156=0,0,-GD177*GC183^2+GE177*GC183)</f>
        <v>0</v>
      </c>
      <c r="GO183" s="49">
        <f ca="1">IF(FN156=0,0,GF177*GC183+GG177)</f>
        <v>0</v>
      </c>
      <c r="GP183" s="49">
        <f ca="1">IF(FN156=0,0,IF(FO174=1,GF177*GQ183+GG177+GE169,IF(FO174=2,GN185,0)))</f>
        <v>0</v>
      </c>
      <c r="GQ183" s="49">
        <f ca="1">IF(FN156=0,0,IF(FO174=1,GI180+1*GC181,IF(FO174=2,GI180+1*GC181,0)))</f>
        <v>0</v>
      </c>
      <c r="GR183" s="49">
        <f ca="1">IF(FN156=0,0,IF(FO174=3,GR176,IF(FO174=2,GC185,IF(FO174=1,GK190,0))))</f>
        <v>0</v>
      </c>
      <c r="GS183" s="49">
        <f ca="1">0.3*GS190</f>
        <v>0</v>
      </c>
      <c r="GT183" s="49">
        <f ca="1">IF(FN156=1,GF177*GC183,0)</f>
        <v>0</v>
      </c>
      <c r="GU183" s="49">
        <f ca="1">GU190</f>
        <v>0</v>
      </c>
      <c r="GV183" s="49">
        <f ca="1">IF(FN156=0,0,IF(FO174=3,GV190,0))</f>
        <v>0</v>
      </c>
      <c r="GW183" s="49">
        <f ca="1">0.3*GW190</f>
        <v>0</v>
      </c>
      <c r="GX183" s="49">
        <f ca="1">IF(FN156=1,0.3*GX190,0)</f>
        <v>0</v>
      </c>
      <c r="GY183" s="49"/>
      <c r="GZ183" s="49"/>
      <c r="HA183" s="49">
        <v>3</v>
      </c>
      <c r="HB183" s="49" t="e">
        <f ca="1">HB180+HA183*(HB232-HB180)/HA231</f>
        <v>#VALUE!</v>
      </c>
      <c r="HC183" s="49" t="e">
        <f ca="1">HC180+HA183*(HC232-HC180)/HA231</f>
        <v>#VALUE!</v>
      </c>
      <c r="HD183" s="49" t="e">
        <f ca="1">GH177*HC183^3+GI177*HC183^2+GJ177*HC183+GG177+GD207</f>
        <v>#VALUE!</v>
      </c>
      <c r="HE183" s="49" t="e">
        <f t="shared" ca="1" si="5"/>
        <v>#VALUE!</v>
      </c>
      <c r="HF183" s="49" t="e">
        <f t="shared" ca="1" si="4"/>
        <v>#VALUE!</v>
      </c>
      <c r="HG183" s="49" t="e">
        <f t="shared" ca="1" si="6"/>
        <v>#VALUE!</v>
      </c>
      <c r="HH183" s="49" t="e">
        <f t="shared" ca="1" si="7"/>
        <v>#VALUE!</v>
      </c>
      <c r="HI183" s="49"/>
      <c r="HJ183" s="49"/>
      <c r="HK183" s="49"/>
      <c r="HL183" s="49"/>
      <c r="HM183" s="49"/>
    </row>
    <row r="184" spans="1:221" ht="16.5" customHeight="1">
      <c r="A184" s="1"/>
      <c r="B184" s="3"/>
      <c r="C184" s="3"/>
      <c r="D184" s="38"/>
      <c r="E184" s="126"/>
      <c r="F184" s="126"/>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25"/>
      <c r="AY184" s="26"/>
      <c r="AZ184" s="41"/>
      <c r="BA184" s="41"/>
      <c r="BB184" s="41"/>
      <c r="BC184" s="41"/>
      <c r="BD184" s="42"/>
      <c r="BE184" s="41"/>
      <c r="BF184" s="41"/>
      <c r="BG184" s="41"/>
      <c r="BH184" s="41"/>
      <c r="BI184" s="41"/>
      <c r="BJ184" s="41"/>
      <c r="BK184" s="42"/>
      <c r="BL184" s="41"/>
      <c r="BM184" s="41"/>
      <c r="BN184" s="41"/>
      <c r="BO184" s="41"/>
      <c r="BP184" s="41"/>
      <c r="BQ184" s="41"/>
      <c r="BR184" s="80"/>
      <c r="BS184" s="79"/>
      <c r="BT184" s="79"/>
      <c r="BU184" s="79"/>
      <c r="BV184" s="79"/>
      <c r="BW184" s="79"/>
      <c r="BX184" s="79"/>
      <c r="BY184" s="79"/>
      <c r="BZ184" s="80"/>
      <c r="CA184" s="80"/>
      <c r="CB184" s="80"/>
      <c r="CC184" s="80"/>
      <c r="CD184" s="80"/>
      <c r="CE184" s="80"/>
      <c r="CF184" s="80"/>
      <c r="CG184" s="80"/>
      <c r="CH184" s="80"/>
      <c r="CI184" s="80"/>
      <c r="CJ184" s="80"/>
      <c r="CK184" s="80"/>
      <c r="CL184" s="80"/>
      <c r="CM184" s="80"/>
      <c r="CN184" s="80"/>
      <c r="CO184" s="80"/>
      <c r="CP184" s="79"/>
      <c r="CQ184" s="79"/>
      <c r="CR184" s="79"/>
      <c r="CS184" s="79"/>
      <c r="CT184" s="79"/>
      <c r="CU184" s="79"/>
      <c r="CV184" s="79"/>
      <c r="CW184" s="79"/>
      <c r="CX184" s="79"/>
      <c r="CY184" s="79"/>
      <c r="CZ184" s="79"/>
      <c r="DA184" s="79"/>
      <c r="DB184" s="79"/>
      <c r="DC184" s="79"/>
      <c r="DD184" s="79"/>
      <c r="DE184" s="79"/>
      <c r="DF184" s="79"/>
      <c r="DG184" s="79"/>
      <c r="DH184" s="79"/>
      <c r="DI184" s="79"/>
      <c r="DJ184" s="79"/>
      <c r="DK184" s="79"/>
      <c r="DL184" s="79"/>
      <c r="DM184" s="79"/>
      <c r="DN184" s="79"/>
      <c r="DO184" s="79"/>
      <c r="DP184" s="79"/>
      <c r="DQ184" s="79"/>
      <c r="DR184" s="79"/>
      <c r="DS184" s="79"/>
      <c r="DT184" s="79"/>
      <c r="DU184" s="79"/>
      <c r="DV184" s="79"/>
      <c r="DW184" s="79"/>
      <c r="DX184" s="79"/>
      <c r="DY184" s="79"/>
      <c r="DZ184" s="79"/>
      <c r="EA184" s="79"/>
      <c r="EB184" s="79"/>
      <c r="EC184" s="79"/>
      <c r="ED184" s="79"/>
      <c r="EE184" s="79"/>
      <c r="EF184" s="79"/>
      <c r="EG184" s="79"/>
      <c r="EH184" s="79"/>
      <c r="EI184" s="79"/>
      <c r="EJ184" s="79"/>
      <c r="EK184" s="79"/>
      <c r="EL184" s="79"/>
      <c r="EM184" s="79"/>
      <c r="EN184" s="79"/>
      <c r="EO184" s="79"/>
      <c r="EP184" s="79"/>
      <c r="EQ184" s="79"/>
      <c r="ER184" s="79"/>
      <c r="ES184" s="79"/>
      <c r="ET184" s="79"/>
      <c r="EU184" s="79"/>
      <c r="EV184" s="79"/>
      <c r="EW184" s="79"/>
      <c r="EX184" s="79"/>
      <c r="EY184" s="79"/>
      <c r="EZ184" s="79"/>
      <c r="FA184" s="79"/>
      <c r="FB184" s="79"/>
      <c r="FC184" s="79"/>
      <c r="FD184" s="79"/>
      <c r="FE184" s="79"/>
      <c r="FF184" s="79"/>
      <c r="FG184" s="79"/>
      <c r="FH184" s="79"/>
      <c r="FI184" s="79"/>
      <c r="FJ184" s="79"/>
      <c r="FK184" s="79"/>
      <c r="FL184" s="79"/>
      <c r="FM184" s="47"/>
      <c r="FN184" s="47"/>
      <c r="FO184" s="47"/>
      <c r="FP184" s="47"/>
      <c r="FQ184" s="47"/>
      <c r="FR184" s="47"/>
      <c r="FS184" s="47"/>
      <c r="FT184" s="47"/>
      <c r="FU184" s="47"/>
      <c r="FV184" s="48"/>
      <c r="FW184" s="48"/>
      <c r="FX184" s="48"/>
      <c r="FY184" s="48"/>
      <c r="FZ184" s="48"/>
      <c r="GA184" s="49"/>
      <c r="GB184" s="49" t="str">
        <f t="shared" ca="1" si="8"/>
        <v/>
      </c>
      <c r="GC184" s="49" t="str">
        <f ca="1">IF(FN156=1,0.4*(GE177/GD177),"")</f>
        <v/>
      </c>
      <c r="GD184" s="49">
        <f ca="1">IF(FN156=1,-GD177*GC184+GE177,0)</f>
        <v>0</v>
      </c>
      <c r="GE184" s="49">
        <f ca="1">IF(FN156=1,-2*GD177*GC184+GE177,0)</f>
        <v>0</v>
      </c>
      <c r="GF184" s="49">
        <f t="shared" ca="1" si="3"/>
        <v>0</v>
      </c>
      <c r="GG184" s="49">
        <f ca="1">IF(FN156=1,GF177,0)</f>
        <v>0</v>
      </c>
      <c r="GH184" s="49"/>
      <c r="GI184" s="49">
        <f ca="1">IF(FN156=0,0,IF(FO174=1,GI190,IF(FO174=2,GC185,IF(FO174=3,GR190,0))))</f>
        <v>0</v>
      </c>
      <c r="GJ184" s="49">
        <f ca="1">IF(FN156=1,0.4*GJ190,0)</f>
        <v>0</v>
      </c>
      <c r="GK184" s="49">
        <f ca="1">0.4*GK190</f>
        <v>0</v>
      </c>
      <c r="GL184" s="49">
        <f ca="1">GL190</f>
        <v>0</v>
      </c>
      <c r="GM184" s="49">
        <f ca="1">GM190</f>
        <v>0</v>
      </c>
      <c r="GN184" s="49">
        <f ca="1">IF(FN156=0,0,-GD177*GC184^2+GE177*GC184)</f>
        <v>0</v>
      </c>
      <c r="GO184" s="49">
        <f ca="1">IF(FN156=0,0,GF177*GC184+GG177)</f>
        <v>0</v>
      </c>
      <c r="GP184" s="49">
        <f ca="1">IF(FN156=0,0,IF(FO174=1,GF177*GQ184+GG177+GE169,IF(FO174=2,GN185,0)))</f>
        <v>0</v>
      </c>
      <c r="GQ184" s="49">
        <f ca="1">IF(FN156=0,0,IF(FO174=1,GI180+2*GC181,IF(FO174=2,GI180+2*GC181,0)))</f>
        <v>0</v>
      </c>
      <c r="GR184" s="49">
        <f ca="1">IF(FN156=0,0,IF(FO174=3,GR176,IF(FO174=2,GC185,IF(FO174=1,GK190,0))))</f>
        <v>0</v>
      </c>
      <c r="GS184" s="49">
        <f ca="1">0.4*GS190</f>
        <v>0</v>
      </c>
      <c r="GT184" s="49">
        <f ca="1">IF(FN156=1,GF177*GC184,0)</f>
        <v>0</v>
      </c>
      <c r="GU184" s="49">
        <f ca="1">GU190</f>
        <v>0</v>
      </c>
      <c r="GV184" s="49">
        <f ca="1">IF(FN156=0,0,IF(FO174=3,GV190,0))</f>
        <v>0</v>
      </c>
      <c r="GW184" s="49">
        <f ca="1">0.4*GW190</f>
        <v>0</v>
      </c>
      <c r="GX184" s="49">
        <f ca="1">IF(FN156=1,0.4*GX190,0)</f>
        <v>0</v>
      </c>
      <c r="GY184" s="49"/>
      <c r="GZ184" s="49"/>
      <c r="HA184" s="49">
        <v>4</v>
      </c>
      <c r="HB184" s="49" t="e">
        <f ca="1">HB180+HA184*(HB232-HB180)/HA231</f>
        <v>#VALUE!</v>
      </c>
      <c r="HC184" s="49" t="e">
        <f ca="1">HC180+HA184*(HC232-HC180)/HA231</f>
        <v>#VALUE!</v>
      </c>
      <c r="HD184" s="49" t="e">
        <f ca="1">GH177*HC184^3+GI177*HC184^2+GJ177*HC184+GG177+GD207</f>
        <v>#VALUE!</v>
      </c>
      <c r="HE184" s="49" t="e">
        <f t="shared" ca="1" si="5"/>
        <v>#VALUE!</v>
      </c>
      <c r="HF184" s="49" t="e">
        <f t="shared" ca="1" si="4"/>
        <v>#VALUE!</v>
      </c>
      <c r="HG184" s="49" t="e">
        <f t="shared" ca="1" si="6"/>
        <v>#VALUE!</v>
      </c>
      <c r="HH184" s="49" t="e">
        <f t="shared" ca="1" si="7"/>
        <v>#VALUE!</v>
      </c>
      <c r="HI184" s="49"/>
      <c r="HJ184" s="49"/>
      <c r="HK184" s="49"/>
      <c r="HL184" s="49"/>
      <c r="HM184" s="49"/>
    </row>
    <row r="185" spans="1:221" ht="16.5" customHeight="1">
      <c r="A185" s="1"/>
      <c r="B185" s="3"/>
      <c r="C185" s="3"/>
      <c r="D185" s="38"/>
      <c r="E185" s="126"/>
      <c r="F185" s="126"/>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25"/>
      <c r="AY185" s="26"/>
      <c r="AZ185" s="41"/>
      <c r="BA185" s="41"/>
      <c r="BB185" s="41"/>
      <c r="BC185" s="41"/>
      <c r="BD185" s="42"/>
      <c r="BE185" s="41"/>
      <c r="BF185" s="41"/>
      <c r="BG185" s="41"/>
      <c r="BH185" s="41"/>
      <c r="BI185" s="41"/>
      <c r="BJ185" s="41"/>
      <c r="BK185" s="42"/>
      <c r="BL185" s="41"/>
      <c r="BM185" s="41"/>
      <c r="BN185" s="41"/>
      <c r="BO185" s="41"/>
      <c r="BP185" s="41"/>
      <c r="BQ185" s="41"/>
      <c r="BR185" s="80"/>
      <c r="BS185" s="79"/>
      <c r="BT185" s="79"/>
      <c r="BU185" s="79"/>
      <c r="BV185" s="79"/>
      <c r="BW185" s="79"/>
      <c r="BX185" s="79"/>
      <c r="BY185" s="79"/>
      <c r="BZ185" s="80"/>
      <c r="CA185" s="80"/>
      <c r="CB185" s="80"/>
      <c r="CC185" s="80"/>
      <c r="CD185" s="80"/>
      <c r="CE185" s="80"/>
      <c r="CF185" s="80"/>
      <c r="CG185" s="80"/>
      <c r="CH185" s="80"/>
      <c r="CI185" s="80"/>
      <c r="CJ185" s="80"/>
      <c r="CK185" s="80"/>
      <c r="CL185" s="80"/>
      <c r="CM185" s="80"/>
      <c r="CN185" s="80"/>
      <c r="CO185" s="80"/>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c r="EW185" s="79"/>
      <c r="EX185" s="79"/>
      <c r="EY185" s="79"/>
      <c r="EZ185" s="79"/>
      <c r="FA185" s="79"/>
      <c r="FB185" s="79"/>
      <c r="FC185" s="79"/>
      <c r="FD185" s="79"/>
      <c r="FE185" s="79"/>
      <c r="FF185" s="79"/>
      <c r="FG185" s="79"/>
      <c r="FH185" s="79"/>
      <c r="FI185" s="79"/>
      <c r="FJ185" s="79"/>
      <c r="FK185" s="79"/>
      <c r="FL185" s="79"/>
      <c r="FM185" s="47"/>
      <c r="FN185" s="47"/>
      <c r="FO185" s="47"/>
      <c r="FP185" s="47"/>
      <c r="FQ185" s="47"/>
      <c r="FR185" s="47"/>
      <c r="FS185" s="47"/>
      <c r="FT185" s="47"/>
      <c r="FU185" s="47"/>
      <c r="FV185" s="48"/>
      <c r="FW185" s="48"/>
      <c r="FX185" s="48"/>
      <c r="FY185" s="48"/>
      <c r="FZ185" s="48"/>
      <c r="GA185" s="49"/>
      <c r="GB185" s="49" t="str">
        <f t="shared" ca="1" si="8"/>
        <v/>
      </c>
      <c r="GC185" s="49" t="str">
        <f ca="1">IF(FN156=1,0.5*(GE177/GD177),"")</f>
        <v/>
      </c>
      <c r="GD185" s="49">
        <f ca="1">IF(FN156=1,-GD177*GC185+GE177,0)</f>
        <v>0</v>
      </c>
      <c r="GE185" s="49">
        <f ca="1">IF(FN156=1,-2*GD177*GC185+GE177,0)</f>
        <v>0</v>
      </c>
      <c r="GF185" s="49">
        <f t="shared" ca="1" si="3"/>
        <v>0</v>
      </c>
      <c r="GG185" s="49">
        <f ca="1">IF(FN156=1,GF177,0)</f>
        <v>0</v>
      </c>
      <c r="GH185" s="49"/>
      <c r="GI185" s="49">
        <f ca="1">IF(FN156=0,0,IF(FO174=1,GI190,IF(FO174=2,GC185,IF(FO174=3,GR190,0))))</f>
        <v>0</v>
      </c>
      <c r="GJ185" s="49">
        <f ca="1">IF(FN156=1,0.5*GJ190,0)</f>
        <v>0</v>
      </c>
      <c r="GK185" s="49">
        <f ca="1">0.5*GK190</f>
        <v>0</v>
      </c>
      <c r="GL185" s="49">
        <f ca="1">GL190</f>
        <v>0</v>
      </c>
      <c r="GM185" s="49">
        <f ca="1">GM190</f>
        <v>0</v>
      </c>
      <c r="GN185" s="49">
        <f ca="1">IF(FN156=0,0,-GD177*GC185^2+GE177*GC185)</f>
        <v>0</v>
      </c>
      <c r="GO185" s="49">
        <f ca="1">IF(FN156=0,0,GF177*GC185+GG177)</f>
        <v>0</v>
      </c>
      <c r="GP185" s="49"/>
      <c r="GQ185" s="49"/>
      <c r="GR185" s="49">
        <f ca="1">IF(FN156=0,0,IF(FO174=3,GR176,IF(FO174=2,GC185,IF(FO174=1,GK190,0))))</f>
        <v>0</v>
      </c>
      <c r="GS185" s="49">
        <f ca="1">0.5*GS190</f>
        <v>0</v>
      </c>
      <c r="GT185" s="49">
        <f ca="1">IF(FN156=1,GF177*GC185,0)</f>
        <v>0</v>
      </c>
      <c r="GU185" s="49">
        <f ca="1">GU190</f>
        <v>0</v>
      </c>
      <c r="GV185" s="49">
        <f ca="1">IF(FN156=0,0,IF(FO174=3,GV190,0))</f>
        <v>0</v>
      </c>
      <c r="GW185" s="49">
        <f ca="1">0.5*GW190</f>
        <v>0</v>
      </c>
      <c r="GX185" s="49">
        <f ca="1">IF(FN156=1,0.5*GX190,0)</f>
        <v>0</v>
      </c>
      <c r="GY185" s="49"/>
      <c r="GZ185" s="49"/>
      <c r="HA185" s="49">
        <v>5</v>
      </c>
      <c r="HB185" s="49" t="e">
        <f ca="1">HB180+HA185*(HB232-HB180)/HA231</f>
        <v>#VALUE!</v>
      </c>
      <c r="HC185" s="49" t="e">
        <f ca="1">HC180+HA185*(HC232-HC180)/HA231</f>
        <v>#VALUE!</v>
      </c>
      <c r="HD185" s="49" t="e">
        <f ca="1">GH177*HC185^3+GI177*HC185^2+GJ177*HC185+GG177+GD207</f>
        <v>#VALUE!</v>
      </c>
      <c r="HE185" s="49" t="e">
        <f t="shared" ca="1" si="5"/>
        <v>#VALUE!</v>
      </c>
      <c r="HF185" s="49" t="e">
        <f t="shared" ca="1" si="4"/>
        <v>#VALUE!</v>
      </c>
      <c r="HG185" s="49" t="e">
        <f t="shared" ca="1" si="6"/>
        <v>#VALUE!</v>
      </c>
      <c r="HH185" s="49" t="e">
        <f t="shared" ca="1" si="7"/>
        <v>#VALUE!</v>
      </c>
      <c r="HI185" s="49"/>
      <c r="HJ185" s="49"/>
      <c r="HK185" s="49"/>
      <c r="HL185" s="49"/>
      <c r="HM185" s="49"/>
    </row>
    <row r="186" spans="1:221" ht="16.5" customHeight="1">
      <c r="A186" s="1"/>
      <c r="B186" s="3"/>
      <c r="C186" s="3"/>
      <c r="D186" s="38"/>
      <c r="E186" s="126"/>
      <c r="F186" s="126"/>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25"/>
      <c r="AY186" s="26"/>
      <c r="AZ186" s="41"/>
      <c r="BA186" s="41"/>
      <c r="BB186" s="41"/>
      <c r="BC186" s="41"/>
      <c r="BD186" s="42"/>
      <c r="BE186" s="41"/>
      <c r="BF186" s="41"/>
      <c r="BG186" s="41"/>
      <c r="BH186" s="41"/>
      <c r="BI186" s="41"/>
      <c r="BJ186" s="41"/>
      <c r="BK186" s="42"/>
      <c r="BL186" s="41"/>
      <c r="BM186" s="41"/>
      <c r="BN186" s="41"/>
      <c r="BO186" s="41"/>
      <c r="BP186" s="41"/>
      <c r="BQ186" s="41"/>
      <c r="BR186" s="80"/>
      <c r="BS186" s="79"/>
      <c r="BT186" s="79"/>
      <c r="BU186" s="79"/>
      <c r="BV186" s="79"/>
      <c r="BW186" s="79"/>
      <c r="BX186" s="79"/>
      <c r="BY186" s="79"/>
      <c r="BZ186" s="80"/>
      <c r="CA186" s="80"/>
      <c r="CB186" s="80"/>
      <c r="CC186" s="80"/>
      <c r="CD186" s="80"/>
      <c r="CE186" s="80"/>
      <c r="CF186" s="80"/>
      <c r="CG186" s="80"/>
      <c r="CH186" s="80"/>
      <c r="CI186" s="80"/>
      <c r="CJ186" s="80"/>
      <c r="CK186" s="80"/>
      <c r="CL186" s="80"/>
      <c r="CM186" s="80"/>
      <c r="CN186" s="80"/>
      <c r="CO186" s="80"/>
      <c r="CP186" s="79"/>
      <c r="CQ186" s="79"/>
      <c r="CR186" s="79"/>
      <c r="CS186" s="79"/>
      <c r="CT186" s="79"/>
      <c r="CU186" s="79"/>
      <c r="CV186" s="79"/>
      <c r="CW186" s="79"/>
      <c r="CX186" s="79"/>
      <c r="CY186" s="79"/>
      <c r="CZ186" s="79"/>
      <c r="DA186" s="79"/>
      <c r="DB186" s="79"/>
      <c r="DC186" s="79"/>
      <c r="DD186" s="79"/>
      <c r="DE186" s="79"/>
      <c r="DF186" s="79"/>
      <c r="DG186" s="79"/>
      <c r="DH186" s="79"/>
      <c r="DI186" s="79"/>
      <c r="DJ186" s="79"/>
      <c r="DK186" s="79"/>
      <c r="DL186" s="79"/>
      <c r="DM186" s="79"/>
      <c r="DN186" s="79"/>
      <c r="DO186" s="79"/>
      <c r="DP186" s="79"/>
      <c r="DQ186" s="79"/>
      <c r="DR186" s="79"/>
      <c r="DS186" s="79"/>
      <c r="DT186" s="79"/>
      <c r="DU186" s="79"/>
      <c r="DV186" s="79"/>
      <c r="DW186" s="79"/>
      <c r="DX186" s="79"/>
      <c r="DY186" s="79"/>
      <c r="DZ186" s="79"/>
      <c r="EA186" s="79"/>
      <c r="EB186" s="79"/>
      <c r="EC186" s="79"/>
      <c r="ED186" s="79"/>
      <c r="EE186" s="79"/>
      <c r="EF186" s="79"/>
      <c r="EG186" s="79"/>
      <c r="EH186" s="79"/>
      <c r="EI186" s="79"/>
      <c r="EJ186" s="79"/>
      <c r="EK186" s="79"/>
      <c r="EL186" s="79"/>
      <c r="EM186" s="79"/>
      <c r="EN186" s="79"/>
      <c r="EO186" s="79"/>
      <c r="EP186" s="79"/>
      <c r="EQ186" s="79"/>
      <c r="ER186" s="79"/>
      <c r="ES186" s="79"/>
      <c r="ET186" s="79"/>
      <c r="EU186" s="79"/>
      <c r="EV186" s="79"/>
      <c r="EW186" s="79"/>
      <c r="EX186" s="79"/>
      <c r="EY186" s="79"/>
      <c r="EZ186" s="79"/>
      <c r="FA186" s="79"/>
      <c r="FB186" s="79"/>
      <c r="FC186" s="79"/>
      <c r="FD186" s="79"/>
      <c r="FE186" s="79"/>
      <c r="FF186" s="79"/>
      <c r="FG186" s="79"/>
      <c r="FH186" s="79"/>
      <c r="FI186" s="79"/>
      <c r="FJ186" s="79"/>
      <c r="FK186" s="79"/>
      <c r="FL186" s="79"/>
      <c r="FM186" s="47"/>
      <c r="FN186" s="47"/>
      <c r="FO186" s="47"/>
      <c r="FP186" s="47"/>
      <c r="FQ186" s="47"/>
      <c r="FR186" s="47"/>
      <c r="FS186" s="47"/>
      <c r="FT186" s="47"/>
      <c r="FU186" s="47"/>
      <c r="FV186" s="48"/>
      <c r="FW186" s="48"/>
      <c r="FX186" s="48"/>
      <c r="FY186" s="48"/>
      <c r="FZ186" s="48"/>
      <c r="GA186" s="49"/>
      <c r="GB186" s="49" t="str">
        <f t="shared" ca="1" si="8"/>
        <v/>
      </c>
      <c r="GC186" s="49" t="str">
        <f ca="1">IF(FN156=1,0.6*(GE177/GD177),"")</f>
        <v/>
      </c>
      <c r="GD186" s="49">
        <f ca="1">IF(FN156=1,-GD177*GC186+GE177,0)</f>
        <v>0</v>
      </c>
      <c r="GE186" s="49"/>
      <c r="GF186" s="49">
        <f t="shared" ca="1" si="3"/>
        <v>0</v>
      </c>
      <c r="GG186" s="49">
        <f ca="1">IF(FN156=1,GF177,0)</f>
        <v>0</v>
      </c>
      <c r="GH186" s="49"/>
      <c r="GI186" s="49">
        <f ca="1">IF(FN156=0,0,IF(FO174=1,GI190,IF(FO174=2,GC185,IF(FO174=3,GR190,0))))</f>
        <v>0</v>
      </c>
      <c r="GJ186" s="49">
        <f ca="1">IF(FN156=1,0.6*GJ190,0)</f>
        <v>0</v>
      </c>
      <c r="GK186" s="49">
        <f ca="1">0.6*GK190</f>
        <v>0</v>
      </c>
      <c r="GL186" s="49">
        <f ca="1">GL190</f>
        <v>0</v>
      </c>
      <c r="GM186" s="49">
        <f ca="1">GM190</f>
        <v>0</v>
      </c>
      <c r="GN186" s="49">
        <f ca="1">IF(FN156=0,0,-GD177*GC186^2+GE177*GC186)</f>
        <v>0</v>
      </c>
      <c r="GO186" s="49">
        <f ca="1">IF(FN156=0,0,GF177*GC186+GG177)</f>
        <v>0</v>
      </c>
      <c r="GP186" s="49"/>
      <c r="GQ186" s="49"/>
      <c r="GR186" s="49">
        <f ca="1">IF(FN156=0,0,IF(FO174=3,GR176,IF(FO174=2,GC185,IF(FO174=1,GK190,0))))</f>
        <v>0</v>
      </c>
      <c r="GS186" s="49">
        <f ca="1">0.6*GS190</f>
        <v>0</v>
      </c>
      <c r="GT186" s="49">
        <f ca="1">IF(FN156=1,GF177*GC186,0)</f>
        <v>0</v>
      </c>
      <c r="GU186" s="49">
        <f ca="1">GU190</f>
        <v>0</v>
      </c>
      <c r="GV186" s="49">
        <f ca="1">IF(FN156=0,0,IF(FO174=3,GV190,0))</f>
        <v>0</v>
      </c>
      <c r="GW186" s="49">
        <f ca="1">0.6*GW190</f>
        <v>0</v>
      </c>
      <c r="GX186" s="49">
        <f ca="1">IF(FN156=1,0.6*GX190,0)</f>
        <v>0</v>
      </c>
      <c r="GY186" s="49"/>
      <c r="GZ186" s="49"/>
      <c r="HA186" s="49">
        <v>6</v>
      </c>
      <c r="HB186" s="49" t="e">
        <f ca="1">HB180+HA186*(HB232-HB180)/HA231</f>
        <v>#VALUE!</v>
      </c>
      <c r="HC186" s="49" t="e">
        <f ca="1">HC180+HA186*(HC232-HC180)/HA231</f>
        <v>#VALUE!</v>
      </c>
      <c r="HD186" s="49" t="e">
        <f ca="1">GH177*HC186^3+GI177*HC186^2+GJ177*HC186+GG177+GD207</f>
        <v>#VALUE!</v>
      </c>
      <c r="HE186" s="49" t="e">
        <f t="shared" ca="1" si="5"/>
        <v>#VALUE!</v>
      </c>
      <c r="HF186" s="49" t="e">
        <f t="shared" ca="1" si="4"/>
        <v>#VALUE!</v>
      </c>
      <c r="HG186" s="49" t="e">
        <f t="shared" ca="1" si="6"/>
        <v>#VALUE!</v>
      </c>
      <c r="HH186" s="49" t="e">
        <f t="shared" ca="1" si="7"/>
        <v>#VALUE!</v>
      </c>
      <c r="HI186" s="49"/>
      <c r="HJ186" s="49"/>
      <c r="HK186" s="49"/>
      <c r="HL186" s="49"/>
      <c r="HM186" s="49"/>
    </row>
    <row r="187" spans="1:221" ht="16.5" customHeight="1">
      <c r="A187" s="1"/>
      <c r="B187" s="3"/>
      <c r="C187" s="3"/>
      <c r="D187" s="38"/>
      <c r="E187" s="126"/>
      <c r="F187" s="126"/>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25"/>
      <c r="AY187" s="26"/>
      <c r="AZ187" s="41"/>
      <c r="BA187" s="41"/>
      <c r="BB187" s="41"/>
      <c r="BC187" s="41"/>
      <c r="BD187" s="42"/>
      <c r="BE187" s="41"/>
      <c r="BF187" s="41"/>
      <c r="BG187" s="41"/>
      <c r="BH187" s="41"/>
      <c r="BI187" s="41"/>
      <c r="BJ187" s="41"/>
      <c r="BK187" s="42"/>
      <c r="BL187" s="41"/>
      <c r="BM187" s="41"/>
      <c r="BN187" s="41"/>
      <c r="BO187" s="41"/>
      <c r="BP187" s="41"/>
      <c r="BQ187" s="41"/>
      <c r="BR187" s="80"/>
      <c r="BS187" s="79"/>
      <c r="BT187" s="79"/>
      <c r="BU187" s="79"/>
      <c r="BV187" s="79"/>
      <c r="BW187" s="79"/>
      <c r="BX187" s="79"/>
      <c r="BY187" s="79"/>
      <c r="BZ187" s="80"/>
      <c r="CA187" s="80"/>
      <c r="CB187" s="80"/>
      <c r="CC187" s="80"/>
      <c r="CD187" s="80"/>
      <c r="CE187" s="80"/>
      <c r="CF187" s="80"/>
      <c r="CG187" s="80"/>
      <c r="CH187" s="80"/>
      <c r="CI187" s="80"/>
      <c r="CJ187" s="80"/>
      <c r="CK187" s="80"/>
      <c r="CL187" s="80"/>
      <c r="CM187" s="80"/>
      <c r="CN187" s="80"/>
      <c r="CO187" s="80"/>
      <c r="CP187" s="79"/>
      <c r="CQ187" s="79"/>
      <c r="CR187" s="79"/>
      <c r="CS187" s="79"/>
      <c r="CT187" s="79"/>
      <c r="CU187" s="79"/>
      <c r="CV187" s="79"/>
      <c r="CW187" s="79"/>
      <c r="CX187" s="79"/>
      <c r="CY187" s="79"/>
      <c r="CZ187" s="79"/>
      <c r="DA187" s="79"/>
      <c r="DB187" s="79"/>
      <c r="DC187" s="79"/>
      <c r="DD187" s="79"/>
      <c r="DE187" s="79"/>
      <c r="DF187" s="79"/>
      <c r="DG187" s="79"/>
      <c r="DH187" s="79"/>
      <c r="DI187" s="79"/>
      <c r="DJ187" s="79"/>
      <c r="DK187" s="79"/>
      <c r="DL187" s="79"/>
      <c r="DM187" s="79"/>
      <c r="DN187" s="79"/>
      <c r="DO187" s="79"/>
      <c r="DP187" s="79"/>
      <c r="DQ187" s="79"/>
      <c r="DR187" s="79"/>
      <c r="DS187" s="79"/>
      <c r="DT187" s="79"/>
      <c r="DU187" s="79"/>
      <c r="DV187" s="79"/>
      <c r="DW187" s="79"/>
      <c r="DX187" s="79"/>
      <c r="DY187" s="79"/>
      <c r="DZ187" s="79"/>
      <c r="EA187" s="79"/>
      <c r="EB187" s="79"/>
      <c r="EC187" s="79"/>
      <c r="ED187" s="79"/>
      <c r="EE187" s="79"/>
      <c r="EF187" s="79"/>
      <c r="EG187" s="79"/>
      <c r="EH187" s="79"/>
      <c r="EI187" s="79"/>
      <c r="EJ187" s="79"/>
      <c r="EK187" s="79"/>
      <c r="EL187" s="79"/>
      <c r="EM187" s="79"/>
      <c r="EN187" s="79"/>
      <c r="EO187" s="79"/>
      <c r="EP187" s="79"/>
      <c r="EQ187" s="79"/>
      <c r="ER187" s="79"/>
      <c r="ES187" s="79"/>
      <c r="ET187" s="79"/>
      <c r="EU187" s="79"/>
      <c r="EV187" s="79"/>
      <c r="EW187" s="79"/>
      <c r="EX187" s="79"/>
      <c r="EY187" s="79"/>
      <c r="EZ187" s="79"/>
      <c r="FA187" s="79"/>
      <c r="FB187" s="79"/>
      <c r="FC187" s="79"/>
      <c r="FD187" s="79"/>
      <c r="FE187" s="79"/>
      <c r="FF187" s="79"/>
      <c r="FG187" s="79"/>
      <c r="FH187" s="79"/>
      <c r="FI187" s="79"/>
      <c r="FJ187" s="79"/>
      <c r="FK187" s="79"/>
      <c r="FL187" s="79"/>
      <c r="FM187" s="47"/>
      <c r="FN187" s="47"/>
      <c r="FO187" s="47"/>
      <c r="FP187" s="47"/>
      <c r="FQ187" s="47"/>
      <c r="FR187" s="47"/>
      <c r="FS187" s="47"/>
      <c r="FT187" s="47"/>
      <c r="FU187" s="47"/>
      <c r="FV187" s="48"/>
      <c r="FW187" s="48"/>
      <c r="FX187" s="48"/>
      <c r="FY187" s="48"/>
      <c r="FZ187" s="48"/>
      <c r="GA187" s="49"/>
      <c r="GB187" s="49" t="str">
        <f t="shared" ca="1" si="8"/>
        <v/>
      </c>
      <c r="GC187" s="49" t="str">
        <f ca="1">IF(FN156=1,0.7*(GE177/GD177),"")</f>
        <v/>
      </c>
      <c r="GD187" s="49">
        <f ca="1">IF(FN156=1,-GD177*GC187+GE177,0)</f>
        <v>0</v>
      </c>
      <c r="GE187" s="49"/>
      <c r="GF187" s="49">
        <f t="shared" ca="1" si="3"/>
        <v>0</v>
      </c>
      <c r="GG187" s="49">
        <f ca="1">IF(FN156=1,GF177,0)</f>
        <v>0</v>
      </c>
      <c r="GH187" s="49"/>
      <c r="GI187" s="49">
        <f ca="1">IF(FN156=0,0,IF(FO174=1,GI190,IF(FO174=2,GC185,IF(FO174=3,GR190,0))))</f>
        <v>0</v>
      </c>
      <c r="GJ187" s="49">
        <f ca="1">IF(FN156=1,0.7*GJ190,0)</f>
        <v>0</v>
      </c>
      <c r="GK187" s="49">
        <f ca="1">0.7*GK190</f>
        <v>0</v>
      </c>
      <c r="GL187" s="49">
        <f ca="1">GL190</f>
        <v>0</v>
      </c>
      <c r="GM187" s="49">
        <f ca="1">GM190</f>
        <v>0</v>
      </c>
      <c r="GN187" s="49">
        <f ca="1">IF(FN156=0,0,-GD177*GC187^2+GE177*GC187)</f>
        <v>0</v>
      </c>
      <c r="GO187" s="49">
        <f ca="1">IF(FN156=0,0,GF177*GC187+GG177)</f>
        <v>0</v>
      </c>
      <c r="GP187" s="49"/>
      <c r="GQ187" s="49"/>
      <c r="GR187" s="49">
        <f ca="1">IF(FN156=0,0,IF(FO174=3,GR176,IF(FO174=2,GC185,IF(FO174=1,GK190,0))))</f>
        <v>0</v>
      </c>
      <c r="GS187" s="49">
        <f ca="1">0.7*GS190</f>
        <v>0</v>
      </c>
      <c r="GT187" s="49">
        <f ca="1">IF(FN156=1,GF177*GC187,0)</f>
        <v>0</v>
      </c>
      <c r="GU187" s="49">
        <f ca="1">GU190</f>
        <v>0</v>
      </c>
      <c r="GV187" s="49">
        <f ca="1">IF(FN156=0,0,IF(FO174=3,GV190,0))</f>
        <v>0</v>
      </c>
      <c r="GW187" s="49">
        <f ca="1">0.7*GW190</f>
        <v>0</v>
      </c>
      <c r="GX187" s="49">
        <f ca="1">IF(FN156=1,0.7*GX190,0)</f>
        <v>0</v>
      </c>
      <c r="GY187" s="49"/>
      <c r="GZ187" s="49"/>
      <c r="HA187" s="49">
        <v>7</v>
      </c>
      <c r="HB187" s="49" t="e">
        <f ca="1">HB180+HA187*(HB232-HB180)/HA231</f>
        <v>#VALUE!</v>
      </c>
      <c r="HC187" s="49" t="e">
        <f ca="1">HC180+HA187*(HC232-HC180)/HA231</f>
        <v>#VALUE!</v>
      </c>
      <c r="HD187" s="49" t="e">
        <f ca="1">GH177*HC187^3+GI177*HC187^2+GJ177*HC187+GG177+GD207</f>
        <v>#VALUE!</v>
      </c>
      <c r="HE187" s="49" t="e">
        <f t="shared" ca="1" si="5"/>
        <v>#VALUE!</v>
      </c>
      <c r="HF187" s="49" t="e">
        <f t="shared" ca="1" si="4"/>
        <v>#VALUE!</v>
      </c>
      <c r="HG187" s="49" t="e">
        <f t="shared" ca="1" si="6"/>
        <v>#VALUE!</v>
      </c>
      <c r="HH187" s="49" t="e">
        <f t="shared" ca="1" si="7"/>
        <v>#VALUE!</v>
      </c>
      <c r="HI187" s="49"/>
      <c r="HJ187" s="49"/>
      <c r="HK187" s="49"/>
      <c r="HL187" s="49"/>
      <c r="HM187" s="49"/>
    </row>
    <row r="188" spans="1:221" ht="16.5" customHeight="1">
      <c r="A188" s="1"/>
      <c r="B188" s="3"/>
      <c r="C188" s="3"/>
      <c r="D188" s="38"/>
      <c r="E188" s="126"/>
      <c r="F188" s="126"/>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25"/>
      <c r="AY188" s="26"/>
      <c r="AZ188" s="41"/>
      <c r="BA188" s="41"/>
      <c r="BB188" s="41"/>
      <c r="BC188" s="41"/>
      <c r="BD188" s="42"/>
      <c r="BE188" s="41"/>
      <c r="BF188" s="41"/>
      <c r="BG188" s="41"/>
      <c r="BH188" s="41"/>
      <c r="BI188" s="41"/>
      <c r="BJ188" s="41"/>
      <c r="BK188" s="42"/>
      <c r="BL188" s="41"/>
      <c r="BM188" s="41"/>
      <c r="BN188" s="41"/>
      <c r="BO188" s="41"/>
      <c r="BP188" s="41"/>
      <c r="BQ188" s="41"/>
      <c r="BR188" s="80"/>
      <c r="BS188" s="79"/>
      <c r="BT188" s="79"/>
      <c r="BU188" s="79"/>
      <c r="BV188" s="79"/>
      <c r="BW188" s="79"/>
      <c r="BX188" s="79"/>
      <c r="BY188" s="79"/>
      <c r="BZ188" s="80"/>
      <c r="CA188" s="80"/>
      <c r="CB188" s="80"/>
      <c r="CC188" s="80"/>
      <c r="CD188" s="80"/>
      <c r="CE188" s="80"/>
      <c r="CF188" s="80"/>
      <c r="CG188" s="80"/>
      <c r="CH188" s="80"/>
      <c r="CI188" s="80"/>
      <c r="CJ188" s="80"/>
      <c r="CK188" s="80"/>
      <c r="CL188" s="80"/>
      <c r="CM188" s="80"/>
      <c r="CN188" s="80"/>
      <c r="CO188" s="80"/>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79"/>
      <c r="DU188" s="79"/>
      <c r="DV188" s="79"/>
      <c r="DW188" s="79"/>
      <c r="DX188" s="79"/>
      <c r="DY188" s="79"/>
      <c r="DZ188" s="79"/>
      <c r="EA188" s="79"/>
      <c r="EB188" s="79"/>
      <c r="EC188" s="79"/>
      <c r="ED188" s="79"/>
      <c r="EE188" s="79"/>
      <c r="EF188" s="79"/>
      <c r="EG188" s="79"/>
      <c r="EH188" s="79"/>
      <c r="EI188" s="79"/>
      <c r="EJ188" s="79"/>
      <c r="EK188" s="79"/>
      <c r="EL188" s="79"/>
      <c r="EM188" s="79"/>
      <c r="EN188" s="79"/>
      <c r="EO188" s="79"/>
      <c r="EP188" s="79"/>
      <c r="EQ188" s="79"/>
      <c r="ER188" s="79"/>
      <c r="ES188" s="79"/>
      <c r="ET188" s="79"/>
      <c r="EU188" s="79"/>
      <c r="EV188" s="79"/>
      <c r="EW188" s="79"/>
      <c r="EX188" s="79"/>
      <c r="EY188" s="79"/>
      <c r="EZ188" s="79"/>
      <c r="FA188" s="79"/>
      <c r="FB188" s="79"/>
      <c r="FC188" s="79"/>
      <c r="FD188" s="79"/>
      <c r="FE188" s="79"/>
      <c r="FF188" s="79"/>
      <c r="FG188" s="79"/>
      <c r="FH188" s="79"/>
      <c r="FI188" s="79"/>
      <c r="FJ188" s="79"/>
      <c r="FK188" s="79"/>
      <c r="FL188" s="79"/>
      <c r="FM188" s="47"/>
      <c r="FN188" s="47"/>
      <c r="FO188" s="47"/>
      <c r="FP188" s="47"/>
      <c r="FQ188" s="47"/>
      <c r="FR188" s="47"/>
      <c r="FS188" s="47"/>
      <c r="FT188" s="47"/>
      <c r="FU188" s="47"/>
      <c r="FV188" s="48"/>
      <c r="FW188" s="48"/>
      <c r="FX188" s="48"/>
      <c r="FY188" s="48"/>
      <c r="FZ188" s="48"/>
      <c r="GA188" s="49"/>
      <c r="GB188" s="49" t="str">
        <f t="shared" ca="1" si="8"/>
        <v/>
      </c>
      <c r="GC188" s="49" t="str">
        <f ca="1">IF(FN156=1,0.8*(GE177/GD177),"")</f>
        <v/>
      </c>
      <c r="GD188" s="49">
        <f ca="1">IF(FN156=1,-GD177*GC188+GE177,0)</f>
        <v>0</v>
      </c>
      <c r="GE188" s="49"/>
      <c r="GF188" s="49">
        <f t="shared" ca="1" si="3"/>
        <v>0</v>
      </c>
      <c r="GG188" s="49">
        <f ca="1">IF(FN156=1,GF177,0)</f>
        <v>0</v>
      </c>
      <c r="GH188" s="49"/>
      <c r="GI188" s="49">
        <f ca="1">IF(FN156=0,0,IF(FO174=1,GI190,IF(FO174=2,GC185,IF(FO174=3,GR190,0))))</f>
        <v>0</v>
      </c>
      <c r="GJ188" s="49">
        <f ca="1">IF(FN156=1,0.8*GJ190,0)</f>
        <v>0</v>
      </c>
      <c r="GK188" s="49">
        <f ca="1">0.8*GK190</f>
        <v>0</v>
      </c>
      <c r="GL188" s="49">
        <f ca="1">GL190</f>
        <v>0</v>
      </c>
      <c r="GM188" s="49">
        <f ca="1">GM190</f>
        <v>0</v>
      </c>
      <c r="GN188" s="49">
        <f ca="1">IF(FN156=0,0,-GD177*GC188^2+GE177*GC188)</f>
        <v>0</v>
      </c>
      <c r="GO188" s="49">
        <f ca="1">IF(FN156=0,0,GF177*GC188+GG177)</f>
        <v>0</v>
      </c>
      <c r="GP188" s="49"/>
      <c r="GQ188" s="49"/>
      <c r="GR188" s="49">
        <f ca="1">IF(FN156=0,0,IF(FO174=3,GR176,IF(FO174=2,GC185,IF(FO174=1,GK190,0))))</f>
        <v>0</v>
      </c>
      <c r="GS188" s="49">
        <f ca="1">0.8*GS190</f>
        <v>0</v>
      </c>
      <c r="GT188" s="49">
        <f ca="1">IF(FN156=1,GF177*GC188,0)</f>
        <v>0</v>
      </c>
      <c r="GU188" s="49">
        <f ca="1">GU190</f>
        <v>0</v>
      </c>
      <c r="GV188" s="49">
        <f ca="1">IF(FN156=0,0,IF(FO174=3,GV190,0))</f>
        <v>0</v>
      </c>
      <c r="GW188" s="49">
        <f ca="1">0.8*GW190</f>
        <v>0</v>
      </c>
      <c r="GX188" s="49">
        <f ca="1">IF(FN156=1,0.8*GX190,0)</f>
        <v>0</v>
      </c>
      <c r="GY188" s="49"/>
      <c r="GZ188" s="49"/>
      <c r="HA188" s="49">
        <v>8</v>
      </c>
      <c r="HB188" s="49" t="e">
        <f ca="1">HB180+HA188*(HB232-HB180)/HA231</f>
        <v>#VALUE!</v>
      </c>
      <c r="HC188" s="49" t="e">
        <f ca="1">HC180+HA188*(HC232-HC180)/HA231</f>
        <v>#VALUE!</v>
      </c>
      <c r="HD188" s="49" t="e">
        <f ca="1">GH177*HC188^3+GI177*HC188^2+GJ177*HC188+GG177+GD207</f>
        <v>#VALUE!</v>
      </c>
      <c r="HE188" s="49" t="e">
        <f t="shared" ca="1" si="5"/>
        <v>#VALUE!</v>
      </c>
      <c r="HF188" s="49" t="e">
        <f t="shared" ca="1" si="4"/>
        <v>#VALUE!</v>
      </c>
      <c r="HG188" s="49" t="e">
        <f t="shared" ca="1" si="6"/>
        <v>#VALUE!</v>
      </c>
      <c r="HH188" s="49" t="e">
        <f t="shared" ca="1" si="7"/>
        <v>#VALUE!</v>
      </c>
      <c r="HI188" s="49"/>
      <c r="HJ188" s="49"/>
      <c r="HK188" s="49"/>
      <c r="HL188" s="49"/>
      <c r="HM188" s="49"/>
    </row>
    <row r="189" spans="1:221" ht="16.5" customHeight="1">
      <c r="A189" s="1"/>
      <c r="B189" s="3"/>
      <c r="C189" s="3"/>
      <c r="D189" s="38"/>
      <c r="E189" s="126"/>
      <c r="F189" s="126"/>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25"/>
      <c r="AY189" s="26"/>
      <c r="AZ189" s="41"/>
      <c r="BA189" s="41"/>
      <c r="BB189" s="41"/>
      <c r="BC189" s="41"/>
      <c r="BD189" s="42"/>
      <c r="BE189" s="41"/>
      <c r="BF189" s="41"/>
      <c r="BG189" s="41"/>
      <c r="BH189" s="41"/>
      <c r="BI189" s="41"/>
      <c r="BJ189" s="41"/>
      <c r="BK189" s="42"/>
      <c r="BL189" s="41"/>
      <c r="BM189" s="41"/>
      <c r="BN189" s="41"/>
      <c r="BO189" s="41"/>
      <c r="BP189" s="41"/>
      <c r="BQ189" s="41"/>
      <c r="BR189" s="80"/>
      <c r="BS189" s="79"/>
      <c r="BT189" s="79"/>
      <c r="BU189" s="79"/>
      <c r="BV189" s="79"/>
      <c r="BW189" s="79"/>
      <c r="BX189" s="79"/>
      <c r="BY189" s="79"/>
      <c r="BZ189" s="80"/>
      <c r="CA189" s="80"/>
      <c r="CB189" s="80"/>
      <c r="CC189" s="80"/>
      <c r="CD189" s="80"/>
      <c r="CE189" s="80"/>
      <c r="CF189" s="80"/>
      <c r="CG189" s="80"/>
      <c r="CH189" s="80"/>
      <c r="CI189" s="80"/>
      <c r="CJ189" s="80"/>
      <c r="CK189" s="80"/>
      <c r="CL189" s="80"/>
      <c r="CM189" s="80"/>
      <c r="CN189" s="80"/>
      <c r="CO189" s="80"/>
      <c r="CP189" s="79"/>
      <c r="CQ189" s="79"/>
      <c r="CR189" s="79"/>
      <c r="CS189" s="79"/>
      <c r="CT189" s="79"/>
      <c r="CU189" s="79"/>
      <c r="CV189" s="79"/>
      <c r="CW189" s="79"/>
      <c r="CX189" s="79"/>
      <c r="CY189" s="79"/>
      <c r="CZ189" s="79"/>
      <c r="DA189" s="79"/>
      <c r="DB189" s="79"/>
      <c r="DC189" s="79"/>
      <c r="DD189" s="79"/>
      <c r="DE189" s="79"/>
      <c r="DF189" s="79"/>
      <c r="DG189" s="79"/>
      <c r="DH189" s="79"/>
      <c r="DI189" s="79"/>
      <c r="DJ189" s="79"/>
      <c r="DK189" s="79"/>
      <c r="DL189" s="79"/>
      <c r="DM189" s="79"/>
      <c r="DN189" s="79"/>
      <c r="DO189" s="79"/>
      <c r="DP189" s="79"/>
      <c r="DQ189" s="79"/>
      <c r="DR189" s="79"/>
      <c r="DS189" s="79"/>
      <c r="DT189" s="79"/>
      <c r="DU189" s="79"/>
      <c r="DV189" s="79"/>
      <c r="DW189" s="79"/>
      <c r="DX189" s="79"/>
      <c r="DY189" s="79"/>
      <c r="DZ189" s="79"/>
      <c r="EA189" s="79"/>
      <c r="EB189" s="79"/>
      <c r="EC189" s="79"/>
      <c r="ED189" s="79"/>
      <c r="EE189" s="79"/>
      <c r="EF189" s="79"/>
      <c r="EG189" s="79"/>
      <c r="EH189" s="79"/>
      <c r="EI189" s="79"/>
      <c r="EJ189" s="79"/>
      <c r="EK189" s="79"/>
      <c r="EL189" s="79"/>
      <c r="EM189" s="79"/>
      <c r="EN189" s="79"/>
      <c r="EO189" s="79"/>
      <c r="EP189" s="79"/>
      <c r="EQ189" s="79"/>
      <c r="ER189" s="79"/>
      <c r="ES189" s="79"/>
      <c r="ET189" s="79"/>
      <c r="EU189" s="79"/>
      <c r="EV189" s="79"/>
      <c r="EW189" s="79"/>
      <c r="EX189" s="79"/>
      <c r="EY189" s="79"/>
      <c r="EZ189" s="79"/>
      <c r="FA189" s="79"/>
      <c r="FB189" s="79"/>
      <c r="FC189" s="79"/>
      <c r="FD189" s="79"/>
      <c r="FE189" s="79"/>
      <c r="FF189" s="79"/>
      <c r="FG189" s="79"/>
      <c r="FH189" s="79"/>
      <c r="FI189" s="79"/>
      <c r="FJ189" s="79"/>
      <c r="FK189" s="79"/>
      <c r="FL189" s="79"/>
      <c r="FM189" s="47"/>
      <c r="FN189" s="47"/>
      <c r="FO189" s="47"/>
      <c r="FP189" s="47"/>
      <c r="FQ189" s="47"/>
      <c r="FR189" s="47"/>
      <c r="FS189" s="47"/>
      <c r="FT189" s="47"/>
      <c r="FU189" s="47"/>
      <c r="FV189" s="48"/>
      <c r="FW189" s="48"/>
      <c r="FX189" s="48"/>
      <c r="FY189" s="48"/>
      <c r="FZ189" s="48"/>
      <c r="GA189" s="49"/>
      <c r="GB189" s="49" t="str">
        <f t="shared" ca="1" si="8"/>
        <v/>
      </c>
      <c r="GC189" s="49" t="str">
        <f ca="1">IF(FN156=1,0.9*(GE177/GD177),"")</f>
        <v/>
      </c>
      <c r="GD189" s="49">
        <f ca="1">IF(FN156=1,-GD177*GC189+GE177,0)</f>
        <v>0</v>
      </c>
      <c r="GE189" s="49"/>
      <c r="GF189" s="49">
        <f t="shared" ca="1" si="3"/>
        <v>0</v>
      </c>
      <c r="GG189" s="49">
        <f ca="1">IF(FN156=1,GF177,0)</f>
        <v>0</v>
      </c>
      <c r="GH189" s="49"/>
      <c r="GI189" s="49">
        <f ca="1">IF(FN156=0,0,IF(FO174=1,GI190,IF(FO174=2,GC185,IF(FO174=3,GR190,0))))</f>
        <v>0</v>
      </c>
      <c r="GJ189" s="49">
        <f ca="1">IF(FN156=1,0.9*GJ190,0)</f>
        <v>0</v>
      </c>
      <c r="GK189" s="49">
        <f ca="1">0.9*GK190</f>
        <v>0</v>
      </c>
      <c r="GL189" s="49">
        <f ca="1">GL190</f>
        <v>0</v>
      </c>
      <c r="GM189" s="49">
        <f ca="1">GM190</f>
        <v>0</v>
      </c>
      <c r="GN189" s="49">
        <f ca="1">IF(FN156=0,0,-GD177*GC189^2+GE177*GC189)</f>
        <v>0</v>
      </c>
      <c r="GO189" s="49">
        <f ca="1">IF(FN156=0,0,GF177*GC189+GG177)</f>
        <v>0</v>
      </c>
      <c r="GP189" s="49"/>
      <c r="GQ189" s="49"/>
      <c r="GR189" s="49">
        <f ca="1">IF(FN156=0,0,IF(FO174=3,GR176,IF(FO174=2,GC185,IF(FO174=1,GK190,0))))</f>
        <v>0</v>
      </c>
      <c r="GS189" s="49">
        <f ca="1">0.9*GS190</f>
        <v>0</v>
      </c>
      <c r="GT189" s="49">
        <f ca="1">IF(FN156=1,GF177*GC189,0)</f>
        <v>0</v>
      </c>
      <c r="GU189" s="49">
        <f ca="1">GU190</f>
        <v>0</v>
      </c>
      <c r="GV189" s="49">
        <f ca="1">IF(FN156=0,0,IF(FO174=3,GV190,0))</f>
        <v>0</v>
      </c>
      <c r="GW189" s="49">
        <f ca="1">0.9*GW190</f>
        <v>0</v>
      </c>
      <c r="GX189" s="49">
        <f ca="1">IF(FN156=1,0.9*GX190,0)</f>
        <v>0</v>
      </c>
      <c r="GY189" s="49"/>
      <c r="GZ189" s="49"/>
      <c r="HA189" s="49">
        <v>9</v>
      </c>
      <c r="HB189" s="49" t="e">
        <f ca="1">HB180+HA189*(HB232-HB180)/HA231</f>
        <v>#VALUE!</v>
      </c>
      <c r="HC189" s="49" t="e">
        <f ca="1">HC180+HA189*(HC232-HC180)/HA231</f>
        <v>#VALUE!</v>
      </c>
      <c r="HD189" s="49" t="e">
        <f ca="1">GH177*HC189^3+GI177*HC189^2+GJ177*HC189+GG177+GD207</f>
        <v>#VALUE!</v>
      </c>
      <c r="HE189" s="49" t="e">
        <f t="shared" ca="1" si="5"/>
        <v>#VALUE!</v>
      </c>
      <c r="HF189" s="49" t="e">
        <f t="shared" ca="1" si="4"/>
        <v>#VALUE!</v>
      </c>
      <c r="HG189" s="49" t="e">
        <f t="shared" ca="1" si="6"/>
        <v>#VALUE!</v>
      </c>
      <c r="HH189" s="49" t="e">
        <f t="shared" ca="1" si="7"/>
        <v>#VALUE!</v>
      </c>
      <c r="HI189" s="49"/>
      <c r="HJ189" s="49"/>
      <c r="HK189" s="49"/>
      <c r="HL189" s="49"/>
      <c r="HM189" s="49"/>
    </row>
    <row r="190" spans="1:221" ht="16.5" customHeight="1">
      <c r="A190" s="1"/>
      <c r="B190" s="3"/>
      <c r="C190" s="3"/>
      <c r="D190" s="38"/>
      <c r="E190" s="126"/>
      <c r="F190" s="126"/>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25"/>
      <c r="AY190" s="26"/>
      <c r="AZ190" s="41"/>
      <c r="BA190" s="41"/>
      <c r="BB190" s="41"/>
      <c r="BC190" s="41"/>
      <c r="BD190" s="42"/>
      <c r="BE190" s="41"/>
      <c r="BF190" s="41"/>
      <c r="BG190" s="41"/>
      <c r="BH190" s="41"/>
      <c r="BI190" s="41"/>
      <c r="BJ190" s="41"/>
      <c r="BK190" s="42"/>
      <c r="BL190" s="41"/>
      <c r="BM190" s="41"/>
      <c r="BN190" s="41"/>
      <c r="BO190" s="41"/>
      <c r="BP190" s="41"/>
      <c r="BQ190" s="41"/>
      <c r="BR190" s="80"/>
      <c r="BS190" s="79"/>
      <c r="BT190" s="79"/>
      <c r="BU190" s="79"/>
      <c r="BV190" s="79"/>
      <c r="BW190" s="79"/>
      <c r="BX190" s="79"/>
      <c r="BY190" s="79"/>
      <c r="BZ190" s="80"/>
      <c r="CA190" s="80"/>
      <c r="CB190" s="80"/>
      <c r="CC190" s="80"/>
      <c r="CD190" s="80"/>
      <c r="CE190" s="80"/>
      <c r="CF190" s="80"/>
      <c r="CG190" s="80"/>
      <c r="CH190" s="80"/>
      <c r="CI190" s="80"/>
      <c r="CJ190" s="80"/>
      <c r="CK190" s="80"/>
      <c r="CL190" s="80"/>
      <c r="CM190" s="80"/>
      <c r="CN190" s="80"/>
      <c r="CO190" s="80"/>
      <c r="CP190" s="79"/>
      <c r="CQ190" s="79"/>
      <c r="CR190" s="79"/>
      <c r="CS190" s="79"/>
      <c r="CT190" s="79"/>
      <c r="CU190" s="79"/>
      <c r="CV190" s="79"/>
      <c r="CW190" s="79"/>
      <c r="CX190" s="79"/>
      <c r="CY190" s="79"/>
      <c r="CZ190" s="79"/>
      <c r="DA190" s="79"/>
      <c r="DB190" s="79"/>
      <c r="DC190" s="79"/>
      <c r="DD190" s="79"/>
      <c r="DE190" s="79"/>
      <c r="DF190" s="79"/>
      <c r="DG190" s="79"/>
      <c r="DH190" s="79"/>
      <c r="DI190" s="79"/>
      <c r="DJ190" s="79"/>
      <c r="DK190" s="79"/>
      <c r="DL190" s="79"/>
      <c r="DM190" s="79"/>
      <c r="DN190" s="79"/>
      <c r="DO190" s="79"/>
      <c r="DP190" s="79"/>
      <c r="DQ190" s="79"/>
      <c r="DR190" s="79"/>
      <c r="DS190" s="79"/>
      <c r="DT190" s="79"/>
      <c r="DU190" s="79"/>
      <c r="DV190" s="79"/>
      <c r="DW190" s="79"/>
      <c r="DX190" s="79"/>
      <c r="DY190" s="79"/>
      <c r="DZ190" s="79"/>
      <c r="EA190" s="79"/>
      <c r="EB190" s="79"/>
      <c r="EC190" s="79"/>
      <c r="ED190" s="79"/>
      <c r="EE190" s="79"/>
      <c r="EF190" s="79"/>
      <c r="EG190" s="79"/>
      <c r="EH190" s="79"/>
      <c r="EI190" s="79"/>
      <c r="EJ190" s="79"/>
      <c r="EK190" s="79"/>
      <c r="EL190" s="79"/>
      <c r="EM190" s="79"/>
      <c r="EN190" s="79"/>
      <c r="EO190" s="79"/>
      <c r="EP190" s="79"/>
      <c r="EQ190" s="79"/>
      <c r="ER190" s="79"/>
      <c r="ES190" s="79"/>
      <c r="ET190" s="79"/>
      <c r="EU190" s="79"/>
      <c r="EV190" s="79"/>
      <c r="EW190" s="79"/>
      <c r="EX190" s="79"/>
      <c r="EY190" s="79"/>
      <c r="EZ190" s="79"/>
      <c r="FA190" s="79"/>
      <c r="FB190" s="79"/>
      <c r="FC190" s="79"/>
      <c r="FD190" s="79"/>
      <c r="FE190" s="79"/>
      <c r="FF190" s="79"/>
      <c r="FG190" s="79"/>
      <c r="FH190" s="79"/>
      <c r="FI190" s="79"/>
      <c r="FJ190" s="79"/>
      <c r="FK190" s="79"/>
      <c r="FL190" s="79"/>
      <c r="FM190" s="47"/>
      <c r="FN190" s="47"/>
      <c r="FO190" s="47"/>
      <c r="FP190" s="47"/>
      <c r="FQ190" s="47"/>
      <c r="FR190" s="47"/>
      <c r="FS190" s="47"/>
      <c r="FT190" s="47"/>
      <c r="FU190" s="47"/>
      <c r="FV190" s="48"/>
      <c r="FW190" s="48"/>
      <c r="FX190" s="48"/>
      <c r="FY190" s="48"/>
      <c r="FZ190" s="48"/>
      <c r="GA190" s="49"/>
      <c r="GB190" s="49" t="str">
        <f ca="1">GC190</f>
        <v/>
      </c>
      <c r="GC190" s="49" t="str">
        <f ca="1">IF(FN156=1,(GE177/GD177),"")</f>
        <v/>
      </c>
      <c r="GD190" s="49">
        <f ca="1">IF(FN156=1,-GD177*GC190+GE177,0)</f>
        <v>0</v>
      </c>
      <c r="GE190" s="49"/>
      <c r="GF190" s="49">
        <f t="shared" ca="1" si="3"/>
        <v>0</v>
      </c>
      <c r="GG190" s="49">
        <f ca="1">IF(FN156=1,GF177,0)</f>
        <v>0</v>
      </c>
      <c r="GH190" s="49"/>
      <c r="GI190" s="49">
        <f ca="1">IF(FN156=0,0,IF(FO174=1,-0.5*(GF177-GE177)/GD177,IF(FO174=2,GC185,IF(FO174=3,GR190,0))))</f>
        <v>0</v>
      </c>
      <c r="GJ190" s="49">
        <f ca="1">IF(OR(FN174=0,FN156=0),0,-GD177*GI190+GE177)</f>
        <v>0</v>
      </c>
      <c r="GK190" s="49">
        <f ca="1">IF(FN156=0,0,IF(FO174=2,GC185,IF(FO174=1,-0.5*(GF177-GE177)/GD177,0)))</f>
        <v>0</v>
      </c>
      <c r="GL190" s="49">
        <f ca="1">IF(FN156=0,0,IF(FO174=1,GJ190,IF(FO174=2,GJ190,0)))</f>
        <v>0</v>
      </c>
      <c r="GM190" s="49">
        <f ca="1">IF(FN156=0,0,IF(FO174=1,GF177+GG177/GI190,IF(FO174=2,GF177+GG177/GI190,0)))</f>
        <v>0</v>
      </c>
      <c r="GN190" s="49">
        <f ca="1">IF(FN156=0,0,-GD177*GC190^2+GE177*GC190)</f>
        <v>0</v>
      </c>
      <c r="GO190" s="49">
        <f ca="1">IF(FN156=0,0,GF177*GC190+GG177)</f>
        <v>0</v>
      </c>
      <c r="GP190" s="49"/>
      <c r="GQ190" s="49"/>
      <c r="GR190" s="49">
        <f ca="1">IF(FN156=0,0,IF(FO174=3,GR176,IF(FO174=2,GC185,IF(FO174=1,GK190,0))))</f>
        <v>0</v>
      </c>
      <c r="GS190" s="49">
        <f ca="1">IF(OR(FN174=0,FN156=0),0,-GD177*GR190^2+GE177*GR190)</f>
        <v>0</v>
      </c>
      <c r="GT190" s="49">
        <f ca="1">IF(FN156=1,GF177*GC190,0)</f>
        <v>0</v>
      </c>
      <c r="GU190" s="49">
        <f ca="1">IF(FN156=0,0,IF(FO174=1,GF177,IF(FO174=2,GF177,0)))</f>
        <v>0</v>
      </c>
      <c r="GV190" s="49">
        <f ca="1">IF(FN156=0,0,IF(FO174=3,GS176,0))</f>
        <v>0</v>
      </c>
      <c r="GW190" s="49">
        <f ca="1">IF(FN156=0,0,-GD177*GV190^2+GE177*GV190)</f>
        <v>0</v>
      </c>
      <c r="GX190" s="49">
        <f ca="1">IF(FN156=1,-GD177*GV190+GE177,0)</f>
        <v>0</v>
      </c>
      <c r="GY190" s="49"/>
      <c r="GZ190" s="49"/>
      <c r="HA190" s="49">
        <v>10</v>
      </c>
      <c r="HB190" s="49" t="e">
        <f ca="1">HB180+HA190*(HB232-HB180)/HA231</f>
        <v>#VALUE!</v>
      </c>
      <c r="HC190" s="49" t="e">
        <f ca="1">HC180+HA190*(HC232-HC180)/HA231</f>
        <v>#VALUE!</v>
      </c>
      <c r="HD190" s="49" t="e">
        <f ca="1">GH177*HC190^3+GI177*HC190^2+GJ177*HC190+GG177+GD207</f>
        <v>#VALUE!</v>
      </c>
      <c r="HE190" s="49" t="e">
        <f t="shared" ca="1" si="5"/>
        <v>#VALUE!</v>
      </c>
      <c r="HF190" s="49" t="e">
        <f t="shared" ca="1" si="4"/>
        <v>#VALUE!</v>
      </c>
      <c r="HG190" s="49" t="e">
        <f t="shared" ca="1" si="6"/>
        <v>#VALUE!</v>
      </c>
      <c r="HH190" s="49" t="e">
        <f t="shared" ca="1" si="7"/>
        <v>#VALUE!</v>
      </c>
      <c r="HI190" s="49"/>
      <c r="HJ190" s="49"/>
      <c r="HK190" s="49"/>
      <c r="HL190" s="49"/>
      <c r="HM190" s="49"/>
    </row>
    <row r="191" spans="1:221" ht="11.25" customHeight="1">
      <c r="A191" s="1"/>
      <c r="B191" s="3"/>
      <c r="C191" s="3"/>
      <c r="D191" s="38"/>
      <c r="E191" s="126"/>
      <c r="F191" s="126"/>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25"/>
      <c r="AY191" s="26"/>
      <c r="AZ191" s="41"/>
      <c r="BA191" s="41"/>
      <c r="BB191" s="41"/>
      <c r="BC191" s="41"/>
      <c r="BD191" s="42"/>
      <c r="BE191" s="41"/>
      <c r="BF191" s="41"/>
      <c r="BG191" s="41"/>
      <c r="BH191" s="41"/>
      <c r="BI191" s="41"/>
      <c r="BJ191" s="41"/>
      <c r="BK191" s="42"/>
      <c r="BL191" s="41"/>
      <c r="BM191" s="41"/>
      <c r="BN191" s="41"/>
      <c r="BO191" s="41"/>
      <c r="BP191" s="41"/>
      <c r="BQ191" s="41"/>
      <c r="BR191" s="80"/>
      <c r="BS191" s="79"/>
      <c r="BT191" s="79"/>
      <c r="BU191" s="79"/>
      <c r="BV191" s="79"/>
      <c r="BW191" s="79"/>
      <c r="BX191" s="79"/>
      <c r="BY191" s="79"/>
      <c r="BZ191" s="80"/>
      <c r="CA191" s="80"/>
      <c r="CB191" s="80"/>
      <c r="CC191" s="80"/>
      <c r="CD191" s="80"/>
      <c r="CE191" s="80"/>
      <c r="CF191" s="80"/>
      <c r="CG191" s="80"/>
      <c r="CH191" s="80"/>
      <c r="CI191" s="80"/>
      <c r="CJ191" s="80"/>
      <c r="CK191" s="80"/>
      <c r="CL191" s="80"/>
      <c r="CM191" s="80"/>
      <c r="CN191" s="80"/>
      <c r="CO191" s="80"/>
      <c r="CP191" s="79"/>
      <c r="CQ191" s="79"/>
      <c r="CR191" s="79"/>
      <c r="CS191" s="79"/>
      <c r="CT191" s="79"/>
      <c r="CU191" s="79"/>
      <c r="CV191" s="79"/>
      <c r="CW191" s="79"/>
      <c r="CX191" s="79"/>
      <c r="CY191" s="79"/>
      <c r="CZ191" s="79"/>
      <c r="DA191" s="79"/>
      <c r="DB191" s="79"/>
      <c r="DC191" s="79"/>
      <c r="DD191" s="79"/>
      <c r="DE191" s="79"/>
      <c r="DF191" s="79"/>
      <c r="DG191" s="79"/>
      <c r="DH191" s="79"/>
      <c r="DI191" s="79"/>
      <c r="DJ191" s="79"/>
      <c r="DK191" s="79"/>
      <c r="DL191" s="79"/>
      <c r="DM191" s="79"/>
      <c r="DN191" s="79"/>
      <c r="DO191" s="79"/>
      <c r="DP191" s="79"/>
      <c r="DQ191" s="79"/>
      <c r="DR191" s="79"/>
      <c r="DS191" s="79"/>
      <c r="DT191" s="79"/>
      <c r="DU191" s="79"/>
      <c r="DV191" s="79"/>
      <c r="DW191" s="79"/>
      <c r="DX191" s="79"/>
      <c r="DY191" s="79"/>
      <c r="DZ191" s="79"/>
      <c r="EA191" s="79"/>
      <c r="EB191" s="79"/>
      <c r="EC191" s="79"/>
      <c r="ED191" s="79"/>
      <c r="EE191" s="79"/>
      <c r="EF191" s="79"/>
      <c r="EG191" s="79"/>
      <c r="EH191" s="79"/>
      <c r="EI191" s="79"/>
      <c r="EJ191" s="79"/>
      <c r="EK191" s="79"/>
      <c r="EL191" s="79"/>
      <c r="EM191" s="79"/>
      <c r="EN191" s="79"/>
      <c r="EO191" s="79"/>
      <c r="EP191" s="79"/>
      <c r="EQ191" s="79"/>
      <c r="ER191" s="79"/>
      <c r="ES191" s="79"/>
      <c r="ET191" s="79"/>
      <c r="EU191" s="79"/>
      <c r="EV191" s="79"/>
      <c r="EW191" s="79"/>
      <c r="EX191" s="79"/>
      <c r="EY191" s="79"/>
      <c r="EZ191" s="79"/>
      <c r="FA191" s="79"/>
      <c r="FB191" s="79"/>
      <c r="FC191" s="79"/>
      <c r="FD191" s="79"/>
      <c r="FE191" s="79"/>
      <c r="FF191" s="79"/>
      <c r="FG191" s="79"/>
      <c r="FH191" s="79"/>
      <c r="FI191" s="79"/>
      <c r="FJ191" s="79"/>
      <c r="FK191" s="79"/>
      <c r="FL191" s="79"/>
      <c r="FM191" s="47"/>
      <c r="FN191" s="47"/>
      <c r="FO191" s="47"/>
      <c r="FP191" s="47"/>
      <c r="FQ191" s="47"/>
      <c r="FR191" s="47"/>
      <c r="FS191" s="47"/>
      <c r="FT191" s="47"/>
      <c r="FU191" s="47"/>
      <c r="FV191" s="48"/>
      <c r="FW191" s="48"/>
      <c r="FX191" s="48"/>
      <c r="FY191" s="48"/>
      <c r="FZ191" s="48"/>
      <c r="GA191" s="49"/>
      <c r="GB191" s="49" t="e">
        <f ca="1">GB190+GB181</f>
        <v>#VALUE!</v>
      </c>
      <c r="GC191" s="49"/>
      <c r="GD191" s="49"/>
      <c r="GE191" s="49"/>
      <c r="GF191" s="49"/>
      <c r="GG191" s="49"/>
      <c r="GH191" s="49"/>
      <c r="GI191" s="49"/>
      <c r="GJ191" s="49"/>
      <c r="GK191" s="49"/>
      <c r="GL191" s="49"/>
      <c r="GM191" s="49"/>
      <c r="GN191" s="49"/>
      <c r="GO191" s="49"/>
      <c r="GP191" s="49"/>
      <c r="GQ191" s="49"/>
      <c r="GR191" s="49"/>
      <c r="GS191" s="49"/>
      <c r="GT191" s="49"/>
      <c r="GU191" s="49"/>
      <c r="GV191" s="49"/>
      <c r="GW191" s="49"/>
      <c r="GX191" s="49"/>
      <c r="GY191" s="49"/>
      <c r="GZ191" s="49"/>
      <c r="HA191" s="49">
        <v>11</v>
      </c>
      <c r="HB191" s="49" t="e">
        <f ca="1">HB180+HA191*(HB232-HB180)/HA231</f>
        <v>#VALUE!</v>
      </c>
      <c r="HC191" s="49" t="e">
        <f ca="1">HC180+HA191*(HC232-HC180)/HA231</f>
        <v>#VALUE!</v>
      </c>
      <c r="HD191" s="49" t="e">
        <f ca="1">GH177*HC191^3+GI177*HC191^2+GJ177*HC191+GG177+GD207</f>
        <v>#VALUE!</v>
      </c>
      <c r="HE191" s="49" t="e">
        <f t="shared" ca="1" si="5"/>
        <v>#VALUE!</v>
      </c>
      <c r="HF191" s="49" t="e">
        <f t="shared" ca="1" si="4"/>
        <v>#VALUE!</v>
      </c>
      <c r="HG191" s="49" t="e">
        <f t="shared" ca="1" si="6"/>
        <v>#VALUE!</v>
      </c>
      <c r="HH191" s="49" t="e">
        <f t="shared" ca="1" si="7"/>
        <v>#VALUE!</v>
      </c>
      <c r="HI191" s="49"/>
      <c r="HJ191" s="49"/>
      <c r="HK191" s="49"/>
      <c r="HL191" s="49"/>
      <c r="HM191" s="49"/>
    </row>
    <row r="192" spans="1:221" ht="6" customHeight="1">
      <c r="A192" s="1"/>
      <c r="B192" s="3"/>
      <c r="C192" s="3"/>
      <c r="D192" s="38" t="str">
        <f ca="1">IF(FN237=0,"","")</f>
        <v/>
      </c>
      <c r="E192" s="126"/>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25"/>
      <c r="AY192" s="26"/>
      <c r="AZ192" s="41"/>
      <c r="BA192" s="41"/>
      <c r="BB192" s="41"/>
      <c r="BC192" s="41"/>
      <c r="BD192" s="42"/>
      <c r="BE192" s="41"/>
      <c r="BF192" s="41"/>
      <c r="BG192" s="41"/>
      <c r="BH192" s="41"/>
      <c r="BI192" s="41"/>
      <c r="BJ192" s="41"/>
      <c r="BK192" s="42"/>
      <c r="BL192" s="41"/>
      <c r="BM192" s="41"/>
      <c r="BN192" s="41"/>
      <c r="BO192" s="41"/>
      <c r="BP192" s="41"/>
      <c r="BQ192" s="41"/>
      <c r="BR192" s="80"/>
      <c r="BS192" s="79"/>
      <c r="BT192" s="79"/>
      <c r="BU192" s="79"/>
      <c r="BV192" s="79"/>
      <c r="BW192" s="79"/>
      <c r="BX192" s="79"/>
      <c r="BY192" s="79"/>
      <c r="BZ192" s="80"/>
      <c r="CA192" s="80"/>
      <c r="CB192" s="80"/>
      <c r="CC192" s="80"/>
      <c r="CD192" s="80"/>
      <c r="CE192" s="80"/>
      <c r="CF192" s="80"/>
      <c r="CG192" s="80"/>
      <c r="CH192" s="80"/>
      <c r="CI192" s="80"/>
      <c r="CJ192" s="80"/>
      <c r="CK192" s="80"/>
      <c r="CL192" s="80"/>
      <c r="CM192" s="80"/>
      <c r="CN192" s="80"/>
      <c r="CO192" s="80"/>
      <c r="CP192" s="79"/>
      <c r="CQ192" s="79"/>
      <c r="CR192" s="79"/>
      <c r="CS192" s="79"/>
      <c r="CT192" s="79"/>
      <c r="CU192" s="79"/>
      <c r="CV192" s="79"/>
      <c r="CW192" s="79"/>
      <c r="CX192" s="79"/>
      <c r="CY192" s="79"/>
      <c r="CZ192" s="79"/>
      <c r="DA192" s="79"/>
      <c r="DB192" s="79"/>
      <c r="DC192" s="79"/>
      <c r="DD192" s="79"/>
      <c r="DE192" s="79"/>
      <c r="DF192" s="79"/>
      <c r="DG192" s="79"/>
      <c r="DH192" s="79"/>
      <c r="DI192" s="79"/>
      <c r="DJ192" s="79"/>
      <c r="DK192" s="79"/>
      <c r="DL192" s="79"/>
      <c r="DM192" s="79"/>
      <c r="DN192" s="79"/>
      <c r="DO192" s="79"/>
      <c r="DP192" s="79"/>
      <c r="DQ192" s="79"/>
      <c r="DR192" s="79"/>
      <c r="DS192" s="79"/>
      <c r="DT192" s="79"/>
      <c r="DU192" s="79"/>
      <c r="DV192" s="79"/>
      <c r="DW192" s="79"/>
      <c r="DX192" s="79"/>
      <c r="DY192" s="79"/>
      <c r="DZ192" s="79"/>
      <c r="EA192" s="79"/>
      <c r="EB192" s="79"/>
      <c r="EC192" s="79"/>
      <c r="ED192" s="79"/>
      <c r="EE192" s="79"/>
      <c r="EF192" s="79"/>
      <c r="EG192" s="79"/>
      <c r="EH192" s="79"/>
      <c r="EI192" s="79"/>
      <c r="EJ192" s="79"/>
      <c r="EK192" s="79"/>
      <c r="EL192" s="79"/>
      <c r="EM192" s="79"/>
      <c r="EN192" s="79"/>
      <c r="EO192" s="79"/>
      <c r="EP192" s="79"/>
      <c r="EQ192" s="79"/>
      <c r="ER192" s="79"/>
      <c r="ES192" s="79"/>
      <c r="ET192" s="79"/>
      <c r="EU192" s="79"/>
      <c r="EV192" s="79"/>
      <c r="EW192" s="79"/>
      <c r="EX192" s="79"/>
      <c r="EY192" s="79"/>
      <c r="EZ192" s="79"/>
      <c r="FA192" s="79"/>
      <c r="FB192" s="79"/>
      <c r="FC192" s="79"/>
      <c r="FD192" s="79"/>
      <c r="FE192" s="79"/>
      <c r="FF192" s="79"/>
      <c r="FG192" s="79"/>
      <c r="FH192" s="79"/>
      <c r="FI192" s="79"/>
      <c r="FJ192" s="79"/>
      <c r="FK192" s="79"/>
      <c r="FL192" s="79"/>
      <c r="FM192" s="47"/>
      <c r="FN192" s="47"/>
      <c r="FO192" s="47"/>
      <c r="FP192" s="47"/>
      <c r="FQ192" s="47"/>
      <c r="FR192" s="47"/>
      <c r="FS192" s="47"/>
      <c r="FT192" s="47"/>
      <c r="FU192" s="47"/>
      <c r="FV192" s="48"/>
      <c r="FW192" s="48"/>
      <c r="FX192" s="48"/>
      <c r="FY192" s="48"/>
      <c r="FZ192" s="48"/>
      <c r="GA192" s="49"/>
      <c r="GB192" s="49"/>
      <c r="GC192" s="49"/>
      <c r="GD192" s="49"/>
      <c r="GE192" s="49"/>
      <c r="GF192" s="49"/>
      <c r="GG192" s="49"/>
      <c r="GH192" s="49"/>
      <c r="GI192" s="49"/>
      <c r="GJ192" s="49"/>
      <c r="GK192" s="49"/>
      <c r="GL192" s="49"/>
      <c r="GM192" s="49"/>
      <c r="GN192" s="49"/>
      <c r="GO192" s="49"/>
      <c r="GP192" s="49"/>
      <c r="GQ192" s="49"/>
      <c r="GR192" s="49"/>
      <c r="GS192" s="49"/>
      <c r="GT192" s="49"/>
      <c r="GU192" s="49"/>
      <c r="GV192" s="49"/>
      <c r="GW192" s="49"/>
      <c r="GX192" s="49"/>
      <c r="GY192" s="49"/>
      <c r="GZ192" s="49"/>
      <c r="HA192" s="49">
        <v>12</v>
      </c>
      <c r="HB192" s="49" t="e">
        <f ca="1">HB180+HA192*(HB232-HB180)/HA231</f>
        <v>#VALUE!</v>
      </c>
      <c r="HC192" s="49" t="e">
        <f ca="1">HC180+HA192*(HC232-HC180)/HA231</f>
        <v>#VALUE!</v>
      </c>
      <c r="HD192" s="49" t="e">
        <f ca="1">GH177*HC192^3+GI177*HC192^2+GJ177*HC192+GG177+GD207</f>
        <v>#VALUE!</v>
      </c>
      <c r="HE192" s="49" t="e">
        <f t="shared" ca="1" si="5"/>
        <v>#VALUE!</v>
      </c>
      <c r="HF192" s="49" t="e">
        <f t="shared" ca="1" si="4"/>
        <v>#VALUE!</v>
      </c>
      <c r="HG192" s="49" t="e">
        <f t="shared" ca="1" si="6"/>
        <v>#VALUE!</v>
      </c>
      <c r="HH192" s="49" t="e">
        <f t="shared" ca="1" si="7"/>
        <v>#VALUE!</v>
      </c>
      <c r="HI192" s="49"/>
      <c r="HJ192" s="49"/>
      <c r="HK192" s="49"/>
      <c r="HL192" s="49"/>
      <c r="HM192" s="49"/>
    </row>
    <row r="193" spans="1:221" ht="17.399999999999999" customHeight="1">
      <c r="A193" s="1"/>
      <c r="B193" s="3"/>
      <c r="C193" s="3"/>
      <c r="D193" s="38" t="str">
        <f ca="1">IF(FN237=0,"","Hieronder kun je stapsgewijs zien hoe je bij de rechtergrafieken de totale")</f>
        <v/>
      </c>
      <c r="E193" s="126"/>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25"/>
      <c r="AY193" s="26"/>
      <c r="AZ193" s="41"/>
      <c r="BA193" s="41"/>
      <c r="BB193" s="41"/>
      <c r="BC193" s="41"/>
      <c r="BD193" s="42"/>
      <c r="BE193" s="41"/>
      <c r="BF193" s="41"/>
      <c r="BG193" s="41"/>
      <c r="BH193" s="41"/>
      <c r="BI193" s="41"/>
      <c r="BJ193" s="41"/>
      <c r="BK193" s="42"/>
      <c r="BL193" s="41"/>
      <c r="BM193" s="41"/>
      <c r="BN193" s="41"/>
      <c r="BO193" s="41"/>
      <c r="BP193" s="41"/>
      <c r="BQ193" s="41"/>
      <c r="BR193" s="80"/>
      <c r="BS193" s="79"/>
      <c r="BT193" s="79"/>
      <c r="BU193" s="79"/>
      <c r="BV193" s="79"/>
      <c r="BW193" s="79"/>
      <c r="BX193" s="79"/>
      <c r="BY193" s="79"/>
      <c r="BZ193" s="80"/>
      <c r="CA193" s="80"/>
      <c r="CB193" s="80"/>
      <c r="CC193" s="80"/>
      <c r="CD193" s="80"/>
      <c r="CE193" s="80"/>
      <c r="CF193" s="80"/>
      <c r="CG193" s="80"/>
      <c r="CH193" s="80"/>
      <c r="CI193" s="80"/>
      <c r="CJ193" s="80"/>
      <c r="CK193" s="80"/>
      <c r="CL193" s="80"/>
      <c r="CM193" s="80"/>
      <c r="CN193" s="80"/>
      <c r="CO193" s="80"/>
      <c r="CP193" s="79"/>
      <c r="CQ193" s="79"/>
      <c r="CR193" s="79"/>
      <c r="CS193" s="79"/>
      <c r="CT193" s="79"/>
      <c r="CU193" s="79"/>
      <c r="CV193" s="79"/>
      <c r="CW193" s="79"/>
      <c r="CX193" s="79"/>
      <c r="CY193" s="79"/>
      <c r="CZ193" s="79"/>
      <c r="DA193" s="79"/>
      <c r="DB193" s="79"/>
      <c r="DC193" s="79"/>
      <c r="DD193" s="79"/>
      <c r="DE193" s="79"/>
      <c r="DF193" s="79"/>
      <c r="DG193" s="79"/>
      <c r="DH193" s="79"/>
      <c r="DI193" s="79"/>
      <c r="DJ193" s="79"/>
      <c r="DK193" s="79"/>
      <c r="DL193" s="79"/>
      <c r="DM193" s="79"/>
      <c r="DN193" s="79"/>
      <c r="DO193" s="79"/>
      <c r="DP193" s="79"/>
      <c r="DQ193" s="79"/>
      <c r="DR193" s="79"/>
      <c r="DS193" s="79"/>
      <c r="DT193" s="79"/>
      <c r="DU193" s="79"/>
      <c r="DV193" s="79"/>
      <c r="DW193" s="79"/>
      <c r="DX193" s="79"/>
      <c r="DY193" s="79"/>
      <c r="DZ193" s="79"/>
      <c r="EA193" s="79"/>
      <c r="EB193" s="79"/>
      <c r="EC193" s="79"/>
      <c r="ED193" s="79"/>
      <c r="EE193" s="79"/>
      <c r="EF193" s="79"/>
      <c r="EG193" s="79"/>
      <c r="EH193" s="79"/>
      <c r="EI193" s="79"/>
      <c r="EJ193" s="79"/>
      <c r="EK193" s="79"/>
      <c r="EL193" s="79"/>
      <c r="EM193" s="79"/>
      <c r="EN193" s="79"/>
      <c r="EO193" s="79"/>
      <c r="EP193" s="79"/>
      <c r="EQ193" s="79"/>
      <c r="ER193" s="79"/>
      <c r="ES193" s="79"/>
      <c r="ET193" s="79"/>
      <c r="EU193" s="79"/>
      <c r="EV193" s="79"/>
      <c r="EW193" s="79"/>
      <c r="EX193" s="79"/>
      <c r="EY193" s="79"/>
      <c r="EZ193" s="79"/>
      <c r="FA193" s="79"/>
      <c r="FB193" s="79"/>
      <c r="FC193" s="79"/>
      <c r="FD193" s="79"/>
      <c r="FE193" s="79"/>
      <c r="FF193" s="79"/>
      <c r="FG193" s="79"/>
      <c r="FH193" s="79"/>
      <c r="FI193" s="79"/>
      <c r="FJ193" s="79"/>
      <c r="FK193" s="79"/>
      <c r="FL193" s="79"/>
      <c r="FM193" s="47"/>
      <c r="FN193" s="47"/>
      <c r="FO193" s="47"/>
      <c r="FP193" s="47"/>
      <c r="FQ193" s="47"/>
      <c r="FR193" s="47"/>
      <c r="FS193" s="47"/>
      <c r="FT193" s="47"/>
      <c r="FU193" s="47"/>
      <c r="FV193" s="48"/>
      <c r="FW193" s="48"/>
      <c r="FX193" s="48"/>
      <c r="FY193" s="48"/>
      <c r="FZ193" s="48"/>
      <c r="GA193" s="49"/>
      <c r="GB193" s="49"/>
      <c r="GC193" s="49"/>
      <c r="GD193" s="49"/>
      <c r="GE193" s="49"/>
      <c r="GF193" s="49"/>
      <c r="GG193" s="49"/>
      <c r="GH193" s="49"/>
      <c r="GI193" s="49"/>
      <c r="GJ193" s="49"/>
      <c r="GK193" s="49"/>
      <c r="GL193" s="49"/>
      <c r="GM193" s="49"/>
      <c r="GN193" s="49"/>
      <c r="GO193" s="49"/>
      <c r="GP193" s="49"/>
      <c r="GQ193" s="49"/>
      <c r="GR193" s="49"/>
      <c r="GS193" s="49"/>
      <c r="GT193" s="49"/>
      <c r="GU193" s="49"/>
      <c r="GV193" s="49"/>
      <c r="GW193" s="49"/>
      <c r="GX193" s="49"/>
      <c r="GY193" s="49"/>
      <c r="GZ193" s="49"/>
      <c r="HA193" s="49">
        <v>13</v>
      </c>
      <c r="HB193" s="49" t="e">
        <f ca="1">HB180+HA193*(HB232-HB180)/HA231</f>
        <v>#VALUE!</v>
      </c>
      <c r="HC193" s="49" t="e">
        <f ca="1">HC180+HA193*(HC232-HC180)/HA231</f>
        <v>#VALUE!</v>
      </c>
      <c r="HD193" s="49" t="e">
        <f ca="1">GH177*HC193^3+GI177*HC193^2+GJ177*HC193+GG177+GD207</f>
        <v>#VALUE!</v>
      </c>
      <c r="HE193" s="49" t="e">
        <f t="shared" ca="1" si="5"/>
        <v>#VALUE!</v>
      </c>
      <c r="HF193" s="49" t="e">
        <f t="shared" ca="1" si="4"/>
        <v>#VALUE!</v>
      </c>
      <c r="HG193" s="49" t="e">
        <f t="shared" ca="1" si="6"/>
        <v>#VALUE!</v>
      </c>
      <c r="HH193" s="49" t="e">
        <f t="shared" ca="1" si="7"/>
        <v>#VALUE!</v>
      </c>
      <c r="HI193" s="49"/>
      <c r="HJ193" s="49"/>
      <c r="HK193" s="49"/>
      <c r="HL193" s="49"/>
      <c r="HM193" s="49"/>
    </row>
    <row r="194" spans="1:221" ht="17.399999999999999" customHeight="1">
      <c r="A194" s="1"/>
      <c r="B194" s="3"/>
      <c r="C194" s="3"/>
      <c r="D194" s="38" t="str">
        <f ca="1">IF(FN237=0,"","maximale winst kunt afleiden. Ga op het zwartomrande vak staan en vul 1 in,")</f>
        <v/>
      </c>
      <c r="E194" s="126"/>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25"/>
      <c r="AY194" s="26"/>
      <c r="AZ194" s="41"/>
      <c r="BA194" s="41"/>
      <c r="BB194" s="41"/>
      <c r="BC194" s="41"/>
      <c r="BD194" s="42"/>
      <c r="BE194" s="41"/>
      <c r="BF194" s="41"/>
      <c r="BG194" s="41"/>
      <c r="BH194" s="41"/>
      <c r="BI194" s="41"/>
      <c r="BJ194" s="41"/>
      <c r="BK194" s="42"/>
      <c r="BL194" s="41"/>
      <c r="BM194" s="41"/>
      <c r="BN194" s="41"/>
      <c r="BO194" s="41"/>
      <c r="BP194" s="41"/>
      <c r="BQ194" s="41"/>
      <c r="BR194" s="80"/>
      <c r="BS194" s="79"/>
      <c r="BT194" s="79"/>
      <c r="BU194" s="79"/>
      <c r="BV194" s="79"/>
      <c r="BW194" s="79"/>
      <c r="BX194" s="79"/>
      <c r="BY194" s="79"/>
      <c r="BZ194" s="80"/>
      <c r="CA194" s="80"/>
      <c r="CB194" s="80"/>
      <c r="CC194" s="80"/>
      <c r="CD194" s="80"/>
      <c r="CE194" s="80"/>
      <c r="CF194" s="80"/>
      <c r="CG194" s="80"/>
      <c r="CH194" s="80"/>
      <c r="CI194" s="80"/>
      <c r="CJ194" s="80"/>
      <c r="CK194" s="80"/>
      <c r="CL194" s="80"/>
      <c r="CM194" s="80"/>
      <c r="CN194" s="80"/>
      <c r="CO194" s="80"/>
      <c r="CP194" s="79"/>
      <c r="CQ194" s="79"/>
      <c r="CR194" s="79"/>
      <c r="CS194" s="79"/>
      <c r="CT194" s="79"/>
      <c r="CU194" s="79"/>
      <c r="CV194" s="79"/>
      <c r="CW194" s="79"/>
      <c r="CX194" s="79"/>
      <c r="CY194" s="79"/>
      <c r="CZ194" s="79"/>
      <c r="DA194" s="79"/>
      <c r="DB194" s="79"/>
      <c r="DC194" s="79"/>
      <c r="DD194" s="79"/>
      <c r="DE194" s="79"/>
      <c r="DF194" s="79"/>
      <c r="DG194" s="79"/>
      <c r="DH194" s="79"/>
      <c r="DI194" s="79"/>
      <c r="DJ194" s="79"/>
      <c r="DK194" s="79"/>
      <c r="DL194" s="79"/>
      <c r="DM194" s="79"/>
      <c r="DN194" s="79"/>
      <c r="DO194" s="79"/>
      <c r="DP194" s="79"/>
      <c r="DQ194" s="79"/>
      <c r="DR194" s="79"/>
      <c r="DS194" s="79"/>
      <c r="DT194" s="79"/>
      <c r="DU194" s="79"/>
      <c r="DV194" s="79"/>
      <c r="DW194" s="79"/>
      <c r="DX194" s="79"/>
      <c r="DY194" s="79"/>
      <c r="DZ194" s="79"/>
      <c r="EA194" s="79"/>
      <c r="EB194" s="79"/>
      <c r="EC194" s="79"/>
      <c r="ED194" s="79"/>
      <c r="EE194" s="79"/>
      <c r="EF194" s="79"/>
      <c r="EG194" s="79"/>
      <c r="EH194" s="79"/>
      <c r="EI194" s="79"/>
      <c r="EJ194" s="79"/>
      <c r="EK194" s="79"/>
      <c r="EL194" s="79"/>
      <c r="EM194" s="79"/>
      <c r="EN194" s="79"/>
      <c r="EO194" s="79"/>
      <c r="EP194" s="79"/>
      <c r="EQ194" s="79"/>
      <c r="ER194" s="79"/>
      <c r="ES194" s="79"/>
      <c r="ET194" s="79"/>
      <c r="EU194" s="79"/>
      <c r="EV194" s="79"/>
      <c r="EW194" s="79"/>
      <c r="EX194" s="79"/>
      <c r="EY194" s="79"/>
      <c r="EZ194" s="79"/>
      <c r="FA194" s="79"/>
      <c r="FB194" s="79"/>
      <c r="FC194" s="79"/>
      <c r="FD194" s="79"/>
      <c r="FE194" s="79"/>
      <c r="FF194" s="79"/>
      <c r="FG194" s="79"/>
      <c r="FH194" s="79"/>
      <c r="FI194" s="79"/>
      <c r="FJ194" s="79"/>
      <c r="FK194" s="79"/>
      <c r="FL194" s="79"/>
      <c r="FM194" s="47"/>
      <c r="FN194" s="47"/>
      <c r="FO194" s="47"/>
      <c r="FP194" s="47"/>
      <c r="FQ194" s="47"/>
      <c r="FR194" s="47"/>
      <c r="FS194" s="47"/>
      <c r="FT194" s="47"/>
      <c r="FU194" s="47"/>
      <c r="FV194" s="48"/>
      <c r="FW194" s="48"/>
      <c r="FX194" s="48"/>
      <c r="FY194" s="48"/>
      <c r="FZ194" s="48"/>
      <c r="GA194" s="49"/>
      <c r="GB194" s="49"/>
      <c r="GC194" s="49"/>
      <c r="GD194" s="49"/>
      <c r="GE194" s="49"/>
      <c r="GF194" s="49" t="s">
        <v>51</v>
      </c>
      <c r="GG194" s="49" t="s">
        <v>52</v>
      </c>
      <c r="GH194" s="49" t="s">
        <v>26</v>
      </c>
      <c r="GI194" s="49" t="s">
        <v>60</v>
      </c>
      <c r="GJ194" s="49"/>
      <c r="GK194" s="49" t="s">
        <v>71</v>
      </c>
      <c r="GL194" s="49" t="s">
        <v>72</v>
      </c>
      <c r="GM194" s="49" t="s">
        <v>73</v>
      </c>
      <c r="GN194" s="49" t="s">
        <v>5</v>
      </c>
      <c r="GO194" s="49" t="s">
        <v>3</v>
      </c>
      <c r="GP194" s="49" t="s">
        <v>58</v>
      </c>
      <c r="GQ194" s="49" t="s">
        <v>59</v>
      </c>
      <c r="GR194" s="49" t="s">
        <v>60</v>
      </c>
      <c r="GS194" s="49"/>
      <c r="GT194" s="49" t="s">
        <v>2</v>
      </c>
      <c r="GU194" s="49" t="s">
        <v>73</v>
      </c>
      <c r="GV194" s="49" t="s">
        <v>60</v>
      </c>
      <c r="GW194" s="49"/>
      <c r="GX194" s="49"/>
      <c r="GY194" s="49"/>
      <c r="GZ194" s="49"/>
      <c r="HA194" s="49">
        <v>14</v>
      </c>
      <c r="HB194" s="49" t="e">
        <f ca="1">HB180+HA194*(HB232-HB180)/HA231</f>
        <v>#VALUE!</v>
      </c>
      <c r="HC194" s="49" t="e">
        <f ca="1">HC180+HA194*(HC232-HC180)/HA231</f>
        <v>#VALUE!</v>
      </c>
      <c r="HD194" s="49" t="e">
        <f ca="1">GH177*HC194^3+GI177*HC194^2+GJ177*HC194+GG177+GD207</f>
        <v>#VALUE!</v>
      </c>
      <c r="HE194" s="49" t="e">
        <f ca="1">IF(AND(HD194&gt;=0,HD193&lt;0),HC193-HD193/(HD194-HD193)*(HC194-HC193),0)</f>
        <v>#VALUE!</v>
      </c>
      <c r="HF194" s="49" t="e">
        <f t="shared" ca="1" si="4"/>
        <v>#VALUE!</v>
      </c>
      <c r="HG194" s="49" t="e">
        <f t="shared" ca="1" si="6"/>
        <v>#VALUE!</v>
      </c>
      <c r="HH194" s="49" t="e">
        <f ca="1">IF(AND(HG194&lt;0,HG193&gt;=0),HF193-HG193/(HG194-HG193)*(HF194-HF193),0)</f>
        <v>#VALUE!</v>
      </c>
      <c r="HI194" s="49"/>
      <c r="HJ194" s="49"/>
      <c r="HK194" s="49"/>
      <c r="HL194" s="49"/>
      <c r="HM194" s="49"/>
    </row>
    <row r="195" spans="1:221" ht="17.399999999999999" customHeight="1">
      <c r="A195" s="1"/>
      <c r="B195" s="3"/>
      <c r="C195" s="3"/>
      <c r="D195" s="373" t="str">
        <f ca="1">IF(FN237=0,"","daarna 2 etc.")</f>
        <v/>
      </c>
      <c r="E195" s="376"/>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25"/>
      <c r="AY195" s="26"/>
      <c r="AZ195" s="41"/>
      <c r="BA195" s="41"/>
      <c r="BB195" s="41"/>
      <c r="BC195" s="41"/>
      <c r="BD195" s="42"/>
      <c r="BE195" s="41"/>
      <c r="BF195" s="41"/>
      <c r="BG195" s="41"/>
      <c r="BH195" s="41"/>
      <c r="BI195" s="41"/>
      <c r="BJ195" s="41"/>
      <c r="BK195" s="42"/>
      <c r="BL195" s="41"/>
      <c r="BM195" s="41"/>
      <c r="BN195" s="41"/>
      <c r="BO195" s="41"/>
      <c r="BP195" s="41"/>
      <c r="BQ195" s="41"/>
      <c r="BR195" s="80"/>
      <c r="BS195" s="79"/>
      <c r="BT195" s="79"/>
      <c r="BU195" s="79"/>
      <c r="BV195" s="79"/>
      <c r="BW195" s="79"/>
      <c r="BX195" s="79"/>
      <c r="BY195" s="79"/>
      <c r="BZ195" s="80"/>
      <c r="CA195" s="80"/>
      <c r="CB195" s="80"/>
      <c r="CC195" s="80"/>
      <c r="CD195" s="80"/>
      <c r="CE195" s="80"/>
      <c r="CF195" s="80"/>
      <c r="CG195" s="80"/>
      <c r="CH195" s="80"/>
      <c r="CI195" s="80"/>
      <c r="CJ195" s="80"/>
      <c r="CK195" s="80"/>
      <c r="CL195" s="80"/>
      <c r="CM195" s="80"/>
      <c r="CN195" s="80"/>
      <c r="CO195" s="80"/>
      <c r="CP195" s="79"/>
      <c r="CQ195" s="79"/>
      <c r="CR195" s="79"/>
      <c r="CS195" s="79"/>
      <c r="CT195" s="79"/>
      <c r="CU195" s="79"/>
      <c r="CV195" s="79"/>
      <c r="CW195" s="79"/>
      <c r="CX195" s="79"/>
      <c r="CY195" s="79"/>
      <c r="CZ195" s="79"/>
      <c r="DA195" s="79"/>
      <c r="DB195" s="79"/>
      <c r="DC195" s="79"/>
      <c r="DD195" s="79"/>
      <c r="DE195" s="79"/>
      <c r="DF195" s="79"/>
      <c r="DG195" s="79"/>
      <c r="DH195" s="79"/>
      <c r="DI195" s="79"/>
      <c r="DJ195" s="79"/>
      <c r="DK195" s="79"/>
      <c r="DL195" s="79"/>
      <c r="DM195" s="79"/>
      <c r="DN195" s="79"/>
      <c r="DO195" s="79"/>
      <c r="DP195" s="79"/>
      <c r="DQ195" s="79"/>
      <c r="DR195" s="79"/>
      <c r="DS195" s="79"/>
      <c r="DT195" s="79"/>
      <c r="DU195" s="79"/>
      <c r="DV195" s="79"/>
      <c r="DW195" s="79"/>
      <c r="DX195" s="79"/>
      <c r="DY195" s="79"/>
      <c r="DZ195" s="79"/>
      <c r="EA195" s="79"/>
      <c r="EB195" s="79"/>
      <c r="EC195" s="79"/>
      <c r="ED195" s="79"/>
      <c r="EE195" s="79"/>
      <c r="EF195" s="79"/>
      <c r="EG195" s="79"/>
      <c r="EH195" s="79"/>
      <c r="EI195" s="79"/>
      <c r="EJ195" s="79"/>
      <c r="EK195" s="79"/>
      <c r="EL195" s="79"/>
      <c r="EM195" s="79"/>
      <c r="EN195" s="79"/>
      <c r="EO195" s="79"/>
      <c r="EP195" s="79"/>
      <c r="EQ195" s="79"/>
      <c r="ER195" s="79"/>
      <c r="ES195" s="79"/>
      <c r="ET195" s="79"/>
      <c r="EU195" s="79"/>
      <c r="EV195" s="79"/>
      <c r="EW195" s="79"/>
      <c r="EX195" s="79"/>
      <c r="EY195" s="79"/>
      <c r="EZ195" s="79"/>
      <c r="FA195" s="79"/>
      <c r="FB195" s="79"/>
      <c r="FC195" s="79"/>
      <c r="FD195" s="79"/>
      <c r="FE195" s="79"/>
      <c r="FF195" s="79"/>
      <c r="FG195" s="79"/>
      <c r="FH195" s="79"/>
      <c r="FI195" s="79"/>
      <c r="FJ195" s="79"/>
      <c r="FK195" s="79"/>
      <c r="FL195" s="79"/>
      <c r="FM195" s="47"/>
      <c r="FN195" s="47"/>
      <c r="FO195" s="47"/>
      <c r="FP195" s="47"/>
      <c r="FQ195" s="47"/>
      <c r="FR195" s="47"/>
      <c r="FS195" s="47"/>
      <c r="FT195" s="47"/>
      <c r="FU195" s="47"/>
      <c r="FV195" s="48"/>
      <c r="FW195" s="48"/>
      <c r="FX195" s="48"/>
      <c r="FY195" s="48"/>
      <c r="FZ195" s="48"/>
      <c r="GA195" s="49"/>
      <c r="GB195" s="49"/>
      <c r="GC195" s="49"/>
      <c r="GD195" s="49"/>
      <c r="GE195" s="49"/>
      <c r="GF195" s="49"/>
      <c r="GG195" s="49"/>
      <c r="GH195" s="49"/>
      <c r="GI195" s="49"/>
      <c r="GJ195" s="49"/>
      <c r="GK195" s="49"/>
      <c r="GL195" s="49"/>
      <c r="GM195" s="49"/>
      <c r="GN195" s="49"/>
      <c r="GO195" s="49"/>
      <c r="GP195" s="49"/>
      <c r="GQ195" s="49"/>
      <c r="GR195" s="49"/>
      <c r="GS195" s="49"/>
      <c r="GT195" s="49"/>
      <c r="GU195" s="49"/>
      <c r="GV195" s="49"/>
      <c r="GW195" s="49"/>
      <c r="GX195" s="49"/>
      <c r="GY195" s="49"/>
      <c r="GZ195" s="49"/>
      <c r="HA195" s="49"/>
      <c r="HB195" s="49"/>
      <c r="HC195" s="49"/>
      <c r="HD195" s="49"/>
      <c r="HE195" s="49"/>
      <c r="HF195" s="49"/>
      <c r="HG195" s="49"/>
      <c r="HH195" s="49"/>
      <c r="HI195" s="49"/>
      <c r="HJ195" s="49"/>
      <c r="HK195" s="49"/>
      <c r="HL195" s="49"/>
      <c r="HM195" s="49"/>
    </row>
    <row r="196" spans="1:221" ht="9" customHeight="1">
      <c r="A196" s="1"/>
      <c r="B196" s="3"/>
      <c r="C196" s="3"/>
      <c r="D196" s="38"/>
      <c r="E196" s="197"/>
      <c r="F196" s="39"/>
      <c r="G196" s="39"/>
      <c r="H196" s="39"/>
      <c r="I196" s="39"/>
      <c r="J196" s="39"/>
      <c r="K196" s="39"/>
      <c r="L196" s="39"/>
      <c r="M196" s="39"/>
      <c r="N196" s="39"/>
      <c r="O196" s="39"/>
      <c r="P196" s="39"/>
      <c r="Q196" s="39"/>
      <c r="R196" s="39"/>
      <c r="S196" s="39"/>
      <c r="T196" s="39"/>
      <c r="U196" s="39"/>
      <c r="V196" s="39"/>
      <c r="W196" s="39"/>
      <c r="X196" s="39"/>
      <c r="Y196" s="38"/>
      <c r="Z196" s="38"/>
      <c r="AA196" s="38"/>
      <c r="AB196" s="197"/>
      <c r="AC196" s="197"/>
      <c r="AD196" s="197"/>
      <c r="AE196" s="197"/>
      <c r="AF196" s="197"/>
      <c r="AG196" s="197"/>
      <c r="AH196" s="197"/>
      <c r="AI196" s="197"/>
      <c r="AJ196" s="197"/>
      <c r="AK196" s="197"/>
      <c r="AL196" s="197"/>
      <c r="AM196" s="43"/>
      <c r="AN196" s="43"/>
      <c r="AO196" s="43"/>
      <c r="AP196" s="43"/>
      <c r="AQ196" s="43"/>
      <c r="AR196" s="43"/>
      <c r="AS196" s="43"/>
      <c r="AT196" s="43"/>
      <c r="AU196" s="126"/>
      <c r="AV196" s="126"/>
      <c r="AW196" s="126"/>
      <c r="AX196" s="126"/>
      <c r="AY196" s="126"/>
      <c r="AZ196" s="126"/>
      <c r="BA196" s="126"/>
      <c r="BB196" s="43"/>
      <c r="BC196" s="43"/>
      <c r="BD196" s="43"/>
      <c r="BE196" s="43"/>
      <c r="BF196" s="43"/>
      <c r="BG196" s="126"/>
      <c r="BH196" s="43"/>
      <c r="BI196" s="197"/>
      <c r="BJ196" s="197"/>
      <c r="BK196" s="197"/>
      <c r="BL196" s="126"/>
      <c r="BM196" s="126"/>
      <c r="BN196" s="126"/>
      <c r="BO196" s="126"/>
      <c r="BP196" s="126"/>
      <c r="BQ196" s="126"/>
      <c r="BR196" s="126"/>
      <c r="BS196" s="126"/>
      <c r="BT196" s="126"/>
      <c r="BU196" s="79"/>
      <c r="BV196" s="79"/>
      <c r="BW196" s="79"/>
      <c r="BX196" s="79"/>
      <c r="BY196" s="79"/>
      <c r="BZ196" s="79"/>
      <c r="CA196" s="79"/>
      <c r="CB196" s="79"/>
      <c r="CC196" s="79"/>
      <c r="CD196" s="79"/>
      <c r="CE196" s="79"/>
      <c r="CF196" s="79"/>
      <c r="CG196" s="79"/>
      <c r="CH196" s="79"/>
      <c r="CI196" s="79"/>
      <c r="CJ196" s="79"/>
      <c r="CK196" s="79"/>
      <c r="CL196" s="79"/>
      <c r="CM196" s="79"/>
      <c r="CN196" s="79"/>
      <c r="CO196" s="79"/>
      <c r="CP196" s="79"/>
      <c r="CQ196" s="79"/>
      <c r="CR196" s="79"/>
      <c r="CS196" s="79"/>
      <c r="CT196" s="79"/>
      <c r="CU196" s="79"/>
      <c r="CV196" s="79"/>
      <c r="CW196" s="79"/>
      <c r="CX196" s="79"/>
      <c r="CY196" s="79"/>
      <c r="CZ196" s="79"/>
      <c r="DA196" s="79"/>
      <c r="DB196" s="79"/>
      <c r="DC196" s="79"/>
      <c r="DD196" s="79"/>
      <c r="DE196" s="79"/>
      <c r="DF196" s="79"/>
      <c r="DG196" s="79"/>
      <c r="DH196" s="79"/>
      <c r="DI196" s="79"/>
      <c r="DJ196" s="79"/>
      <c r="DK196" s="79"/>
      <c r="DL196" s="79"/>
      <c r="DM196" s="79"/>
      <c r="DN196" s="79"/>
      <c r="DO196" s="79"/>
      <c r="DP196" s="79"/>
      <c r="DQ196" s="79"/>
      <c r="DR196" s="79"/>
      <c r="DS196" s="79"/>
      <c r="DT196" s="79"/>
      <c r="DU196" s="79"/>
      <c r="DV196" s="79"/>
      <c r="DW196" s="79"/>
      <c r="DX196" s="79"/>
      <c r="DY196" s="79"/>
      <c r="DZ196" s="79"/>
      <c r="EA196" s="79"/>
      <c r="EB196" s="79"/>
      <c r="EC196" s="79"/>
      <c r="ED196" s="79"/>
      <c r="EE196" s="79"/>
      <c r="EF196" s="79"/>
      <c r="EG196" s="79"/>
      <c r="EH196" s="79"/>
      <c r="EI196" s="79"/>
      <c r="EJ196" s="79"/>
      <c r="EK196" s="79"/>
      <c r="EL196" s="79"/>
      <c r="EM196" s="79"/>
      <c r="EN196" s="79"/>
      <c r="EO196" s="79"/>
      <c r="EP196" s="79"/>
      <c r="EQ196" s="79"/>
      <c r="ER196" s="79"/>
      <c r="ES196" s="79"/>
      <c r="ET196" s="79"/>
      <c r="EU196" s="79"/>
      <c r="EV196" s="79"/>
      <c r="EW196" s="79"/>
      <c r="EX196" s="10"/>
      <c r="EY196" s="10"/>
      <c r="EZ196" s="10"/>
      <c r="FA196" s="10"/>
      <c r="FB196" s="10"/>
      <c r="FC196" s="10"/>
      <c r="FD196" s="10"/>
      <c r="FE196" s="10"/>
      <c r="FF196" s="10"/>
      <c r="FG196" s="10"/>
      <c r="FH196" s="10"/>
      <c r="FI196" s="10"/>
      <c r="FJ196" s="10"/>
      <c r="FK196" s="10"/>
      <c r="FL196" s="10"/>
      <c r="FM196" s="470"/>
      <c r="FN196" s="79"/>
      <c r="FO196" s="79"/>
      <c r="FP196" s="79"/>
      <c r="FQ196" s="47"/>
      <c r="FR196" s="47"/>
      <c r="FS196" s="47"/>
      <c r="FT196" s="47"/>
      <c r="FU196" s="47"/>
      <c r="FV196" s="48"/>
      <c r="FW196" s="48"/>
      <c r="FX196" s="48"/>
      <c r="FY196" s="48"/>
      <c r="FZ196" s="48"/>
      <c r="GA196" s="49"/>
      <c r="GB196" s="49">
        <f ca="1">IF(FN156=1,HH232,0)</f>
        <v>0</v>
      </c>
      <c r="GC196" s="49" t="str">
        <f t="shared" ref="GC196:GC206" ca="1" si="9">GC180</f>
        <v/>
      </c>
      <c r="GD196" s="49" t="str">
        <f ca="1">GC196</f>
        <v/>
      </c>
      <c r="GE196" s="49">
        <f ca="1">IF(FN156=0,0,IF(FO174=1,GE198-2*GC181,IF(FO174=2,GI206-2*GC181,0)))</f>
        <v>0</v>
      </c>
      <c r="GF196" s="49">
        <f ca="1">IF(FN156=1,GH177*GB197^2+GI177*GB197^1+GJ177+GG177/GB180,0)</f>
        <v>0</v>
      </c>
      <c r="GG196" s="49">
        <f ca="1">IF(FN156=1,GH177*GC180^2+GI177*GC180^1+GJ177,0)</f>
        <v>0</v>
      </c>
      <c r="GH196" s="49">
        <f ca="1">IF(FN156=1,3*GH177*GC180^2+2*GI177*GC180^1+GJ177,0)</f>
        <v>0</v>
      </c>
      <c r="GI196" s="49">
        <f ca="1">GI206</f>
        <v>0</v>
      </c>
      <c r="GJ196" s="49">
        <f ca="1">0*GJ206</f>
        <v>0</v>
      </c>
      <c r="GK196" s="49">
        <f ca="1">0*GK206</f>
        <v>0</v>
      </c>
      <c r="GL196" s="49">
        <f ca="1">GL206</f>
        <v>0</v>
      </c>
      <c r="GM196" s="49">
        <f ca="1">GM206</f>
        <v>0</v>
      </c>
      <c r="GN196" s="49">
        <f ca="1">IF(FN156=0,0,-GD177*GC180^2+GE177*GC180)</f>
        <v>0</v>
      </c>
      <c r="GO196" s="49">
        <f ca="1">IF(FN156=0,0,GH177*GD196^3+GI177*GD196^2+GJ177*GD196+GG177)</f>
        <v>0</v>
      </c>
      <c r="GP196" s="49">
        <f ca="1">IF(FN156=0,0,IF(FO174=2,GN185,IF(FO174=1,GI172*GE196+GL169,0)))</f>
        <v>0</v>
      </c>
      <c r="GQ196" s="49">
        <f ca="1">IF(FN156=0,0,IF(FO174=1,GI174*GE196+GL172,0))</f>
        <v>0</v>
      </c>
      <c r="GR196" s="49">
        <f ca="1">IF(FN156=0,0,IF(FO174=2,GC185,IF(FO174=1,GI169,0)))</f>
        <v>0</v>
      </c>
      <c r="GS196" s="49">
        <f ca="1">0*GS206</f>
        <v>0</v>
      </c>
      <c r="GT196" s="49">
        <f ca="1">IF(FN156=1,GH177*GC180^3+GI177*GC180^2+GJ177*GC180,0)</f>
        <v>0</v>
      </c>
      <c r="GU196" s="49">
        <f ca="1">GU206</f>
        <v>0</v>
      </c>
      <c r="GV196" s="49">
        <f ca="1">IF(FN156=0,0,IF(FO174=3,GV206,0))</f>
        <v>0</v>
      </c>
      <c r="GW196" s="49">
        <f ca="1">0*GW206</f>
        <v>0</v>
      </c>
      <c r="GX196" s="49">
        <f ca="1">0*GX206</f>
        <v>0</v>
      </c>
      <c r="GY196" s="49"/>
      <c r="GZ196" s="49"/>
      <c r="HA196" s="49">
        <v>15</v>
      </c>
      <c r="HB196" s="49" t="e">
        <f ca="1">HB180+HA196*(HB232-HB180)/HA231</f>
        <v>#VALUE!</v>
      </c>
      <c r="HC196" s="49" t="e">
        <f ca="1">HC180+HA196*(HC232-HC180)/HA231</f>
        <v>#VALUE!</v>
      </c>
      <c r="HD196" s="49" t="e">
        <f ca="1">GH177*HC196^3+GI177*HC196^2+GJ177*HC196+GG177+GD207</f>
        <v>#VALUE!</v>
      </c>
      <c r="HE196" s="49" t="e">
        <f ca="1">IF(AND(HD196&gt;=0,HD194&lt;0),HC194-HD194/(HD196-HD194)*(HC196-HC194),0)</f>
        <v>#VALUE!</v>
      </c>
      <c r="HF196" s="49" t="e">
        <f t="shared" ca="1" si="4"/>
        <v>#VALUE!</v>
      </c>
      <c r="HG196" s="49" t="e">
        <f t="shared" ca="1" si="6"/>
        <v>#VALUE!</v>
      </c>
      <c r="HH196" s="49" t="e">
        <f ca="1">IF(AND(HG196&lt;0,HG194&gt;=0),HF194-HG194/(HG196-HG194)*(HF196-HF194),0)</f>
        <v>#VALUE!</v>
      </c>
      <c r="HI196" s="49"/>
      <c r="HJ196" s="49"/>
      <c r="HK196" s="49"/>
      <c r="HL196" s="49"/>
      <c r="HM196" s="49"/>
    </row>
    <row r="197" spans="1:221" ht="3.75" customHeight="1">
      <c r="A197" s="1"/>
      <c r="B197" s="3"/>
      <c r="C197" s="3"/>
      <c r="D197" s="38"/>
      <c r="E197" s="197"/>
      <c r="F197" s="39"/>
      <c r="G197" s="39"/>
      <c r="H197" s="39"/>
      <c r="I197" s="39"/>
      <c r="J197" s="39"/>
      <c r="K197" s="39"/>
      <c r="L197" s="39"/>
      <c r="M197" s="39"/>
      <c r="N197" s="39"/>
      <c r="O197" s="39"/>
      <c r="P197" s="39"/>
      <c r="Q197" s="39"/>
      <c r="R197" s="39"/>
      <c r="S197" s="39"/>
      <c r="T197" s="39"/>
      <c r="U197" s="39"/>
      <c r="V197" s="39"/>
      <c r="W197" s="39"/>
      <c r="X197" s="39"/>
      <c r="Y197" s="38"/>
      <c r="Z197" s="38"/>
      <c r="AA197" s="38"/>
      <c r="AB197" s="197"/>
      <c r="AC197" s="197"/>
      <c r="AD197" s="197"/>
      <c r="AE197" s="197"/>
      <c r="AF197" s="197"/>
      <c r="AG197" s="197"/>
      <c r="AH197" s="197"/>
      <c r="AI197" s="197"/>
      <c r="AJ197" s="197"/>
      <c r="AK197" s="197"/>
      <c r="AL197" s="197"/>
      <c r="AM197" s="43"/>
      <c r="AN197" s="43"/>
      <c r="AO197" s="43"/>
      <c r="AP197" s="43"/>
      <c r="AQ197" s="43"/>
      <c r="AR197" s="43"/>
      <c r="AS197" s="43"/>
      <c r="AT197" s="43"/>
      <c r="AU197" s="126"/>
      <c r="AV197" s="126"/>
      <c r="AW197" s="126"/>
      <c r="AX197" s="126"/>
      <c r="AY197" s="126"/>
      <c r="AZ197" s="126"/>
      <c r="BA197" s="126"/>
      <c r="BB197" s="545" t="str">
        <f ca="1">IF(FN237=0,"","`")</f>
        <v/>
      </c>
      <c r="BC197" s="645"/>
      <c r="BD197" s="645"/>
      <c r="BE197" s="645"/>
      <c r="BF197" s="645"/>
      <c r="BG197" s="645"/>
      <c r="BH197" s="645"/>
      <c r="BI197" s="197"/>
      <c r="BJ197" s="197"/>
      <c r="BK197" s="197"/>
      <c r="BL197" s="197"/>
      <c r="BM197" s="197"/>
      <c r="BN197" s="197"/>
      <c r="BO197" s="197"/>
      <c r="BP197" s="197"/>
      <c r="BQ197" s="197"/>
      <c r="BR197" s="197"/>
      <c r="BS197" s="197"/>
      <c r="BT197" s="126"/>
      <c r="BU197" s="79"/>
      <c r="BV197" s="79"/>
      <c r="BW197" s="79"/>
      <c r="BX197" s="79"/>
      <c r="BY197" s="79"/>
      <c r="BZ197" s="79"/>
      <c r="CA197" s="79"/>
      <c r="CB197" s="79"/>
      <c r="CC197" s="79"/>
      <c r="CD197" s="79"/>
      <c r="CE197" s="79"/>
      <c r="CF197" s="79"/>
      <c r="CG197" s="79"/>
      <c r="CH197" s="79"/>
      <c r="CI197" s="79"/>
      <c r="CJ197" s="79"/>
      <c r="CK197" s="79"/>
      <c r="CL197" s="79"/>
      <c r="CM197" s="79"/>
      <c r="CN197" s="79"/>
      <c r="CO197" s="79"/>
      <c r="CP197" s="79"/>
      <c r="CQ197" s="79"/>
      <c r="CR197" s="79"/>
      <c r="CS197" s="79"/>
      <c r="CT197" s="79"/>
      <c r="CU197" s="79"/>
      <c r="CV197" s="79"/>
      <c r="CW197" s="79"/>
      <c r="CX197" s="79"/>
      <c r="CY197" s="79"/>
      <c r="CZ197" s="79"/>
      <c r="DA197" s="79"/>
      <c r="DB197" s="79"/>
      <c r="DC197" s="79"/>
      <c r="DD197" s="79"/>
      <c r="DE197" s="79"/>
      <c r="DF197" s="79"/>
      <c r="DG197" s="79"/>
      <c r="DH197" s="79"/>
      <c r="DI197" s="79"/>
      <c r="DJ197" s="79"/>
      <c r="DK197" s="79"/>
      <c r="DL197" s="79"/>
      <c r="DM197" s="79"/>
      <c r="DN197" s="79"/>
      <c r="DO197" s="79"/>
      <c r="DP197" s="79"/>
      <c r="DQ197" s="79"/>
      <c r="DR197" s="79"/>
      <c r="DS197" s="79"/>
      <c r="DT197" s="79"/>
      <c r="DU197" s="79"/>
      <c r="DV197" s="79"/>
      <c r="DW197" s="79"/>
      <c r="DX197" s="79"/>
      <c r="DY197" s="79"/>
      <c r="DZ197" s="79"/>
      <c r="EA197" s="79"/>
      <c r="EB197" s="79"/>
      <c r="EC197" s="79"/>
      <c r="ED197" s="79"/>
      <c r="EE197" s="79"/>
      <c r="EF197" s="79"/>
      <c r="EG197" s="79"/>
      <c r="EH197" s="79"/>
      <c r="EI197" s="79"/>
      <c r="EJ197" s="79"/>
      <c r="EK197" s="79"/>
      <c r="EL197" s="79"/>
      <c r="EM197" s="79"/>
      <c r="EN197" s="79"/>
      <c r="EO197" s="79"/>
      <c r="EP197" s="79"/>
      <c r="EQ197" s="79"/>
      <c r="ER197" s="79"/>
      <c r="ES197" s="79"/>
      <c r="ET197" s="79"/>
      <c r="EU197" s="79"/>
      <c r="EV197" s="79"/>
      <c r="EW197" s="79"/>
      <c r="EX197" s="10"/>
      <c r="EY197" s="10"/>
      <c r="EZ197" s="10"/>
      <c r="FA197" s="10"/>
      <c r="FB197" s="10"/>
      <c r="FC197" s="10"/>
      <c r="FD197" s="10"/>
      <c r="FE197" s="10"/>
      <c r="FF197" s="10"/>
      <c r="FG197" s="10"/>
      <c r="FH197" s="10"/>
      <c r="FI197" s="10"/>
      <c r="FJ197" s="10"/>
      <c r="FK197" s="10"/>
      <c r="FL197" s="10"/>
      <c r="FM197" s="47"/>
      <c r="FN197" s="47"/>
      <c r="FO197" s="47"/>
      <c r="FP197" s="47"/>
      <c r="FQ197" s="47"/>
      <c r="FR197" s="47"/>
      <c r="FS197" s="47"/>
      <c r="FT197" s="47"/>
      <c r="FU197" s="47"/>
      <c r="FV197" s="48"/>
      <c r="FW197" s="48"/>
      <c r="FX197" s="48"/>
      <c r="FY197" s="48"/>
      <c r="FZ197" s="48"/>
      <c r="GA197" s="49"/>
      <c r="GB197" s="49">
        <f ca="1">IF(FN156=1,(GB196+GB198)/2,0)</f>
        <v>0</v>
      </c>
      <c r="GC197" s="49" t="str">
        <f t="shared" ca="1" si="9"/>
        <v/>
      </c>
      <c r="GD197" s="49" t="e">
        <f ca="1">0.1*GD206</f>
        <v>#VALUE!</v>
      </c>
      <c r="GE197" s="49">
        <f ca="1">IF(FN156=0,0,IF(FO174=1,GE198-1*GC181,IF(FO174=2,GI206-1*GC181,0)))</f>
        <v>0</v>
      </c>
      <c r="GF197" s="49">
        <f ca="1">IF(FN156=1,GH177*GC181^2+GI177*GC181^1+GJ177+GG177/GB181,0)</f>
        <v>0</v>
      </c>
      <c r="GG197" s="49">
        <f ca="1">IF(FN156=1,GH177*GC181^2+GI177*GC181^1+GJ177,0)</f>
        <v>0</v>
      </c>
      <c r="GH197" s="49">
        <f ca="1">IF(FN156=1,3*GH177*GC181^2+2*GI177*GC181^1+GJ177,0)</f>
        <v>0</v>
      </c>
      <c r="GI197" s="49">
        <f ca="1">GI206</f>
        <v>0</v>
      </c>
      <c r="GJ197" s="49">
        <f ca="1">0.1*GJ206</f>
        <v>0</v>
      </c>
      <c r="GK197" s="49">
        <f ca="1">0.1*GK206</f>
        <v>0</v>
      </c>
      <c r="GL197" s="49">
        <f ca="1">GL206</f>
        <v>0</v>
      </c>
      <c r="GM197" s="49">
        <f ca="1">GM206</f>
        <v>0</v>
      </c>
      <c r="GN197" s="49">
        <f ca="1">IF(FN156=0,0,-GD177*GC181^2+GE177*GC181)</f>
        <v>0</v>
      </c>
      <c r="GO197" s="49">
        <f ca="1">IF(FN156=0,0,GH177*GD197^3+GI177*GD197^2+GJ177*GD197+GG177)</f>
        <v>0</v>
      </c>
      <c r="GP197" s="49">
        <f ca="1">IF(FN156=0,0,IF(FO174=2,GN185,IF(FO174=1,GI172*GE197+GL169,0)))</f>
        <v>0</v>
      </c>
      <c r="GQ197" s="49">
        <f ca="1">IF(FN156=0,0,IF(FO174=1,GI174*GE197+GL172,0))</f>
        <v>0</v>
      </c>
      <c r="GR197" s="49">
        <f ca="1">IF(FN156=0,0,IF(FO174=2,GC185,IF(FO174=1,GI169,0)))</f>
        <v>0</v>
      </c>
      <c r="GS197" s="49">
        <f ca="1">0.1*GS206</f>
        <v>0</v>
      </c>
      <c r="GT197" s="49">
        <f ca="1">IF(FN156=1,GH177*GC181^3+GI177*GC181^2+GJ177*GC181,0)</f>
        <v>0</v>
      </c>
      <c r="GU197" s="49">
        <f ca="1">GU206</f>
        <v>0</v>
      </c>
      <c r="GV197" s="49">
        <f ca="1">IF(FN156=0,0,IF(FO174=3,GV206,0))</f>
        <v>0</v>
      </c>
      <c r="GW197" s="49">
        <f ca="1">0.1*GW206</f>
        <v>0</v>
      </c>
      <c r="GX197" s="49">
        <f ca="1">IF(FN156=1,0.1*GX206,0)</f>
        <v>0</v>
      </c>
      <c r="GY197" s="49"/>
      <c r="GZ197" s="49"/>
      <c r="HA197" s="49">
        <v>16</v>
      </c>
      <c r="HB197" s="49" t="e">
        <f ca="1">HB180+HA197*(HB232-HB180)/HA231</f>
        <v>#VALUE!</v>
      </c>
      <c r="HC197" s="49" t="e">
        <f ca="1">HC180+HA197*(HC232-HC180)/HA231</f>
        <v>#VALUE!</v>
      </c>
      <c r="HD197" s="49" t="e">
        <f ca="1">GH177*HC197^3+GI177*HC197^2+GJ177*HC197+GG177+GD207</f>
        <v>#VALUE!</v>
      </c>
      <c r="HE197" s="49" t="e">
        <f t="shared" ca="1" si="5"/>
        <v>#VALUE!</v>
      </c>
      <c r="HF197" s="49" t="e">
        <f t="shared" ca="1" si="4"/>
        <v>#VALUE!</v>
      </c>
      <c r="HG197" s="49" t="e">
        <f t="shared" ca="1" si="6"/>
        <v>#VALUE!</v>
      </c>
      <c r="HH197" s="49" t="e">
        <f t="shared" ca="1" si="7"/>
        <v>#VALUE!</v>
      </c>
      <c r="HI197" s="49"/>
      <c r="HJ197" s="49"/>
      <c r="HK197" s="49"/>
      <c r="HL197" s="49"/>
      <c r="HM197" s="49"/>
    </row>
    <row r="198" spans="1:221" ht="16.5" customHeight="1">
      <c r="A198" s="1"/>
      <c r="B198" s="3"/>
      <c r="C198" s="3"/>
      <c r="D198" s="38"/>
      <c r="E198" s="197"/>
      <c r="F198" s="39"/>
      <c r="G198" s="39"/>
      <c r="H198" s="39"/>
      <c r="I198" s="39"/>
      <c r="J198" s="39"/>
      <c r="K198" s="39"/>
      <c r="L198" s="39"/>
      <c r="M198" s="39"/>
      <c r="N198" s="39"/>
      <c r="O198" s="39"/>
      <c r="P198" s="197"/>
      <c r="Q198" s="197"/>
      <c r="R198" s="197"/>
      <c r="S198" s="197"/>
      <c r="T198" s="197"/>
      <c r="U198" s="197"/>
      <c r="V198" s="197"/>
      <c r="W198" s="197"/>
      <c r="X198" s="197"/>
      <c r="Y198" s="38"/>
      <c r="Z198" s="38"/>
      <c r="AA198" s="38"/>
      <c r="AB198" s="197"/>
      <c r="AC198" s="197"/>
      <c r="AD198" s="197"/>
      <c r="AE198" s="197"/>
      <c r="AF198" s="197"/>
      <c r="AG198" s="197"/>
      <c r="AH198" s="197"/>
      <c r="AI198" s="197"/>
      <c r="AJ198" s="197"/>
      <c r="AK198" s="197"/>
      <c r="AL198" s="197"/>
      <c r="AM198" s="43"/>
      <c r="AN198" s="43"/>
      <c r="AO198" s="43"/>
      <c r="AP198" s="43"/>
      <c r="AQ198" s="79"/>
      <c r="AR198" s="43"/>
      <c r="AS198" s="43"/>
      <c r="AT198" s="43"/>
      <c r="AU198" s="126"/>
      <c r="AV198" s="126"/>
      <c r="AW198" s="126"/>
      <c r="AX198" s="126"/>
      <c r="AY198" s="126"/>
      <c r="AZ198" s="201" t="str">
        <f>IF(FU244=0,"","q =")</f>
        <v/>
      </c>
      <c r="BA198" s="126"/>
      <c r="BB198" s="43" t="str">
        <f ca="1">IF(FN237=0,"","`")</f>
        <v/>
      </c>
      <c r="BC198" s="675"/>
      <c r="BD198" s="675"/>
      <c r="BE198" s="675"/>
      <c r="BF198" s="675"/>
      <c r="BG198" s="675"/>
      <c r="BH198" s="228" t="str">
        <f ca="1">IF(FN237=0,"","`")</f>
        <v/>
      </c>
      <c r="BI198" s="205"/>
      <c r="BJ198" s="205"/>
      <c r="BK198" s="205"/>
      <c r="BL198" s="205"/>
      <c r="BM198" s="205"/>
      <c r="BN198" s="205"/>
      <c r="BO198" s="43" t="str">
        <f>IF(FU244=1,".","")</f>
        <v/>
      </c>
      <c r="BP198" s="106"/>
      <c r="BQ198" s="106"/>
      <c r="BR198" s="43"/>
      <c r="BS198" s="43"/>
      <c r="BT198" s="126"/>
      <c r="BU198" s="79"/>
      <c r="BV198" s="79"/>
      <c r="BW198" s="79"/>
      <c r="BX198" s="79"/>
      <c r="BY198" s="79"/>
      <c r="BZ198" s="79"/>
      <c r="CA198" s="79"/>
      <c r="CB198" s="79"/>
      <c r="CC198" s="79"/>
      <c r="CD198" s="79"/>
      <c r="CE198" s="79"/>
      <c r="CF198" s="79"/>
      <c r="CG198" s="79"/>
      <c r="CH198" s="79"/>
      <c r="CI198" s="79"/>
      <c r="CJ198" s="79"/>
      <c r="CK198" s="79"/>
      <c r="CL198" s="79"/>
      <c r="CM198" s="79"/>
      <c r="CN198" s="79"/>
      <c r="CO198" s="79"/>
      <c r="CP198" s="79"/>
      <c r="CQ198" s="79"/>
      <c r="CR198" s="79"/>
      <c r="CS198" s="79"/>
      <c r="CT198" s="79"/>
      <c r="CU198" s="79"/>
      <c r="CV198" s="79"/>
      <c r="CW198" s="79"/>
      <c r="CX198" s="79"/>
      <c r="CY198" s="79"/>
      <c r="CZ198" s="79"/>
      <c r="DA198" s="79"/>
      <c r="DB198" s="79"/>
      <c r="DC198" s="79"/>
      <c r="DD198" s="79"/>
      <c r="DE198" s="79"/>
      <c r="DF198" s="79"/>
      <c r="DG198" s="79"/>
      <c r="DH198" s="79"/>
      <c r="DI198" s="79"/>
      <c r="DJ198" s="79"/>
      <c r="DK198" s="79"/>
      <c r="DL198" s="79"/>
      <c r="DM198" s="79"/>
      <c r="DN198" s="79"/>
      <c r="DO198" s="79"/>
      <c r="DP198" s="79"/>
      <c r="DQ198" s="79"/>
      <c r="DR198" s="79"/>
      <c r="DS198" s="79"/>
      <c r="DT198" s="79"/>
      <c r="DU198" s="79"/>
      <c r="DV198" s="79"/>
      <c r="DW198" s="79"/>
      <c r="DX198" s="79"/>
      <c r="DY198" s="79"/>
      <c r="DZ198" s="79"/>
      <c r="EA198" s="79"/>
      <c r="EB198" s="79"/>
      <c r="EC198" s="79"/>
      <c r="ED198" s="79"/>
      <c r="EE198" s="79"/>
      <c r="EF198" s="79"/>
      <c r="EG198" s="79"/>
      <c r="EH198" s="79"/>
      <c r="EI198" s="79"/>
      <c r="EJ198" s="79"/>
      <c r="EK198" s="79"/>
      <c r="EL198" s="79"/>
      <c r="EM198" s="79"/>
      <c r="EN198" s="79"/>
      <c r="EO198" s="79"/>
      <c r="EP198" s="79"/>
      <c r="EQ198" s="79"/>
      <c r="ER198" s="79"/>
      <c r="ES198" s="79"/>
      <c r="ET198" s="79"/>
      <c r="EU198" s="79"/>
      <c r="EV198" s="79"/>
      <c r="EW198" s="79"/>
      <c r="EX198" s="79"/>
      <c r="EY198" s="79"/>
      <c r="EZ198" s="79"/>
      <c r="FA198" s="79"/>
      <c r="FB198" s="79"/>
      <c r="FC198" s="79"/>
      <c r="FD198" s="79"/>
      <c r="FE198" s="79"/>
      <c r="FF198" s="79"/>
      <c r="FG198" s="79"/>
      <c r="FH198" s="79"/>
      <c r="FI198" s="79"/>
      <c r="FJ198" s="79"/>
      <c r="FK198" s="79"/>
      <c r="FL198" s="79"/>
      <c r="FM198" s="47"/>
      <c r="FN198" s="47"/>
      <c r="FO198" s="47"/>
      <c r="FP198" s="47"/>
      <c r="FQ198" s="47"/>
      <c r="FR198" s="47"/>
      <c r="FS198" s="47"/>
      <c r="FT198" s="47"/>
      <c r="FU198" s="47"/>
      <c r="FV198" s="48"/>
      <c r="FW198" s="48"/>
      <c r="FX198" s="48"/>
      <c r="FY198" s="48"/>
      <c r="FZ198" s="48"/>
      <c r="GA198" s="49"/>
      <c r="GB198" s="49" t="str">
        <f t="shared" ref="GB198:GB205" ca="1" si="10">GC198</f>
        <v/>
      </c>
      <c r="GC198" s="49" t="str">
        <f t="shared" ca="1" si="9"/>
        <v/>
      </c>
      <c r="GD198" s="49" t="e">
        <f ca="1">0.2*GD206</f>
        <v>#VALUE!</v>
      </c>
      <c r="GE198" s="49">
        <f ca="1">IF(FN156=0,0,IF(FO174=1,GI206,IF(FO174=2,GI206,0)))</f>
        <v>0</v>
      </c>
      <c r="GF198" s="49">
        <f ca="1">IF(FN156=1,GH177*GC182^2+GI177*GC182^1+GJ177+GG177/GB182,0)</f>
        <v>0</v>
      </c>
      <c r="GG198" s="49">
        <f ca="1">IF(FN156=1,GH177*GC182^2+GI177*GC182^1+GJ177,0)</f>
        <v>0</v>
      </c>
      <c r="GH198" s="49">
        <f ca="1">IF(FN156=1,3*GH177*GC182^2+2*GI177*GC182^1+GJ177,0)</f>
        <v>0</v>
      </c>
      <c r="GI198" s="49">
        <f ca="1">GI206</f>
        <v>0</v>
      </c>
      <c r="GJ198" s="49">
        <f ca="1">0.2*GJ206</f>
        <v>0</v>
      </c>
      <c r="GK198" s="49">
        <f ca="1">0.2*GK206</f>
        <v>0</v>
      </c>
      <c r="GL198" s="49">
        <f ca="1">GL206</f>
        <v>0</v>
      </c>
      <c r="GM198" s="49">
        <f ca="1">GM206</f>
        <v>0</v>
      </c>
      <c r="GN198" s="49">
        <f ca="1">IF(FN156=0,0,-GD177*GC182^2+GE177*GC182)</f>
        <v>0</v>
      </c>
      <c r="GO198" s="49">
        <f ca="1">IF(FN156=0,0,GH177*GD198^3+GI177*GD198^2+GJ177*GD198+GG177)</f>
        <v>0</v>
      </c>
      <c r="GP198" s="49">
        <f ca="1">IF(FN156=0,0,IF(FO174=2,GN185,IF(FO174=1,GI172*GE198+GL169,0)))</f>
        <v>0</v>
      </c>
      <c r="GQ198" s="49">
        <f ca="1">IF(FN156=0,0,IF(FO174=1,GI174*GE198+GL172,0))</f>
        <v>0</v>
      </c>
      <c r="GR198" s="49">
        <f ca="1">IF(FN156=0,0,IF(FO174=2,GC185,IF(FO174=1,GI169,0)))</f>
        <v>0</v>
      </c>
      <c r="GS198" s="49">
        <f ca="1">0.2*GS206</f>
        <v>0</v>
      </c>
      <c r="GT198" s="49">
        <f ca="1">IF(FN156=1,GH177*GC182^3+GI177*GC182^2+GJ177*GC182,0)</f>
        <v>0</v>
      </c>
      <c r="GU198" s="49">
        <f ca="1">GU206</f>
        <v>0</v>
      </c>
      <c r="GV198" s="49">
        <f ca="1">IF(FN156=0,0,IF(FO174=3,GV206,0))</f>
        <v>0</v>
      </c>
      <c r="GW198" s="49">
        <f ca="1">0.2*GW206</f>
        <v>0</v>
      </c>
      <c r="GX198" s="49">
        <f ca="1">IF(FN156=1,0.2*GX206,0)</f>
        <v>0</v>
      </c>
      <c r="GY198" s="49"/>
      <c r="GZ198" s="49"/>
      <c r="HA198" s="49">
        <v>17</v>
      </c>
      <c r="HB198" s="49" t="e">
        <f ca="1">HB180+HA198*(HB232-HB180)/HA231</f>
        <v>#VALUE!</v>
      </c>
      <c r="HC198" s="49" t="e">
        <f ca="1">HC180+HA198*(HC232-HC180)/HA231</f>
        <v>#VALUE!</v>
      </c>
      <c r="HD198" s="49" t="e">
        <f ca="1">GH177*HC198^3+GI177*HC198^2+GJ177*HC198+GG177+GD207</f>
        <v>#VALUE!</v>
      </c>
      <c r="HE198" s="49" t="e">
        <f t="shared" ca="1" si="5"/>
        <v>#VALUE!</v>
      </c>
      <c r="HF198" s="49" t="e">
        <f t="shared" ca="1" si="4"/>
        <v>#VALUE!</v>
      </c>
      <c r="HG198" s="49" t="e">
        <f t="shared" ca="1" si="6"/>
        <v>#VALUE!</v>
      </c>
      <c r="HH198" s="49" t="e">
        <f t="shared" ca="1" si="7"/>
        <v>#VALUE!</v>
      </c>
      <c r="HI198" s="49"/>
      <c r="HJ198" s="49"/>
      <c r="HK198" s="49"/>
      <c r="HL198" s="49"/>
      <c r="HM198" s="49"/>
    </row>
    <row r="199" spans="1:221" ht="3.75" customHeight="1">
      <c r="A199" s="1"/>
      <c r="B199" s="3"/>
      <c r="C199" s="3"/>
      <c r="D199" s="38"/>
      <c r="E199" s="197"/>
      <c r="F199" s="39"/>
      <c r="G199" s="39"/>
      <c r="H199" s="39"/>
      <c r="I199" s="39"/>
      <c r="J199" s="39"/>
      <c r="K199" s="197"/>
      <c r="L199" s="197"/>
      <c r="M199" s="197"/>
      <c r="N199" s="197"/>
      <c r="O199" s="197"/>
      <c r="P199" s="39"/>
      <c r="Q199" s="39"/>
      <c r="R199" s="39"/>
      <c r="S199" s="39"/>
      <c r="T199" s="197"/>
      <c r="U199" s="197"/>
      <c r="V199" s="197"/>
      <c r="W199" s="197"/>
      <c r="X199" s="197"/>
      <c r="Y199" s="38"/>
      <c r="Z199" s="38"/>
      <c r="AA199" s="38"/>
      <c r="AB199" s="39"/>
      <c r="AC199" s="39"/>
      <c r="AD199" s="39"/>
      <c r="AE199" s="39"/>
      <c r="AF199" s="146"/>
      <c r="AG199" s="146"/>
      <c r="AH199" s="652" t="str">
        <f ca="1">IF($FN$237=0,""," €")</f>
        <v/>
      </c>
      <c r="AI199" s="652"/>
      <c r="AJ199" s="652"/>
      <c r="AK199" s="652"/>
      <c r="AL199" s="197"/>
      <c r="AM199" s="43"/>
      <c r="AN199" s="43" t="str">
        <f t="shared" ref="AN199:AN230" ca="1" si="11">IF($FN$237=0,"","`")</f>
        <v/>
      </c>
      <c r="AO199" s="43"/>
      <c r="AP199" s="43"/>
      <c r="AQ199" s="43"/>
      <c r="AR199" s="43"/>
      <c r="AS199" s="43"/>
      <c r="AT199" s="197" t="str">
        <f ca="1">IF($FN$237=0,"",";")</f>
        <v/>
      </c>
      <c r="AU199" s="126"/>
      <c r="AV199" s="126"/>
      <c r="AW199" s="126"/>
      <c r="AX199" s="126"/>
      <c r="AY199" s="126"/>
      <c r="AZ199" s="126"/>
      <c r="BA199" s="126"/>
      <c r="BB199" s="545" t="str">
        <f ca="1">IF(FN237=0,"","`")</f>
        <v/>
      </c>
      <c r="BC199" s="545"/>
      <c r="BD199" s="545"/>
      <c r="BE199" s="545"/>
      <c r="BF199" s="545"/>
      <c r="BG199" s="545"/>
      <c r="BH199" s="545"/>
      <c r="BI199" s="197"/>
      <c r="BJ199" s="197"/>
      <c r="BK199" s="197"/>
      <c r="BL199" s="197"/>
      <c r="BM199" s="197"/>
      <c r="BN199" s="197"/>
      <c r="BO199" s="197"/>
      <c r="BP199" s="197"/>
      <c r="BQ199" s="197"/>
      <c r="BR199" s="197"/>
      <c r="BS199" s="197"/>
      <c r="BT199" s="126"/>
      <c r="BU199" s="43"/>
      <c r="BV199" s="43"/>
      <c r="BW199" s="43"/>
      <c r="BX199" s="43"/>
      <c r="BY199" s="126"/>
      <c r="BZ199" s="126"/>
      <c r="CA199" s="126"/>
      <c r="CB199" s="126"/>
      <c r="CC199" s="126"/>
      <c r="CD199" s="126"/>
      <c r="CE199" s="126"/>
      <c r="CF199" s="545"/>
      <c r="CG199" s="545"/>
      <c r="CH199" s="545"/>
      <c r="CI199" s="545"/>
      <c r="CJ199" s="545"/>
      <c r="CK199" s="545"/>
      <c r="CL199" s="545"/>
      <c r="CM199" s="545"/>
      <c r="CN199" s="545"/>
      <c r="CO199" s="545"/>
      <c r="CP199" s="545"/>
      <c r="CQ199" s="545"/>
      <c r="CR199" s="545"/>
      <c r="CS199" s="545"/>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79"/>
      <c r="EL199" s="79"/>
      <c r="EM199" s="79"/>
      <c r="EN199" s="79"/>
      <c r="EO199" s="79"/>
      <c r="EP199" s="79"/>
      <c r="EQ199" s="79"/>
      <c r="ER199" s="79"/>
      <c r="ES199" s="79"/>
      <c r="ET199" s="79"/>
      <c r="EU199" s="79"/>
      <c r="EV199" s="79"/>
      <c r="EW199" s="79"/>
      <c r="EX199" s="79"/>
      <c r="EY199" s="79"/>
      <c r="EZ199" s="79"/>
      <c r="FA199" s="79"/>
      <c r="FB199" s="79"/>
      <c r="FC199" s="79"/>
      <c r="FD199" s="79"/>
      <c r="FE199" s="79"/>
      <c r="FF199" s="79"/>
      <c r="FG199" s="79"/>
      <c r="FH199" s="79"/>
      <c r="FI199" s="79"/>
      <c r="FJ199" s="79"/>
      <c r="FK199" s="79"/>
      <c r="FL199" s="79"/>
      <c r="FM199" s="47"/>
      <c r="FN199" s="47"/>
      <c r="FO199" s="47"/>
      <c r="FP199" s="47"/>
      <c r="FQ199" s="47"/>
      <c r="FR199" s="47"/>
      <c r="FS199" s="47"/>
      <c r="FT199" s="47"/>
      <c r="FU199" s="47"/>
      <c r="FV199" s="48"/>
      <c r="FW199" s="48"/>
      <c r="FX199" s="48"/>
      <c r="FY199" s="48"/>
      <c r="FZ199" s="48"/>
      <c r="GA199" s="49"/>
      <c r="GB199" s="49" t="str">
        <f t="shared" ca="1" si="10"/>
        <v/>
      </c>
      <c r="GC199" s="49" t="str">
        <f t="shared" ca="1" si="9"/>
        <v/>
      </c>
      <c r="GD199" s="49" t="e">
        <f ca="1">0.3*GD206</f>
        <v>#VALUE!</v>
      </c>
      <c r="GE199" s="49">
        <f ca="1">IF(FN156=0,0,IF(FO174=1,GE198+1*GC181,IF(FO174=2,GI206+1*GC181,0)))</f>
        <v>0</v>
      </c>
      <c r="GF199" s="49">
        <f ca="1">IF(FN156=1,GH177*GC183^2+GI177*GC183^1+GJ177+GG177/GB183,0)</f>
        <v>0</v>
      </c>
      <c r="GG199" s="49">
        <f ca="1">IF(FN156=1,GH177*GC183^2+GI177*GC183^1+GJ177,0)</f>
        <v>0</v>
      </c>
      <c r="GH199" s="49">
        <f ca="1">IF(FN156=1,3*GH177*GC183^2+2*GI177*GC183^1+GJ177,0)</f>
        <v>0</v>
      </c>
      <c r="GI199" s="49">
        <f ca="1">GI206</f>
        <v>0</v>
      </c>
      <c r="GJ199" s="49">
        <f ca="1">0.3*GJ206</f>
        <v>0</v>
      </c>
      <c r="GK199" s="49">
        <f ca="1">0.3*GK206</f>
        <v>0</v>
      </c>
      <c r="GL199" s="49">
        <f ca="1">GL206</f>
        <v>0</v>
      </c>
      <c r="GM199" s="49">
        <f ca="1">GM206</f>
        <v>0</v>
      </c>
      <c r="GN199" s="49">
        <f ca="1">IF(FN156=0,0,-GD177*GC183^2+GE177*GC183)</f>
        <v>0</v>
      </c>
      <c r="GO199" s="49">
        <f ca="1">IF(FN156=0,0,GH177*GD199^3+GI177*GD199^2+GJ177*GD199+GG177)</f>
        <v>0</v>
      </c>
      <c r="GP199" s="49">
        <f ca="1">IF(FN156=0,0,IF(FO174=2,GN185,IF(FO174=1,GI172*GE199+GL169,0)))</f>
        <v>0</v>
      </c>
      <c r="GQ199" s="49">
        <f ca="1">IF(FN156=0,0,IF(FO174=1,GI174*GE199+GL172,0))</f>
        <v>0</v>
      </c>
      <c r="GR199" s="49">
        <f ca="1">IF(FN156=0,0,IF(FO174=2,GC185,IF(FO174=1,GI169,0)))</f>
        <v>0</v>
      </c>
      <c r="GS199" s="49">
        <f ca="1">0.3*GS206</f>
        <v>0</v>
      </c>
      <c r="GT199" s="49">
        <f ca="1">IF(FN156=1,GH177*GC183^3+GI177*GC183^2+GJ177*GC183,0)</f>
        <v>0</v>
      </c>
      <c r="GU199" s="49">
        <f ca="1">GU206</f>
        <v>0</v>
      </c>
      <c r="GV199" s="49">
        <f ca="1">IF(FN156=0,0,IF(FO174=3,GV206,0))</f>
        <v>0</v>
      </c>
      <c r="GW199" s="49">
        <f ca="1">0.3*GW206</f>
        <v>0</v>
      </c>
      <c r="GX199" s="49">
        <f ca="1">IF(FN156=1,0.3*GX206,0)</f>
        <v>0</v>
      </c>
      <c r="GY199" s="49"/>
      <c r="GZ199" s="49"/>
      <c r="HA199" s="49">
        <v>18</v>
      </c>
      <c r="HB199" s="49" t="e">
        <f ca="1">HB180+HA199*(HB232-HB180)/HA231</f>
        <v>#VALUE!</v>
      </c>
      <c r="HC199" s="49" t="e">
        <f ca="1">HC180+HA199*(HC232-HC180)/HA231</f>
        <v>#VALUE!</v>
      </c>
      <c r="HD199" s="49" t="e">
        <f ca="1">GH177*HC199^3+GI177*HC199^2+GJ177*HC199+GG177+GD207</f>
        <v>#VALUE!</v>
      </c>
      <c r="HE199" s="49" t="e">
        <f t="shared" ca="1" si="5"/>
        <v>#VALUE!</v>
      </c>
      <c r="HF199" s="49" t="e">
        <f t="shared" ca="1" si="4"/>
        <v>#VALUE!</v>
      </c>
      <c r="HG199" s="49" t="e">
        <f t="shared" ca="1" si="6"/>
        <v>#VALUE!</v>
      </c>
      <c r="HH199" s="49" t="e">
        <f t="shared" ca="1" si="7"/>
        <v>#VALUE!</v>
      </c>
      <c r="HI199" s="49"/>
      <c r="HJ199" s="49"/>
      <c r="HK199" s="49"/>
      <c r="HL199" s="49"/>
      <c r="HM199" s="49"/>
    </row>
    <row r="200" spans="1:221" ht="3.75" customHeight="1">
      <c r="A200" s="1"/>
      <c r="B200" s="3"/>
      <c r="C200" s="3"/>
      <c r="D200" s="12"/>
      <c r="E200" s="39"/>
      <c r="F200" s="39"/>
      <c r="G200" s="39"/>
      <c r="H200" s="39"/>
      <c r="I200" s="39"/>
      <c r="J200" s="39"/>
      <c r="K200" s="197"/>
      <c r="L200" s="197"/>
      <c r="M200" s="197"/>
      <c r="N200" s="197"/>
      <c r="O200" s="197"/>
      <c r="P200" s="201"/>
      <c r="Q200" s="39"/>
      <c r="R200" s="39"/>
      <c r="S200" s="39"/>
      <c r="T200" s="197"/>
      <c r="U200" s="197"/>
      <c r="V200" s="197"/>
      <c r="W200" s="197"/>
      <c r="X200" s="197"/>
      <c r="Y200" s="38"/>
      <c r="Z200" s="38"/>
      <c r="AA200" s="38"/>
      <c r="AB200" s="39"/>
      <c r="AC200" s="39"/>
      <c r="AD200" s="39"/>
      <c r="AE200" s="39"/>
      <c r="AF200" s="146"/>
      <c r="AG200" s="146"/>
      <c r="AH200" s="652"/>
      <c r="AI200" s="652"/>
      <c r="AJ200" s="652"/>
      <c r="AK200" s="652"/>
      <c r="AL200" s="197"/>
      <c r="AM200" s="43"/>
      <c r="AN200" s="43" t="str">
        <f t="shared" ca="1" si="11"/>
        <v/>
      </c>
      <c r="AO200" s="228"/>
      <c r="AP200" s="228"/>
      <c r="AQ200" s="228"/>
      <c r="AR200" s="228"/>
      <c r="AS200" s="228"/>
      <c r="AT200" s="230" t="str">
        <f t="shared" ref="AT200:AT207" ca="1" si="12">IF($FN$237=0,"",",")</f>
        <v/>
      </c>
      <c r="AU200" s="231"/>
      <c r="AV200" s="231"/>
      <c r="AW200" s="231"/>
      <c r="AX200" s="231"/>
      <c r="AY200" s="231"/>
      <c r="AZ200" s="231"/>
      <c r="BA200" s="231"/>
      <c r="BB200" s="230"/>
      <c r="BC200" s="230"/>
      <c r="BD200" s="230"/>
      <c r="BE200" s="230"/>
      <c r="BF200" s="230"/>
      <c r="BG200" s="230"/>
      <c r="BH200" s="230"/>
      <c r="BI200" s="230"/>
      <c r="BJ200" s="230"/>
      <c r="BK200" s="230"/>
      <c r="BL200" s="230"/>
      <c r="BM200" s="230"/>
      <c r="BN200" s="230"/>
      <c r="BO200" s="230"/>
      <c r="BP200" s="230"/>
      <c r="BQ200" s="230"/>
      <c r="BR200" s="230"/>
      <c r="BS200" s="230"/>
      <c r="BT200" s="231"/>
      <c r="BU200" s="231"/>
      <c r="BV200" s="231"/>
      <c r="BW200" s="231"/>
      <c r="BX200" s="231"/>
      <c r="BY200" s="231"/>
      <c r="BZ200" s="231"/>
      <c r="CA200" s="231"/>
      <c r="CB200" s="231"/>
      <c r="CC200" s="231"/>
      <c r="CD200" s="231"/>
      <c r="CE200" s="126"/>
      <c r="CF200" s="126"/>
      <c r="CG200" s="126"/>
      <c r="CH200" s="38"/>
      <c r="CI200" s="43"/>
      <c r="CJ200" s="43"/>
      <c r="CK200" s="43"/>
      <c r="CL200" s="43"/>
      <c r="CM200" s="43"/>
      <c r="CN200" s="43"/>
      <c r="CO200" s="38"/>
      <c r="CP200" s="38"/>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79"/>
      <c r="EL200" s="79"/>
      <c r="EM200" s="79"/>
      <c r="EN200" s="79"/>
      <c r="EO200" s="79"/>
      <c r="EP200" s="79"/>
      <c r="EQ200" s="79"/>
      <c r="ER200" s="79"/>
      <c r="ES200" s="79"/>
      <c r="ET200" s="79"/>
      <c r="EU200" s="79"/>
      <c r="EV200" s="79"/>
      <c r="EW200" s="79"/>
      <c r="EX200" s="79"/>
      <c r="EY200" s="79"/>
      <c r="EZ200" s="79"/>
      <c r="FA200" s="79"/>
      <c r="FB200" s="79"/>
      <c r="FC200" s="79"/>
      <c r="FD200" s="79"/>
      <c r="FE200" s="79"/>
      <c r="FF200" s="79"/>
      <c r="FG200" s="79"/>
      <c r="FH200" s="79"/>
      <c r="FI200" s="79"/>
      <c r="FJ200" s="79"/>
      <c r="FK200" s="79"/>
      <c r="FL200" s="79"/>
      <c r="FM200" s="47"/>
      <c r="FN200" s="47"/>
      <c r="FO200" s="47"/>
      <c r="FP200" s="47"/>
      <c r="FQ200" s="47"/>
      <c r="FR200" s="47"/>
      <c r="FS200" s="47"/>
      <c r="FT200" s="47"/>
      <c r="FU200" s="47"/>
      <c r="FV200" s="48"/>
      <c r="FW200" s="48"/>
      <c r="FX200" s="48"/>
      <c r="FY200" s="48"/>
      <c r="FZ200" s="48"/>
      <c r="GA200" s="49"/>
      <c r="GB200" s="49" t="str">
        <f t="shared" ca="1" si="10"/>
        <v/>
      </c>
      <c r="GC200" s="49" t="str">
        <f t="shared" ca="1" si="9"/>
        <v/>
      </c>
      <c r="GD200" s="49" t="e">
        <f ca="1">0.4*GD206</f>
        <v>#VALUE!</v>
      </c>
      <c r="GE200" s="49">
        <f ca="1">IF(FN156=0,0,IF(FO174=1,GE198+2*GC181,IF(FO174=2,GI206+2*GC181,0)))</f>
        <v>0</v>
      </c>
      <c r="GF200" s="49">
        <f ca="1">IF(FN156=1,GH177*GC184^2+GI177*GC184^1+GJ177+GG177/GB184,0)</f>
        <v>0</v>
      </c>
      <c r="GG200" s="49">
        <f ca="1">IF(FN156=1,GH177*GC184^2+GI177*GC184^1+GJ177,0)</f>
        <v>0</v>
      </c>
      <c r="GH200" s="49">
        <f ca="1">IF(FN156=1,3*GH177*GC184^2+2*GI177*GC184^1+GJ177,0)</f>
        <v>0</v>
      </c>
      <c r="GI200" s="49">
        <f ca="1">GI206</f>
        <v>0</v>
      </c>
      <c r="GJ200" s="49">
        <f ca="1">0.4*GJ206</f>
        <v>0</v>
      </c>
      <c r="GK200" s="49">
        <f ca="1">0.4*GK206</f>
        <v>0</v>
      </c>
      <c r="GL200" s="49">
        <f ca="1">GL206</f>
        <v>0</v>
      </c>
      <c r="GM200" s="49">
        <f ca="1">GM206</f>
        <v>0</v>
      </c>
      <c r="GN200" s="49">
        <f ca="1">IF(FN156=0,0,-GD177*GC184^2+GE177*GC184)</f>
        <v>0</v>
      </c>
      <c r="GO200" s="49">
        <f ca="1">IF(FN156=0,0,GH177*GD200^3+GI177*GD200^2+GJ177*GD200+GG177)</f>
        <v>0</v>
      </c>
      <c r="GP200" s="49">
        <f ca="1">IF(FN156=0,0,IF(FO174=2,GN185,IF(FO174=1,GI172*GE200+GL169,0)))</f>
        <v>0</v>
      </c>
      <c r="GQ200" s="49">
        <f ca="1">IF(FN156=0,0,IF(FO174=1,GI174*GE200+GL172,0))</f>
        <v>0</v>
      </c>
      <c r="GR200" s="49">
        <f ca="1">IF(FN156=0,0,IF(FO174=2,GC185,IF(FO174=1,GI169,0)))</f>
        <v>0</v>
      </c>
      <c r="GS200" s="49">
        <f ca="1">0.4*GS206</f>
        <v>0</v>
      </c>
      <c r="GT200" s="49">
        <f ca="1">IF(FN156=1,GH177*GC184^3+GI177*GC184^2+GJ177*GC184,0)</f>
        <v>0</v>
      </c>
      <c r="GU200" s="49">
        <f ca="1">GU206</f>
        <v>0</v>
      </c>
      <c r="GV200" s="49">
        <f ca="1">IF(FN156=0,0,IF(FO174=3,GV206,0))</f>
        <v>0</v>
      </c>
      <c r="GW200" s="49">
        <f ca="1">0.4*GW206</f>
        <v>0</v>
      </c>
      <c r="GX200" s="49">
        <f ca="1">IF(FN156=1,0.4*GX206,0)</f>
        <v>0</v>
      </c>
      <c r="GY200" s="49"/>
      <c r="GZ200" s="49"/>
      <c r="HA200" s="49">
        <v>19</v>
      </c>
      <c r="HB200" s="49" t="e">
        <f ca="1">HB180+HA200*(HB232-HB180)/HA231</f>
        <v>#VALUE!</v>
      </c>
      <c r="HC200" s="49" t="e">
        <f ca="1">HC180+HA200*(HC232-HC180)/HA231</f>
        <v>#VALUE!</v>
      </c>
      <c r="HD200" s="49" t="e">
        <f ca="1">GH177*HC200^3+GI177*HC200^2+GJ177*HC200+GG177+GD207</f>
        <v>#VALUE!</v>
      </c>
      <c r="HE200" s="49" t="e">
        <f t="shared" ca="1" si="5"/>
        <v>#VALUE!</v>
      </c>
      <c r="HF200" s="49" t="e">
        <f t="shared" ca="1" si="4"/>
        <v>#VALUE!</v>
      </c>
      <c r="HG200" s="49" t="e">
        <f t="shared" ca="1" si="6"/>
        <v>#VALUE!</v>
      </c>
      <c r="HH200" s="49" t="e">
        <f t="shared" ca="1" si="7"/>
        <v>#VALUE!</v>
      </c>
      <c r="HI200" s="49"/>
      <c r="HJ200" s="49"/>
      <c r="HK200" s="49"/>
      <c r="HL200" s="49"/>
      <c r="HM200" s="49"/>
    </row>
    <row r="201" spans="1:221" ht="3.75" customHeight="1">
      <c r="A201" s="1"/>
      <c r="B201" s="3"/>
      <c r="C201" s="3"/>
      <c r="D201" s="12"/>
      <c r="E201" s="39"/>
      <c r="F201" s="39"/>
      <c r="G201" s="39"/>
      <c r="H201" s="39"/>
      <c r="I201" s="39"/>
      <c r="J201" s="39"/>
      <c r="K201" s="197"/>
      <c r="L201" s="197"/>
      <c r="M201" s="197"/>
      <c r="N201" s="197"/>
      <c r="O201" s="197"/>
      <c r="P201" s="201"/>
      <c r="Q201" s="39"/>
      <c r="R201" s="39"/>
      <c r="S201" s="39"/>
      <c r="T201" s="197"/>
      <c r="U201" s="197"/>
      <c r="V201" s="197"/>
      <c r="W201" s="197"/>
      <c r="X201" s="197"/>
      <c r="Y201" s="38"/>
      <c r="Z201" s="38"/>
      <c r="AA201" s="38"/>
      <c r="AB201" s="39"/>
      <c r="AC201" s="39"/>
      <c r="AD201" s="197"/>
      <c r="AE201" s="197"/>
      <c r="AF201" s="201"/>
      <c r="AG201" s="197"/>
      <c r="AH201" s="652"/>
      <c r="AI201" s="652"/>
      <c r="AJ201" s="652"/>
      <c r="AK201" s="652"/>
      <c r="AL201" s="197"/>
      <c r="AM201" s="43"/>
      <c r="AN201" s="43" t="str">
        <f t="shared" ca="1" si="11"/>
        <v/>
      </c>
      <c r="AO201" s="228"/>
      <c r="AP201" s="228"/>
      <c r="AQ201" s="228"/>
      <c r="AR201" s="228"/>
      <c r="AS201" s="228"/>
      <c r="AT201" s="230" t="str">
        <f t="shared" ca="1" si="12"/>
        <v/>
      </c>
      <c r="AU201" s="231"/>
      <c r="AV201" s="231"/>
      <c r="AW201" s="231"/>
      <c r="AX201" s="231"/>
      <c r="AY201" s="231"/>
      <c r="AZ201" s="231"/>
      <c r="BA201" s="231"/>
      <c r="BB201" s="230"/>
      <c r="BC201" s="230"/>
      <c r="BD201" s="230"/>
      <c r="BE201" s="230"/>
      <c r="BF201" s="230"/>
      <c r="BG201" s="230"/>
      <c r="BH201" s="230"/>
      <c r="BI201" s="230"/>
      <c r="BJ201" s="230"/>
      <c r="BK201" s="230"/>
      <c r="BL201" s="230"/>
      <c r="BM201" s="230"/>
      <c r="BN201" s="230"/>
      <c r="BO201" s="230"/>
      <c r="BP201" s="230"/>
      <c r="BQ201" s="230"/>
      <c r="BR201" s="230"/>
      <c r="BS201" s="230"/>
      <c r="BT201" s="231"/>
      <c r="BU201" s="231"/>
      <c r="BV201" s="231"/>
      <c r="BW201" s="231"/>
      <c r="BX201" s="231"/>
      <c r="BY201" s="231"/>
      <c r="BZ201" s="231"/>
      <c r="CA201" s="231"/>
      <c r="CB201" s="231"/>
      <c r="CC201" s="231"/>
      <c r="CD201" s="231"/>
      <c r="CE201" s="126"/>
      <c r="CF201" s="126"/>
      <c r="CG201" s="126"/>
      <c r="CH201" s="648" t="str">
        <f ca="1">IF(OR(BC198=0,FN237=0),"",IF(BC198=1,"Eerst ga je op zoek naar het snijpunt van MO en MK. Zie de pijl.",IF(BC198=2,"Dan ga je op zoek naar de hoeveelheid waarbij geldt dat MO = MK. Zie de pijl.",IF(BC198=3,"Dan ga je op zoek naar de prijs (GO) bij de hoeveelheid waarbij geldt dat MO = MK. Zie de pijl.",IF(BC198=4,"Nu kun je zien hoeveel de omzet is bij de hoeveelheid van maximale winst (het bruine vlak).",IF(BC198=5,"Dan ga je op zoek naar de kostprijs (GTK) bij de hoeveelheid waarbij geldt dat MO = MK. Zie de pijl.",IF(BC198=6,"Nu kun je zien hoeveel de totale kosten zijn bij de hoeveelheid van maximale winst (het oranje vlak).","Trek je de totale kosten af van de omzet dan hou je de winst over en dan kun je zien hoeveel de totale maximale winst is (het roze vlak).")))))))</f>
        <v/>
      </c>
      <c r="CI201" s="645"/>
      <c r="CJ201" s="645"/>
      <c r="CK201" s="645"/>
      <c r="CL201" s="645"/>
      <c r="CM201" s="645"/>
      <c r="CN201" s="645"/>
      <c r="CO201" s="645"/>
      <c r="CP201" s="645"/>
      <c r="CQ201" s="645"/>
      <c r="CR201" s="645"/>
      <c r="CS201" s="645"/>
      <c r="CT201" s="645"/>
      <c r="CU201" s="645"/>
      <c r="CV201" s="645"/>
      <c r="CW201" s="645"/>
      <c r="CX201" s="645"/>
      <c r="CY201" s="645"/>
      <c r="CZ201" s="645"/>
      <c r="DA201" s="645"/>
      <c r="DB201" s="645"/>
      <c r="DC201" s="645"/>
      <c r="DD201" s="645"/>
      <c r="DE201" s="645"/>
      <c r="DF201" s="645"/>
      <c r="DG201" s="645"/>
      <c r="DH201" s="645"/>
      <c r="DI201" s="645"/>
      <c r="DJ201" s="645"/>
      <c r="DK201" s="645"/>
      <c r="DL201" s="645"/>
      <c r="DM201" s="645"/>
      <c r="DN201" s="645"/>
      <c r="DO201" s="645"/>
      <c r="DP201" s="645"/>
      <c r="DQ201" s="645"/>
      <c r="DR201" s="645"/>
      <c r="DS201" s="645"/>
      <c r="DT201" s="645"/>
      <c r="DU201" s="645"/>
      <c r="DV201" s="645"/>
      <c r="DW201" s="645"/>
      <c r="DX201" s="645"/>
      <c r="DY201" s="645"/>
      <c r="DZ201" s="645"/>
      <c r="EA201" s="645"/>
      <c r="EB201" s="645"/>
      <c r="EC201" s="645"/>
      <c r="ED201" s="645"/>
      <c r="EE201" s="645"/>
      <c r="EF201" s="645"/>
      <c r="EG201" s="645"/>
      <c r="EH201" s="645"/>
      <c r="EI201" s="645"/>
      <c r="EJ201" s="645"/>
      <c r="EK201" s="645"/>
      <c r="EL201" s="645"/>
      <c r="EM201" s="645"/>
      <c r="EN201" s="645"/>
      <c r="EO201" s="645"/>
      <c r="EP201" s="645"/>
      <c r="EQ201" s="645"/>
      <c r="ER201" s="645"/>
      <c r="ES201" s="645"/>
      <c r="ET201" s="645"/>
      <c r="EU201" s="645"/>
      <c r="EV201" s="645"/>
      <c r="EW201" s="645"/>
      <c r="EX201" s="645"/>
      <c r="EY201" s="645"/>
      <c r="EZ201" s="79"/>
      <c r="FA201" s="79"/>
      <c r="FB201" s="79"/>
      <c r="FC201" s="79"/>
      <c r="FD201" s="79"/>
      <c r="FE201" s="79"/>
      <c r="FF201" s="79"/>
      <c r="FG201" s="79"/>
      <c r="FH201" s="79"/>
      <c r="FI201" s="79"/>
      <c r="FJ201" s="79"/>
      <c r="FK201" s="79"/>
      <c r="FL201" s="79"/>
      <c r="FM201" s="47"/>
      <c r="FN201" s="47"/>
      <c r="FO201" s="47"/>
      <c r="FP201" s="47"/>
      <c r="FQ201" s="47"/>
      <c r="FR201" s="47"/>
      <c r="FS201" s="47"/>
      <c r="FT201" s="47"/>
      <c r="FU201" s="47"/>
      <c r="FV201" s="48"/>
      <c r="FW201" s="48"/>
      <c r="FX201" s="48"/>
      <c r="FY201" s="48"/>
      <c r="FZ201" s="48"/>
      <c r="GA201" s="49"/>
      <c r="GB201" s="49" t="str">
        <f t="shared" ca="1" si="10"/>
        <v/>
      </c>
      <c r="GC201" s="49" t="str">
        <f t="shared" ca="1" si="9"/>
        <v/>
      </c>
      <c r="GD201" s="49" t="e">
        <f ca="1">0.5*GD206</f>
        <v>#VALUE!</v>
      </c>
      <c r="GE201" s="49"/>
      <c r="GF201" s="49">
        <f ca="1">IF(FN156=1,GH177*GC185^2+GI177*GC185^1+GJ177+GG177/GB185,0)</f>
        <v>0</v>
      </c>
      <c r="GG201" s="49">
        <f ca="1">IF(FN156=1,GH177*GC185^2+GI177*GC185^1+GJ177,0)</f>
        <v>0</v>
      </c>
      <c r="GH201" s="49">
        <f ca="1">IF(FN156=1,3*GH177*GC185^2+2*GI177*GC185^1+GJ177,0)</f>
        <v>0</v>
      </c>
      <c r="GI201" s="49">
        <f ca="1">GI206</f>
        <v>0</v>
      </c>
      <c r="GJ201" s="49">
        <f ca="1">0.5*GJ206</f>
        <v>0</v>
      </c>
      <c r="GK201" s="49">
        <f ca="1">0.5*GK206</f>
        <v>0</v>
      </c>
      <c r="GL201" s="49">
        <f ca="1">GL206</f>
        <v>0</v>
      </c>
      <c r="GM201" s="49">
        <f ca="1">GM206</f>
        <v>0</v>
      </c>
      <c r="GN201" s="49">
        <f ca="1">IF(FN156=0,0,-GD177*GC185^2+GE177*GC185)</f>
        <v>0</v>
      </c>
      <c r="GO201" s="49">
        <f ca="1">IF(FN156=0,0,GH177*GD201^3+GI177*GD201^2+GJ177*GD201+GG177)</f>
        <v>0</v>
      </c>
      <c r="GP201" s="49"/>
      <c r="GQ201" s="49"/>
      <c r="GR201" s="49">
        <f ca="1">IF(FN156=0,0,IF(FO174=2,GC185,IF(FO174=1,GI169,0)))</f>
        <v>0</v>
      </c>
      <c r="GS201" s="49">
        <f ca="1">0.5*GS206</f>
        <v>0</v>
      </c>
      <c r="GT201" s="49">
        <f ca="1">IF(FN156=1,GH177*GC185^3+GI177*GC185^2+GJ177*GC185,0)</f>
        <v>0</v>
      </c>
      <c r="GU201" s="49">
        <f ca="1">GU206</f>
        <v>0</v>
      </c>
      <c r="GV201" s="49">
        <f ca="1">IF(FN156=0,0,IF(FO174=3,GV206,0))</f>
        <v>0</v>
      </c>
      <c r="GW201" s="49">
        <f ca="1">0.5*GW206</f>
        <v>0</v>
      </c>
      <c r="GX201" s="49">
        <f ca="1">IF(FN156=1,0.5*GX206,0)</f>
        <v>0</v>
      </c>
      <c r="GY201" s="49"/>
      <c r="GZ201" s="49"/>
      <c r="HA201" s="49">
        <v>20</v>
      </c>
      <c r="HB201" s="49" t="e">
        <f ca="1">HB180+HA201*(HB232-HB180)/HA231</f>
        <v>#VALUE!</v>
      </c>
      <c r="HC201" s="49" t="e">
        <f ca="1">HC180+HA201*(HC232-HC180)/HA231</f>
        <v>#VALUE!</v>
      </c>
      <c r="HD201" s="49" t="e">
        <f ca="1">GH177*HC201^3+GI177*HC201^2+GJ177*HC201+GG177+GD207</f>
        <v>#VALUE!</v>
      </c>
      <c r="HE201" s="49" t="e">
        <f t="shared" ca="1" si="5"/>
        <v>#VALUE!</v>
      </c>
      <c r="HF201" s="49" t="e">
        <f t="shared" ca="1" si="4"/>
        <v>#VALUE!</v>
      </c>
      <c r="HG201" s="49" t="e">
        <f t="shared" ca="1" si="6"/>
        <v>#VALUE!</v>
      </c>
      <c r="HH201" s="49" t="e">
        <f t="shared" ca="1" si="7"/>
        <v>#VALUE!</v>
      </c>
      <c r="HI201" s="49"/>
      <c r="HJ201" s="49"/>
      <c r="HK201" s="49"/>
      <c r="HL201" s="49"/>
      <c r="HM201" s="49"/>
    </row>
    <row r="202" spans="1:221" ht="3.75" customHeight="1">
      <c r="A202" s="1"/>
      <c r="B202" s="3"/>
      <c r="C202" s="3"/>
      <c r="D202" s="12"/>
      <c r="E202" s="39"/>
      <c r="F202" s="39"/>
      <c r="G202" s="39"/>
      <c r="H202" s="39"/>
      <c r="I202" s="39"/>
      <c r="J202" s="39"/>
      <c r="K202" s="197"/>
      <c r="L202" s="197"/>
      <c r="M202" s="197"/>
      <c r="N202" s="197"/>
      <c r="O202" s="197"/>
      <c r="P202" s="201"/>
      <c r="Q202" s="39"/>
      <c r="R202" s="39"/>
      <c r="S202" s="39"/>
      <c r="T202" s="197"/>
      <c r="U202" s="197"/>
      <c r="V202" s="197"/>
      <c r="W202" s="197"/>
      <c r="X202" s="197"/>
      <c r="Y202" s="38"/>
      <c r="Z202" s="38"/>
      <c r="AA202" s="38"/>
      <c r="AB202" s="39"/>
      <c r="AC202" s="39"/>
      <c r="AD202" s="197"/>
      <c r="AE202" s="197"/>
      <c r="AF202" s="197"/>
      <c r="AG202" s="197"/>
      <c r="AH202" s="652"/>
      <c r="AI202" s="652"/>
      <c r="AJ202" s="652"/>
      <c r="AK202" s="652"/>
      <c r="AL202" s="197"/>
      <c r="AM202" s="43"/>
      <c r="AN202" s="43" t="str">
        <f t="shared" ca="1" si="11"/>
        <v/>
      </c>
      <c r="AO202" s="228"/>
      <c r="AP202" s="228"/>
      <c r="AQ202" s="228"/>
      <c r="AR202" s="228"/>
      <c r="AS202" s="228"/>
      <c r="AT202" s="230" t="str">
        <f t="shared" ca="1" si="12"/>
        <v/>
      </c>
      <c r="AU202" s="231"/>
      <c r="AV202" s="231"/>
      <c r="AW202" s="231"/>
      <c r="AX202" s="231"/>
      <c r="AY202" s="231"/>
      <c r="AZ202" s="231"/>
      <c r="BA202" s="231"/>
      <c r="BB202" s="230"/>
      <c r="BC202" s="230"/>
      <c r="BD202" s="230"/>
      <c r="BE202" s="230"/>
      <c r="BF202" s="230"/>
      <c r="BG202" s="230"/>
      <c r="BH202" s="230"/>
      <c r="BI202" s="230"/>
      <c r="BJ202" s="230"/>
      <c r="BK202" s="230"/>
      <c r="BL202" s="230"/>
      <c r="BM202" s="230"/>
      <c r="BN202" s="230"/>
      <c r="BO202" s="230"/>
      <c r="BP202" s="230"/>
      <c r="BQ202" s="230"/>
      <c r="BR202" s="230"/>
      <c r="BS202" s="230"/>
      <c r="BT202" s="231"/>
      <c r="BU202" s="231"/>
      <c r="BV202" s="231"/>
      <c r="BW202" s="231"/>
      <c r="BX202" s="231"/>
      <c r="BY202" s="231"/>
      <c r="BZ202" s="231"/>
      <c r="CA202" s="231"/>
      <c r="CB202" s="231"/>
      <c r="CC202" s="231"/>
      <c r="CD202" s="231"/>
      <c r="CE202" s="126"/>
      <c r="CF202" s="126"/>
      <c r="CG202" s="126"/>
      <c r="CH202" s="645"/>
      <c r="CI202" s="645"/>
      <c r="CJ202" s="645"/>
      <c r="CK202" s="645"/>
      <c r="CL202" s="645"/>
      <c r="CM202" s="645"/>
      <c r="CN202" s="645"/>
      <c r="CO202" s="645"/>
      <c r="CP202" s="645"/>
      <c r="CQ202" s="645"/>
      <c r="CR202" s="645"/>
      <c r="CS202" s="645"/>
      <c r="CT202" s="645"/>
      <c r="CU202" s="645"/>
      <c r="CV202" s="645"/>
      <c r="CW202" s="645"/>
      <c r="CX202" s="645"/>
      <c r="CY202" s="645"/>
      <c r="CZ202" s="645"/>
      <c r="DA202" s="645"/>
      <c r="DB202" s="645"/>
      <c r="DC202" s="645"/>
      <c r="DD202" s="645"/>
      <c r="DE202" s="645"/>
      <c r="DF202" s="645"/>
      <c r="DG202" s="645"/>
      <c r="DH202" s="645"/>
      <c r="DI202" s="645"/>
      <c r="DJ202" s="645"/>
      <c r="DK202" s="645"/>
      <c r="DL202" s="645"/>
      <c r="DM202" s="645"/>
      <c r="DN202" s="645"/>
      <c r="DO202" s="645"/>
      <c r="DP202" s="645"/>
      <c r="DQ202" s="645"/>
      <c r="DR202" s="645"/>
      <c r="DS202" s="645"/>
      <c r="DT202" s="645"/>
      <c r="DU202" s="645"/>
      <c r="DV202" s="645"/>
      <c r="DW202" s="645"/>
      <c r="DX202" s="645"/>
      <c r="DY202" s="645"/>
      <c r="DZ202" s="645"/>
      <c r="EA202" s="645"/>
      <c r="EB202" s="645"/>
      <c r="EC202" s="645"/>
      <c r="ED202" s="645"/>
      <c r="EE202" s="645"/>
      <c r="EF202" s="645"/>
      <c r="EG202" s="645"/>
      <c r="EH202" s="645"/>
      <c r="EI202" s="645"/>
      <c r="EJ202" s="645"/>
      <c r="EK202" s="645"/>
      <c r="EL202" s="645"/>
      <c r="EM202" s="645"/>
      <c r="EN202" s="645"/>
      <c r="EO202" s="645"/>
      <c r="EP202" s="645"/>
      <c r="EQ202" s="645"/>
      <c r="ER202" s="645"/>
      <c r="ES202" s="645"/>
      <c r="ET202" s="645"/>
      <c r="EU202" s="645"/>
      <c r="EV202" s="645"/>
      <c r="EW202" s="645"/>
      <c r="EX202" s="645"/>
      <c r="EY202" s="645"/>
      <c r="EZ202" s="79"/>
      <c r="FA202" s="79"/>
      <c r="FB202" s="79"/>
      <c r="FC202" s="79"/>
      <c r="FD202" s="79"/>
      <c r="FE202" s="79"/>
      <c r="FF202" s="79"/>
      <c r="FG202" s="79"/>
      <c r="FH202" s="79"/>
      <c r="FI202" s="79"/>
      <c r="FJ202" s="79"/>
      <c r="FK202" s="79"/>
      <c r="FL202" s="79"/>
      <c r="FM202" s="47"/>
      <c r="FN202" s="47"/>
      <c r="FO202" s="47"/>
      <c r="FP202" s="47"/>
      <c r="FQ202" s="47"/>
      <c r="FR202" s="47"/>
      <c r="FS202" s="47"/>
      <c r="FT202" s="47"/>
      <c r="FU202" s="47"/>
      <c r="FV202" s="48"/>
      <c r="FW202" s="48"/>
      <c r="FX202" s="48"/>
      <c r="FY202" s="48"/>
      <c r="FZ202" s="48"/>
      <c r="GA202" s="49"/>
      <c r="GB202" s="49" t="str">
        <f t="shared" ca="1" si="10"/>
        <v/>
      </c>
      <c r="GC202" s="49" t="str">
        <f t="shared" ca="1" si="9"/>
        <v/>
      </c>
      <c r="GD202" s="49" t="e">
        <f ca="1">0.6*GD206</f>
        <v>#VALUE!</v>
      </c>
      <c r="GE202" s="49"/>
      <c r="GF202" s="49">
        <f ca="1">IF(FN156=1,GH177*GC186^2+GI177*GC186^1+GJ177+GG177/GB186,0)</f>
        <v>0</v>
      </c>
      <c r="GG202" s="49">
        <f ca="1">IF(FN156=1,GH177*GC186^2+GI177*GC186^1+GJ177,0)</f>
        <v>0</v>
      </c>
      <c r="GH202" s="49">
        <f ca="1">IF(FN156=1,3*GH177*GC186^2+2*GI177*GC186^1+GJ177,0)</f>
        <v>0</v>
      </c>
      <c r="GI202" s="49">
        <f ca="1">GI206</f>
        <v>0</v>
      </c>
      <c r="GJ202" s="49">
        <f ca="1">0.6*GJ206</f>
        <v>0</v>
      </c>
      <c r="GK202" s="49">
        <f ca="1">0.6*GK206</f>
        <v>0</v>
      </c>
      <c r="GL202" s="49">
        <f ca="1">GL206</f>
        <v>0</v>
      </c>
      <c r="GM202" s="49">
        <f ca="1">GM206</f>
        <v>0</v>
      </c>
      <c r="GN202" s="49">
        <f ca="1">IF(FN156=0,0,-GD177*GC186^2+GE177*GC186)</f>
        <v>0</v>
      </c>
      <c r="GO202" s="49">
        <f ca="1">IF(FN156=0,0,GH177*GD202^3+GI177*GD202^2+GJ177*GD202+GG177)</f>
        <v>0</v>
      </c>
      <c r="GP202" s="49"/>
      <c r="GQ202" s="49"/>
      <c r="GR202" s="49">
        <f ca="1">IF(FN156=0,0,IF(FO174=2,GC185,IF(FO174=1,GI169,0)))</f>
        <v>0</v>
      </c>
      <c r="GS202" s="49">
        <f ca="1">0.6*GS206</f>
        <v>0</v>
      </c>
      <c r="GT202" s="49">
        <f ca="1">IF(FN156=1,GH177*GC186^3+GI177*GC186^2+GJ177*GC186,0)</f>
        <v>0</v>
      </c>
      <c r="GU202" s="49">
        <f ca="1">GU206</f>
        <v>0</v>
      </c>
      <c r="GV202" s="49">
        <f ca="1">IF(FN156=0,0,IF(FO174=3,GV206,0))</f>
        <v>0</v>
      </c>
      <c r="GW202" s="49">
        <f ca="1">0.6*GW206</f>
        <v>0</v>
      </c>
      <c r="GX202" s="49">
        <f ca="1">IF(FN156=1,0.6*GX206,0)</f>
        <v>0</v>
      </c>
      <c r="GY202" s="49"/>
      <c r="GZ202" s="49"/>
      <c r="HA202" s="49">
        <v>21</v>
      </c>
      <c r="HB202" s="49" t="e">
        <f ca="1">HB180+HA202*(HB232-HB180)/HA231</f>
        <v>#VALUE!</v>
      </c>
      <c r="HC202" s="49" t="e">
        <f ca="1">HC180+HA202*(HC232-HC180)/HA231</f>
        <v>#VALUE!</v>
      </c>
      <c r="HD202" s="49" t="e">
        <f ca="1">GH177*HC202^3+GI177*HC202^2+GJ177*HC202+GG177+GD207</f>
        <v>#VALUE!</v>
      </c>
      <c r="HE202" s="49" t="e">
        <f t="shared" ca="1" si="5"/>
        <v>#VALUE!</v>
      </c>
      <c r="HF202" s="49" t="e">
        <f t="shared" ca="1" si="4"/>
        <v>#VALUE!</v>
      </c>
      <c r="HG202" s="49" t="e">
        <f t="shared" ca="1" si="6"/>
        <v>#VALUE!</v>
      </c>
      <c r="HH202" s="49" t="e">
        <f t="shared" ca="1" si="7"/>
        <v>#VALUE!</v>
      </c>
      <c r="HI202" s="49"/>
      <c r="HJ202" s="49"/>
      <c r="HK202" s="49"/>
      <c r="HL202" s="49"/>
      <c r="HM202" s="49"/>
    </row>
    <row r="203" spans="1:221" ht="3.75" customHeight="1">
      <c r="A203" s="1"/>
      <c r="B203" s="3"/>
      <c r="C203" s="3"/>
      <c r="D203" s="12"/>
      <c r="E203" s="39"/>
      <c r="F203" s="39"/>
      <c r="G203" s="39"/>
      <c r="H203" s="39"/>
      <c r="I203" s="39"/>
      <c r="J203" s="39"/>
      <c r="K203" s="197"/>
      <c r="L203" s="197"/>
      <c r="M203" s="197"/>
      <c r="N203" s="197"/>
      <c r="O203" s="197"/>
      <c r="P203" s="201"/>
      <c r="Q203" s="39"/>
      <c r="R203" s="39"/>
      <c r="S203" s="39"/>
      <c r="T203" s="197"/>
      <c r="U203" s="197"/>
      <c r="V203" s="197"/>
      <c r="W203" s="197"/>
      <c r="X203" s="197"/>
      <c r="Y203" s="38"/>
      <c r="Z203" s="38"/>
      <c r="AA203" s="38"/>
      <c r="AB203" s="39"/>
      <c r="AC203" s="39"/>
      <c r="AD203" s="197"/>
      <c r="AE203" s="197"/>
      <c r="AF203" s="197"/>
      <c r="AG203" s="197"/>
      <c r="AH203" s="652"/>
      <c r="AI203" s="652"/>
      <c r="AJ203" s="652"/>
      <c r="AK203" s="652"/>
      <c r="AL203" s="197"/>
      <c r="AM203" s="43"/>
      <c r="AN203" s="43" t="str">
        <f t="shared" ca="1" si="11"/>
        <v/>
      </c>
      <c r="AO203" s="228"/>
      <c r="AP203" s="228"/>
      <c r="AQ203" s="228"/>
      <c r="AR203" s="228"/>
      <c r="AS203" s="228"/>
      <c r="AT203" s="230" t="str">
        <f t="shared" ca="1" si="12"/>
        <v/>
      </c>
      <c r="AU203" s="231"/>
      <c r="AV203" s="231"/>
      <c r="AW203" s="231"/>
      <c r="AX203" s="230" t="str">
        <f ca="1">IF($FN$237=0,"",",")</f>
        <v/>
      </c>
      <c r="AY203" s="230" t="str">
        <f ca="1">IF($FN$237=0,"",",")</f>
        <v/>
      </c>
      <c r="AZ203" s="230"/>
      <c r="BA203" s="230"/>
      <c r="BB203" s="230" t="str">
        <f ca="1">IF($FN$237=0,"",",")</f>
        <v/>
      </c>
      <c r="BC203" s="230" t="str">
        <f ca="1">IF($FN$237=0,"",",")</f>
        <v/>
      </c>
      <c r="BD203" s="230" t="str">
        <f ca="1">IF($FN$237=0,"",",")</f>
        <v/>
      </c>
      <c r="BE203" s="230"/>
      <c r="BF203" s="230" t="str">
        <f ca="1">IF($FN$237=0,"",",")</f>
        <v/>
      </c>
      <c r="BG203" s="230"/>
      <c r="BH203" s="228"/>
      <c r="BI203" s="230" t="str">
        <f ca="1">IF($FN$237=0,"",",")</f>
        <v/>
      </c>
      <c r="BJ203" s="230"/>
      <c r="BK203" s="230"/>
      <c r="BL203" s="230"/>
      <c r="BM203" s="230"/>
      <c r="BN203" s="230"/>
      <c r="BO203" s="230"/>
      <c r="BP203" s="230"/>
      <c r="BQ203" s="230"/>
      <c r="BR203" s="230"/>
      <c r="BS203" s="230"/>
      <c r="BT203" s="231"/>
      <c r="BU203" s="231"/>
      <c r="BV203" s="231"/>
      <c r="BW203" s="231"/>
      <c r="BX203" s="231"/>
      <c r="BY203" s="231"/>
      <c r="BZ203" s="231"/>
      <c r="CA203" s="231"/>
      <c r="CB203" s="231"/>
      <c r="CC203" s="231"/>
      <c r="CD203" s="231"/>
      <c r="CE203" s="126"/>
      <c r="CF203" s="126"/>
      <c r="CG203" s="126"/>
      <c r="CH203" s="645"/>
      <c r="CI203" s="645"/>
      <c r="CJ203" s="645"/>
      <c r="CK203" s="645"/>
      <c r="CL203" s="645"/>
      <c r="CM203" s="645"/>
      <c r="CN203" s="645"/>
      <c r="CO203" s="645"/>
      <c r="CP203" s="645"/>
      <c r="CQ203" s="645"/>
      <c r="CR203" s="645"/>
      <c r="CS203" s="645"/>
      <c r="CT203" s="645"/>
      <c r="CU203" s="645"/>
      <c r="CV203" s="645"/>
      <c r="CW203" s="645"/>
      <c r="CX203" s="645"/>
      <c r="CY203" s="645"/>
      <c r="CZ203" s="645"/>
      <c r="DA203" s="645"/>
      <c r="DB203" s="645"/>
      <c r="DC203" s="645"/>
      <c r="DD203" s="645"/>
      <c r="DE203" s="645"/>
      <c r="DF203" s="645"/>
      <c r="DG203" s="645"/>
      <c r="DH203" s="645"/>
      <c r="DI203" s="645"/>
      <c r="DJ203" s="645"/>
      <c r="DK203" s="645"/>
      <c r="DL203" s="645"/>
      <c r="DM203" s="645"/>
      <c r="DN203" s="645"/>
      <c r="DO203" s="645"/>
      <c r="DP203" s="645"/>
      <c r="DQ203" s="645"/>
      <c r="DR203" s="645"/>
      <c r="DS203" s="645"/>
      <c r="DT203" s="645"/>
      <c r="DU203" s="645"/>
      <c r="DV203" s="645"/>
      <c r="DW203" s="645"/>
      <c r="DX203" s="645"/>
      <c r="DY203" s="645"/>
      <c r="DZ203" s="645"/>
      <c r="EA203" s="645"/>
      <c r="EB203" s="645"/>
      <c r="EC203" s="645"/>
      <c r="ED203" s="645"/>
      <c r="EE203" s="645"/>
      <c r="EF203" s="645"/>
      <c r="EG203" s="645"/>
      <c r="EH203" s="645"/>
      <c r="EI203" s="645"/>
      <c r="EJ203" s="645"/>
      <c r="EK203" s="645"/>
      <c r="EL203" s="645"/>
      <c r="EM203" s="645"/>
      <c r="EN203" s="645"/>
      <c r="EO203" s="645"/>
      <c r="EP203" s="645"/>
      <c r="EQ203" s="645"/>
      <c r="ER203" s="645"/>
      <c r="ES203" s="645"/>
      <c r="ET203" s="645"/>
      <c r="EU203" s="645"/>
      <c r="EV203" s="645"/>
      <c r="EW203" s="645"/>
      <c r="EX203" s="645"/>
      <c r="EY203" s="645"/>
      <c r="EZ203" s="79"/>
      <c r="FA203" s="79"/>
      <c r="FB203" s="79"/>
      <c r="FC203" s="79"/>
      <c r="FD203" s="79"/>
      <c r="FE203" s="79"/>
      <c r="FF203" s="79"/>
      <c r="FG203" s="79"/>
      <c r="FH203" s="79"/>
      <c r="FI203" s="79"/>
      <c r="FJ203" s="79"/>
      <c r="FK203" s="79"/>
      <c r="FL203" s="79"/>
      <c r="FM203" s="47"/>
      <c r="FN203" s="47"/>
      <c r="FO203" s="47"/>
      <c r="FP203" s="47"/>
      <c r="FQ203" s="47"/>
      <c r="FR203" s="47"/>
      <c r="FS203" s="47"/>
      <c r="FT203" s="47"/>
      <c r="FU203" s="47"/>
      <c r="FV203" s="48"/>
      <c r="FW203" s="48"/>
      <c r="FX203" s="48"/>
      <c r="FY203" s="48"/>
      <c r="FZ203" s="48"/>
      <c r="GA203" s="49"/>
      <c r="GB203" s="49" t="str">
        <f t="shared" ca="1" si="10"/>
        <v/>
      </c>
      <c r="GC203" s="49" t="str">
        <f t="shared" ca="1" si="9"/>
        <v/>
      </c>
      <c r="GD203" s="49" t="e">
        <f ca="1">0.7*GD206</f>
        <v>#VALUE!</v>
      </c>
      <c r="GE203" s="49"/>
      <c r="GF203" s="49">
        <f ca="1">IF(FN156=1,GH177*GC187^2+GI177*GC187^1+GJ177+GG177/GB187,0)</f>
        <v>0</v>
      </c>
      <c r="GG203" s="49">
        <f ca="1">IF(FN156=1,GH177*GC187^2+GI177*GC187^1+GJ177,0)</f>
        <v>0</v>
      </c>
      <c r="GH203" s="49">
        <f ca="1">IF(FN156=1,3*GH177*GC187^2+2*GI177*GC187^1+GJ177,0)</f>
        <v>0</v>
      </c>
      <c r="GI203" s="49">
        <f ca="1">GI206</f>
        <v>0</v>
      </c>
      <c r="GJ203" s="49">
        <f ca="1">0.7*GJ206</f>
        <v>0</v>
      </c>
      <c r="GK203" s="49">
        <f ca="1">0.7*GK206</f>
        <v>0</v>
      </c>
      <c r="GL203" s="49">
        <f ca="1">GL206</f>
        <v>0</v>
      </c>
      <c r="GM203" s="49">
        <f ca="1">GM206</f>
        <v>0</v>
      </c>
      <c r="GN203" s="49">
        <f ca="1">IF(FN156=0,0,-GD177*GC187^2+GE177*GC187)</f>
        <v>0</v>
      </c>
      <c r="GO203" s="49">
        <f ca="1">IF(FN156=0,0,GH177*GD203^3+GI177*GD203^2+GJ177*GD203+GG177)</f>
        <v>0</v>
      </c>
      <c r="GP203" s="49"/>
      <c r="GQ203" s="49"/>
      <c r="GR203" s="49">
        <f ca="1">IF(FN156=0,0,IF(FO174=2,GC185,IF(FO174=1,GI169,0)))</f>
        <v>0</v>
      </c>
      <c r="GS203" s="49">
        <f ca="1">0.7*GS206</f>
        <v>0</v>
      </c>
      <c r="GT203" s="49">
        <f ca="1">IF(FN156=1,GH177*GC187^3+GI177*GC187^2+GJ177*GC187,0)</f>
        <v>0</v>
      </c>
      <c r="GU203" s="49">
        <f ca="1">GU206</f>
        <v>0</v>
      </c>
      <c r="GV203" s="49">
        <f ca="1">IF(FN156=0,0,IF(FO174=3,GV206,0))</f>
        <v>0</v>
      </c>
      <c r="GW203" s="49">
        <f ca="1">0.7*GW206</f>
        <v>0</v>
      </c>
      <c r="GX203" s="49">
        <f ca="1">IF(FN156=1,0.7*GX206,0)</f>
        <v>0</v>
      </c>
      <c r="GY203" s="49"/>
      <c r="GZ203" s="49"/>
      <c r="HA203" s="49">
        <v>22</v>
      </c>
      <c r="HB203" s="49" t="e">
        <f ca="1">HB180+HA203*(HB232-HB180)/HA231</f>
        <v>#VALUE!</v>
      </c>
      <c r="HC203" s="49" t="e">
        <f ca="1">HC180+HA203*(HC232-HC180)/HA231</f>
        <v>#VALUE!</v>
      </c>
      <c r="HD203" s="49" t="e">
        <f ca="1">GH177*HC203^3+GI177*HC203^2+GJ177*HC203+GG177+GD207</f>
        <v>#VALUE!</v>
      </c>
      <c r="HE203" s="49" t="e">
        <f t="shared" ca="1" si="5"/>
        <v>#VALUE!</v>
      </c>
      <c r="HF203" s="49" t="e">
        <f t="shared" ca="1" si="4"/>
        <v>#VALUE!</v>
      </c>
      <c r="HG203" s="49" t="e">
        <f t="shared" ca="1" si="6"/>
        <v>#VALUE!</v>
      </c>
      <c r="HH203" s="49" t="e">
        <f t="shared" ca="1" si="7"/>
        <v>#VALUE!</v>
      </c>
      <c r="HI203" s="49"/>
      <c r="HJ203" s="49"/>
      <c r="HK203" s="49"/>
      <c r="HL203" s="49"/>
      <c r="HM203" s="49"/>
    </row>
    <row r="204" spans="1:221" ht="3.75" customHeight="1">
      <c r="A204" s="1"/>
      <c r="B204" s="3"/>
      <c r="C204" s="3"/>
      <c r="D204" s="12"/>
      <c r="E204" s="39"/>
      <c r="F204" s="39"/>
      <c r="G204" s="39"/>
      <c r="H204" s="39"/>
      <c r="I204" s="39"/>
      <c r="J204" s="39"/>
      <c r="K204" s="197"/>
      <c r="L204" s="197"/>
      <c r="M204" s="197"/>
      <c r="N204" s="197"/>
      <c r="O204" s="197"/>
      <c r="P204" s="201"/>
      <c r="Q204" s="39"/>
      <c r="R204" s="39"/>
      <c r="S204" s="39"/>
      <c r="T204" s="197"/>
      <c r="U204" s="197"/>
      <c r="V204" s="197"/>
      <c r="W204" s="197"/>
      <c r="X204" s="197"/>
      <c r="Y204" s="38"/>
      <c r="Z204" s="38"/>
      <c r="AA204" s="38"/>
      <c r="AB204" s="39"/>
      <c r="AC204" s="39"/>
      <c r="AD204" s="197"/>
      <c r="AE204" s="197"/>
      <c r="AF204" s="197"/>
      <c r="AG204" s="197"/>
      <c r="AH204" s="197"/>
      <c r="AI204" s="197"/>
      <c r="AJ204" s="197"/>
      <c r="AK204" s="197"/>
      <c r="AL204" s="197"/>
      <c r="AM204" s="43"/>
      <c r="AN204" s="43" t="str">
        <f t="shared" ca="1" si="11"/>
        <v/>
      </c>
      <c r="AO204" s="228"/>
      <c r="AP204" s="228"/>
      <c r="AQ204" s="228"/>
      <c r="AR204" s="228"/>
      <c r="AS204" s="228"/>
      <c r="AT204" s="230" t="str">
        <f t="shared" ca="1" si="12"/>
        <v/>
      </c>
      <c r="AU204" s="231"/>
      <c r="AV204" s="231"/>
      <c r="AW204" s="230" t="str">
        <f ca="1">IF($FN$237=0,"",",")</f>
        <v/>
      </c>
      <c r="AX204" s="231"/>
      <c r="AY204" s="231"/>
      <c r="AZ204" s="231"/>
      <c r="BA204" s="231"/>
      <c r="BB204" s="230"/>
      <c r="BC204" s="230" t="str">
        <f ca="1">IF($FN$237=0,"",",")</f>
        <v/>
      </c>
      <c r="BD204" s="230"/>
      <c r="BE204" s="230"/>
      <c r="BF204" s="230" t="str">
        <f ca="1">IF($FN$237=0,"",",")</f>
        <v/>
      </c>
      <c r="BG204" s="230"/>
      <c r="BH204" s="230" t="str">
        <f ca="1">IF($FN$237=0,"",",")</f>
        <v/>
      </c>
      <c r="BI204" s="230"/>
      <c r="BJ204" s="230"/>
      <c r="BK204" s="230"/>
      <c r="BL204" s="230"/>
      <c r="BM204" s="230"/>
      <c r="BN204" s="230"/>
      <c r="BO204" s="230"/>
      <c r="BP204" s="230"/>
      <c r="BQ204" s="230"/>
      <c r="BR204" s="230"/>
      <c r="BS204" s="230"/>
      <c r="BT204" s="231"/>
      <c r="BU204" s="231"/>
      <c r="BV204" s="231"/>
      <c r="BW204" s="231"/>
      <c r="BX204" s="231"/>
      <c r="BY204" s="231"/>
      <c r="BZ204" s="231"/>
      <c r="CA204" s="231"/>
      <c r="CB204" s="231"/>
      <c r="CC204" s="231"/>
      <c r="CD204" s="231"/>
      <c r="CE204" s="126"/>
      <c r="CF204" s="126"/>
      <c r="CG204" s="126"/>
      <c r="CH204" s="645"/>
      <c r="CI204" s="645"/>
      <c r="CJ204" s="645"/>
      <c r="CK204" s="645"/>
      <c r="CL204" s="645"/>
      <c r="CM204" s="645"/>
      <c r="CN204" s="645"/>
      <c r="CO204" s="645"/>
      <c r="CP204" s="645"/>
      <c r="CQ204" s="645"/>
      <c r="CR204" s="645"/>
      <c r="CS204" s="645"/>
      <c r="CT204" s="645"/>
      <c r="CU204" s="645"/>
      <c r="CV204" s="645"/>
      <c r="CW204" s="645"/>
      <c r="CX204" s="645"/>
      <c r="CY204" s="645"/>
      <c r="CZ204" s="645"/>
      <c r="DA204" s="645"/>
      <c r="DB204" s="645"/>
      <c r="DC204" s="645"/>
      <c r="DD204" s="645"/>
      <c r="DE204" s="645"/>
      <c r="DF204" s="645"/>
      <c r="DG204" s="645"/>
      <c r="DH204" s="645"/>
      <c r="DI204" s="645"/>
      <c r="DJ204" s="645"/>
      <c r="DK204" s="645"/>
      <c r="DL204" s="645"/>
      <c r="DM204" s="645"/>
      <c r="DN204" s="645"/>
      <c r="DO204" s="645"/>
      <c r="DP204" s="645"/>
      <c r="DQ204" s="645"/>
      <c r="DR204" s="645"/>
      <c r="DS204" s="645"/>
      <c r="DT204" s="645"/>
      <c r="DU204" s="645"/>
      <c r="DV204" s="645"/>
      <c r="DW204" s="645"/>
      <c r="DX204" s="645"/>
      <c r="DY204" s="645"/>
      <c r="DZ204" s="645"/>
      <c r="EA204" s="645"/>
      <c r="EB204" s="645"/>
      <c r="EC204" s="645"/>
      <c r="ED204" s="645"/>
      <c r="EE204" s="645"/>
      <c r="EF204" s="645"/>
      <c r="EG204" s="645"/>
      <c r="EH204" s="645"/>
      <c r="EI204" s="645"/>
      <c r="EJ204" s="645"/>
      <c r="EK204" s="645"/>
      <c r="EL204" s="645"/>
      <c r="EM204" s="645"/>
      <c r="EN204" s="645"/>
      <c r="EO204" s="645"/>
      <c r="EP204" s="645"/>
      <c r="EQ204" s="645"/>
      <c r="ER204" s="645"/>
      <c r="ES204" s="645"/>
      <c r="ET204" s="645"/>
      <c r="EU204" s="645"/>
      <c r="EV204" s="645"/>
      <c r="EW204" s="645"/>
      <c r="EX204" s="645"/>
      <c r="EY204" s="645"/>
      <c r="EZ204" s="79"/>
      <c r="FA204" s="79"/>
      <c r="FB204" s="79"/>
      <c r="FC204" s="79"/>
      <c r="FD204" s="79"/>
      <c r="FE204" s="79"/>
      <c r="FF204" s="79"/>
      <c r="FG204" s="79"/>
      <c r="FH204" s="79"/>
      <c r="FI204" s="79"/>
      <c r="FJ204" s="79"/>
      <c r="FK204" s="79"/>
      <c r="FL204" s="79"/>
      <c r="FM204" s="47"/>
      <c r="FN204" s="47"/>
      <c r="FO204" s="47"/>
      <c r="FP204" s="47"/>
      <c r="FQ204" s="47"/>
      <c r="FR204" s="47"/>
      <c r="FS204" s="47"/>
      <c r="FT204" s="47"/>
      <c r="FU204" s="47"/>
      <c r="FV204" s="48"/>
      <c r="FW204" s="48"/>
      <c r="FX204" s="48"/>
      <c r="FY204" s="48"/>
      <c r="FZ204" s="48"/>
      <c r="GA204" s="49"/>
      <c r="GB204" s="49" t="str">
        <f t="shared" ca="1" si="10"/>
        <v/>
      </c>
      <c r="GC204" s="49" t="str">
        <f t="shared" ca="1" si="9"/>
        <v/>
      </c>
      <c r="GD204" s="49" t="e">
        <f ca="1">0.8*GD206</f>
        <v>#VALUE!</v>
      </c>
      <c r="GE204" s="49"/>
      <c r="GF204" s="49">
        <f ca="1">IF(FN156=1,GH177*GC188^2+GI177*GC188^1+GJ177+GG177/GB188,0)</f>
        <v>0</v>
      </c>
      <c r="GG204" s="49">
        <f ca="1">IF(FN156=1,GH177*GC188^2+GI177*GC188^1+GJ177,0)</f>
        <v>0</v>
      </c>
      <c r="GH204" s="49">
        <f ca="1">IF(FN156=1,3*GH177*GC188^2+2*GI177*GC188^1+GJ177,0)</f>
        <v>0</v>
      </c>
      <c r="GI204" s="49">
        <f ca="1">GI206</f>
        <v>0</v>
      </c>
      <c r="GJ204" s="49">
        <f ca="1">0.8*GJ206</f>
        <v>0</v>
      </c>
      <c r="GK204" s="49">
        <f ca="1">0.8*GK206</f>
        <v>0</v>
      </c>
      <c r="GL204" s="49">
        <f ca="1">GL206</f>
        <v>0</v>
      </c>
      <c r="GM204" s="49">
        <f ca="1">GM206</f>
        <v>0</v>
      </c>
      <c r="GN204" s="49">
        <f ca="1">IF(FN156=0,0,-GD177*GC188^2+GE177*GC188)</f>
        <v>0</v>
      </c>
      <c r="GO204" s="49">
        <f ca="1">IF(FN156=0,0,GH177*GD204^3+GI177*GD204^2+GJ177*GD204+GG177)</f>
        <v>0</v>
      </c>
      <c r="GP204" s="49"/>
      <c r="GQ204" s="49"/>
      <c r="GR204" s="49">
        <f ca="1">IF(FN156=0,0,IF(FO174=2,GC185,IF(FO174=1,GI169,0)))</f>
        <v>0</v>
      </c>
      <c r="GS204" s="49">
        <f ca="1">0.8*GS206</f>
        <v>0</v>
      </c>
      <c r="GT204" s="49">
        <f ca="1">IF(FN156=1,GH177*GC188^3+GI177*GC188^2+GJ177*GC188,0)</f>
        <v>0</v>
      </c>
      <c r="GU204" s="49">
        <f ca="1">GU206</f>
        <v>0</v>
      </c>
      <c r="GV204" s="49">
        <f ca="1">IF(FN156=0,0,IF(FO174=3,GV206,0))</f>
        <v>0</v>
      </c>
      <c r="GW204" s="49">
        <f ca="1">0.8*GW206</f>
        <v>0</v>
      </c>
      <c r="GX204" s="49">
        <f ca="1">IF(FN156=1,0.8*GX206,0)</f>
        <v>0</v>
      </c>
      <c r="GY204" s="49"/>
      <c r="GZ204" s="49"/>
      <c r="HA204" s="49">
        <v>23</v>
      </c>
      <c r="HB204" s="49" t="e">
        <f ca="1">HB180+HA204*(HB232-HB180)/HA231</f>
        <v>#VALUE!</v>
      </c>
      <c r="HC204" s="49" t="e">
        <f ca="1">HC180+HA204*(HC232-HC180)/HA231</f>
        <v>#VALUE!</v>
      </c>
      <c r="HD204" s="49" t="e">
        <f ca="1">GH177*HC204^3+GI177*HC204^2+GJ177*HC204+GG177+GD207</f>
        <v>#VALUE!</v>
      </c>
      <c r="HE204" s="49" t="e">
        <f t="shared" ca="1" si="5"/>
        <v>#VALUE!</v>
      </c>
      <c r="HF204" s="49" t="e">
        <f t="shared" ca="1" si="4"/>
        <v>#VALUE!</v>
      </c>
      <c r="HG204" s="49" t="e">
        <f t="shared" ca="1" si="6"/>
        <v>#VALUE!</v>
      </c>
      <c r="HH204" s="49" t="e">
        <f t="shared" ca="1" si="7"/>
        <v>#VALUE!</v>
      </c>
      <c r="HI204" s="49"/>
      <c r="HJ204" s="49"/>
      <c r="HK204" s="49"/>
      <c r="HL204" s="49"/>
      <c r="HM204" s="49"/>
    </row>
    <row r="205" spans="1:221" ht="3.75" customHeight="1">
      <c r="A205" s="1"/>
      <c r="B205" s="3"/>
      <c r="C205" s="3"/>
      <c r="D205" s="12"/>
      <c r="E205" s="39"/>
      <c r="F205" s="39"/>
      <c r="G205" s="39"/>
      <c r="H205" s="39"/>
      <c r="I205" s="39"/>
      <c r="J205" s="39"/>
      <c r="K205" s="197"/>
      <c r="L205" s="197"/>
      <c r="M205" s="197"/>
      <c r="N205" s="197"/>
      <c r="O205" s="197"/>
      <c r="P205" s="201"/>
      <c r="Q205" s="39"/>
      <c r="R205" s="39"/>
      <c r="S205" s="39"/>
      <c r="T205" s="197"/>
      <c r="U205" s="197"/>
      <c r="V205" s="197"/>
      <c r="W205" s="197"/>
      <c r="X205" s="197"/>
      <c r="Y205" s="38"/>
      <c r="Z205" s="38"/>
      <c r="AA205" s="38"/>
      <c r="AB205" s="39"/>
      <c r="AC205" s="39"/>
      <c r="AD205" s="197"/>
      <c r="AE205" s="197"/>
      <c r="AF205" s="146"/>
      <c r="AG205" s="146"/>
      <c r="AH205" s="146"/>
      <c r="AI205" s="197"/>
      <c r="AJ205" s="197"/>
      <c r="AK205" s="197"/>
      <c r="AL205" s="197"/>
      <c r="AM205" s="43"/>
      <c r="AN205" s="43" t="str">
        <f t="shared" ca="1" si="11"/>
        <v/>
      </c>
      <c r="AO205" s="228"/>
      <c r="AP205" s="228"/>
      <c r="AQ205" s="228"/>
      <c r="AR205" s="228"/>
      <c r="AS205" s="228"/>
      <c r="AT205" s="230" t="str">
        <f t="shared" ca="1" si="12"/>
        <v/>
      </c>
      <c r="AU205" s="231"/>
      <c r="AV205" s="231"/>
      <c r="AW205" s="230" t="str">
        <f ca="1">IF($FN$237=0,"",",")</f>
        <v/>
      </c>
      <c r="AX205" s="231"/>
      <c r="AY205" s="230" t="str">
        <f ca="1">IF($FN$237=0,"",",")</f>
        <v/>
      </c>
      <c r="AZ205" s="230" t="str">
        <f ca="1">IF($FN$237=0,"",",")</f>
        <v/>
      </c>
      <c r="BA205" s="231"/>
      <c r="BB205" s="230"/>
      <c r="BC205" s="230" t="str">
        <f ca="1">IF($FN$237=0,"",",")</f>
        <v/>
      </c>
      <c r="BD205" s="230"/>
      <c r="BE205" s="230"/>
      <c r="BF205" s="230" t="str">
        <f ca="1">IF($FN$237=0,"",",")</f>
        <v/>
      </c>
      <c r="BG205" s="230" t="str">
        <f ca="1">IF($FN$237=0,"",",")</f>
        <v/>
      </c>
      <c r="BH205" s="230"/>
      <c r="BI205" s="230"/>
      <c r="BJ205" s="230"/>
      <c r="BK205" s="230"/>
      <c r="BL205" s="230"/>
      <c r="BM205" s="230"/>
      <c r="BN205" s="230"/>
      <c r="BO205" s="230"/>
      <c r="BP205" s="230"/>
      <c r="BQ205" s="230"/>
      <c r="BR205" s="230"/>
      <c r="BS205" s="230"/>
      <c r="BT205" s="231"/>
      <c r="BU205" s="231"/>
      <c r="BV205" s="231"/>
      <c r="BW205" s="231"/>
      <c r="BX205" s="231"/>
      <c r="BY205" s="231"/>
      <c r="BZ205" s="231"/>
      <c r="CA205" s="231"/>
      <c r="CB205" s="231"/>
      <c r="CC205" s="231"/>
      <c r="CD205" s="231"/>
      <c r="CE205" s="126"/>
      <c r="CF205" s="126"/>
      <c r="CG205" s="126"/>
      <c r="CH205" s="645"/>
      <c r="CI205" s="645"/>
      <c r="CJ205" s="645"/>
      <c r="CK205" s="645"/>
      <c r="CL205" s="645"/>
      <c r="CM205" s="645"/>
      <c r="CN205" s="645"/>
      <c r="CO205" s="645"/>
      <c r="CP205" s="645"/>
      <c r="CQ205" s="645"/>
      <c r="CR205" s="645"/>
      <c r="CS205" s="645"/>
      <c r="CT205" s="645"/>
      <c r="CU205" s="645"/>
      <c r="CV205" s="645"/>
      <c r="CW205" s="645"/>
      <c r="CX205" s="645"/>
      <c r="CY205" s="645"/>
      <c r="CZ205" s="645"/>
      <c r="DA205" s="645"/>
      <c r="DB205" s="645"/>
      <c r="DC205" s="645"/>
      <c r="DD205" s="645"/>
      <c r="DE205" s="645"/>
      <c r="DF205" s="645"/>
      <c r="DG205" s="645"/>
      <c r="DH205" s="645"/>
      <c r="DI205" s="645"/>
      <c r="DJ205" s="645"/>
      <c r="DK205" s="645"/>
      <c r="DL205" s="645"/>
      <c r="DM205" s="645"/>
      <c r="DN205" s="645"/>
      <c r="DO205" s="645"/>
      <c r="DP205" s="645"/>
      <c r="DQ205" s="645"/>
      <c r="DR205" s="645"/>
      <c r="DS205" s="645"/>
      <c r="DT205" s="645"/>
      <c r="DU205" s="645"/>
      <c r="DV205" s="645"/>
      <c r="DW205" s="645"/>
      <c r="DX205" s="645"/>
      <c r="DY205" s="645"/>
      <c r="DZ205" s="645"/>
      <c r="EA205" s="645"/>
      <c r="EB205" s="645"/>
      <c r="EC205" s="645"/>
      <c r="ED205" s="645"/>
      <c r="EE205" s="645"/>
      <c r="EF205" s="645"/>
      <c r="EG205" s="645"/>
      <c r="EH205" s="645"/>
      <c r="EI205" s="645"/>
      <c r="EJ205" s="645"/>
      <c r="EK205" s="645"/>
      <c r="EL205" s="645"/>
      <c r="EM205" s="645"/>
      <c r="EN205" s="645"/>
      <c r="EO205" s="645"/>
      <c r="EP205" s="645"/>
      <c r="EQ205" s="645"/>
      <c r="ER205" s="645"/>
      <c r="ES205" s="645"/>
      <c r="ET205" s="645"/>
      <c r="EU205" s="645"/>
      <c r="EV205" s="645"/>
      <c r="EW205" s="645"/>
      <c r="EX205" s="645"/>
      <c r="EY205" s="645"/>
      <c r="EZ205" s="79"/>
      <c r="FA205" s="79"/>
      <c r="FB205" s="79"/>
      <c r="FC205" s="79"/>
      <c r="FD205" s="79"/>
      <c r="FE205" s="79"/>
      <c r="FF205" s="79"/>
      <c r="FG205" s="79"/>
      <c r="FH205" s="79"/>
      <c r="FI205" s="79"/>
      <c r="FJ205" s="79"/>
      <c r="FK205" s="79"/>
      <c r="FL205" s="79"/>
      <c r="FM205" s="47"/>
      <c r="FN205" s="47"/>
      <c r="FO205" s="47"/>
      <c r="FP205" s="47"/>
      <c r="FQ205" s="47"/>
      <c r="FR205" s="47"/>
      <c r="FS205" s="47"/>
      <c r="FT205" s="47"/>
      <c r="FU205" s="47"/>
      <c r="FV205" s="48"/>
      <c r="FW205" s="48"/>
      <c r="FX205" s="48"/>
      <c r="FY205" s="48"/>
      <c r="FZ205" s="48"/>
      <c r="GA205" s="49"/>
      <c r="GB205" s="49" t="str">
        <f t="shared" ca="1" si="10"/>
        <v/>
      </c>
      <c r="GC205" s="49" t="str">
        <f t="shared" ca="1" si="9"/>
        <v/>
      </c>
      <c r="GD205" s="49" t="e">
        <f ca="1">0.9*GD206</f>
        <v>#VALUE!</v>
      </c>
      <c r="GE205" s="49"/>
      <c r="GF205" s="49">
        <f ca="1">IF(FN156=1,GH177*GC189^2+GI177*GC189^1+GJ177+GG177/GB189,0)</f>
        <v>0</v>
      </c>
      <c r="GG205" s="49">
        <f ca="1">IF(FN156=1,GH177*GC189^2+GI177*GC189^1+GJ177,0)</f>
        <v>0</v>
      </c>
      <c r="GH205" s="49">
        <f ca="1">IF(FN156=1,3*GH177*GC189^2+2*GI177*GC189^1+GJ177,0)</f>
        <v>0</v>
      </c>
      <c r="GI205" s="49">
        <f ca="1">GI206</f>
        <v>0</v>
      </c>
      <c r="GJ205" s="49">
        <f ca="1">0.9*GJ206</f>
        <v>0</v>
      </c>
      <c r="GK205" s="49">
        <f ca="1">0.9*GK206</f>
        <v>0</v>
      </c>
      <c r="GL205" s="49">
        <f ca="1">GL206</f>
        <v>0</v>
      </c>
      <c r="GM205" s="49">
        <f ca="1">GM206</f>
        <v>0</v>
      </c>
      <c r="GN205" s="49">
        <f ca="1">IF(FN156=0,0,-GD177*GC189^2+GE177*GC189)</f>
        <v>0</v>
      </c>
      <c r="GO205" s="49">
        <f ca="1">IF(FN156=0,0,GH177*GD205^3+GI177*GD205^2+GJ177*GD205+GG177)</f>
        <v>0</v>
      </c>
      <c r="GP205" s="49"/>
      <c r="GQ205" s="49"/>
      <c r="GR205" s="49">
        <f ca="1">IF(FN156=0,0,IF(FO174=2,GC185,IF(FO174=1,GI169,0)))</f>
        <v>0</v>
      </c>
      <c r="GS205" s="49">
        <f ca="1">0.9*GS206</f>
        <v>0</v>
      </c>
      <c r="GT205" s="49">
        <f ca="1">IF(FN156=1,GH177*GC189^3+GI177*GC189^2+GJ177*GC189,0)</f>
        <v>0</v>
      </c>
      <c r="GU205" s="49">
        <f ca="1">GU206</f>
        <v>0</v>
      </c>
      <c r="GV205" s="49">
        <f ca="1">IF(FN156=0,0,IF(FO174=3,GV206,0))</f>
        <v>0</v>
      </c>
      <c r="GW205" s="49">
        <f ca="1">0.9*GW206</f>
        <v>0</v>
      </c>
      <c r="GX205" s="49">
        <f ca="1">IF(FN156=1,0.9*GX206,0)</f>
        <v>0</v>
      </c>
      <c r="GY205" s="49"/>
      <c r="GZ205" s="49"/>
      <c r="HA205" s="49">
        <v>24</v>
      </c>
      <c r="HB205" s="49" t="e">
        <f ca="1">HB180+HA205*(HB232-HB180)/HA231</f>
        <v>#VALUE!</v>
      </c>
      <c r="HC205" s="49" t="e">
        <f ca="1">HC180+HA205*(HC232-HC180)/HA231</f>
        <v>#VALUE!</v>
      </c>
      <c r="HD205" s="49" t="e">
        <f ca="1">GH177*HC205^3+GI177*HC205^2+GJ177*HC205+GG177+GD207</f>
        <v>#VALUE!</v>
      </c>
      <c r="HE205" s="49" t="e">
        <f t="shared" ca="1" si="5"/>
        <v>#VALUE!</v>
      </c>
      <c r="HF205" s="49" t="e">
        <f t="shared" ca="1" si="4"/>
        <v>#VALUE!</v>
      </c>
      <c r="HG205" s="49" t="e">
        <f t="shared" ca="1" si="6"/>
        <v>#VALUE!</v>
      </c>
      <c r="HH205" s="49" t="e">
        <f t="shared" ca="1" si="7"/>
        <v>#VALUE!</v>
      </c>
      <c r="HI205" s="49"/>
      <c r="HJ205" s="49"/>
      <c r="HK205" s="49"/>
      <c r="HL205" s="49"/>
      <c r="HM205" s="49"/>
    </row>
    <row r="206" spans="1:221" ht="3.75" customHeight="1">
      <c r="A206" s="1"/>
      <c r="B206" s="3"/>
      <c r="C206" s="3"/>
      <c r="D206" s="12"/>
      <c r="E206" s="39"/>
      <c r="F206" s="39"/>
      <c r="G206" s="39"/>
      <c r="H206" s="39"/>
      <c r="I206" s="39"/>
      <c r="J206" s="39"/>
      <c r="K206" s="197"/>
      <c r="L206" s="197"/>
      <c r="M206" s="197"/>
      <c r="N206" s="197"/>
      <c r="O206" s="197"/>
      <c r="P206" s="39"/>
      <c r="Q206" s="39"/>
      <c r="R206" s="39"/>
      <c r="S206" s="39"/>
      <c r="T206" s="197"/>
      <c r="U206" s="197"/>
      <c r="V206" s="197"/>
      <c r="W206" s="197"/>
      <c r="X206" s="197"/>
      <c r="Y206" s="38"/>
      <c r="Z206" s="38"/>
      <c r="AA206" s="197"/>
      <c r="AB206" s="197"/>
      <c r="AC206" s="197"/>
      <c r="AD206" s="197"/>
      <c r="AE206" s="197"/>
      <c r="AF206" s="197"/>
      <c r="AG206" s="197"/>
      <c r="AH206" s="197"/>
      <c r="AI206" s="197"/>
      <c r="AJ206" s="197"/>
      <c r="AK206" s="197"/>
      <c r="AL206" s="197"/>
      <c r="AM206" s="43"/>
      <c r="AN206" s="43" t="str">
        <f t="shared" ca="1" si="11"/>
        <v/>
      </c>
      <c r="AO206" s="228"/>
      <c r="AP206" s="228"/>
      <c r="AQ206" s="228"/>
      <c r="AR206" s="228"/>
      <c r="AS206" s="228"/>
      <c r="AT206" s="230" t="str">
        <f t="shared" ca="1" si="12"/>
        <v/>
      </c>
      <c r="AU206" s="231"/>
      <c r="AV206" s="228"/>
      <c r="AW206" s="230" t="str">
        <f ca="1">IF($FN$237=0,"",",")</f>
        <v/>
      </c>
      <c r="AX206" s="231"/>
      <c r="AY206" s="231"/>
      <c r="AZ206" s="230" t="str">
        <f ca="1">IF($FN$237=0,"",",")</f>
        <v/>
      </c>
      <c r="BA206" s="231"/>
      <c r="BB206" s="230"/>
      <c r="BC206" s="230" t="str">
        <f ca="1">IF($FN$237=0,"",",")</f>
        <v/>
      </c>
      <c r="BD206" s="230"/>
      <c r="BE206" s="230"/>
      <c r="BF206" s="230" t="str">
        <f ca="1">IF($FN$237=0,"",",")</f>
        <v/>
      </c>
      <c r="BG206" s="230"/>
      <c r="BH206" s="230" t="str">
        <f ca="1">IF($FN$237=0,"",",")</f>
        <v/>
      </c>
      <c r="BI206" s="230"/>
      <c r="BJ206" s="230"/>
      <c r="BK206" s="230"/>
      <c r="BL206" s="232" t="str">
        <f>IF(BC198=0,"",IF(BC198=1,"Eerst ga je op zoek naar het snijpunt van MO en MK. Zie de pijl.",IF(BC198=2,"Dan ga je op zoek naar de hoeveelheid waarbij geldt dat MO = MK. Zie de pijl.",IF(BC198=3,"Dan ga je op zoek naar de prijs (GO) bij de hoeveelheid waarbij geldt dat MO = MK. Zie de pijl.",IF(BC198=4,"Nu kun je zien hoeveel de omzet is bij de hoeveelheid van maximale winst (het bruine vlak).",IF(BC198=5,"Dan ga je op zoek naar de kostprijs (GTK) bij de hoeveelheid waarbij geldt dat MO = MK. Zie de pijl.",IF(BC198=6,"Nu kun je zien hoeveel de totale kosten zijn bij de hoeveelheid van maximale winst (het oranje vlak).","Trek je de totale kosten af van de omzet dan hou je de winst over en dan kun je zien hoeveel de totale maximale winst is (het roze vlak).")))))))</f>
        <v/>
      </c>
      <c r="BM206" s="233"/>
      <c r="BN206" s="233"/>
      <c r="BO206" s="233"/>
      <c r="BP206" s="233"/>
      <c r="BQ206" s="234"/>
      <c r="BR206" s="235"/>
      <c r="BS206" s="234"/>
      <c r="BT206" s="234"/>
      <c r="BU206" s="234"/>
      <c r="BV206" s="234"/>
      <c r="BW206" s="234"/>
      <c r="BX206" s="234"/>
      <c r="BY206" s="234"/>
      <c r="BZ206" s="234"/>
      <c r="CA206" s="234"/>
      <c r="CB206" s="234"/>
      <c r="CC206" s="234"/>
      <c r="CD206" s="234"/>
      <c r="CE206" s="79"/>
      <c r="CF206" s="79"/>
      <c r="CG206" s="79"/>
      <c r="CH206" s="645"/>
      <c r="CI206" s="645"/>
      <c r="CJ206" s="645"/>
      <c r="CK206" s="645"/>
      <c r="CL206" s="645"/>
      <c r="CM206" s="645"/>
      <c r="CN206" s="645"/>
      <c r="CO206" s="645"/>
      <c r="CP206" s="645"/>
      <c r="CQ206" s="645"/>
      <c r="CR206" s="645"/>
      <c r="CS206" s="645"/>
      <c r="CT206" s="645"/>
      <c r="CU206" s="645"/>
      <c r="CV206" s="645"/>
      <c r="CW206" s="645"/>
      <c r="CX206" s="645"/>
      <c r="CY206" s="645"/>
      <c r="CZ206" s="645"/>
      <c r="DA206" s="645"/>
      <c r="DB206" s="645"/>
      <c r="DC206" s="645"/>
      <c r="DD206" s="645"/>
      <c r="DE206" s="645"/>
      <c r="DF206" s="645"/>
      <c r="DG206" s="645"/>
      <c r="DH206" s="645"/>
      <c r="DI206" s="645"/>
      <c r="DJ206" s="645"/>
      <c r="DK206" s="645"/>
      <c r="DL206" s="645"/>
      <c r="DM206" s="645"/>
      <c r="DN206" s="645"/>
      <c r="DO206" s="645"/>
      <c r="DP206" s="645"/>
      <c r="DQ206" s="645"/>
      <c r="DR206" s="645"/>
      <c r="DS206" s="645"/>
      <c r="DT206" s="645"/>
      <c r="DU206" s="645"/>
      <c r="DV206" s="645"/>
      <c r="DW206" s="645"/>
      <c r="DX206" s="645"/>
      <c r="DY206" s="645"/>
      <c r="DZ206" s="645"/>
      <c r="EA206" s="645"/>
      <c r="EB206" s="645"/>
      <c r="EC206" s="645"/>
      <c r="ED206" s="645"/>
      <c r="EE206" s="645"/>
      <c r="EF206" s="645"/>
      <c r="EG206" s="645"/>
      <c r="EH206" s="645"/>
      <c r="EI206" s="645"/>
      <c r="EJ206" s="645"/>
      <c r="EK206" s="645"/>
      <c r="EL206" s="645"/>
      <c r="EM206" s="645"/>
      <c r="EN206" s="645"/>
      <c r="EO206" s="645"/>
      <c r="EP206" s="645"/>
      <c r="EQ206" s="645"/>
      <c r="ER206" s="645"/>
      <c r="ES206" s="645"/>
      <c r="ET206" s="645"/>
      <c r="EU206" s="645"/>
      <c r="EV206" s="645"/>
      <c r="EW206" s="645"/>
      <c r="EX206" s="645"/>
      <c r="EY206" s="645"/>
      <c r="EZ206" s="79"/>
      <c r="FA206" s="79"/>
      <c r="FB206" s="79"/>
      <c r="FC206" s="79"/>
      <c r="FD206" s="79"/>
      <c r="FE206" s="79"/>
      <c r="FF206" s="79"/>
      <c r="FG206" s="79"/>
      <c r="FH206" s="79"/>
      <c r="FI206" s="79"/>
      <c r="FJ206" s="79"/>
      <c r="FK206" s="79"/>
      <c r="FL206" s="79"/>
      <c r="FM206" s="47"/>
      <c r="FN206" s="47"/>
      <c r="FO206" s="47"/>
      <c r="FP206" s="47"/>
      <c r="FQ206" s="47"/>
      <c r="FR206" s="47"/>
      <c r="FS206" s="47"/>
      <c r="FT206" s="47"/>
      <c r="FU206" s="47"/>
      <c r="FV206" s="48"/>
      <c r="FW206" s="48"/>
      <c r="FX206" s="48"/>
      <c r="FY206" s="48"/>
      <c r="FZ206" s="48"/>
      <c r="GA206" s="49"/>
      <c r="GB206" s="49" t="str">
        <f ca="1">GC206</f>
        <v/>
      </c>
      <c r="GC206" s="49" t="str">
        <f t="shared" ca="1" si="9"/>
        <v/>
      </c>
      <c r="GD206" s="49" t="e">
        <f ca="1">IF(HE232&lt;GC206,HE232,GD167)</f>
        <v>#VALUE!</v>
      </c>
      <c r="GE206" s="49"/>
      <c r="GF206" s="49">
        <f ca="1">IF(FN156=1,GH177*GC190^2+GI177*GC190^1+GJ177+GG177/GB190,0)</f>
        <v>0</v>
      </c>
      <c r="GG206" s="49">
        <f ca="1">IF(FN156=1,GH177*GC190^2+GI177*GC190^1+GJ177,0)</f>
        <v>0</v>
      </c>
      <c r="GH206" s="49">
        <f ca="1">IF(FN156=1,3*GH177*GC190^2+2*GI177*GC190^1+GJ177,0)</f>
        <v>0</v>
      </c>
      <c r="GI206" s="49">
        <f ca="1">IF(FN156=0,0,IF(FO174=1,GH166,IF(FO174=2,GC185,0)))</f>
        <v>0</v>
      </c>
      <c r="GJ206" s="49">
        <f ca="1">IF(FN156=1,-GD177*GI206+GE177,0)</f>
        <v>0</v>
      </c>
      <c r="GK206" s="49">
        <f ca="1">IF(FN156=0,0,IF(FO174=1,GI206,IF(FO174=2,GI206,0)))</f>
        <v>0</v>
      </c>
      <c r="GL206" s="49">
        <f ca="1">IF(FN156=0,0,IF(FO174=1,GJ206,IF(FO174=2,GJ206,0)))</f>
        <v>0</v>
      </c>
      <c r="GM206" s="49">
        <f ca="1">IF(FN156=0,0,IF(FO174=1,GH177*GI206^2+GI177*GI206^1+GJ177+GG177/GI206,IF(FO174=2,GH177*GI206^2+GI177*GI206^1+GJ177+GG177/GI206,0)))</f>
        <v>0</v>
      </c>
      <c r="GN206" s="49">
        <f ca="1">IF(FN156=0,0,-GD177*GC190^2+GE177*GC190)</f>
        <v>0</v>
      </c>
      <c r="GO206" s="49">
        <f ca="1">IF(FN156=0,0,GH177*GD206^3+GI177*GD206^2+GJ177*GD206+GG177)</f>
        <v>0</v>
      </c>
      <c r="GP206" s="49"/>
      <c r="GQ206" s="49"/>
      <c r="GR206" s="49">
        <f ca="1">IF(FN156=0,0,IF(FO174=2,GC185,IF(FO174=1,GI169,0)))</f>
        <v>0</v>
      </c>
      <c r="GS206" s="49">
        <f ca="1">IF(FN156=0,0,-GD177*GR206^2+GE177*GR206)</f>
        <v>0</v>
      </c>
      <c r="GT206" s="49">
        <f ca="1">IF(FN156=1,GH177*GC190^3+GI177*GC190^2+GJ177*GC190,0)</f>
        <v>0</v>
      </c>
      <c r="GU206" s="49">
        <f ca="1">IF(FN156=0,0,IF(FO174=1,GH177*GH166^2+GI177*GH166^1+GJ177,IF(FO174=2,GH177*GH166^2+GI177*GH166^1+GJ177,0)))</f>
        <v>0</v>
      </c>
      <c r="GV206" s="49">
        <f ca="1">IF(FN156=0,0,0)</f>
        <v>0</v>
      </c>
      <c r="GW206" s="49">
        <f ca="1">IF(FN156=0,0,IF(FO174=3,GH177*GV206^3+GI177*GV206^2+GJ177*GV206+GG177,0))</f>
        <v>0</v>
      </c>
      <c r="GX206" s="49">
        <f ca="1">IF(FN156=0,0,IF(FO174=3,GH177*GV206^2+GI177*GV206^1+GJ177+GG177/GV206,0))</f>
        <v>0</v>
      </c>
      <c r="GY206" s="49"/>
      <c r="GZ206" s="49"/>
      <c r="HA206" s="49">
        <v>25</v>
      </c>
      <c r="HB206" s="49" t="e">
        <f ca="1">HB180+HA206*(HB232-HB180)/HA231</f>
        <v>#VALUE!</v>
      </c>
      <c r="HC206" s="49" t="e">
        <f ca="1">HC180+HA206*(HC232-HC180)/HA231</f>
        <v>#VALUE!</v>
      </c>
      <c r="HD206" s="49" t="e">
        <f ca="1">GH177*HC206^3+GI177*HC206^2+GJ177*HC206+GG177+GD207</f>
        <v>#VALUE!</v>
      </c>
      <c r="HE206" s="49" t="e">
        <f t="shared" ca="1" si="5"/>
        <v>#VALUE!</v>
      </c>
      <c r="HF206" s="49" t="e">
        <f t="shared" ca="1" si="4"/>
        <v>#VALUE!</v>
      </c>
      <c r="HG206" s="49" t="e">
        <f t="shared" ca="1" si="6"/>
        <v>#VALUE!</v>
      </c>
      <c r="HH206" s="49" t="e">
        <f t="shared" ca="1" si="7"/>
        <v>#VALUE!</v>
      </c>
      <c r="HI206" s="49"/>
      <c r="HJ206" s="49"/>
      <c r="HK206" s="49"/>
      <c r="HL206" s="49"/>
      <c r="HM206" s="49"/>
    </row>
    <row r="207" spans="1:221" ht="3.75" customHeight="1">
      <c r="A207" s="1"/>
      <c r="B207" s="3"/>
      <c r="C207" s="3"/>
      <c r="D207" s="12"/>
      <c r="E207" s="39"/>
      <c r="F207" s="39"/>
      <c r="G207" s="39"/>
      <c r="H207" s="39"/>
      <c r="I207" s="39"/>
      <c r="J207" s="39"/>
      <c r="K207" s="197"/>
      <c r="L207" s="197"/>
      <c r="M207" s="197"/>
      <c r="N207" s="197"/>
      <c r="O207" s="197"/>
      <c r="P207" s="39"/>
      <c r="Q207" s="39"/>
      <c r="R207" s="39"/>
      <c r="S207" s="39"/>
      <c r="T207" s="197"/>
      <c r="U207" s="197"/>
      <c r="V207" s="197"/>
      <c r="W207" s="197"/>
      <c r="X207" s="197"/>
      <c r="Y207" s="38"/>
      <c r="Z207" s="38"/>
      <c r="AA207" s="197"/>
      <c r="AB207" s="204"/>
      <c r="AC207" s="204"/>
      <c r="AD207" s="204"/>
      <c r="AE207" s="204"/>
      <c r="AF207" s="204"/>
      <c r="AG207" s="204"/>
      <c r="AH207" s="204"/>
      <c r="AI207" s="204"/>
      <c r="AJ207" s="204"/>
      <c r="AK207" s="204"/>
      <c r="AL207" s="197"/>
      <c r="AM207" s="126"/>
      <c r="AN207" s="43" t="str">
        <f t="shared" ca="1" si="11"/>
        <v/>
      </c>
      <c r="AO207" s="228"/>
      <c r="AP207" s="228"/>
      <c r="AQ207" s="228"/>
      <c r="AR207" s="228"/>
      <c r="AS207" s="228"/>
      <c r="AT207" s="230" t="str">
        <f t="shared" ca="1" si="12"/>
        <v/>
      </c>
      <c r="AU207" s="230"/>
      <c r="AV207" s="228"/>
      <c r="AW207" s="228"/>
      <c r="AX207" s="230" t="str">
        <f ca="1">IF($FN$237=0,"",",")</f>
        <v/>
      </c>
      <c r="AY207" s="230" t="str">
        <f ca="1">IF($FN$237=0,"",",")</f>
        <v/>
      </c>
      <c r="AZ207" s="230" t="str">
        <f ca="1">IF($FN$237=0,"",",")</f>
        <v/>
      </c>
      <c r="BA207" s="228"/>
      <c r="BB207" s="228"/>
      <c r="BC207" s="230" t="str">
        <f ca="1">IF($FN$237=0,"",",")</f>
        <v/>
      </c>
      <c r="BD207" s="228"/>
      <c r="BE207" s="228"/>
      <c r="BF207" s="230" t="str">
        <f ca="1">IF($FN$237=0,"",",")</f>
        <v/>
      </c>
      <c r="BG207" s="228"/>
      <c r="BH207" s="228"/>
      <c r="BI207" s="230" t="str">
        <f ca="1">IF($FN$237=0,"",",")</f>
        <v/>
      </c>
      <c r="BJ207" s="236"/>
      <c r="BK207" s="236"/>
      <c r="BL207" s="233"/>
      <c r="BM207" s="233"/>
      <c r="BN207" s="233"/>
      <c r="BO207" s="233"/>
      <c r="BP207" s="233"/>
      <c r="BQ207" s="235"/>
      <c r="BR207" s="235"/>
      <c r="BS207" s="234"/>
      <c r="BT207" s="234"/>
      <c r="BU207" s="234"/>
      <c r="BV207" s="234"/>
      <c r="BW207" s="234"/>
      <c r="BX207" s="234"/>
      <c r="BY207" s="234"/>
      <c r="BZ207" s="234"/>
      <c r="CA207" s="234"/>
      <c r="CB207" s="234"/>
      <c r="CC207" s="234"/>
      <c r="CD207" s="234"/>
      <c r="CE207" s="79"/>
      <c r="CF207" s="79"/>
      <c r="CG207" s="79"/>
      <c r="CH207" s="645"/>
      <c r="CI207" s="645"/>
      <c r="CJ207" s="645"/>
      <c r="CK207" s="645"/>
      <c r="CL207" s="645"/>
      <c r="CM207" s="645"/>
      <c r="CN207" s="645"/>
      <c r="CO207" s="645"/>
      <c r="CP207" s="645"/>
      <c r="CQ207" s="645"/>
      <c r="CR207" s="645"/>
      <c r="CS207" s="645"/>
      <c r="CT207" s="645"/>
      <c r="CU207" s="645"/>
      <c r="CV207" s="645"/>
      <c r="CW207" s="645"/>
      <c r="CX207" s="645"/>
      <c r="CY207" s="645"/>
      <c r="CZ207" s="645"/>
      <c r="DA207" s="645"/>
      <c r="DB207" s="645"/>
      <c r="DC207" s="645"/>
      <c r="DD207" s="645"/>
      <c r="DE207" s="645"/>
      <c r="DF207" s="645"/>
      <c r="DG207" s="645"/>
      <c r="DH207" s="645"/>
      <c r="DI207" s="645"/>
      <c r="DJ207" s="645"/>
      <c r="DK207" s="645"/>
      <c r="DL207" s="645"/>
      <c r="DM207" s="645"/>
      <c r="DN207" s="645"/>
      <c r="DO207" s="645"/>
      <c r="DP207" s="645"/>
      <c r="DQ207" s="645"/>
      <c r="DR207" s="645"/>
      <c r="DS207" s="645"/>
      <c r="DT207" s="645"/>
      <c r="DU207" s="645"/>
      <c r="DV207" s="645"/>
      <c r="DW207" s="645"/>
      <c r="DX207" s="645"/>
      <c r="DY207" s="645"/>
      <c r="DZ207" s="645"/>
      <c r="EA207" s="645"/>
      <c r="EB207" s="645"/>
      <c r="EC207" s="645"/>
      <c r="ED207" s="645"/>
      <c r="EE207" s="645"/>
      <c r="EF207" s="645"/>
      <c r="EG207" s="645"/>
      <c r="EH207" s="645"/>
      <c r="EI207" s="645"/>
      <c r="EJ207" s="645"/>
      <c r="EK207" s="645"/>
      <c r="EL207" s="645"/>
      <c r="EM207" s="645"/>
      <c r="EN207" s="645"/>
      <c r="EO207" s="645"/>
      <c r="EP207" s="645"/>
      <c r="EQ207" s="645"/>
      <c r="ER207" s="645"/>
      <c r="ES207" s="645"/>
      <c r="ET207" s="645"/>
      <c r="EU207" s="645"/>
      <c r="EV207" s="645"/>
      <c r="EW207" s="645"/>
      <c r="EX207" s="645"/>
      <c r="EY207" s="645"/>
      <c r="EZ207" s="79"/>
      <c r="FA207" s="79"/>
      <c r="FB207" s="79"/>
      <c r="FC207" s="79"/>
      <c r="FD207" s="79"/>
      <c r="FE207" s="79"/>
      <c r="FF207" s="79"/>
      <c r="FG207" s="79"/>
      <c r="FH207" s="79"/>
      <c r="FI207" s="79"/>
      <c r="FJ207" s="79"/>
      <c r="FK207" s="79"/>
      <c r="FL207" s="79"/>
      <c r="FM207" s="47"/>
      <c r="FN207" s="47"/>
      <c r="FO207" s="47"/>
      <c r="FP207" s="47"/>
      <c r="FQ207" s="47"/>
      <c r="FR207" s="47"/>
      <c r="FS207" s="47"/>
      <c r="FT207" s="47"/>
      <c r="FU207" s="47"/>
      <c r="FV207" s="48"/>
      <c r="FW207" s="48"/>
      <c r="FX207" s="48"/>
      <c r="FY207" s="48"/>
      <c r="FZ207" s="48"/>
      <c r="GA207" s="49"/>
      <c r="GB207" s="49"/>
      <c r="GC207" s="49"/>
      <c r="GD207" s="49">
        <f ca="1">-1.1*GN201</f>
        <v>0</v>
      </c>
      <c r="GE207" s="49">
        <f ca="1">-1*GN201</f>
        <v>0</v>
      </c>
      <c r="GF207" s="49"/>
      <c r="GG207" s="49"/>
      <c r="GH207" s="49"/>
      <c r="GI207" s="49"/>
      <c r="GJ207" s="49"/>
      <c r="GK207" s="49"/>
      <c r="GL207" s="49"/>
      <c r="GM207" s="49"/>
      <c r="GN207" s="49"/>
      <c r="GO207" s="49"/>
      <c r="GP207" s="49"/>
      <c r="GQ207" s="49"/>
      <c r="GR207" s="49"/>
      <c r="GS207" s="49"/>
      <c r="GT207" s="49"/>
      <c r="GU207" s="49"/>
      <c r="GV207" s="49"/>
      <c r="GW207" s="49"/>
      <c r="GX207" s="49"/>
      <c r="GY207" s="49"/>
      <c r="GZ207" s="49"/>
      <c r="HA207" s="49">
        <v>26</v>
      </c>
      <c r="HB207" s="49" t="e">
        <f ca="1">HB180+HA207*(HB232-HB180)/HA231</f>
        <v>#VALUE!</v>
      </c>
      <c r="HC207" s="49" t="e">
        <f ca="1">HC180+HA207*(HC232-HC180)/HA231</f>
        <v>#VALUE!</v>
      </c>
      <c r="HD207" s="49" t="e">
        <f ca="1">GH177*HC207^3+GI177*HC207^2+GJ177*HC207+GG177+GD207</f>
        <v>#VALUE!</v>
      </c>
      <c r="HE207" s="49" t="e">
        <f t="shared" ca="1" si="5"/>
        <v>#VALUE!</v>
      </c>
      <c r="HF207" s="49" t="e">
        <f t="shared" ca="1" si="4"/>
        <v>#VALUE!</v>
      </c>
      <c r="HG207" s="49" t="e">
        <f t="shared" ca="1" si="6"/>
        <v>#VALUE!</v>
      </c>
      <c r="HH207" s="49" t="e">
        <f t="shared" ca="1" si="7"/>
        <v>#VALUE!</v>
      </c>
      <c r="HI207" s="49"/>
      <c r="HJ207" s="49"/>
      <c r="HK207" s="49"/>
      <c r="HL207" s="49"/>
      <c r="HM207" s="49"/>
    </row>
    <row r="208" spans="1:221" ht="3.75" customHeight="1">
      <c r="A208" s="1"/>
      <c r="B208" s="3"/>
      <c r="C208" s="3"/>
      <c r="D208" s="12"/>
      <c r="E208" s="39"/>
      <c r="F208" s="39"/>
      <c r="G208" s="39"/>
      <c r="H208" s="39"/>
      <c r="I208" s="39"/>
      <c r="J208" s="39"/>
      <c r="K208" s="197"/>
      <c r="L208" s="197"/>
      <c r="M208" s="197"/>
      <c r="N208" s="197"/>
      <c r="O208" s="197"/>
      <c r="P208" s="39"/>
      <c r="Q208" s="39"/>
      <c r="R208" s="39"/>
      <c r="S208" s="39"/>
      <c r="T208" s="197"/>
      <c r="U208" s="197"/>
      <c r="V208" s="197"/>
      <c r="W208" s="197"/>
      <c r="X208" s="197"/>
      <c r="Y208" s="38"/>
      <c r="Z208" s="38"/>
      <c r="AA208" s="197"/>
      <c r="AB208" s="204"/>
      <c r="AC208" s="204"/>
      <c r="AD208" s="204"/>
      <c r="AE208" s="204"/>
      <c r="AF208" s="204"/>
      <c r="AG208" s="204"/>
      <c r="AH208" s="204"/>
      <c r="AI208" s="204"/>
      <c r="AJ208" s="204"/>
      <c r="AK208" s="204"/>
      <c r="AL208" s="197"/>
      <c r="AM208" s="126"/>
      <c r="AN208" s="43" t="str">
        <f t="shared" ca="1" si="11"/>
        <v/>
      </c>
      <c r="AO208" s="230"/>
      <c r="AP208" s="230"/>
      <c r="AQ208" s="230"/>
      <c r="AR208" s="230"/>
      <c r="AS208" s="230"/>
      <c r="AT208" s="230"/>
      <c r="AU208" s="230" t="str">
        <f t="shared" ref="AU208:AU213" ca="1" si="13">IF($FN$237=0,"",",")</f>
        <v/>
      </c>
      <c r="AV208" s="228"/>
      <c r="AW208" s="230"/>
      <c r="AX208" s="228"/>
      <c r="AY208" s="228"/>
      <c r="AZ208" s="230"/>
      <c r="BA208" s="230"/>
      <c r="BB208" s="230"/>
      <c r="BC208" s="230"/>
      <c r="BD208" s="230"/>
      <c r="BE208" s="230"/>
      <c r="BF208" s="230"/>
      <c r="BG208" s="230"/>
      <c r="BH208" s="230"/>
      <c r="BI208" s="230"/>
      <c r="BJ208" s="237"/>
      <c r="BK208" s="237"/>
      <c r="BL208" s="233"/>
      <c r="BM208" s="233"/>
      <c r="BN208" s="233"/>
      <c r="BO208" s="233"/>
      <c r="BP208" s="233"/>
      <c r="BQ208" s="235"/>
      <c r="BR208" s="235"/>
      <c r="BS208" s="234"/>
      <c r="BT208" s="234"/>
      <c r="BU208" s="234"/>
      <c r="BV208" s="234"/>
      <c r="BW208" s="234"/>
      <c r="BX208" s="234"/>
      <c r="BY208" s="234"/>
      <c r="BZ208" s="234"/>
      <c r="CA208" s="234"/>
      <c r="CB208" s="234"/>
      <c r="CC208" s="234"/>
      <c r="CD208" s="234"/>
      <c r="CE208" s="79"/>
      <c r="CF208" s="79"/>
      <c r="CG208" s="79"/>
      <c r="CH208" s="645"/>
      <c r="CI208" s="645"/>
      <c r="CJ208" s="645"/>
      <c r="CK208" s="645"/>
      <c r="CL208" s="645"/>
      <c r="CM208" s="645"/>
      <c r="CN208" s="645"/>
      <c r="CO208" s="645"/>
      <c r="CP208" s="645"/>
      <c r="CQ208" s="645"/>
      <c r="CR208" s="645"/>
      <c r="CS208" s="645"/>
      <c r="CT208" s="645"/>
      <c r="CU208" s="645"/>
      <c r="CV208" s="645"/>
      <c r="CW208" s="645"/>
      <c r="CX208" s="645"/>
      <c r="CY208" s="645"/>
      <c r="CZ208" s="645"/>
      <c r="DA208" s="645"/>
      <c r="DB208" s="645"/>
      <c r="DC208" s="645"/>
      <c r="DD208" s="645"/>
      <c r="DE208" s="645"/>
      <c r="DF208" s="645"/>
      <c r="DG208" s="645"/>
      <c r="DH208" s="645"/>
      <c r="DI208" s="645"/>
      <c r="DJ208" s="645"/>
      <c r="DK208" s="645"/>
      <c r="DL208" s="645"/>
      <c r="DM208" s="645"/>
      <c r="DN208" s="645"/>
      <c r="DO208" s="645"/>
      <c r="DP208" s="645"/>
      <c r="DQ208" s="645"/>
      <c r="DR208" s="645"/>
      <c r="DS208" s="645"/>
      <c r="DT208" s="645"/>
      <c r="DU208" s="645"/>
      <c r="DV208" s="645"/>
      <c r="DW208" s="645"/>
      <c r="DX208" s="645"/>
      <c r="DY208" s="645"/>
      <c r="DZ208" s="645"/>
      <c r="EA208" s="645"/>
      <c r="EB208" s="645"/>
      <c r="EC208" s="645"/>
      <c r="ED208" s="645"/>
      <c r="EE208" s="645"/>
      <c r="EF208" s="645"/>
      <c r="EG208" s="645"/>
      <c r="EH208" s="645"/>
      <c r="EI208" s="645"/>
      <c r="EJ208" s="645"/>
      <c r="EK208" s="645"/>
      <c r="EL208" s="645"/>
      <c r="EM208" s="645"/>
      <c r="EN208" s="645"/>
      <c r="EO208" s="645"/>
      <c r="EP208" s="645"/>
      <c r="EQ208" s="645"/>
      <c r="ER208" s="645"/>
      <c r="ES208" s="645"/>
      <c r="ET208" s="645"/>
      <c r="EU208" s="645"/>
      <c r="EV208" s="645"/>
      <c r="EW208" s="645"/>
      <c r="EX208" s="645"/>
      <c r="EY208" s="645"/>
      <c r="EZ208" s="79"/>
      <c r="FA208" s="79"/>
      <c r="FB208" s="79"/>
      <c r="FC208" s="79"/>
      <c r="FD208" s="79"/>
      <c r="FE208" s="79"/>
      <c r="FF208" s="79"/>
      <c r="FG208" s="79"/>
      <c r="FH208" s="79"/>
      <c r="FI208" s="79"/>
      <c r="FJ208" s="79"/>
      <c r="FK208" s="79"/>
      <c r="FL208" s="79"/>
      <c r="FM208" s="47"/>
      <c r="FN208" s="47"/>
      <c r="FO208" s="47"/>
      <c r="FP208" s="47"/>
      <c r="FQ208" s="47"/>
      <c r="FR208" s="47"/>
      <c r="FS208" s="47"/>
      <c r="FT208" s="47"/>
      <c r="FU208" s="47"/>
      <c r="FV208" s="48"/>
      <c r="FW208" s="48"/>
      <c r="FX208" s="48"/>
      <c r="FY208" s="48"/>
      <c r="FZ208" s="48"/>
      <c r="GA208" s="49"/>
      <c r="GB208" s="49"/>
      <c r="GC208" s="49"/>
      <c r="GD208" s="49"/>
      <c r="GE208" s="49"/>
      <c r="GF208" s="49"/>
      <c r="GG208" s="49"/>
      <c r="GH208" s="49"/>
      <c r="GI208" s="49"/>
      <c r="GJ208" s="49"/>
      <c r="GK208" s="49"/>
      <c r="GL208" s="49"/>
      <c r="GM208" s="49"/>
      <c r="GN208" s="49"/>
      <c r="GO208" s="49"/>
      <c r="GP208" s="49"/>
      <c r="GQ208" s="49"/>
      <c r="GR208" s="49"/>
      <c r="GS208" s="49"/>
      <c r="GT208" s="49"/>
      <c r="GU208" s="49"/>
      <c r="GV208" s="49"/>
      <c r="GW208" s="49"/>
      <c r="GX208" s="49"/>
      <c r="GY208" s="49"/>
      <c r="GZ208" s="49"/>
      <c r="HA208" s="49">
        <v>27</v>
      </c>
      <c r="HB208" s="49" t="e">
        <f ca="1">HB180+HA208*(HB232-HB180)/HA231</f>
        <v>#VALUE!</v>
      </c>
      <c r="HC208" s="49" t="e">
        <f ca="1">HC180+HA208*(HC232-HC180)/HA231</f>
        <v>#VALUE!</v>
      </c>
      <c r="HD208" s="49" t="e">
        <f ca="1">GH177*HC208^3+GI177*HC208^2+GJ177*HC208+GG177+GD207</f>
        <v>#VALUE!</v>
      </c>
      <c r="HE208" s="49" t="e">
        <f t="shared" ca="1" si="5"/>
        <v>#VALUE!</v>
      </c>
      <c r="HF208" s="49" t="e">
        <f t="shared" ca="1" si="4"/>
        <v>#VALUE!</v>
      </c>
      <c r="HG208" s="49" t="e">
        <f t="shared" ca="1" si="6"/>
        <v>#VALUE!</v>
      </c>
      <c r="HH208" s="49" t="e">
        <f t="shared" ca="1" si="7"/>
        <v>#VALUE!</v>
      </c>
      <c r="HI208" s="49"/>
      <c r="HJ208" s="49"/>
      <c r="HK208" s="49"/>
      <c r="HL208" s="49"/>
      <c r="HM208" s="49"/>
    </row>
    <row r="209" spans="1:221" ht="3.75" customHeight="1">
      <c r="A209" s="1"/>
      <c r="B209" s="3"/>
      <c r="C209" s="3"/>
      <c r="D209" s="12"/>
      <c r="E209" s="197"/>
      <c r="F209" s="197"/>
      <c r="G209" s="39"/>
      <c r="H209" s="39"/>
      <c r="I209" s="39"/>
      <c r="J209" s="39"/>
      <c r="K209" s="197"/>
      <c r="L209" s="197"/>
      <c r="M209" s="197"/>
      <c r="N209" s="197"/>
      <c r="O209" s="39"/>
      <c r="P209" s="39"/>
      <c r="Q209" s="197"/>
      <c r="R209" s="197"/>
      <c r="S209" s="197"/>
      <c r="T209" s="197"/>
      <c r="U209" s="197"/>
      <c r="V209" s="197"/>
      <c r="W209" s="197"/>
      <c r="X209" s="197"/>
      <c r="Y209" s="38"/>
      <c r="Z209" s="38"/>
      <c r="AA209" s="197"/>
      <c r="AB209" s="204"/>
      <c r="AC209" s="204"/>
      <c r="AD209" s="204"/>
      <c r="AE209" s="204"/>
      <c r="AF209" s="204"/>
      <c r="AG209" s="204"/>
      <c r="AH209" s="204"/>
      <c r="AI209" s="204"/>
      <c r="AJ209" s="204"/>
      <c r="AK209" s="204"/>
      <c r="AL209" s="197"/>
      <c r="AM209" s="126"/>
      <c r="AN209" s="43" t="str">
        <f t="shared" ca="1" si="11"/>
        <v/>
      </c>
      <c r="AO209" s="230" t="str">
        <f ca="1">IF($FN$237=0,"",":")</f>
        <v/>
      </c>
      <c r="AP209" s="230"/>
      <c r="AQ209" s="230"/>
      <c r="AR209" s="230"/>
      <c r="AS209" s="230"/>
      <c r="AT209" s="230"/>
      <c r="AU209" s="230" t="str">
        <f t="shared" ca="1" si="13"/>
        <v/>
      </c>
      <c r="AV209" s="228"/>
      <c r="AW209" s="230"/>
      <c r="AX209" s="230"/>
      <c r="AY209" s="230"/>
      <c r="AZ209" s="230"/>
      <c r="BA209" s="230"/>
      <c r="BB209" s="230"/>
      <c r="BC209" s="230"/>
      <c r="BD209" s="230"/>
      <c r="BE209" s="230"/>
      <c r="BF209" s="230"/>
      <c r="BG209" s="230"/>
      <c r="BH209" s="230"/>
      <c r="BI209" s="230"/>
      <c r="BJ209" s="237"/>
      <c r="BK209" s="237"/>
      <c r="BL209" s="233"/>
      <c r="BM209" s="233"/>
      <c r="BN209" s="233"/>
      <c r="BO209" s="233"/>
      <c r="BP209" s="233"/>
      <c r="BQ209" s="235"/>
      <c r="BR209" s="235"/>
      <c r="BS209" s="234"/>
      <c r="BT209" s="234"/>
      <c r="BU209" s="234"/>
      <c r="BV209" s="234"/>
      <c r="BW209" s="234"/>
      <c r="BX209" s="234"/>
      <c r="BY209" s="234"/>
      <c r="BZ209" s="234"/>
      <c r="CA209" s="234"/>
      <c r="CB209" s="234"/>
      <c r="CC209" s="234"/>
      <c r="CD209" s="234"/>
      <c r="CE209" s="79"/>
      <c r="CF209" s="79"/>
      <c r="CG209" s="79"/>
      <c r="CH209" s="645"/>
      <c r="CI209" s="645"/>
      <c r="CJ209" s="645"/>
      <c r="CK209" s="645"/>
      <c r="CL209" s="645"/>
      <c r="CM209" s="645"/>
      <c r="CN209" s="645"/>
      <c r="CO209" s="645"/>
      <c r="CP209" s="645"/>
      <c r="CQ209" s="645"/>
      <c r="CR209" s="645"/>
      <c r="CS209" s="645"/>
      <c r="CT209" s="645"/>
      <c r="CU209" s="645"/>
      <c r="CV209" s="645"/>
      <c r="CW209" s="645"/>
      <c r="CX209" s="645"/>
      <c r="CY209" s="645"/>
      <c r="CZ209" s="645"/>
      <c r="DA209" s="645"/>
      <c r="DB209" s="645"/>
      <c r="DC209" s="645"/>
      <c r="DD209" s="645"/>
      <c r="DE209" s="645"/>
      <c r="DF209" s="645"/>
      <c r="DG209" s="645"/>
      <c r="DH209" s="645"/>
      <c r="DI209" s="645"/>
      <c r="DJ209" s="645"/>
      <c r="DK209" s="645"/>
      <c r="DL209" s="645"/>
      <c r="DM209" s="645"/>
      <c r="DN209" s="645"/>
      <c r="DO209" s="645"/>
      <c r="DP209" s="645"/>
      <c r="DQ209" s="645"/>
      <c r="DR209" s="645"/>
      <c r="DS209" s="645"/>
      <c r="DT209" s="645"/>
      <c r="DU209" s="645"/>
      <c r="DV209" s="645"/>
      <c r="DW209" s="645"/>
      <c r="DX209" s="645"/>
      <c r="DY209" s="645"/>
      <c r="DZ209" s="645"/>
      <c r="EA209" s="645"/>
      <c r="EB209" s="645"/>
      <c r="EC209" s="645"/>
      <c r="ED209" s="645"/>
      <c r="EE209" s="645"/>
      <c r="EF209" s="645"/>
      <c r="EG209" s="645"/>
      <c r="EH209" s="645"/>
      <c r="EI209" s="645"/>
      <c r="EJ209" s="645"/>
      <c r="EK209" s="645"/>
      <c r="EL209" s="645"/>
      <c r="EM209" s="645"/>
      <c r="EN209" s="645"/>
      <c r="EO209" s="645"/>
      <c r="EP209" s="645"/>
      <c r="EQ209" s="645"/>
      <c r="ER209" s="645"/>
      <c r="ES209" s="645"/>
      <c r="ET209" s="645"/>
      <c r="EU209" s="645"/>
      <c r="EV209" s="645"/>
      <c r="EW209" s="645"/>
      <c r="EX209" s="645"/>
      <c r="EY209" s="645"/>
      <c r="EZ209" s="79"/>
      <c r="FA209" s="79"/>
      <c r="FB209" s="79"/>
      <c r="FC209" s="79"/>
      <c r="FD209" s="79"/>
      <c r="FE209" s="79"/>
      <c r="FF209" s="79"/>
      <c r="FG209" s="79"/>
      <c r="FH209" s="79"/>
      <c r="FI209" s="79"/>
      <c r="FJ209" s="79"/>
      <c r="FK209" s="79"/>
      <c r="FL209" s="79"/>
      <c r="FM209" s="47"/>
      <c r="FN209" s="47"/>
      <c r="FO209" s="47"/>
      <c r="FP209" s="47"/>
      <c r="FQ209" s="47"/>
      <c r="FR209" s="47"/>
      <c r="FS209" s="47"/>
      <c r="FT209" s="47"/>
      <c r="FU209" s="47"/>
      <c r="FV209" s="48"/>
      <c r="FW209" s="48"/>
      <c r="FX209" s="48"/>
      <c r="FY209" s="48"/>
      <c r="FZ209" s="48"/>
      <c r="GA209" s="49"/>
      <c r="GB209" s="49"/>
      <c r="GC209" s="49"/>
      <c r="GD209" s="49"/>
      <c r="GE209" s="49"/>
      <c r="GF209" s="49" t="s">
        <v>53</v>
      </c>
      <c r="GG209" s="49" t="s">
        <v>55</v>
      </c>
      <c r="GH209" s="49" t="s">
        <v>26</v>
      </c>
      <c r="GI209" s="49" t="s">
        <v>60</v>
      </c>
      <c r="GJ209" s="49"/>
      <c r="GK209" s="49" t="s">
        <v>71</v>
      </c>
      <c r="GL209" s="49" t="s">
        <v>72</v>
      </c>
      <c r="GM209" s="49" t="s">
        <v>73</v>
      </c>
      <c r="GN209" s="49" t="s">
        <v>5</v>
      </c>
      <c r="GO209" s="49" t="s">
        <v>3</v>
      </c>
      <c r="GP209" s="49" t="s">
        <v>58</v>
      </c>
      <c r="GQ209" s="49" t="s">
        <v>59</v>
      </c>
      <c r="GR209" s="49" t="s">
        <v>60</v>
      </c>
      <c r="GS209" s="49"/>
      <c r="GT209" s="49" t="s">
        <v>2</v>
      </c>
      <c r="GU209" s="49" t="s">
        <v>87</v>
      </c>
      <c r="GV209" s="49" t="s">
        <v>60</v>
      </c>
      <c r="GW209" s="49"/>
      <c r="GX209" s="49"/>
      <c r="GY209" s="49"/>
      <c r="GZ209" s="49"/>
      <c r="HA209" s="49">
        <v>28</v>
      </c>
      <c r="HB209" s="49" t="e">
        <f ca="1">HB180+HA209*(HB232-HB180)/HA231</f>
        <v>#VALUE!</v>
      </c>
      <c r="HC209" s="49" t="e">
        <f ca="1">HC180+HA209*(HC232-HC180)/HA231</f>
        <v>#VALUE!</v>
      </c>
      <c r="HD209" s="49" t="e">
        <f ca="1">GH177*HC209^3+GI177*HC209^2+GJ177*HC209+GG177+GD207</f>
        <v>#VALUE!</v>
      </c>
      <c r="HE209" s="49" t="e">
        <f t="shared" ca="1" si="5"/>
        <v>#VALUE!</v>
      </c>
      <c r="HF209" s="49" t="e">
        <f t="shared" ca="1" si="4"/>
        <v>#VALUE!</v>
      </c>
      <c r="HG209" s="49" t="e">
        <f t="shared" ca="1" si="6"/>
        <v>#VALUE!</v>
      </c>
      <c r="HH209" s="49" t="e">
        <f t="shared" ca="1" si="7"/>
        <v>#VALUE!</v>
      </c>
      <c r="HI209" s="49"/>
      <c r="HJ209" s="49"/>
      <c r="HK209" s="49"/>
      <c r="HL209" s="49"/>
      <c r="HM209" s="49"/>
    </row>
    <row r="210" spans="1:221" ht="3.75" customHeight="1">
      <c r="A210" s="1"/>
      <c r="B210" s="3"/>
      <c r="C210" s="3"/>
      <c r="D210" s="12"/>
      <c r="E210" s="197"/>
      <c r="F210" s="197"/>
      <c r="G210" s="39"/>
      <c r="H210" s="39"/>
      <c r="I210" s="39"/>
      <c r="J210" s="39"/>
      <c r="K210" s="197"/>
      <c r="L210" s="197"/>
      <c r="M210" s="197"/>
      <c r="N210" s="197"/>
      <c r="O210" s="39"/>
      <c r="P210" s="39"/>
      <c r="Q210" s="197"/>
      <c r="R210" s="197"/>
      <c r="S210" s="197"/>
      <c r="T210" s="197"/>
      <c r="U210" s="197"/>
      <c r="V210" s="197"/>
      <c r="W210" s="197"/>
      <c r="X210" s="197"/>
      <c r="Y210" s="38"/>
      <c r="Z210" s="38"/>
      <c r="AA210" s="197"/>
      <c r="AB210" s="204"/>
      <c r="AC210" s="204"/>
      <c r="AD210" s="204"/>
      <c r="AE210" s="204"/>
      <c r="AF210" s="204"/>
      <c r="AG210" s="204"/>
      <c r="AH210" s="204"/>
      <c r="AI210" s="204"/>
      <c r="AJ210" s="204"/>
      <c r="AK210" s="204"/>
      <c r="AL210" s="197"/>
      <c r="AM210" s="126"/>
      <c r="AN210" s="43" t="str">
        <f t="shared" ca="1" si="11"/>
        <v/>
      </c>
      <c r="AO210" s="230" t="str">
        <f ca="1">IF($FN$237=0,"","!")</f>
        <v/>
      </c>
      <c r="AP210" s="230" t="str">
        <f ca="1">IF($FN$237=0,"",":")</f>
        <v/>
      </c>
      <c r="AQ210" s="230"/>
      <c r="AR210" s="230"/>
      <c r="AS210" s="230"/>
      <c r="AT210" s="230"/>
      <c r="AU210" s="230" t="str">
        <f t="shared" ca="1" si="13"/>
        <v/>
      </c>
      <c r="AV210" s="228"/>
      <c r="AW210" s="230"/>
      <c r="AX210" s="230"/>
      <c r="AY210" s="230"/>
      <c r="AZ210" s="230"/>
      <c r="BA210" s="230"/>
      <c r="BB210" s="230"/>
      <c r="BC210" s="230"/>
      <c r="BD210" s="230"/>
      <c r="BE210" s="230"/>
      <c r="BF210" s="230"/>
      <c r="BG210" s="230"/>
      <c r="BH210" s="230"/>
      <c r="BI210" s="230"/>
      <c r="BJ210" s="237"/>
      <c r="BK210" s="237"/>
      <c r="BL210" s="233"/>
      <c r="BM210" s="233"/>
      <c r="BN210" s="233"/>
      <c r="BO210" s="233"/>
      <c r="BP210" s="233"/>
      <c r="BQ210" s="235"/>
      <c r="BR210" s="235"/>
      <c r="BS210" s="234"/>
      <c r="BT210" s="234"/>
      <c r="BU210" s="234"/>
      <c r="BV210" s="234"/>
      <c r="BW210" s="234"/>
      <c r="BX210" s="234"/>
      <c r="BY210" s="234"/>
      <c r="BZ210" s="234"/>
      <c r="CA210" s="234"/>
      <c r="CB210" s="234"/>
      <c r="CC210" s="234"/>
      <c r="CD210" s="234"/>
      <c r="CE210" s="79"/>
      <c r="CF210" s="79"/>
      <c r="CG210" s="79"/>
      <c r="CH210" s="645"/>
      <c r="CI210" s="645"/>
      <c r="CJ210" s="645"/>
      <c r="CK210" s="645"/>
      <c r="CL210" s="645"/>
      <c r="CM210" s="645"/>
      <c r="CN210" s="645"/>
      <c r="CO210" s="645"/>
      <c r="CP210" s="645"/>
      <c r="CQ210" s="645"/>
      <c r="CR210" s="645"/>
      <c r="CS210" s="645"/>
      <c r="CT210" s="645"/>
      <c r="CU210" s="645"/>
      <c r="CV210" s="645"/>
      <c r="CW210" s="645"/>
      <c r="CX210" s="645"/>
      <c r="CY210" s="645"/>
      <c r="CZ210" s="645"/>
      <c r="DA210" s="645"/>
      <c r="DB210" s="645"/>
      <c r="DC210" s="645"/>
      <c r="DD210" s="645"/>
      <c r="DE210" s="645"/>
      <c r="DF210" s="645"/>
      <c r="DG210" s="645"/>
      <c r="DH210" s="645"/>
      <c r="DI210" s="645"/>
      <c r="DJ210" s="645"/>
      <c r="DK210" s="645"/>
      <c r="DL210" s="645"/>
      <c r="DM210" s="645"/>
      <c r="DN210" s="645"/>
      <c r="DO210" s="645"/>
      <c r="DP210" s="645"/>
      <c r="DQ210" s="645"/>
      <c r="DR210" s="645"/>
      <c r="DS210" s="645"/>
      <c r="DT210" s="645"/>
      <c r="DU210" s="645"/>
      <c r="DV210" s="645"/>
      <c r="DW210" s="645"/>
      <c r="DX210" s="645"/>
      <c r="DY210" s="645"/>
      <c r="DZ210" s="645"/>
      <c r="EA210" s="645"/>
      <c r="EB210" s="645"/>
      <c r="EC210" s="645"/>
      <c r="ED210" s="645"/>
      <c r="EE210" s="645"/>
      <c r="EF210" s="645"/>
      <c r="EG210" s="645"/>
      <c r="EH210" s="645"/>
      <c r="EI210" s="645"/>
      <c r="EJ210" s="645"/>
      <c r="EK210" s="645"/>
      <c r="EL210" s="645"/>
      <c r="EM210" s="645"/>
      <c r="EN210" s="645"/>
      <c r="EO210" s="645"/>
      <c r="EP210" s="645"/>
      <c r="EQ210" s="645"/>
      <c r="ER210" s="645"/>
      <c r="ES210" s="645"/>
      <c r="ET210" s="645"/>
      <c r="EU210" s="645"/>
      <c r="EV210" s="645"/>
      <c r="EW210" s="645"/>
      <c r="EX210" s="645"/>
      <c r="EY210" s="645"/>
      <c r="EZ210" s="79"/>
      <c r="FA210" s="79"/>
      <c r="FB210" s="79"/>
      <c r="FC210" s="79"/>
      <c r="FD210" s="79"/>
      <c r="FE210" s="79"/>
      <c r="FF210" s="79"/>
      <c r="FG210" s="79"/>
      <c r="FH210" s="79"/>
      <c r="FI210" s="79"/>
      <c r="FJ210" s="79"/>
      <c r="FK210" s="79"/>
      <c r="FL210" s="79"/>
      <c r="FM210" s="470"/>
      <c r="FN210" s="79"/>
      <c r="FO210" s="79"/>
      <c r="FP210" s="47"/>
      <c r="FQ210" s="47"/>
      <c r="FR210" s="47"/>
      <c r="FS210" s="47"/>
      <c r="FT210" s="47"/>
      <c r="FU210" s="47"/>
      <c r="FV210" s="48"/>
      <c r="FW210" s="48"/>
      <c r="FX210" s="48"/>
      <c r="FY210" s="48"/>
      <c r="FZ210" s="48"/>
      <c r="GA210" s="49" t="e">
        <f ca="1">-(GA212+(GA212^2-4*GA211*GA213)^0.5)/(2*GA211)</f>
        <v>#VALUE!</v>
      </c>
      <c r="GB210" s="49">
        <f ca="1">IF(FN156=1,GA210,0)</f>
        <v>0</v>
      </c>
      <c r="GC210" s="49" t="str">
        <f t="shared" ref="GC210:GC220" ca="1" si="14">GC180</f>
        <v/>
      </c>
      <c r="GD210" s="49"/>
      <c r="GE210" s="49">
        <f ca="1">IF(FN156=0,0,IF(FO174=1,GI220-2*GC181,IF(FO174=2,GI220-2*GC181,0)))</f>
        <v>0</v>
      </c>
      <c r="GF210" s="49">
        <f t="shared" ref="GF210:GF220" ca="1" si="15">IF(FN$156=1,GK$177*GB210^1+GL$177+GG$177/GB210,0)</f>
        <v>0</v>
      </c>
      <c r="GG210" s="49">
        <f t="shared" ref="GG210:GG220" ca="1" si="16">IF(FN$156=1,GK$177*GC210^1+GL$177,0)</f>
        <v>0</v>
      </c>
      <c r="GH210" s="49">
        <f ca="1">IF(FN156=1,2*GK177*GC180^1+GL177,0)</f>
        <v>0</v>
      </c>
      <c r="GI210" s="49">
        <f ca="1">GI220</f>
        <v>0</v>
      </c>
      <c r="GJ210" s="49">
        <f ca="1">0*GJ220</f>
        <v>0</v>
      </c>
      <c r="GK210" s="49">
        <f ca="1">0*GK220</f>
        <v>0</v>
      </c>
      <c r="GL210" s="49">
        <f ca="1">GL220</f>
        <v>0</v>
      </c>
      <c r="GM210" s="49">
        <f ca="1">GM220</f>
        <v>0</v>
      </c>
      <c r="GN210" s="49">
        <f ca="1">IF(FN156=0,0,-GD177*GC180^2+GE177*GC180)</f>
        <v>0</v>
      </c>
      <c r="GO210" s="49">
        <f t="shared" ref="GO210:GO220" ca="1" si="17">IF(FN$156=1,GK$177*GC210^2+GL$177*GC210+GG$177,0)</f>
        <v>0</v>
      </c>
      <c r="GP210" s="49">
        <f ca="1">IF(FN156=0,0,IF(FO174=2,GN185,IF(FO174=1,GO168*GE210+GP169,0)))</f>
        <v>0</v>
      </c>
      <c r="GQ210" s="49">
        <f ca="1">IF(FN156=0,0,IF(FO174=1,GP168*GE210+GP172,0))</f>
        <v>0</v>
      </c>
      <c r="GR210" s="49">
        <f ca="1">GR220</f>
        <v>0</v>
      </c>
      <c r="GS210" s="49">
        <f ca="1">0*GS220</f>
        <v>0</v>
      </c>
      <c r="GT210" s="49">
        <f t="shared" ref="GT210:GT220" ca="1" si="18">IF(FN$156=1,GK$177*GC180^2+GL$177*GC180,0)</f>
        <v>0</v>
      </c>
      <c r="GU210" s="49">
        <f ca="1">GU220</f>
        <v>0</v>
      </c>
      <c r="GV210" s="49">
        <f ca="1">IF(FN156=0,0,IF(FO174=3,GV220,0))</f>
        <v>0</v>
      </c>
      <c r="GW210" s="49">
        <f ca="1">0*GW220</f>
        <v>0</v>
      </c>
      <c r="GX210" s="49">
        <f ca="1">0*GX220</f>
        <v>0</v>
      </c>
      <c r="GY210" s="49"/>
      <c r="GZ210" s="49"/>
      <c r="HA210" s="49">
        <v>29</v>
      </c>
      <c r="HB210" s="49" t="e">
        <f ca="1">HB180+HA210*(HB232-HB180)/HA231</f>
        <v>#VALUE!</v>
      </c>
      <c r="HC210" s="49" t="e">
        <f ca="1">HC180+HA210*(HC232-HC180)/HA231</f>
        <v>#VALUE!</v>
      </c>
      <c r="HD210" s="49" t="e">
        <f ca="1">GH177*HC210^3+GI177*HC210^2+GJ177*HC210+GG177+GD207</f>
        <v>#VALUE!</v>
      </c>
      <c r="HE210" s="49" t="e">
        <f t="shared" ca="1" si="5"/>
        <v>#VALUE!</v>
      </c>
      <c r="HF210" s="49" t="e">
        <f t="shared" ca="1" si="4"/>
        <v>#VALUE!</v>
      </c>
      <c r="HG210" s="49" t="e">
        <f t="shared" ca="1" si="6"/>
        <v>#VALUE!</v>
      </c>
      <c r="HH210" s="49" t="e">
        <f t="shared" ca="1" si="7"/>
        <v>#VALUE!</v>
      </c>
      <c r="HI210" s="49"/>
      <c r="HJ210" s="49"/>
      <c r="HK210" s="49"/>
      <c r="HL210" s="49"/>
      <c r="HM210" s="49"/>
    </row>
    <row r="211" spans="1:221" ht="3.75" customHeight="1">
      <c r="A211" s="1"/>
      <c r="B211" s="3"/>
      <c r="C211" s="3"/>
      <c r="D211" s="12"/>
      <c r="E211" s="197"/>
      <c r="F211" s="197"/>
      <c r="G211" s="39"/>
      <c r="H211" s="39"/>
      <c r="I211" s="39"/>
      <c r="J211" s="39"/>
      <c r="K211" s="197"/>
      <c r="L211" s="197"/>
      <c r="M211" s="197"/>
      <c r="N211" s="197"/>
      <c r="O211" s="39"/>
      <c r="P211" s="39"/>
      <c r="Q211" s="197"/>
      <c r="R211" s="197"/>
      <c r="S211" s="197"/>
      <c r="T211" s="197"/>
      <c r="U211" s="197"/>
      <c r="V211" s="197"/>
      <c r="W211" s="197"/>
      <c r="X211" s="197"/>
      <c r="Y211" s="38"/>
      <c r="Z211" s="38"/>
      <c r="AA211" s="197"/>
      <c r="AB211" s="197"/>
      <c r="AC211" s="197"/>
      <c r="AD211" s="197"/>
      <c r="AE211" s="197"/>
      <c r="AF211" s="197"/>
      <c r="AG211" s="197"/>
      <c r="AH211" s="197"/>
      <c r="AI211" s="197"/>
      <c r="AJ211" s="197"/>
      <c r="AK211" s="197"/>
      <c r="AL211" s="197"/>
      <c r="AM211" s="126"/>
      <c r="AN211" s="43" t="str">
        <f t="shared" ca="1" si="11"/>
        <v/>
      </c>
      <c r="AO211" s="230" t="str">
        <f ca="1">IF($FN$237=0,"","!")</f>
        <v/>
      </c>
      <c r="AP211" s="237"/>
      <c r="AQ211" s="230" t="str">
        <f ca="1">IF($FN$237=0,"",":")</f>
        <v/>
      </c>
      <c r="AR211" s="230"/>
      <c r="AS211" s="230"/>
      <c r="AT211" s="230"/>
      <c r="AU211" s="230" t="str">
        <f t="shared" ca="1" si="13"/>
        <v/>
      </c>
      <c r="AV211" s="228"/>
      <c r="AW211" s="230"/>
      <c r="AX211" s="230"/>
      <c r="AY211" s="230"/>
      <c r="AZ211" s="230"/>
      <c r="BA211" s="230"/>
      <c r="BB211" s="230"/>
      <c r="BC211" s="230"/>
      <c r="BD211" s="230"/>
      <c r="BE211" s="230"/>
      <c r="BF211" s="230"/>
      <c r="BG211" s="230"/>
      <c r="BH211" s="230"/>
      <c r="BI211" s="230"/>
      <c r="BJ211" s="237"/>
      <c r="BK211" s="237"/>
      <c r="BL211" s="233"/>
      <c r="BM211" s="233"/>
      <c r="BN211" s="233"/>
      <c r="BO211" s="233"/>
      <c r="BP211" s="233"/>
      <c r="BQ211" s="235"/>
      <c r="BR211" s="235"/>
      <c r="BS211" s="234"/>
      <c r="BT211" s="234"/>
      <c r="BU211" s="234"/>
      <c r="BV211" s="234"/>
      <c r="BW211" s="234"/>
      <c r="BX211" s="234"/>
      <c r="BY211" s="234"/>
      <c r="BZ211" s="234"/>
      <c r="CA211" s="234"/>
      <c r="CB211" s="234"/>
      <c r="CC211" s="234"/>
      <c r="CD211" s="234"/>
      <c r="CE211" s="79"/>
      <c r="CF211" s="79"/>
      <c r="CG211" s="79"/>
      <c r="CH211" s="645"/>
      <c r="CI211" s="645"/>
      <c r="CJ211" s="645"/>
      <c r="CK211" s="645"/>
      <c r="CL211" s="645"/>
      <c r="CM211" s="645"/>
      <c r="CN211" s="645"/>
      <c r="CO211" s="645"/>
      <c r="CP211" s="645"/>
      <c r="CQ211" s="645"/>
      <c r="CR211" s="645"/>
      <c r="CS211" s="645"/>
      <c r="CT211" s="645"/>
      <c r="CU211" s="645"/>
      <c r="CV211" s="645"/>
      <c r="CW211" s="645"/>
      <c r="CX211" s="645"/>
      <c r="CY211" s="645"/>
      <c r="CZ211" s="645"/>
      <c r="DA211" s="645"/>
      <c r="DB211" s="645"/>
      <c r="DC211" s="645"/>
      <c r="DD211" s="645"/>
      <c r="DE211" s="645"/>
      <c r="DF211" s="645"/>
      <c r="DG211" s="645"/>
      <c r="DH211" s="645"/>
      <c r="DI211" s="645"/>
      <c r="DJ211" s="645"/>
      <c r="DK211" s="645"/>
      <c r="DL211" s="645"/>
      <c r="DM211" s="645"/>
      <c r="DN211" s="645"/>
      <c r="DO211" s="645"/>
      <c r="DP211" s="645"/>
      <c r="DQ211" s="645"/>
      <c r="DR211" s="645"/>
      <c r="DS211" s="645"/>
      <c r="DT211" s="645"/>
      <c r="DU211" s="645"/>
      <c r="DV211" s="645"/>
      <c r="DW211" s="645"/>
      <c r="DX211" s="645"/>
      <c r="DY211" s="645"/>
      <c r="DZ211" s="645"/>
      <c r="EA211" s="645"/>
      <c r="EB211" s="645"/>
      <c r="EC211" s="645"/>
      <c r="ED211" s="645"/>
      <c r="EE211" s="645"/>
      <c r="EF211" s="645"/>
      <c r="EG211" s="645"/>
      <c r="EH211" s="645"/>
      <c r="EI211" s="645"/>
      <c r="EJ211" s="645"/>
      <c r="EK211" s="645"/>
      <c r="EL211" s="645"/>
      <c r="EM211" s="645"/>
      <c r="EN211" s="645"/>
      <c r="EO211" s="645"/>
      <c r="EP211" s="645"/>
      <c r="EQ211" s="645"/>
      <c r="ER211" s="645"/>
      <c r="ES211" s="645"/>
      <c r="ET211" s="645"/>
      <c r="EU211" s="645"/>
      <c r="EV211" s="645"/>
      <c r="EW211" s="645"/>
      <c r="EX211" s="645"/>
      <c r="EY211" s="645"/>
      <c r="EZ211" s="79"/>
      <c r="FA211" s="79"/>
      <c r="FB211" s="79"/>
      <c r="FC211" s="79"/>
      <c r="FD211" s="79"/>
      <c r="FE211" s="79"/>
      <c r="FF211" s="79"/>
      <c r="FG211" s="79"/>
      <c r="FH211" s="79"/>
      <c r="FI211" s="79"/>
      <c r="FJ211" s="79"/>
      <c r="FK211" s="79"/>
      <c r="FL211" s="79"/>
      <c r="FM211" s="47"/>
      <c r="FN211" s="47"/>
      <c r="FO211" s="47"/>
      <c r="FP211" s="47"/>
      <c r="FQ211" s="47"/>
      <c r="FR211" s="47"/>
      <c r="FS211" s="47"/>
      <c r="FT211" s="47"/>
      <c r="FU211" s="47"/>
      <c r="FV211" s="48"/>
      <c r="FW211" s="48"/>
      <c r="FX211" s="48"/>
      <c r="FY211" s="48"/>
      <c r="FZ211" s="48"/>
      <c r="GA211" s="49" t="e">
        <f ca="1">GK177</f>
        <v>#VALUE!</v>
      </c>
      <c r="GB211" s="49">
        <f ca="1">IF(FN156=1,(GB210+GB212)/2,0)</f>
        <v>0</v>
      </c>
      <c r="GC211" s="49" t="str">
        <f t="shared" ca="1" si="14"/>
        <v/>
      </c>
      <c r="GD211" s="49"/>
      <c r="GE211" s="49">
        <f ca="1">IF(FN156=0,0,IF(FO174=1,GI220-1*GC181,IF(FO174=2,GI220-1*GC181,0)))</f>
        <v>0</v>
      </c>
      <c r="GF211" s="49">
        <f t="shared" ca="1" si="15"/>
        <v>0</v>
      </c>
      <c r="GG211" s="49">
        <f t="shared" ca="1" si="16"/>
        <v>0</v>
      </c>
      <c r="GH211" s="49">
        <f ca="1">IF(FN156=1,2*GK177*GC181^1+GL177,0)</f>
        <v>0</v>
      </c>
      <c r="GI211" s="49">
        <f ca="1">GI220</f>
        <v>0</v>
      </c>
      <c r="GJ211" s="49">
        <f ca="1">0.1*GJ220</f>
        <v>0</v>
      </c>
      <c r="GK211" s="49">
        <f ca="1">0.1*GK220</f>
        <v>0</v>
      </c>
      <c r="GL211" s="49">
        <f ca="1">GL220</f>
        <v>0</v>
      </c>
      <c r="GM211" s="49">
        <f ca="1">GM220</f>
        <v>0</v>
      </c>
      <c r="GN211" s="49">
        <f ca="1">IF(FN156=0,0,-GD177*GC181^2+GE177*GC181)</f>
        <v>0</v>
      </c>
      <c r="GO211" s="49">
        <f t="shared" ca="1" si="17"/>
        <v>0</v>
      </c>
      <c r="GP211" s="49">
        <f ca="1">IF(FN156=0,0,IF(FO174=2,GN185,IF(FO174=1,GO168*GE211+GP169,0)))</f>
        <v>0</v>
      </c>
      <c r="GQ211" s="49">
        <f ca="1">IF(FN156=0,0,IF(FO174=1,GP168*GE211+GP172,0))</f>
        <v>0</v>
      </c>
      <c r="GR211" s="49">
        <f ca="1">GR220</f>
        <v>0</v>
      </c>
      <c r="GS211" s="49">
        <f ca="1">0.1*GS220</f>
        <v>0</v>
      </c>
      <c r="GT211" s="49">
        <f t="shared" ca="1" si="18"/>
        <v>0</v>
      </c>
      <c r="GU211" s="49">
        <f ca="1">GU220</f>
        <v>0</v>
      </c>
      <c r="GV211" s="49">
        <f ca="1">IF(FN156=0,0,IF(FO174=3,GV220,0))</f>
        <v>0</v>
      </c>
      <c r="GW211" s="49">
        <f ca="1">0.1*GW220</f>
        <v>0</v>
      </c>
      <c r="GX211" s="49">
        <f ca="1">IF(FN156=1,0.1*GX220,0)</f>
        <v>0</v>
      </c>
      <c r="GY211" s="49"/>
      <c r="GZ211" s="49"/>
      <c r="HA211" s="49">
        <v>30</v>
      </c>
      <c r="HB211" s="49" t="e">
        <f ca="1">HB180+HA211*(HB232-HB180)/HA231</f>
        <v>#VALUE!</v>
      </c>
      <c r="HC211" s="49" t="e">
        <f ca="1">HC180+HA211*(HC232-HC180)/HA231</f>
        <v>#VALUE!</v>
      </c>
      <c r="HD211" s="49" t="e">
        <f ca="1">GH177*HC211^3+GI177*HC211^2+GJ177*HC211+GG177+GD207</f>
        <v>#VALUE!</v>
      </c>
      <c r="HE211" s="49" t="e">
        <f t="shared" ca="1" si="5"/>
        <v>#VALUE!</v>
      </c>
      <c r="HF211" s="49" t="e">
        <f t="shared" ca="1" si="4"/>
        <v>#VALUE!</v>
      </c>
      <c r="HG211" s="49" t="e">
        <f t="shared" ca="1" si="6"/>
        <v>#VALUE!</v>
      </c>
      <c r="HH211" s="49" t="e">
        <f t="shared" ca="1" si="7"/>
        <v>#VALUE!</v>
      </c>
      <c r="HI211" s="49"/>
      <c r="HJ211" s="49"/>
      <c r="HK211" s="49"/>
      <c r="HL211" s="49"/>
      <c r="HM211" s="49"/>
    </row>
    <row r="212" spans="1:221" ht="3.75" customHeight="1">
      <c r="A212" s="1"/>
      <c r="B212" s="3"/>
      <c r="C212" s="3"/>
      <c r="D212" s="12"/>
      <c r="E212" s="197"/>
      <c r="F212" s="197"/>
      <c r="G212" s="39"/>
      <c r="H212" s="39"/>
      <c r="I212" s="39"/>
      <c r="J212" s="39"/>
      <c r="K212" s="197"/>
      <c r="L212" s="197"/>
      <c r="M212" s="197"/>
      <c r="N212" s="197"/>
      <c r="O212" s="39"/>
      <c r="P212" s="39"/>
      <c r="Q212" s="197"/>
      <c r="R212" s="197"/>
      <c r="S212" s="197"/>
      <c r="T212" s="197"/>
      <c r="U212" s="197"/>
      <c r="V212" s="197"/>
      <c r="W212" s="197"/>
      <c r="X212" s="197"/>
      <c r="Y212" s="38"/>
      <c r="Z212" s="38"/>
      <c r="AA212" s="38"/>
      <c r="AB212" s="38"/>
      <c r="AC212" s="38"/>
      <c r="AD212" s="126"/>
      <c r="AE212" s="126"/>
      <c r="AF212" s="126"/>
      <c r="AG212" s="126"/>
      <c r="AH212" s="126"/>
      <c r="AI212" s="126"/>
      <c r="AJ212" s="126"/>
      <c r="AK212" s="126"/>
      <c r="AL212" s="126"/>
      <c r="AM212" s="126"/>
      <c r="AN212" s="43" t="str">
        <f t="shared" ca="1" si="11"/>
        <v/>
      </c>
      <c r="AO212" s="237"/>
      <c r="AP212" s="230" t="str">
        <f ca="1">IF($FN$237=0,"","!")</f>
        <v/>
      </c>
      <c r="AQ212" s="237"/>
      <c r="AR212" s="230" t="str">
        <f ca="1">IF($FN$237=0,"",":")</f>
        <v/>
      </c>
      <c r="AS212" s="230"/>
      <c r="AT212" s="230"/>
      <c r="AU212" s="230" t="str">
        <f t="shared" ca="1" si="13"/>
        <v/>
      </c>
      <c r="AV212" s="228"/>
      <c r="AW212" s="230"/>
      <c r="AX212" s="230"/>
      <c r="AY212" s="230"/>
      <c r="AZ212" s="230"/>
      <c r="BA212" s="230"/>
      <c r="BB212" s="230"/>
      <c r="BC212" s="230"/>
      <c r="BD212" s="230"/>
      <c r="BE212" s="230"/>
      <c r="BF212" s="230"/>
      <c r="BG212" s="230"/>
      <c r="BH212" s="230"/>
      <c r="BI212" s="230"/>
      <c r="BJ212" s="237"/>
      <c r="BK212" s="237"/>
      <c r="BL212" s="233"/>
      <c r="BM212" s="233"/>
      <c r="BN212" s="233"/>
      <c r="BO212" s="233"/>
      <c r="BP212" s="233"/>
      <c r="BQ212" s="235"/>
      <c r="BR212" s="235"/>
      <c r="BS212" s="234"/>
      <c r="BT212" s="234"/>
      <c r="BU212" s="234"/>
      <c r="BV212" s="234"/>
      <c r="BW212" s="234"/>
      <c r="BX212" s="234"/>
      <c r="BY212" s="234"/>
      <c r="BZ212" s="234"/>
      <c r="CA212" s="234"/>
      <c r="CB212" s="234"/>
      <c r="CC212" s="234"/>
      <c r="CD212" s="234"/>
      <c r="CE212" s="79"/>
      <c r="CF212" s="79"/>
      <c r="CG212" s="79"/>
      <c r="CH212" s="645"/>
      <c r="CI212" s="645"/>
      <c r="CJ212" s="645"/>
      <c r="CK212" s="645"/>
      <c r="CL212" s="645"/>
      <c r="CM212" s="645"/>
      <c r="CN212" s="645"/>
      <c r="CO212" s="645"/>
      <c r="CP212" s="645"/>
      <c r="CQ212" s="645"/>
      <c r="CR212" s="645"/>
      <c r="CS212" s="645"/>
      <c r="CT212" s="645"/>
      <c r="CU212" s="645"/>
      <c r="CV212" s="645"/>
      <c r="CW212" s="645"/>
      <c r="CX212" s="645"/>
      <c r="CY212" s="645"/>
      <c r="CZ212" s="645"/>
      <c r="DA212" s="645"/>
      <c r="DB212" s="645"/>
      <c r="DC212" s="645"/>
      <c r="DD212" s="645"/>
      <c r="DE212" s="645"/>
      <c r="DF212" s="645"/>
      <c r="DG212" s="645"/>
      <c r="DH212" s="645"/>
      <c r="DI212" s="645"/>
      <c r="DJ212" s="645"/>
      <c r="DK212" s="645"/>
      <c r="DL212" s="645"/>
      <c r="DM212" s="645"/>
      <c r="DN212" s="645"/>
      <c r="DO212" s="645"/>
      <c r="DP212" s="645"/>
      <c r="DQ212" s="645"/>
      <c r="DR212" s="645"/>
      <c r="DS212" s="645"/>
      <c r="DT212" s="645"/>
      <c r="DU212" s="645"/>
      <c r="DV212" s="645"/>
      <c r="DW212" s="645"/>
      <c r="DX212" s="645"/>
      <c r="DY212" s="645"/>
      <c r="DZ212" s="645"/>
      <c r="EA212" s="645"/>
      <c r="EB212" s="645"/>
      <c r="EC212" s="645"/>
      <c r="ED212" s="645"/>
      <c r="EE212" s="645"/>
      <c r="EF212" s="645"/>
      <c r="EG212" s="645"/>
      <c r="EH212" s="645"/>
      <c r="EI212" s="645"/>
      <c r="EJ212" s="645"/>
      <c r="EK212" s="645"/>
      <c r="EL212" s="645"/>
      <c r="EM212" s="645"/>
      <c r="EN212" s="645"/>
      <c r="EO212" s="645"/>
      <c r="EP212" s="645"/>
      <c r="EQ212" s="645"/>
      <c r="ER212" s="645"/>
      <c r="ES212" s="645"/>
      <c r="ET212" s="645"/>
      <c r="EU212" s="645"/>
      <c r="EV212" s="645"/>
      <c r="EW212" s="645"/>
      <c r="EX212" s="645"/>
      <c r="EY212" s="645"/>
      <c r="EZ212" s="79"/>
      <c r="FA212" s="79"/>
      <c r="FB212" s="79"/>
      <c r="FC212" s="79"/>
      <c r="FD212" s="79"/>
      <c r="FE212" s="79"/>
      <c r="FF212" s="79"/>
      <c r="FG212" s="79"/>
      <c r="FH212" s="79"/>
      <c r="FI212" s="79"/>
      <c r="FJ212" s="79"/>
      <c r="FK212" s="79"/>
      <c r="FL212" s="79"/>
      <c r="FM212" s="47"/>
      <c r="FN212" s="47"/>
      <c r="FO212" s="47"/>
      <c r="FP212" s="47"/>
      <c r="FQ212" s="47"/>
      <c r="FR212" s="47"/>
      <c r="FS212" s="47"/>
      <c r="FT212" s="47"/>
      <c r="FU212" s="47"/>
      <c r="FV212" s="48"/>
      <c r="FW212" s="48"/>
      <c r="FX212" s="48"/>
      <c r="FY212" s="48"/>
      <c r="FZ212" s="48"/>
      <c r="GA212" s="49" t="e">
        <f ca="1">GL177-1.1*GE177</f>
        <v>#VALUE!</v>
      </c>
      <c r="GB212" s="49" t="str">
        <f t="shared" ref="GB212:GB219" ca="1" si="19">GC212</f>
        <v/>
      </c>
      <c r="GC212" s="49" t="str">
        <f t="shared" ca="1" si="14"/>
        <v/>
      </c>
      <c r="GD212" s="49"/>
      <c r="GE212" s="49">
        <f ca="1">IF(FN156=0,0,IF(FO174=1,GI220,IF(FO174=2,GI220,0)))</f>
        <v>0</v>
      </c>
      <c r="GF212" s="49">
        <f t="shared" ca="1" si="15"/>
        <v>0</v>
      </c>
      <c r="GG212" s="49">
        <f t="shared" ca="1" si="16"/>
        <v>0</v>
      </c>
      <c r="GH212" s="49">
        <f ca="1">IF(FN156=1,2*GK177*GC182^1+GL177,0)</f>
        <v>0</v>
      </c>
      <c r="GI212" s="49">
        <f ca="1">GI220</f>
        <v>0</v>
      </c>
      <c r="GJ212" s="49">
        <f ca="1">0.2*GJ220</f>
        <v>0</v>
      </c>
      <c r="GK212" s="49">
        <f ca="1">0.2*GK220</f>
        <v>0</v>
      </c>
      <c r="GL212" s="49">
        <f ca="1">GL220</f>
        <v>0</v>
      </c>
      <c r="GM212" s="49">
        <f ca="1">GM220</f>
        <v>0</v>
      </c>
      <c r="GN212" s="49">
        <f ca="1">IF(FN156=0,0,-GD177*GC182^2+GE177*GC182)</f>
        <v>0</v>
      </c>
      <c r="GO212" s="49">
        <f t="shared" ca="1" si="17"/>
        <v>0</v>
      </c>
      <c r="GP212" s="49">
        <f ca="1">IF(FN156=0,0,IF(FO174=2,GN185,IF(FO174=1,GO168*GE212+GP169,0)))</f>
        <v>0</v>
      </c>
      <c r="GQ212" s="49">
        <f ca="1">IF(FN156=0,0,IF(FO174=1,GP168*GE212+GP172,0))</f>
        <v>0</v>
      </c>
      <c r="GR212" s="49">
        <f ca="1">GR220</f>
        <v>0</v>
      </c>
      <c r="GS212" s="49">
        <f ca="1">0.2*GS220</f>
        <v>0</v>
      </c>
      <c r="GT212" s="49">
        <f t="shared" ca="1" si="18"/>
        <v>0</v>
      </c>
      <c r="GU212" s="49">
        <f ca="1">GU220</f>
        <v>0</v>
      </c>
      <c r="GV212" s="49">
        <f ca="1">IF(FN156=0,0,IF(FO174=3,GV220,0))</f>
        <v>0</v>
      </c>
      <c r="GW212" s="49">
        <f ca="1">0.2*GW220</f>
        <v>0</v>
      </c>
      <c r="GX212" s="49">
        <f ca="1">IF(FN156=1,0.2*GX220,0)</f>
        <v>0</v>
      </c>
      <c r="GY212" s="49"/>
      <c r="GZ212" s="49"/>
      <c r="HA212" s="49">
        <v>31</v>
      </c>
      <c r="HB212" s="49" t="e">
        <f ca="1">HB180+HA212*(HB232-HB180)/HA231</f>
        <v>#VALUE!</v>
      </c>
      <c r="HC212" s="49" t="e">
        <f ca="1">HC180+HA212*(HC232-HC180)/HA231</f>
        <v>#VALUE!</v>
      </c>
      <c r="HD212" s="49" t="e">
        <f ca="1">GH177*HC212^3+GI177*HC212^2+GJ177*HC212+GG177+GD207</f>
        <v>#VALUE!</v>
      </c>
      <c r="HE212" s="49" t="e">
        <f t="shared" ca="1" si="5"/>
        <v>#VALUE!</v>
      </c>
      <c r="HF212" s="49" t="e">
        <f t="shared" ca="1" si="4"/>
        <v>#VALUE!</v>
      </c>
      <c r="HG212" s="49" t="e">
        <f t="shared" ca="1" si="6"/>
        <v>#VALUE!</v>
      </c>
      <c r="HH212" s="49" t="e">
        <f t="shared" ca="1" si="7"/>
        <v>#VALUE!</v>
      </c>
      <c r="HI212" s="49"/>
      <c r="HJ212" s="49"/>
      <c r="HK212" s="49"/>
      <c r="HL212" s="49"/>
      <c r="HM212" s="49"/>
    </row>
    <row r="213" spans="1:221" ht="3.75" customHeight="1">
      <c r="A213" s="1"/>
      <c r="B213" s="3"/>
      <c r="C213" s="3"/>
      <c r="D213" s="12"/>
      <c r="E213" s="197"/>
      <c r="F213" s="197"/>
      <c r="G213" s="39"/>
      <c r="H213" s="39"/>
      <c r="I213" s="39"/>
      <c r="J213" s="39"/>
      <c r="K213" s="197"/>
      <c r="L213" s="197"/>
      <c r="M213" s="197"/>
      <c r="N213" s="197"/>
      <c r="O213" s="39"/>
      <c r="P213" s="39"/>
      <c r="Q213" s="197"/>
      <c r="R213" s="197"/>
      <c r="S213" s="197"/>
      <c r="T213" s="197"/>
      <c r="U213" s="197"/>
      <c r="V213" s="197"/>
      <c r="W213" s="197"/>
      <c r="X213" s="197"/>
      <c r="Y213" s="38"/>
      <c r="Z213" s="38"/>
      <c r="AA213" s="39"/>
      <c r="AB213" s="39"/>
      <c r="AC213" s="39"/>
      <c r="AD213" s="197"/>
      <c r="AE213" s="197"/>
      <c r="AF213" s="197"/>
      <c r="AG213" s="197"/>
      <c r="AH213" s="197"/>
      <c r="AI213" s="197"/>
      <c r="AJ213" s="197"/>
      <c r="AK213" s="197"/>
      <c r="AL213" s="197"/>
      <c r="AM213" s="126"/>
      <c r="AN213" s="43" t="str">
        <f t="shared" ca="1" si="11"/>
        <v/>
      </c>
      <c r="AO213" s="237"/>
      <c r="AP213" s="230" t="str">
        <f ca="1">IF($FN$237=0,"","!")</f>
        <v/>
      </c>
      <c r="AQ213" s="237"/>
      <c r="AR213" s="237"/>
      <c r="AS213" s="230" t="str">
        <f ca="1">IF($FN$237=0,"",":")</f>
        <v/>
      </c>
      <c r="AT213" s="230"/>
      <c r="AU213" s="230" t="str">
        <f t="shared" ca="1" si="13"/>
        <v/>
      </c>
      <c r="AV213" s="230"/>
      <c r="AW213" s="230"/>
      <c r="AX213" s="230"/>
      <c r="AY213" s="230"/>
      <c r="AZ213" s="229"/>
      <c r="BA213" s="230" t="str">
        <f ca="1">IF($FN$237=0,"",":")</f>
        <v/>
      </c>
      <c r="BB213" s="230" t="str">
        <f ca="1">IF($FN$237=0,"",":")</f>
        <v/>
      </c>
      <c r="BC213" s="229"/>
      <c r="BD213" s="230"/>
      <c r="BE213" s="230"/>
      <c r="BF213" s="230" t="str">
        <f ca="1">IF($FN$237=0,"",":")</f>
        <v/>
      </c>
      <c r="BG213" s="230" t="str">
        <f ca="1">IF($FN$237=0,"",":")</f>
        <v/>
      </c>
      <c r="BH213" s="230"/>
      <c r="BI213" s="230"/>
      <c r="BJ213" s="237"/>
      <c r="BK213" s="237"/>
      <c r="BL213" s="233"/>
      <c r="BM213" s="233"/>
      <c r="BN213" s="230" t="str">
        <f ca="1">IF($FN$237=0,"",":")</f>
        <v/>
      </c>
      <c r="BO213" s="230" t="str">
        <f ca="1">IF($FN$237=0,"",":")</f>
        <v/>
      </c>
      <c r="BP213" s="230" t="str">
        <f ca="1">IF($FN$237=0,"",":")</f>
        <v/>
      </c>
      <c r="BQ213" s="238"/>
      <c r="BR213" s="235"/>
      <c r="BS213" s="234"/>
      <c r="BT213" s="234"/>
      <c r="BU213" s="234"/>
      <c r="BV213" s="234"/>
      <c r="BW213" s="234"/>
      <c r="BX213" s="234"/>
      <c r="BY213" s="234"/>
      <c r="BZ213" s="234"/>
      <c r="CA213" s="234"/>
      <c r="CB213" s="234"/>
      <c r="CC213" s="234"/>
      <c r="CD213" s="234"/>
      <c r="CE213" s="79"/>
      <c r="CF213" s="79"/>
      <c r="CG213" s="79"/>
      <c r="CH213" s="645"/>
      <c r="CI213" s="645"/>
      <c r="CJ213" s="645"/>
      <c r="CK213" s="645"/>
      <c r="CL213" s="645"/>
      <c r="CM213" s="645"/>
      <c r="CN213" s="645"/>
      <c r="CO213" s="645"/>
      <c r="CP213" s="645"/>
      <c r="CQ213" s="645"/>
      <c r="CR213" s="645"/>
      <c r="CS213" s="645"/>
      <c r="CT213" s="645"/>
      <c r="CU213" s="645"/>
      <c r="CV213" s="645"/>
      <c r="CW213" s="645"/>
      <c r="CX213" s="645"/>
      <c r="CY213" s="645"/>
      <c r="CZ213" s="645"/>
      <c r="DA213" s="645"/>
      <c r="DB213" s="645"/>
      <c r="DC213" s="645"/>
      <c r="DD213" s="645"/>
      <c r="DE213" s="645"/>
      <c r="DF213" s="645"/>
      <c r="DG213" s="645"/>
      <c r="DH213" s="645"/>
      <c r="DI213" s="645"/>
      <c r="DJ213" s="645"/>
      <c r="DK213" s="645"/>
      <c r="DL213" s="645"/>
      <c r="DM213" s="645"/>
      <c r="DN213" s="645"/>
      <c r="DO213" s="645"/>
      <c r="DP213" s="645"/>
      <c r="DQ213" s="645"/>
      <c r="DR213" s="645"/>
      <c r="DS213" s="645"/>
      <c r="DT213" s="645"/>
      <c r="DU213" s="645"/>
      <c r="DV213" s="645"/>
      <c r="DW213" s="645"/>
      <c r="DX213" s="645"/>
      <c r="DY213" s="645"/>
      <c r="DZ213" s="645"/>
      <c r="EA213" s="645"/>
      <c r="EB213" s="645"/>
      <c r="EC213" s="645"/>
      <c r="ED213" s="645"/>
      <c r="EE213" s="645"/>
      <c r="EF213" s="645"/>
      <c r="EG213" s="645"/>
      <c r="EH213" s="645"/>
      <c r="EI213" s="645"/>
      <c r="EJ213" s="645"/>
      <c r="EK213" s="645"/>
      <c r="EL213" s="645"/>
      <c r="EM213" s="645"/>
      <c r="EN213" s="645"/>
      <c r="EO213" s="645"/>
      <c r="EP213" s="645"/>
      <c r="EQ213" s="645"/>
      <c r="ER213" s="645"/>
      <c r="ES213" s="645"/>
      <c r="ET213" s="645"/>
      <c r="EU213" s="645"/>
      <c r="EV213" s="645"/>
      <c r="EW213" s="645"/>
      <c r="EX213" s="645"/>
      <c r="EY213" s="645"/>
      <c r="EZ213" s="79"/>
      <c r="FA213" s="79"/>
      <c r="FB213" s="79"/>
      <c r="FC213" s="79"/>
      <c r="FD213" s="79"/>
      <c r="FE213" s="79"/>
      <c r="FF213" s="79"/>
      <c r="FG213" s="79"/>
      <c r="FH213" s="79"/>
      <c r="FI213" s="79"/>
      <c r="FJ213" s="79"/>
      <c r="FK213" s="79"/>
      <c r="FL213" s="79"/>
      <c r="FM213" s="47"/>
      <c r="FN213" s="47"/>
      <c r="FO213" s="47"/>
      <c r="FP213" s="47"/>
      <c r="FQ213" s="47"/>
      <c r="FR213" s="47"/>
      <c r="FS213" s="47"/>
      <c r="FT213" s="47"/>
      <c r="FU213" s="47"/>
      <c r="FV213" s="48"/>
      <c r="FW213" s="48"/>
      <c r="FX213" s="48"/>
      <c r="FY213" s="48"/>
      <c r="FZ213" s="48"/>
      <c r="GA213" s="49" t="e">
        <f ca="1">GG177</f>
        <v>#DIV/0!</v>
      </c>
      <c r="GB213" s="49" t="str">
        <f t="shared" ca="1" si="19"/>
        <v/>
      </c>
      <c r="GC213" s="49" t="str">
        <f t="shared" ca="1" si="14"/>
        <v/>
      </c>
      <c r="GD213" s="49"/>
      <c r="GE213" s="49">
        <f ca="1">IF(FN156=0,0,IF(FO174=1,GE212+1*GC181,IF(FO174=2,GI220+1*GC181,0)))</f>
        <v>0</v>
      </c>
      <c r="GF213" s="49">
        <f t="shared" ca="1" si="15"/>
        <v>0</v>
      </c>
      <c r="GG213" s="49">
        <f t="shared" ca="1" si="16"/>
        <v>0</v>
      </c>
      <c r="GH213" s="49">
        <f ca="1">IF(FN156=1,2*GK177*GC183^1+GL177,0)</f>
        <v>0</v>
      </c>
      <c r="GI213" s="49">
        <f ca="1">GI220</f>
        <v>0</v>
      </c>
      <c r="GJ213" s="49">
        <f ca="1">0.3*GJ220</f>
        <v>0</v>
      </c>
      <c r="GK213" s="49">
        <f ca="1">0.3*GK220</f>
        <v>0</v>
      </c>
      <c r="GL213" s="49">
        <f ca="1">GL220</f>
        <v>0</v>
      </c>
      <c r="GM213" s="49">
        <f ca="1">GM220</f>
        <v>0</v>
      </c>
      <c r="GN213" s="49">
        <f ca="1">IF(FN156=0,0,-GD177*GC183^2+GE177*GC183)</f>
        <v>0</v>
      </c>
      <c r="GO213" s="49">
        <f t="shared" ca="1" si="17"/>
        <v>0</v>
      </c>
      <c r="GP213" s="49">
        <f ca="1">IF(FN156=0,0,IF(FO174=2,GN185,IF(FO174=1,GO168*GE213+GP169,0)))</f>
        <v>0</v>
      </c>
      <c r="GQ213" s="49">
        <f ca="1">IF(FN156=0,0,IF(FO174=1,GP168*GE213+GP172,0))</f>
        <v>0</v>
      </c>
      <c r="GR213" s="49">
        <f ca="1">GR220</f>
        <v>0</v>
      </c>
      <c r="GS213" s="49">
        <f ca="1">0.3*GS220</f>
        <v>0</v>
      </c>
      <c r="GT213" s="49">
        <f t="shared" ca="1" si="18"/>
        <v>0</v>
      </c>
      <c r="GU213" s="49">
        <f ca="1">GU220</f>
        <v>0</v>
      </c>
      <c r="GV213" s="49">
        <f ca="1">IF(FN156=0,0,IF(FO174=3,GV220,0))</f>
        <v>0</v>
      </c>
      <c r="GW213" s="49">
        <f ca="1">0.3*GW220</f>
        <v>0</v>
      </c>
      <c r="GX213" s="49">
        <f ca="1">IF(FN156=1,0.3*GX220,0)</f>
        <v>0</v>
      </c>
      <c r="GY213" s="49"/>
      <c r="GZ213" s="49"/>
      <c r="HA213" s="49">
        <v>32</v>
      </c>
      <c r="HB213" s="49" t="e">
        <f ca="1">HB180+HA213*(HB232-HB180)/HA231</f>
        <v>#VALUE!</v>
      </c>
      <c r="HC213" s="49" t="e">
        <f ca="1">HC180+HA213*(HC232-HC180)/HA231</f>
        <v>#VALUE!</v>
      </c>
      <c r="HD213" s="49" t="e">
        <f ca="1">GH177*HC213^3+GI177*HC213^2+GJ177*HC213+GG177+GD207</f>
        <v>#VALUE!</v>
      </c>
      <c r="HE213" s="49" t="e">
        <f t="shared" ca="1" si="5"/>
        <v>#VALUE!</v>
      </c>
      <c r="HF213" s="49" t="e">
        <f t="shared" ref="HF213:HF232" ca="1" si="20">HB213</f>
        <v>#VALUE!</v>
      </c>
      <c r="HG213" s="49" t="e">
        <f t="shared" ca="1" si="6"/>
        <v>#VALUE!</v>
      </c>
      <c r="HH213" s="49" t="e">
        <f t="shared" ca="1" si="7"/>
        <v>#VALUE!</v>
      </c>
      <c r="HI213" s="49"/>
      <c r="HJ213" s="49"/>
      <c r="HK213" s="49"/>
      <c r="HL213" s="49"/>
      <c r="HM213" s="49"/>
    </row>
    <row r="214" spans="1:221" ht="3.75" customHeight="1">
      <c r="A214" s="1"/>
      <c r="B214" s="3"/>
      <c r="C214" s="3"/>
      <c r="D214" s="12"/>
      <c r="E214" s="197"/>
      <c r="F214" s="197"/>
      <c r="G214" s="39"/>
      <c r="H214" s="39"/>
      <c r="I214" s="39"/>
      <c r="J214" s="39"/>
      <c r="K214" s="197"/>
      <c r="L214" s="197"/>
      <c r="M214" s="197"/>
      <c r="N214" s="197"/>
      <c r="O214" s="39"/>
      <c r="P214" s="39"/>
      <c r="Q214" s="197"/>
      <c r="R214" s="197"/>
      <c r="S214" s="197"/>
      <c r="T214" s="197"/>
      <c r="U214" s="197"/>
      <c r="V214" s="197"/>
      <c r="W214" s="197"/>
      <c r="X214" s="197"/>
      <c r="Y214" s="38"/>
      <c r="Z214" s="38"/>
      <c r="AA214" s="39"/>
      <c r="AB214" s="39"/>
      <c r="AC214" s="39"/>
      <c r="AD214" s="197"/>
      <c r="AE214" s="197"/>
      <c r="AF214" s="197"/>
      <c r="AG214" s="197"/>
      <c r="AH214" s="197"/>
      <c r="AI214" s="197"/>
      <c r="AJ214" s="197"/>
      <c r="AK214" s="197"/>
      <c r="AL214" s="197"/>
      <c r="AM214" s="126"/>
      <c r="AN214" s="43" t="str">
        <f t="shared" ca="1" si="11"/>
        <v/>
      </c>
      <c r="AO214" s="237"/>
      <c r="AP214" s="237"/>
      <c r="AQ214" s="230" t="str">
        <f ca="1">IF($FN$237=0,"","!")</f>
        <v/>
      </c>
      <c r="AR214" s="237"/>
      <c r="AS214" s="237"/>
      <c r="AT214" s="230" t="str">
        <f ca="1">IF($FN$237=0,"",":")</f>
        <v/>
      </c>
      <c r="AU214" s="230"/>
      <c r="AV214" s="230" t="str">
        <f ca="1">IF($FN$237=0,"",",")</f>
        <v/>
      </c>
      <c r="AW214" s="230"/>
      <c r="AX214" s="230"/>
      <c r="AY214" s="230"/>
      <c r="AZ214" s="230" t="str">
        <f ca="1">IF($FN$237=0,"",":")</f>
        <v/>
      </c>
      <c r="BA214" s="229"/>
      <c r="BB214" s="229"/>
      <c r="BC214" s="229"/>
      <c r="BD214" s="230"/>
      <c r="BE214" s="230" t="str">
        <f ca="1">IF($FN$237=0,"",":")</f>
        <v/>
      </c>
      <c r="BF214" s="230"/>
      <c r="BG214" s="230"/>
      <c r="BH214" s="230" t="str">
        <f ca="1">IF($FN$237=0,"",":")</f>
        <v/>
      </c>
      <c r="BI214" s="230"/>
      <c r="BJ214" s="237"/>
      <c r="BK214" s="237"/>
      <c r="BL214" s="233"/>
      <c r="BM214" s="233"/>
      <c r="BN214" s="230" t="str">
        <f ca="1">IF($FN$237=0,"",":")</f>
        <v/>
      </c>
      <c r="BO214" s="233"/>
      <c r="BP214" s="228"/>
      <c r="BQ214" s="230" t="str">
        <f ca="1">IF($FN$237=0,"",":")</f>
        <v/>
      </c>
      <c r="BR214" s="235"/>
      <c r="BS214" s="234"/>
      <c r="BT214" s="234"/>
      <c r="BU214" s="234"/>
      <c r="BV214" s="234"/>
      <c r="BW214" s="234"/>
      <c r="BX214" s="234"/>
      <c r="BY214" s="234"/>
      <c r="BZ214" s="234"/>
      <c r="CA214" s="234"/>
      <c r="CB214" s="234"/>
      <c r="CC214" s="234"/>
      <c r="CD214" s="234"/>
      <c r="CE214" s="79"/>
      <c r="CF214" s="79"/>
      <c r="CG214" s="79"/>
      <c r="CH214" s="645"/>
      <c r="CI214" s="645"/>
      <c r="CJ214" s="645"/>
      <c r="CK214" s="645"/>
      <c r="CL214" s="645"/>
      <c r="CM214" s="645"/>
      <c r="CN214" s="645"/>
      <c r="CO214" s="645"/>
      <c r="CP214" s="645"/>
      <c r="CQ214" s="645"/>
      <c r="CR214" s="645"/>
      <c r="CS214" s="645"/>
      <c r="CT214" s="645"/>
      <c r="CU214" s="645"/>
      <c r="CV214" s="645"/>
      <c r="CW214" s="645"/>
      <c r="CX214" s="645"/>
      <c r="CY214" s="645"/>
      <c r="CZ214" s="645"/>
      <c r="DA214" s="645"/>
      <c r="DB214" s="645"/>
      <c r="DC214" s="645"/>
      <c r="DD214" s="645"/>
      <c r="DE214" s="645"/>
      <c r="DF214" s="645"/>
      <c r="DG214" s="645"/>
      <c r="DH214" s="645"/>
      <c r="DI214" s="645"/>
      <c r="DJ214" s="645"/>
      <c r="DK214" s="645"/>
      <c r="DL214" s="645"/>
      <c r="DM214" s="645"/>
      <c r="DN214" s="645"/>
      <c r="DO214" s="645"/>
      <c r="DP214" s="645"/>
      <c r="DQ214" s="645"/>
      <c r="DR214" s="645"/>
      <c r="DS214" s="645"/>
      <c r="DT214" s="645"/>
      <c r="DU214" s="645"/>
      <c r="DV214" s="645"/>
      <c r="DW214" s="645"/>
      <c r="DX214" s="645"/>
      <c r="DY214" s="645"/>
      <c r="DZ214" s="645"/>
      <c r="EA214" s="645"/>
      <c r="EB214" s="645"/>
      <c r="EC214" s="645"/>
      <c r="ED214" s="645"/>
      <c r="EE214" s="645"/>
      <c r="EF214" s="645"/>
      <c r="EG214" s="645"/>
      <c r="EH214" s="645"/>
      <c r="EI214" s="645"/>
      <c r="EJ214" s="645"/>
      <c r="EK214" s="645"/>
      <c r="EL214" s="645"/>
      <c r="EM214" s="645"/>
      <c r="EN214" s="645"/>
      <c r="EO214" s="645"/>
      <c r="EP214" s="645"/>
      <c r="EQ214" s="645"/>
      <c r="ER214" s="645"/>
      <c r="ES214" s="645"/>
      <c r="ET214" s="645"/>
      <c r="EU214" s="645"/>
      <c r="EV214" s="645"/>
      <c r="EW214" s="645"/>
      <c r="EX214" s="645"/>
      <c r="EY214" s="645"/>
      <c r="EZ214" s="79"/>
      <c r="FA214" s="79"/>
      <c r="FB214" s="79"/>
      <c r="FC214" s="79"/>
      <c r="FD214" s="79"/>
      <c r="FE214" s="79"/>
      <c r="FF214" s="79"/>
      <c r="FG214" s="79"/>
      <c r="FH214" s="79"/>
      <c r="FI214" s="79"/>
      <c r="FJ214" s="79"/>
      <c r="FK214" s="79"/>
      <c r="FL214" s="79"/>
      <c r="FM214" s="47"/>
      <c r="FN214" s="47"/>
      <c r="FO214" s="47"/>
      <c r="FP214" s="47"/>
      <c r="FQ214" s="47"/>
      <c r="FR214" s="47"/>
      <c r="FS214" s="47"/>
      <c r="FT214" s="47"/>
      <c r="FU214" s="47"/>
      <c r="FV214" s="48"/>
      <c r="FW214" s="48"/>
      <c r="FX214" s="48"/>
      <c r="FY214" s="48"/>
      <c r="FZ214" s="48"/>
      <c r="GA214" s="49"/>
      <c r="GB214" s="49" t="str">
        <f t="shared" ca="1" si="19"/>
        <v/>
      </c>
      <c r="GC214" s="49" t="str">
        <f t="shared" ca="1" si="14"/>
        <v/>
      </c>
      <c r="GD214" s="49"/>
      <c r="GE214" s="49">
        <f ca="1">IF(FN156=0,0,IF(FO174=1,GE212+2*GC181,IF(FO174=2,GI220+2*GC181,0)))</f>
        <v>0</v>
      </c>
      <c r="GF214" s="49">
        <f t="shared" ca="1" si="15"/>
        <v>0</v>
      </c>
      <c r="GG214" s="49">
        <f t="shared" ca="1" si="16"/>
        <v>0</v>
      </c>
      <c r="GH214" s="49">
        <f ca="1">IF(FN156=1,2*GK177*GC184^1+GL177,0)</f>
        <v>0</v>
      </c>
      <c r="GI214" s="49">
        <f ca="1">GI220</f>
        <v>0</v>
      </c>
      <c r="GJ214" s="49">
        <f ca="1">0.4*GJ220</f>
        <v>0</v>
      </c>
      <c r="GK214" s="49">
        <f ca="1">0.4*GK220</f>
        <v>0</v>
      </c>
      <c r="GL214" s="49">
        <f ca="1">GL220</f>
        <v>0</v>
      </c>
      <c r="GM214" s="49">
        <f ca="1">GM220</f>
        <v>0</v>
      </c>
      <c r="GN214" s="49">
        <f ca="1">IF(FN156=0,0,-GD177*GC184^2+GE177*GC184)</f>
        <v>0</v>
      </c>
      <c r="GO214" s="49">
        <f t="shared" ca="1" si="17"/>
        <v>0</v>
      </c>
      <c r="GP214" s="49">
        <f ca="1">IF(FN156=0,0,IF(FO174=2,GN185,IF(FO174=1,GO168*GE214+GP169,0)))</f>
        <v>0</v>
      </c>
      <c r="GQ214" s="49">
        <f ca="1">IF(FN156=0,0,IF(FO174=1,GP168*GE214+GP172,0))</f>
        <v>0</v>
      </c>
      <c r="GR214" s="49">
        <f ca="1">GR220</f>
        <v>0</v>
      </c>
      <c r="GS214" s="49">
        <f ca="1">0.4*GS220</f>
        <v>0</v>
      </c>
      <c r="GT214" s="49">
        <f t="shared" ca="1" si="18"/>
        <v>0</v>
      </c>
      <c r="GU214" s="49">
        <f ca="1">GU220</f>
        <v>0</v>
      </c>
      <c r="GV214" s="49">
        <f ca="1">IF(FN156=0,0,IF(FO174=3,GV220,0))</f>
        <v>0</v>
      </c>
      <c r="GW214" s="49">
        <f ca="1">0.4*GW220</f>
        <v>0</v>
      </c>
      <c r="GX214" s="49">
        <f ca="1">IF(FN156=1,0.4*GX220,0)</f>
        <v>0</v>
      </c>
      <c r="GY214" s="49"/>
      <c r="GZ214" s="49"/>
      <c r="HA214" s="49">
        <v>33</v>
      </c>
      <c r="HB214" s="49" t="e">
        <f ca="1">HB180+HA214*(HB232-HB180)/HA231</f>
        <v>#VALUE!</v>
      </c>
      <c r="HC214" s="49" t="e">
        <f ca="1">HC180+HA214*(HC232-HC180)/HA231</f>
        <v>#VALUE!</v>
      </c>
      <c r="HD214" s="49" t="e">
        <f ca="1">GH177*HC214^3+GI177*HC214^2+GJ177*HC214+GG177+GD207</f>
        <v>#VALUE!</v>
      </c>
      <c r="HE214" s="49" t="e">
        <f t="shared" ca="1" si="5"/>
        <v>#VALUE!</v>
      </c>
      <c r="HF214" s="49" t="e">
        <f t="shared" ca="1" si="20"/>
        <v>#VALUE!</v>
      </c>
      <c r="HG214" s="49" t="e">
        <f t="shared" ref="HG214:HG231" ca="1" si="21">GH$177*HF214^2+GI$177*HF214^1+GJ$177+GG$177/HF214-1.1*GE$177</f>
        <v>#VALUE!</v>
      </c>
      <c r="HH214" s="49" t="e">
        <f t="shared" ca="1" si="7"/>
        <v>#VALUE!</v>
      </c>
      <c r="HI214" s="49"/>
      <c r="HJ214" s="49"/>
      <c r="HK214" s="49"/>
      <c r="HL214" s="49"/>
      <c r="HM214" s="49"/>
    </row>
    <row r="215" spans="1:221" ht="3.75" customHeight="1">
      <c r="A215" s="1"/>
      <c r="B215" s="3"/>
      <c r="C215" s="3"/>
      <c r="D215" s="12"/>
      <c r="E215" s="197"/>
      <c r="F215" s="197"/>
      <c r="G215" s="39"/>
      <c r="H215" s="39"/>
      <c r="I215" s="39"/>
      <c r="J215" s="39"/>
      <c r="K215" s="197"/>
      <c r="L215" s="197"/>
      <c r="M215" s="197"/>
      <c r="N215" s="197"/>
      <c r="O215" s="39"/>
      <c r="P215" s="39"/>
      <c r="Q215" s="197"/>
      <c r="R215" s="197"/>
      <c r="S215" s="197"/>
      <c r="T215" s="197"/>
      <c r="U215" s="197"/>
      <c r="V215" s="197"/>
      <c r="W215" s="197"/>
      <c r="X215" s="197"/>
      <c r="Y215" s="38"/>
      <c r="Z215" s="38"/>
      <c r="AA215" s="39"/>
      <c r="AB215" s="39"/>
      <c r="AC215" s="39"/>
      <c r="AD215" s="197"/>
      <c r="AE215" s="197"/>
      <c r="AF215" s="197"/>
      <c r="AG215" s="197"/>
      <c r="AH215" s="197"/>
      <c r="AI215" s="197"/>
      <c r="AJ215" s="197"/>
      <c r="AK215" s="197"/>
      <c r="AL215" s="197"/>
      <c r="AM215" s="126"/>
      <c r="AN215" s="43" t="str">
        <f t="shared" ca="1" si="11"/>
        <v/>
      </c>
      <c r="AO215" s="237"/>
      <c r="AP215" s="237"/>
      <c r="AQ215" s="230" t="str">
        <f ca="1">IF($FN$237=0,"","!")</f>
        <v/>
      </c>
      <c r="AR215" s="237"/>
      <c r="AS215" s="237"/>
      <c r="AT215" s="237"/>
      <c r="AU215" s="230" t="str">
        <f ca="1">IF($FN$237=0,"",":")</f>
        <v/>
      </c>
      <c r="AV215" s="230" t="str">
        <f ca="1">IF($FN$237=0,"",",")</f>
        <v/>
      </c>
      <c r="AW215" s="230"/>
      <c r="AX215" s="230"/>
      <c r="AY215" s="230"/>
      <c r="AZ215" s="230" t="str">
        <f ca="1">IF($FN$237=0,"",":")</f>
        <v/>
      </c>
      <c r="BA215" s="229"/>
      <c r="BB215" s="230" t="str">
        <f ca="1">IF($FN$237=0,"",":")</f>
        <v/>
      </c>
      <c r="BC215" s="230" t="str">
        <f ca="1">IF($FN$237=0,"",":")</f>
        <v/>
      </c>
      <c r="BD215" s="230"/>
      <c r="BE215" s="230" t="str">
        <f ca="1">IF($FN$237=0,"",":")</f>
        <v/>
      </c>
      <c r="BF215" s="230"/>
      <c r="BG215" s="230"/>
      <c r="BH215" s="230" t="str">
        <f ca="1">IF($FN$237=0,"",":")</f>
        <v/>
      </c>
      <c r="BI215" s="230"/>
      <c r="BJ215" s="230" t="str">
        <f ca="1">IF($FN$237=0,"",":")</f>
        <v/>
      </c>
      <c r="BK215" s="230" t="str">
        <f ca="1">IF($FN$237=0,"",":")</f>
        <v/>
      </c>
      <c r="BL215" s="230" t="str">
        <f ca="1">IF($FN$237=0,"",":")</f>
        <v/>
      </c>
      <c r="BM215" s="233"/>
      <c r="BN215" s="230" t="str">
        <f ca="1">IF($FN$237=0,"",":")</f>
        <v/>
      </c>
      <c r="BO215" s="228"/>
      <c r="BP215" s="228"/>
      <c r="BQ215" s="230" t="str">
        <f ca="1">IF($FN$237=0,"",":")</f>
        <v/>
      </c>
      <c r="BR215" s="235"/>
      <c r="BS215" s="234"/>
      <c r="BT215" s="234"/>
      <c r="BU215" s="234"/>
      <c r="BV215" s="234"/>
      <c r="BW215" s="234"/>
      <c r="BX215" s="234"/>
      <c r="BY215" s="234"/>
      <c r="BZ215" s="234"/>
      <c r="CA215" s="234"/>
      <c r="CB215" s="234"/>
      <c r="CC215" s="234"/>
      <c r="CD215" s="234"/>
      <c r="CE215" s="79"/>
      <c r="CF215" s="79"/>
      <c r="CG215" s="79"/>
      <c r="CH215" s="645"/>
      <c r="CI215" s="645"/>
      <c r="CJ215" s="645"/>
      <c r="CK215" s="645"/>
      <c r="CL215" s="645"/>
      <c r="CM215" s="645"/>
      <c r="CN215" s="645"/>
      <c r="CO215" s="645"/>
      <c r="CP215" s="645"/>
      <c r="CQ215" s="645"/>
      <c r="CR215" s="645"/>
      <c r="CS215" s="645"/>
      <c r="CT215" s="645"/>
      <c r="CU215" s="645"/>
      <c r="CV215" s="645"/>
      <c r="CW215" s="645"/>
      <c r="CX215" s="645"/>
      <c r="CY215" s="645"/>
      <c r="CZ215" s="645"/>
      <c r="DA215" s="645"/>
      <c r="DB215" s="645"/>
      <c r="DC215" s="645"/>
      <c r="DD215" s="645"/>
      <c r="DE215" s="645"/>
      <c r="DF215" s="645"/>
      <c r="DG215" s="645"/>
      <c r="DH215" s="645"/>
      <c r="DI215" s="645"/>
      <c r="DJ215" s="645"/>
      <c r="DK215" s="645"/>
      <c r="DL215" s="645"/>
      <c r="DM215" s="645"/>
      <c r="DN215" s="645"/>
      <c r="DO215" s="645"/>
      <c r="DP215" s="645"/>
      <c r="DQ215" s="645"/>
      <c r="DR215" s="645"/>
      <c r="DS215" s="645"/>
      <c r="DT215" s="645"/>
      <c r="DU215" s="645"/>
      <c r="DV215" s="645"/>
      <c r="DW215" s="645"/>
      <c r="DX215" s="645"/>
      <c r="DY215" s="645"/>
      <c r="DZ215" s="645"/>
      <c r="EA215" s="645"/>
      <c r="EB215" s="645"/>
      <c r="EC215" s="645"/>
      <c r="ED215" s="645"/>
      <c r="EE215" s="645"/>
      <c r="EF215" s="645"/>
      <c r="EG215" s="645"/>
      <c r="EH215" s="645"/>
      <c r="EI215" s="645"/>
      <c r="EJ215" s="645"/>
      <c r="EK215" s="645"/>
      <c r="EL215" s="645"/>
      <c r="EM215" s="645"/>
      <c r="EN215" s="645"/>
      <c r="EO215" s="645"/>
      <c r="EP215" s="645"/>
      <c r="EQ215" s="645"/>
      <c r="ER215" s="645"/>
      <c r="ES215" s="645"/>
      <c r="ET215" s="645"/>
      <c r="EU215" s="645"/>
      <c r="EV215" s="645"/>
      <c r="EW215" s="645"/>
      <c r="EX215" s="645"/>
      <c r="EY215" s="645"/>
      <c r="EZ215" s="79"/>
      <c r="FA215" s="79"/>
      <c r="FB215" s="79"/>
      <c r="FC215" s="79"/>
      <c r="FD215" s="79"/>
      <c r="FE215" s="79"/>
      <c r="FF215" s="79"/>
      <c r="FG215" s="79"/>
      <c r="FH215" s="79"/>
      <c r="FI215" s="79"/>
      <c r="FJ215" s="79"/>
      <c r="FK215" s="79"/>
      <c r="FL215" s="79"/>
      <c r="FM215" s="47"/>
      <c r="FN215" s="47"/>
      <c r="FO215" s="47"/>
      <c r="FP215" s="47"/>
      <c r="FQ215" s="47"/>
      <c r="FR215" s="47"/>
      <c r="FS215" s="47"/>
      <c r="FT215" s="47"/>
      <c r="FU215" s="47"/>
      <c r="FV215" s="48"/>
      <c r="FW215" s="48"/>
      <c r="FX215" s="48"/>
      <c r="FY215" s="48"/>
      <c r="FZ215" s="48"/>
      <c r="GA215" s="49"/>
      <c r="GB215" s="49" t="str">
        <f t="shared" ca="1" si="19"/>
        <v/>
      </c>
      <c r="GC215" s="49" t="str">
        <f t="shared" ca="1" si="14"/>
        <v/>
      </c>
      <c r="GD215" s="49"/>
      <c r="GE215" s="49"/>
      <c r="GF215" s="49">
        <f t="shared" ca="1" si="15"/>
        <v>0</v>
      </c>
      <c r="GG215" s="49">
        <f t="shared" ca="1" si="16"/>
        <v>0</v>
      </c>
      <c r="GH215" s="49">
        <f ca="1">IF(FN156=1,2*GK177*GC185^1+GL177,0)</f>
        <v>0</v>
      </c>
      <c r="GI215" s="49">
        <f ca="1">GI220</f>
        <v>0</v>
      </c>
      <c r="GJ215" s="49">
        <f ca="1">0.5*GJ220</f>
        <v>0</v>
      </c>
      <c r="GK215" s="49">
        <f ca="1">0.5*GK220</f>
        <v>0</v>
      </c>
      <c r="GL215" s="49">
        <f ca="1">GL220</f>
        <v>0</v>
      </c>
      <c r="GM215" s="49">
        <f ca="1">GM220</f>
        <v>0</v>
      </c>
      <c r="GN215" s="49">
        <f ca="1">IF(FN156=0,0,-GD177*GC185^2+GE177*GC185)</f>
        <v>0</v>
      </c>
      <c r="GO215" s="49">
        <f t="shared" ca="1" si="17"/>
        <v>0</v>
      </c>
      <c r="GP215" s="49"/>
      <c r="GQ215" s="49"/>
      <c r="GR215" s="49">
        <f ca="1">GR220</f>
        <v>0</v>
      </c>
      <c r="GS215" s="49">
        <f ca="1">0.5*GS220</f>
        <v>0</v>
      </c>
      <c r="GT215" s="49">
        <f t="shared" ca="1" si="18"/>
        <v>0</v>
      </c>
      <c r="GU215" s="49">
        <f ca="1">GU220</f>
        <v>0</v>
      </c>
      <c r="GV215" s="49">
        <f ca="1">IF(FN156=0,0,IF(FO174=3,GV220,0))</f>
        <v>0</v>
      </c>
      <c r="GW215" s="49">
        <f ca="1">0.5*GW220</f>
        <v>0</v>
      </c>
      <c r="GX215" s="49">
        <f ca="1">IF(FN156=1,0.5*GX220,0)</f>
        <v>0</v>
      </c>
      <c r="GY215" s="49"/>
      <c r="GZ215" s="49"/>
      <c r="HA215" s="49">
        <v>34</v>
      </c>
      <c r="HB215" s="49" t="e">
        <f ca="1">HB180+HA215*(HB232-HB180)/HA231</f>
        <v>#VALUE!</v>
      </c>
      <c r="HC215" s="49" t="e">
        <f ca="1">HC180+HA215*(HC232-HC180)/HA231</f>
        <v>#VALUE!</v>
      </c>
      <c r="HD215" s="49" t="e">
        <f ca="1">GH177*HC215^3+GI177*HC215^2+GJ177*HC215+GG177+GD207</f>
        <v>#VALUE!</v>
      </c>
      <c r="HE215" s="49" t="e">
        <f t="shared" ca="1" si="5"/>
        <v>#VALUE!</v>
      </c>
      <c r="HF215" s="49" t="e">
        <f t="shared" ca="1" si="20"/>
        <v>#VALUE!</v>
      </c>
      <c r="HG215" s="49" t="e">
        <f t="shared" ca="1" si="21"/>
        <v>#VALUE!</v>
      </c>
      <c r="HH215" s="49" t="e">
        <f t="shared" ca="1" si="7"/>
        <v>#VALUE!</v>
      </c>
      <c r="HI215" s="49"/>
      <c r="HJ215" s="49"/>
      <c r="HK215" s="49"/>
      <c r="HL215" s="49"/>
      <c r="HM215" s="49"/>
    </row>
    <row r="216" spans="1:221" ht="3.75" customHeight="1">
      <c r="A216" s="1"/>
      <c r="B216" s="3"/>
      <c r="C216" s="3"/>
      <c r="D216" s="12"/>
      <c r="E216" s="197"/>
      <c r="F216" s="197"/>
      <c r="G216" s="39"/>
      <c r="H216" s="39"/>
      <c r="I216" s="39"/>
      <c r="J216" s="39"/>
      <c r="K216" s="197"/>
      <c r="L216" s="197"/>
      <c r="M216" s="197"/>
      <c r="N216" s="197"/>
      <c r="O216" s="39"/>
      <c r="P216" s="39"/>
      <c r="Q216" s="197"/>
      <c r="R216" s="197"/>
      <c r="S216" s="197"/>
      <c r="T216" s="197"/>
      <c r="U216" s="197"/>
      <c r="V216" s="197"/>
      <c r="W216" s="197"/>
      <c r="X216" s="197"/>
      <c r="Y216" s="38"/>
      <c r="Z216" s="38"/>
      <c r="AA216" s="39"/>
      <c r="AB216" s="39"/>
      <c r="AC216" s="39"/>
      <c r="AD216" s="197"/>
      <c r="AE216" s="197"/>
      <c r="AF216" s="197"/>
      <c r="AG216" s="197"/>
      <c r="AH216" s="197"/>
      <c r="AI216" s="197"/>
      <c r="AJ216" s="197"/>
      <c r="AK216" s="197"/>
      <c r="AL216" s="197"/>
      <c r="AM216" s="126"/>
      <c r="AN216" s="43" t="str">
        <f t="shared" ca="1" si="11"/>
        <v/>
      </c>
      <c r="AO216" s="237"/>
      <c r="AP216" s="237"/>
      <c r="AQ216" s="237"/>
      <c r="AR216" s="230" t="str">
        <f ca="1">IF($FN$237=0,"","!")</f>
        <v/>
      </c>
      <c r="AS216" s="237"/>
      <c r="AT216" s="237"/>
      <c r="AU216" s="237"/>
      <c r="AV216" s="230" t="str">
        <f ca="1">IF($FN$237=0,"",":")</f>
        <v/>
      </c>
      <c r="AW216" s="230"/>
      <c r="AX216" s="230"/>
      <c r="AY216" s="230"/>
      <c r="AZ216" s="230" t="str">
        <f ca="1">IF($FN$237=0,"",":")</f>
        <v/>
      </c>
      <c r="BA216" s="229"/>
      <c r="BB216" s="229"/>
      <c r="BC216" s="230" t="str">
        <f ca="1">IF($FN$237=0,"",":")</f>
        <v/>
      </c>
      <c r="BD216" s="230"/>
      <c r="BE216" s="230" t="str">
        <f ca="1">IF($FN$237=0,"",":")</f>
        <v/>
      </c>
      <c r="BF216" s="230"/>
      <c r="BG216" s="230"/>
      <c r="BH216" s="230" t="str">
        <f ca="1">IF($FN$237=0,"",":")</f>
        <v/>
      </c>
      <c r="BI216" s="230"/>
      <c r="BJ216" s="237"/>
      <c r="BK216" s="237"/>
      <c r="BL216" s="233"/>
      <c r="BM216" s="233"/>
      <c r="BN216" s="230" t="str">
        <f ca="1">IF($FN$237=0,"",":")</f>
        <v/>
      </c>
      <c r="BO216" s="230" t="str">
        <f ca="1">IF($FN$237=0,"",":")</f>
        <v/>
      </c>
      <c r="BP216" s="230" t="str">
        <f ca="1">IF($FN$237=0,"",":")</f>
        <v/>
      </c>
      <c r="BQ216" s="238"/>
      <c r="BR216" s="235"/>
      <c r="BS216" s="234"/>
      <c r="BT216" s="234"/>
      <c r="BU216" s="234"/>
      <c r="BV216" s="234"/>
      <c r="BW216" s="234"/>
      <c r="BX216" s="234"/>
      <c r="BY216" s="234"/>
      <c r="BZ216" s="234"/>
      <c r="CA216" s="234"/>
      <c r="CB216" s="234"/>
      <c r="CC216" s="234"/>
      <c r="CD216" s="234"/>
      <c r="CE216" s="79"/>
      <c r="CF216" s="79"/>
      <c r="CG216" s="79"/>
      <c r="CH216" s="645"/>
      <c r="CI216" s="645"/>
      <c r="CJ216" s="645"/>
      <c r="CK216" s="645"/>
      <c r="CL216" s="645"/>
      <c r="CM216" s="645"/>
      <c r="CN216" s="645"/>
      <c r="CO216" s="645"/>
      <c r="CP216" s="645"/>
      <c r="CQ216" s="645"/>
      <c r="CR216" s="645"/>
      <c r="CS216" s="645"/>
      <c r="CT216" s="645"/>
      <c r="CU216" s="645"/>
      <c r="CV216" s="645"/>
      <c r="CW216" s="645"/>
      <c r="CX216" s="645"/>
      <c r="CY216" s="645"/>
      <c r="CZ216" s="645"/>
      <c r="DA216" s="645"/>
      <c r="DB216" s="645"/>
      <c r="DC216" s="645"/>
      <c r="DD216" s="645"/>
      <c r="DE216" s="645"/>
      <c r="DF216" s="645"/>
      <c r="DG216" s="645"/>
      <c r="DH216" s="645"/>
      <c r="DI216" s="645"/>
      <c r="DJ216" s="645"/>
      <c r="DK216" s="645"/>
      <c r="DL216" s="645"/>
      <c r="DM216" s="645"/>
      <c r="DN216" s="645"/>
      <c r="DO216" s="645"/>
      <c r="DP216" s="645"/>
      <c r="DQ216" s="645"/>
      <c r="DR216" s="645"/>
      <c r="DS216" s="645"/>
      <c r="DT216" s="645"/>
      <c r="DU216" s="645"/>
      <c r="DV216" s="645"/>
      <c r="DW216" s="645"/>
      <c r="DX216" s="645"/>
      <c r="DY216" s="645"/>
      <c r="DZ216" s="645"/>
      <c r="EA216" s="645"/>
      <c r="EB216" s="645"/>
      <c r="EC216" s="645"/>
      <c r="ED216" s="645"/>
      <c r="EE216" s="645"/>
      <c r="EF216" s="645"/>
      <c r="EG216" s="645"/>
      <c r="EH216" s="645"/>
      <c r="EI216" s="645"/>
      <c r="EJ216" s="645"/>
      <c r="EK216" s="645"/>
      <c r="EL216" s="645"/>
      <c r="EM216" s="645"/>
      <c r="EN216" s="645"/>
      <c r="EO216" s="645"/>
      <c r="EP216" s="645"/>
      <c r="EQ216" s="645"/>
      <c r="ER216" s="645"/>
      <c r="ES216" s="645"/>
      <c r="ET216" s="645"/>
      <c r="EU216" s="645"/>
      <c r="EV216" s="645"/>
      <c r="EW216" s="645"/>
      <c r="EX216" s="645"/>
      <c r="EY216" s="645"/>
      <c r="EZ216" s="79"/>
      <c r="FA216" s="79"/>
      <c r="FB216" s="79"/>
      <c r="FC216" s="79"/>
      <c r="FD216" s="79"/>
      <c r="FE216" s="79"/>
      <c r="FF216" s="79"/>
      <c r="FG216" s="79"/>
      <c r="FH216" s="79"/>
      <c r="FI216" s="79"/>
      <c r="FJ216" s="79"/>
      <c r="FK216" s="79"/>
      <c r="FL216" s="79"/>
      <c r="FM216" s="47"/>
      <c r="FN216" s="47"/>
      <c r="FO216" s="47"/>
      <c r="FP216" s="47"/>
      <c r="FQ216" s="47"/>
      <c r="FR216" s="47"/>
      <c r="FS216" s="47"/>
      <c r="FT216" s="47"/>
      <c r="FU216" s="47"/>
      <c r="FV216" s="48"/>
      <c r="FW216" s="48"/>
      <c r="FX216" s="48"/>
      <c r="FY216" s="48"/>
      <c r="FZ216" s="48"/>
      <c r="GA216" s="49"/>
      <c r="GB216" s="49" t="str">
        <f t="shared" ca="1" si="19"/>
        <v/>
      </c>
      <c r="GC216" s="49" t="str">
        <f t="shared" ca="1" si="14"/>
        <v/>
      </c>
      <c r="GD216" s="49"/>
      <c r="GE216" s="49"/>
      <c r="GF216" s="49">
        <f t="shared" ca="1" si="15"/>
        <v>0</v>
      </c>
      <c r="GG216" s="49">
        <f t="shared" ca="1" si="16"/>
        <v>0</v>
      </c>
      <c r="GH216" s="49">
        <f ca="1">IF(FN156=1,2*GK177*GC186^1+GL177,0)</f>
        <v>0</v>
      </c>
      <c r="GI216" s="49">
        <f ca="1">GI220</f>
        <v>0</v>
      </c>
      <c r="GJ216" s="49">
        <f ca="1">0.6*GJ220</f>
        <v>0</v>
      </c>
      <c r="GK216" s="49">
        <f ca="1">0.6*GK220</f>
        <v>0</v>
      </c>
      <c r="GL216" s="49">
        <f ca="1">GL220</f>
        <v>0</v>
      </c>
      <c r="GM216" s="49">
        <f ca="1">GM220</f>
        <v>0</v>
      </c>
      <c r="GN216" s="49">
        <f ca="1">IF(FN156=0,0,-GD177*GC186^2+GE177*GC186)</f>
        <v>0</v>
      </c>
      <c r="GO216" s="49">
        <f t="shared" ca="1" si="17"/>
        <v>0</v>
      </c>
      <c r="GP216" s="49"/>
      <c r="GQ216" s="49"/>
      <c r="GR216" s="49">
        <f ca="1">GR220</f>
        <v>0</v>
      </c>
      <c r="GS216" s="49">
        <f ca="1">0.6*GS220</f>
        <v>0</v>
      </c>
      <c r="GT216" s="49">
        <f t="shared" ca="1" si="18"/>
        <v>0</v>
      </c>
      <c r="GU216" s="49">
        <f ca="1">GU220</f>
        <v>0</v>
      </c>
      <c r="GV216" s="49">
        <f ca="1">IF(FN156=0,0,IF(FO174=3,GV220,0))</f>
        <v>0</v>
      </c>
      <c r="GW216" s="49">
        <f ca="1">0.6*GW220</f>
        <v>0</v>
      </c>
      <c r="GX216" s="49">
        <f ca="1">IF(FN156=1,0.6*GX220,0)</f>
        <v>0</v>
      </c>
      <c r="GY216" s="49"/>
      <c r="GZ216" s="49"/>
      <c r="HA216" s="49">
        <v>35</v>
      </c>
      <c r="HB216" s="49" t="e">
        <f ca="1">HB180+HA216*(HB232-HB180)/HA231</f>
        <v>#VALUE!</v>
      </c>
      <c r="HC216" s="49" t="e">
        <f ca="1">HC180+HA216*(HC232-HC180)/HA231</f>
        <v>#VALUE!</v>
      </c>
      <c r="HD216" s="49" t="e">
        <f ca="1">GH177*HC216^3+GI177*HC216^2+GJ177*HC216+GG177+GD207</f>
        <v>#VALUE!</v>
      </c>
      <c r="HE216" s="49" t="e">
        <f t="shared" ca="1" si="5"/>
        <v>#VALUE!</v>
      </c>
      <c r="HF216" s="49" t="e">
        <f t="shared" ca="1" si="20"/>
        <v>#VALUE!</v>
      </c>
      <c r="HG216" s="49" t="e">
        <f t="shared" ca="1" si="21"/>
        <v>#VALUE!</v>
      </c>
      <c r="HH216" s="49" t="e">
        <f t="shared" ca="1" si="7"/>
        <v>#VALUE!</v>
      </c>
      <c r="HI216" s="49"/>
      <c r="HJ216" s="49"/>
      <c r="HK216" s="49"/>
      <c r="HL216" s="49"/>
      <c r="HM216" s="49"/>
    </row>
    <row r="217" spans="1:221" ht="3.75" customHeight="1">
      <c r="A217" s="1"/>
      <c r="B217" s="3"/>
      <c r="C217" s="3"/>
      <c r="D217" s="12"/>
      <c r="E217" s="197"/>
      <c r="F217" s="197"/>
      <c r="G217" s="39"/>
      <c r="H217" s="39"/>
      <c r="I217" s="39"/>
      <c r="J217" s="39"/>
      <c r="K217" s="197"/>
      <c r="L217" s="197"/>
      <c r="M217" s="197"/>
      <c r="N217" s="197"/>
      <c r="O217" s="39"/>
      <c r="P217" s="39"/>
      <c r="Q217" s="197"/>
      <c r="R217" s="197"/>
      <c r="S217" s="197"/>
      <c r="T217" s="197"/>
      <c r="U217" s="197"/>
      <c r="V217" s="197"/>
      <c r="W217" s="197"/>
      <c r="X217" s="197"/>
      <c r="Y217" s="40"/>
      <c r="Z217" s="148"/>
      <c r="AA217" s="39"/>
      <c r="AB217" s="39"/>
      <c r="AC217" s="39"/>
      <c r="AD217" s="197"/>
      <c r="AE217" s="197"/>
      <c r="AF217" s="197"/>
      <c r="AG217" s="197"/>
      <c r="AH217" s="197"/>
      <c r="AI217" s="197"/>
      <c r="AJ217" s="197"/>
      <c r="AK217" s="197"/>
      <c r="AL217" s="197"/>
      <c r="AM217" s="126"/>
      <c r="AN217" s="43" t="str">
        <f t="shared" ca="1" si="11"/>
        <v/>
      </c>
      <c r="AO217" s="237"/>
      <c r="AP217" s="237"/>
      <c r="AQ217" s="237"/>
      <c r="AR217" s="230" t="str">
        <f ca="1">IF($FN$237=0,"","!")</f>
        <v/>
      </c>
      <c r="AS217" s="237"/>
      <c r="AT217" s="237"/>
      <c r="AU217" s="237"/>
      <c r="AV217" s="230" t="str">
        <f ca="1">IF($FN$237=0,"",",")</f>
        <v/>
      </c>
      <c r="AW217" s="230" t="str">
        <f ca="1">IF($FN$237=0,"",":")</f>
        <v/>
      </c>
      <c r="AX217" s="230"/>
      <c r="AY217" s="230"/>
      <c r="AZ217" s="229"/>
      <c r="BA217" s="230" t="str">
        <f ca="1">IF($FN$237=0,"",":")</f>
        <v/>
      </c>
      <c r="BB217" s="230" t="str">
        <f ca="1">IF($FN$237=0,"",":")</f>
        <v/>
      </c>
      <c r="BC217" s="230" t="str">
        <f ca="1">IF($FN$237=0,"",":")</f>
        <v/>
      </c>
      <c r="BD217" s="230"/>
      <c r="BE217" s="230"/>
      <c r="BF217" s="230" t="str">
        <f ca="1">IF($FN$237=0,"",":")</f>
        <v/>
      </c>
      <c r="BG217" s="230" t="str">
        <f ca="1">IF($FN$237=0,"",":")</f>
        <v/>
      </c>
      <c r="BH217" s="230"/>
      <c r="BI217" s="230"/>
      <c r="BJ217" s="230" t="str">
        <f ca="1">IF($FN$237=0,"",":")</f>
        <v/>
      </c>
      <c r="BK217" s="230" t="str">
        <f ca="1">IF($FN$237=0,"",":")</f>
        <v/>
      </c>
      <c r="BL217" s="230" t="str">
        <f ca="1">IF($FN$237=0,"",":")</f>
        <v/>
      </c>
      <c r="BM217" s="233"/>
      <c r="BN217" s="230" t="str">
        <f ca="1">IF($FN$237=0,"",":")</f>
        <v/>
      </c>
      <c r="BO217" s="233"/>
      <c r="BP217" s="233"/>
      <c r="BQ217" s="238"/>
      <c r="BR217" s="235"/>
      <c r="BS217" s="234"/>
      <c r="BT217" s="234"/>
      <c r="BU217" s="234"/>
      <c r="BV217" s="234"/>
      <c r="BW217" s="234"/>
      <c r="BX217" s="234"/>
      <c r="BY217" s="234"/>
      <c r="BZ217" s="234"/>
      <c r="CA217" s="234"/>
      <c r="CB217" s="234"/>
      <c r="CC217" s="234"/>
      <c r="CD217" s="234"/>
      <c r="CE217" s="79"/>
      <c r="CF217" s="79"/>
      <c r="CG217" s="79"/>
      <c r="CH217" s="645"/>
      <c r="CI217" s="645"/>
      <c r="CJ217" s="645"/>
      <c r="CK217" s="645"/>
      <c r="CL217" s="645"/>
      <c r="CM217" s="645"/>
      <c r="CN217" s="645"/>
      <c r="CO217" s="645"/>
      <c r="CP217" s="645"/>
      <c r="CQ217" s="645"/>
      <c r="CR217" s="645"/>
      <c r="CS217" s="645"/>
      <c r="CT217" s="645"/>
      <c r="CU217" s="645"/>
      <c r="CV217" s="645"/>
      <c r="CW217" s="645"/>
      <c r="CX217" s="645"/>
      <c r="CY217" s="645"/>
      <c r="CZ217" s="645"/>
      <c r="DA217" s="645"/>
      <c r="DB217" s="645"/>
      <c r="DC217" s="645"/>
      <c r="DD217" s="645"/>
      <c r="DE217" s="645"/>
      <c r="DF217" s="645"/>
      <c r="DG217" s="645"/>
      <c r="DH217" s="645"/>
      <c r="DI217" s="645"/>
      <c r="DJ217" s="645"/>
      <c r="DK217" s="645"/>
      <c r="DL217" s="645"/>
      <c r="DM217" s="645"/>
      <c r="DN217" s="645"/>
      <c r="DO217" s="645"/>
      <c r="DP217" s="645"/>
      <c r="DQ217" s="645"/>
      <c r="DR217" s="645"/>
      <c r="DS217" s="645"/>
      <c r="DT217" s="645"/>
      <c r="DU217" s="645"/>
      <c r="DV217" s="645"/>
      <c r="DW217" s="645"/>
      <c r="DX217" s="645"/>
      <c r="DY217" s="645"/>
      <c r="DZ217" s="645"/>
      <c r="EA217" s="645"/>
      <c r="EB217" s="645"/>
      <c r="EC217" s="645"/>
      <c r="ED217" s="645"/>
      <c r="EE217" s="645"/>
      <c r="EF217" s="645"/>
      <c r="EG217" s="645"/>
      <c r="EH217" s="645"/>
      <c r="EI217" s="645"/>
      <c r="EJ217" s="645"/>
      <c r="EK217" s="645"/>
      <c r="EL217" s="645"/>
      <c r="EM217" s="645"/>
      <c r="EN217" s="645"/>
      <c r="EO217" s="645"/>
      <c r="EP217" s="645"/>
      <c r="EQ217" s="645"/>
      <c r="ER217" s="645"/>
      <c r="ES217" s="645"/>
      <c r="ET217" s="645"/>
      <c r="EU217" s="645"/>
      <c r="EV217" s="645"/>
      <c r="EW217" s="645"/>
      <c r="EX217" s="645"/>
      <c r="EY217" s="645"/>
      <c r="EZ217" s="79"/>
      <c r="FA217" s="79"/>
      <c r="FB217" s="79"/>
      <c r="FC217" s="79"/>
      <c r="FD217" s="79"/>
      <c r="FE217" s="79"/>
      <c r="FF217" s="79"/>
      <c r="FG217" s="79"/>
      <c r="FH217" s="79"/>
      <c r="FI217" s="79"/>
      <c r="FJ217" s="79"/>
      <c r="FK217" s="79"/>
      <c r="FL217" s="79"/>
      <c r="FM217" s="47"/>
      <c r="FN217" s="47"/>
      <c r="FO217" s="47"/>
      <c r="FP217" s="47"/>
      <c r="FQ217" s="47"/>
      <c r="FR217" s="47"/>
      <c r="FS217" s="47"/>
      <c r="FT217" s="47"/>
      <c r="FU217" s="47"/>
      <c r="FV217" s="48"/>
      <c r="FW217" s="48"/>
      <c r="FX217" s="48"/>
      <c r="FY217" s="48"/>
      <c r="FZ217" s="48"/>
      <c r="GA217" s="49"/>
      <c r="GB217" s="49" t="str">
        <f t="shared" ca="1" si="19"/>
        <v/>
      </c>
      <c r="GC217" s="49" t="str">
        <f t="shared" ca="1" si="14"/>
        <v/>
      </c>
      <c r="GD217" s="49"/>
      <c r="GE217" s="49"/>
      <c r="GF217" s="49">
        <f t="shared" ca="1" si="15"/>
        <v>0</v>
      </c>
      <c r="GG217" s="49">
        <f t="shared" ca="1" si="16"/>
        <v>0</v>
      </c>
      <c r="GH217" s="49">
        <f ca="1">IF(FN156=1,2*GK177*GC187^1+GL177,0)</f>
        <v>0</v>
      </c>
      <c r="GI217" s="49">
        <f ca="1">GI220</f>
        <v>0</v>
      </c>
      <c r="GJ217" s="49">
        <f ca="1">0.7*GJ220</f>
        <v>0</v>
      </c>
      <c r="GK217" s="49">
        <f ca="1">0.7*GK220</f>
        <v>0</v>
      </c>
      <c r="GL217" s="49">
        <f ca="1">GL220</f>
        <v>0</v>
      </c>
      <c r="GM217" s="49">
        <f ca="1">GM220</f>
        <v>0</v>
      </c>
      <c r="GN217" s="49">
        <f ca="1">IF(FN156=0,0,-GD177*GC187^2+GE177*GC187)</f>
        <v>0</v>
      </c>
      <c r="GO217" s="49">
        <f t="shared" ca="1" si="17"/>
        <v>0</v>
      </c>
      <c r="GP217" s="49"/>
      <c r="GQ217" s="49"/>
      <c r="GR217" s="49">
        <f ca="1">GR220</f>
        <v>0</v>
      </c>
      <c r="GS217" s="49">
        <f ca="1">0.7*GS220</f>
        <v>0</v>
      </c>
      <c r="GT217" s="49">
        <f t="shared" ca="1" si="18"/>
        <v>0</v>
      </c>
      <c r="GU217" s="49">
        <f ca="1">GU220</f>
        <v>0</v>
      </c>
      <c r="GV217" s="49">
        <f ca="1">IF(FN156=0,0,IF(FO174=3,GV220,0))</f>
        <v>0</v>
      </c>
      <c r="GW217" s="49">
        <f ca="1">0.7*GW220</f>
        <v>0</v>
      </c>
      <c r="GX217" s="49">
        <f ca="1">IF(FN156=1,0.7*GX220,0)</f>
        <v>0</v>
      </c>
      <c r="GY217" s="49"/>
      <c r="GZ217" s="49"/>
      <c r="HA217" s="49">
        <v>36</v>
      </c>
      <c r="HB217" s="49" t="e">
        <f ca="1">HB180+HA217*(HB232-HB180)/HA231</f>
        <v>#VALUE!</v>
      </c>
      <c r="HC217" s="49" t="e">
        <f ca="1">HC180+HA217*(HC232-HC180)/HA231</f>
        <v>#VALUE!</v>
      </c>
      <c r="HD217" s="49" t="e">
        <f ca="1">GH177*HC217^3+GI177*HC217^2+GJ177*HC217+GG177+GD207</f>
        <v>#VALUE!</v>
      </c>
      <c r="HE217" s="49" t="e">
        <f t="shared" ca="1" si="5"/>
        <v>#VALUE!</v>
      </c>
      <c r="HF217" s="49" t="e">
        <f t="shared" ca="1" si="20"/>
        <v>#VALUE!</v>
      </c>
      <c r="HG217" s="49" t="e">
        <f t="shared" ca="1" si="21"/>
        <v>#VALUE!</v>
      </c>
      <c r="HH217" s="49" t="e">
        <f t="shared" ca="1" si="7"/>
        <v>#VALUE!</v>
      </c>
      <c r="HI217" s="49"/>
      <c r="HJ217" s="49"/>
      <c r="HK217" s="49"/>
      <c r="HL217" s="49"/>
      <c r="HM217" s="49"/>
    </row>
    <row r="218" spans="1:221" ht="3.75" customHeight="1">
      <c r="A218" s="1"/>
      <c r="B218" s="3"/>
      <c r="C218" s="3"/>
      <c r="D218" s="12"/>
      <c r="E218" s="197"/>
      <c r="F218" s="197"/>
      <c r="G218" s="39"/>
      <c r="H218" s="39"/>
      <c r="I218" s="39"/>
      <c r="J218" s="39"/>
      <c r="K218" s="197"/>
      <c r="L218" s="197"/>
      <c r="M218" s="197"/>
      <c r="N218" s="197"/>
      <c r="O218" s="39"/>
      <c r="P218" s="39"/>
      <c r="Q218" s="197"/>
      <c r="R218" s="197"/>
      <c r="S218" s="197"/>
      <c r="T218" s="197"/>
      <c r="U218" s="197"/>
      <c r="V218" s="197"/>
      <c r="W218" s="197"/>
      <c r="X218" s="197"/>
      <c r="Y218" s="148"/>
      <c r="Z218" s="148"/>
      <c r="AA218" s="39"/>
      <c r="AB218" s="39"/>
      <c r="AC218" s="39"/>
      <c r="AD218" s="197"/>
      <c r="AE218" s="197"/>
      <c r="AF218" s="197"/>
      <c r="AG218" s="197"/>
      <c r="AH218" s="197"/>
      <c r="AI218" s="197"/>
      <c r="AJ218" s="197"/>
      <c r="AK218" s="197"/>
      <c r="AL218" s="197"/>
      <c r="AM218" s="126"/>
      <c r="AN218" s="43" t="str">
        <f t="shared" ca="1" si="11"/>
        <v/>
      </c>
      <c r="AO218" s="237"/>
      <c r="AP218" s="237"/>
      <c r="AQ218" s="237"/>
      <c r="AR218" s="237"/>
      <c r="AS218" s="230" t="str">
        <f ca="1">IF($FN$237=0,"","!")</f>
        <v/>
      </c>
      <c r="AT218" s="237"/>
      <c r="AU218" s="237"/>
      <c r="AV218" s="230" t="str">
        <f ca="1">IF($FN$237=0,"",",")</f>
        <v/>
      </c>
      <c r="AW218" s="237"/>
      <c r="AX218" s="230" t="str">
        <f ca="1">IF($FN$237=0,"",":")</f>
        <v/>
      </c>
      <c r="AY218" s="230"/>
      <c r="AZ218" s="230"/>
      <c r="BA218" s="230"/>
      <c r="BB218" s="230"/>
      <c r="BC218" s="230"/>
      <c r="BD218" s="230"/>
      <c r="BE218" s="230"/>
      <c r="BF218" s="230"/>
      <c r="BG218" s="230"/>
      <c r="BH218" s="230"/>
      <c r="BI218" s="230"/>
      <c r="BJ218" s="230"/>
      <c r="BK218" s="230"/>
      <c r="BL218" s="233"/>
      <c r="BM218" s="233"/>
      <c r="BN218" s="233"/>
      <c r="BO218" s="233"/>
      <c r="BP218" s="233"/>
      <c r="BQ218" s="238"/>
      <c r="BR218" s="235"/>
      <c r="BS218" s="234"/>
      <c r="BT218" s="234"/>
      <c r="BU218" s="234"/>
      <c r="BV218" s="234"/>
      <c r="BW218" s="234"/>
      <c r="BX218" s="234"/>
      <c r="BY218" s="234"/>
      <c r="BZ218" s="234"/>
      <c r="CA218" s="234"/>
      <c r="CB218" s="234"/>
      <c r="CC218" s="234"/>
      <c r="CD218" s="234"/>
      <c r="CE218" s="79"/>
      <c r="CF218" s="79"/>
      <c r="CG218" s="79"/>
      <c r="CH218" s="645"/>
      <c r="CI218" s="645"/>
      <c r="CJ218" s="645"/>
      <c r="CK218" s="645"/>
      <c r="CL218" s="645"/>
      <c r="CM218" s="645"/>
      <c r="CN218" s="645"/>
      <c r="CO218" s="645"/>
      <c r="CP218" s="645"/>
      <c r="CQ218" s="645"/>
      <c r="CR218" s="645"/>
      <c r="CS218" s="645"/>
      <c r="CT218" s="645"/>
      <c r="CU218" s="645"/>
      <c r="CV218" s="645"/>
      <c r="CW218" s="645"/>
      <c r="CX218" s="645"/>
      <c r="CY218" s="645"/>
      <c r="CZ218" s="645"/>
      <c r="DA218" s="645"/>
      <c r="DB218" s="645"/>
      <c r="DC218" s="645"/>
      <c r="DD218" s="645"/>
      <c r="DE218" s="645"/>
      <c r="DF218" s="645"/>
      <c r="DG218" s="645"/>
      <c r="DH218" s="645"/>
      <c r="DI218" s="645"/>
      <c r="DJ218" s="645"/>
      <c r="DK218" s="645"/>
      <c r="DL218" s="645"/>
      <c r="DM218" s="645"/>
      <c r="DN218" s="645"/>
      <c r="DO218" s="645"/>
      <c r="DP218" s="645"/>
      <c r="DQ218" s="645"/>
      <c r="DR218" s="645"/>
      <c r="DS218" s="645"/>
      <c r="DT218" s="645"/>
      <c r="DU218" s="645"/>
      <c r="DV218" s="645"/>
      <c r="DW218" s="645"/>
      <c r="DX218" s="645"/>
      <c r="DY218" s="645"/>
      <c r="DZ218" s="645"/>
      <c r="EA218" s="645"/>
      <c r="EB218" s="645"/>
      <c r="EC218" s="645"/>
      <c r="ED218" s="645"/>
      <c r="EE218" s="645"/>
      <c r="EF218" s="645"/>
      <c r="EG218" s="645"/>
      <c r="EH218" s="645"/>
      <c r="EI218" s="645"/>
      <c r="EJ218" s="645"/>
      <c r="EK218" s="645"/>
      <c r="EL218" s="645"/>
      <c r="EM218" s="645"/>
      <c r="EN218" s="645"/>
      <c r="EO218" s="645"/>
      <c r="EP218" s="645"/>
      <c r="EQ218" s="645"/>
      <c r="ER218" s="645"/>
      <c r="ES218" s="645"/>
      <c r="ET218" s="645"/>
      <c r="EU218" s="645"/>
      <c r="EV218" s="645"/>
      <c r="EW218" s="645"/>
      <c r="EX218" s="645"/>
      <c r="EY218" s="645"/>
      <c r="EZ218" s="79"/>
      <c r="FA218" s="79"/>
      <c r="FB218" s="79"/>
      <c r="FC218" s="79"/>
      <c r="FD218" s="79"/>
      <c r="FE218" s="79"/>
      <c r="FF218" s="79"/>
      <c r="FG218" s="79"/>
      <c r="FH218" s="79"/>
      <c r="FI218" s="79"/>
      <c r="FJ218" s="79"/>
      <c r="FK218" s="79"/>
      <c r="FL218" s="79"/>
      <c r="FM218" s="47"/>
      <c r="FN218" s="47"/>
      <c r="FO218" s="47"/>
      <c r="FP218" s="47"/>
      <c r="FQ218" s="47"/>
      <c r="FR218" s="47"/>
      <c r="FS218" s="47"/>
      <c r="FT218" s="47"/>
      <c r="FU218" s="47"/>
      <c r="FV218" s="48"/>
      <c r="FW218" s="48"/>
      <c r="FX218" s="48"/>
      <c r="FY218" s="48"/>
      <c r="FZ218" s="48"/>
      <c r="GA218" s="49"/>
      <c r="GB218" s="49" t="str">
        <f t="shared" ca="1" si="19"/>
        <v/>
      </c>
      <c r="GC218" s="49" t="str">
        <f t="shared" ca="1" si="14"/>
        <v/>
      </c>
      <c r="GD218" s="49"/>
      <c r="GE218" s="49"/>
      <c r="GF218" s="49">
        <f t="shared" ca="1" si="15"/>
        <v>0</v>
      </c>
      <c r="GG218" s="49">
        <f t="shared" ca="1" si="16"/>
        <v>0</v>
      </c>
      <c r="GH218" s="49">
        <f ca="1">IF(FN156=1,2*GK177*GC188^1+GL177,0)</f>
        <v>0</v>
      </c>
      <c r="GI218" s="49">
        <f ca="1">GI220</f>
        <v>0</v>
      </c>
      <c r="GJ218" s="49">
        <f ca="1">0.8*GJ220</f>
        <v>0</v>
      </c>
      <c r="GK218" s="49">
        <f ca="1">0.8*GK220</f>
        <v>0</v>
      </c>
      <c r="GL218" s="49">
        <f ca="1">GL220</f>
        <v>0</v>
      </c>
      <c r="GM218" s="49">
        <f ca="1">GM220</f>
        <v>0</v>
      </c>
      <c r="GN218" s="49">
        <f ca="1">IF(FN156=0,0,-GD177*GC188^2+GE177*GC188)</f>
        <v>0</v>
      </c>
      <c r="GO218" s="49">
        <f t="shared" ca="1" si="17"/>
        <v>0</v>
      </c>
      <c r="GP218" s="49"/>
      <c r="GQ218" s="49"/>
      <c r="GR218" s="49">
        <f ca="1">GR220</f>
        <v>0</v>
      </c>
      <c r="GS218" s="49">
        <f ca="1">0.8*GS220</f>
        <v>0</v>
      </c>
      <c r="GT218" s="49">
        <f t="shared" ca="1" si="18"/>
        <v>0</v>
      </c>
      <c r="GU218" s="49">
        <f ca="1">GU220</f>
        <v>0</v>
      </c>
      <c r="GV218" s="49">
        <f ca="1">IF(FN156=0,0,IF(FO174=3,GV220,0))</f>
        <v>0</v>
      </c>
      <c r="GW218" s="49">
        <f ca="1">0.8*GW220</f>
        <v>0</v>
      </c>
      <c r="GX218" s="49">
        <f ca="1">IF(FN156=1,0.8*GX220,0)</f>
        <v>0</v>
      </c>
      <c r="GY218" s="49"/>
      <c r="GZ218" s="49"/>
      <c r="HA218" s="49">
        <v>37</v>
      </c>
      <c r="HB218" s="49" t="e">
        <f ca="1">HB180+HA218*(HB232-HB180)/HA231</f>
        <v>#VALUE!</v>
      </c>
      <c r="HC218" s="49" t="e">
        <f ca="1">HC180+HA218*(HC232-HC180)/HA231</f>
        <v>#VALUE!</v>
      </c>
      <c r="HD218" s="49" t="e">
        <f ca="1">GH177*HC218^3+GI177*HC218^2+GJ177*HC218+GG177+GD207</f>
        <v>#VALUE!</v>
      </c>
      <c r="HE218" s="49" t="e">
        <f t="shared" ca="1" si="5"/>
        <v>#VALUE!</v>
      </c>
      <c r="HF218" s="49" t="e">
        <f t="shared" ca="1" si="20"/>
        <v>#VALUE!</v>
      </c>
      <c r="HG218" s="49" t="e">
        <f t="shared" ca="1" si="21"/>
        <v>#VALUE!</v>
      </c>
      <c r="HH218" s="49" t="e">
        <f t="shared" ca="1" si="7"/>
        <v>#VALUE!</v>
      </c>
      <c r="HI218" s="49"/>
      <c r="HJ218" s="49"/>
      <c r="HK218" s="49"/>
      <c r="HL218" s="49"/>
      <c r="HM218" s="49"/>
    </row>
    <row r="219" spans="1:221" ht="3.75" customHeight="1">
      <c r="A219" s="1"/>
      <c r="B219" s="3"/>
      <c r="C219" s="3"/>
      <c r="D219" s="12"/>
      <c r="E219" s="197"/>
      <c r="F219" s="197"/>
      <c r="G219" s="39"/>
      <c r="H219" s="39"/>
      <c r="I219" s="39"/>
      <c r="J219" s="39"/>
      <c r="K219" s="197"/>
      <c r="L219" s="197"/>
      <c r="M219" s="197"/>
      <c r="N219" s="197"/>
      <c r="O219" s="39"/>
      <c r="P219" s="39"/>
      <c r="Q219" s="197"/>
      <c r="R219" s="197"/>
      <c r="S219" s="197"/>
      <c r="T219" s="197"/>
      <c r="U219" s="197"/>
      <c r="V219" s="197"/>
      <c r="W219" s="197"/>
      <c r="X219" s="197"/>
      <c r="Y219" s="148"/>
      <c r="Z219" s="148"/>
      <c r="AA219" s="148"/>
      <c r="AB219" s="148"/>
      <c r="AC219" s="148"/>
      <c r="AD219" s="148"/>
      <c r="AE219" s="148"/>
      <c r="AF219" s="148"/>
      <c r="AG219" s="148"/>
      <c r="AH219" s="148"/>
      <c r="AI219" s="148"/>
      <c r="AJ219" s="148"/>
      <c r="AK219" s="148"/>
      <c r="AL219" s="148"/>
      <c r="AM219" s="126"/>
      <c r="AN219" s="43" t="str">
        <f t="shared" ca="1" si="11"/>
        <v/>
      </c>
      <c r="AO219" s="237"/>
      <c r="AP219" s="237"/>
      <c r="AQ219" s="237"/>
      <c r="AR219" s="237"/>
      <c r="AS219" s="230" t="str">
        <f ca="1">IF($FN$237=0,"","!")</f>
        <v/>
      </c>
      <c r="AT219" s="237"/>
      <c r="AU219" s="237"/>
      <c r="AV219" s="230" t="str">
        <f ca="1">IF($FN$237=0,"",",")</f>
        <v/>
      </c>
      <c r="AW219" s="230"/>
      <c r="AX219" s="237"/>
      <c r="AY219" s="230" t="str">
        <f ca="1">IF($FN$237=0,"",":")</f>
        <v/>
      </c>
      <c r="AZ219" s="230"/>
      <c r="BA219" s="230"/>
      <c r="BB219" s="230"/>
      <c r="BC219" s="230"/>
      <c r="BD219" s="230"/>
      <c r="BE219" s="230"/>
      <c r="BF219" s="230"/>
      <c r="BG219" s="230"/>
      <c r="BH219" s="230"/>
      <c r="BI219" s="228" t="str">
        <f ca="1">IF(AND($FN$156=1,$BC$198=3),"`","")</f>
        <v/>
      </c>
      <c r="BJ219" s="230"/>
      <c r="BK219" s="230"/>
      <c r="BL219" s="233"/>
      <c r="BM219" s="233"/>
      <c r="BN219" s="233"/>
      <c r="BO219" s="233"/>
      <c r="BP219" s="233"/>
      <c r="BQ219" s="235"/>
      <c r="BR219" s="235"/>
      <c r="BS219" s="234"/>
      <c r="BT219" s="234"/>
      <c r="BU219" s="234"/>
      <c r="BV219" s="234"/>
      <c r="BW219" s="234"/>
      <c r="BX219" s="234"/>
      <c r="BY219" s="234"/>
      <c r="BZ219" s="234"/>
      <c r="CA219" s="234"/>
      <c r="CB219" s="234"/>
      <c r="CC219" s="234"/>
      <c r="CD219" s="234"/>
      <c r="CE219" s="79"/>
      <c r="CF219" s="79"/>
      <c r="CG219" s="79"/>
      <c r="CH219" s="645"/>
      <c r="CI219" s="645"/>
      <c r="CJ219" s="645"/>
      <c r="CK219" s="645"/>
      <c r="CL219" s="645"/>
      <c r="CM219" s="645"/>
      <c r="CN219" s="645"/>
      <c r="CO219" s="645"/>
      <c r="CP219" s="645"/>
      <c r="CQ219" s="645"/>
      <c r="CR219" s="645"/>
      <c r="CS219" s="645"/>
      <c r="CT219" s="645"/>
      <c r="CU219" s="645"/>
      <c r="CV219" s="645"/>
      <c r="CW219" s="645"/>
      <c r="CX219" s="645"/>
      <c r="CY219" s="645"/>
      <c r="CZ219" s="645"/>
      <c r="DA219" s="645"/>
      <c r="DB219" s="645"/>
      <c r="DC219" s="645"/>
      <c r="DD219" s="645"/>
      <c r="DE219" s="645"/>
      <c r="DF219" s="645"/>
      <c r="DG219" s="645"/>
      <c r="DH219" s="645"/>
      <c r="DI219" s="645"/>
      <c r="DJ219" s="645"/>
      <c r="DK219" s="645"/>
      <c r="DL219" s="645"/>
      <c r="DM219" s="645"/>
      <c r="DN219" s="645"/>
      <c r="DO219" s="645"/>
      <c r="DP219" s="645"/>
      <c r="DQ219" s="645"/>
      <c r="DR219" s="645"/>
      <c r="DS219" s="645"/>
      <c r="DT219" s="645"/>
      <c r="DU219" s="645"/>
      <c r="DV219" s="645"/>
      <c r="DW219" s="645"/>
      <c r="DX219" s="645"/>
      <c r="DY219" s="645"/>
      <c r="DZ219" s="645"/>
      <c r="EA219" s="645"/>
      <c r="EB219" s="645"/>
      <c r="EC219" s="645"/>
      <c r="ED219" s="645"/>
      <c r="EE219" s="645"/>
      <c r="EF219" s="645"/>
      <c r="EG219" s="645"/>
      <c r="EH219" s="645"/>
      <c r="EI219" s="645"/>
      <c r="EJ219" s="645"/>
      <c r="EK219" s="645"/>
      <c r="EL219" s="645"/>
      <c r="EM219" s="645"/>
      <c r="EN219" s="645"/>
      <c r="EO219" s="645"/>
      <c r="EP219" s="645"/>
      <c r="EQ219" s="645"/>
      <c r="ER219" s="645"/>
      <c r="ES219" s="645"/>
      <c r="ET219" s="645"/>
      <c r="EU219" s="645"/>
      <c r="EV219" s="645"/>
      <c r="EW219" s="645"/>
      <c r="EX219" s="645"/>
      <c r="EY219" s="645"/>
      <c r="EZ219" s="79"/>
      <c r="FA219" s="79"/>
      <c r="FB219" s="79"/>
      <c r="FC219" s="79"/>
      <c r="FD219" s="79"/>
      <c r="FE219" s="79"/>
      <c r="FF219" s="79"/>
      <c r="FG219" s="79"/>
      <c r="FH219" s="79"/>
      <c r="FI219" s="79"/>
      <c r="FJ219" s="79"/>
      <c r="FK219" s="79"/>
      <c r="FL219" s="79"/>
      <c r="FM219" s="47"/>
      <c r="FN219" s="47"/>
      <c r="FO219" s="47"/>
      <c r="FP219" s="47"/>
      <c r="FQ219" s="47"/>
      <c r="FR219" s="47"/>
      <c r="FS219" s="47"/>
      <c r="FT219" s="47"/>
      <c r="FU219" s="47"/>
      <c r="FV219" s="48"/>
      <c r="FW219" s="48"/>
      <c r="FX219" s="48"/>
      <c r="FY219" s="48"/>
      <c r="FZ219" s="48"/>
      <c r="GA219" s="49"/>
      <c r="GB219" s="49" t="str">
        <f t="shared" ca="1" si="19"/>
        <v/>
      </c>
      <c r="GC219" s="49" t="str">
        <f t="shared" ca="1" si="14"/>
        <v/>
      </c>
      <c r="GD219" s="49"/>
      <c r="GE219" s="49"/>
      <c r="GF219" s="49">
        <f t="shared" ca="1" si="15"/>
        <v>0</v>
      </c>
      <c r="GG219" s="49">
        <f t="shared" ca="1" si="16"/>
        <v>0</v>
      </c>
      <c r="GH219" s="49">
        <f ca="1">IF(FN156=1,2*GK177*GC189^1+GL177,0)</f>
        <v>0</v>
      </c>
      <c r="GI219" s="49">
        <f ca="1">GI220</f>
        <v>0</v>
      </c>
      <c r="GJ219" s="49">
        <f ca="1">0.9*GJ220</f>
        <v>0</v>
      </c>
      <c r="GK219" s="49">
        <f ca="1">0.9*GK220</f>
        <v>0</v>
      </c>
      <c r="GL219" s="49">
        <f ca="1">GL220</f>
        <v>0</v>
      </c>
      <c r="GM219" s="49">
        <f ca="1">GM220</f>
        <v>0</v>
      </c>
      <c r="GN219" s="49">
        <f ca="1">IF(FN156=0,0,-GD177*GC189^2+GE177*GC189)</f>
        <v>0</v>
      </c>
      <c r="GO219" s="49">
        <f t="shared" ca="1" si="17"/>
        <v>0</v>
      </c>
      <c r="GP219" s="49"/>
      <c r="GQ219" s="49"/>
      <c r="GR219" s="49">
        <f ca="1">GR220</f>
        <v>0</v>
      </c>
      <c r="GS219" s="49">
        <f ca="1">0.9*GS220</f>
        <v>0</v>
      </c>
      <c r="GT219" s="49">
        <f t="shared" ca="1" si="18"/>
        <v>0</v>
      </c>
      <c r="GU219" s="49">
        <f ca="1">GU220</f>
        <v>0</v>
      </c>
      <c r="GV219" s="49">
        <f ca="1">IF(FN156=0,0,IF(FO174=3,GV220,0))</f>
        <v>0</v>
      </c>
      <c r="GW219" s="49">
        <f ca="1">0.9*GW220</f>
        <v>0</v>
      </c>
      <c r="GX219" s="49">
        <f ca="1">IF(FN156=1,0.9*GX220,0)</f>
        <v>0</v>
      </c>
      <c r="GY219" s="49"/>
      <c r="GZ219" s="49"/>
      <c r="HA219" s="49">
        <v>38</v>
      </c>
      <c r="HB219" s="49" t="e">
        <f ca="1">HB180+HA219*(HB232-HB180)/HA231</f>
        <v>#VALUE!</v>
      </c>
      <c r="HC219" s="49" t="e">
        <f ca="1">HC180+HA219*(HC232-HC180)/HA231</f>
        <v>#VALUE!</v>
      </c>
      <c r="HD219" s="49" t="e">
        <f ca="1">GH177*HC219^3+GI177*HC219^2+GJ177*HC219+GG177+GD207</f>
        <v>#VALUE!</v>
      </c>
      <c r="HE219" s="49" t="e">
        <f t="shared" ca="1" si="5"/>
        <v>#VALUE!</v>
      </c>
      <c r="HF219" s="49" t="e">
        <f t="shared" ca="1" si="20"/>
        <v>#VALUE!</v>
      </c>
      <c r="HG219" s="49" t="e">
        <f t="shared" ca="1" si="21"/>
        <v>#VALUE!</v>
      </c>
      <c r="HH219" s="49" t="e">
        <f t="shared" ca="1" si="7"/>
        <v>#VALUE!</v>
      </c>
      <c r="HI219" s="49"/>
      <c r="HJ219" s="49"/>
      <c r="HK219" s="49"/>
      <c r="HL219" s="49"/>
      <c r="HM219" s="49"/>
    </row>
    <row r="220" spans="1:221" ht="3.75" customHeight="1">
      <c r="A220" s="1"/>
      <c r="B220" s="3"/>
      <c r="C220" s="3"/>
      <c r="D220" s="12"/>
      <c r="E220" s="197"/>
      <c r="F220" s="197"/>
      <c r="G220" s="39"/>
      <c r="H220" s="39"/>
      <c r="I220" s="39"/>
      <c r="J220" s="39"/>
      <c r="K220" s="197"/>
      <c r="L220" s="45"/>
      <c r="M220" s="39"/>
      <c r="N220" s="39"/>
      <c r="O220" s="39"/>
      <c r="P220" s="39"/>
      <c r="Q220" s="39"/>
      <c r="R220" s="39"/>
      <c r="S220" s="39"/>
      <c r="T220" s="39"/>
      <c r="U220" s="39"/>
      <c r="V220" s="39"/>
      <c r="W220" s="39"/>
      <c r="X220" s="39"/>
      <c r="Y220" s="39"/>
      <c r="Z220" s="39"/>
      <c r="AA220" s="39"/>
      <c r="AB220" s="39"/>
      <c r="AC220" s="39"/>
      <c r="AD220" s="197"/>
      <c r="AE220" s="197"/>
      <c r="AF220" s="197"/>
      <c r="AG220" s="197"/>
      <c r="AH220" s="197"/>
      <c r="AI220" s="197"/>
      <c r="AJ220" s="197"/>
      <c r="AK220" s="197"/>
      <c r="AL220" s="197"/>
      <c r="AM220" s="126"/>
      <c r="AN220" s="43" t="str">
        <f t="shared" ca="1" si="11"/>
        <v/>
      </c>
      <c r="AO220" s="237"/>
      <c r="AP220" s="237"/>
      <c r="AQ220" s="237"/>
      <c r="AR220" s="237"/>
      <c r="AS220" s="237"/>
      <c r="AT220" s="230" t="str">
        <f ca="1">IF($FN$237=0,"","!")</f>
        <v/>
      </c>
      <c r="AU220" s="237"/>
      <c r="AV220" s="237"/>
      <c r="AW220" s="230" t="str">
        <f ca="1">IF($FN$237=0,"",",")</f>
        <v/>
      </c>
      <c r="AX220" s="237"/>
      <c r="AY220" s="237"/>
      <c r="AZ220" s="230" t="str">
        <f ca="1">IF($FN$237=0,"",":")</f>
        <v/>
      </c>
      <c r="BA220" s="230"/>
      <c r="BB220" s="230"/>
      <c r="BC220" s="230"/>
      <c r="BD220" s="237"/>
      <c r="BE220" s="230"/>
      <c r="BF220" s="228" t="str">
        <f ca="1">IF(AND($FN$156=1,$BC$198=3),"`","")</f>
        <v/>
      </c>
      <c r="BG220" s="230"/>
      <c r="BH220" s="228" t="str">
        <f ca="1">IF(AND($FN$156=1,$BC$198=3),"`","")</f>
        <v/>
      </c>
      <c r="BI220" s="230"/>
      <c r="BJ220" s="230"/>
      <c r="BK220" s="230"/>
      <c r="BL220" s="233"/>
      <c r="BM220" s="233"/>
      <c r="BN220" s="233"/>
      <c r="BO220" s="233"/>
      <c r="BP220" s="233"/>
      <c r="BQ220" s="235"/>
      <c r="BR220" s="235"/>
      <c r="BS220" s="234"/>
      <c r="BT220" s="234"/>
      <c r="BU220" s="234"/>
      <c r="BV220" s="234"/>
      <c r="BW220" s="234"/>
      <c r="BX220" s="234"/>
      <c r="BY220" s="234"/>
      <c r="BZ220" s="234"/>
      <c r="CA220" s="234"/>
      <c r="CB220" s="234"/>
      <c r="CC220" s="234"/>
      <c r="CD220" s="234"/>
      <c r="CE220" s="79"/>
      <c r="CF220" s="79"/>
      <c r="CG220" s="79"/>
      <c r="CH220" s="645"/>
      <c r="CI220" s="645"/>
      <c r="CJ220" s="645"/>
      <c r="CK220" s="645"/>
      <c r="CL220" s="645"/>
      <c r="CM220" s="645"/>
      <c r="CN220" s="645"/>
      <c r="CO220" s="645"/>
      <c r="CP220" s="645"/>
      <c r="CQ220" s="645"/>
      <c r="CR220" s="645"/>
      <c r="CS220" s="645"/>
      <c r="CT220" s="645"/>
      <c r="CU220" s="645"/>
      <c r="CV220" s="645"/>
      <c r="CW220" s="645"/>
      <c r="CX220" s="645"/>
      <c r="CY220" s="645"/>
      <c r="CZ220" s="645"/>
      <c r="DA220" s="645"/>
      <c r="DB220" s="645"/>
      <c r="DC220" s="645"/>
      <c r="DD220" s="645"/>
      <c r="DE220" s="645"/>
      <c r="DF220" s="645"/>
      <c r="DG220" s="645"/>
      <c r="DH220" s="645"/>
      <c r="DI220" s="645"/>
      <c r="DJ220" s="645"/>
      <c r="DK220" s="645"/>
      <c r="DL220" s="645"/>
      <c r="DM220" s="645"/>
      <c r="DN220" s="645"/>
      <c r="DO220" s="645"/>
      <c r="DP220" s="645"/>
      <c r="DQ220" s="645"/>
      <c r="DR220" s="645"/>
      <c r="DS220" s="645"/>
      <c r="DT220" s="645"/>
      <c r="DU220" s="645"/>
      <c r="DV220" s="645"/>
      <c r="DW220" s="645"/>
      <c r="DX220" s="645"/>
      <c r="DY220" s="645"/>
      <c r="DZ220" s="645"/>
      <c r="EA220" s="645"/>
      <c r="EB220" s="645"/>
      <c r="EC220" s="645"/>
      <c r="ED220" s="645"/>
      <c r="EE220" s="645"/>
      <c r="EF220" s="645"/>
      <c r="EG220" s="645"/>
      <c r="EH220" s="645"/>
      <c r="EI220" s="645"/>
      <c r="EJ220" s="645"/>
      <c r="EK220" s="645"/>
      <c r="EL220" s="645"/>
      <c r="EM220" s="645"/>
      <c r="EN220" s="645"/>
      <c r="EO220" s="645"/>
      <c r="EP220" s="645"/>
      <c r="EQ220" s="645"/>
      <c r="ER220" s="645"/>
      <c r="ES220" s="645"/>
      <c r="ET220" s="645"/>
      <c r="EU220" s="645"/>
      <c r="EV220" s="645"/>
      <c r="EW220" s="645"/>
      <c r="EX220" s="645"/>
      <c r="EY220" s="645"/>
      <c r="EZ220" s="79"/>
      <c r="FA220" s="79"/>
      <c r="FB220" s="79"/>
      <c r="FC220" s="79"/>
      <c r="FD220" s="79"/>
      <c r="FE220" s="79"/>
      <c r="FF220" s="79"/>
      <c r="FG220" s="79"/>
      <c r="FH220" s="79"/>
      <c r="FI220" s="79"/>
      <c r="FJ220" s="79"/>
      <c r="FK220" s="79"/>
      <c r="FL220" s="79"/>
      <c r="FM220" s="47"/>
      <c r="FN220" s="47"/>
      <c r="FO220" s="47"/>
      <c r="FP220" s="47"/>
      <c r="FQ220" s="47"/>
      <c r="FR220" s="47"/>
      <c r="FS220" s="47"/>
      <c r="FT220" s="47"/>
      <c r="FU220" s="47"/>
      <c r="FV220" s="48"/>
      <c r="FW220" s="48"/>
      <c r="FX220" s="48"/>
      <c r="FY220" s="48"/>
      <c r="FZ220" s="48"/>
      <c r="GA220" s="49"/>
      <c r="GB220" s="49" t="str">
        <f ca="1">GC220</f>
        <v/>
      </c>
      <c r="GC220" s="49" t="str">
        <f t="shared" ca="1" si="14"/>
        <v/>
      </c>
      <c r="GD220" s="49"/>
      <c r="GE220" s="49"/>
      <c r="GF220" s="49">
        <f t="shared" ca="1" si="15"/>
        <v>0</v>
      </c>
      <c r="GG220" s="49">
        <f t="shared" ca="1" si="16"/>
        <v>0</v>
      </c>
      <c r="GH220" s="49">
        <f ca="1">IF(FN156=1,2*GK177*GC190^1+GL177,0)</f>
        <v>0</v>
      </c>
      <c r="GI220" s="49">
        <f ca="1">IF(FN156=0,0,IF(FO174=2,GC185,IF(FO174=1,GN168,IF(FO174=3,GR177,0))))</f>
        <v>0</v>
      </c>
      <c r="GJ220" s="49">
        <f ca="1">IF(OR(FN174=0,FN156=0),0,-GD177*GI220+GE177)</f>
        <v>0</v>
      </c>
      <c r="GK220" s="49">
        <f ca="1">IF(FN156=0,0,IF(FO174=1,GI220,IF(FO174=2,GI220,0)))</f>
        <v>0</v>
      </c>
      <c r="GL220" s="49">
        <f ca="1">IF(FN156=0,0,IF(FO174=1,GJ220,IF(FO174=2,GJ220,0)))</f>
        <v>0</v>
      </c>
      <c r="GM220" s="49">
        <f ca="1">IF(FN156=0,0,IF(FO174=1,GK177*GI220^1+GL177+GG177/GI220,IF(FO174=2,GK177*GI220^1+GL177+GG177/GI220,0)))</f>
        <v>0</v>
      </c>
      <c r="GN220" s="49">
        <f ca="1">IF(FN156=0,0,-GD177*GC190^2+GE177*GC190)</f>
        <v>0</v>
      </c>
      <c r="GO220" s="49">
        <f t="shared" ca="1" si="17"/>
        <v>0</v>
      </c>
      <c r="GP220" s="49"/>
      <c r="GQ220" s="49"/>
      <c r="GR220" s="49">
        <f ca="1">IF(FN156=0,0,IF(FO174=2,GC185,IF(FO174=1,GI220,IF(FO174=3,GI220,0))))</f>
        <v>0</v>
      </c>
      <c r="GS220" s="49">
        <f ca="1">IF(OR(FN174=0,FN156=0),0,-GD177*GR220^2+GE177*GR220)</f>
        <v>0</v>
      </c>
      <c r="GT220" s="49">
        <f t="shared" ca="1" si="18"/>
        <v>0</v>
      </c>
      <c r="GU220" s="49">
        <f ca="1">IF(FN156=0,0,IF(FO174=1,GK177*GR220^1+GL177,IF(FO174=2,GK177*GR220^1+GL177,0)))</f>
        <v>0</v>
      </c>
      <c r="GV220" s="49">
        <f ca="1">IF(FN156=0,0,IF(FO174=3,GS177,0))</f>
        <v>0</v>
      </c>
      <c r="GW220" s="49">
        <f ca="1">IF(FN156=0,0,IF(FO174=3,GK177*GV220^2+GL177*GV220+GG177,0))</f>
        <v>0</v>
      </c>
      <c r="GX220" s="49">
        <f ca="1">IF(FN156=0,0,IF(FO174=3,GK177*GV220^1+GL177+GG177/GV220,0))</f>
        <v>0</v>
      </c>
      <c r="GY220" s="49"/>
      <c r="GZ220" s="49"/>
      <c r="HA220" s="49">
        <v>39</v>
      </c>
      <c r="HB220" s="49" t="e">
        <f ca="1">HB180+HA220*(HB232-HB180)/HA231</f>
        <v>#VALUE!</v>
      </c>
      <c r="HC220" s="49" t="e">
        <f ca="1">HC180+HA220*(HC232-HC180)/HA231</f>
        <v>#VALUE!</v>
      </c>
      <c r="HD220" s="49" t="e">
        <f ca="1">GH177*HC220^3+GI177*HC220^2+GJ177*HC220+GG177+GD207</f>
        <v>#VALUE!</v>
      </c>
      <c r="HE220" s="49" t="e">
        <f t="shared" ca="1" si="5"/>
        <v>#VALUE!</v>
      </c>
      <c r="HF220" s="49" t="e">
        <f t="shared" ca="1" si="20"/>
        <v>#VALUE!</v>
      </c>
      <c r="HG220" s="49" t="e">
        <f t="shared" ca="1" si="21"/>
        <v>#VALUE!</v>
      </c>
      <c r="HH220" s="49" t="e">
        <f t="shared" ca="1" si="7"/>
        <v>#VALUE!</v>
      </c>
      <c r="HI220" s="49"/>
      <c r="HJ220" s="49"/>
      <c r="HK220" s="49"/>
      <c r="HL220" s="49"/>
      <c r="HM220" s="49"/>
    </row>
    <row r="221" spans="1:221" ht="3.75" customHeight="1">
      <c r="A221" s="1"/>
      <c r="B221" s="3"/>
      <c r="C221" s="3"/>
      <c r="D221" s="12"/>
      <c r="E221" s="197"/>
      <c r="F221" s="197"/>
      <c r="G221" s="39"/>
      <c r="H221" s="39"/>
      <c r="I221" s="39"/>
      <c r="J221" s="39"/>
      <c r="K221" s="197"/>
      <c r="L221" s="39"/>
      <c r="M221" s="39"/>
      <c r="N221" s="39"/>
      <c r="O221" s="39"/>
      <c r="P221" s="39"/>
      <c r="Q221" s="39"/>
      <c r="R221" s="39"/>
      <c r="S221" s="39"/>
      <c r="T221" s="39"/>
      <c r="U221" s="39"/>
      <c r="V221" s="39"/>
      <c r="W221" s="39"/>
      <c r="X221" s="39"/>
      <c r="Y221" s="39"/>
      <c r="Z221" s="39"/>
      <c r="AA221" s="39"/>
      <c r="AB221" s="39"/>
      <c r="AC221" s="39"/>
      <c r="AD221" s="197"/>
      <c r="AE221" s="197"/>
      <c r="AF221" s="197"/>
      <c r="AG221" s="197"/>
      <c r="AH221" s="197"/>
      <c r="AI221" s="197"/>
      <c r="AJ221" s="197"/>
      <c r="AK221" s="197"/>
      <c r="AL221" s="197"/>
      <c r="AM221" s="126"/>
      <c r="AN221" s="43" t="str">
        <f t="shared" ca="1" si="11"/>
        <v/>
      </c>
      <c r="AO221" s="237"/>
      <c r="AP221" s="237"/>
      <c r="AQ221" s="237"/>
      <c r="AR221" s="237"/>
      <c r="AS221" s="237"/>
      <c r="AT221" s="230" t="str">
        <f ca="1">IF($FN$237=0,"","!")</f>
        <v/>
      </c>
      <c r="AU221" s="237"/>
      <c r="AV221" s="237"/>
      <c r="AW221" s="230" t="str">
        <f ca="1">IF($FN$237=0,"",",")</f>
        <v/>
      </c>
      <c r="AX221" s="237"/>
      <c r="AY221" s="237"/>
      <c r="AZ221" s="237"/>
      <c r="BA221" s="230" t="str">
        <f ca="1">IF($FN$237=0,"",":")</f>
        <v/>
      </c>
      <c r="BB221" s="230"/>
      <c r="BC221" s="237"/>
      <c r="BD221" s="237"/>
      <c r="BE221" s="230"/>
      <c r="BF221" s="228" t="str">
        <f ca="1">IF(AND($FN$156=1,$BC$198=3),"`","")</f>
        <v/>
      </c>
      <c r="BG221" s="228" t="str">
        <f ca="1">IF(AND($FN$156=1,$BC$198=3),"`","")</f>
        <v/>
      </c>
      <c r="BH221" s="230"/>
      <c r="BI221" s="230"/>
      <c r="BJ221" s="230"/>
      <c r="BK221" s="230"/>
      <c r="BL221" s="233"/>
      <c r="BM221" s="233"/>
      <c r="BN221" s="233"/>
      <c r="BO221" s="233"/>
      <c r="BP221" s="233"/>
      <c r="BQ221" s="235"/>
      <c r="BR221" s="235"/>
      <c r="BS221" s="234"/>
      <c r="BT221" s="234"/>
      <c r="BU221" s="234"/>
      <c r="BV221" s="234"/>
      <c r="BW221" s="234"/>
      <c r="BX221" s="234"/>
      <c r="BY221" s="234"/>
      <c r="BZ221" s="234"/>
      <c r="CA221" s="234"/>
      <c r="CB221" s="234"/>
      <c r="CC221" s="234"/>
      <c r="CD221" s="234"/>
      <c r="CE221" s="79"/>
      <c r="CF221" s="79"/>
      <c r="CG221" s="79"/>
      <c r="CH221" s="645"/>
      <c r="CI221" s="645"/>
      <c r="CJ221" s="645"/>
      <c r="CK221" s="645"/>
      <c r="CL221" s="645"/>
      <c r="CM221" s="645"/>
      <c r="CN221" s="645"/>
      <c r="CO221" s="645"/>
      <c r="CP221" s="645"/>
      <c r="CQ221" s="645"/>
      <c r="CR221" s="645"/>
      <c r="CS221" s="645"/>
      <c r="CT221" s="645"/>
      <c r="CU221" s="645"/>
      <c r="CV221" s="645"/>
      <c r="CW221" s="645"/>
      <c r="CX221" s="645"/>
      <c r="CY221" s="645"/>
      <c r="CZ221" s="645"/>
      <c r="DA221" s="645"/>
      <c r="DB221" s="645"/>
      <c r="DC221" s="645"/>
      <c r="DD221" s="645"/>
      <c r="DE221" s="645"/>
      <c r="DF221" s="645"/>
      <c r="DG221" s="645"/>
      <c r="DH221" s="645"/>
      <c r="DI221" s="645"/>
      <c r="DJ221" s="645"/>
      <c r="DK221" s="645"/>
      <c r="DL221" s="645"/>
      <c r="DM221" s="645"/>
      <c r="DN221" s="645"/>
      <c r="DO221" s="645"/>
      <c r="DP221" s="645"/>
      <c r="DQ221" s="645"/>
      <c r="DR221" s="645"/>
      <c r="DS221" s="645"/>
      <c r="DT221" s="645"/>
      <c r="DU221" s="645"/>
      <c r="DV221" s="645"/>
      <c r="DW221" s="645"/>
      <c r="DX221" s="645"/>
      <c r="DY221" s="645"/>
      <c r="DZ221" s="645"/>
      <c r="EA221" s="645"/>
      <c r="EB221" s="645"/>
      <c r="EC221" s="645"/>
      <c r="ED221" s="645"/>
      <c r="EE221" s="645"/>
      <c r="EF221" s="645"/>
      <c r="EG221" s="645"/>
      <c r="EH221" s="645"/>
      <c r="EI221" s="645"/>
      <c r="EJ221" s="645"/>
      <c r="EK221" s="645"/>
      <c r="EL221" s="645"/>
      <c r="EM221" s="645"/>
      <c r="EN221" s="645"/>
      <c r="EO221" s="645"/>
      <c r="EP221" s="645"/>
      <c r="EQ221" s="645"/>
      <c r="ER221" s="645"/>
      <c r="ES221" s="645"/>
      <c r="ET221" s="645"/>
      <c r="EU221" s="645"/>
      <c r="EV221" s="645"/>
      <c r="EW221" s="645"/>
      <c r="EX221" s="645"/>
      <c r="EY221" s="645"/>
      <c r="EZ221" s="79"/>
      <c r="FA221" s="79"/>
      <c r="FB221" s="79"/>
      <c r="FC221" s="79"/>
      <c r="FD221" s="79"/>
      <c r="FE221" s="79"/>
      <c r="FF221" s="79"/>
      <c r="FG221" s="79"/>
      <c r="FH221" s="79"/>
      <c r="FI221" s="79"/>
      <c r="FJ221" s="79"/>
      <c r="FK221" s="79"/>
      <c r="FL221" s="79"/>
      <c r="FM221" s="47"/>
      <c r="FN221" s="47"/>
      <c r="FO221" s="47"/>
      <c r="FP221" s="47"/>
      <c r="FQ221" s="47"/>
      <c r="FR221" s="47"/>
      <c r="FS221" s="47"/>
      <c r="FT221" s="47"/>
      <c r="FU221" s="47"/>
      <c r="FV221" s="48"/>
      <c r="FW221" s="48"/>
      <c r="FX221" s="48"/>
      <c r="FY221" s="48"/>
      <c r="FZ221" s="48"/>
      <c r="GA221" s="49"/>
      <c r="GB221" s="49"/>
      <c r="GC221" s="49"/>
      <c r="GD221" s="49"/>
      <c r="GE221" s="49"/>
      <c r="GF221" s="49"/>
      <c r="GG221" s="49"/>
      <c r="GH221" s="49"/>
      <c r="GI221" s="49"/>
      <c r="GJ221" s="49"/>
      <c r="GK221" s="49"/>
      <c r="GL221" s="49"/>
      <c r="GM221" s="49"/>
      <c r="GN221" s="49"/>
      <c r="GO221" s="49"/>
      <c r="GP221" s="49"/>
      <c r="GQ221" s="49"/>
      <c r="GR221" s="49"/>
      <c r="GS221" s="49"/>
      <c r="GT221" s="49"/>
      <c r="GU221" s="49"/>
      <c r="GV221" s="49"/>
      <c r="GW221" s="49"/>
      <c r="GX221" s="49"/>
      <c r="GY221" s="49"/>
      <c r="GZ221" s="49"/>
      <c r="HA221" s="49">
        <v>40</v>
      </c>
      <c r="HB221" s="49" t="e">
        <f ca="1">HB180+HA221*(HB232-HB180)/HA231</f>
        <v>#VALUE!</v>
      </c>
      <c r="HC221" s="49" t="e">
        <f ca="1">HC180+HA221*(HC232-HC180)/HA231</f>
        <v>#VALUE!</v>
      </c>
      <c r="HD221" s="49" t="e">
        <f ca="1">GH177*HC221^3+GI177*HC221^2+GJ177*HC221+GG177+GD207</f>
        <v>#VALUE!</v>
      </c>
      <c r="HE221" s="49" t="e">
        <f t="shared" ca="1" si="5"/>
        <v>#VALUE!</v>
      </c>
      <c r="HF221" s="49" t="e">
        <f t="shared" ca="1" si="20"/>
        <v>#VALUE!</v>
      </c>
      <c r="HG221" s="49" t="e">
        <f t="shared" ca="1" si="21"/>
        <v>#VALUE!</v>
      </c>
      <c r="HH221" s="49" t="e">
        <f t="shared" ca="1" si="7"/>
        <v>#VALUE!</v>
      </c>
      <c r="HI221" s="49"/>
      <c r="HJ221" s="49"/>
      <c r="HK221" s="49"/>
      <c r="HL221" s="49"/>
      <c r="HM221" s="49"/>
    </row>
    <row r="222" spans="1:221" ht="3.75" customHeight="1">
      <c r="A222" s="1"/>
      <c r="B222" s="3"/>
      <c r="C222" s="3"/>
      <c r="D222" s="12"/>
      <c r="E222" s="197"/>
      <c r="F222" s="197"/>
      <c r="G222" s="39"/>
      <c r="H222" s="39"/>
      <c r="I222" s="39"/>
      <c r="J222" s="39"/>
      <c r="K222" s="197"/>
      <c r="L222" s="39"/>
      <c r="M222" s="39"/>
      <c r="N222" s="39"/>
      <c r="O222" s="39"/>
      <c r="P222" s="39"/>
      <c r="Q222" s="39"/>
      <c r="R222" s="39"/>
      <c r="S222" s="39"/>
      <c r="T222" s="39"/>
      <c r="U222" s="39"/>
      <c r="V222" s="39"/>
      <c r="W222" s="39"/>
      <c r="X222" s="39"/>
      <c r="Y222" s="39"/>
      <c r="Z222" s="39"/>
      <c r="AA222" s="39"/>
      <c r="AB222" s="39"/>
      <c r="AC222" s="39"/>
      <c r="AD222" s="197"/>
      <c r="AE222" s="197"/>
      <c r="AF222" s="197"/>
      <c r="AG222" s="197"/>
      <c r="AH222" s="197"/>
      <c r="AI222" s="197"/>
      <c r="AJ222" s="197"/>
      <c r="AK222" s="197"/>
      <c r="AL222" s="197"/>
      <c r="AM222" s="126"/>
      <c r="AN222" s="43" t="str">
        <f t="shared" ca="1" si="11"/>
        <v/>
      </c>
      <c r="AO222" s="237"/>
      <c r="AP222" s="237"/>
      <c r="AQ222" s="237"/>
      <c r="AR222" s="237"/>
      <c r="AS222" s="237"/>
      <c r="AT222" s="237"/>
      <c r="AU222" s="230" t="str">
        <f ca="1">IF($FN$237=0,"","!")</f>
        <v/>
      </c>
      <c r="AV222" s="237"/>
      <c r="AW222" s="230" t="str">
        <f ca="1">IF($FN$237=0,"",",")</f>
        <v/>
      </c>
      <c r="AX222" s="230"/>
      <c r="AY222" s="237"/>
      <c r="AZ222" s="237"/>
      <c r="BA222" s="237"/>
      <c r="BB222" s="230" t="str">
        <f ca="1">IF($FN$237=0,"",":")</f>
        <v/>
      </c>
      <c r="BC222" s="237"/>
      <c r="BD222" s="237"/>
      <c r="BE222" s="230"/>
      <c r="BF222" s="228" t="str">
        <f ca="1">IF(AND($FN$156=1,$BC$198=3),"`","")</f>
        <v/>
      </c>
      <c r="BG222" s="228" t="str">
        <f ca="1">IF(AND($FN$156=1,$BC$198=3),"`","")</f>
        <v/>
      </c>
      <c r="BH222" s="228" t="str">
        <f ca="1">IF(AND($FN$156=1,$BC$198=3),"`","")</f>
        <v/>
      </c>
      <c r="BI222" s="230"/>
      <c r="BJ222" s="230"/>
      <c r="BK222" s="230"/>
      <c r="BL222" s="233"/>
      <c r="BM222" s="233"/>
      <c r="BN222" s="233"/>
      <c r="BO222" s="233"/>
      <c r="BP222" s="233"/>
      <c r="BQ222" s="235"/>
      <c r="BR222" s="235"/>
      <c r="BS222" s="234"/>
      <c r="BT222" s="234"/>
      <c r="BU222" s="234"/>
      <c r="BV222" s="234"/>
      <c r="BW222" s="234"/>
      <c r="BX222" s="234"/>
      <c r="BY222" s="234"/>
      <c r="BZ222" s="234"/>
      <c r="CA222" s="234"/>
      <c r="CB222" s="234"/>
      <c r="CC222" s="234"/>
      <c r="CD222" s="234"/>
      <c r="CE222" s="79"/>
      <c r="CF222" s="79"/>
      <c r="CG222" s="79"/>
      <c r="CH222" s="645"/>
      <c r="CI222" s="645"/>
      <c r="CJ222" s="645"/>
      <c r="CK222" s="645"/>
      <c r="CL222" s="645"/>
      <c r="CM222" s="645"/>
      <c r="CN222" s="645"/>
      <c r="CO222" s="645"/>
      <c r="CP222" s="645"/>
      <c r="CQ222" s="645"/>
      <c r="CR222" s="645"/>
      <c r="CS222" s="645"/>
      <c r="CT222" s="645"/>
      <c r="CU222" s="645"/>
      <c r="CV222" s="645"/>
      <c r="CW222" s="645"/>
      <c r="CX222" s="645"/>
      <c r="CY222" s="645"/>
      <c r="CZ222" s="645"/>
      <c r="DA222" s="645"/>
      <c r="DB222" s="645"/>
      <c r="DC222" s="645"/>
      <c r="DD222" s="645"/>
      <c r="DE222" s="645"/>
      <c r="DF222" s="645"/>
      <c r="DG222" s="645"/>
      <c r="DH222" s="645"/>
      <c r="DI222" s="645"/>
      <c r="DJ222" s="645"/>
      <c r="DK222" s="645"/>
      <c r="DL222" s="645"/>
      <c r="DM222" s="645"/>
      <c r="DN222" s="645"/>
      <c r="DO222" s="645"/>
      <c r="DP222" s="645"/>
      <c r="DQ222" s="645"/>
      <c r="DR222" s="645"/>
      <c r="DS222" s="645"/>
      <c r="DT222" s="645"/>
      <c r="DU222" s="645"/>
      <c r="DV222" s="645"/>
      <c r="DW222" s="645"/>
      <c r="DX222" s="645"/>
      <c r="DY222" s="645"/>
      <c r="DZ222" s="645"/>
      <c r="EA222" s="645"/>
      <c r="EB222" s="645"/>
      <c r="EC222" s="645"/>
      <c r="ED222" s="645"/>
      <c r="EE222" s="645"/>
      <c r="EF222" s="645"/>
      <c r="EG222" s="645"/>
      <c r="EH222" s="645"/>
      <c r="EI222" s="645"/>
      <c r="EJ222" s="645"/>
      <c r="EK222" s="645"/>
      <c r="EL222" s="645"/>
      <c r="EM222" s="645"/>
      <c r="EN222" s="645"/>
      <c r="EO222" s="645"/>
      <c r="EP222" s="645"/>
      <c r="EQ222" s="645"/>
      <c r="ER222" s="645"/>
      <c r="ES222" s="645"/>
      <c r="ET222" s="645"/>
      <c r="EU222" s="645"/>
      <c r="EV222" s="645"/>
      <c r="EW222" s="645"/>
      <c r="EX222" s="645"/>
      <c r="EY222" s="645"/>
      <c r="EZ222" s="79"/>
      <c r="FA222" s="79"/>
      <c r="FB222" s="79"/>
      <c r="FC222" s="79"/>
      <c r="FD222" s="79"/>
      <c r="FE222" s="79"/>
      <c r="FF222" s="79"/>
      <c r="FG222" s="79"/>
      <c r="FH222" s="79"/>
      <c r="FI222" s="79"/>
      <c r="FJ222" s="79"/>
      <c r="FK222" s="79"/>
      <c r="FL222" s="79"/>
      <c r="FM222" s="47"/>
      <c r="FN222" s="47"/>
      <c r="FO222" s="47"/>
      <c r="FP222" s="47"/>
      <c r="FQ222" s="47"/>
      <c r="FR222" s="47"/>
      <c r="FS222" s="47"/>
      <c r="FT222" s="47"/>
      <c r="FU222" s="47"/>
      <c r="FV222" s="48"/>
      <c r="FW222" s="48"/>
      <c r="FX222" s="48"/>
      <c r="FY222" s="48"/>
      <c r="FZ222" s="48"/>
      <c r="GA222" s="49"/>
      <c r="GB222" s="49"/>
      <c r="GC222" s="49"/>
      <c r="GD222" s="49"/>
      <c r="GE222" s="49"/>
      <c r="GF222" s="49"/>
      <c r="GG222" s="49"/>
      <c r="GH222" s="49"/>
      <c r="GI222" s="49"/>
      <c r="GJ222" s="49"/>
      <c r="GK222" s="49"/>
      <c r="GL222" s="49"/>
      <c r="GM222" s="49"/>
      <c r="GN222" s="49"/>
      <c r="GO222" s="49"/>
      <c r="GP222" s="49"/>
      <c r="GQ222" s="49"/>
      <c r="GR222" s="49"/>
      <c r="GS222" s="49"/>
      <c r="GT222" s="49"/>
      <c r="GU222" s="49"/>
      <c r="GV222" s="49"/>
      <c r="GW222" s="49"/>
      <c r="GX222" s="49"/>
      <c r="GY222" s="49"/>
      <c r="GZ222" s="49"/>
      <c r="HA222" s="49">
        <v>41</v>
      </c>
      <c r="HB222" s="49" t="e">
        <f ca="1">HB180+HA222*(HB232-HB180)/HA231</f>
        <v>#VALUE!</v>
      </c>
      <c r="HC222" s="49" t="e">
        <f ca="1">HC180+HA222*(HC232-HC180)/HA231</f>
        <v>#VALUE!</v>
      </c>
      <c r="HD222" s="49" t="e">
        <f ca="1">GH177*HC222^3+GI177*HC222^2+GJ177*HC222+GG177+GD207</f>
        <v>#VALUE!</v>
      </c>
      <c r="HE222" s="49" t="e">
        <f t="shared" ca="1" si="5"/>
        <v>#VALUE!</v>
      </c>
      <c r="HF222" s="49" t="e">
        <f t="shared" ca="1" si="20"/>
        <v>#VALUE!</v>
      </c>
      <c r="HG222" s="49" t="e">
        <f t="shared" ca="1" si="21"/>
        <v>#VALUE!</v>
      </c>
      <c r="HH222" s="49" t="e">
        <f t="shared" ca="1" si="7"/>
        <v>#VALUE!</v>
      </c>
      <c r="HI222" s="49"/>
      <c r="HJ222" s="49"/>
      <c r="HK222" s="49"/>
      <c r="HL222" s="49"/>
      <c r="HM222" s="49"/>
    </row>
    <row r="223" spans="1:221" ht="3.75" customHeight="1">
      <c r="A223" s="1"/>
      <c r="B223" s="3"/>
      <c r="C223" s="3"/>
      <c r="D223" s="12"/>
      <c r="E223" s="197"/>
      <c r="F223" s="197"/>
      <c r="G223" s="39"/>
      <c r="H223" s="39"/>
      <c r="I223" s="39"/>
      <c r="J223" s="39"/>
      <c r="K223" s="197"/>
      <c r="L223" s="39"/>
      <c r="M223" s="39"/>
      <c r="N223" s="39"/>
      <c r="O223" s="39"/>
      <c r="P223" s="39"/>
      <c r="Q223" s="39"/>
      <c r="R223" s="39"/>
      <c r="S223" s="39"/>
      <c r="T223" s="39"/>
      <c r="U223" s="39"/>
      <c r="V223" s="39"/>
      <c r="W223" s="39"/>
      <c r="X223" s="39"/>
      <c r="Y223" s="39"/>
      <c r="Z223" s="39"/>
      <c r="AA223" s="39"/>
      <c r="AB223" s="39"/>
      <c r="AC223" s="39"/>
      <c r="AD223" s="197"/>
      <c r="AE223" s="197"/>
      <c r="AF223" s="197"/>
      <c r="AG223" s="197"/>
      <c r="AH223" s="197"/>
      <c r="AI223" s="197"/>
      <c r="AJ223" s="197"/>
      <c r="AK223" s="197"/>
      <c r="AL223" s="197"/>
      <c r="AM223" s="126"/>
      <c r="AN223" s="43" t="str">
        <f t="shared" ca="1" si="11"/>
        <v/>
      </c>
      <c r="AO223" s="237"/>
      <c r="AP223" s="237"/>
      <c r="AQ223" s="237"/>
      <c r="AR223" s="237"/>
      <c r="AS223" s="237"/>
      <c r="AT223" s="237"/>
      <c r="AU223" s="230" t="str">
        <f ca="1">IF($FN$237=0,"","!")</f>
        <v/>
      </c>
      <c r="AV223" s="237"/>
      <c r="AW223" s="230" t="str">
        <f ca="1">IF($FN$237=0,"",",")</f>
        <v/>
      </c>
      <c r="AX223" s="230"/>
      <c r="AY223" s="237"/>
      <c r="AZ223" s="237"/>
      <c r="BA223" s="237"/>
      <c r="BB223" s="237"/>
      <c r="BC223" s="230" t="str">
        <f ca="1">IF($FN$237=0,"",":")</f>
        <v/>
      </c>
      <c r="BD223" s="230"/>
      <c r="BE223" s="230"/>
      <c r="BF223" s="230"/>
      <c r="BG223" s="230"/>
      <c r="BH223" s="230"/>
      <c r="BI223" s="230"/>
      <c r="BJ223" s="230"/>
      <c r="BK223" s="230"/>
      <c r="BL223" s="233"/>
      <c r="BM223" s="233"/>
      <c r="BN223" s="233"/>
      <c r="BO223" s="233"/>
      <c r="BP223" s="233"/>
      <c r="BQ223" s="235"/>
      <c r="BR223" s="235"/>
      <c r="BS223" s="234"/>
      <c r="BT223" s="234"/>
      <c r="BU223" s="234"/>
      <c r="BV223" s="234"/>
      <c r="BW223" s="234"/>
      <c r="BX223" s="234"/>
      <c r="BY223" s="234"/>
      <c r="BZ223" s="234"/>
      <c r="CA223" s="234"/>
      <c r="CB223" s="234"/>
      <c r="CC223" s="234"/>
      <c r="CD223" s="234"/>
      <c r="CE223" s="79"/>
      <c r="CF223" s="79"/>
      <c r="CG223" s="79"/>
      <c r="CH223" s="645"/>
      <c r="CI223" s="645"/>
      <c r="CJ223" s="645"/>
      <c r="CK223" s="645"/>
      <c r="CL223" s="645"/>
      <c r="CM223" s="645"/>
      <c r="CN223" s="645"/>
      <c r="CO223" s="645"/>
      <c r="CP223" s="645"/>
      <c r="CQ223" s="645"/>
      <c r="CR223" s="645"/>
      <c r="CS223" s="645"/>
      <c r="CT223" s="645"/>
      <c r="CU223" s="645"/>
      <c r="CV223" s="645"/>
      <c r="CW223" s="645"/>
      <c r="CX223" s="645"/>
      <c r="CY223" s="645"/>
      <c r="CZ223" s="645"/>
      <c r="DA223" s="645"/>
      <c r="DB223" s="645"/>
      <c r="DC223" s="645"/>
      <c r="DD223" s="645"/>
      <c r="DE223" s="645"/>
      <c r="DF223" s="645"/>
      <c r="DG223" s="645"/>
      <c r="DH223" s="645"/>
      <c r="DI223" s="645"/>
      <c r="DJ223" s="645"/>
      <c r="DK223" s="645"/>
      <c r="DL223" s="645"/>
      <c r="DM223" s="645"/>
      <c r="DN223" s="645"/>
      <c r="DO223" s="645"/>
      <c r="DP223" s="645"/>
      <c r="DQ223" s="645"/>
      <c r="DR223" s="645"/>
      <c r="DS223" s="645"/>
      <c r="DT223" s="645"/>
      <c r="DU223" s="645"/>
      <c r="DV223" s="645"/>
      <c r="DW223" s="645"/>
      <c r="DX223" s="645"/>
      <c r="DY223" s="645"/>
      <c r="DZ223" s="645"/>
      <c r="EA223" s="645"/>
      <c r="EB223" s="645"/>
      <c r="EC223" s="645"/>
      <c r="ED223" s="645"/>
      <c r="EE223" s="645"/>
      <c r="EF223" s="645"/>
      <c r="EG223" s="645"/>
      <c r="EH223" s="645"/>
      <c r="EI223" s="645"/>
      <c r="EJ223" s="645"/>
      <c r="EK223" s="645"/>
      <c r="EL223" s="645"/>
      <c r="EM223" s="645"/>
      <c r="EN223" s="645"/>
      <c r="EO223" s="645"/>
      <c r="EP223" s="645"/>
      <c r="EQ223" s="645"/>
      <c r="ER223" s="645"/>
      <c r="ES223" s="645"/>
      <c r="ET223" s="645"/>
      <c r="EU223" s="645"/>
      <c r="EV223" s="645"/>
      <c r="EW223" s="645"/>
      <c r="EX223" s="645"/>
      <c r="EY223" s="645"/>
      <c r="EZ223" s="79"/>
      <c r="FA223" s="79"/>
      <c r="FB223" s="79"/>
      <c r="FC223" s="79"/>
      <c r="FD223" s="79"/>
      <c r="FE223" s="79"/>
      <c r="FF223" s="79"/>
      <c r="FG223" s="79"/>
      <c r="FH223" s="79"/>
      <c r="FI223" s="79"/>
      <c r="FJ223" s="79"/>
      <c r="FK223" s="79"/>
      <c r="FL223" s="79"/>
      <c r="FM223" s="47"/>
      <c r="FN223" s="47"/>
      <c r="FO223" s="47"/>
      <c r="FP223" s="47"/>
      <c r="FQ223" s="47"/>
      <c r="FR223" s="47"/>
      <c r="FS223" s="47"/>
      <c r="FT223" s="47"/>
      <c r="FU223" s="47"/>
      <c r="FV223" s="48"/>
      <c r="FW223" s="48"/>
      <c r="FX223" s="48"/>
      <c r="FY223" s="48"/>
      <c r="FZ223" s="48"/>
      <c r="GA223" s="49"/>
      <c r="GB223" s="49"/>
      <c r="GC223" s="49"/>
      <c r="GD223" s="49"/>
      <c r="GE223" s="49"/>
      <c r="GF223" s="49" t="s">
        <v>54</v>
      </c>
      <c r="GG223" s="49" t="s">
        <v>56</v>
      </c>
      <c r="GH223" s="49" t="s">
        <v>26</v>
      </c>
      <c r="GI223" s="49" t="s">
        <v>60</v>
      </c>
      <c r="GJ223" s="49"/>
      <c r="GK223" s="49" t="s">
        <v>71</v>
      </c>
      <c r="GL223" s="49" t="s">
        <v>72</v>
      </c>
      <c r="GM223" s="49" t="s">
        <v>73</v>
      </c>
      <c r="GN223" s="49" t="s">
        <v>5</v>
      </c>
      <c r="GO223" s="49" t="s">
        <v>3</v>
      </c>
      <c r="GP223" s="49" t="s">
        <v>58</v>
      </c>
      <c r="GQ223" s="49" t="s">
        <v>59</v>
      </c>
      <c r="GR223" s="49" t="s">
        <v>60</v>
      </c>
      <c r="GS223" s="49"/>
      <c r="GT223" s="49" t="s">
        <v>2</v>
      </c>
      <c r="GU223" s="49" t="s">
        <v>87</v>
      </c>
      <c r="GV223" s="49" t="s">
        <v>60</v>
      </c>
      <c r="GW223" s="49"/>
      <c r="GX223" s="49"/>
      <c r="GY223" s="49"/>
      <c r="GZ223" s="49"/>
      <c r="HA223" s="49">
        <v>42</v>
      </c>
      <c r="HB223" s="49" t="e">
        <f ca="1">HB180+HA223*(HB232-HB180)/HA231</f>
        <v>#VALUE!</v>
      </c>
      <c r="HC223" s="49" t="e">
        <f ca="1">HC180+HA223*(HC232-HC180)/HA231</f>
        <v>#VALUE!</v>
      </c>
      <c r="HD223" s="49" t="e">
        <f ca="1">GH177*HC223^3+GI177*HC223^2+GJ177*HC223+GG177+GD207</f>
        <v>#VALUE!</v>
      </c>
      <c r="HE223" s="49" t="e">
        <f t="shared" ca="1" si="5"/>
        <v>#VALUE!</v>
      </c>
      <c r="HF223" s="49" t="e">
        <f t="shared" ca="1" si="20"/>
        <v>#VALUE!</v>
      </c>
      <c r="HG223" s="49" t="e">
        <f t="shared" ca="1" si="21"/>
        <v>#VALUE!</v>
      </c>
      <c r="HH223" s="49" t="e">
        <f t="shared" ca="1" si="7"/>
        <v>#VALUE!</v>
      </c>
      <c r="HI223" s="49"/>
      <c r="HJ223" s="49"/>
      <c r="HK223" s="49"/>
      <c r="HL223" s="49"/>
      <c r="HM223" s="49"/>
    </row>
    <row r="224" spans="1:221" ht="3.75" customHeight="1">
      <c r="A224" s="1"/>
      <c r="B224" s="3"/>
      <c r="C224" s="3"/>
      <c r="D224" s="12"/>
      <c r="E224" s="197"/>
      <c r="F224" s="197"/>
      <c r="G224" s="39"/>
      <c r="H224" s="39"/>
      <c r="I224" s="39"/>
      <c r="J224" s="39"/>
      <c r="K224" s="197"/>
      <c r="L224" s="39"/>
      <c r="M224" s="39"/>
      <c r="N224" s="39"/>
      <c r="O224" s="39"/>
      <c r="P224" s="39"/>
      <c r="Q224" s="39"/>
      <c r="R224" s="39"/>
      <c r="S224" s="39"/>
      <c r="T224" s="39"/>
      <c r="U224" s="39"/>
      <c r="V224" s="39"/>
      <c r="W224" s="39"/>
      <c r="X224" s="39"/>
      <c r="Y224" s="39"/>
      <c r="Z224" s="39"/>
      <c r="AA224" s="39"/>
      <c r="AB224" s="39"/>
      <c r="AC224" s="39"/>
      <c r="AD224" s="197"/>
      <c r="AE224" s="197"/>
      <c r="AF224" s="197"/>
      <c r="AG224" s="197"/>
      <c r="AH224" s="197"/>
      <c r="AI224" s="197"/>
      <c r="AJ224" s="197"/>
      <c r="AK224" s="197"/>
      <c r="AL224" s="197"/>
      <c r="AM224" s="126"/>
      <c r="AN224" s="43" t="str">
        <f t="shared" ca="1" si="11"/>
        <v/>
      </c>
      <c r="AO224" s="228" t="str">
        <f t="shared" ref="AO224:AU224" ca="1" si="22">IF(AND($FN$156=1,$BC$198=7),"`",IF(AND($FN$156=1,$BC$198=4),"`",""))</f>
        <v/>
      </c>
      <c r="AP224" s="228" t="str">
        <f t="shared" ca="1" si="22"/>
        <v/>
      </c>
      <c r="AQ224" s="228" t="str">
        <f t="shared" ca="1" si="22"/>
        <v/>
      </c>
      <c r="AR224" s="228" t="str">
        <f t="shared" ca="1" si="22"/>
        <v/>
      </c>
      <c r="AS224" s="228" t="str">
        <f t="shared" ca="1" si="22"/>
        <v/>
      </c>
      <c r="AT224" s="228" t="str">
        <f t="shared" ca="1" si="22"/>
        <v/>
      </c>
      <c r="AU224" s="228" t="str">
        <f t="shared" ca="1" si="22"/>
        <v/>
      </c>
      <c r="AV224" s="228" t="str">
        <f ca="1">IF($FN$237=0,"",IF(AND($FN$156=1,$BC$198=7),"`",IF(AND($FN$156=1,$BC$198=4),"`","!")))</f>
        <v/>
      </c>
      <c r="AW224" s="228" t="str">
        <f ca="1">IF(AND($FN$156=1,$BC$198=7),"`",IF(AND($FN$156=1,$BC$198=4),"`",""))</f>
        <v/>
      </c>
      <c r="AX224" s="228" t="str">
        <f ca="1">IF($FN$237=0,"",IF(AND($FN$156=1,$BC$198=7),"`",IF(AND($FN$156=1,$BC$198=4),"`",",")))</f>
        <v/>
      </c>
      <c r="AY224" s="228" t="str">
        <f ca="1">IF(AND($FN$156=1,$BC$198=7),"`",IF(AND($FN$156=1,$BC$198=4),"`",""))</f>
        <v/>
      </c>
      <c r="AZ224" s="228" t="str">
        <f ca="1">IF(AND($FN$156=1,$BC$198=7),"`",IF(AND($FN$156=1,$BC$198=4),"`",""))</f>
        <v/>
      </c>
      <c r="BA224" s="228" t="str">
        <f ca="1">IF(AND($FN$156=1,$BC$198=7),"`",IF(AND($FN$156=1,$BC$198=4),"`",""))</f>
        <v/>
      </c>
      <c r="BB224" s="228" t="str">
        <f ca="1">IF(AND($FN$156=1,$BC$198=7),"`",IF(AND($FN$156=1,$BC$198=4),"`",""))</f>
        <v/>
      </c>
      <c r="BC224" s="228" t="str">
        <f ca="1">IF(AND($FN$156=1,$BC$198=7),"`",IF(AND($FN$156=1,$BC$198=4),"`",""))</f>
        <v/>
      </c>
      <c r="BD224" s="230" t="str">
        <f ca="1">IF(AND($FN$156=1,$BC$198=6),":",IF(AND($FN$156=1,$BC$198=5),":",IF(AND($FN$156=1,$BC$198&gt;=3),"`",IF($FN$237=0,"",":"))))</f>
        <v/>
      </c>
      <c r="BE224" s="230"/>
      <c r="BF224" s="230"/>
      <c r="BG224" s="230"/>
      <c r="BH224" s="230"/>
      <c r="BI224" s="230"/>
      <c r="BJ224" s="230"/>
      <c r="BK224" s="230"/>
      <c r="BL224" s="233"/>
      <c r="BM224" s="233"/>
      <c r="BN224" s="233"/>
      <c r="BO224" s="233"/>
      <c r="BP224" s="233"/>
      <c r="BQ224" s="235"/>
      <c r="BR224" s="235"/>
      <c r="BS224" s="234"/>
      <c r="BT224" s="234"/>
      <c r="BU224" s="234"/>
      <c r="BV224" s="234"/>
      <c r="BW224" s="234"/>
      <c r="BX224" s="234"/>
      <c r="BY224" s="234"/>
      <c r="BZ224" s="234"/>
      <c r="CA224" s="234"/>
      <c r="CB224" s="234"/>
      <c r="CC224" s="234"/>
      <c r="CD224" s="234"/>
      <c r="CE224" s="79"/>
      <c r="CF224" s="79"/>
      <c r="CG224" s="79"/>
      <c r="CH224" s="645"/>
      <c r="CI224" s="645"/>
      <c r="CJ224" s="645"/>
      <c r="CK224" s="645"/>
      <c r="CL224" s="645"/>
      <c r="CM224" s="645"/>
      <c r="CN224" s="645"/>
      <c r="CO224" s="645"/>
      <c r="CP224" s="645"/>
      <c r="CQ224" s="645"/>
      <c r="CR224" s="645"/>
      <c r="CS224" s="645"/>
      <c r="CT224" s="645"/>
      <c r="CU224" s="645"/>
      <c r="CV224" s="645"/>
      <c r="CW224" s="645"/>
      <c r="CX224" s="645"/>
      <c r="CY224" s="645"/>
      <c r="CZ224" s="645"/>
      <c r="DA224" s="645"/>
      <c r="DB224" s="645"/>
      <c r="DC224" s="645"/>
      <c r="DD224" s="645"/>
      <c r="DE224" s="645"/>
      <c r="DF224" s="645"/>
      <c r="DG224" s="645"/>
      <c r="DH224" s="645"/>
      <c r="DI224" s="645"/>
      <c r="DJ224" s="645"/>
      <c r="DK224" s="645"/>
      <c r="DL224" s="645"/>
      <c r="DM224" s="645"/>
      <c r="DN224" s="645"/>
      <c r="DO224" s="645"/>
      <c r="DP224" s="645"/>
      <c r="DQ224" s="645"/>
      <c r="DR224" s="645"/>
      <c r="DS224" s="645"/>
      <c r="DT224" s="645"/>
      <c r="DU224" s="645"/>
      <c r="DV224" s="645"/>
      <c r="DW224" s="645"/>
      <c r="DX224" s="645"/>
      <c r="DY224" s="645"/>
      <c r="DZ224" s="645"/>
      <c r="EA224" s="645"/>
      <c r="EB224" s="645"/>
      <c r="EC224" s="645"/>
      <c r="ED224" s="645"/>
      <c r="EE224" s="645"/>
      <c r="EF224" s="645"/>
      <c r="EG224" s="645"/>
      <c r="EH224" s="645"/>
      <c r="EI224" s="645"/>
      <c r="EJ224" s="645"/>
      <c r="EK224" s="645"/>
      <c r="EL224" s="645"/>
      <c r="EM224" s="645"/>
      <c r="EN224" s="645"/>
      <c r="EO224" s="645"/>
      <c r="EP224" s="645"/>
      <c r="EQ224" s="645"/>
      <c r="ER224" s="645"/>
      <c r="ES224" s="645"/>
      <c r="ET224" s="645"/>
      <c r="EU224" s="645"/>
      <c r="EV224" s="645"/>
      <c r="EW224" s="645"/>
      <c r="EX224" s="645"/>
      <c r="EY224" s="645"/>
      <c r="EZ224" s="79"/>
      <c r="FA224" s="79"/>
      <c r="FB224" s="79"/>
      <c r="FC224" s="79"/>
      <c r="FD224" s="79"/>
      <c r="FE224" s="79"/>
      <c r="FF224" s="79"/>
      <c r="FG224" s="79"/>
      <c r="FH224" s="79"/>
      <c r="FI224" s="79"/>
      <c r="FJ224" s="79"/>
      <c r="FK224" s="79"/>
      <c r="FL224" s="79"/>
      <c r="FM224" s="47"/>
      <c r="FN224" s="47"/>
      <c r="FO224" s="47"/>
      <c r="FP224" s="47"/>
      <c r="FQ224" s="47"/>
      <c r="FR224" s="47"/>
      <c r="FS224" s="47"/>
      <c r="FT224" s="47"/>
      <c r="FU224" s="47"/>
      <c r="FV224" s="48"/>
      <c r="FW224" s="48"/>
      <c r="FX224" s="48"/>
      <c r="FY224" s="48"/>
      <c r="FZ224" s="48"/>
      <c r="GA224" s="49" t="e">
        <f ca="1">-(GA226+(GA226^2-4*GA225*GA227)^0.5)/(2*GA225)</f>
        <v>#VALUE!</v>
      </c>
      <c r="GB224" s="49">
        <f ca="1">IF(FN156=1,GA224,0)</f>
        <v>0</v>
      </c>
      <c r="GC224" s="49" t="str">
        <f ca="1">GC180</f>
        <v/>
      </c>
      <c r="GD224" s="49" t="str">
        <f ca="1">GC224</f>
        <v/>
      </c>
      <c r="GE224" s="49">
        <f ca="1">IF(FN156=0,0,IF(FO174=1,GI234-2*GC181,IF(FO174=2,GI234-2*GC181,0)))</f>
        <v>0</v>
      </c>
      <c r="GF224" s="49">
        <f t="shared" ref="GF224:GF234" ca="1" si="23">IF(FN$156=1,GM$177*GB224^1+GN$177+GG$177/GB224,0)</f>
        <v>0</v>
      </c>
      <c r="GG224" s="49">
        <f t="shared" ref="GG224:GG234" ca="1" si="24">IF(FN$156=1,GM$177*GC224^1+GN$177,0)</f>
        <v>0</v>
      </c>
      <c r="GH224" s="49">
        <f t="shared" ref="GH224:GH234" ca="1" si="25">IF(FN$156=1,2*GM$177*GC180^1+GN$177,0)</f>
        <v>0</v>
      </c>
      <c r="GI224" s="49">
        <f ca="1">GI234</f>
        <v>0</v>
      </c>
      <c r="GJ224" s="49">
        <f ca="1">0*GJ234</f>
        <v>0</v>
      </c>
      <c r="GK224" s="49">
        <f ca="1">0*GK234</f>
        <v>0</v>
      </c>
      <c r="GL224" s="49">
        <f ca="1">GL234</f>
        <v>0</v>
      </c>
      <c r="GM224" s="49">
        <f ca="1">GM234</f>
        <v>0</v>
      </c>
      <c r="GN224" s="49">
        <f ca="1">IF(FN156=0,0,-GD177*GC180^2+GE177*GC180)</f>
        <v>0</v>
      </c>
      <c r="GO224" s="49">
        <f ca="1">IF(FN156=1,GM177*GD224^2+GN177*GD224^1+GG177,0)</f>
        <v>0</v>
      </c>
      <c r="GP224" s="49">
        <f ca="1">IF(FN156=0,0,IF(FO174=2,GN185,IF(FO174=1,GS168*GE224+GT169,0)))</f>
        <v>0</v>
      </c>
      <c r="GQ224" s="49">
        <f ca="1">IF(FN156=0,0,IF(FO174=1,GT168*GE224+GT172,0))</f>
        <v>0</v>
      </c>
      <c r="GR224" s="49">
        <f ca="1">GR234</f>
        <v>0</v>
      </c>
      <c r="GS224" s="49">
        <f ca="1">0*GS234</f>
        <v>0</v>
      </c>
      <c r="GT224" s="49">
        <f ca="1">IF(FN156=1,GM177*GB224^2+GN177*GB224,0)</f>
        <v>0</v>
      </c>
      <c r="GU224" s="49">
        <f ca="1">GU234</f>
        <v>0</v>
      </c>
      <c r="GV224" s="49">
        <f ca="1">IF(FN156=0,0,IF(FO174=3,GV234,0))</f>
        <v>0</v>
      </c>
      <c r="GW224" s="49">
        <f ca="1">0*GW234</f>
        <v>0</v>
      </c>
      <c r="GX224" s="49">
        <f ca="1">0*GX234</f>
        <v>0</v>
      </c>
      <c r="GY224" s="49"/>
      <c r="GZ224" s="49"/>
      <c r="HA224" s="49">
        <v>43</v>
      </c>
      <c r="HB224" s="49" t="e">
        <f ca="1">HB180+HA224*(HB232-HB180)/HA231</f>
        <v>#VALUE!</v>
      </c>
      <c r="HC224" s="49" t="e">
        <f ca="1">HC180+HA224*(HC232-HC180)/HA231</f>
        <v>#VALUE!</v>
      </c>
      <c r="HD224" s="49" t="e">
        <f ca="1">GH177*HC224^3+GI177*HC224^2+GJ177*HC224+GG177+GD207</f>
        <v>#VALUE!</v>
      </c>
      <c r="HE224" s="49" t="e">
        <f t="shared" ca="1" si="5"/>
        <v>#VALUE!</v>
      </c>
      <c r="HF224" s="49" t="e">
        <f t="shared" ca="1" si="20"/>
        <v>#VALUE!</v>
      </c>
      <c r="HG224" s="49" t="e">
        <f t="shared" ca="1" si="21"/>
        <v>#VALUE!</v>
      </c>
      <c r="HH224" s="49" t="e">
        <f t="shared" ca="1" si="7"/>
        <v>#VALUE!</v>
      </c>
      <c r="HI224" s="49"/>
      <c r="HJ224" s="49"/>
      <c r="HK224" s="49"/>
      <c r="HL224" s="49"/>
      <c r="HM224" s="49"/>
    </row>
    <row r="225" spans="1:221" ht="3.75" customHeight="1">
      <c r="A225" s="1"/>
      <c r="B225" s="3"/>
      <c r="C225" s="3"/>
      <c r="D225" s="12"/>
      <c r="E225" s="197"/>
      <c r="F225" s="197"/>
      <c r="G225" s="39"/>
      <c r="H225" s="39"/>
      <c r="I225" s="39"/>
      <c r="J225" s="39"/>
      <c r="K225" s="197"/>
      <c r="L225" s="39"/>
      <c r="M225" s="39"/>
      <c r="N225" s="39"/>
      <c r="O225" s="39"/>
      <c r="P225" s="39"/>
      <c r="Q225" s="39"/>
      <c r="R225" s="39"/>
      <c r="S225" s="39"/>
      <c r="T225" s="39"/>
      <c r="U225" s="39"/>
      <c r="V225" s="39"/>
      <c r="W225" s="39"/>
      <c r="X225" s="39"/>
      <c r="Y225" s="39"/>
      <c r="Z225" s="39"/>
      <c r="AA225" s="39"/>
      <c r="AB225" s="39"/>
      <c r="AC225" s="39"/>
      <c r="AD225" s="197"/>
      <c r="AE225" s="197"/>
      <c r="AF225" s="197"/>
      <c r="AG225" s="197"/>
      <c r="AH225" s="197"/>
      <c r="AI225" s="197"/>
      <c r="AJ225" s="197"/>
      <c r="AK225" s="197"/>
      <c r="AL225" s="197"/>
      <c r="AM225" s="126"/>
      <c r="AN225" s="43" t="str">
        <f t="shared" ca="1" si="11"/>
        <v/>
      </c>
      <c r="AO225" s="228" t="str">
        <f t="shared" ref="AO225:AU231" ca="1" si="26">IF(AND($FN$156=1,$BC$198=7),"~",IF(AND($FN$156=1,$BC$198=4),"-",""))</f>
        <v/>
      </c>
      <c r="AP225" s="228" t="str">
        <f t="shared" ca="1" si="26"/>
        <v/>
      </c>
      <c r="AQ225" s="228" t="str">
        <f t="shared" ca="1" si="26"/>
        <v/>
      </c>
      <c r="AR225" s="228" t="str">
        <f t="shared" ca="1" si="26"/>
        <v/>
      </c>
      <c r="AS225" s="228" t="str">
        <f t="shared" ca="1" si="26"/>
        <v/>
      </c>
      <c r="AT225" s="228" t="str">
        <f t="shared" ca="1" si="26"/>
        <v/>
      </c>
      <c r="AU225" s="228" t="str">
        <f t="shared" ca="1" si="26"/>
        <v/>
      </c>
      <c r="AV225" s="230" t="str">
        <f ca="1">IF($FN$237=0,"","!")</f>
        <v/>
      </c>
      <c r="AW225" s="228" t="str">
        <f ca="1">IF(AND($FN$156=1,$BC$198=7),"~",IF(AND($FN$156=1,$BC$198=4),"-",""))</f>
        <v/>
      </c>
      <c r="AX225" s="230" t="str">
        <f ca="1">IF($FN$237=0,"",",")</f>
        <v/>
      </c>
      <c r="AY225" s="228" t="str">
        <f t="shared" ref="AY225:BC226" ca="1" si="27">IF(AND($FN$156=1,$BC$198=7),"~",IF(AND($FN$156=1,$BC$198=4),"-",""))</f>
        <v/>
      </c>
      <c r="AZ225" s="228" t="str">
        <f t="shared" ca="1" si="27"/>
        <v/>
      </c>
      <c r="BA225" s="228" t="str">
        <f t="shared" ca="1" si="27"/>
        <v/>
      </c>
      <c r="BB225" s="228" t="str">
        <f t="shared" ca="1" si="27"/>
        <v/>
      </c>
      <c r="BC225" s="228" t="str">
        <f t="shared" ca="1" si="27"/>
        <v/>
      </c>
      <c r="BD225" s="228" t="str">
        <f t="shared" ref="BD225:BD231" ca="1" si="28">IF(AND($FN$156=1,$BC$198=6),"",IF(AND($FN$156=1,$BC$198=5),"",IF(AND($FN$156=1,$BC$198&gt;=3),"`","")))</f>
        <v/>
      </c>
      <c r="BE225" s="230" t="str">
        <f ca="1">IF($FN$237=0,"",":")</f>
        <v/>
      </c>
      <c r="BF225" s="230"/>
      <c r="BG225" s="230"/>
      <c r="BH225" s="230"/>
      <c r="BI225" s="230"/>
      <c r="BJ225" s="230"/>
      <c r="BK225" s="230"/>
      <c r="BL225" s="233"/>
      <c r="BM225" s="233"/>
      <c r="BN225" s="233"/>
      <c r="BO225" s="233"/>
      <c r="BP225" s="233"/>
      <c r="BQ225" s="235"/>
      <c r="BR225" s="235"/>
      <c r="BS225" s="234"/>
      <c r="BT225" s="234"/>
      <c r="BU225" s="234"/>
      <c r="BV225" s="234"/>
      <c r="BW225" s="234"/>
      <c r="BX225" s="234"/>
      <c r="BY225" s="234"/>
      <c r="BZ225" s="234"/>
      <c r="CA225" s="234"/>
      <c r="CB225" s="234"/>
      <c r="CC225" s="234"/>
      <c r="CD225" s="234"/>
      <c r="CE225" s="79"/>
      <c r="CF225" s="79"/>
      <c r="CG225" s="79"/>
      <c r="CH225" s="645"/>
      <c r="CI225" s="645"/>
      <c r="CJ225" s="645"/>
      <c r="CK225" s="645"/>
      <c r="CL225" s="645"/>
      <c r="CM225" s="645"/>
      <c r="CN225" s="645"/>
      <c r="CO225" s="645"/>
      <c r="CP225" s="645"/>
      <c r="CQ225" s="645"/>
      <c r="CR225" s="645"/>
      <c r="CS225" s="645"/>
      <c r="CT225" s="645"/>
      <c r="CU225" s="645"/>
      <c r="CV225" s="645"/>
      <c r="CW225" s="645"/>
      <c r="CX225" s="645"/>
      <c r="CY225" s="645"/>
      <c r="CZ225" s="645"/>
      <c r="DA225" s="645"/>
      <c r="DB225" s="645"/>
      <c r="DC225" s="645"/>
      <c r="DD225" s="645"/>
      <c r="DE225" s="645"/>
      <c r="DF225" s="645"/>
      <c r="DG225" s="645"/>
      <c r="DH225" s="645"/>
      <c r="DI225" s="645"/>
      <c r="DJ225" s="645"/>
      <c r="DK225" s="645"/>
      <c r="DL225" s="645"/>
      <c r="DM225" s="645"/>
      <c r="DN225" s="645"/>
      <c r="DO225" s="645"/>
      <c r="DP225" s="645"/>
      <c r="DQ225" s="645"/>
      <c r="DR225" s="645"/>
      <c r="DS225" s="645"/>
      <c r="DT225" s="645"/>
      <c r="DU225" s="645"/>
      <c r="DV225" s="645"/>
      <c r="DW225" s="645"/>
      <c r="DX225" s="645"/>
      <c r="DY225" s="645"/>
      <c r="DZ225" s="645"/>
      <c r="EA225" s="645"/>
      <c r="EB225" s="645"/>
      <c r="EC225" s="645"/>
      <c r="ED225" s="645"/>
      <c r="EE225" s="645"/>
      <c r="EF225" s="645"/>
      <c r="EG225" s="645"/>
      <c r="EH225" s="645"/>
      <c r="EI225" s="645"/>
      <c r="EJ225" s="645"/>
      <c r="EK225" s="645"/>
      <c r="EL225" s="645"/>
      <c r="EM225" s="645"/>
      <c r="EN225" s="645"/>
      <c r="EO225" s="645"/>
      <c r="EP225" s="645"/>
      <c r="EQ225" s="645"/>
      <c r="ER225" s="645"/>
      <c r="ES225" s="645"/>
      <c r="ET225" s="645"/>
      <c r="EU225" s="645"/>
      <c r="EV225" s="645"/>
      <c r="EW225" s="645"/>
      <c r="EX225" s="645"/>
      <c r="EY225" s="645"/>
      <c r="EZ225" s="79"/>
      <c r="FA225" s="79"/>
      <c r="FB225" s="79"/>
      <c r="FC225" s="79"/>
      <c r="FD225" s="79"/>
      <c r="FE225" s="79"/>
      <c r="FF225" s="79"/>
      <c r="FG225" s="79"/>
      <c r="FH225" s="79"/>
      <c r="FI225" s="79"/>
      <c r="FJ225" s="79"/>
      <c r="FK225" s="79"/>
      <c r="FL225" s="79"/>
      <c r="FM225" s="105"/>
      <c r="FN225" s="105"/>
      <c r="FO225" s="105"/>
      <c r="FP225" s="47"/>
      <c r="FQ225" s="47"/>
      <c r="FR225" s="47"/>
      <c r="FS225" s="47"/>
      <c r="FT225" s="47"/>
      <c r="FU225" s="47"/>
      <c r="FV225" s="48"/>
      <c r="FW225" s="48"/>
      <c r="FX225" s="48"/>
      <c r="FY225" s="48"/>
      <c r="FZ225" s="48"/>
      <c r="GA225" s="49" t="e">
        <f ca="1">GM177</f>
        <v>#VALUE!</v>
      </c>
      <c r="GB225" s="49">
        <f ca="1">IF(FN156=1,(GB224+GB226)/2,0)</f>
        <v>0</v>
      </c>
      <c r="GC225" s="49">
        <f ca="1">0.1*GC234</f>
        <v>0</v>
      </c>
      <c r="GD225" s="49" t="e">
        <f ca="1">0.1*GD234</f>
        <v>#VALUE!</v>
      </c>
      <c r="GE225" s="49">
        <f ca="1">IF(FN156=0,0,IF(FO174=1,GI234-1*GC181,IF(FO174=2,GI234-1*GC181,0)))</f>
        <v>0</v>
      </c>
      <c r="GF225" s="49">
        <f t="shared" ca="1" si="23"/>
        <v>0</v>
      </c>
      <c r="GG225" s="49">
        <f t="shared" ca="1" si="24"/>
        <v>0</v>
      </c>
      <c r="GH225" s="49">
        <f t="shared" ca="1" si="25"/>
        <v>0</v>
      </c>
      <c r="GI225" s="49">
        <f ca="1">GI234</f>
        <v>0</v>
      </c>
      <c r="GJ225" s="49">
        <f ca="1">0.1*GJ234</f>
        <v>0</v>
      </c>
      <c r="GK225" s="49">
        <f ca="1">0.1*GK234</f>
        <v>0</v>
      </c>
      <c r="GL225" s="49">
        <f ca="1">GL234</f>
        <v>0</v>
      </c>
      <c r="GM225" s="49">
        <f ca="1">GM234</f>
        <v>0</v>
      </c>
      <c r="GN225" s="49">
        <f ca="1">IF(FN156=0,0,-GD177*GC181^2+GE177*GC181)</f>
        <v>0</v>
      </c>
      <c r="GO225" s="49">
        <f ca="1">IF(FN156=1,GM177*GD225^2+GN177*GD225^1+GG177,0)</f>
        <v>0</v>
      </c>
      <c r="GP225" s="49">
        <f ca="1">IF(FN156=0,0,IF(FO174=2,GN185,IF(FO174=1,GS168*GE225+GT169,0)))</f>
        <v>0</v>
      </c>
      <c r="GQ225" s="49">
        <f ca="1">IF(FN156=0,0,IF(FO174=1,GT168*GE225+GT172,0))</f>
        <v>0</v>
      </c>
      <c r="GR225" s="49">
        <f ca="1">GR234</f>
        <v>0</v>
      </c>
      <c r="GS225" s="49">
        <f ca="1">0.1*GS234</f>
        <v>0</v>
      </c>
      <c r="GT225" s="49">
        <f ca="1">IF(FN156=1,GM177*GB225^2+GN177*GB225,0)</f>
        <v>0</v>
      </c>
      <c r="GU225" s="49">
        <f ca="1">GU234</f>
        <v>0</v>
      </c>
      <c r="GV225" s="49">
        <f ca="1">IF(FN156=0,0,IF(FO174=3,GV234,0))</f>
        <v>0</v>
      </c>
      <c r="GW225" s="49">
        <f ca="1">0.1*GW234</f>
        <v>0</v>
      </c>
      <c r="GX225" s="49">
        <f ca="1">IF(FN156=1,0.1*GX234,0)</f>
        <v>0</v>
      </c>
      <c r="GY225" s="49"/>
      <c r="GZ225" s="49"/>
      <c r="HA225" s="49">
        <v>44</v>
      </c>
      <c r="HB225" s="49" t="e">
        <f ca="1">HB180+HA225*(HB232-HB180)/HA231</f>
        <v>#VALUE!</v>
      </c>
      <c r="HC225" s="49" t="e">
        <f ca="1">HC180+HA225*(HC232-HC180)/HA231</f>
        <v>#VALUE!</v>
      </c>
      <c r="HD225" s="49" t="e">
        <f ca="1">GH177*HC225^3+GI177*HC225^2+GJ177*HC225+GG177+GD207</f>
        <v>#VALUE!</v>
      </c>
      <c r="HE225" s="49" t="e">
        <f t="shared" ca="1" si="5"/>
        <v>#VALUE!</v>
      </c>
      <c r="HF225" s="49" t="e">
        <f t="shared" ca="1" si="20"/>
        <v>#VALUE!</v>
      </c>
      <c r="HG225" s="49" t="e">
        <f t="shared" ca="1" si="21"/>
        <v>#VALUE!</v>
      </c>
      <c r="HH225" s="49" t="e">
        <f t="shared" ca="1" si="7"/>
        <v>#VALUE!</v>
      </c>
      <c r="HI225" s="49"/>
      <c r="HJ225" s="49"/>
      <c r="HK225" s="49"/>
      <c r="HL225" s="49"/>
      <c r="HM225" s="49"/>
    </row>
    <row r="226" spans="1:221" ht="3.75" customHeight="1">
      <c r="A226" s="1"/>
      <c r="B226" s="3"/>
      <c r="C226" s="3"/>
      <c r="D226" s="12"/>
      <c r="E226" s="197"/>
      <c r="F226" s="197"/>
      <c r="G226" s="39"/>
      <c r="H226" s="39"/>
      <c r="I226" s="39"/>
      <c r="J226" s="39"/>
      <c r="K226" s="197"/>
      <c r="L226" s="39"/>
      <c r="M226" s="39"/>
      <c r="N226" s="39"/>
      <c r="O226" s="39"/>
      <c r="P226" s="39"/>
      <c r="Q226" s="39"/>
      <c r="R226" s="39"/>
      <c r="S226" s="39"/>
      <c r="T226" s="39"/>
      <c r="U226" s="39"/>
      <c r="V226" s="39"/>
      <c r="W226" s="39"/>
      <c r="X226" s="39"/>
      <c r="Y226" s="39"/>
      <c r="Z226" s="39"/>
      <c r="AA226" s="39"/>
      <c r="AB226" s="39"/>
      <c r="AC226" s="39"/>
      <c r="AD226" s="197"/>
      <c r="AE226" s="197"/>
      <c r="AF226" s="197"/>
      <c r="AG226" s="197"/>
      <c r="AH226" s="197"/>
      <c r="AI226" s="197"/>
      <c r="AJ226" s="197"/>
      <c r="AK226" s="197"/>
      <c r="AL226" s="197"/>
      <c r="AM226" s="126"/>
      <c r="AN226" s="43" t="str">
        <f t="shared" ca="1" si="11"/>
        <v/>
      </c>
      <c r="AO226" s="228" t="str">
        <f t="shared" ca="1" si="26"/>
        <v/>
      </c>
      <c r="AP226" s="228" t="str">
        <f t="shared" ca="1" si="26"/>
        <v/>
      </c>
      <c r="AQ226" s="228" t="str">
        <f t="shared" ca="1" si="26"/>
        <v/>
      </c>
      <c r="AR226" s="228" t="str">
        <f t="shared" ca="1" si="26"/>
        <v/>
      </c>
      <c r="AS226" s="228" t="str">
        <f t="shared" ca="1" si="26"/>
        <v/>
      </c>
      <c r="AT226" s="228" t="str">
        <f t="shared" ca="1" si="26"/>
        <v/>
      </c>
      <c r="AU226" s="228" t="str">
        <f t="shared" ca="1" si="26"/>
        <v/>
      </c>
      <c r="AV226" s="228" t="str">
        <f t="shared" ref="AV226:AV231" ca="1" si="29">IF(AND($FN$156=1,$BC$198=7),"~",IF(AND($FN$156=1,$BC$198=4),"-",""))</f>
        <v/>
      </c>
      <c r="AW226" s="230" t="str">
        <f ca="1">IF($FN$237=0,"","!")</f>
        <v/>
      </c>
      <c r="AX226" s="230" t="str">
        <f ca="1">IF($FN$237=0,"",",")</f>
        <v/>
      </c>
      <c r="AY226" s="228" t="str">
        <f t="shared" ca="1" si="27"/>
        <v/>
      </c>
      <c r="AZ226" s="228" t="str">
        <f t="shared" ca="1" si="27"/>
        <v/>
      </c>
      <c r="BA226" s="228" t="str">
        <f t="shared" ca="1" si="27"/>
        <v/>
      </c>
      <c r="BB226" s="228" t="str">
        <f t="shared" ca="1" si="27"/>
        <v/>
      </c>
      <c r="BC226" s="228" t="str">
        <f t="shared" ca="1" si="27"/>
        <v/>
      </c>
      <c r="BD226" s="228" t="str">
        <f t="shared" ca="1" si="28"/>
        <v/>
      </c>
      <c r="BE226" s="237"/>
      <c r="BF226" s="230" t="str">
        <f ca="1">IF($FN$237=0,"",":")</f>
        <v/>
      </c>
      <c r="BG226" s="230"/>
      <c r="BH226" s="230"/>
      <c r="BI226" s="230"/>
      <c r="BJ226" s="230"/>
      <c r="BK226" s="230"/>
      <c r="BL226" s="233"/>
      <c r="BM226" s="233"/>
      <c r="BN226" s="233"/>
      <c r="BO226" s="233"/>
      <c r="BP226" s="233"/>
      <c r="BQ226" s="235"/>
      <c r="BR226" s="235"/>
      <c r="BS226" s="234"/>
      <c r="BT226" s="234"/>
      <c r="BU226" s="234"/>
      <c r="BV226" s="234"/>
      <c r="BW226" s="234"/>
      <c r="BX226" s="234"/>
      <c r="BY226" s="234"/>
      <c r="BZ226" s="234"/>
      <c r="CA226" s="234"/>
      <c r="CB226" s="234"/>
      <c r="CC226" s="234"/>
      <c r="CD226" s="234"/>
      <c r="CE226" s="79"/>
      <c r="CF226" s="79"/>
      <c r="CG226" s="79"/>
      <c r="CH226" s="645"/>
      <c r="CI226" s="645"/>
      <c r="CJ226" s="645"/>
      <c r="CK226" s="645"/>
      <c r="CL226" s="645"/>
      <c r="CM226" s="645"/>
      <c r="CN226" s="645"/>
      <c r="CO226" s="645"/>
      <c r="CP226" s="645"/>
      <c r="CQ226" s="645"/>
      <c r="CR226" s="645"/>
      <c r="CS226" s="645"/>
      <c r="CT226" s="645"/>
      <c r="CU226" s="645"/>
      <c r="CV226" s="645"/>
      <c r="CW226" s="645"/>
      <c r="CX226" s="645"/>
      <c r="CY226" s="645"/>
      <c r="CZ226" s="645"/>
      <c r="DA226" s="645"/>
      <c r="DB226" s="645"/>
      <c r="DC226" s="645"/>
      <c r="DD226" s="645"/>
      <c r="DE226" s="645"/>
      <c r="DF226" s="645"/>
      <c r="DG226" s="645"/>
      <c r="DH226" s="645"/>
      <c r="DI226" s="645"/>
      <c r="DJ226" s="645"/>
      <c r="DK226" s="645"/>
      <c r="DL226" s="645"/>
      <c r="DM226" s="645"/>
      <c r="DN226" s="645"/>
      <c r="DO226" s="645"/>
      <c r="DP226" s="645"/>
      <c r="DQ226" s="645"/>
      <c r="DR226" s="645"/>
      <c r="DS226" s="645"/>
      <c r="DT226" s="645"/>
      <c r="DU226" s="645"/>
      <c r="DV226" s="645"/>
      <c r="DW226" s="645"/>
      <c r="DX226" s="645"/>
      <c r="DY226" s="645"/>
      <c r="DZ226" s="645"/>
      <c r="EA226" s="645"/>
      <c r="EB226" s="645"/>
      <c r="EC226" s="645"/>
      <c r="ED226" s="645"/>
      <c r="EE226" s="645"/>
      <c r="EF226" s="645"/>
      <c r="EG226" s="645"/>
      <c r="EH226" s="645"/>
      <c r="EI226" s="645"/>
      <c r="EJ226" s="645"/>
      <c r="EK226" s="645"/>
      <c r="EL226" s="645"/>
      <c r="EM226" s="645"/>
      <c r="EN226" s="645"/>
      <c r="EO226" s="645"/>
      <c r="EP226" s="645"/>
      <c r="EQ226" s="645"/>
      <c r="ER226" s="645"/>
      <c r="ES226" s="645"/>
      <c r="ET226" s="645"/>
      <c r="EU226" s="645"/>
      <c r="EV226" s="645"/>
      <c r="EW226" s="645"/>
      <c r="EX226" s="645"/>
      <c r="EY226" s="645"/>
      <c r="EZ226" s="79"/>
      <c r="FA226" s="79"/>
      <c r="FB226" s="79"/>
      <c r="FC226" s="79"/>
      <c r="FD226" s="79"/>
      <c r="FE226" s="79"/>
      <c r="FF226" s="79"/>
      <c r="FG226" s="79"/>
      <c r="FH226" s="79"/>
      <c r="FI226" s="79"/>
      <c r="FJ226" s="79"/>
      <c r="FK226" s="79"/>
      <c r="FL226" s="79"/>
      <c r="FM226" s="47"/>
      <c r="FN226" s="47"/>
      <c r="FO226" s="47"/>
      <c r="FP226" s="47"/>
      <c r="FQ226" s="47"/>
      <c r="FR226" s="47"/>
      <c r="FS226" s="47"/>
      <c r="FT226" s="47"/>
      <c r="FU226" s="47"/>
      <c r="FV226" s="48"/>
      <c r="FW226" s="48"/>
      <c r="FX226" s="48"/>
      <c r="FY226" s="48"/>
      <c r="FZ226" s="48"/>
      <c r="GA226" s="49" t="e">
        <f ca="1">GN177-1.1*GE177</f>
        <v>#VALUE!</v>
      </c>
      <c r="GB226" s="49" t="e">
        <f ca="1">0.2*GB234</f>
        <v>#VALUE!</v>
      </c>
      <c r="GC226" s="49">
        <f ca="1">0.2*GC234</f>
        <v>0</v>
      </c>
      <c r="GD226" s="49" t="e">
        <f ca="1">0.2*GD234</f>
        <v>#VALUE!</v>
      </c>
      <c r="GE226" s="49">
        <f ca="1">IF(FN156=0,0,IF(FO174=1,GI234,IF(FO174=2,GI234,0)))</f>
        <v>0</v>
      </c>
      <c r="GF226" s="49">
        <f t="shared" ca="1" si="23"/>
        <v>0</v>
      </c>
      <c r="GG226" s="49">
        <f t="shared" ca="1" si="24"/>
        <v>0</v>
      </c>
      <c r="GH226" s="49">
        <f t="shared" ca="1" si="25"/>
        <v>0</v>
      </c>
      <c r="GI226" s="49">
        <f ca="1">GI234</f>
        <v>0</v>
      </c>
      <c r="GJ226" s="49">
        <f ca="1">0.2*GJ234</f>
        <v>0</v>
      </c>
      <c r="GK226" s="49">
        <f ca="1">0.2*GK234</f>
        <v>0</v>
      </c>
      <c r="GL226" s="49">
        <f ca="1">GL234</f>
        <v>0</v>
      </c>
      <c r="GM226" s="49">
        <f ca="1">GM234</f>
        <v>0</v>
      </c>
      <c r="GN226" s="49">
        <f ca="1">IF(FN156=0,0,-GD177*GC182^2+GE177*GC182)</f>
        <v>0</v>
      </c>
      <c r="GO226" s="49">
        <f ca="1">IF(FN156=1,GM177*GD226^2+GN177*GD226^1+GG177,0)</f>
        <v>0</v>
      </c>
      <c r="GP226" s="49">
        <f ca="1">IF(FN156=0,0,IF(FO174=2,GN185,IF(FO174=1,GS168*GE226+GT169,0)))</f>
        <v>0</v>
      </c>
      <c r="GQ226" s="49">
        <f ca="1">IF(FN156=0,0,IF(FO174=1,GT168*GE226+GT172,0))</f>
        <v>0</v>
      </c>
      <c r="GR226" s="49">
        <f ca="1">GR234</f>
        <v>0</v>
      </c>
      <c r="GS226" s="49">
        <f ca="1">0.2*GS234</f>
        <v>0</v>
      </c>
      <c r="GT226" s="49">
        <f ca="1">IF(FN156=1,GM177*GB226^2+GN177*GB226,0)</f>
        <v>0</v>
      </c>
      <c r="GU226" s="49">
        <f ca="1">GU234</f>
        <v>0</v>
      </c>
      <c r="GV226" s="49">
        <f ca="1">IF(FN156=0,0,IF(FO174=3,GV234,0))</f>
        <v>0</v>
      </c>
      <c r="GW226" s="49">
        <f ca="1">0.2*GW234</f>
        <v>0</v>
      </c>
      <c r="GX226" s="49">
        <f ca="1">IF(FN156=1,0.2*GX234,0)</f>
        <v>0</v>
      </c>
      <c r="GY226" s="49"/>
      <c r="GZ226" s="49"/>
      <c r="HA226" s="49">
        <v>45</v>
      </c>
      <c r="HB226" s="49" t="e">
        <f ca="1">HB180+HA226*(HB232-HB180)/HA231</f>
        <v>#VALUE!</v>
      </c>
      <c r="HC226" s="49" t="e">
        <f ca="1">HC180+HA226*(HC232-HC180)/HA231</f>
        <v>#VALUE!</v>
      </c>
      <c r="HD226" s="49" t="e">
        <f ca="1">GH177*HC226^3+GI177*HC226^2+GJ177*HC226+GG177+GD207</f>
        <v>#VALUE!</v>
      </c>
      <c r="HE226" s="49" t="e">
        <f t="shared" ca="1" si="5"/>
        <v>#VALUE!</v>
      </c>
      <c r="HF226" s="49" t="e">
        <f t="shared" ca="1" si="20"/>
        <v>#VALUE!</v>
      </c>
      <c r="HG226" s="49" t="e">
        <f t="shared" ca="1" si="21"/>
        <v>#VALUE!</v>
      </c>
      <c r="HH226" s="49" t="e">
        <f t="shared" ca="1" si="7"/>
        <v>#VALUE!</v>
      </c>
      <c r="HI226" s="49"/>
      <c r="HJ226" s="49"/>
      <c r="HK226" s="49"/>
      <c r="HL226" s="49"/>
      <c r="HM226" s="49"/>
    </row>
    <row r="227" spans="1:221" ht="3.75" customHeight="1">
      <c r="A227" s="1"/>
      <c r="B227" s="3"/>
      <c r="C227" s="3"/>
      <c r="D227" s="12"/>
      <c r="E227" s="197"/>
      <c r="F227" s="197"/>
      <c r="G227" s="39"/>
      <c r="H227" s="39"/>
      <c r="I227" s="39"/>
      <c r="J227" s="39"/>
      <c r="K227" s="197"/>
      <c r="L227" s="39"/>
      <c r="M227" s="39"/>
      <c r="N227" s="39"/>
      <c r="O227" s="39"/>
      <c r="P227" s="39"/>
      <c r="Q227" s="39"/>
      <c r="R227" s="39"/>
      <c r="S227" s="39"/>
      <c r="T227" s="39"/>
      <c r="U227" s="39"/>
      <c r="V227" s="39"/>
      <c r="W227" s="39"/>
      <c r="X227" s="39"/>
      <c r="Y227" s="39"/>
      <c r="Z227" s="39"/>
      <c r="AA227" s="39"/>
      <c r="AB227" s="39"/>
      <c r="AC227" s="39"/>
      <c r="AD227" s="197"/>
      <c r="AE227" s="197"/>
      <c r="AF227" s="197"/>
      <c r="AG227" s="197"/>
      <c r="AH227" s="197"/>
      <c r="AI227" s="197"/>
      <c r="AJ227" s="197"/>
      <c r="AK227" s="197"/>
      <c r="AL227" s="197"/>
      <c r="AM227" s="126"/>
      <c r="AN227" s="43" t="str">
        <f t="shared" ca="1" si="11"/>
        <v/>
      </c>
      <c r="AO227" s="228" t="str">
        <f t="shared" ca="1" si="26"/>
        <v/>
      </c>
      <c r="AP227" s="228" t="str">
        <f t="shared" ca="1" si="26"/>
        <v/>
      </c>
      <c r="AQ227" s="228" t="str">
        <f t="shared" ca="1" si="26"/>
        <v/>
      </c>
      <c r="AR227" s="228" t="str">
        <f t="shared" ca="1" si="26"/>
        <v/>
      </c>
      <c r="AS227" s="228" t="str">
        <f t="shared" ca="1" si="26"/>
        <v/>
      </c>
      <c r="AT227" s="228" t="str">
        <f t="shared" ca="1" si="26"/>
        <v/>
      </c>
      <c r="AU227" s="228" t="str">
        <f t="shared" ca="1" si="26"/>
        <v/>
      </c>
      <c r="AV227" s="228" t="str">
        <f t="shared" ca="1" si="29"/>
        <v/>
      </c>
      <c r="AW227" s="230" t="str">
        <f ca="1">IF($FN$237=0,"","!")</f>
        <v/>
      </c>
      <c r="AX227" s="228" t="str">
        <f ca="1">IF(AND($FN$156=1,$BC$198=7),"~",IF(AND($FN$156=1,$BC$198=4),"-",""))</f>
        <v/>
      </c>
      <c r="AY227" s="230" t="str">
        <f ca="1">IF($FN$237=0,"",",")</f>
        <v/>
      </c>
      <c r="AZ227" s="228" t="str">
        <f t="shared" ref="AZ227:BC228" ca="1" si="30">IF(AND($FN$156=1,$BC$198=7),"~",IF(AND($FN$156=1,$BC$198=4),"-",""))</f>
        <v/>
      </c>
      <c r="BA227" s="228" t="str">
        <f t="shared" ca="1" si="30"/>
        <v/>
      </c>
      <c r="BB227" s="228" t="str">
        <f t="shared" ca="1" si="30"/>
        <v/>
      </c>
      <c r="BC227" s="228" t="str">
        <f t="shared" ca="1" si="30"/>
        <v/>
      </c>
      <c r="BD227" s="228" t="str">
        <f t="shared" ca="1" si="28"/>
        <v/>
      </c>
      <c r="BE227" s="237"/>
      <c r="BF227" s="237"/>
      <c r="BG227" s="230" t="str">
        <f ca="1">IF($FN$237=0,"",":")</f>
        <v/>
      </c>
      <c r="BH227" s="230"/>
      <c r="BI227" s="230"/>
      <c r="BJ227" s="230"/>
      <c r="BK227" s="230"/>
      <c r="BL227" s="233"/>
      <c r="BM227" s="233"/>
      <c r="BN227" s="233"/>
      <c r="BO227" s="233"/>
      <c r="BP227" s="233"/>
      <c r="BQ227" s="235"/>
      <c r="BR227" s="235"/>
      <c r="BS227" s="234"/>
      <c r="BT227" s="234"/>
      <c r="BU227" s="234"/>
      <c r="BV227" s="234"/>
      <c r="BW227" s="234"/>
      <c r="BX227" s="234"/>
      <c r="BY227" s="234"/>
      <c r="BZ227" s="234"/>
      <c r="CA227" s="234"/>
      <c r="CB227" s="234"/>
      <c r="CC227" s="234"/>
      <c r="CD227" s="234"/>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152"/>
      <c r="EL227" s="79"/>
      <c r="EM227" s="79"/>
      <c r="EN227" s="79"/>
      <c r="EO227" s="79"/>
      <c r="EP227" s="79"/>
      <c r="EQ227" s="79"/>
      <c r="ER227" s="79"/>
      <c r="ES227" s="79"/>
      <c r="ET227" s="79"/>
      <c r="EU227" s="79"/>
      <c r="EV227" s="79"/>
      <c r="EW227" s="79"/>
      <c r="EX227" s="79"/>
      <c r="EY227" s="79"/>
      <c r="EZ227" s="79"/>
      <c r="FA227" s="79"/>
      <c r="FB227" s="79"/>
      <c r="FC227" s="79"/>
      <c r="FD227" s="79"/>
      <c r="FE227" s="79"/>
      <c r="FF227" s="79"/>
      <c r="FG227" s="79"/>
      <c r="FH227" s="79"/>
      <c r="FI227" s="79"/>
      <c r="FJ227" s="79"/>
      <c r="FK227" s="79"/>
      <c r="FL227" s="79"/>
      <c r="FM227" s="470"/>
      <c r="FN227" s="79"/>
      <c r="FO227" s="79"/>
      <c r="FP227" s="47"/>
      <c r="FQ227" s="47"/>
      <c r="FR227" s="47"/>
      <c r="FS227" s="47"/>
      <c r="FT227" s="47"/>
      <c r="FU227" s="47"/>
      <c r="FV227" s="48"/>
      <c r="FW227" s="48"/>
      <c r="FX227" s="48"/>
      <c r="FY227" s="48"/>
      <c r="FZ227" s="48"/>
      <c r="GA227" s="49" t="e">
        <f ca="1">GG177</f>
        <v>#DIV/0!</v>
      </c>
      <c r="GB227" s="49" t="e">
        <f ca="1">0.3*GB234</f>
        <v>#VALUE!</v>
      </c>
      <c r="GC227" s="49">
        <f ca="1">0.3*GC234</f>
        <v>0</v>
      </c>
      <c r="GD227" s="49" t="e">
        <f ca="1">0.3*GD234</f>
        <v>#VALUE!</v>
      </c>
      <c r="GE227" s="49">
        <f ca="1">IF(FN156=0,0,IF(FO174=1,GE226+1*GC181,IF(FO174=2,GI234+1*GC181,0)))</f>
        <v>0</v>
      </c>
      <c r="GF227" s="49">
        <f t="shared" ca="1" si="23"/>
        <v>0</v>
      </c>
      <c r="GG227" s="49">
        <f t="shared" ca="1" si="24"/>
        <v>0</v>
      </c>
      <c r="GH227" s="49">
        <f t="shared" ca="1" si="25"/>
        <v>0</v>
      </c>
      <c r="GI227" s="49">
        <f ca="1">GI234</f>
        <v>0</v>
      </c>
      <c r="GJ227" s="49">
        <f ca="1">0.3*GJ234</f>
        <v>0</v>
      </c>
      <c r="GK227" s="49">
        <f ca="1">0.3*GK234</f>
        <v>0</v>
      </c>
      <c r="GL227" s="49">
        <f ca="1">GL234</f>
        <v>0</v>
      </c>
      <c r="GM227" s="49">
        <f ca="1">GM234</f>
        <v>0</v>
      </c>
      <c r="GN227" s="49">
        <f ca="1">IF(FN156=0,0,-GD177*GC183^2+GE177*GC183)</f>
        <v>0</v>
      </c>
      <c r="GO227" s="49">
        <f ca="1">IF(FN156=1,GM177*GD227^2+GN177*GD227^1+GG177,0)</f>
        <v>0</v>
      </c>
      <c r="GP227" s="49">
        <f ca="1">IF(FN156=0,0,IF(FO174=2,GN185,IF(FO174=1,GS168*GE227+GT169,0)))</f>
        <v>0</v>
      </c>
      <c r="GQ227" s="49">
        <f ca="1">IF(FN156=0,0,IF(FO174=1,GT168*GE227+GT172,0))</f>
        <v>0</v>
      </c>
      <c r="GR227" s="49">
        <f ca="1">GR234</f>
        <v>0</v>
      </c>
      <c r="GS227" s="49">
        <f ca="1">0.3*GS234</f>
        <v>0</v>
      </c>
      <c r="GT227" s="49">
        <f ca="1">IF(FN156=1,GM177*GB227^2+GN177*GB227,0)</f>
        <v>0</v>
      </c>
      <c r="GU227" s="49">
        <f ca="1">GU234</f>
        <v>0</v>
      </c>
      <c r="GV227" s="49">
        <f ca="1">IF(FN156=0,0,IF(FO174=3,GV234,0))</f>
        <v>0</v>
      </c>
      <c r="GW227" s="49">
        <f ca="1">0.3*GW234</f>
        <v>0</v>
      </c>
      <c r="GX227" s="49">
        <f ca="1">IF(FN156=1,0.3*GX234,0)</f>
        <v>0</v>
      </c>
      <c r="GY227" s="49"/>
      <c r="GZ227" s="49"/>
      <c r="HA227" s="49">
        <v>46</v>
      </c>
      <c r="HB227" s="49" t="e">
        <f ca="1">HB180+HA227*(HB232-HB180)/HA231</f>
        <v>#VALUE!</v>
      </c>
      <c r="HC227" s="49" t="e">
        <f ca="1">HC180+HA227*(HC232-HC180)/HA231</f>
        <v>#VALUE!</v>
      </c>
      <c r="HD227" s="49" t="e">
        <f ca="1">GH177*HC227^3+GI177*HC227^2+GJ177*HC227+GG177+GD207</f>
        <v>#VALUE!</v>
      </c>
      <c r="HE227" s="49" t="e">
        <f t="shared" ca="1" si="5"/>
        <v>#VALUE!</v>
      </c>
      <c r="HF227" s="49" t="e">
        <f t="shared" ca="1" si="20"/>
        <v>#VALUE!</v>
      </c>
      <c r="HG227" s="49" t="e">
        <f t="shared" ca="1" si="21"/>
        <v>#VALUE!</v>
      </c>
      <c r="HH227" s="49" t="e">
        <f t="shared" ca="1" si="7"/>
        <v>#VALUE!</v>
      </c>
      <c r="HI227" s="49"/>
      <c r="HJ227" s="49"/>
      <c r="HK227" s="49"/>
      <c r="HL227" s="49"/>
      <c r="HM227" s="49"/>
    </row>
    <row r="228" spans="1:221" ht="3.75" customHeight="1">
      <c r="A228" s="1"/>
      <c r="B228" s="3"/>
      <c r="C228" s="3"/>
      <c r="D228" s="12"/>
      <c r="E228" s="197"/>
      <c r="F228" s="197"/>
      <c r="G228" s="39"/>
      <c r="H228" s="39"/>
      <c r="I228" s="39"/>
      <c r="J228" s="39"/>
      <c r="K228" s="197"/>
      <c r="L228" s="39"/>
      <c r="M228" s="39"/>
      <c r="N228" s="39"/>
      <c r="O228" s="39"/>
      <c r="P228" s="39"/>
      <c r="Q228" s="39"/>
      <c r="R228" s="39"/>
      <c r="S228" s="39"/>
      <c r="T228" s="39"/>
      <c r="U228" s="39"/>
      <c r="V228" s="39"/>
      <c r="W228" s="39"/>
      <c r="X228" s="39"/>
      <c r="Y228" s="39"/>
      <c r="Z228" s="39"/>
      <c r="AA228" s="39"/>
      <c r="AB228" s="39"/>
      <c r="AC228" s="39"/>
      <c r="AD228" s="197"/>
      <c r="AE228" s="197"/>
      <c r="AF228" s="197"/>
      <c r="AG228" s="197"/>
      <c r="AH228" s="197"/>
      <c r="AI228" s="197"/>
      <c r="AJ228" s="197"/>
      <c r="AK228" s="197"/>
      <c r="AL228" s="197"/>
      <c r="AM228" s="213"/>
      <c r="AN228" s="43" t="str">
        <f t="shared" ca="1" si="11"/>
        <v/>
      </c>
      <c r="AO228" s="228" t="str">
        <f t="shared" ca="1" si="26"/>
        <v/>
      </c>
      <c r="AP228" s="228" t="str">
        <f t="shared" ca="1" si="26"/>
        <v/>
      </c>
      <c r="AQ228" s="228" t="str">
        <f t="shared" ca="1" si="26"/>
        <v/>
      </c>
      <c r="AR228" s="228" t="str">
        <f t="shared" ca="1" si="26"/>
        <v/>
      </c>
      <c r="AS228" s="228" t="str">
        <f t="shared" ca="1" si="26"/>
        <v/>
      </c>
      <c r="AT228" s="228" t="str">
        <f t="shared" ca="1" si="26"/>
        <v/>
      </c>
      <c r="AU228" s="228" t="str">
        <f t="shared" ca="1" si="26"/>
        <v/>
      </c>
      <c r="AV228" s="228" t="str">
        <f t="shared" ca="1" si="29"/>
        <v/>
      </c>
      <c r="AW228" s="228" t="str">
        <f ca="1">IF(AND($FN$156=1,$BC$198=7),"~",IF(AND($FN$156=1,$BC$198=4),"-",""))</f>
        <v/>
      </c>
      <c r="AX228" s="230" t="str">
        <f ca="1">IF($FN$237=0,"","!")</f>
        <v/>
      </c>
      <c r="AY228" s="230" t="str">
        <f ca="1">IF($FN$237=0,"",",")</f>
        <v/>
      </c>
      <c r="AZ228" s="228" t="str">
        <f t="shared" ca="1" si="30"/>
        <v/>
      </c>
      <c r="BA228" s="228" t="str">
        <f t="shared" ca="1" si="30"/>
        <v/>
      </c>
      <c r="BB228" s="228" t="str">
        <f t="shared" ca="1" si="30"/>
        <v/>
      </c>
      <c r="BC228" s="228" t="str">
        <f t="shared" ca="1" si="30"/>
        <v/>
      </c>
      <c r="BD228" s="228" t="str">
        <f t="shared" ca="1" si="28"/>
        <v/>
      </c>
      <c r="BE228" s="237"/>
      <c r="BF228" s="237"/>
      <c r="BG228" s="237"/>
      <c r="BH228" s="230" t="str">
        <f ca="1">IF($FN$237=0,"",":")</f>
        <v/>
      </c>
      <c r="BI228" s="230"/>
      <c r="BJ228" s="230"/>
      <c r="BK228" s="230"/>
      <c r="BL228" s="233"/>
      <c r="BM228" s="233"/>
      <c r="BN228" s="233"/>
      <c r="BO228" s="233"/>
      <c r="BP228" s="233"/>
      <c r="BQ228" s="235"/>
      <c r="BR228" s="235"/>
      <c r="BS228" s="234"/>
      <c r="BT228" s="234"/>
      <c r="BU228" s="234"/>
      <c r="BV228" s="234"/>
      <c r="BW228" s="234"/>
      <c r="BX228" s="234"/>
      <c r="BY228" s="234"/>
      <c r="BZ228" s="234"/>
      <c r="CA228" s="234"/>
      <c r="CB228" s="234"/>
      <c r="CC228" s="234"/>
      <c r="CD228" s="234"/>
      <c r="CE228" s="79"/>
      <c r="CF228" s="79"/>
      <c r="CG228" s="79"/>
      <c r="CH228" s="79"/>
      <c r="CI228" s="79"/>
      <c r="CJ228" s="79"/>
      <c r="CK228" s="79"/>
      <c r="CL228" s="79"/>
      <c r="CM228" s="79"/>
      <c r="CN228" s="79"/>
      <c r="CO228" s="79"/>
      <c r="CP228" s="79"/>
      <c r="CQ228" s="79"/>
      <c r="CR228" s="79"/>
      <c r="CS228" s="79"/>
      <c r="CT228" s="79"/>
      <c r="CU228" s="79"/>
      <c r="CV228" s="79"/>
      <c r="CW228" s="79"/>
      <c r="CX228" s="79"/>
      <c r="CY228" s="79"/>
      <c r="CZ228" s="79"/>
      <c r="DA228" s="79"/>
      <c r="DB228" s="79"/>
      <c r="DC228" s="79"/>
      <c r="DD228" s="79"/>
      <c r="DE228" s="79"/>
      <c r="DF228" s="79"/>
      <c r="DG228" s="79"/>
      <c r="DH228" s="79"/>
      <c r="DI228" s="79"/>
      <c r="DJ228" s="79"/>
      <c r="DK228" s="79"/>
      <c r="DL228" s="79"/>
      <c r="DM228" s="79"/>
      <c r="DN228" s="79"/>
      <c r="DO228" s="79"/>
      <c r="DP228" s="79"/>
      <c r="DQ228" s="79"/>
      <c r="DR228" s="79"/>
      <c r="DS228" s="79"/>
      <c r="DT228" s="79"/>
      <c r="DU228" s="79"/>
      <c r="DV228" s="79"/>
      <c r="DW228" s="79"/>
      <c r="DX228" s="79"/>
      <c r="DY228" s="79"/>
      <c r="DZ228" s="79"/>
      <c r="EA228" s="79"/>
      <c r="EB228" s="79"/>
      <c r="EC228" s="79"/>
      <c r="ED228" s="79"/>
      <c r="EE228" s="79"/>
      <c r="EF228" s="79"/>
      <c r="EG228" s="79"/>
      <c r="EH228" s="79"/>
      <c r="EI228" s="79"/>
      <c r="EJ228" s="79"/>
      <c r="EK228" s="152"/>
      <c r="EL228" s="79"/>
      <c r="EM228" s="79"/>
      <c r="EN228" s="79"/>
      <c r="EO228" s="79"/>
      <c r="EP228" s="79"/>
      <c r="EQ228" s="79"/>
      <c r="ER228" s="79"/>
      <c r="ES228" s="79"/>
      <c r="ET228" s="79"/>
      <c r="EU228" s="79"/>
      <c r="EV228" s="79"/>
      <c r="EW228" s="79"/>
      <c r="EX228" s="79"/>
      <c r="EY228" s="79"/>
      <c r="EZ228" s="79"/>
      <c r="FA228" s="79"/>
      <c r="FB228" s="79"/>
      <c r="FC228" s="79"/>
      <c r="FD228" s="79"/>
      <c r="FE228" s="79"/>
      <c r="FF228" s="79"/>
      <c r="FG228" s="79"/>
      <c r="FH228" s="79"/>
      <c r="FI228" s="79"/>
      <c r="FJ228" s="79"/>
      <c r="FK228" s="79"/>
      <c r="FL228" s="79"/>
      <c r="FM228" s="47"/>
      <c r="FN228" s="47"/>
      <c r="FO228" s="47"/>
      <c r="FP228" s="47"/>
      <c r="FQ228" s="47"/>
      <c r="FR228" s="47"/>
      <c r="FS228" s="47"/>
      <c r="FT228" s="47"/>
      <c r="FU228" s="47"/>
      <c r="FV228" s="48"/>
      <c r="FW228" s="48"/>
      <c r="FX228" s="48"/>
      <c r="FY228" s="48"/>
      <c r="FZ228" s="48"/>
      <c r="GA228" s="49"/>
      <c r="GB228" s="49" t="e">
        <f ca="1">0.4*GB234</f>
        <v>#VALUE!</v>
      </c>
      <c r="GC228" s="49">
        <f ca="1">0.4*GC234</f>
        <v>0</v>
      </c>
      <c r="GD228" s="49" t="e">
        <f ca="1">0.4*GD234</f>
        <v>#VALUE!</v>
      </c>
      <c r="GE228" s="49">
        <f ca="1">IF(FN156=0,0,IF(FO174=1,GE226+2*GC181,IF(FO174=2,GI234+2*GC181,0)))</f>
        <v>0</v>
      </c>
      <c r="GF228" s="49">
        <f t="shared" ca="1" si="23"/>
        <v>0</v>
      </c>
      <c r="GG228" s="49">
        <f t="shared" ca="1" si="24"/>
        <v>0</v>
      </c>
      <c r="GH228" s="49">
        <f t="shared" ca="1" si="25"/>
        <v>0</v>
      </c>
      <c r="GI228" s="49">
        <f ca="1">GI234</f>
        <v>0</v>
      </c>
      <c r="GJ228" s="49">
        <f ca="1">0.4*GJ234</f>
        <v>0</v>
      </c>
      <c r="GK228" s="49">
        <f ca="1">0.4*GK234</f>
        <v>0</v>
      </c>
      <c r="GL228" s="49">
        <f ca="1">GL234</f>
        <v>0</v>
      </c>
      <c r="GM228" s="49">
        <f ca="1">GM234</f>
        <v>0</v>
      </c>
      <c r="GN228" s="49">
        <f ca="1">IF(FN156=0,0,-GD177*GC184^2+GE177*GC184)</f>
        <v>0</v>
      </c>
      <c r="GO228" s="49">
        <f ca="1">IF(FN156=1,GM177*GD228^2+GN177*GD228^1+GG177,0)</f>
        <v>0</v>
      </c>
      <c r="GP228" s="49">
        <f ca="1">IF(FN156=0,0,IF(FO174=2,GN185,IF(FO174=1,GS168*GE228+GT169,0)))</f>
        <v>0</v>
      </c>
      <c r="GQ228" s="49">
        <f ca="1">IF(FN156=0,0,IF(FO174=1,GT168*GE228+GT172,0))</f>
        <v>0</v>
      </c>
      <c r="GR228" s="49">
        <f ca="1">GR234</f>
        <v>0</v>
      </c>
      <c r="GS228" s="49">
        <f ca="1">0.4*GS234</f>
        <v>0</v>
      </c>
      <c r="GT228" s="49">
        <f ca="1">IF(FN156=1,GM177*GB228^2+GN177*GB228,0)</f>
        <v>0</v>
      </c>
      <c r="GU228" s="49">
        <f ca="1">GU234</f>
        <v>0</v>
      </c>
      <c r="GV228" s="49">
        <f ca="1">IF(FN156=0,0,IF(FO174=3,GV234,0))</f>
        <v>0</v>
      </c>
      <c r="GW228" s="49">
        <f ca="1">0.4*GW234</f>
        <v>0</v>
      </c>
      <c r="GX228" s="49">
        <f ca="1">IF(FN156=1,0.4*GX234,0)</f>
        <v>0</v>
      </c>
      <c r="GY228" s="49"/>
      <c r="GZ228" s="49"/>
      <c r="HA228" s="49">
        <v>47</v>
      </c>
      <c r="HB228" s="49" t="e">
        <f ca="1">HB180+HA228*(HB232-HB180)/HA231</f>
        <v>#VALUE!</v>
      </c>
      <c r="HC228" s="49" t="e">
        <f ca="1">HC180+HA228*(HC232-HC180)/HA231</f>
        <v>#VALUE!</v>
      </c>
      <c r="HD228" s="49" t="e">
        <f ca="1">GH177*HC228^3+GI177*HC228^2+GJ177*HC228+GG177+GD207</f>
        <v>#VALUE!</v>
      </c>
      <c r="HE228" s="49" t="e">
        <f t="shared" ca="1" si="5"/>
        <v>#VALUE!</v>
      </c>
      <c r="HF228" s="49" t="e">
        <f t="shared" ca="1" si="20"/>
        <v>#VALUE!</v>
      </c>
      <c r="HG228" s="49" t="e">
        <f t="shared" ca="1" si="21"/>
        <v>#VALUE!</v>
      </c>
      <c r="HH228" s="49" t="e">
        <f t="shared" ca="1" si="7"/>
        <v>#VALUE!</v>
      </c>
      <c r="HI228" s="49"/>
      <c r="HJ228" s="49"/>
      <c r="HK228" s="49"/>
      <c r="HL228" s="49"/>
      <c r="HM228" s="49"/>
    </row>
    <row r="229" spans="1:221" ht="3.75" customHeight="1">
      <c r="A229" s="1"/>
      <c r="B229" s="3"/>
      <c r="C229" s="3"/>
      <c r="D229" s="12"/>
      <c r="E229" s="197"/>
      <c r="F229" s="197"/>
      <c r="G229" s="39"/>
      <c r="H229" s="39"/>
      <c r="I229" s="39"/>
      <c r="J229" s="39"/>
      <c r="K229" s="197"/>
      <c r="L229" s="39"/>
      <c r="M229" s="39"/>
      <c r="N229" s="39"/>
      <c r="O229" s="39"/>
      <c r="P229" s="39"/>
      <c r="Q229" s="39"/>
      <c r="R229" s="39"/>
      <c r="S229" s="39"/>
      <c r="T229" s="39"/>
      <c r="U229" s="39"/>
      <c r="V229" s="39"/>
      <c r="W229" s="39"/>
      <c r="X229" s="39"/>
      <c r="Y229" s="39"/>
      <c r="Z229" s="39"/>
      <c r="AA229" s="39"/>
      <c r="AB229" s="39"/>
      <c r="AC229" s="39"/>
      <c r="AD229" s="197"/>
      <c r="AE229" s="197"/>
      <c r="AF229" s="197"/>
      <c r="AG229" s="197"/>
      <c r="AH229" s="197"/>
      <c r="AI229" s="197"/>
      <c r="AJ229" s="197"/>
      <c r="AK229" s="197"/>
      <c r="AL229" s="197"/>
      <c r="AM229" s="213"/>
      <c r="AN229" s="43" t="str">
        <f t="shared" ca="1" si="11"/>
        <v/>
      </c>
      <c r="AO229" s="228" t="str">
        <f t="shared" ca="1" si="26"/>
        <v/>
      </c>
      <c r="AP229" s="228" t="str">
        <f t="shared" ca="1" si="26"/>
        <v/>
      </c>
      <c r="AQ229" s="228" t="str">
        <f t="shared" ca="1" si="26"/>
        <v/>
      </c>
      <c r="AR229" s="228" t="str">
        <f t="shared" ca="1" si="26"/>
        <v/>
      </c>
      <c r="AS229" s="228" t="str">
        <f t="shared" ca="1" si="26"/>
        <v/>
      </c>
      <c r="AT229" s="228" t="str">
        <f t="shared" ca="1" si="26"/>
        <v/>
      </c>
      <c r="AU229" s="228" t="str">
        <f t="shared" ca="1" si="26"/>
        <v/>
      </c>
      <c r="AV229" s="228" t="str">
        <f t="shared" ca="1" si="29"/>
        <v/>
      </c>
      <c r="AW229" s="228" t="str">
        <f ca="1">IF(AND($FN$156=1,$BC$198=7),"~",IF(AND($FN$156=1,$BC$198=4),"-",""))</f>
        <v/>
      </c>
      <c r="AX229" s="230" t="str">
        <f ca="1">IF($FN$237=0,"","!")</f>
        <v/>
      </c>
      <c r="AY229" s="228" t="str">
        <f ca="1">IF(AND($FN$156=1,$BC$198=7),"~",IF(AND($FN$156=1,$BC$198=4),"-",""))</f>
        <v/>
      </c>
      <c r="AZ229" s="230" t="str">
        <f ca="1">IF($FN$237=0,"",",")</f>
        <v/>
      </c>
      <c r="BA229" s="228" t="str">
        <f ca="1">IF(AND($FN$156=1,$BC$198=7),"~",IF(AND($FN$156=1,$BC$198=4),"-",""))</f>
        <v/>
      </c>
      <c r="BB229" s="228" t="str">
        <f ca="1">IF(AND($FN$156=1,$BC$198=7),"~",IF(AND($FN$156=1,$BC$198=4),"-",""))</f>
        <v/>
      </c>
      <c r="BC229" s="228" t="str">
        <f ca="1">IF(AND($FN$156=1,$BC$198=7),"~",IF(AND($FN$156=1,$BC$198=4),"-",""))</f>
        <v/>
      </c>
      <c r="BD229" s="228" t="str">
        <f t="shared" ca="1" si="28"/>
        <v/>
      </c>
      <c r="BE229" s="230"/>
      <c r="BF229" s="228"/>
      <c r="BG229" s="237"/>
      <c r="BH229" s="237"/>
      <c r="BI229" s="230" t="str">
        <f ca="1">IF($FN$237=0,"",":")</f>
        <v/>
      </c>
      <c r="BJ229" s="230"/>
      <c r="BK229" s="230"/>
      <c r="BL229" s="233"/>
      <c r="BM229" s="233"/>
      <c r="BN229" s="233"/>
      <c r="BO229" s="233"/>
      <c r="BP229" s="233"/>
      <c r="BQ229" s="235"/>
      <c r="BR229" s="235"/>
      <c r="BS229" s="234"/>
      <c r="BT229" s="234"/>
      <c r="BU229" s="234"/>
      <c r="BV229" s="234"/>
      <c r="BW229" s="234"/>
      <c r="BX229" s="234"/>
      <c r="BY229" s="234"/>
      <c r="BZ229" s="234"/>
      <c r="CA229" s="234"/>
      <c r="CB229" s="234"/>
      <c r="CC229" s="234"/>
      <c r="CD229" s="234"/>
      <c r="CE229" s="79"/>
      <c r="CF229" s="79"/>
      <c r="CG229" s="79"/>
      <c r="CH229" s="79"/>
      <c r="CI229" s="79"/>
      <c r="CJ229" s="79"/>
      <c r="CK229" s="79"/>
      <c r="CL229" s="79"/>
      <c r="CM229" s="79"/>
      <c r="CN229" s="79"/>
      <c r="CO229" s="79"/>
      <c r="CP229" s="79"/>
      <c r="CQ229" s="79"/>
      <c r="CR229" s="79"/>
      <c r="CS229" s="79"/>
      <c r="CT229" s="79"/>
      <c r="CU229" s="79"/>
      <c r="CV229" s="79"/>
      <c r="CW229" s="79"/>
      <c r="CX229" s="79"/>
      <c r="CY229" s="79"/>
      <c r="CZ229" s="79"/>
      <c r="DA229" s="79"/>
      <c r="DB229" s="79"/>
      <c r="DC229" s="79"/>
      <c r="DD229" s="79"/>
      <c r="DE229" s="79"/>
      <c r="DF229" s="79"/>
      <c r="DG229" s="79"/>
      <c r="DH229" s="79"/>
      <c r="DI229" s="79"/>
      <c r="DJ229" s="79"/>
      <c r="DK229" s="79"/>
      <c r="DL229" s="79"/>
      <c r="DM229" s="79"/>
      <c r="DN229" s="79"/>
      <c r="DO229" s="79"/>
      <c r="DP229" s="79"/>
      <c r="DQ229" s="79"/>
      <c r="DR229" s="79"/>
      <c r="DS229" s="79"/>
      <c r="DT229" s="79"/>
      <c r="DU229" s="79"/>
      <c r="DV229" s="79"/>
      <c r="DW229" s="79"/>
      <c r="DX229" s="79"/>
      <c r="DY229" s="79"/>
      <c r="DZ229" s="79"/>
      <c r="EA229" s="79"/>
      <c r="EB229" s="79"/>
      <c r="EC229" s="79"/>
      <c r="ED229" s="79"/>
      <c r="EE229" s="79"/>
      <c r="EF229" s="79"/>
      <c r="EG229" s="79"/>
      <c r="EH229" s="79"/>
      <c r="EI229" s="79"/>
      <c r="EJ229" s="79"/>
      <c r="EK229" s="152"/>
      <c r="EL229" s="79"/>
      <c r="EM229" s="79"/>
      <c r="EN229" s="79"/>
      <c r="EO229" s="79"/>
      <c r="EP229" s="79"/>
      <c r="EQ229" s="79"/>
      <c r="ER229" s="79"/>
      <c r="ES229" s="79"/>
      <c r="ET229" s="79"/>
      <c r="EU229" s="79"/>
      <c r="EV229" s="79"/>
      <c r="EW229" s="79"/>
      <c r="EX229" s="79"/>
      <c r="EY229" s="79"/>
      <c r="EZ229" s="79"/>
      <c r="FA229" s="79"/>
      <c r="FB229" s="79"/>
      <c r="FC229" s="79"/>
      <c r="FD229" s="79"/>
      <c r="FE229" s="79"/>
      <c r="FF229" s="79"/>
      <c r="FG229" s="79"/>
      <c r="FH229" s="79"/>
      <c r="FI229" s="79"/>
      <c r="FJ229" s="79"/>
      <c r="FK229" s="79"/>
      <c r="FL229" s="79"/>
      <c r="FM229" s="47"/>
      <c r="FN229" s="47"/>
      <c r="FO229" s="47"/>
      <c r="FP229" s="47"/>
      <c r="FQ229" s="47"/>
      <c r="FR229" s="47"/>
      <c r="FS229" s="47"/>
      <c r="FT229" s="47"/>
      <c r="FU229" s="47"/>
      <c r="FV229" s="48"/>
      <c r="FW229" s="48"/>
      <c r="FX229" s="48"/>
      <c r="FY229" s="48"/>
      <c r="FZ229" s="48"/>
      <c r="GA229" s="49"/>
      <c r="GB229" s="49" t="e">
        <f ca="1">0.5*GB234</f>
        <v>#VALUE!</v>
      </c>
      <c r="GC229" s="49">
        <f ca="1">0.5*GC234</f>
        <v>0</v>
      </c>
      <c r="GD229" s="49" t="e">
        <f ca="1">0.5*GD234</f>
        <v>#VALUE!</v>
      </c>
      <c r="GE229" s="49"/>
      <c r="GF229" s="49">
        <f t="shared" ca="1" si="23"/>
        <v>0</v>
      </c>
      <c r="GG229" s="49">
        <f t="shared" ca="1" si="24"/>
        <v>0</v>
      </c>
      <c r="GH229" s="49">
        <f t="shared" ca="1" si="25"/>
        <v>0</v>
      </c>
      <c r="GI229" s="49">
        <f ca="1">GI234</f>
        <v>0</v>
      </c>
      <c r="GJ229" s="49">
        <f ca="1">0.5*GJ234</f>
        <v>0</v>
      </c>
      <c r="GK229" s="49">
        <f ca="1">0.5*GK234</f>
        <v>0</v>
      </c>
      <c r="GL229" s="49">
        <f ca="1">GL234</f>
        <v>0</v>
      </c>
      <c r="GM229" s="49">
        <f ca="1">GM234</f>
        <v>0</v>
      </c>
      <c r="GN229" s="49">
        <f ca="1">IF(FN156=0,0,-GD177*GC185^2+GE177*GC185)</f>
        <v>0</v>
      </c>
      <c r="GO229" s="49">
        <f ca="1">IF(FN156=1,GM177*GD229^2+GN177*GD229^1+GG177,0)</f>
        <v>0</v>
      </c>
      <c r="GP229" s="49"/>
      <c r="GQ229" s="49"/>
      <c r="GR229" s="49">
        <f ca="1">GR234</f>
        <v>0</v>
      </c>
      <c r="GS229" s="49">
        <f ca="1">0.5*GS234</f>
        <v>0</v>
      </c>
      <c r="GT229" s="49">
        <f ca="1">IF(FN156=1,GM177*GB229^2+GN177*GB229,0)</f>
        <v>0</v>
      </c>
      <c r="GU229" s="49">
        <f ca="1">GU234</f>
        <v>0</v>
      </c>
      <c r="GV229" s="49">
        <f ca="1">IF(FN156=0,0,IF(FO174=3,GV234,0))</f>
        <v>0</v>
      </c>
      <c r="GW229" s="49">
        <f ca="1">0.5*GW234</f>
        <v>0</v>
      </c>
      <c r="GX229" s="49">
        <f ca="1">IF(FN156=1,0.5*GX234,0)</f>
        <v>0</v>
      </c>
      <c r="GY229" s="49"/>
      <c r="GZ229" s="49"/>
      <c r="HA229" s="49">
        <v>48</v>
      </c>
      <c r="HB229" s="49" t="e">
        <f ca="1">HB180+HA229*(HB232-HB180)/HA231</f>
        <v>#VALUE!</v>
      </c>
      <c r="HC229" s="49" t="e">
        <f ca="1">HC180+HA229*(HC232-HC180)/HA231</f>
        <v>#VALUE!</v>
      </c>
      <c r="HD229" s="49" t="e">
        <f ca="1">GH177*HC229^3+GI177*HC229^2+GJ177*HC229+GG177+GD207</f>
        <v>#VALUE!</v>
      </c>
      <c r="HE229" s="49" t="e">
        <f t="shared" ca="1" si="5"/>
        <v>#VALUE!</v>
      </c>
      <c r="HF229" s="49" t="e">
        <f t="shared" ca="1" si="20"/>
        <v>#VALUE!</v>
      </c>
      <c r="HG229" s="49" t="e">
        <f t="shared" ca="1" si="21"/>
        <v>#VALUE!</v>
      </c>
      <c r="HH229" s="49" t="e">
        <f t="shared" ca="1" si="7"/>
        <v>#VALUE!</v>
      </c>
      <c r="HI229" s="49"/>
      <c r="HJ229" s="49"/>
      <c r="HK229" s="49"/>
      <c r="HL229" s="49"/>
      <c r="HM229" s="49"/>
    </row>
    <row r="230" spans="1:221" ht="3.75" customHeight="1">
      <c r="A230" s="1"/>
      <c r="B230" s="3"/>
      <c r="C230" s="3"/>
      <c r="D230" s="12"/>
      <c r="E230" s="197"/>
      <c r="F230" s="197"/>
      <c r="G230" s="39"/>
      <c r="H230" s="39"/>
      <c r="I230" s="39"/>
      <c r="J230" s="39"/>
      <c r="K230" s="197"/>
      <c r="L230" s="39"/>
      <c r="M230" s="39"/>
      <c r="N230" s="39"/>
      <c r="O230" s="39"/>
      <c r="P230" s="39"/>
      <c r="Q230" s="39"/>
      <c r="R230" s="39"/>
      <c r="S230" s="39"/>
      <c r="T230" s="39"/>
      <c r="U230" s="39"/>
      <c r="V230" s="39"/>
      <c r="W230" s="39"/>
      <c r="X230" s="39"/>
      <c r="Y230" s="39"/>
      <c r="Z230" s="39"/>
      <c r="AA230" s="39"/>
      <c r="AB230" s="39"/>
      <c r="AC230" s="39"/>
      <c r="AD230" s="197"/>
      <c r="AE230" s="197"/>
      <c r="AF230" s="197"/>
      <c r="AG230" s="197"/>
      <c r="AH230" s="197"/>
      <c r="AI230" s="197"/>
      <c r="AJ230" s="197"/>
      <c r="AK230" s="197"/>
      <c r="AL230" s="197"/>
      <c r="AM230" s="213"/>
      <c r="AN230" s="43" t="str">
        <f t="shared" ca="1" si="11"/>
        <v/>
      </c>
      <c r="AO230" s="228" t="str">
        <f t="shared" ca="1" si="26"/>
        <v/>
      </c>
      <c r="AP230" s="228" t="str">
        <f t="shared" ca="1" si="26"/>
        <v/>
      </c>
      <c r="AQ230" s="228" t="str">
        <f t="shared" ca="1" si="26"/>
        <v/>
      </c>
      <c r="AR230" s="228" t="str">
        <f t="shared" ca="1" si="26"/>
        <v/>
      </c>
      <c r="AS230" s="228" t="str">
        <f t="shared" ca="1" si="26"/>
        <v/>
      </c>
      <c r="AT230" s="228" t="str">
        <f t="shared" ca="1" si="26"/>
        <v/>
      </c>
      <c r="AU230" s="228" t="str">
        <f t="shared" ca="1" si="26"/>
        <v/>
      </c>
      <c r="AV230" s="228" t="str">
        <f t="shared" ca="1" si="29"/>
        <v/>
      </c>
      <c r="AW230" s="228" t="str">
        <f ca="1">IF(AND($FN$156=1,$BC$198=7),"~",IF(AND($FN$156=1,$BC$198=4),"-",""))</f>
        <v/>
      </c>
      <c r="AX230" s="228" t="str">
        <f ca="1">IF(AND($FN$156=1,$BC$198=7),"~",IF(AND($FN$156=1,$BC$198=4),"-",""))</f>
        <v/>
      </c>
      <c r="AY230" s="230" t="str">
        <f ca="1">IF($FN$237=0,"","!")</f>
        <v/>
      </c>
      <c r="AZ230" s="228" t="str">
        <f ca="1">IF(AND($FN$156=1,$BC$198=7),"~",IF(AND($FN$156=1,$BC$198=4),"-",""))</f>
        <v/>
      </c>
      <c r="BA230" s="230" t="str">
        <f ca="1">IF($FN$237=0,"",",")</f>
        <v/>
      </c>
      <c r="BB230" s="228" t="str">
        <f ca="1">IF(AND($FN$156=1,$BC$198=7),"~",IF(AND($FN$156=1,$BC$198=4),"-",""))</f>
        <v/>
      </c>
      <c r="BC230" s="228" t="str">
        <f ca="1">IF(AND($FN$156=1,$BC$198=7),"~",IF(AND($FN$156=1,$BC$198=4),"-",""))</f>
        <v/>
      </c>
      <c r="BD230" s="228" t="str">
        <f t="shared" ca="1" si="28"/>
        <v/>
      </c>
      <c r="BE230" s="237"/>
      <c r="BF230" s="228"/>
      <c r="BG230" s="230"/>
      <c r="BH230" s="230"/>
      <c r="BI230" s="230"/>
      <c r="BJ230" s="230" t="str">
        <f ca="1">IF($FN$237=0,"",":")</f>
        <v/>
      </c>
      <c r="BK230" s="230"/>
      <c r="BL230" s="233"/>
      <c r="BM230" s="233"/>
      <c r="BN230" s="233"/>
      <c r="BO230" s="233"/>
      <c r="BP230" s="233"/>
      <c r="BQ230" s="235"/>
      <c r="BR230" s="235"/>
      <c r="BS230" s="234"/>
      <c r="BT230" s="234"/>
      <c r="BU230" s="234"/>
      <c r="BV230" s="234"/>
      <c r="BW230" s="234"/>
      <c r="BX230" s="234"/>
      <c r="BY230" s="234"/>
      <c r="BZ230" s="234"/>
      <c r="CA230" s="234"/>
      <c r="CB230" s="234"/>
      <c r="CC230" s="234"/>
      <c r="CD230" s="234"/>
      <c r="CE230" s="79"/>
      <c r="CF230" s="79"/>
      <c r="CG230" s="79"/>
      <c r="CH230" s="79"/>
      <c r="CI230" s="79"/>
      <c r="CJ230" s="79"/>
      <c r="CK230" s="79"/>
      <c r="CL230" s="79"/>
      <c r="CM230" s="79"/>
      <c r="CN230" s="79"/>
      <c r="CO230" s="79"/>
      <c r="CP230" s="79"/>
      <c r="CQ230" s="79"/>
      <c r="CR230" s="79"/>
      <c r="CS230" s="79"/>
      <c r="CT230" s="79"/>
      <c r="CU230" s="79"/>
      <c r="CV230" s="79"/>
      <c r="CW230" s="79"/>
      <c r="CX230" s="79"/>
      <c r="CY230" s="79"/>
      <c r="CZ230" s="79"/>
      <c r="DA230" s="79"/>
      <c r="DB230" s="79"/>
      <c r="DC230" s="79"/>
      <c r="DD230" s="79"/>
      <c r="DE230" s="79"/>
      <c r="DF230" s="79"/>
      <c r="DG230" s="79"/>
      <c r="DH230" s="79"/>
      <c r="DI230" s="79"/>
      <c r="DJ230" s="79"/>
      <c r="DK230" s="79"/>
      <c r="DL230" s="79"/>
      <c r="DM230" s="79"/>
      <c r="DN230" s="79"/>
      <c r="DO230" s="79"/>
      <c r="DP230" s="79"/>
      <c r="DQ230" s="79"/>
      <c r="DR230" s="79"/>
      <c r="DS230" s="79"/>
      <c r="DT230" s="79"/>
      <c r="DU230" s="79"/>
      <c r="DV230" s="79"/>
      <c r="DW230" s="79"/>
      <c r="DX230" s="79"/>
      <c r="DY230" s="79"/>
      <c r="DZ230" s="79"/>
      <c r="EA230" s="79"/>
      <c r="EB230" s="79"/>
      <c r="EC230" s="79"/>
      <c r="ED230" s="79"/>
      <c r="EE230" s="79"/>
      <c r="EF230" s="79"/>
      <c r="EG230" s="79"/>
      <c r="EH230" s="79"/>
      <c r="EI230" s="79"/>
      <c r="EJ230" s="79"/>
      <c r="EK230" s="152"/>
      <c r="EL230" s="79"/>
      <c r="EM230" s="79"/>
      <c r="EN230" s="79"/>
      <c r="EO230" s="79"/>
      <c r="EP230" s="79"/>
      <c r="EQ230" s="79"/>
      <c r="ER230" s="79"/>
      <c r="ES230" s="79"/>
      <c r="ET230" s="79"/>
      <c r="EU230" s="79"/>
      <c r="EV230" s="79"/>
      <c r="EW230" s="79"/>
      <c r="EX230" s="79"/>
      <c r="EY230" s="79"/>
      <c r="EZ230" s="79"/>
      <c r="FA230" s="79"/>
      <c r="FB230" s="79"/>
      <c r="FC230" s="79"/>
      <c r="FD230" s="79"/>
      <c r="FE230" s="79"/>
      <c r="FF230" s="79"/>
      <c r="FG230" s="79"/>
      <c r="FH230" s="79"/>
      <c r="FI230" s="79"/>
      <c r="FJ230" s="79"/>
      <c r="FK230" s="79"/>
      <c r="FL230" s="79"/>
      <c r="FM230" s="470"/>
      <c r="FN230" s="79"/>
      <c r="FO230" s="79"/>
      <c r="FP230" s="47"/>
      <c r="FQ230" s="47"/>
      <c r="FR230" s="47"/>
      <c r="FS230" s="47"/>
      <c r="FT230" s="47"/>
      <c r="FU230" s="47"/>
      <c r="FV230" s="48"/>
      <c r="FW230" s="48"/>
      <c r="FX230" s="48"/>
      <c r="FY230" s="48"/>
      <c r="FZ230" s="48"/>
      <c r="GA230" s="49"/>
      <c r="GB230" s="49" t="e">
        <f ca="1">0.6*GB234</f>
        <v>#VALUE!</v>
      </c>
      <c r="GC230" s="49">
        <f ca="1">0.6*GC234</f>
        <v>0</v>
      </c>
      <c r="GD230" s="49" t="e">
        <f ca="1">0.6*GD234</f>
        <v>#VALUE!</v>
      </c>
      <c r="GE230" s="49"/>
      <c r="GF230" s="49">
        <f t="shared" ca="1" si="23"/>
        <v>0</v>
      </c>
      <c r="GG230" s="49">
        <f t="shared" ca="1" si="24"/>
        <v>0</v>
      </c>
      <c r="GH230" s="49">
        <f t="shared" ca="1" si="25"/>
        <v>0</v>
      </c>
      <c r="GI230" s="49">
        <f ca="1">GI234</f>
        <v>0</v>
      </c>
      <c r="GJ230" s="49">
        <f ca="1">0.6*GJ234</f>
        <v>0</v>
      </c>
      <c r="GK230" s="49">
        <f ca="1">0.6*GK234</f>
        <v>0</v>
      </c>
      <c r="GL230" s="49">
        <f ca="1">GL234</f>
        <v>0</v>
      </c>
      <c r="GM230" s="49">
        <f ca="1">GM234</f>
        <v>0</v>
      </c>
      <c r="GN230" s="49">
        <f ca="1">IF(FN156=0,0,-GD177*GC186^2+GE177*GC186)</f>
        <v>0</v>
      </c>
      <c r="GO230" s="49">
        <f ca="1">IF(FN156=1,GM177*GD230^2+GN177*GD230^1+GG177,0)</f>
        <v>0</v>
      </c>
      <c r="GP230" s="49"/>
      <c r="GQ230" s="49"/>
      <c r="GR230" s="49">
        <f ca="1">GR234</f>
        <v>0</v>
      </c>
      <c r="GS230" s="49">
        <f ca="1">0.6*GS234</f>
        <v>0</v>
      </c>
      <c r="GT230" s="49">
        <f ca="1">IF(FN156=1,GM177*GB230^2+GN177*GB230,0)</f>
        <v>0</v>
      </c>
      <c r="GU230" s="49">
        <f ca="1">GU234</f>
        <v>0</v>
      </c>
      <c r="GV230" s="49">
        <f ca="1">IF(FN156=0,0,IF(FO174=3,GV234,0))</f>
        <v>0</v>
      </c>
      <c r="GW230" s="49">
        <f ca="1">0.6*GW234</f>
        <v>0</v>
      </c>
      <c r="GX230" s="49">
        <f ca="1">IF(FN156=1,0.6*GX234,0)</f>
        <v>0</v>
      </c>
      <c r="GY230" s="49"/>
      <c r="GZ230" s="49"/>
      <c r="HA230" s="49">
        <v>49</v>
      </c>
      <c r="HB230" s="49" t="e">
        <f ca="1">HB180+HA230*(HB232-HB180)/HA231</f>
        <v>#VALUE!</v>
      </c>
      <c r="HC230" s="49" t="e">
        <f ca="1">HC180+HA230*(HC232-HC180)/HA231</f>
        <v>#VALUE!</v>
      </c>
      <c r="HD230" s="49" t="e">
        <f ca="1">GH177*HC230^3+GI177*HC230^2+GJ177*HC230+GG177+GD207</f>
        <v>#VALUE!</v>
      </c>
      <c r="HE230" s="49" t="e">
        <f t="shared" ca="1" si="5"/>
        <v>#VALUE!</v>
      </c>
      <c r="HF230" s="49" t="e">
        <f t="shared" ca="1" si="20"/>
        <v>#VALUE!</v>
      </c>
      <c r="HG230" s="49" t="e">
        <f t="shared" ca="1" si="21"/>
        <v>#VALUE!</v>
      </c>
      <c r="HH230" s="49" t="e">
        <f t="shared" ca="1" si="7"/>
        <v>#VALUE!</v>
      </c>
      <c r="HI230" s="49"/>
      <c r="HJ230" s="49"/>
      <c r="HK230" s="49"/>
      <c r="HL230" s="49"/>
      <c r="HM230" s="49"/>
    </row>
    <row r="231" spans="1:221" ht="3.75" customHeight="1">
      <c r="A231" s="1"/>
      <c r="B231" s="3"/>
      <c r="C231" s="3"/>
      <c r="D231" s="12"/>
      <c r="E231" s="197"/>
      <c r="F231" s="197"/>
      <c r="G231" s="39"/>
      <c r="H231" s="39"/>
      <c r="I231" s="39"/>
      <c r="J231" s="39"/>
      <c r="K231" s="197"/>
      <c r="L231" s="39"/>
      <c r="M231" s="39"/>
      <c r="N231" s="39"/>
      <c r="O231" s="39"/>
      <c r="P231" s="39"/>
      <c r="Q231" s="39"/>
      <c r="R231" s="39"/>
      <c r="S231" s="39"/>
      <c r="T231" s="39"/>
      <c r="U231" s="39"/>
      <c r="V231" s="39"/>
      <c r="W231" s="39"/>
      <c r="X231" s="39"/>
      <c r="Y231" s="39"/>
      <c r="Z231" s="39"/>
      <c r="AA231" s="39"/>
      <c r="AB231" s="39"/>
      <c r="AC231" s="39"/>
      <c r="AD231" s="197"/>
      <c r="AE231" s="197"/>
      <c r="AF231" s="197"/>
      <c r="AG231" s="197"/>
      <c r="AH231" s="197"/>
      <c r="AI231" s="197"/>
      <c r="AJ231" s="197"/>
      <c r="AK231" s="197"/>
      <c r="AL231" s="197"/>
      <c r="AM231" s="213"/>
      <c r="AN231" s="43" t="str">
        <f t="shared" ref="AN231:AN249" ca="1" si="31">IF($FN$237=0,"","`")</f>
        <v/>
      </c>
      <c r="AO231" s="228" t="str">
        <f t="shared" ca="1" si="26"/>
        <v/>
      </c>
      <c r="AP231" s="228" t="str">
        <f t="shared" ca="1" si="26"/>
        <v/>
      </c>
      <c r="AQ231" s="228" t="str">
        <f t="shared" ca="1" si="26"/>
        <v/>
      </c>
      <c r="AR231" s="228" t="str">
        <f t="shared" ca="1" si="26"/>
        <v/>
      </c>
      <c r="AS231" s="228" t="str">
        <f t="shared" ca="1" si="26"/>
        <v/>
      </c>
      <c r="AT231" s="228" t="str">
        <f t="shared" ca="1" si="26"/>
        <v/>
      </c>
      <c r="AU231" s="228" t="str">
        <f t="shared" ca="1" si="26"/>
        <v/>
      </c>
      <c r="AV231" s="228" t="str">
        <f t="shared" ca="1" si="29"/>
        <v/>
      </c>
      <c r="AW231" s="228" t="str">
        <f ca="1">IF(AND($FN$156=1,$BC$198=7),"~",IF(AND($FN$156=1,$BC$198=4),"-",""))</f>
        <v/>
      </c>
      <c r="AX231" s="228" t="str">
        <f ca="1">IF(AND($FN$156=1,$BC$198=7),"~",IF(AND($FN$156=1,$BC$198=4),"-",""))</f>
        <v/>
      </c>
      <c r="AY231" s="230" t="str">
        <f ca="1">IF($FN$237=0,"","!")</f>
        <v/>
      </c>
      <c r="AZ231" s="228" t="str">
        <f ca="1">IF(AND($FN$156=1,$BC$198=7),"~",IF(AND($FN$156=1,$BC$198=4),"-",""))</f>
        <v/>
      </c>
      <c r="BA231" s="228" t="str">
        <f ca="1">IF(AND($FN$156=1,$BC$198=7),"~",IF(AND($FN$156=1,$BC$198=4),"-",""))</f>
        <v/>
      </c>
      <c r="BB231" s="230" t="str">
        <f ca="1">IF($FN$237=0,"",",")</f>
        <v/>
      </c>
      <c r="BC231" s="228" t="str">
        <f ca="1">IF(AND($FN$156=1,$BC$198=7),"~",IF(AND($FN$156=1,$BC$198=4),"-",""))</f>
        <v/>
      </c>
      <c r="BD231" s="228" t="str">
        <f t="shared" ca="1" si="28"/>
        <v/>
      </c>
      <c r="BE231" s="237"/>
      <c r="BF231" s="228"/>
      <c r="BG231" s="237"/>
      <c r="BH231" s="237"/>
      <c r="BI231" s="237"/>
      <c r="BJ231" s="237"/>
      <c r="BK231" s="230" t="str">
        <f ca="1">IF($FN$237=0,"",":")</f>
        <v/>
      </c>
      <c r="BL231" s="230"/>
      <c r="BM231" s="230"/>
      <c r="BN231" s="230"/>
      <c r="BO231" s="230"/>
      <c r="BP231" s="230"/>
      <c r="BQ231" s="235"/>
      <c r="BR231" s="235"/>
      <c r="BS231" s="234"/>
      <c r="BT231" s="234"/>
      <c r="BU231" s="234"/>
      <c r="BV231" s="234"/>
      <c r="BW231" s="234"/>
      <c r="BX231" s="234"/>
      <c r="BY231" s="234"/>
      <c r="BZ231" s="234"/>
      <c r="CA231" s="234"/>
      <c r="CB231" s="234"/>
      <c r="CC231" s="234"/>
      <c r="CD231" s="234"/>
      <c r="CE231" s="79"/>
      <c r="CF231" s="79"/>
      <c r="CG231" s="79"/>
      <c r="CH231" s="79"/>
      <c r="CI231" s="79"/>
      <c r="CJ231" s="79"/>
      <c r="CK231" s="79"/>
      <c r="CL231" s="79"/>
      <c r="CM231" s="79"/>
      <c r="CN231" s="79"/>
      <c r="CO231" s="79"/>
      <c r="CP231" s="79"/>
      <c r="CQ231" s="79"/>
      <c r="CR231" s="79"/>
      <c r="CS231" s="79"/>
      <c r="CT231" s="79"/>
      <c r="CU231" s="79"/>
      <c r="CV231" s="79"/>
      <c r="CW231" s="79"/>
      <c r="CX231" s="79"/>
      <c r="CY231" s="79"/>
      <c r="CZ231" s="79"/>
      <c r="DA231" s="79"/>
      <c r="DB231" s="79"/>
      <c r="DC231" s="79"/>
      <c r="DD231" s="79"/>
      <c r="DE231" s="79"/>
      <c r="DF231" s="79"/>
      <c r="DG231" s="79"/>
      <c r="DH231" s="79"/>
      <c r="DI231" s="79"/>
      <c r="DJ231" s="79"/>
      <c r="DK231" s="79"/>
      <c r="DL231" s="79"/>
      <c r="DM231" s="79"/>
      <c r="DN231" s="79"/>
      <c r="DO231" s="79"/>
      <c r="DP231" s="79"/>
      <c r="DQ231" s="79"/>
      <c r="DR231" s="79"/>
      <c r="DS231" s="79"/>
      <c r="DT231" s="79"/>
      <c r="DU231" s="79"/>
      <c r="DV231" s="79"/>
      <c r="DW231" s="79"/>
      <c r="DX231" s="79"/>
      <c r="DY231" s="79"/>
      <c r="DZ231" s="79"/>
      <c r="EA231" s="79"/>
      <c r="EB231" s="79"/>
      <c r="EC231" s="79"/>
      <c r="ED231" s="79"/>
      <c r="EE231" s="79"/>
      <c r="EF231" s="79"/>
      <c r="EG231" s="79"/>
      <c r="EH231" s="79"/>
      <c r="EI231" s="79"/>
      <c r="EJ231" s="79"/>
      <c r="EK231" s="152"/>
      <c r="EL231" s="79"/>
      <c r="EM231" s="79"/>
      <c r="EN231" s="79"/>
      <c r="EO231" s="79"/>
      <c r="EP231" s="79"/>
      <c r="EQ231" s="79"/>
      <c r="ER231" s="79"/>
      <c r="ES231" s="79"/>
      <c r="ET231" s="79"/>
      <c r="EU231" s="79"/>
      <c r="EV231" s="79"/>
      <c r="EW231" s="79"/>
      <c r="EX231" s="79"/>
      <c r="EY231" s="79"/>
      <c r="EZ231" s="79"/>
      <c r="FA231" s="79"/>
      <c r="FB231" s="79"/>
      <c r="FC231" s="79"/>
      <c r="FD231" s="79"/>
      <c r="FE231" s="79"/>
      <c r="FF231" s="79"/>
      <c r="FG231" s="79"/>
      <c r="FH231" s="79"/>
      <c r="FI231" s="79"/>
      <c r="FJ231" s="79"/>
      <c r="FK231" s="79"/>
      <c r="FL231" s="79"/>
      <c r="FM231" s="47"/>
      <c r="FN231" s="47"/>
      <c r="FO231" s="47"/>
      <c r="FP231" s="47"/>
      <c r="FQ231" s="47"/>
      <c r="FR231" s="47"/>
      <c r="FS231" s="47"/>
      <c r="FT231" s="47"/>
      <c r="FU231" s="47"/>
      <c r="FV231" s="48"/>
      <c r="FW231" s="48"/>
      <c r="FX231" s="48"/>
      <c r="FY231" s="48"/>
      <c r="FZ231" s="48"/>
      <c r="GA231" s="49"/>
      <c r="GB231" s="49" t="e">
        <f ca="1">0.7*GB234</f>
        <v>#VALUE!</v>
      </c>
      <c r="GC231" s="49">
        <f ca="1">0.7*GC234</f>
        <v>0</v>
      </c>
      <c r="GD231" s="49" t="e">
        <f ca="1">0.7*GD234</f>
        <v>#VALUE!</v>
      </c>
      <c r="GE231" s="49"/>
      <c r="GF231" s="49">
        <f t="shared" ca="1" si="23"/>
        <v>0</v>
      </c>
      <c r="GG231" s="49">
        <f t="shared" ca="1" si="24"/>
        <v>0</v>
      </c>
      <c r="GH231" s="49">
        <f t="shared" ca="1" si="25"/>
        <v>0</v>
      </c>
      <c r="GI231" s="49">
        <f ca="1">GI234</f>
        <v>0</v>
      </c>
      <c r="GJ231" s="49">
        <f ca="1">0.7*GJ234</f>
        <v>0</v>
      </c>
      <c r="GK231" s="49">
        <f ca="1">0.7*GK234</f>
        <v>0</v>
      </c>
      <c r="GL231" s="49">
        <f ca="1">GL234</f>
        <v>0</v>
      </c>
      <c r="GM231" s="49">
        <f ca="1">GM234</f>
        <v>0</v>
      </c>
      <c r="GN231" s="49">
        <f ca="1">IF(FN156=0,0,-GD177*GC187^2+GE177*GC187)</f>
        <v>0</v>
      </c>
      <c r="GO231" s="49">
        <f ca="1">IF(FN156=1,GM177*GD231^2+GN177*GD231^1+GG177,0)</f>
        <v>0</v>
      </c>
      <c r="GP231" s="49"/>
      <c r="GQ231" s="49"/>
      <c r="GR231" s="49">
        <f ca="1">GR234</f>
        <v>0</v>
      </c>
      <c r="GS231" s="49">
        <f ca="1">0.7*GS234</f>
        <v>0</v>
      </c>
      <c r="GT231" s="49">
        <f ca="1">IF(FN156=1,GM177*GB231^2+GN177*GB231,0)</f>
        <v>0</v>
      </c>
      <c r="GU231" s="49">
        <f ca="1">GU234</f>
        <v>0</v>
      </c>
      <c r="GV231" s="49">
        <f ca="1">IF(FN156=0,0,IF(FO174=3,GV234,0))</f>
        <v>0</v>
      </c>
      <c r="GW231" s="49">
        <f ca="1">0.7*GW234</f>
        <v>0</v>
      </c>
      <c r="GX231" s="49">
        <f ca="1">IF(FN156=1,0.7*GX234,0)</f>
        <v>0</v>
      </c>
      <c r="GY231" s="49"/>
      <c r="GZ231" s="49"/>
      <c r="HA231" s="49">
        <v>50</v>
      </c>
      <c r="HB231" s="49" t="e">
        <f ca="1">HB180+HA231*(HB232-HB180)/HA231</f>
        <v>#VALUE!</v>
      </c>
      <c r="HC231" s="49" t="e">
        <f ca="1">HC180+HA231*(HC232-HC180)/HA231</f>
        <v>#VALUE!</v>
      </c>
      <c r="HD231" s="49" t="e">
        <f ca="1">GH177*HC231^3+GI177*HC231^2+GJ177*HC231+GG177+GD207</f>
        <v>#VALUE!</v>
      </c>
      <c r="HE231" s="49" t="e">
        <f t="shared" ca="1" si="5"/>
        <v>#VALUE!</v>
      </c>
      <c r="HF231" s="49" t="e">
        <f t="shared" ca="1" si="20"/>
        <v>#VALUE!</v>
      </c>
      <c r="HG231" s="49" t="e">
        <f t="shared" ca="1" si="21"/>
        <v>#VALUE!</v>
      </c>
      <c r="HH231" s="49" t="e">
        <f t="shared" ca="1" si="7"/>
        <v>#VALUE!</v>
      </c>
      <c r="HI231" s="49"/>
      <c r="HJ231" s="49"/>
      <c r="HK231" s="49"/>
      <c r="HL231" s="49"/>
      <c r="HM231" s="49"/>
    </row>
    <row r="232" spans="1:221" ht="3.75" customHeight="1">
      <c r="A232" s="1"/>
      <c r="B232" s="3"/>
      <c r="C232" s="3"/>
      <c r="D232" s="12"/>
      <c r="E232" s="197"/>
      <c r="F232" s="197"/>
      <c r="G232" s="39"/>
      <c r="H232" s="39"/>
      <c r="I232" s="39"/>
      <c r="J232" s="39"/>
      <c r="K232" s="197"/>
      <c r="L232" s="39"/>
      <c r="M232" s="39"/>
      <c r="N232" s="39"/>
      <c r="O232" s="39"/>
      <c r="P232" s="39"/>
      <c r="Q232" s="39"/>
      <c r="R232" s="39"/>
      <c r="S232" s="39"/>
      <c r="T232" s="39"/>
      <c r="U232" s="39"/>
      <c r="V232" s="39"/>
      <c r="W232" s="39"/>
      <c r="X232" s="39"/>
      <c r="Y232" s="39"/>
      <c r="Z232" s="39"/>
      <c r="AA232" s="39"/>
      <c r="AB232" s="39"/>
      <c r="AC232" s="39"/>
      <c r="AD232" s="197"/>
      <c r="AE232" s="197"/>
      <c r="AF232" s="197"/>
      <c r="AG232" s="197"/>
      <c r="AH232" s="197"/>
      <c r="AI232" s="197"/>
      <c r="AJ232" s="197"/>
      <c r="AK232" s="197"/>
      <c r="AL232" s="197"/>
      <c r="AM232" s="213"/>
      <c r="AN232" s="43" t="str">
        <f t="shared" ca="1" si="31"/>
        <v/>
      </c>
      <c r="AO232" s="228" t="str">
        <f t="shared" ref="AO232:AY232" ca="1" si="32">IF(AND($FN$156=1,$BC$198=7),"`",IF(AND($FN$156=1,$BC$198=6),"`",IF(AND($FN$156=1,$BC$198=4),"-","")))</f>
        <v/>
      </c>
      <c r="AP232" s="228" t="str">
        <f t="shared" ca="1" si="32"/>
        <v/>
      </c>
      <c r="AQ232" s="228" t="str">
        <f t="shared" ca="1" si="32"/>
        <v/>
      </c>
      <c r="AR232" s="228" t="str">
        <f t="shared" ca="1" si="32"/>
        <v/>
      </c>
      <c r="AS232" s="228" t="str">
        <f t="shared" ca="1" si="32"/>
        <v/>
      </c>
      <c r="AT232" s="228" t="str">
        <f t="shared" ca="1" si="32"/>
        <v/>
      </c>
      <c r="AU232" s="228" t="str">
        <f t="shared" ca="1" si="32"/>
        <v/>
      </c>
      <c r="AV232" s="228" t="str">
        <f t="shared" ca="1" si="32"/>
        <v/>
      </c>
      <c r="AW232" s="228" t="str">
        <f t="shared" ca="1" si="32"/>
        <v/>
      </c>
      <c r="AX232" s="228" t="str">
        <f t="shared" ca="1" si="32"/>
        <v/>
      </c>
      <c r="AY232" s="228" t="str">
        <f t="shared" ca="1" si="32"/>
        <v/>
      </c>
      <c r="AZ232" s="230" t="str">
        <f ca="1">IF($FN$237=0,"","!")</f>
        <v/>
      </c>
      <c r="BA232" s="228" t="str">
        <f ca="1">IF(AND($FN$156=1,$BC$198=7),"`",IF(AND($FN$156=1,$BC$198=6),"`",IF(AND($FN$156=1,$BC$198=4),"-","")))</f>
        <v/>
      </c>
      <c r="BB232" s="228" t="str">
        <f ca="1">IF(AND($FN$156=1,$BC$198=7),"`",IF(AND($FN$156=1,$BC$198=6),"`",IF(AND($FN$156=1,$BC$198=4),"-","")))</f>
        <v/>
      </c>
      <c r="BC232" s="230" t="str">
        <f ca="1">IF(AND($FN$156=1,$BC$198=7),"`",IF(AND($FN$156=1,$BC$198=6),"`",IF($FN$237=0,"",",")))</f>
        <v/>
      </c>
      <c r="BD232" s="230" t="str">
        <f ca="1">IF(AND($FN$156=1,$BC$198=5),",",IF(AND($FN$156=1,$BC$198&gt;=3),"`",IF($FN$237=0,"",",")))</f>
        <v/>
      </c>
      <c r="BE232" s="237"/>
      <c r="BF232" s="237"/>
      <c r="BG232" s="237"/>
      <c r="BH232" s="237"/>
      <c r="BI232" s="237"/>
      <c r="BJ232" s="237"/>
      <c r="BK232" s="237"/>
      <c r="BL232" s="230" t="str">
        <f ca="1">IF($FN$237=0,"",":")</f>
        <v/>
      </c>
      <c r="BM232" s="230"/>
      <c r="BN232" s="230"/>
      <c r="BO232" s="230"/>
      <c r="BP232" s="230"/>
      <c r="BQ232" s="230"/>
      <c r="BR232" s="230"/>
      <c r="BS232" s="230"/>
      <c r="BT232" s="230"/>
      <c r="BU232" s="230"/>
      <c r="BV232" s="230"/>
      <c r="BW232" s="230"/>
      <c r="BX232" s="230"/>
      <c r="BY232" s="230"/>
      <c r="BZ232" s="230"/>
      <c r="CA232" s="230"/>
      <c r="CB232" s="230"/>
      <c r="CC232" s="230"/>
      <c r="CD232" s="230"/>
      <c r="CE232" s="197"/>
      <c r="CF232" s="45"/>
      <c r="CG232" s="45"/>
      <c r="CH232" s="45"/>
      <c r="CI232" s="45"/>
      <c r="CJ232" s="45"/>
      <c r="CK232" s="45"/>
      <c r="CL232" s="45"/>
      <c r="CM232" s="45"/>
      <c r="CN232" s="45"/>
      <c r="CO232" s="45"/>
      <c r="CP232" s="45"/>
      <c r="CQ232" s="45"/>
      <c r="CR232" s="45"/>
      <c r="CS232" s="45"/>
      <c r="CT232" s="45"/>
      <c r="CU232" s="45"/>
      <c r="CV232" s="45"/>
      <c r="CW232" s="45"/>
      <c r="CX232" s="45"/>
      <c r="CY232" s="45"/>
      <c r="CZ232" s="45"/>
      <c r="DA232" s="45"/>
      <c r="DB232" s="45"/>
      <c r="DC232" s="45"/>
      <c r="DD232" s="45"/>
      <c r="DE232" s="45"/>
      <c r="DF232" s="45"/>
      <c r="DG232" s="45"/>
      <c r="DH232" s="45"/>
      <c r="DI232" s="45"/>
      <c r="DJ232" s="45"/>
      <c r="DK232" s="45"/>
      <c r="DL232" s="45"/>
      <c r="DM232" s="45"/>
      <c r="DN232" s="45"/>
      <c r="DO232" s="45"/>
      <c r="DP232" s="45"/>
      <c r="DQ232" s="45"/>
      <c r="DR232" s="45"/>
      <c r="DS232" s="45"/>
      <c r="DT232" s="45"/>
      <c r="DU232" s="45"/>
      <c r="DV232" s="45"/>
      <c r="DW232" s="45"/>
      <c r="DX232" s="45"/>
      <c r="DY232" s="45"/>
      <c r="DZ232" s="45"/>
      <c r="EA232" s="45"/>
      <c r="EB232" s="45"/>
      <c r="EC232" s="45"/>
      <c r="ED232" s="45"/>
      <c r="EE232" s="197"/>
      <c r="EF232" s="197"/>
      <c r="EG232" s="197"/>
      <c r="EH232" s="197"/>
      <c r="EI232" s="197"/>
      <c r="EJ232" s="197"/>
      <c r="EK232" s="39"/>
      <c r="EL232" s="39"/>
      <c r="EM232" s="39"/>
      <c r="EN232" s="39"/>
      <c r="EO232" s="39"/>
      <c r="EP232" s="39"/>
      <c r="EQ232" s="39"/>
      <c r="ER232" s="39"/>
      <c r="ES232" s="79"/>
      <c r="ET232" s="79"/>
      <c r="EU232" s="79"/>
      <c r="EV232" s="79"/>
      <c r="EW232" s="79"/>
      <c r="EX232" s="79"/>
      <c r="EY232" s="79"/>
      <c r="EZ232" s="79"/>
      <c r="FA232" s="79"/>
      <c r="FB232" s="79"/>
      <c r="FC232" s="79"/>
      <c r="FD232" s="79"/>
      <c r="FE232" s="79"/>
      <c r="FF232" s="79"/>
      <c r="FG232" s="79"/>
      <c r="FH232" s="79"/>
      <c r="FI232" s="79"/>
      <c r="FJ232" s="79"/>
      <c r="FK232" s="79"/>
      <c r="FL232" s="79"/>
      <c r="FM232" s="47"/>
      <c r="FN232" s="47"/>
      <c r="FO232" s="47"/>
      <c r="FP232" s="47"/>
      <c r="FQ232" s="47"/>
      <c r="FR232" s="47"/>
      <c r="FS232" s="47"/>
      <c r="FT232" s="47"/>
      <c r="FU232" s="47"/>
      <c r="FV232" s="48"/>
      <c r="FW232" s="48"/>
      <c r="FX232" s="48"/>
      <c r="FY232" s="48"/>
      <c r="FZ232" s="48"/>
      <c r="GA232" s="49"/>
      <c r="GB232" s="49" t="e">
        <f ca="1">0.8*GB234</f>
        <v>#VALUE!</v>
      </c>
      <c r="GC232" s="49">
        <f ca="1">0.8*GC234</f>
        <v>0</v>
      </c>
      <c r="GD232" s="49" t="e">
        <f ca="1">0.8*GD234</f>
        <v>#VALUE!</v>
      </c>
      <c r="GE232" s="49"/>
      <c r="GF232" s="49">
        <f t="shared" ca="1" si="23"/>
        <v>0</v>
      </c>
      <c r="GG232" s="49">
        <f t="shared" ca="1" si="24"/>
        <v>0</v>
      </c>
      <c r="GH232" s="49">
        <f t="shared" ca="1" si="25"/>
        <v>0</v>
      </c>
      <c r="GI232" s="49">
        <f ca="1">GI234</f>
        <v>0</v>
      </c>
      <c r="GJ232" s="49">
        <f ca="1">0.8*GJ234</f>
        <v>0</v>
      </c>
      <c r="GK232" s="49">
        <f ca="1">0.8*GK234</f>
        <v>0</v>
      </c>
      <c r="GL232" s="49">
        <f ca="1">GL234</f>
        <v>0</v>
      </c>
      <c r="GM232" s="49">
        <f ca="1">GM234</f>
        <v>0</v>
      </c>
      <c r="GN232" s="49">
        <f ca="1">IF(FN156=0,0,-GD177*GC188^2+GE177*GC188)</f>
        <v>0</v>
      </c>
      <c r="GO232" s="49">
        <f ca="1">IF(FN156=1,GM177*GD232^2+GN177*GD232^1+GG177,0)</f>
        <v>0</v>
      </c>
      <c r="GP232" s="49"/>
      <c r="GQ232" s="49"/>
      <c r="GR232" s="49">
        <f ca="1">GR234</f>
        <v>0</v>
      </c>
      <c r="GS232" s="49">
        <f ca="1">0.8*GS234</f>
        <v>0</v>
      </c>
      <c r="GT232" s="49">
        <f ca="1">IF(FN156=1,GM177*GB232^2+GN177*GB232,0)</f>
        <v>0</v>
      </c>
      <c r="GU232" s="49">
        <f ca="1">GU234</f>
        <v>0</v>
      </c>
      <c r="GV232" s="49">
        <f ca="1">IF(FN156=0,0,IF(FO174=3,GV234,0))</f>
        <v>0</v>
      </c>
      <c r="GW232" s="49">
        <f ca="1">0.8*GW234</f>
        <v>0</v>
      </c>
      <c r="GX232" s="49">
        <f ca="1">IF(FN156=1,0.8*GX234,0)</f>
        <v>0</v>
      </c>
      <c r="GY232" s="49"/>
      <c r="GZ232" s="49"/>
      <c r="HA232" s="49"/>
      <c r="HB232" s="49" t="str">
        <f ca="1">GB182</f>
        <v/>
      </c>
      <c r="HC232" s="49" t="str">
        <f ca="1">GC206</f>
        <v/>
      </c>
      <c r="HD232" s="49"/>
      <c r="HE232" s="49" t="e">
        <f ca="1">MAX(HE181:HE231)</f>
        <v>#VALUE!</v>
      </c>
      <c r="HF232" s="49" t="str">
        <f t="shared" ca="1" si="20"/>
        <v/>
      </c>
      <c r="HG232" s="49"/>
      <c r="HH232" s="49" t="e">
        <f ca="1">MAX(HH181:HH231)</f>
        <v>#VALUE!</v>
      </c>
      <c r="HI232" s="49"/>
      <c r="HJ232" s="49"/>
      <c r="HK232" s="49"/>
      <c r="HL232" s="49"/>
      <c r="HM232" s="49"/>
    </row>
    <row r="233" spans="1:221" ht="3.75" customHeight="1">
      <c r="A233" s="1"/>
      <c r="B233" s="3"/>
      <c r="C233" s="3"/>
      <c r="D233" s="12"/>
      <c r="E233" s="197"/>
      <c r="F233" s="197"/>
      <c r="G233" s="39"/>
      <c r="H233" s="39"/>
      <c r="I233" s="39"/>
      <c r="J233" s="39"/>
      <c r="K233" s="197"/>
      <c r="L233" s="39"/>
      <c r="M233" s="39"/>
      <c r="N233" s="39"/>
      <c r="O233" s="39"/>
      <c r="P233" s="39"/>
      <c r="Q233" s="39"/>
      <c r="R233" s="39"/>
      <c r="S233" s="39"/>
      <c r="T233" s="39"/>
      <c r="U233" s="39"/>
      <c r="V233" s="39"/>
      <c r="W233" s="39"/>
      <c r="X233" s="39"/>
      <c r="Y233" s="39"/>
      <c r="Z233" s="39"/>
      <c r="AA233" s="39"/>
      <c r="AB233" s="39"/>
      <c r="AC233" s="39"/>
      <c r="AD233" s="197"/>
      <c r="AE233" s="197"/>
      <c r="AF233" s="197"/>
      <c r="AG233" s="197"/>
      <c r="AH233" s="197"/>
      <c r="AI233" s="197"/>
      <c r="AJ233" s="197"/>
      <c r="AK233" s="197"/>
      <c r="AL233" s="197"/>
      <c r="AM233" s="126"/>
      <c r="AN233" s="43" t="str">
        <f t="shared" ca="1" si="31"/>
        <v/>
      </c>
      <c r="AO233" s="228" t="str">
        <f t="shared" ref="AO233:AY239" ca="1" si="33">IF(AND($FN$156=1,$BC$198=6),"*",IF(AND($FN$156=1,$BC$198=4),"-",""))</f>
        <v/>
      </c>
      <c r="AP233" s="228" t="str">
        <f t="shared" ca="1" si="33"/>
        <v/>
      </c>
      <c r="AQ233" s="228" t="str">
        <f t="shared" ca="1" si="33"/>
        <v/>
      </c>
      <c r="AR233" s="228" t="str">
        <f t="shared" ca="1" si="33"/>
        <v/>
      </c>
      <c r="AS233" s="228" t="str">
        <f t="shared" ca="1" si="33"/>
        <v/>
      </c>
      <c r="AT233" s="228" t="str">
        <f t="shared" ca="1" si="33"/>
        <v/>
      </c>
      <c r="AU233" s="228" t="str">
        <f t="shared" ca="1" si="33"/>
        <v/>
      </c>
      <c r="AV233" s="228" t="str">
        <f t="shared" ca="1" si="33"/>
        <v/>
      </c>
      <c r="AW233" s="228" t="str">
        <f t="shared" ca="1" si="33"/>
        <v/>
      </c>
      <c r="AX233" s="228" t="str">
        <f t="shared" ca="1" si="33"/>
        <v/>
      </c>
      <c r="AY233" s="228" t="str">
        <f t="shared" ca="1" si="33"/>
        <v/>
      </c>
      <c r="AZ233" s="230" t="str">
        <f ca="1">IF($FN$237=0,"","!")</f>
        <v/>
      </c>
      <c r="BA233" s="228" t="str">
        <f ca="1">IF(AND($FN$156=1,$BC$198=6),"*",IF(AND($FN$156=1,$BC$198=4),"-",""))</f>
        <v/>
      </c>
      <c r="BB233" s="228" t="str">
        <f ca="1">IF(AND($FN$156=1,$BC$198=6),"*",IF(AND($FN$156=1,$BC$198=4),"-",""))</f>
        <v/>
      </c>
      <c r="BC233" s="228" t="str">
        <f ca="1">IF(AND($FN$156=1,$BC$198=6),"*",IF(AND($FN$156=1,$BC$198=4),"-",""))</f>
        <v/>
      </c>
      <c r="BD233" s="228" t="str">
        <f t="shared" ref="BD233:BD239" ca="1" si="34">IF(AND($FN$156=1,$BC$198&gt;=3),"`","")</f>
        <v/>
      </c>
      <c r="BE233" s="230" t="str">
        <f ca="1">IF($FN$237=0,"",",")</f>
        <v/>
      </c>
      <c r="BF233" s="230" t="str">
        <f ca="1">IF($FN$237=0,"",",")</f>
        <v/>
      </c>
      <c r="BG233" s="230" t="str">
        <f ca="1">IF($FN$237=0,"",",")</f>
        <v/>
      </c>
      <c r="BH233" s="237"/>
      <c r="BI233" s="237"/>
      <c r="BJ233" s="237"/>
      <c r="BK233" s="237"/>
      <c r="BL233" s="237"/>
      <c r="BM233" s="230" t="str">
        <f ca="1">IF($FN$237=0,"",":")</f>
        <v/>
      </c>
      <c r="BN233" s="230"/>
      <c r="BO233" s="230"/>
      <c r="BP233" s="230"/>
      <c r="BQ233" s="230"/>
      <c r="BR233" s="230"/>
      <c r="BS233" s="230"/>
      <c r="BT233" s="230"/>
      <c r="BU233" s="230"/>
      <c r="BV233" s="230"/>
      <c r="BW233" s="230"/>
      <c r="BX233" s="230"/>
      <c r="BY233" s="230"/>
      <c r="BZ233" s="230"/>
      <c r="CA233" s="230"/>
      <c r="CB233" s="230"/>
      <c r="CC233" s="230"/>
      <c r="CD233" s="230"/>
      <c r="CE233" s="197"/>
      <c r="CF233" s="45"/>
      <c r="CG233" s="45"/>
      <c r="CH233" s="45"/>
      <c r="CI233" s="45"/>
      <c r="CJ233" s="45"/>
      <c r="CK233" s="45"/>
      <c r="CL233" s="45"/>
      <c r="CM233" s="45"/>
      <c r="CN233" s="45"/>
      <c r="CO233" s="45"/>
      <c r="CP233" s="45"/>
      <c r="CQ233" s="45"/>
      <c r="CR233" s="45"/>
      <c r="CS233" s="45"/>
      <c r="CT233" s="45"/>
      <c r="CU233" s="45"/>
      <c r="CV233" s="45"/>
      <c r="CW233" s="45"/>
      <c r="CX233" s="45"/>
      <c r="CY233" s="45"/>
      <c r="CZ233" s="45"/>
      <c r="DA233" s="45"/>
      <c r="DB233" s="45"/>
      <c r="DC233" s="45"/>
      <c r="DD233" s="45"/>
      <c r="DE233" s="45"/>
      <c r="DF233" s="45"/>
      <c r="DG233" s="45"/>
      <c r="DH233" s="45"/>
      <c r="DI233" s="45"/>
      <c r="DJ233" s="45"/>
      <c r="DK233" s="45"/>
      <c r="DL233" s="45"/>
      <c r="DM233" s="45"/>
      <c r="DN233" s="45"/>
      <c r="DO233" s="45"/>
      <c r="DP233" s="45"/>
      <c r="DQ233" s="45"/>
      <c r="DR233" s="45"/>
      <c r="DS233" s="45"/>
      <c r="DT233" s="45"/>
      <c r="DU233" s="45"/>
      <c r="DV233" s="45"/>
      <c r="DW233" s="45"/>
      <c r="DX233" s="45"/>
      <c r="DY233" s="45"/>
      <c r="DZ233" s="45"/>
      <c r="EA233" s="45"/>
      <c r="EB233" s="45"/>
      <c r="EC233" s="45"/>
      <c r="ED233" s="45"/>
      <c r="EE233" s="197"/>
      <c r="EF233" s="197"/>
      <c r="EG233" s="197"/>
      <c r="EH233" s="197"/>
      <c r="EI233" s="197"/>
      <c r="EJ233" s="197"/>
      <c r="EK233" s="39"/>
      <c r="EL233" s="39"/>
      <c r="EM233" s="39"/>
      <c r="EN233" s="39"/>
      <c r="EO233" s="39"/>
      <c r="EP233" s="39"/>
      <c r="EQ233" s="39"/>
      <c r="ER233" s="39"/>
      <c r="ES233" s="79"/>
      <c r="ET233" s="79"/>
      <c r="EU233" s="79"/>
      <c r="EV233" s="79"/>
      <c r="EW233" s="79"/>
      <c r="EX233" s="79"/>
      <c r="EY233" s="79"/>
      <c r="EZ233" s="79"/>
      <c r="FA233" s="79"/>
      <c r="FB233" s="79"/>
      <c r="FC233" s="79"/>
      <c r="FD233" s="79"/>
      <c r="FE233" s="79"/>
      <c r="FF233" s="79"/>
      <c r="FG233" s="79"/>
      <c r="FH233" s="79"/>
      <c r="FI233" s="79"/>
      <c r="FJ233" s="79"/>
      <c r="FK233" s="79"/>
      <c r="FL233" s="79"/>
      <c r="FM233" s="47"/>
      <c r="FN233" s="47"/>
      <c r="FO233" s="47"/>
      <c r="FP233" s="47"/>
      <c r="FQ233" s="47"/>
      <c r="FR233" s="47"/>
      <c r="FS233" s="47"/>
      <c r="FT233" s="47"/>
      <c r="FU233" s="47"/>
      <c r="FV233" s="48"/>
      <c r="FW233" s="48"/>
      <c r="FX233" s="48"/>
      <c r="FY233" s="48"/>
      <c r="FZ233" s="48"/>
      <c r="GA233" s="49"/>
      <c r="GB233" s="49" t="e">
        <f ca="1">0.9*GB234</f>
        <v>#VALUE!</v>
      </c>
      <c r="GC233" s="49">
        <f ca="1">0.9*GC234</f>
        <v>0</v>
      </c>
      <c r="GD233" s="49" t="e">
        <f ca="1">0.9*GD234</f>
        <v>#VALUE!</v>
      </c>
      <c r="GE233" s="49"/>
      <c r="GF233" s="49">
        <f t="shared" ca="1" si="23"/>
        <v>0</v>
      </c>
      <c r="GG233" s="49">
        <f t="shared" ca="1" si="24"/>
        <v>0</v>
      </c>
      <c r="GH233" s="49">
        <f t="shared" ca="1" si="25"/>
        <v>0</v>
      </c>
      <c r="GI233" s="49">
        <f ca="1">GI234</f>
        <v>0</v>
      </c>
      <c r="GJ233" s="49">
        <f ca="1">0.9*GJ234</f>
        <v>0</v>
      </c>
      <c r="GK233" s="49">
        <f ca="1">0.9*GK234</f>
        <v>0</v>
      </c>
      <c r="GL233" s="49">
        <f ca="1">GL234</f>
        <v>0</v>
      </c>
      <c r="GM233" s="49">
        <f ca="1">GM234</f>
        <v>0</v>
      </c>
      <c r="GN233" s="49">
        <f ca="1">IF(FN156=0,0,-GD177*GC189^2+GE177*GC189)</f>
        <v>0</v>
      </c>
      <c r="GO233" s="49">
        <f ca="1">IF(FN156=1,GM177*GD233^2+GN177*GD233^1+GG177,0)</f>
        <v>0</v>
      </c>
      <c r="GP233" s="49"/>
      <c r="GQ233" s="49"/>
      <c r="GR233" s="49">
        <f ca="1">GR234</f>
        <v>0</v>
      </c>
      <c r="GS233" s="49">
        <f ca="1">0.9*GS234</f>
        <v>0</v>
      </c>
      <c r="GT233" s="49">
        <f ca="1">IF(FN156=1,GM177*GB233^2+GN177*GB233,0)</f>
        <v>0</v>
      </c>
      <c r="GU233" s="49">
        <f ca="1">GU234</f>
        <v>0</v>
      </c>
      <c r="GV233" s="49">
        <f ca="1">IF(FN156=0,0,IF(FO174=3,GV234,0))</f>
        <v>0</v>
      </c>
      <c r="GW233" s="49">
        <f ca="1">0.9*GW234</f>
        <v>0</v>
      </c>
      <c r="GX233" s="49">
        <f ca="1">IF(FN156=1,0.9*GX234,0)</f>
        <v>0</v>
      </c>
      <c r="GY233" s="49"/>
      <c r="GZ233" s="49"/>
      <c r="HA233" s="49"/>
      <c r="HB233" s="49"/>
      <c r="HC233" s="49"/>
      <c r="HD233" s="49"/>
      <c r="HE233" s="49"/>
      <c r="HF233" s="49"/>
      <c r="HG233" s="49"/>
      <c r="HH233" s="49"/>
      <c r="HI233" s="49"/>
      <c r="HJ233" s="49"/>
      <c r="HK233" s="49"/>
      <c r="HL233" s="49"/>
      <c r="HM233" s="49"/>
    </row>
    <row r="234" spans="1:221" ht="3.75" customHeight="1">
      <c r="A234" s="1"/>
      <c r="B234" s="3"/>
      <c r="C234" s="3"/>
      <c r="D234" s="12"/>
      <c r="E234" s="197"/>
      <c r="F234" s="197"/>
      <c r="G234" s="39"/>
      <c r="H234" s="39"/>
      <c r="I234" s="39"/>
      <c r="J234" s="39"/>
      <c r="K234" s="197"/>
      <c r="L234" s="39"/>
      <c r="M234" s="39"/>
      <c r="N234" s="39"/>
      <c r="O234" s="39"/>
      <c r="P234" s="39"/>
      <c r="Q234" s="39"/>
      <c r="R234" s="39"/>
      <c r="S234" s="39"/>
      <c r="T234" s="39"/>
      <c r="U234" s="39"/>
      <c r="V234" s="39"/>
      <c r="W234" s="39"/>
      <c r="X234" s="39"/>
      <c r="Y234" s="39"/>
      <c r="Z234" s="39"/>
      <c r="AA234" s="39"/>
      <c r="AB234" s="39"/>
      <c r="AC234" s="39"/>
      <c r="AD234" s="197"/>
      <c r="AE234" s="197"/>
      <c r="AF234" s="197"/>
      <c r="AG234" s="197"/>
      <c r="AH234" s="197"/>
      <c r="AI234" s="197"/>
      <c r="AJ234" s="197"/>
      <c r="AK234" s="197"/>
      <c r="AL234" s="197"/>
      <c r="AM234" s="126"/>
      <c r="AN234" s="43" t="str">
        <f t="shared" ca="1" si="31"/>
        <v/>
      </c>
      <c r="AO234" s="228" t="str">
        <f t="shared" ca="1" si="33"/>
        <v/>
      </c>
      <c r="AP234" s="228" t="str">
        <f t="shared" ca="1" si="33"/>
        <v/>
      </c>
      <c r="AQ234" s="228" t="str">
        <f t="shared" ca="1" si="33"/>
        <v/>
      </c>
      <c r="AR234" s="228" t="str">
        <f t="shared" ca="1" si="33"/>
        <v/>
      </c>
      <c r="AS234" s="228" t="str">
        <f t="shared" ca="1" si="33"/>
        <v/>
      </c>
      <c r="AT234" s="228" t="str">
        <f t="shared" ca="1" si="33"/>
        <v/>
      </c>
      <c r="AU234" s="228" t="str">
        <f t="shared" ca="1" si="33"/>
        <v/>
      </c>
      <c r="AV234" s="228" t="str">
        <f t="shared" ca="1" si="33"/>
        <v/>
      </c>
      <c r="AW234" s="228" t="str">
        <f t="shared" ca="1" si="33"/>
        <v/>
      </c>
      <c r="AX234" s="228" t="str">
        <f t="shared" ca="1" si="33"/>
        <v/>
      </c>
      <c r="AY234" s="228" t="str">
        <f t="shared" ca="1" si="33"/>
        <v/>
      </c>
      <c r="AZ234" s="228" t="str">
        <f t="shared" ref="AZ234:AZ239" ca="1" si="35">IF(AND($FN$156=1,$BC$198=6),"*",IF(AND($FN$156=1,$BC$198=4),"-",""))</f>
        <v/>
      </c>
      <c r="BA234" s="230" t="str">
        <f ca="1">IF($FN$237=0,"","!")</f>
        <v/>
      </c>
      <c r="BB234" s="228" t="str">
        <f ca="1">IF(AND($FN$156=1,$BC$198=6),"*",IF(AND($FN$156=1,$BC$198=4),"-",""))</f>
        <v/>
      </c>
      <c r="BC234" s="228" t="str">
        <f ca="1">IF(AND($FN$156=1,$BC$198=6),"*",IF(AND($FN$156=1,$BC$198=4),"-",""))</f>
        <v/>
      </c>
      <c r="BD234" s="228" t="str">
        <f t="shared" ca="1" si="34"/>
        <v/>
      </c>
      <c r="BE234" s="237"/>
      <c r="BF234" s="237"/>
      <c r="BG234" s="230"/>
      <c r="BH234" s="230" t="str">
        <f ca="1">IF($FN$237=0,"",",")</f>
        <v/>
      </c>
      <c r="BI234" s="230" t="str">
        <f ca="1">IF($FN$237=0,"",",")</f>
        <v/>
      </c>
      <c r="BJ234" s="230" t="str">
        <f ca="1">IF($FN$237=0,"",",")</f>
        <v/>
      </c>
      <c r="BK234" s="230" t="str">
        <f ca="1">IF($FN$237=0,"",",")</f>
        <v/>
      </c>
      <c r="BL234" s="237"/>
      <c r="BM234" s="237"/>
      <c r="BN234" s="230" t="str">
        <f ca="1">IF($FN$237=0,"",":")</f>
        <v/>
      </c>
      <c r="BO234" s="230"/>
      <c r="BP234" s="230"/>
      <c r="BQ234" s="230"/>
      <c r="BR234" s="230"/>
      <c r="BS234" s="230"/>
      <c r="BT234" s="231"/>
      <c r="BU234" s="231"/>
      <c r="BV234" s="231"/>
      <c r="BW234" s="231"/>
      <c r="BX234" s="231"/>
      <c r="BY234" s="231"/>
      <c r="BZ234" s="231"/>
      <c r="CA234" s="231"/>
      <c r="CB234" s="231"/>
      <c r="CC234" s="231"/>
      <c r="CD234" s="231"/>
      <c r="CE234" s="126"/>
      <c r="CF234" s="45"/>
      <c r="CG234" s="45"/>
      <c r="CH234" s="45"/>
      <c r="CI234" s="45"/>
      <c r="CJ234" s="45"/>
      <c r="CK234" s="45"/>
      <c r="CL234" s="45"/>
      <c r="CM234" s="45"/>
      <c r="CN234" s="45"/>
      <c r="CO234" s="45"/>
      <c r="CP234" s="45"/>
      <c r="CQ234" s="45"/>
      <c r="CR234" s="45"/>
      <c r="CS234" s="45"/>
      <c r="CT234" s="45"/>
      <c r="CU234" s="45"/>
      <c r="CV234" s="45"/>
      <c r="CW234" s="45"/>
      <c r="CX234" s="45"/>
      <c r="CY234" s="45"/>
      <c r="CZ234" s="45"/>
      <c r="DA234" s="45"/>
      <c r="DB234" s="45"/>
      <c r="DC234" s="45"/>
      <c r="DD234" s="45"/>
      <c r="DE234" s="45"/>
      <c r="DF234" s="45"/>
      <c r="DG234" s="45"/>
      <c r="DH234" s="45"/>
      <c r="DI234" s="45"/>
      <c r="DJ234" s="45"/>
      <c r="DK234" s="45"/>
      <c r="DL234" s="45"/>
      <c r="DM234" s="45"/>
      <c r="DN234" s="45"/>
      <c r="DO234" s="45"/>
      <c r="DP234" s="45"/>
      <c r="DQ234" s="45"/>
      <c r="DR234" s="45"/>
      <c r="DS234" s="45"/>
      <c r="DT234" s="45"/>
      <c r="DU234" s="45"/>
      <c r="DV234" s="45"/>
      <c r="DW234" s="45"/>
      <c r="DX234" s="45"/>
      <c r="DY234" s="45"/>
      <c r="DZ234" s="45"/>
      <c r="EA234" s="45"/>
      <c r="EB234" s="45"/>
      <c r="EC234" s="45"/>
      <c r="ED234" s="45"/>
      <c r="EE234" s="197"/>
      <c r="EF234" s="197"/>
      <c r="EG234" s="197"/>
      <c r="EH234" s="197"/>
      <c r="EI234" s="197"/>
      <c r="EJ234" s="197"/>
      <c r="EK234" s="39"/>
      <c r="EL234" s="39"/>
      <c r="EM234" s="39"/>
      <c r="EN234" s="39"/>
      <c r="EO234" s="39"/>
      <c r="EP234" s="39"/>
      <c r="EQ234" s="39"/>
      <c r="ER234" s="39"/>
      <c r="ES234" s="79"/>
      <c r="ET234" s="79"/>
      <c r="EU234" s="79"/>
      <c r="EV234" s="79"/>
      <c r="EW234" s="79"/>
      <c r="EX234" s="79"/>
      <c r="EY234" s="79"/>
      <c r="EZ234" s="79"/>
      <c r="FA234" s="79"/>
      <c r="FB234" s="79"/>
      <c r="FC234" s="79"/>
      <c r="FD234" s="79"/>
      <c r="FE234" s="79"/>
      <c r="FF234" s="79"/>
      <c r="FG234" s="79"/>
      <c r="FH234" s="79"/>
      <c r="FI234" s="79"/>
      <c r="FJ234" s="79"/>
      <c r="FK234" s="79"/>
      <c r="FL234" s="79"/>
      <c r="FM234" s="47"/>
      <c r="FN234" s="47"/>
      <c r="FO234" s="47"/>
      <c r="FP234" s="47"/>
      <c r="FQ234" s="47"/>
      <c r="FR234" s="47"/>
      <c r="FS234" s="47"/>
      <c r="FT234" s="47"/>
      <c r="FU234" s="47"/>
      <c r="FV234" s="48"/>
      <c r="FW234" s="48"/>
      <c r="FX234" s="48"/>
      <c r="FY234" s="48"/>
      <c r="FZ234" s="48"/>
      <c r="GA234" s="49"/>
      <c r="GB234" s="49" t="e">
        <f ca="1">IF(GA235&lt;GD167,GA235,GD167)</f>
        <v>#VALUE!</v>
      </c>
      <c r="GC234" s="49">
        <f ca="1">IF(FN156=0,0,IF(FO174=1,GD167,IF(FO174=2,GD167,0)))</f>
        <v>0</v>
      </c>
      <c r="GD234" s="49" t="e">
        <f ca="1">IF(GD235&lt;GD167,GD235,GD167)</f>
        <v>#VALUE!</v>
      </c>
      <c r="GE234" s="49"/>
      <c r="GF234" s="49">
        <f t="shared" ca="1" si="23"/>
        <v>0</v>
      </c>
      <c r="GG234" s="49">
        <f t="shared" ca="1" si="24"/>
        <v>0</v>
      </c>
      <c r="GH234" s="49">
        <f t="shared" ca="1" si="25"/>
        <v>0</v>
      </c>
      <c r="GI234" s="49">
        <f ca="1">IF(FN156=0,0,IF(FO174=2,GC185,IF(FO174=1,GR168,IF(FO174=3,GR178,0))))</f>
        <v>0</v>
      </c>
      <c r="GJ234" s="49">
        <f ca="1">IF(OR(FN174=0,FN156=0),0,-GD177*GI234+GE177)</f>
        <v>0</v>
      </c>
      <c r="GK234" s="49">
        <f ca="1">IF(FN156=0,0,IF(FO174=1,GI234,IF(FO174=2,GI234,0)))</f>
        <v>0</v>
      </c>
      <c r="GL234" s="49">
        <f ca="1">IF(FN156=0,0,IF(FO174=1,GJ234,IF(FO174=2,GJ234,0)))</f>
        <v>0</v>
      </c>
      <c r="GM234" s="49">
        <f ca="1">IF(FN156=0,0,IF(FO174=1,GM177*GK234^1+GN177+GG177/GK234,IF(FO174=2,GM177*GK234^1+GN177+GG177/GK234,0)))</f>
        <v>0</v>
      </c>
      <c r="GN234" s="49">
        <f ca="1">IF(FN156=0,0,-GD177*GC190^2+GE177*GC190)</f>
        <v>0</v>
      </c>
      <c r="GO234" s="49">
        <f ca="1">IF(FN156=1,GM177*GD234^2+GN177*GD234^1+GG177,0)</f>
        <v>0</v>
      </c>
      <c r="GP234" s="49"/>
      <c r="GQ234" s="49"/>
      <c r="GR234" s="49">
        <f ca="1">IF(FN156=0,0,IF(FO174=1,GI234,IF(FO174=2,GI234,IF(FO174=3,GI234,0))))</f>
        <v>0</v>
      </c>
      <c r="GS234" s="49">
        <f ca="1">IF(OR(FN174=0,FN156=0),0,-GD177*GR234^2+GE177*GR234)</f>
        <v>0</v>
      </c>
      <c r="GT234" s="49">
        <f ca="1">IF(FN156=1,GM177*GB234^2+GN177*GB234,0)</f>
        <v>0</v>
      </c>
      <c r="GU234" s="49">
        <f ca="1">IF(FN156=0,0,IF(FO174=1,GM177*GR234^1+GN177,IF(FO174=2,GM177*GR234^1+GN177,0)))</f>
        <v>0</v>
      </c>
      <c r="GV234" s="49">
        <f ca="1">IF(FN156=0,0,IF(FO174=3,GS178,0))</f>
        <v>0</v>
      </c>
      <c r="GW234" s="49">
        <f ca="1">IF(FN156=0,0,IF(FO174=3,GM177*GV234^2+GN177*GV234^1+GG177,0))</f>
        <v>0</v>
      </c>
      <c r="GX234" s="49">
        <f ca="1">IF(FN156=0,0,IF(FO174=3,GM177*GV234^1+GN177+GG177/GV234,0))</f>
        <v>0</v>
      </c>
      <c r="GY234" s="49"/>
      <c r="GZ234" s="49"/>
      <c r="HA234" s="49"/>
      <c r="HB234" s="49"/>
      <c r="HC234" s="49"/>
      <c r="HD234" s="49"/>
      <c r="HE234" s="49"/>
      <c r="HF234" s="49"/>
      <c r="HG234" s="49"/>
      <c r="HH234" s="49"/>
      <c r="HI234" s="49"/>
      <c r="HJ234" s="49"/>
      <c r="HK234" s="49"/>
      <c r="HL234" s="49"/>
      <c r="HM234" s="49"/>
    </row>
    <row r="235" spans="1:221" ht="3.75" customHeight="1">
      <c r="A235" s="1"/>
      <c r="B235" s="3"/>
      <c r="C235" s="3"/>
      <c r="D235" s="12"/>
      <c r="E235" s="197"/>
      <c r="F235" s="197"/>
      <c r="G235" s="39"/>
      <c r="H235" s="39"/>
      <c r="I235" s="39"/>
      <c r="J235" s="39"/>
      <c r="K235" s="197"/>
      <c r="L235" s="39"/>
      <c r="M235" s="39"/>
      <c r="N235" s="39"/>
      <c r="O235" s="39"/>
      <c r="P235" s="39"/>
      <c r="Q235" s="39"/>
      <c r="R235" s="39"/>
      <c r="S235" s="39"/>
      <c r="T235" s="39"/>
      <c r="U235" s="39"/>
      <c r="V235" s="39"/>
      <c r="W235" s="39"/>
      <c r="X235" s="39"/>
      <c r="Y235" s="39"/>
      <c r="Z235" s="39"/>
      <c r="AA235" s="39"/>
      <c r="AB235" s="39"/>
      <c r="AC235" s="39"/>
      <c r="AD235" s="197"/>
      <c r="AE235" s="197"/>
      <c r="AF235" s="197"/>
      <c r="AG235" s="197"/>
      <c r="AH235" s="197"/>
      <c r="AI235" s="197"/>
      <c r="AJ235" s="197"/>
      <c r="AK235" s="197"/>
      <c r="AL235" s="197"/>
      <c r="AM235" s="126"/>
      <c r="AN235" s="43" t="str">
        <f t="shared" ca="1" si="31"/>
        <v/>
      </c>
      <c r="AO235" s="228" t="str">
        <f t="shared" ca="1" si="33"/>
        <v/>
      </c>
      <c r="AP235" s="228" t="str">
        <f t="shared" ca="1" si="33"/>
        <v/>
      </c>
      <c r="AQ235" s="228" t="str">
        <f t="shared" ca="1" si="33"/>
        <v/>
      </c>
      <c r="AR235" s="228" t="str">
        <f t="shared" ca="1" si="33"/>
        <v/>
      </c>
      <c r="AS235" s="228" t="str">
        <f t="shared" ca="1" si="33"/>
        <v/>
      </c>
      <c r="AT235" s="228" t="str">
        <f t="shared" ca="1" si="33"/>
        <v/>
      </c>
      <c r="AU235" s="228" t="str">
        <f t="shared" ca="1" si="33"/>
        <v/>
      </c>
      <c r="AV235" s="228" t="str">
        <f t="shared" ca="1" si="33"/>
        <v/>
      </c>
      <c r="AW235" s="228" t="str">
        <f t="shared" ca="1" si="33"/>
        <v/>
      </c>
      <c r="AX235" s="228" t="str">
        <f t="shared" ca="1" si="33"/>
        <v/>
      </c>
      <c r="AY235" s="228" t="str">
        <f t="shared" ca="1" si="33"/>
        <v/>
      </c>
      <c r="AZ235" s="228" t="str">
        <f t="shared" ca="1" si="35"/>
        <v/>
      </c>
      <c r="BA235" s="230" t="str">
        <f ca="1">IF($FN$237=0,"","!")</f>
        <v/>
      </c>
      <c r="BB235" s="228" t="str">
        <f ca="1">IF(AND($FN$156=1,$BC$198=6),"*",IF(AND($FN$156=1,$BC$198=4),"-",""))</f>
        <v/>
      </c>
      <c r="BC235" s="228" t="str">
        <f ca="1">IF(AND($FN$156=1,$BC$198=6),"*",IF(AND($FN$156=1,$BC$198=4),"-",""))</f>
        <v/>
      </c>
      <c r="BD235" s="228" t="str">
        <f t="shared" ca="1" si="34"/>
        <v/>
      </c>
      <c r="BE235" s="237"/>
      <c r="BF235" s="228" t="str">
        <f ca="1">IF(AND($FN$156=1,$BC$198=5),"`","")</f>
        <v/>
      </c>
      <c r="BG235" s="228" t="str">
        <f ca="1">IF(AND($FN$156=1,$BC$198=5),"`","")</f>
        <v/>
      </c>
      <c r="BH235" s="228" t="str">
        <f ca="1">IF(AND($FN$156=1,$BC$198=5),"`","")</f>
        <v/>
      </c>
      <c r="BI235" s="237"/>
      <c r="BJ235" s="237"/>
      <c r="BK235" s="237"/>
      <c r="BL235" s="230" t="str">
        <f ca="1">IF($FN$237=0,"",",")</f>
        <v/>
      </c>
      <c r="BM235" s="230" t="str">
        <f ca="1">IF($FN$237=0,"",",")</f>
        <v/>
      </c>
      <c r="BN235" s="230" t="str">
        <f ca="1">IF($FN$237=0,"",",")</f>
        <v/>
      </c>
      <c r="BO235" s="230" t="str">
        <f ca="1">IF($FN$237=0,"",":")</f>
        <v/>
      </c>
      <c r="BP235" s="230" t="str">
        <f ca="1">IF($FN$237=0,"",",")</f>
        <v/>
      </c>
      <c r="BQ235" s="230" t="str">
        <f ca="1">IF($FN$237=0,"",",")</f>
        <v/>
      </c>
      <c r="BR235" s="230"/>
      <c r="BS235" s="230"/>
      <c r="BT235" s="231"/>
      <c r="BU235" s="231"/>
      <c r="BV235" s="231"/>
      <c r="BW235" s="231"/>
      <c r="BX235" s="231"/>
      <c r="BY235" s="231"/>
      <c r="BZ235" s="231"/>
      <c r="CA235" s="231"/>
      <c r="CB235" s="231"/>
      <c r="CC235" s="231"/>
      <c r="CD235" s="231"/>
      <c r="CE235" s="126"/>
      <c r="CF235" s="45"/>
      <c r="CG235" s="45"/>
      <c r="CH235" s="45"/>
      <c r="CI235" s="45"/>
      <c r="CJ235" s="45"/>
      <c r="CK235" s="45"/>
      <c r="CL235" s="45"/>
      <c r="CM235" s="45"/>
      <c r="CN235" s="45"/>
      <c r="CO235" s="45"/>
      <c r="CP235" s="45"/>
      <c r="CQ235" s="45"/>
      <c r="CR235" s="45"/>
      <c r="CS235" s="45"/>
      <c r="CT235" s="45"/>
      <c r="CU235" s="45"/>
      <c r="CV235" s="45"/>
      <c r="CW235" s="45"/>
      <c r="CX235" s="45"/>
      <c r="CY235" s="45"/>
      <c r="CZ235" s="45"/>
      <c r="DA235" s="45"/>
      <c r="DB235" s="45"/>
      <c r="DC235" s="45"/>
      <c r="DD235" s="45"/>
      <c r="DE235" s="45"/>
      <c r="DF235" s="45"/>
      <c r="DG235" s="45"/>
      <c r="DH235" s="45"/>
      <c r="DI235" s="45"/>
      <c r="DJ235" s="45"/>
      <c r="DK235" s="45"/>
      <c r="DL235" s="45"/>
      <c r="DM235" s="45"/>
      <c r="DN235" s="45"/>
      <c r="DO235" s="45"/>
      <c r="DP235" s="45"/>
      <c r="DQ235" s="45"/>
      <c r="DR235" s="45"/>
      <c r="DS235" s="45"/>
      <c r="DT235" s="45"/>
      <c r="DU235" s="45"/>
      <c r="DV235" s="45"/>
      <c r="DW235" s="45"/>
      <c r="DX235" s="45"/>
      <c r="DY235" s="45"/>
      <c r="DZ235" s="45"/>
      <c r="EA235" s="45"/>
      <c r="EB235" s="45"/>
      <c r="EC235" s="45"/>
      <c r="ED235" s="45"/>
      <c r="EE235" s="197"/>
      <c r="EF235" s="197"/>
      <c r="EG235" s="197"/>
      <c r="EH235" s="197"/>
      <c r="EI235" s="197"/>
      <c r="EJ235" s="197"/>
      <c r="EK235" s="39"/>
      <c r="EL235" s="39"/>
      <c r="EM235" s="39"/>
      <c r="EN235" s="39"/>
      <c r="EO235" s="39"/>
      <c r="EP235" s="39"/>
      <c r="EQ235" s="39"/>
      <c r="ER235" s="39"/>
      <c r="ES235" s="79"/>
      <c r="ET235" s="79"/>
      <c r="EU235" s="79"/>
      <c r="EV235" s="79"/>
      <c r="EW235" s="79"/>
      <c r="EX235" s="79"/>
      <c r="EY235" s="79"/>
      <c r="EZ235" s="79"/>
      <c r="FA235" s="79"/>
      <c r="FB235" s="79"/>
      <c r="FC235" s="79"/>
      <c r="FD235" s="79"/>
      <c r="FE235" s="79"/>
      <c r="FF235" s="79"/>
      <c r="FG235" s="79"/>
      <c r="FH235" s="79"/>
      <c r="FI235" s="79"/>
      <c r="FJ235" s="79"/>
      <c r="FK235" s="79"/>
      <c r="FL235" s="79"/>
      <c r="FM235" s="47"/>
      <c r="FN235" s="47"/>
      <c r="FO235" s="47"/>
      <c r="FP235" s="47"/>
      <c r="FQ235" s="47"/>
      <c r="FR235" s="47"/>
      <c r="FS235" s="47"/>
      <c r="FT235" s="47"/>
      <c r="FU235" s="47"/>
      <c r="FV235" s="48"/>
      <c r="FW235" s="48"/>
      <c r="FX235" s="48"/>
      <c r="FY235" s="48"/>
      <c r="FZ235" s="48"/>
      <c r="GA235" s="49" t="e">
        <f ca="1">-(GA226-(GA226^2-4*GA225*GA227)^0.5)/(2*GA225)</f>
        <v>#VALUE!</v>
      </c>
      <c r="GB235" s="49" t="e">
        <f ca="1">-(GD237-(GD237^2-4*GD236*GB237)^0.5)/(2*GD236)</f>
        <v>#VALUE!</v>
      </c>
      <c r="GC235" s="49"/>
      <c r="GD235" s="49" t="e">
        <f ca="1">-(GD237-(GD237^2-4*GD236*GE237)^0.5)/(2*GD236)</f>
        <v>#VALUE!</v>
      </c>
      <c r="GE235" s="49"/>
      <c r="GF235" s="49"/>
      <c r="GG235" s="49"/>
      <c r="GH235" s="49"/>
      <c r="GI235" s="49"/>
      <c r="GJ235" s="49"/>
      <c r="GK235" s="49"/>
      <c r="GL235" s="49"/>
      <c r="GM235" s="49">
        <v>4</v>
      </c>
      <c r="GN235" s="49"/>
      <c r="GO235" s="49"/>
      <c r="GP235" s="49"/>
      <c r="GQ235" s="49"/>
      <c r="GR235" s="49"/>
      <c r="GS235" s="49"/>
      <c r="GT235" s="49"/>
      <c r="GU235" s="49"/>
      <c r="GV235" s="49"/>
      <c r="GW235" s="49"/>
      <c r="GX235" s="49"/>
      <c r="GY235" s="49"/>
      <c r="GZ235" s="49"/>
      <c r="HA235" s="49"/>
      <c r="HB235" s="49"/>
      <c r="HC235" s="49"/>
      <c r="HD235" s="49"/>
      <c r="HE235" s="49"/>
      <c r="HF235" s="49"/>
      <c r="HG235" s="49"/>
      <c r="HH235" s="49"/>
      <c r="HI235" s="49"/>
      <c r="HJ235" s="49"/>
      <c r="HK235" s="49"/>
      <c r="HL235" s="49"/>
      <c r="HM235" s="49"/>
    </row>
    <row r="236" spans="1:221" ht="3.75" customHeight="1">
      <c r="A236" s="1"/>
      <c r="B236" s="3"/>
      <c r="C236" s="3"/>
      <c r="D236" s="12"/>
      <c r="E236" s="197"/>
      <c r="F236" s="197"/>
      <c r="G236" s="39"/>
      <c r="H236" s="39"/>
      <c r="I236" s="39"/>
      <c r="J236" s="39"/>
      <c r="K236" s="197"/>
      <c r="L236" s="39"/>
      <c r="M236" s="39"/>
      <c r="N236" s="39"/>
      <c r="O236" s="39"/>
      <c r="P236" s="39"/>
      <c r="Q236" s="39"/>
      <c r="R236" s="39"/>
      <c r="S236" s="39"/>
      <c r="T236" s="39"/>
      <c r="U236" s="39"/>
      <c r="V236" s="39"/>
      <c r="W236" s="39"/>
      <c r="X236" s="39"/>
      <c r="Y236" s="39"/>
      <c r="Z236" s="39"/>
      <c r="AA236" s="39"/>
      <c r="AB236" s="39"/>
      <c r="AC236" s="39"/>
      <c r="AD236" s="197"/>
      <c r="AE236" s="197"/>
      <c r="AF236" s="197"/>
      <c r="AG236" s="197"/>
      <c r="AH236" s="197"/>
      <c r="AI236" s="197"/>
      <c r="AJ236" s="197"/>
      <c r="AK236" s="197"/>
      <c r="AL236" s="197"/>
      <c r="AM236" s="126"/>
      <c r="AN236" s="43" t="str">
        <f t="shared" ca="1" si="31"/>
        <v/>
      </c>
      <c r="AO236" s="228" t="str">
        <f t="shared" ca="1" si="33"/>
        <v/>
      </c>
      <c r="AP236" s="228" t="str">
        <f t="shared" ca="1" si="33"/>
        <v/>
      </c>
      <c r="AQ236" s="228" t="str">
        <f t="shared" ca="1" si="33"/>
        <v/>
      </c>
      <c r="AR236" s="228" t="str">
        <f t="shared" ca="1" si="33"/>
        <v/>
      </c>
      <c r="AS236" s="228" t="str">
        <f t="shared" ca="1" si="33"/>
        <v/>
      </c>
      <c r="AT236" s="228" t="str">
        <f t="shared" ca="1" si="33"/>
        <v/>
      </c>
      <c r="AU236" s="228" t="str">
        <f t="shared" ca="1" si="33"/>
        <v/>
      </c>
      <c r="AV236" s="228" t="str">
        <f t="shared" ca="1" si="33"/>
        <v/>
      </c>
      <c r="AW236" s="228" t="str">
        <f t="shared" ca="1" si="33"/>
        <v/>
      </c>
      <c r="AX236" s="228" t="str">
        <f t="shared" ca="1" si="33"/>
        <v/>
      </c>
      <c r="AY236" s="228" t="str">
        <f t="shared" ca="1" si="33"/>
        <v/>
      </c>
      <c r="AZ236" s="228" t="str">
        <f t="shared" ca="1" si="35"/>
        <v/>
      </c>
      <c r="BA236" s="228" t="str">
        <f ca="1">IF(AND($FN$156=1,$BC$198=6),"*",IF(AND($FN$156=1,$BC$198=4),"-",""))</f>
        <v/>
      </c>
      <c r="BB236" s="230" t="str">
        <f ca="1">IF($FN$237=0,"","!")</f>
        <v/>
      </c>
      <c r="BC236" s="228" t="str">
        <f ca="1">IF(AND($FN$156=1,$BC$198=6),"*",IF(AND($FN$156=1,$BC$198=4),"-",""))</f>
        <v/>
      </c>
      <c r="BD236" s="228" t="str">
        <f t="shared" ca="1" si="34"/>
        <v/>
      </c>
      <c r="BE236" s="237"/>
      <c r="BF236" s="228" t="str">
        <f ca="1">IF(AND($FN$156=1,$BC$198=5),"`","")</f>
        <v/>
      </c>
      <c r="BG236" s="228" t="str">
        <f ca="1">IF(AND($FN$156=1,$BC$198=5),"`","")</f>
        <v/>
      </c>
      <c r="BH236" s="237"/>
      <c r="BI236" s="237"/>
      <c r="BJ236" s="237"/>
      <c r="BK236" s="237"/>
      <c r="BL236" s="237"/>
      <c r="BM236" s="237"/>
      <c r="BN236" s="237"/>
      <c r="BO236" s="237"/>
      <c r="BP236" s="230" t="str">
        <f ca="1">IF($FN$237=0,"",":")</f>
        <v/>
      </c>
      <c r="BQ236" s="230"/>
      <c r="BR236" s="230" t="str">
        <f t="shared" ref="BR236:BW236" ca="1" si="36">IF($FN$237=0,"",",")</f>
        <v/>
      </c>
      <c r="BS236" s="230" t="str">
        <f t="shared" ca="1" si="36"/>
        <v/>
      </c>
      <c r="BT236" s="230" t="str">
        <f t="shared" ca="1" si="36"/>
        <v/>
      </c>
      <c r="BU236" s="230" t="str">
        <f t="shared" ca="1" si="36"/>
        <v/>
      </c>
      <c r="BV236" s="230" t="str">
        <f t="shared" ca="1" si="36"/>
        <v/>
      </c>
      <c r="BW236" s="230" t="str">
        <f t="shared" ca="1" si="36"/>
        <v/>
      </c>
      <c r="BX236" s="230"/>
      <c r="BY236" s="230"/>
      <c r="BZ236" s="230"/>
      <c r="CA236" s="230"/>
      <c r="CB236" s="230"/>
      <c r="CC236" s="231"/>
      <c r="CD236" s="231"/>
      <c r="CE236" s="126"/>
      <c r="CF236" s="45"/>
      <c r="CG236" s="45"/>
      <c r="CH236" s="45"/>
      <c r="CI236" s="45"/>
      <c r="CJ236" s="45"/>
      <c r="CK236" s="45"/>
      <c r="CL236" s="45"/>
      <c r="CM236" s="45"/>
      <c r="CN236" s="45"/>
      <c r="CO236" s="45"/>
      <c r="CP236" s="45"/>
      <c r="CQ236" s="45"/>
      <c r="CR236" s="45"/>
      <c r="CS236" s="45"/>
      <c r="CT236" s="45"/>
      <c r="CU236" s="45"/>
      <c r="CV236" s="45"/>
      <c r="CW236" s="45"/>
      <c r="CX236" s="45"/>
      <c r="CY236" s="45"/>
      <c r="CZ236" s="45"/>
      <c r="DA236" s="45"/>
      <c r="DB236" s="45"/>
      <c r="DC236" s="45"/>
      <c r="DD236" s="45"/>
      <c r="DE236" s="45"/>
      <c r="DF236" s="45"/>
      <c r="DG236" s="45"/>
      <c r="DH236" s="45"/>
      <c r="DI236" s="45"/>
      <c r="DJ236" s="45"/>
      <c r="DK236" s="45"/>
      <c r="DL236" s="45"/>
      <c r="DM236" s="45"/>
      <c r="DN236" s="45"/>
      <c r="DO236" s="45"/>
      <c r="DP236" s="45"/>
      <c r="DQ236" s="45"/>
      <c r="DR236" s="45"/>
      <c r="DS236" s="45"/>
      <c r="DT236" s="45"/>
      <c r="DU236" s="45"/>
      <c r="DV236" s="45"/>
      <c r="DW236" s="45"/>
      <c r="DX236" s="45"/>
      <c r="DY236" s="45"/>
      <c r="DZ236" s="45"/>
      <c r="EA236" s="45"/>
      <c r="EB236" s="45"/>
      <c r="EC236" s="45"/>
      <c r="ED236" s="45"/>
      <c r="EE236" s="197"/>
      <c r="EF236" s="197"/>
      <c r="EG236" s="197"/>
      <c r="EH236" s="197"/>
      <c r="EI236" s="197"/>
      <c r="EJ236" s="197"/>
      <c r="EK236" s="39"/>
      <c r="EL236" s="39"/>
      <c r="EM236" s="39"/>
      <c r="EN236" s="39"/>
      <c r="EO236" s="39"/>
      <c r="EP236" s="39"/>
      <c r="EQ236" s="39"/>
      <c r="ER236" s="39"/>
      <c r="ES236" s="79"/>
      <c r="ET236" s="79"/>
      <c r="EU236" s="79"/>
      <c r="EV236" s="79"/>
      <c r="EW236" s="79"/>
      <c r="EX236" s="79"/>
      <c r="EY236" s="79"/>
      <c r="EZ236" s="79"/>
      <c r="FA236" s="79"/>
      <c r="FB236" s="79"/>
      <c r="FC236" s="79"/>
      <c r="FD236" s="79"/>
      <c r="FE236" s="79"/>
      <c r="FF236" s="79"/>
      <c r="FG236" s="79"/>
      <c r="FH236" s="79"/>
      <c r="FI236" s="79"/>
      <c r="FJ236" s="79"/>
      <c r="FK236" s="79"/>
      <c r="FL236" s="79"/>
      <c r="FM236" s="48"/>
      <c r="FN236" s="48"/>
      <c r="FO236" s="48"/>
      <c r="FP236" s="48"/>
      <c r="FQ236" s="48"/>
      <c r="FR236" s="48"/>
      <c r="FS236" s="48"/>
      <c r="FT236" s="48"/>
      <c r="FU236" s="47"/>
      <c r="FV236" s="48"/>
      <c r="FW236" s="48"/>
      <c r="FX236" s="48"/>
      <c r="FY236" s="48"/>
      <c r="FZ236" s="48"/>
      <c r="GA236" s="49"/>
      <c r="GB236" s="49"/>
      <c r="GC236" s="49"/>
      <c r="GD236" s="49" t="e">
        <f ca="1">GM177</f>
        <v>#VALUE!</v>
      </c>
      <c r="GE236" s="49"/>
      <c r="GF236" s="49"/>
      <c r="GG236" s="49"/>
      <c r="GH236" s="49"/>
      <c r="GI236" s="49"/>
      <c r="GJ236" s="49"/>
      <c r="GK236" s="49"/>
      <c r="GL236" s="49"/>
      <c r="GM236" s="49"/>
      <c r="GN236" s="49"/>
      <c r="GO236" s="49"/>
      <c r="GP236" s="49"/>
      <c r="GQ236" s="49"/>
      <c r="GR236" s="49"/>
      <c r="GS236" s="49"/>
      <c r="GT236" s="49"/>
      <c r="GU236" s="49"/>
      <c r="GV236" s="49"/>
      <c r="GW236" s="49"/>
      <c r="GX236" s="49"/>
      <c r="GY236" s="49"/>
      <c r="GZ236" s="49"/>
      <c r="HA236" s="49"/>
      <c r="HB236" s="49"/>
      <c r="HC236" s="49"/>
      <c r="HD236" s="49"/>
      <c r="HE236" s="49"/>
      <c r="HF236" s="49"/>
      <c r="HG236" s="49"/>
      <c r="HH236" s="49"/>
      <c r="HI236" s="49"/>
      <c r="HJ236" s="49"/>
      <c r="HK236" s="49"/>
      <c r="HL236" s="49"/>
      <c r="HM236" s="49"/>
    </row>
    <row r="237" spans="1:221" ht="3.75" customHeight="1">
      <c r="A237" s="1"/>
      <c r="B237" s="3"/>
      <c r="C237" s="3"/>
      <c r="D237" s="12"/>
      <c r="E237" s="197"/>
      <c r="F237" s="197"/>
      <c r="G237" s="39"/>
      <c r="H237" s="39"/>
      <c r="I237" s="39"/>
      <c r="J237" s="39"/>
      <c r="K237" s="197"/>
      <c r="L237" s="39"/>
      <c r="M237" s="39"/>
      <c r="N237" s="39"/>
      <c r="O237" s="39"/>
      <c r="P237" s="39"/>
      <c r="Q237" s="39"/>
      <c r="R237" s="39"/>
      <c r="S237" s="39"/>
      <c r="T237" s="39"/>
      <c r="U237" s="39"/>
      <c r="V237" s="39"/>
      <c r="W237" s="39"/>
      <c r="X237" s="39"/>
      <c r="Y237" s="39"/>
      <c r="Z237" s="39"/>
      <c r="AA237" s="39"/>
      <c r="AB237" s="39"/>
      <c r="AC237" s="39"/>
      <c r="AD237" s="197"/>
      <c r="AE237" s="197"/>
      <c r="AF237" s="197"/>
      <c r="AG237" s="197"/>
      <c r="AH237" s="197"/>
      <c r="AI237" s="197"/>
      <c r="AJ237" s="197"/>
      <c r="AK237" s="197"/>
      <c r="AL237" s="197"/>
      <c r="AM237" s="126"/>
      <c r="AN237" s="43" t="str">
        <f t="shared" ca="1" si="31"/>
        <v/>
      </c>
      <c r="AO237" s="228" t="str">
        <f t="shared" ca="1" si="33"/>
        <v/>
      </c>
      <c r="AP237" s="228" t="str">
        <f t="shared" ca="1" si="33"/>
        <v/>
      </c>
      <c r="AQ237" s="228" t="str">
        <f t="shared" ca="1" si="33"/>
        <v/>
      </c>
      <c r="AR237" s="228" t="str">
        <f t="shared" ca="1" si="33"/>
        <v/>
      </c>
      <c r="AS237" s="228" t="str">
        <f t="shared" ca="1" si="33"/>
        <v/>
      </c>
      <c r="AT237" s="228" t="str">
        <f t="shared" ca="1" si="33"/>
        <v/>
      </c>
      <c r="AU237" s="228" t="str">
        <f t="shared" ca="1" si="33"/>
        <v/>
      </c>
      <c r="AV237" s="228" t="str">
        <f t="shared" ca="1" si="33"/>
        <v/>
      </c>
      <c r="AW237" s="228" t="str">
        <f t="shared" ca="1" si="33"/>
        <v/>
      </c>
      <c r="AX237" s="228" t="str">
        <f t="shared" ca="1" si="33"/>
        <v/>
      </c>
      <c r="AY237" s="228" t="str">
        <f t="shared" ca="1" si="33"/>
        <v/>
      </c>
      <c r="AZ237" s="228" t="str">
        <f t="shared" ca="1" si="35"/>
        <v/>
      </c>
      <c r="BA237" s="228" t="str">
        <f ca="1">IF(AND($FN$156=1,$BC$198=6),"*",IF(AND($FN$156=1,$BC$198=4),"-",""))</f>
        <v/>
      </c>
      <c r="BB237" s="230" t="str">
        <f ca="1">IF($FN$237=0,"","!")</f>
        <v/>
      </c>
      <c r="BC237" s="228" t="str">
        <f ca="1">IF(AND($FN$156=1,$BC$198=6),"*",IF(AND($FN$156=1,$BC$198=4),"-",""))</f>
        <v/>
      </c>
      <c r="BD237" s="228" t="str">
        <f t="shared" ca="1" si="34"/>
        <v/>
      </c>
      <c r="BE237" s="237"/>
      <c r="BF237" s="228" t="str">
        <f ca="1">IF(AND($FN$156=1,$BC$198=5),"`","")</f>
        <v/>
      </c>
      <c r="BG237" s="237"/>
      <c r="BH237" s="228" t="str">
        <f ca="1">IF(AND($FN$156=1,$BC$198=5),"`","")</f>
        <v/>
      </c>
      <c r="BI237" s="237"/>
      <c r="BJ237" s="237"/>
      <c r="BK237" s="237"/>
      <c r="BL237" s="237"/>
      <c r="BM237" s="237"/>
      <c r="BN237" s="237"/>
      <c r="BO237" s="237"/>
      <c r="BP237" s="237"/>
      <c r="BQ237" s="230" t="str">
        <f ca="1">IF($FN$237=0,"",":")</f>
        <v/>
      </c>
      <c r="BR237" s="230"/>
      <c r="BS237" s="230"/>
      <c r="BT237" s="230"/>
      <c r="BU237" s="230"/>
      <c r="BV237" s="230"/>
      <c r="BW237" s="230" t="s">
        <v>15</v>
      </c>
      <c r="BX237" s="230" t="str">
        <f t="shared" ref="BX237:CF237" ca="1" si="37">IF($FN$237=0,"",",")</f>
        <v/>
      </c>
      <c r="BY237" s="230" t="str">
        <f t="shared" ca="1" si="37"/>
        <v/>
      </c>
      <c r="BZ237" s="230" t="str">
        <f t="shared" ca="1" si="37"/>
        <v/>
      </c>
      <c r="CA237" s="230" t="str">
        <f t="shared" ca="1" si="37"/>
        <v/>
      </c>
      <c r="CB237" s="230" t="str">
        <f t="shared" ca="1" si="37"/>
        <v/>
      </c>
      <c r="CC237" s="230" t="str">
        <f t="shared" ca="1" si="37"/>
        <v/>
      </c>
      <c r="CD237" s="230" t="str">
        <f t="shared" ca="1" si="37"/>
        <v/>
      </c>
      <c r="CE237" s="197" t="str">
        <f t="shared" ca="1" si="37"/>
        <v/>
      </c>
      <c r="CF237" s="197" t="str">
        <f t="shared" ca="1" si="37"/>
        <v/>
      </c>
      <c r="CG237" s="45"/>
      <c r="CH237" s="45"/>
      <c r="CI237" s="45"/>
      <c r="CJ237" s="45"/>
      <c r="CK237" s="45"/>
      <c r="CL237" s="45"/>
      <c r="CM237" s="45"/>
      <c r="CN237" s="45"/>
      <c r="CO237" s="45"/>
      <c r="CP237" s="45"/>
      <c r="CQ237" s="45"/>
      <c r="CR237" s="45"/>
      <c r="CS237" s="45"/>
      <c r="CT237" s="45"/>
      <c r="CU237" s="45"/>
      <c r="CV237" s="45"/>
      <c r="CW237" s="45"/>
      <c r="CX237" s="45"/>
      <c r="CY237" s="45"/>
      <c r="CZ237" s="45"/>
      <c r="DA237" s="45"/>
      <c r="DB237" s="45"/>
      <c r="DC237" s="45"/>
      <c r="DD237" s="45"/>
      <c r="DE237" s="45"/>
      <c r="DF237" s="45"/>
      <c r="DG237" s="45"/>
      <c r="DH237" s="45"/>
      <c r="DI237" s="45"/>
      <c r="DJ237" s="45"/>
      <c r="DK237" s="45"/>
      <c r="DL237" s="45"/>
      <c r="DM237" s="45"/>
      <c r="DN237" s="45"/>
      <c r="DO237" s="45"/>
      <c r="DP237" s="45"/>
      <c r="DQ237" s="45"/>
      <c r="DR237" s="45"/>
      <c r="DS237" s="45"/>
      <c r="DT237" s="45"/>
      <c r="DU237" s="45"/>
      <c r="DV237" s="45"/>
      <c r="DW237" s="45"/>
      <c r="DX237" s="45"/>
      <c r="DY237" s="45"/>
      <c r="DZ237" s="45"/>
      <c r="EA237" s="45"/>
      <c r="EB237" s="45"/>
      <c r="EC237" s="45"/>
      <c r="ED237" s="45"/>
      <c r="EE237" s="197"/>
      <c r="EF237" s="197"/>
      <c r="EG237" s="197"/>
      <c r="EH237" s="197"/>
      <c r="EI237" s="197"/>
      <c r="EJ237" s="197"/>
      <c r="EK237" s="39"/>
      <c r="EL237" s="39"/>
      <c r="EM237" s="39"/>
      <c r="EN237" s="39"/>
      <c r="EO237" s="39"/>
      <c r="EP237" s="39"/>
      <c r="EQ237" s="39"/>
      <c r="ER237" s="39"/>
      <c r="ES237" s="79"/>
      <c r="ET237" s="79"/>
      <c r="EU237" s="79"/>
      <c r="EV237" s="79"/>
      <c r="EW237" s="79"/>
      <c r="EX237" s="79"/>
      <c r="EY237" s="79"/>
      <c r="EZ237" s="79"/>
      <c r="FA237" s="79"/>
      <c r="FB237" s="79"/>
      <c r="FC237" s="79"/>
      <c r="FD237" s="79"/>
      <c r="FE237" s="79"/>
      <c r="FF237" s="79"/>
      <c r="FG237" s="79"/>
      <c r="FH237" s="79"/>
      <c r="FI237" s="79"/>
      <c r="FJ237" s="79"/>
      <c r="FK237" s="79"/>
      <c r="FL237" s="79"/>
      <c r="FM237" s="95"/>
      <c r="FN237" s="95">
        <f ca="1">IF(programma!B1="X",1,IF(FN156=0,0,IF(OR(R174="",DZ174=""),0,1)))</f>
        <v>0</v>
      </c>
      <c r="FO237" s="48"/>
      <c r="FP237" s="48"/>
      <c r="FQ237" s="48"/>
      <c r="FR237" s="48"/>
      <c r="FS237" s="48"/>
      <c r="FT237" s="48"/>
      <c r="FU237" s="47"/>
      <c r="FV237" s="48"/>
      <c r="FW237" s="48"/>
      <c r="FX237" s="48"/>
      <c r="FY237" s="48"/>
      <c r="FZ237" s="48"/>
      <c r="GA237" s="49"/>
      <c r="GB237" s="49">
        <f ca="1">-1.05*GN229</f>
        <v>0</v>
      </c>
      <c r="GC237" s="49"/>
      <c r="GD237" s="49" t="e">
        <f ca="1">GN177</f>
        <v>#VALUE!</v>
      </c>
      <c r="GE237" s="49" t="e">
        <f ca="1">GG177-1.1*GN229</f>
        <v>#DIV/0!</v>
      </c>
      <c r="GF237" s="49"/>
      <c r="GG237" s="49"/>
      <c r="GH237" s="49"/>
      <c r="GI237" s="49"/>
      <c r="GJ237" s="49"/>
      <c r="GK237" s="49"/>
      <c r="GL237" s="49"/>
      <c r="GM237" s="49"/>
      <c r="GN237" s="49"/>
      <c r="GO237" s="49"/>
      <c r="GP237" s="49"/>
      <c r="GQ237" s="49"/>
      <c r="GR237" s="49"/>
      <c r="GS237" s="49"/>
      <c r="GT237" s="49"/>
      <c r="GU237" s="49"/>
      <c r="GV237" s="49"/>
      <c r="GW237" s="49"/>
      <c r="GX237" s="49"/>
      <c r="GY237" s="49"/>
      <c r="GZ237" s="49"/>
      <c r="HA237" s="49"/>
      <c r="HB237" s="49"/>
      <c r="HC237" s="49"/>
      <c r="HD237" s="49"/>
      <c r="HE237" s="49"/>
      <c r="HF237" s="49"/>
      <c r="HG237" s="49"/>
      <c r="HH237" s="49"/>
      <c r="HI237" s="49"/>
      <c r="HJ237" s="49"/>
      <c r="HK237" s="49"/>
      <c r="HL237" s="49"/>
      <c r="HM237" s="49"/>
    </row>
    <row r="238" spans="1:221" ht="3.75" customHeight="1">
      <c r="A238" s="1"/>
      <c r="B238" s="3"/>
      <c r="C238" s="3"/>
      <c r="D238" s="12"/>
      <c r="E238" s="197"/>
      <c r="F238" s="197"/>
      <c r="G238" s="39"/>
      <c r="H238" s="39"/>
      <c r="I238" s="39"/>
      <c r="J238" s="39"/>
      <c r="K238" s="197"/>
      <c r="L238" s="39"/>
      <c r="M238" s="39"/>
      <c r="N238" s="39"/>
      <c r="O238" s="39"/>
      <c r="P238" s="39"/>
      <c r="Q238" s="39"/>
      <c r="R238" s="39"/>
      <c r="S238" s="39"/>
      <c r="T238" s="39"/>
      <c r="U238" s="39"/>
      <c r="V238" s="39"/>
      <c r="W238" s="39"/>
      <c r="X238" s="39"/>
      <c r="Y238" s="39"/>
      <c r="Z238" s="39"/>
      <c r="AA238" s="39"/>
      <c r="AB238" s="39"/>
      <c r="AC238" s="39"/>
      <c r="AD238" s="197"/>
      <c r="AE238" s="197"/>
      <c r="AF238" s="197"/>
      <c r="AG238" s="197"/>
      <c r="AH238" s="197"/>
      <c r="AI238" s="197"/>
      <c r="AJ238" s="197"/>
      <c r="AK238" s="197"/>
      <c r="AL238" s="197"/>
      <c r="AM238" s="126"/>
      <c r="AN238" s="43" t="str">
        <f t="shared" ca="1" si="31"/>
        <v/>
      </c>
      <c r="AO238" s="228" t="str">
        <f t="shared" ca="1" si="33"/>
        <v/>
      </c>
      <c r="AP238" s="228" t="str">
        <f t="shared" ca="1" si="33"/>
        <v/>
      </c>
      <c r="AQ238" s="228" t="str">
        <f t="shared" ca="1" si="33"/>
        <v/>
      </c>
      <c r="AR238" s="228" t="str">
        <f t="shared" ca="1" si="33"/>
        <v/>
      </c>
      <c r="AS238" s="228" t="str">
        <f t="shared" ca="1" si="33"/>
        <v/>
      </c>
      <c r="AT238" s="228" t="str">
        <f t="shared" ca="1" si="33"/>
        <v/>
      </c>
      <c r="AU238" s="228" t="str">
        <f t="shared" ca="1" si="33"/>
        <v/>
      </c>
      <c r="AV238" s="228" t="str">
        <f t="shared" ca="1" si="33"/>
        <v/>
      </c>
      <c r="AW238" s="228" t="str">
        <f t="shared" ca="1" si="33"/>
        <v/>
      </c>
      <c r="AX238" s="228" t="str">
        <f t="shared" ca="1" si="33"/>
        <v/>
      </c>
      <c r="AY238" s="228" t="str">
        <f t="shared" ca="1" si="33"/>
        <v/>
      </c>
      <c r="AZ238" s="228" t="str">
        <f t="shared" ca="1" si="35"/>
        <v/>
      </c>
      <c r="BA238" s="228" t="str">
        <f ca="1">IF(AND($FN$156=1,$BC$198=6),"*",IF(AND($FN$156=1,$BC$198=4),"-",""))</f>
        <v/>
      </c>
      <c r="BB238" s="228" t="str">
        <f ca="1">IF(AND($FN$156=1,$BC$198=6),"*",IF(AND($FN$156=1,$BC$198=4),"-",""))</f>
        <v/>
      </c>
      <c r="BC238" s="230" t="str">
        <f ca="1">IF($FN$237=0,"","!")</f>
        <v/>
      </c>
      <c r="BD238" s="228" t="str">
        <f t="shared" ca="1" si="34"/>
        <v/>
      </c>
      <c r="BE238" s="237"/>
      <c r="BF238" s="237"/>
      <c r="BG238" s="237"/>
      <c r="BH238" s="237"/>
      <c r="BI238" s="228" t="str">
        <f ca="1">IF(AND($FN$156=1,$BC$198=5),"`","")</f>
        <v/>
      </c>
      <c r="BJ238" s="237"/>
      <c r="BK238" s="237"/>
      <c r="BL238" s="237"/>
      <c r="BM238" s="237"/>
      <c r="BN238" s="237"/>
      <c r="BO238" s="237"/>
      <c r="BP238" s="237"/>
      <c r="BQ238" s="237"/>
      <c r="BR238" s="230" t="str">
        <f ca="1">IF($FN$237=0,"",":")</f>
        <v/>
      </c>
      <c r="BS238" s="230"/>
      <c r="BT238" s="230"/>
      <c r="BU238" s="230"/>
      <c r="BV238" s="230"/>
      <c r="BW238" s="230"/>
      <c r="BX238" s="230"/>
      <c r="BY238" s="230"/>
      <c r="BZ238" s="230"/>
      <c r="CA238" s="230"/>
      <c r="CB238" s="230"/>
      <c r="CC238" s="231"/>
      <c r="CD238" s="231"/>
      <c r="CE238" s="126"/>
      <c r="CF238" s="45"/>
      <c r="CG238" s="45"/>
      <c r="CH238" s="45"/>
      <c r="CI238" s="197" t="str">
        <f ca="1">IF($FN$237=0,"","^")</f>
        <v/>
      </c>
      <c r="CJ238" s="45"/>
      <c r="CK238" s="45"/>
      <c r="CL238" s="45"/>
      <c r="CM238" s="197" t="str">
        <f ca="1">IF($FN$237=0,"","^")</f>
        <v/>
      </c>
      <c r="CN238" s="45"/>
      <c r="CO238" s="197" t="str">
        <f ca="1">IF($FN$237=0,"","^")</f>
        <v/>
      </c>
      <c r="CP238" s="45"/>
      <c r="CQ238" s="45"/>
      <c r="CR238" s="197" t="str">
        <f ca="1">IF($FN$237=0,"","^")</f>
        <v/>
      </c>
      <c r="CS238" s="45"/>
      <c r="CT238" s="45"/>
      <c r="CU238" s="45"/>
      <c r="CV238" s="45"/>
      <c r="CW238" s="45"/>
      <c r="CX238" s="45"/>
      <c r="CY238" s="197" t="str">
        <f ca="1">IF($FN$237=0,"","^")</f>
        <v/>
      </c>
      <c r="CZ238" s="197" t="str">
        <f ca="1">IF($FN$237=0,"","^")</f>
        <v/>
      </c>
      <c r="DA238" s="45"/>
      <c r="DB238" s="43"/>
      <c r="DC238" s="197" t="str">
        <f ca="1">IF($FN$237=0,"","^")</f>
        <v/>
      </c>
      <c r="DD238" s="45"/>
      <c r="DE238" s="45"/>
      <c r="DF238" s="45"/>
      <c r="DG238" s="197" t="str">
        <f ca="1">IF($FN$237=0,"","^")</f>
        <v/>
      </c>
      <c r="DH238" s="45"/>
      <c r="DI238" s="197" t="str">
        <f ca="1">IF($FN$237=0,"","^")</f>
        <v/>
      </c>
      <c r="DJ238" s="45"/>
      <c r="DK238" s="45"/>
      <c r="DL238" s="197" t="str">
        <f ca="1">IF($FN$237=0,"","^")</f>
        <v/>
      </c>
      <c r="DM238" s="45"/>
      <c r="DN238" s="45"/>
      <c r="DO238" s="45"/>
      <c r="DP238" s="45"/>
      <c r="DQ238" s="45"/>
      <c r="DR238" s="45"/>
      <c r="DS238" s="45"/>
      <c r="DT238" s="45"/>
      <c r="DU238" s="45"/>
      <c r="DV238" s="45"/>
      <c r="DW238" s="45"/>
      <c r="DX238" s="45"/>
      <c r="DY238" s="45"/>
      <c r="DZ238" s="45"/>
      <c r="EA238" s="45"/>
      <c r="EB238" s="45"/>
      <c r="EC238" s="45"/>
      <c r="ED238" s="45"/>
      <c r="EE238" s="197"/>
      <c r="EF238" s="197"/>
      <c r="EG238" s="197"/>
      <c r="EH238" s="197"/>
      <c r="EI238" s="197"/>
      <c r="EJ238" s="197"/>
      <c r="EK238" s="39"/>
      <c r="EL238" s="39"/>
      <c r="EM238" s="39"/>
      <c r="EN238" s="39"/>
      <c r="EO238" s="39"/>
      <c r="EP238" s="39"/>
      <c r="EQ238" s="39"/>
      <c r="ER238" s="39"/>
      <c r="ES238" s="79"/>
      <c r="ET238" s="79"/>
      <c r="EU238" s="79"/>
      <c r="EV238" s="79"/>
      <c r="EW238" s="79"/>
      <c r="EX238" s="79"/>
      <c r="EY238" s="79"/>
      <c r="EZ238" s="79"/>
      <c r="FA238" s="79"/>
      <c r="FB238" s="79"/>
      <c r="FC238" s="79"/>
      <c r="FD238" s="79"/>
      <c r="FE238" s="79"/>
      <c r="FF238" s="79"/>
      <c r="FG238" s="79"/>
      <c r="FH238" s="79"/>
      <c r="FI238" s="79"/>
      <c r="FJ238" s="79"/>
      <c r="FK238" s="79"/>
      <c r="FL238" s="79"/>
      <c r="FM238" s="48"/>
      <c r="FN238" s="48"/>
      <c r="FO238" s="48"/>
      <c r="FP238" s="48"/>
      <c r="FQ238" s="48"/>
      <c r="FR238" s="48"/>
      <c r="FS238" s="48"/>
      <c r="FT238" s="48"/>
      <c r="FU238" s="47"/>
      <c r="FV238" s="48"/>
      <c r="FW238" s="48"/>
      <c r="FX238" s="48"/>
      <c r="FY238" s="48"/>
      <c r="FZ238" s="48"/>
      <c r="GA238" s="49"/>
      <c r="GB238" s="49"/>
      <c r="GC238" s="49"/>
      <c r="GD238" s="49"/>
      <c r="GE238" s="49"/>
      <c r="GF238" s="49"/>
      <c r="GG238" s="49"/>
      <c r="GH238" s="49"/>
      <c r="GI238" s="49"/>
      <c r="GJ238" s="49"/>
      <c r="GK238" s="49"/>
      <c r="GL238" s="49"/>
      <c r="GM238" s="49"/>
      <c r="GN238" s="49"/>
      <c r="GO238" s="49"/>
      <c r="GP238" s="49"/>
      <c r="GQ238" s="49"/>
      <c r="GR238" s="49"/>
      <c r="GS238" s="49"/>
      <c r="GT238" s="49"/>
      <c r="GU238" s="49"/>
      <c r="GV238" s="49"/>
      <c r="GW238" s="49"/>
      <c r="GX238" s="49"/>
      <c r="GY238" s="49"/>
      <c r="GZ238" s="49"/>
      <c r="HA238" s="49"/>
      <c r="HB238" s="49"/>
      <c r="HC238" s="49"/>
      <c r="HD238" s="49"/>
      <c r="HE238" s="49"/>
      <c r="HF238" s="49"/>
      <c r="HG238" s="49"/>
      <c r="HH238" s="49"/>
      <c r="HI238" s="49"/>
      <c r="HJ238" s="49"/>
      <c r="HK238" s="49"/>
      <c r="HL238" s="49"/>
      <c r="HM238" s="49"/>
    </row>
    <row r="239" spans="1:221" ht="3.75" customHeight="1">
      <c r="A239" s="1"/>
      <c r="B239" s="3"/>
      <c r="C239" s="3"/>
      <c r="D239" s="12"/>
      <c r="E239" s="197"/>
      <c r="F239" s="197"/>
      <c r="G239" s="39"/>
      <c r="H239" s="39"/>
      <c r="I239" s="39"/>
      <c r="J239" s="39"/>
      <c r="K239" s="197"/>
      <c r="L239" s="39"/>
      <c r="M239" s="39"/>
      <c r="N239" s="39"/>
      <c r="O239" s="39"/>
      <c r="P239" s="39"/>
      <c r="Q239" s="39"/>
      <c r="R239" s="39"/>
      <c r="S239" s="39"/>
      <c r="T239" s="39"/>
      <c r="U239" s="39"/>
      <c r="V239" s="39"/>
      <c r="W239" s="39"/>
      <c r="X239" s="39"/>
      <c r="Y239" s="39"/>
      <c r="Z239" s="39"/>
      <c r="AA239" s="39"/>
      <c r="AB239" s="39"/>
      <c r="AC239" s="39"/>
      <c r="AD239" s="197"/>
      <c r="AE239" s="197"/>
      <c r="AF239" s="197"/>
      <c r="AG239" s="197"/>
      <c r="AH239" s="197"/>
      <c r="AI239" s="197"/>
      <c r="AJ239" s="197"/>
      <c r="AK239" s="197"/>
      <c r="AL239" s="197"/>
      <c r="AM239" s="126"/>
      <c r="AN239" s="43" t="str">
        <f t="shared" ca="1" si="31"/>
        <v/>
      </c>
      <c r="AO239" s="228" t="str">
        <f t="shared" ca="1" si="33"/>
        <v/>
      </c>
      <c r="AP239" s="228" t="str">
        <f t="shared" ca="1" si="33"/>
        <v/>
      </c>
      <c r="AQ239" s="228" t="str">
        <f t="shared" ca="1" si="33"/>
        <v/>
      </c>
      <c r="AR239" s="228" t="str">
        <f t="shared" ca="1" si="33"/>
        <v/>
      </c>
      <c r="AS239" s="228" t="str">
        <f t="shared" ca="1" si="33"/>
        <v/>
      </c>
      <c r="AT239" s="228" t="str">
        <f t="shared" ca="1" si="33"/>
        <v/>
      </c>
      <c r="AU239" s="228" t="str">
        <f t="shared" ca="1" si="33"/>
        <v/>
      </c>
      <c r="AV239" s="228" t="str">
        <f t="shared" ca="1" si="33"/>
        <v/>
      </c>
      <c r="AW239" s="228" t="str">
        <f t="shared" ca="1" si="33"/>
        <v/>
      </c>
      <c r="AX239" s="228" t="str">
        <f t="shared" ca="1" si="33"/>
        <v/>
      </c>
      <c r="AY239" s="228" t="str">
        <f t="shared" ca="1" si="33"/>
        <v/>
      </c>
      <c r="AZ239" s="228" t="str">
        <f t="shared" ca="1" si="35"/>
        <v/>
      </c>
      <c r="BA239" s="228" t="str">
        <f ca="1">IF(AND($FN$156=1,$BC$198=6),"*",IF(AND($FN$156=1,$BC$198=4),"-",""))</f>
        <v/>
      </c>
      <c r="BB239" s="228" t="str">
        <f ca="1">IF(AND($FN$156=1,$BC$198=6),"*",IF(AND($FN$156=1,$BC$198=4),"-",""))</f>
        <v/>
      </c>
      <c r="BC239" s="230" t="str">
        <f ca="1">IF($FN$237=0,"","!")</f>
        <v/>
      </c>
      <c r="BD239" s="228" t="str">
        <f t="shared" ca="1" si="34"/>
        <v/>
      </c>
      <c r="BE239" s="228"/>
      <c r="BF239" s="228"/>
      <c r="BG239" s="228"/>
      <c r="BH239" s="228"/>
      <c r="BI239" s="228"/>
      <c r="BJ239" s="228"/>
      <c r="BK239" s="228"/>
      <c r="BL239" s="228"/>
      <c r="BM239" s="228"/>
      <c r="BN239" s="228"/>
      <c r="BO239" s="228"/>
      <c r="BP239" s="228"/>
      <c r="BQ239" s="228"/>
      <c r="BR239" s="228"/>
      <c r="BS239" s="230" t="str">
        <f ca="1">IF($FN$237=0,"",":")</f>
        <v/>
      </c>
      <c r="BT239" s="228"/>
      <c r="BU239" s="228"/>
      <c r="BV239" s="228"/>
      <c r="BW239" s="228"/>
      <c r="BX239" s="228"/>
      <c r="BY239" s="228"/>
      <c r="BZ239" s="228"/>
      <c r="CA239" s="228"/>
      <c r="CB239" s="228"/>
      <c r="CC239" s="228"/>
      <c r="CD239" s="228"/>
      <c r="CE239" s="43"/>
      <c r="CF239" s="197"/>
      <c r="CG239" s="45"/>
      <c r="CH239" s="45"/>
      <c r="CI239" s="197" t="str">
        <f ca="1">IF($FN$237=0,"","^")</f>
        <v/>
      </c>
      <c r="CJ239" s="197" t="str">
        <f ca="1">IF($FN$237=0,"","^")</f>
        <v/>
      </c>
      <c r="CK239" s="45"/>
      <c r="CL239" s="197" t="str">
        <f ca="1">IF($FN$237=0,"","^")</f>
        <v/>
      </c>
      <c r="CM239" s="197" t="str">
        <f ca="1">IF($FN$237=0,"","^")</f>
        <v/>
      </c>
      <c r="CN239" s="45"/>
      <c r="CO239" s="197" t="str">
        <f ca="1">IF($FN$237=0,"","^")</f>
        <v/>
      </c>
      <c r="CP239" s="45"/>
      <c r="CQ239" s="197" t="str">
        <f ca="1">IF($FN$237=0,"","^")</f>
        <v/>
      </c>
      <c r="CR239" s="45"/>
      <c r="CS239" s="45"/>
      <c r="CT239" s="45"/>
      <c r="CU239" s="45"/>
      <c r="CV239" s="45"/>
      <c r="CW239" s="45"/>
      <c r="CX239" s="197" t="str">
        <f ca="1">IF($FN$237=0,"","^")</f>
        <v/>
      </c>
      <c r="CY239" s="45"/>
      <c r="CZ239" s="45"/>
      <c r="DA239" s="45"/>
      <c r="DB239" s="43"/>
      <c r="DC239" s="197" t="str">
        <f ca="1">IF($FN$237=0,"","^")</f>
        <v/>
      </c>
      <c r="DD239" s="45"/>
      <c r="DE239" s="45"/>
      <c r="DF239" s="45"/>
      <c r="DG239" s="197" t="str">
        <f ca="1">IF($FN$237=0,"","^")</f>
        <v/>
      </c>
      <c r="DH239" s="45"/>
      <c r="DI239" s="197" t="str">
        <f ca="1">IF($FN$237=0,"","^")</f>
        <v/>
      </c>
      <c r="DJ239" s="45"/>
      <c r="DK239" s="197" t="str">
        <f ca="1">IF($FN$237=0,"","^")</f>
        <v/>
      </c>
      <c r="DL239" s="45"/>
      <c r="DM239" s="45"/>
      <c r="DN239" s="45"/>
      <c r="DO239" s="45"/>
      <c r="DP239" s="45"/>
      <c r="DQ239" s="45"/>
      <c r="DR239" s="45"/>
      <c r="DS239" s="45"/>
      <c r="DT239" s="45"/>
      <c r="DU239" s="45"/>
      <c r="DV239" s="45"/>
      <c r="DW239" s="45"/>
      <c r="DX239" s="45"/>
      <c r="DY239" s="45"/>
      <c r="DZ239" s="45"/>
      <c r="EA239" s="45"/>
      <c r="EB239" s="45"/>
      <c r="EC239" s="45"/>
      <c r="ED239" s="45"/>
      <c r="EE239" s="197"/>
      <c r="EF239" s="197"/>
      <c r="EG239" s="197"/>
      <c r="EH239" s="197"/>
      <c r="EI239" s="197"/>
      <c r="EJ239" s="197"/>
      <c r="EK239" s="39"/>
      <c r="EL239" s="39"/>
      <c r="EM239" s="39"/>
      <c r="EN239" s="39"/>
      <c r="EO239" s="39"/>
      <c r="EP239" s="39"/>
      <c r="EQ239" s="39"/>
      <c r="ER239" s="39"/>
      <c r="ES239" s="79"/>
      <c r="ET239" s="79"/>
      <c r="EU239" s="79"/>
      <c r="EV239" s="79"/>
      <c r="EW239" s="79"/>
      <c r="EX239" s="79"/>
      <c r="EY239" s="79"/>
      <c r="EZ239" s="79"/>
      <c r="FA239" s="79"/>
      <c r="FB239" s="79"/>
      <c r="FC239" s="79"/>
      <c r="FD239" s="79"/>
      <c r="FE239" s="79"/>
      <c r="FF239" s="79"/>
      <c r="FG239" s="79"/>
      <c r="FH239" s="79"/>
      <c r="FI239" s="79"/>
      <c r="FJ239" s="79"/>
      <c r="FK239" s="79"/>
      <c r="FL239" s="79"/>
      <c r="FM239" s="48"/>
      <c r="FN239" s="48"/>
      <c r="FO239" s="48"/>
      <c r="FP239" s="48"/>
      <c r="FQ239" s="48"/>
      <c r="FR239" s="48"/>
      <c r="FS239" s="48"/>
      <c r="FT239" s="48"/>
      <c r="FU239" s="47"/>
      <c r="FV239" s="48"/>
      <c r="FW239" s="48"/>
      <c r="FX239" s="48"/>
      <c r="FY239" s="48"/>
      <c r="FZ239" s="48"/>
      <c r="GA239" s="49"/>
      <c r="GB239" s="49"/>
      <c r="GC239" s="49"/>
      <c r="GD239" s="49"/>
      <c r="GE239" s="49"/>
      <c r="GF239" s="49"/>
      <c r="GG239" s="49"/>
      <c r="GH239" s="49"/>
      <c r="GI239" s="49"/>
      <c r="GJ239" s="49"/>
      <c r="GK239" s="49"/>
      <c r="GL239" s="49"/>
      <c r="GM239" s="49"/>
      <c r="GN239" s="49"/>
      <c r="GO239" s="49"/>
      <c r="GP239" s="49"/>
      <c r="GQ239" s="49"/>
      <c r="GR239" s="49"/>
      <c r="GS239" s="49"/>
      <c r="GT239" s="49"/>
      <c r="GU239" s="49"/>
      <c r="GV239" s="49"/>
      <c r="GW239" s="49"/>
      <c r="GX239" s="49"/>
      <c r="GY239" s="49"/>
      <c r="GZ239" s="49"/>
      <c r="HA239" s="49"/>
      <c r="HB239" s="49"/>
      <c r="HC239" s="49"/>
      <c r="HD239" s="49"/>
      <c r="HE239" s="49"/>
      <c r="HF239" s="49"/>
      <c r="HG239" s="49"/>
      <c r="HH239" s="49"/>
      <c r="HI239" s="49"/>
      <c r="HJ239" s="49"/>
      <c r="HK239" s="49"/>
      <c r="HL239" s="49"/>
      <c r="HM239" s="49"/>
    </row>
    <row r="240" spans="1:221" ht="3.75" customHeight="1">
      <c r="A240" s="1"/>
      <c r="B240" s="3"/>
      <c r="C240" s="3"/>
      <c r="D240" s="12"/>
      <c r="E240" s="197"/>
      <c r="F240" s="197"/>
      <c r="G240" s="39"/>
      <c r="H240" s="39"/>
      <c r="I240" s="39"/>
      <c r="J240" s="39"/>
      <c r="K240" s="197"/>
      <c r="L240" s="39"/>
      <c r="M240" s="39"/>
      <c r="N240" s="39"/>
      <c r="O240" s="39"/>
      <c r="P240" s="39"/>
      <c r="Q240" s="39"/>
      <c r="R240" s="39"/>
      <c r="S240" s="39"/>
      <c r="T240" s="39"/>
      <c r="U240" s="39"/>
      <c r="V240" s="39"/>
      <c r="W240" s="39"/>
      <c r="X240" s="39"/>
      <c r="Y240" s="39"/>
      <c r="Z240" s="39"/>
      <c r="AA240" s="39"/>
      <c r="AB240" s="39"/>
      <c r="AC240" s="39"/>
      <c r="AD240" s="197"/>
      <c r="AE240" s="197"/>
      <c r="AF240" s="197"/>
      <c r="AG240" s="197"/>
      <c r="AH240" s="197"/>
      <c r="AI240" s="197"/>
      <c r="AJ240" s="197"/>
      <c r="AK240" s="197"/>
      <c r="AL240" s="197"/>
      <c r="AM240" s="126"/>
      <c r="AN240" s="43" t="str">
        <f t="shared" ca="1" si="31"/>
        <v/>
      </c>
      <c r="AO240" s="230" t="str">
        <f t="shared" ref="AO240:BC240" ca="1" si="38">IF($FN$237=0,"","^")</f>
        <v/>
      </c>
      <c r="AP240" s="230" t="str">
        <f t="shared" ca="1" si="38"/>
        <v/>
      </c>
      <c r="AQ240" s="230" t="str">
        <f t="shared" ca="1" si="38"/>
        <v/>
      </c>
      <c r="AR240" s="230" t="str">
        <f t="shared" ca="1" si="38"/>
        <v/>
      </c>
      <c r="AS240" s="230" t="str">
        <f t="shared" ca="1" si="38"/>
        <v/>
      </c>
      <c r="AT240" s="230" t="str">
        <f t="shared" ca="1" si="38"/>
        <v/>
      </c>
      <c r="AU240" s="230" t="str">
        <f t="shared" ca="1" si="38"/>
        <v/>
      </c>
      <c r="AV240" s="230" t="str">
        <f t="shared" ca="1" si="38"/>
        <v/>
      </c>
      <c r="AW240" s="230" t="str">
        <f t="shared" ca="1" si="38"/>
        <v/>
      </c>
      <c r="AX240" s="230" t="str">
        <f t="shared" ca="1" si="38"/>
        <v/>
      </c>
      <c r="AY240" s="230" t="str">
        <f t="shared" ca="1" si="38"/>
        <v/>
      </c>
      <c r="AZ240" s="230" t="str">
        <f t="shared" ca="1" si="38"/>
        <v/>
      </c>
      <c r="BA240" s="230" t="str">
        <f t="shared" ca="1" si="38"/>
        <v/>
      </c>
      <c r="BB240" s="230" t="str">
        <f t="shared" ca="1" si="38"/>
        <v/>
      </c>
      <c r="BC240" s="230" t="str">
        <f t="shared" ca="1" si="38"/>
        <v/>
      </c>
      <c r="BD240" s="230" t="str">
        <f ca="1">IF(AND($FN$156=1,$BC$198&gt;=2),"`",IF($FN$237=0,"","!"))</f>
        <v/>
      </c>
      <c r="BE240" s="230" t="str">
        <f t="shared" ref="BE240:BS240" ca="1" si="39">IF($FN$237=0,"","^")</f>
        <v/>
      </c>
      <c r="BF240" s="230" t="str">
        <f t="shared" ca="1" si="39"/>
        <v/>
      </c>
      <c r="BG240" s="230" t="str">
        <f t="shared" ca="1" si="39"/>
        <v/>
      </c>
      <c r="BH240" s="230" t="str">
        <f t="shared" ca="1" si="39"/>
        <v/>
      </c>
      <c r="BI240" s="230" t="str">
        <f t="shared" ca="1" si="39"/>
        <v/>
      </c>
      <c r="BJ240" s="230" t="str">
        <f t="shared" ca="1" si="39"/>
        <v/>
      </c>
      <c r="BK240" s="230" t="str">
        <f t="shared" ca="1" si="39"/>
        <v/>
      </c>
      <c r="BL240" s="230" t="str">
        <f t="shared" ca="1" si="39"/>
        <v/>
      </c>
      <c r="BM240" s="230" t="str">
        <f t="shared" ca="1" si="39"/>
        <v/>
      </c>
      <c r="BN240" s="230" t="str">
        <f t="shared" ca="1" si="39"/>
        <v/>
      </c>
      <c r="BO240" s="230" t="str">
        <f t="shared" ca="1" si="39"/>
        <v/>
      </c>
      <c r="BP240" s="230" t="str">
        <f t="shared" ca="1" si="39"/>
        <v/>
      </c>
      <c r="BQ240" s="230" t="str">
        <f t="shared" ca="1" si="39"/>
        <v/>
      </c>
      <c r="BR240" s="230" t="str">
        <f t="shared" ca="1" si="39"/>
        <v/>
      </c>
      <c r="BS240" s="230" t="str">
        <f t="shared" ca="1" si="39"/>
        <v/>
      </c>
      <c r="BT240" s="230" t="str">
        <f ca="1">IF($FN$237=0,"",":")</f>
        <v/>
      </c>
      <c r="BU240" s="230" t="str">
        <f t="shared" ref="BU240:CF240" ca="1" si="40">IF($FN$237=0,"","^")</f>
        <v/>
      </c>
      <c r="BV240" s="230" t="str">
        <f t="shared" ca="1" si="40"/>
        <v/>
      </c>
      <c r="BW240" s="230" t="str">
        <f t="shared" ca="1" si="40"/>
        <v/>
      </c>
      <c r="BX240" s="230" t="str">
        <f t="shared" ca="1" si="40"/>
        <v/>
      </c>
      <c r="BY240" s="230" t="str">
        <f t="shared" ca="1" si="40"/>
        <v/>
      </c>
      <c r="BZ240" s="230" t="str">
        <f t="shared" ca="1" si="40"/>
        <v/>
      </c>
      <c r="CA240" s="230" t="str">
        <f t="shared" ca="1" si="40"/>
        <v/>
      </c>
      <c r="CB240" s="230" t="str">
        <f t="shared" ca="1" si="40"/>
        <v/>
      </c>
      <c r="CC240" s="230" t="str">
        <f t="shared" ca="1" si="40"/>
        <v/>
      </c>
      <c r="CD240" s="230" t="str">
        <f t="shared" ca="1" si="40"/>
        <v/>
      </c>
      <c r="CE240" s="197" t="str">
        <f t="shared" ca="1" si="40"/>
        <v/>
      </c>
      <c r="CF240" s="197" t="str">
        <f t="shared" ca="1" si="40"/>
        <v/>
      </c>
      <c r="CG240" s="43"/>
      <c r="CH240" s="197"/>
      <c r="CI240" s="197" t="str">
        <f ca="1">IF($FN$237=0,"","^")</f>
        <v/>
      </c>
      <c r="CJ240" s="45"/>
      <c r="CK240" s="197" t="str">
        <f ca="1">IF($FN$237=0,"","^")</f>
        <v/>
      </c>
      <c r="CL240" s="45"/>
      <c r="CM240" s="197" t="str">
        <f ca="1">IF($FN$237=0,"","^")</f>
        <v/>
      </c>
      <c r="CN240" s="45"/>
      <c r="CO240" s="197" t="str">
        <f ca="1">IF($FN$237=0,"","^")</f>
        <v/>
      </c>
      <c r="CP240" s="197" t="str">
        <f ca="1">IF($FN$237=0,"","^")</f>
        <v/>
      </c>
      <c r="CQ240" s="45"/>
      <c r="CR240" s="45"/>
      <c r="CS240" s="45"/>
      <c r="CT240" s="197" t="str">
        <f ca="1">IF($FN$237=0,"","^")</f>
        <v/>
      </c>
      <c r="CU240" s="197" t="str">
        <f ca="1">IF($FN$237=0,"","^")</f>
        <v/>
      </c>
      <c r="CV240" s="197" t="str">
        <f ca="1">IF($FN$237=0,"","^")</f>
        <v/>
      </c>
      <c r="CW240" s="45"/>
      <c r="CX240" s="197" t="str">
        <f ca="1">IF($FN$237=0,"","^")</f>
        <v/>
      </c>
      <c r="CY240" s="45"/>
      <c r="CZ240" s="197" t="str">
        <f ca="1">IF($FN$237=0,"","^")</f>
        <v/>
      </c>
      <c r="DA240" s="197" t="str">
        <f ca="1">IF($FN$237=0,"","^")</f>
        <v/>
      </c>
      <c r="DB240" s="43"/>
      <c r="DC240" s="45"/>
      <c r="DD240" s="197" t="str">
        <f ca="1">IF($FN$237=0,"","^")</f>
        <v/>
      </c>
      <c r="DE240" s="45"/>
      <c r="DF240" s="197" t="str">
        <f ca="1">IF($FN$237=0,"","^")</f>
        <v/>
      </c>
      <c r="DG240" s="45"/>
      <c r="DH240" s="45"/>
      <c r="DI240" s="197" t="str">
        <f ca="1">IF($FN$237=0,"","^")</f>
        <v/>
      </c>
      <c r="DJ240" s="197" t="str">
        <f ca="1">IF($FN$237=0,"","^")</f>
        <v/>
      </c>
      <c r="DK240" s="45"/>
      <c r="DL240" s="45"/>
      <c r="DM240" s="45"/>
      <c r="DN240" s="45"/>
      <c r="DO240" s="45"/>
      <c r="DP240" s="45"/>
      <c r="DQ240" s="45"/>
      <c r="DR240" s="45"/>
      <c r="DS240" s="45"/>
      <c r="DT240" s="45"/>
      <c r="DU240" s="45"/>
      <c r="DV240" s="45"/>
      <c r="DW240" s="45"/>
      <c r="DX240" s="45"/>
      <c r="DY240" s="45"/>
      <c r="DZ240" s="45"/>
      <c r="EA240" s="45"/>
      <c r="EB240" s="45"/>
      <c r="EC240" s="45"/>
      <c r="ED240" s="45"/>
      <c r="EE240" s="197"/>
      <c r="EF240" s="197"/>
      <c r="EG240" s="197"/>
      <c r="EH240" s="197"/>
      <c r="EI240" s="197"/>
      <c r="EJ240" s="197"/>
      <c r="EK240" s="39"/>
      <c r="EL240" s="39"/>
      <c r="EM240" s="39"/>
      <c r="EN240" s="39"/>
      <c r="EO240" s="39"/>
      <c r="EP240" s="39"/>
      <c r="EQ240" s="39"/>
      <c r="ER240" s="39"/>
      <c r="ES240" s="79"/>
      <c r="ET240" s="79"/>
      <c r="EU240" s="79"/>
      <c r="EV240" s="79"/>
      <c r="EW240" s="79"/>
      <c r="EX240" s="79"/>
      <c r="EY240" s="79"/>
      <c r="EZ240" s="79"/>
      <c r="FA240" s="79"/>
      <c r="FB240" s="79"/>
      <c r="FC240" s="79"/>
      <c r="FD240" s="79"/>
      <c r="FE240" s="79"/>
      <c r="FF240" s="79"/>
      <c r="FG240" s="79"/>
      <c r="FH240" s="79"/>
      <c r="FI240" s="79"/>
      <c r="FJ240" s="79"/>
      <c r="FK240" s="79"/>
      <c r="FL240" s="79"/>
      <c r="FM240" s="48"/>
      <c r="FN240" s="48"/>
      <c r="FO240" s="48"/>
      <c r="FP240" s="48"/>
      <c r="FQ240" s="48"/>
      <c r="FR240" s="48"/>
      <c r="FS240" s="48"/>
      <c r="FT240" s="48"/>
      <c r="FU240" s="47"/>
      <c r="FV240" s="48"/>
      <c r="FW240" s="48"/>
      <c r="FX240" s="48"/>
      <c r="FY240" s="48"/>
      <c r="FZ240" s="48"/>
      <c r="GA240" s="49"/>
      <c r="GB240" s="49"/>
      <c r="GC240" s="49"/>
      <c r="GD240" s="49"/>
      <c r="GE240" s="49"/>
      <c r="GF240" s="49"/>
      <c r="GG240" s="49"/>
      <c r="GH240" s="49"/>
      <c r="GI240" s="49"/>
      <c r="GJ240" s="49"/>
      <c r="GK240" s="49"/>
      <c r="GL240" s="49"/>
      <c r="GM240" s="49"/>
      <c r="GN240" s="49"/>
      <c r="GO240" s="49"/>
      <c r="GP240" s="49"/>
      <c r="GQ240" s="49"/>
      <c r="GR240" s="49"/>
      <c r="GS240" s="49"/>
      <c r="GT240" s="49"/>
      <c r="GU240" s="49"/>
      <c r="GV240" s="49"/>
      <c r="GW240" s="49"/>
      <c r="GX240" s="49"/>
      <c r="GY240" s="49"/>
      <c r="GZ240" s="49"/>
      <c r="HA240" s="49"/>
      <c r="HB240" s="49"/>
      <c r="HC240" s="49"/>
      <c r="HD240" s="49"/>
      <c r="HE240" s="49"/>
      <c r="HF240" s="49"/>
      <c r="HG240" s="49"/>
      <c r="HH240" s="49"/>
      <c r="HI240" s="49"/>
      <c r="HJ240" s="49"/>
      <c r="HK240" s="49"/>
      <c r="HL240" s="49"/>
      <c r="HM240" s="49"/>
    </row>
    <row r="241" spans="1:221" ht="3.75" customHeight="1">
      <c r="A241" s="1"/>
      <c r="B241" s="3"/>
      <c r="C241" s="3"/>
      <c r="D241" s="12"/>
      <c r="E241" s="197"/>
      <c r="F241" s="197"/>
      <c r="G241" s="39"/>
      <c r="H241" s="39"/>
      <c r="I241" s="39"/>
      <c r="J241" s="39"/>
      <c r="K241" s="197"/>
      <c r="L241" s="39"/>
      <c r="M241" s="39"/>
      <c r="N241" s="39"/>
      <c r="O241" s="39"/>
      <c r="P241" s="39"/>
      <c r="Q241" s="39"/>
      <c r="R241" s="39"/>
      <c r="S241" s="39"/>
      <c r="T241" s="39"/>
      <c r="U241" s="39"/>
      <c r="V241" s="39"/>
      <c r="W241" s="39"/>
      <c r="X241" s="39"/>
      <c r="Y241" s="39"/>
      <c r="Z241" s="39"/>
      <c r="AA241" s="39"/>
      <c r="AB241" s="39"/>
      <c r="AC241" s="39"/>
      <c r="AD241" s="197"/>
      <c r="AE241" s="197"/>
      <c r="AF241" s="197"/>
      <c r="AG241" s="197"/>
      <c r="AH241" s="197"/>
      <c r="AI241" s="197"/>
      <c r="AJ241" s="197"/>
      <c r="AK241" s="197"/>
      <c r="AL241" s="197"/>
      <c r="AM241" s="126"/>
      <c r="AN241" s="43" t="str">
        <f t="shared" ca="1" si="31"/>
        <v/>
      </c>
      <c r="AO241" s="228" t="str">
        <f t="shared" ref="AO241:BC241" ca="1" si="41">IF(AND($FN$156=1,$BC$198=6),"*",IF(AND($FN$156=1,$BC$198=4),"-",""))</f>
        <v/>
      </c>
      <c r="AP241" s="228" t="str">
        <f t="shared" ca="1" si="41"/>
        <v/>
      </c>
      <c r="AQ241" s="228" t="str">
        <f t="shared" ca="1" si="41"/>
        <v/>
      </c>
      <c r="AR241" s="228" t="str">
        <f t="shared" ca="1" si="41"/>
        <v/>
      </c>
      <c r="AS241" s="228" t="str">
        <f t="shared" ca="1" si="41"/>
        <v/>
      </c>
      <c r="AT241" s="228" t="str">
        <f t="shared" ca="1" si="41"/>
        <v/>
      </c>
      <c r="AU241" s="228" t="str">
        <f t="shared" ca="1" si="41"/>
        <v/>
      </c>
      <c r="AV241" s="228" t="str">
        <f t="shared" ca="1" si="41"/>
        <v/>
      </c>
      <c r="AW241" s="228" t="str">
        <f t="shared" ca="1" si="41"/>
        <v/>
      </c>
      <c r="AX241" s="228" t="str">
        <f t="shared" ca="1" si="41"/>
        <v/>
      </c>
      <c r="AY241" s="228" t="str">
        <f t="shared" ca="1" si="41"/>
        <v/>
      </c>
      <c r="AZ241" s="228" t="str">
        <f t="shared" ca="1" si="41"/>
        <v/>
      </c>
      <c r="BA241" s="228" t="str">
        <f t="shared" ca="1" si="41"/>
        <v/>
      </c>
      <c r="BB241" s="228" t="str">
        <f t="shared" ca="1" si="41"/>
        <v/>
      </c>
      <c r="BC241" s="228" t="str">
        <f t="shared" ca="1" si="41"/>
        <v/>
      </c>
      <c r="BD241" s="230" t="str">
        <f ca="1">IF(AND($FN$156=1,$BC$198&gt;=2),"`",IF($FN$237=0,"","!"))</f>
        <v/>
      </c>
      <c r="BE241" s="237"/>
      <c r="BF241" s="237"/>
      <c r="BG241" s="237"/>
      <c r="BH241" s="237"/>
      <c r="BI241" s="237"/>
      <c r="BJ241" s="237"/>
      <c r="BK241" s="237"/>
      <c r="BL241" s="237"/>
      <c r="BM241" s="237"/>
      <c r="BN241" s="237"/>
      <c r="BO241" s="237"/>
      <c r="BP241" s="237"/>
      <c r="BQ241" s="237"/>
      <c r="BR241" s="237"/>
      <c r="BS241" s="237"/>
      <c r="BT241" s="237"/>
      <c r="BU241" s="230" t="str">
        <f ca="1">IF($FN$237=0,"",":")</f>
        <v/>
      </c>
      <c r="BV241" s="230"/>
      <c r="BW241" s="230"/>
      <c r="BX241" s="230"/>
      <c r="BY241" s="230"/>
      <c r="BZ241" s="230"/>
      <c r="CA241" s="230"/>
      <c r="CB241" s="230"/>
      <c r="CC241" s="239"/>
      <c r="CD241" s="239"/>
      <c r="CE241" s="146"/>
      <c r="CF241" s="45"/>
      <c r="CG241" s="45"/>
      <c r="CH241" s="45"/>
      <c r="CI241" s="197" t="str">
        <f ca="1">IF($FN$237=0,"","^")</f>
        <v/>
      </c>
      <c r="CJ241" s="45"/>
      <c r="CK241" s="45"/>
      <c r="CL241" s="45"/>
      <c r="CM241" s="197" t="str">
        <f ca="1">IF($FN$237=0,"","^")</f>
        <v/>
      </c>
      <c r="CN241" s="45"/>
      <c r="CO241" s="197" t="str">
        <f ca="1">IF($FN$237=0,"","^")</f>
        <v/>
      </c>
      <c r="CP241" s="45"/>
      <c r="CQ241" s="197" t="str">
        <f ca="1">IF($FN$237=0,"","^")</f>
        <v/>
      </c>
      <c r="CR241" s="45"/>
      <c r="CS241" s="45"/>
      <c r="CT241" s="45"/>
      <c r="CU241" s="45"/>
      <c r="CV241" s="45"/>
      <c r="CW241" s="45"/>
      <c r="CX241" s="197" t="str">
        <f ca="1">IF($FN$237=0,"","^")</f>
        <v/>
      </c>
      <c r="CY241" s="45"/>
      <c r="CZ241" s="45"/>
      <c r="DA241" s="197" t="str">
        <f ca="1">IF($FN$237=0,"","^")</f>
        <v/>
      </c>
      <c r="DB241" s="43"/>
      <c r="DC241" s="45"/>
      <c r="DD241" s="197" t="str">
        <f ca="1">IF($FN$237=0,"","^")</f>
        <v/>
      </c>
      <c r="DE241" s="45"/>
      <c r="DF241" s="197" t="str">
        <f ca="1">IF($FN$237=0,"","^")</f>
        <v/>
      </c>
      <c r="DG241" s="45"/>
      <c r="DH241" s="45"/>
      <c r="DI241" s="197" t="str">
        <f ca="1">IF($FN$237=0,"","^")</f>
        <v/>
      </c>
      <c r="DJ241" s="45"/>
      <c r="DK241" s="197" t="str">
        <f ca="1">IF($FN$237=0,"","^")</f>
        <v/>
      </c>
      <c r="DL241" s="45"/>
      <c r="DM241" s="45"/>
      <c r="DN241" s="45"/>
      <c r="DO241" s="45"/>
      <c r="DP241" s="45"/>
      <c r="DQ241" s="45"/>
      <c r="DR241" s="45"/>
      <c r="DS241" s="45"/>
      <c r="DT241" s="45"/>
      <c r="DU241" s="45"/>
      <c r="DV241" s="45"/>
      <c r="DW241" s="45"/>
      <c r="DX241" s="45"/>
      <c r="DY241" s="45"/>
      <c r="DZ241" s="45"/>
      <c r="EA241" s="45"/>
      <c r="EB241" s="45"/>
      <c r="EC241" s="45"/>
      <c r="ED241" s="45"/>
      <c r="EE241" s="197"/>
      <c r="EF241" s="197"/>
      <c r="EG241" s="197"/>
      <c r="EH241" s="197"/>
      <c r="EI241" s="197"/>
      <c r="EJ241" s="197"/>
      <c r="EK241" s="39"/>
      <c r="EL241" s="39"/>
      <c r="EM241" s="39"/>
      <c r="EN241" s="39"/>
      <c r="EO241" s="39"/>
      <c r="EP241" s="39"/>
      <c r="EQ241" s="39"/>
      <c r="ER241" s="39"/>
      <c r="ES241" s="79"/>
      <c r="ET241" s="79"/>
      <c r="EU241" s="79"/>
      <c r="EV241" s="79"/>
      <c r="EW241" s="79"/>
      <c r="EX241" s="79"/>
      <c r="EY241" s="79"/>
      <c r="EZ241" s="79"/>
      <c r="FA241" s="79"/>
      <c r="FB241" s="79"/>
      <c r="FC241" s="79"/>
      <c r="FD241" s="79"/>
      <c r="FE241" s="79"/>
      <c r="FF241" s="79"/>
      <c r="FG241" s="79"/>
      <c r="FH241" s="79"/>
      <c r="FI241" s="79"/>
      <c r="FJ241" s="79"/>
      <c r="FK241" s="79"/>
      <c r="FL241" s="79"/>
      <c r="FM241" s="48"/>
      <c r="FN241" s="48"/>
      <c r="FO241" s="48"/>
      <c r="FP241" s="48"/>
      <c r="FQ241" s="48"/>
      <c r="FR241" s="48"/>
      <c r="FS241" s="48"/>
      <c r="FT241" s="48"/>
      <c r="FU241" s="47"/>
      <c r="FV241" s="48"/>
      <c r="FW241" s="48"/>
      <c r="FX241" s="48"/>
      <c r="FY241" s="48"/>
      <c r="FZ241" s="48"/>
      <c r="GA241" s="49"/>
      <c r="GB241" s="49"/>
      <c r="GC241" s="49"/>
      <c r="GD241" s="49"/>
      <c r="GE241" s="49"/>
      <c r="GF241" s="49"/>
      <c r="GG241" s="49"/>
      <c r="GH241" s="49"/>
      <c r="GI241" s="49"/>
      <c r="GJ241" s="49"/>
      <c r="GK241" s="49"/>
      <c r="GL241" s="49"/>
      <c r="GM241" s="49"/>
      <c r="GN241" s="49"/>
      <c r="GO241" s="49"/>
      <c r="GP241" s="49"/>
      <c r="GQ241" s="49"/>
      <c r="GR241" s="49"/>
      <c r="GS241" s="49"/>
      <c r="GT241" s="49"/>
      <c r="GU241" s="49"/>
      <c r="GV241" s="49"/>
      <c r="GW241" s="49"/>
      <c r="GX241" s="49"/>
      <c r="GY241" s="49"/>
      <c r="GZ241" s="49"/>
      <c r="HA241" s="49"/>
      <c r="HB241" s="49"/>
      <c r="HC241" s="49"/>
      <c r="HD241" s="49"/>
      <c r="HE241" s="49"/>
      <c r="HF241" s="49"/>
      <c r="HG241" s="49"/>
      <c r="HH241" s="49"/>
      <c r="HI241" s="49"/>
      <c r="HJ241" s="49"/>
      <c r="HK241" s="49"/>
      <c r="HL241" s="49"/>
      <c r="HM241" s="49"/>
    </row>
    <row r="242" spans="1:221" ht="3.75" customHeight="1">
      <c r="A242" s="1"/>
      <c r="B242" s="3"/>
      <c r="C242" s="3"/>
      <c r="D242" s="12"/>
      <c r="E242" s="197"/>
      <c r="F242" s="197"/>
      <c r="G242" s="39"/>
      <c r="H242" s="39"/>
      <c r="I242" s="39"/>
      <c r="J242" s="39"/>
      <c r="K242" s="197"/>
      <c r="L242" s="39"/>
      <c r="M242" s="39"/>
      <c r="N242" s="39"/>
      <c r="O242" s="39"/>
      <c r="P242" s="39"/>
      <c r="Q242" s="39"/>
      <c r="R242" s="39"/>
      <c r="S242" s="39"/>
      <c r="T242" s="39"/>
      <c r="U242" s="39"/>
      <c r="V242" s="39"/>
      <c r="W242" s="39"/>
      <c r="X242" s="39"/>
      <c r="Y242" s="39"/>
      <c r="Z242" s="39"/>
      <c r="AA242" s="39"/>
      <c r="AB242" s="39"/>
      <c r="AC242" s="39"/>
      <c r="AD242" s="197"/>
      <c r="AE242" s="197"/>
      <c r="AF242" s="197"/>
      <c r="AG242" s="197"/>
      <c r="AH242" s="197"/>
      <c r="AI242" s="197"/>
      <c r="AJ242" s="197"/>
      <c r="AK242" s="197"/>
      <c r="AL242" s="197"/>
      <c r="AM242" s="126"/>
      <c r="AN242" s="43" t="str">
        <f t="shared" ca="1" si="31"/>
        <v/>
      </c>
      <c r="AO242" s="228" t="str">
        <f t="shared" ref="AO242:AY244" ca="1" si="42">IF(AND($FN$156=1,$BC$198=6),"*",IF(AND($FN$156=1,$BC$198=4),"-",""))</f>
        <v/>
      </c>
      <c r="AP242" s="228" t="str">
        <f t="shared" ca="1" si="42"/>
        <v/>
      </c>
      <c r="AQ242" s="228" t="str">
        <f t="shared" ca="1" si="42"/>
        <v/>
      </c>
      <c r="AR242" s="228" t="str">
        <f t="shared" ca="1" si="42"/>
        <v/>
      </c>
      <c r="AS242" s="228" t="str">
        <f t="shared" ca="1" si="42"/>
        <v/>
      </c>
      <c r="AT242" s="228" t="str">
        <f t="shared" ca="1" si="42"/>
        <v/>
      </c>
      <c r="AU242" s="228" t="str">
        <f t="shared" ca="1" si="42"/>
        <v/>
      </c>
      <c r="AV242" s="228" t="str">
        <f t="shared" ca="1" si="42"/>
        <v/>
      </c>
      <c r="AW242" s="228" t="str">
        <f t="shared" ca="1" si="42"/>
        <v/>
      </c>
      <c r="AX242" s="228" t="str">
        <f t="shared" ca="1" si="42"/>
        <v/>
      </c>
      <c r="AY242" s="228" t="str">
        <f t="shared" ca="1" si="42"/>
        <v/>
      </c>
      <c r="AZ242" s="228" t="str">
        <f ca="1">IF(AND($FN$156=1,$BC$198=6),"*",IF(AND($FN$156=1,$BC$198=1),"`",IF(AND($FN$156=1,$BC$198=4),"-","")))</f>
        <v/>
      </c>
      <c r="BA242" s="228" t="str">
        <f ca="1">IF(AND($FN$156=1,$BC$198=6),"*",IF(AND($FN$156=1,$BC$198=1),"`",IF(AND($FN$156=1,$BC$198=4),"-","")))</f>
        <v/>
      </c>
      <c r="BB242" s="228" t="str">
        <f ca="1">IF(AND($FN$156=1,$BC$198=6),"*",IF(AND($FN$156=1,$BC$198=1),"`",IF(AND($FN$156=1,$BC$198=4),"-","")))</f>
        <v/>
      </c>
      <c r="BC242" s="228" t="str">
        <f t="shared" ref="BC242:BC248" ca="1" si="43">IF(AND($FN$156=1,$BC$198=6),"*",IF(AND($FN$156=1,$BC$198=4),"-",""))</f>
        <v/>
      </c>
      <c r="BD242" s="228" t="str">
        <f t="shared" ref="BD242:BD248" ca="1" si="44">IF(AND($FN$156=1,$BC$198&gt;=2),"`","")</f>
        <v/>
      </c>
      <c r="BE242" s="230" t="str">
        <f ca="1">IF($FN$237=0,"","!")</f>
        <v/>
      </c>
      <c r="BF242" s="237"/>
      <c r="BG242" s="237"/>
      <c r="BH242" s="237"/>
      <c r="BI242" s="230" t="str">
        <f ca="1">IF($FN$237=0,"","!")</f>
        <v/>
      </c>
      <c r="BJ242" s="229"/>
      <c r="BK242" s="229"/>
      <c r="BL242" s="229"/>
      <c r="BM242" s="230" t="str">
        <f ca="1">IF($FN$237=0,"","!")</f>
        <v/>
      </c>
      <c r="BN242" s="229"/>
      <c r="BO242" s="230"/>
      <c r="BP242" s="230" t="str">
        <f ca="1">IF($FN$237=0,"","!")</f>
        <v/>
      </c>
      <c r="BQ242" s="230" t="str">
        <f ca="1">IF($FN$237=0,"","!")</f>
        <v/>
      </c>
      <c r="BR242" s="237"/>
      <c r="BS242" s="237"/>
      <c r="BT242" s="237"/>
      <c r="BU242" s="237"/>
      <c r="BV242" s="230" t="str">
        <f ca="1">IF($FN$237=0,"",":")</f>
        <v/>
      </c>
      <c r="BW242" s="230"/>
      <c r="BX242" s="230"/>
      <c r="BY242" s="230"/>
      <c r="BZ242" s="230"/>
      <c r="CA242" s="230"/>
      <c r="CB242" s="230"/>
      <c r="CC242" s="239"/>
      <c r="CD242" s="239"/>
      <c r="CE242" s="146"/>
      <c r="CF242" s="45"/>
      <c r="CG242" s="45"/>
      <c r="CH242" s="45"/>
      <c r="CI242" s="197" t="str">
        <f ca="1">IF($FN$237=0,"","^")</f>
        <v/>
      </c>
      <c r="CJ242" s="45"/>
      <c r="CK242" s="45"/>
      <c r="CL242" s="45"/>
      <c r="CM242" s="197" t="str">
        <f ca="1">IF($FN$237=0,"","^")</f>
        <v/>
      </c>
      <c r="CN242" s="45"/>
      <c r="CO242" s="197" t="str">
        <f ca="1">IF($FN$237=0,"","^")</f>
        <v/>
      </c>
      <c r="CP242" s="45"/>
      <c r="CQ242" s="45"/>
      <c r="CR242" s="197" t="str">
        <f ca="1">IF($FN$237=0,"","^")</f>
        <v/>
      </c>
      <c r="CS242" s="45"/>
      <c r="CT242" s="197" t="str">
        <f ca="1">IF($FN$237=0,"","^")</f>
        <v/>
      </c>
      <c r="CU242" s="197" t="str">
        <f ca="1">IF($FN$237=0,"","^")</f>
        <v/>
      </c>
      <c r="CV242" s="197" t="str">
        <f ca="1">IF($FN$237=0,"","^")</f>
        <v/>
      </c>
      <c r="CW242" s="45"/>
      <c r="CX242" s="45"/>
      <c r="CY242" s="197" t="str">
        <f ca="1">IF($FN$237=0,"","^")</f>
        <v/>
      </c>
      <c r="CZ242" s="197" t="str">
        <f ca="1">IF($FN$237=0,"","^")</f>
        <v/>
      </c>
      <c r="DA242" s="197" t="str">
        <f ca="1">IF($FN$237=0,"","^")</f>
        <v/>
      </c>
      <c r="DB242" s="43"/>
      <c r="DC242" s="45"/>
      <c r="DD242" s="45"/>
      <c r="DE242" s="197" t="str">
        <f ca="1">IF($FN$237=0,"","^")</f>
        <v/>
      </c>
      <c r="DF242" s="45"/>
      <c r="DG242" s="45"/>
      <c r="DH242" s="45"/>
      <c r="DI242" s="197" t="str">
        <f ca="1">IF($FN$237=0,"","^")</f>
        <v/>
      </c>
      <c r="DJ242" s="45"/>
      <c r="DK242" s="45"/>
      <c r="DL242" s="197" t="str">
        <f ca="1">IF($FN$237=0,"","^")</f>
        <v/>
      </c>
      <c r="DM242" s="45"/>
      <c r="DN242" s="45"/>
      <c r="DO242" s="45"/>
      <c r="DP242" s="45"/>
      <c r="DQ242" s="45"/>
      <c r="DR242" s="45"/>
      <c r="DS242" s="45"/>
      <c r="DT242" s="45"/>
      <c r="DU242" s="45"/>
      <c r="DV242" s="45"/>
      <c r="DW242" s="45"/>
      <c r="DX242" s="45"/>
      <c r="DY242" s="45"/>
      <c r="DZ242" s="45"/>
      <c r="EA242" s="45"/>
      <c r="EB242" s="45"/>
      <c r="EC242" s="45"/>
      <c r="ED242" s="45"/>
      <c r="EE242" s="197"/>
      <c r="EF242" s="197"/>
      <c r="EG242" s="197"/>
      <c r="EH242" s="197"/>
      <c r="EI242" s="197"/>
      <c r="EJ242" s="197"/>
      <c r="EK242" s="39"/>
      <c r="EL242" s="39"/>
      <c r="EM242" s="39"/>
      <c r="EN242" s="39"/>
      <c r="EO242" s="39"/>
      <c r="EP242" s="39"/>
      <c r="EQ242" s="39"/>
      <c r="ER242" s="39"/>
      <c r="ES242" s="79"/>
      <c r="ET242" s="79"/>
      <c r="EU242" s="79"/>
      <c r="EV242" s="79"/>
      <c r="EW242" s="79"/>
      <c r="EX242" s="79"/>
      <c r="EY242" s="79"/>
      <c r="EZ242" s="79"/>
      <c r="FA242" s="79"/>
      <c r="FB242" s="79"/>
      <c r="FC242" s="79"/>
      <c r="FD242" s="79"/>
      <c r="FE242" s="79"/>
      <c r="FF242" s="79"/>
      <c r="FG242" s="79"/>
      <c r="FH242" s="79"/>
      <c r="FI242" s="79"/>
      <c r="FJ242" s="79"/>
      <c r="FK242" s="79"/>
      <c r="FL242" s="79"/>
      <c r="FM242" s="48"/>
      <c r="FN242" s="48">
        <f ca="1">IF(programma!B1="X",1,IF(FP1=0,0,IF(programma!E6="Docentversie",1,IF(FN237=0,0,IF(BC198=7,1,0)))))</f>
        <v>0</v>
      </c>
      <c r="FO242" s="48">
        <v>1</v>
      </c>
      <c r="FP242" s="48">
        <v>2</v>
      </c>
      <c r="FQ242" s="48">
        <v>3</v>
      </c>
      <c r="FR242" s="48">
        <v>4</v>
      </c>
      <c r="FS242" s="48">
        <v>5</v>
      </c>
      <c r="FT242" s="48">
        <v>6</v>
      </c>
      <c r="FU242" s="47">
        <v>7</v>
      </c>
      <c r="FV242" s="48"/>
      <c r="FW242" s="48"/>
      <c r="FX242" s="48"/>
      <c r="FY242" s="48"/>
      <c r="FZ242" s="48"/>
      <c r="GA242" s="49"/>
      <c r="GB242" s="49"/>
      <c r="GC242" s="49"/>
      <c r="GD242" s="49"/>
      <c r="GE242" s="49"/>
      <c r="GF242" s="49"/>
      <c r="GG242" s="49"/>
      <c r="GH242" s="49"/>
      <c r="GI242" s="49"/>
      <c r="GJ242" s="49"/>
      <c r="GK242" s="49"/>
      <c r="GL242" s="49"/>
      <c r="GM242" s="49"/>
      <c r="GN242" s="49"/>
      <c r="GO242" s="49"/>
      <c r="GP242" s="49"/>
      <c r="GQ242" s="49"/>
      <c r="GR242" s="49"/>
      <c r="GS242" s="49"/>
      <c r="GT242" s="49"/>
      <c r="GU242" s="49"/>
      <c r="GV242" s="49"/>
      <c r="GW242" s="49"/>
      <c r="GX242" s="49"/>
      <c r="GY242" s="49"/>
      <c r="GZ242" s="49"/>
      <c r="HA242" s="49"/>
      <c r="HB242" s="49"/>
      <c r="HC242" s="49"/>
      <c r="HD242" s="49"/>
      <c r="HE242" s="49"/>
      <c r="HF242" s="49"/>
      <c r="HG242" s="49"/>
      <c r="HH242" s="49"/>
      <c r="HI242" s="49"/>
      <c r="HJ242" s="49"/>
      <c r="HK242" s="49"/>
      <c r="HL242" s="49"/>
      <c r="HM242" s="49"/>
    </row>
    <row r="243" spans="1:221" ht="3.75" customHeight="1">
      <c r="A243" s="1"/>
      <c r="B243" s="3"/>
      <c r="C243" s="3"/>
      <c r="D243" s="12"/>
      <c r="E243" s="197"/>
      <c r="F243" s="197"/>
      <c r="G243" s="39"/>
      <c r="H243" s="39"/>
      <c r="I243" s="39"/>
      <c r="J243" s="39"/>
      <c r="K243" s="197"/>
      <c r="L243" s="197"/>
      <c r="M243" s="197"/>
      <c r="N243" s="197"/>
      <c r="O243" s="39"/>
      <c r="P243" s="39"/>
      <c r="Q243" s="197"/>
      <c r="R243" s="197"/>
      <c r="S243" s="197"/>
      <c r="T243" s="197"/>
      <c r="U243" s="197"/>
      <c r="V243" s="197"/>
      <c r="W243" s="197"/>
      <c r="X243" s="197"/>
      <c r="Y243" s="197"/>
      <c r="Z243" s="197"/>
      <c r="AA243" s="197"/>
      <c r="AB243" s="197"/>
      <c r="AC243" s="197"/>
      <c r="AD243" s="197"/>
      <c r="AE243" s="197"/>
      <c r="AF243" s="197"/>
      <c r="AG243" s="197"/>
      <c r="AH243" s="197"/>
      <c r="AI243" s="197"/>
      <c r="AJ243" s="197"/>
      <c r="AK243" s="197"/>
      <c r="AL243" s="197"/>
      <c r="AM243" s="126"/>
      <c r="AN243" s="43" t="str">
        <f t="shared" ca="1" si="31"/>
        <v/>
      </c>
      <c r="AO243" s="228" t="str">
        <f t="shared" ca="1" si="42"/>
        <v/>
      </c>
      <c r="AP243" s="228" t="str">
        <f t="shared" ca="1" si="42"/>
        <v/>
      </c>
      <c r="AQ243" s="228" t="str">
        <f t="shared" ca="1" si="42"/>
        <v/>
      </c>
      <c r="AR243" s="228" t="str">
        <f t="shared" ca="1" si="42"/>
        <v/>
      </c>
      <c r="AS243" s="228" t="str">
        <f t="shared" ca="1" si="42"/>
        <v/>
      </c>
      <c r="AT243" s="228" t="str">
        <f t="shared" ca="1" si="42"/>
        <v/>
      </c>
      <c r="AU243" s="228" t="str">
        <f t="shared" ca="1" si="42"/>
        <v/>
      </c>
      <c r="AV243" s="228" t="str">
        <f t="shared" ca="1" si="42"/>
        <v/>
      </c>
      <c r="AW243" s="228" t="str">
        <f t="shared" ca="1" si="42"/>
        <v/>
      </c>
      <c r="AX243" s="228" t="str">
        <f t="shared" ca="1" si="42"/>
        <v/>
      </c>
      <c r="AY243" s="228" t="str">
        <f t="shared" ca="1" si="42"/>
        <v/>
      </c>
      <c r="AZ243" s="228" t="str">
        <f ca="1">IF(AND($FN$156=1,$BC$198=6),"*",IF(AND($FN$156=1,$BC$198=4),"-",""))</f>
        <v/>
      </c>
      <c r="BA243" s="228" t="str">
        <f ca="1">IF(AND($FN$156=1,$BC$198=6),"*",IF(AND($FN$156=1,$BC$198=1),"`",IF(AND($FN$156=1,$BC$198=4),"-","")))</f>
        <v/>
      </c>
      <c r="BB243" s="228" t="str">
        <f ca="1">IF(AND($FN$156=1,$BC$198=6),"*",IF(AND($FN$156=1,$BC$198=1),"`",IF(AND($FN$156=1,$BC$198=4),"-","")))</f>
        <v/>
      </c>
      <c r="BC243" s="228" t="str">
        <f t="shared" ca="1" si="43"/>
        <v/>
      </c>
      <c r="BD243" s="228" t="str">
        <f t="shared" ca="1" si="44"/>
        <v/>
      </c>
      <c r="BE243" s="230" t="str">
        <f ca="1">IF($FN$237=0,"","!")</f>
        <v/>
      </c>
      <c r="BF243" s="237"/>
      <c r="BG243" s="237"/>
      <c r="BH243" s="237"/>
      <c r="BI243" s="230" t="str">
        <f ca="1">IF($FN$237=0,"","!")</f>
        <v/>
      </c>
      <c r="BJ243" s="230" t="str">
        <f ca="1">IF($FN$237=0,"","!")</f>
        <v/>
      </c>
      <c r="BK243" s="229"/>
      <c r="BL243" s="230" t="str">
        <f ca="1">IF($FN$237=0,"","!")</f>
        <v/>
      </c>
      <c r="BM243" s="230" t="str">
        <f ca="1">IF($FN$237=0,"","!")</f>
        <v/>
      </c>
      <c r="BN243" s="229"/>
      <c r="BO243" s="230" t="str">
        <f ca="1">IF($FN$237=0,"","!")</f>
        <v/>
      </c>
      <c r="BP243" s="237"/>
      <c r="BQ243" s="237"/>
      <c r="BR243" s="230" t="str">
        <f ca="1">IF($FN$237=0,"","!")</f>
        <v/>
      </c>
      <c r="BS243" s="237"/>
      <c r="BT243" s="237"/>
      <c r="BU243" s="237"/>
      <c r="BV243" s="237"/>
      <c r="BW243" s="230" t="str">
        <f ca="1">IF($FN$237=0,"",":")</f>
        <v/>
      </c>
      <c r="BX243" s="230"/>
      <c r="BY243" s="230"/>
      <c r="BZ243" s="230"/>
      <c r="CA243" s="230"/>
      <c r="CB243" s="230"/>
      <c r="CC243" s="239"/>
      <c r="CD243" s="239"/>
      <c r="CE243" s="146"/>
      <c r="CF243" s="45"/>
      <c r="CG243" s="45"/>
      <c r="CH243" s="45"/>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5"/>
      <c r="DN243" s="45"/>
      <c r="DO243" s="45"/>
      <c r="DP243" s="45"/>
      <c r="DQ243" s="45"/>
      <c r="DR243" s="45"/>
      <c r="DS243" s="45"/>
      <c r="DT243" s="45"/>
      <c r="DU243" s="45"/>
      <c r="DV243" s="45"/>
      <c r="DW243" s="45"/>
      <c r="DX243" s="45"/>
      <c r="DY243" s="45"/>
      <c r="DZ243" s="45"/>
      <c r="EA243" s="45"/>
      <c r="EB243" s="45"/>
      <c r="EC243" s="45"/>
      <c r="ED243" s="45"/>
      <c r="EE243" s="197"/>
      <c r="EF243" s="197"/>
      <c r="EG243" s="197"/>
      <c r="EH243" s="197"/>
      <c r="EI243" s="197"/>
      <c r="EJ243" s="197"/>
      <c r="EK243" s="39"/>
      <c r="EL243" s="39"/>
      <c r="EM243" s="39"/>
      <c r="EN243" s="39"/>
      <c r="EO243" s="39"/>
      <c r="EP243" s="39"/>
      <c r="EQ243" s="39"/>
      <c r="ER243" s="39"/>
      <c r="ES243" s="79"/>
      <c r="ET243" s="79"/>
      <c r="EU243" s="79"/>
      <c r="EV243" s="79"/>
      <c r="EW243" s="79"/>
      <c r="EX243" s="79"/>
      <c r="EY243" s="79"/>
      <c r="EZ243" s="79"/>
      <c r="FA243" s="79"/>
      <c r="FB243" s="79"/>
      <c r="FC243" s="79"/>
      <c r="FD243" s="79"/>
      <c r="FE243" s="79"/>
      <c r="FF243" s="79"/>
      <c r="FG243" s="79"/>
      <c r="FH243" s="79"/>
      <c r="FI243" s="79"/>
      <c r="FJ243" s="79"/>
      <c r="FK243" s="79"/>
      <c r="FL243" s="79"/>
      <c r="FM243" s="48"/>
      <c r="FN243" s="48"/>
      <c r="FO243" s="48"/>
      <c r="FP243" s="48"/>
      <c r="FQ243" s="48"/>
      <c r="FR243" s="48"/>
      <c r="FS243" s="48"/>
      <c r="FT243" s="48"/>
      <c r="FU243" s="47"/>
      <c r="FV243" s="48"/>
      <c r="FW243" s="48"/>
      <c r="FX243" s="48"/>
      <c r="FY243" s="48"/>
      <c r="FZ243" s="48"/>
      <c r="GA243" s="49"/>
      <c r="GB243" s="49"/>
      <c r="GC243" s="49"/>
      <c r="GD243" s="49"/>
      <c r="GE243" s="49"/>
      <c r="GF243" s="49"/>
      <c r="GG243" s="49"/>
      <c r="GH243" s="49"/>
      <c r="GI243" s="49"/>
      <c r="GJ243" s="49"/>
      <c r="GK243" s="49"/>
      <c r="GL243" s="49"/>
      <c r="GM243" s="49"/>
      <c r="GN243" s="49"/>
      <c r="GO243" s="49"/>
      <c r="GP243" s="49"/>
      <c r="GQ243" s="49"/>
      <c r="GR243" s="49"/>
      <c r="GS243" s="49"/>
      <c r="GT243" s="49"/>
      <c r="GU243" s="49"/>
      <c r="GV243" s="49"/>
      <c r="GW243" s="49"/>
      <c r="GX243" s="49"/>
      <c r="GY243" s="49"/>
      <c r="GZ243" s="49"/>
      <c r="HA243" s="49"/>
      <c r="HB243" s="49"/>
      <c r="HC243" s="49"/>
      <c r="HD243" s="49"/>
      <c r="HE243" s="49"/>
      <c r="HF243" s="49"/>
      <c r="HG243" s="49"/>
      <c r="HH243" s="49"/>
      <c r="HI243" s="49"/>
      <c r="HJ243" s="49"/>
      <c r="HK243" s="49"/>
      <c r="HL243" s="49"/>
      <c r="HM243" s="49"/>
    </row>
    <row r="244" spans="1:221" ht="3.75" customHeight="1">
      <c r="A244" s="1"/>
      <c r="B244" s="3"/>
      <c r="C244" s="3"/>
      <c r="D244" s="12"/>
      <c r="E244" s="197"/>
      <c r="F244" s="197"/>
      <c r="G244" s="39"/>
      <c r="H244" s="39"/>
      <c r="I244" s="39"/>
      <c r="J244" s="39"/>
      <c r="K244" s="197"/>
      <c r="L244" s="197"/>
      <c r="M244" s="197"/>
      <c r="N244" s="197"/>
      <c r="O244" s="39"/>
      <c r="P244" s="39"/>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26"/>
      <c r="AN244" s="43" t="str">
        <f t="shared" ca="1" si="31"/>
        <v/>
      </c>
      <c r="AO244" s="228" t="str">
        <f t="shared" ca="1" si="42"/>
        <v/>
      </c>
      <c r="AP244" s="228" t="str">
        <f t="shared" ca="1" si="42"/>
        <v/>
      </c>
      <c r="AQ244" s="228" t="str">
        <f t="shared" ca="1" si="42"/>
        <v/>
      </c>
      <c r="AR244" s="228" t="str">
        <f t="shared" ca="1" si="42"/>
        <v/>
      </c>
      <c r="AS244" s="228" t="str">
        <f t="shared" ca="1" si="42"/>
        <v/>
      </c>
      <c r="AT244" s="228" t="str">
        <f t="shared" ca="1" si="42"/>
        <v/>
      </c>
      <c r="AU244" s="228" t="str">
        <f t="shared" ca="1" si="42"/>
        <v/>
      </c>
      <c r="AV244" s="228" t="str">
        <f t="shared" ca="1" si="42"/>
        <v/>
      </c>
      <c r="AW244" s="228" t="str">
        <f t="shared" ca="1" si="42"/>
        <v/>
      </c>
      <c r="AX244" s="228" t="str">
        <f t="shared" ca="1" si="42"/>
        <v/>
      </c>
      <c r="AY244" s="228" t="str">
        <f t="shared" ca="1" si="42"/>
        <v/>
      </c>
      <c r="AZ244" s="228" t="str">
        <f ca="1">IF(AND($FN$156=1,$BC$198=6),"*",IF(AND($FN$156=1,$BC$198=1),"`",IF(AND($FN$156=1,$BC$198=4),"-","")))</f>
        <v/>
      </c>
      <c r="BA244" s="228" t="str">
        <f ca="1">IF(AND($FN$156=1,$BC$198=6),"*",IF(AND($FN$156=1,$BC$198=4),"-",""))</f>
        <v/>
      </c>
      <c r="BB244" s="228" t="str">
        <f ca="1">IF(AND($FN$156=1,$BC$198=6),"*",IF(AND($FN$156=1,$BC$198=1),"`",IF(AND($FN$156=1,$BC$198=4),"-","")))</f>
        <v/>
      </c>
      <c r="BC244" s="228" t="str">
        <f t="shared" ca="1" si="43"/>
        <v/>
      </c>
      <c r="BD244" s="228" t="str">
        <f t="shared" ca="1" si="44"/>
        <v/>
      </c>
      <c r="BE244" s="237"/>
      <c r="BF244" s="230" t="str">
        <f ca="1">IF($FN$237=0,"","!")</f>
        <v/>
      </c>
      <c r="BG244" s="237"/>
      <c r="BH244" s="237"/>
      <c r="BI244" s="230" t="str">
        <f ca="1">IF($FN$237=0,"","!")</f>
        <v/>
      </c>
      <c r="BJ244" s="229"/>
      <c r="BK244" s="230" t="str">
        <f ca="1">IF($FN$237=0,"","!")</f>
        <v/>
      </c>
      <c r="BL244" s="229"/>
      <c r="BM244" s="230" t="str">
        <f ca="1">IF($FN$237=0,"","!")</f>
        <v/>
      </c>
      <c r="BN244" s="229"/>
      <c r="BO244" s="230" t="str">
        <f ca="1">IF($FN$237=0,"","!")</f>
        <v/>
      </c>
      <c r="BP244" s="237"/>
      <c r="BQ244" s="237"/>
      <c r="BR244" s="230" t="str">
        <f ca="1">IF($FN$237=0,"","!")</f>
        <v/>
      </c>
      <c r="BS244" s="237"/>
      <c r="BT244" s="237"/>
      <c r="BU244" s="237"/>
      <c r="BV244" s="237"/>
      <c r="BW244" s="237"/>
      <c r="BX244" s="230" t="str">
        <f ca="1">IF($FN$237=0,"",":")</f>
        <v/>
      </c>
      <c r="BY244" s="230"/>
      <c r="BZ244" s="230"/>
      <c r="CA244" s="230"/>
      <c r="CB244" s="230"/>
      <c r="CC244" s="239"/>
      <c r="CD244" s="239"/>
      <c r="CE244" s="146"/>
      <c r="CF244" s="45"/>
      <c r="CG244" s="45"/>
      <c r="CH244" s="45"/>
      <c r="CI244" s="45"/>
      <c r="CJ244" s="45"/>
      <c r="CK244" s="45"/>
      <c r="CL244" s="45"/>
      <c r="CM244" s="45"/>
      <c r="CN244" s="45"/>
      <c r="CO244" s="45"/>
      <c r="CP244" s="45"/>
      <c r="CQ244" s="45"/>
      <c r="CR244" s="45"/>
      <c r="CS244" s="45"/>
      <c r="CT244" s="45"/>
      <c r="CU244" s="45"/>
      <c r="CV244" s="45"/>
      <c r="CW244" s="45"/>
      <c r="CX244" s="45"/>
      <c r="CY244" s="45"/>
      <c r="CZ244" s="45"/>
      <c r="DA244" s="45"/>
      <c r="DB244" s="45"/>
      <c r="DC244" s="45"/>
      <c r="DD244" s="45"/>
      <c r="DE244" s="45"/>
      <c r="DF244" s="45"/>
      <c r="DG244" s="45"/>
      <c r="DH244" s="45"/>
      <c r="DI244" s="45"/>
      <c r="DJ244" s="45"/>
      <c r="DK244" s="45"/>
      <c r="DL244" s="45"/>
      <c r="DM244" s="45"/>
      <c r="DN244" s="45"/>
      <c r="DO244" s="45"/>
      <c r="DP244" s="45"/>
      <c r="DQ244" s="45"/>
      <c r="DR244" s="45"/>
      <c r="DS244" s="45"/>
      <c r="DT244" s="45"/>
      <c r="DU244" s="45"/>
      <c r="DV244" s="45"/>
      <c r="DW244" s="45"/>
      <c r="DX244" s="45"/>
      <c r="DY244" s="45"/>
      <c r="DZ244" s="45"/>
      <c r="EA244" s="45"/>
      <c r="EB244" s="45"/>
      <c r="EC244" s="45"/>
      <c r="ED244" s="45"/>
      <c r="EE244" s="197"/>
      <c r="EF244" s="197"/>
      <c r="EG244" s="197"/>
      <c r="EH244" s="197"/>
      <c r="EI244" s="197"/>
      <c r="EJ244" s="197"/>
      <c r="EK244" s="39"/>
      <c r="EL244" s="39"/>
      <c r="EM244" s="39"/>
      <c r="EN244" s="39"/>
      <c r="EO244" s="39"/>
      <c r="EP244" s="39"/>
      <c r="EQ244" s="39"/>
      <c r="ER244" s="39"/>
      <c r="ES244" s="79"/>
      <c r="ET244" s="79"/>
      <c r="EU244" s="79"/>
      <c r="EV244" s="79"/>
      <c r="EW244" s="79"/>
      <c r="EX244" s="79"/>
      <c r="EY244" s="79"/>
      <c r="EZ244" s="79"/>
      <c r="FA244" s="79"/>
      <c r="FB244" s="79"/>
      <c r="FC244" s="79"/>
      <c r="FD244" s="79"/>
      <c r="FE244" s="79"/>
      <c r="FF244" s="79"/>
      <c r="FG244" s="79"/>
      <c r="FH244" s="79"/>
      <c r="FI244" s="79"/>
      <c r="FJ244" s="79"/>
      <c r="FK244" s="79"/>
      <c r="FL244" s="79"/>
      <c r="FM244" s="48"/>
      <c r="FN244" s="48"/>
      <c r="FO244" s="48"/>
      <c r="FP244" s="48"/>
      <c r="FQ244" s="48"/>
      <c r="FR244" s="48"/>
      <c r="FS244" s="48"/>
      <c r="FT244" s="48"/>
      <c r="FU244" s="47"/>
      <c r="FV244" s="48"/>
      <c r="FW244" s="48"/>
      <c r="FX244" s="48"/>
      <c r="FY244" s="48"/>
      <c r="FZ244" s="48"/>
      <c r="GA244" s="49"/>
      <c r="GB244" s="49"/>
      <c r="GC244" s="49"/>
      <c r="GD244" s="49"/>
      <c r="GE244" s="49"/>
      <c r="GF244" s="49"/>
      <c r="GG244" s="49"/>
      <c r="GH244" s="49"/>
      <c r="GI244" s="49"/>
      <c r="GJ244" s="49"/>
      <c r="GK244" s="49"/>
      <c r="GL244" s="49"/>
      <c r="GM244" s="49"/>
      <c r="GN244" s="49"/>
      <c r="GO244" s="49"/>
      <c r="GP244" s="49"/>
      <c r="GQ244" s="49"/>
      <c r="GR244" s="49"/>
      <c r="GS244" s="49"/>
      <c r="GT244" s="49"/>
      <c r="GU244" s="49"/>
      <c r="GV244" s="49"/>
      <c r="GW244" s="49"/>
      <c r="GX244" s="49"/>
      <c r="GY244" s="49"/>
      <c r="GZ244" s="49"/>
      <c r="HA244" s="49"/>
      <c r="HB244" s="49"/>
      <c r="HC244" s="49"/>
      <c r="HD244" s="49"/>
      <c r="HE244" s="49"/>
      <c r="HF244" s="49"/>
      <c r="HG244" s="49"/>
      <c r="HH244" s="49"/>
      <c r="HI244" s="49"/>
      <c r="HJ244" s="49"/>
      <c r="HK244" s="49"/>
      <c r="HL244" s="49"/>
      <c r="HM244" s="49"/>
    </row>
    <row r="245" spans="1:221" ht="3.75" customHeight="1">
      <c r="A245" s="1"/>
      <c r="B245" s="3"/>
      <c r="C245" s="3"/>
      <c r="D245" s="12"/>
      <c r="E245" s="197"/>
      <c r="F245" s="197"/>
      <c r="G245" s="39"/>
      <c r="H245" s="39"/>
      <c r="I245" s="39"/>
      <c r="J245" s="39"/>
      <c r="K245" s="197"/>
      <c r="L245" s="197"/>
      <c r="M245" s="197"/>
      <c r="N245" s="197"/>
      <c r="O245" s="39"/>
      <c r="P245" s="39"/>
      <c r="Q245" s="197"/>
      <c r="R245" s="197"/>
      <c r="S245" s="197"/>
      <c r="T245" s="197"/>
      <c r="U245" s="197"/>
      <c r="V245" s="197"/>
      <c r="W245" s="197"/>
      <c r="X245" s="197"/>
      <c r="Y245" s="197"/>
      <c r="Z245" s="197"/>
      <c r="AA245" s="197"/>
      <c r="AB245" s="197"/>
      <c r="AC245" s="197"/>
      <c r="AD245" s="197"/>
      <c r="AE245" s="197"/>
      <c r="AF245" s="197"/>
      <c r="AG245" s="197"/>
      <c r="AH245" s="197"/>
      <c r="AI245" s="197"/>
      <c r="AJ245" s="197"/>
      <c r="AK245" s="197"/>
      <c r="AL245" s="197"/>
      <c r="AM245" s="126"/>
      <c r="AN245" s="43" t="str">
        <f t="shared" ca="1" si="31"/>
        <v/>
      </c>
      <c r="AO245" s="228" t="str">
        <f t="shared" ref="AO245:AX248" ca="1" si="45">IF(AND($FN$156=1,$BC$198=6),"*",IF(AND($FN$156=1,$BC$198=4),"-",""))</f>
        <v/>
      </c>
      <c r="AP245" s="228" t="str">
        <f t="shared" ca="1" si="45"/>
        <v/>
      </c>
      <c r="AQ245" s="228" t="str">
        <f t="shared" ca="1" si="45"/>
        <v/>
      </c>
      <c r="AR245" s="228" t="str">
        <f t="shared" ca="1" si="45"/>
        <v/>
      </c>
      <c r="AS245" s="228" t="str">
        <f t="shared" ca="1" si="45"/>
        <v/>
      </c>
      <c r="AT245" s="228" t="str">
        <f t="shared" ca="1" si="45"/>
        <v/>
      </c>
      <c r="AU245" s="228" t="str">
        <f t="shared" ca="1" si="45"/>
        <v/>
      </c>
      <c r="AV245" s="228" t="str">
        <f t="shared" ca="1" si="45"/>
        <v/>
      </c>
      <c r="AW245" s="228" t="str">
        <f t="shared" ca="1" si="45"/>
        <v/>
      </c>
      <c r="AX245" s="228" t="str">
        <f t="shared" ca="1" si="45"/>
        <v/>
      </c>
      <c r="AY245" s="228" t="str">
        <f ca="1">IF(AND($FN$156=1,$BC$198=6),"*",IF(AND($FN$156=1,$BC$198=1),"`",IF(AND($FN$156=1,$BC$198=4),"-","")))</f>
        <v/>
      </c>
      <c r="AZ245" s="228" t="str">
        <f ca="1">IF(AND($FN$156=1,$BC$198=6),"*",IF(AND($FN$156=1,$BC$198=4),"-",""))</f>
        <v/>
      </c>
      <c r="BA245" s="228" t="str">
        <f ca="1">IF(AND($FN$156=1,$BC$198=6),"*",IF(AND($FN$156=1,$BC$198=4),"-",""))</f>
        <v/>
      </c>
      <c r="BB245" s="228" t="str">
        <f ca="1">IF(AND($FN$156=1,$BC$198=6),"*",IF(AND($FN$156=1,$BC$198=4),"-",""))</f>
        <v/>
      </c>
      <c r="BC245" s="228" t="str">
        <f t="shared" ca="1" si="43"/>
        <v/>
      </c>
      <c r="BD245" s="228" t="str">
        <f t="shared" ca="1" si="44"/>
        <v/>
      </c>
      <c r="BE245" s="237"/>
      <c r="BF245" s="230" t="str">
        <f ca="1">IF($FN$237=0,"","!")</f>
        <v/>
      </c>
      <c r="BG245" s="237"/>
      <c r="BH245" s="237"/>
      <c r="BI245" s="230" t="str">
        <f ca="1">IF($FN$237=0,"","!")</f>
        <v/>
      </c>
      <c r="BJ245" s="229"/>
      <c r="BK245" s="229"/>
      <c r="BL245" s="229"/>
      <c r="BM245" s="230" t="str">
        <f ca="1">IF($FN$237=0,"","!")</f>
        <v/>
      </c>
      <c r="BN245" s="229"/>
      <c r="BO245" s="230" t="str">
        <f ca="1">IF($FN$237=0,"","!")</f>
        <v/>
      </c>
      <c r="BP245" s="237"/>
      <c r="BQ245" s="237"/>
      <c r="BR245" s="230" t="str">
        <f ca="1">IF($FN$237=0,"","!")</f>
        <v/>
      </c>
      <c r="BS245" s="237"/>
      <c r="BT245" s="237"/>
      <c r="BU245" s="237"/>
      <c r="BV245" s="237"/>
      <c r="BW245" s="237"/>
      <c r="BX245" s="237"/>
      <c r="BY245" s="230" t="str">
        <f ca="1">IF($FN$237=0,"",":")</f>
        <v/>
      </c>
      <c r="BZ245" s="230"/>
      <c r="CA245" s="230"/>
      <c r="CB245" s="230"/>
      <c r="CC245" s="231"/>
      <c r="CD245" s="231"/>
      <c r="CE245" s="126"/>
      <c r="CF245" s="45"/>
      <c r="CG245" s="45"/>
      <c r="CH245" s="45"/>
      <c r="CI245" s="45"/>
      <c r="CJ245" s="45"/>
      <c r="CK245" s="45"/>
      <c r="CL245" s="45"/>
      <c r="CM245" s="45"/>
      <c r="CN245" s="45"/>
      <c r="CO245" s="45"/>
      <c r="CP245" s="45"/>
      <c r="CQ245" s="45"/>
      <c r="CR245" s="45"/>
      <c r="CS245" s="45"/>
      <c r="CT245" s="45"/>
      <c r="CU245" s="45"/>
      <c r="CV245" s="45"/>
      <c r="CW245" s="45"/>
      <c r="CX245" s="45"/>
      <c r="CY245" s="45"/>
      <c r="CZ245" s="45"/>
      <c r="DA245" s="45"/>
      <c r="DB245" s="45"/>
      <c r="DC245" s="45"/>
      <c r="DD245" s="45"/>
      <c r="DE245" s="45"/>
      <c r="DF245" s="45"/>
      <c r="DG245" s="45"/>
      <c r="DH245" s="45"/>
      <c r="DI245" s="45"/>
      <c r="DJ245" s="45"/>
      <c r="DK245" s="45"/>
      <c r="DL245" s="45"/>
      <c r="DM245" s="45"/>
      <c r="DN245" s="45"/>
      <c r="DO245" s="45"/>
      <c r="DP245" s="45"/>
      <c r="DQ245" s="45"/>
      <c r="DR245" s="45"/>
      <c r="DS245" s="45"/>
      <c r="DT245" s="45"/>
      <c r="DU245" s="45"/>
      <c r="DV245" s="45"/>
      <c r="DW245" s="45"/>
      <c r="DX245" s="45"/>
      <c r="DY245" s="45"/>
      <c r="DZ245" s="45"/>
      <c r="EA245" s="45"/>
      <c r="EB245" s="45"/>
      <c r="EC245" s="45"/>
      <c r="ED245" s="45"/>
      <c r="EE245" s="197"/>
      <c r="EF245" s="197"/>
      <c r="EG245" s="197"/>
      <c r="EH245" s="197"/>
      <c r="EI245" s="197"/>
      <c r="EJ245" s="197"/>
      <c r="EK245" s="39"/>
      <c r="EL245" s="39"/>
      <c r="EM245" s="39"/>
      <c r="EN245" s="39"/>
      <c r="EO245" s="39"/>
      <c r="EP245" s="39"/>
      <c r="EQ245" s="39"/>
      <c r="ER245" s="39"/>
      <c r="ES245" s="79"/>
      <c r="ET245" s="79"/>
      <c r="EU245" s="79"/>
      <c r="EV245" s="79"/>
      <c r="EW245" s="79"/>
      <c r="EX245" s="79"/>
      <c r="EY245" s="79"/>
      <c r="EZ245" s="79"/>
      <c r="FA245" s="79"/>
      <c r="FB245" s="79"/>
      <c r="FC245" s="79"/>
      <c r="FD245" s="79"/>
      <c r="FE245" s="79"/>
      <c r="FF245" s="79"/>
      <c r="FG245" s="79"/>
      <c r="FH245" s="79"/>
      <c r="FI245" s="79"/>
      <c r="FJ245" s="79"/>
      <c r="FK245" s="79"/>
      <c r="FL245" s="79"/>
      <c r="FM245" s="48"/>
      <c r="FN245" s="48"/>
      <c r="FO245" s="48"/>
      <c r="FP245" s="48"/>
      <c r="FQ245" s="48"/>
      <c r="FR245" s="48"/>
      <c r="FS245" s="48"/>
      <c r="FT245" s="48"/>
      <c r="FU245" s="47"/>
      <c r="FV245" s="48"/>
      <c r="FW245" s="48"/>
      <c r="FX245" s="48"/>
      <c r="FY245" s="48"/>
      <c r="FZ245" s="48"/>
      <c r="GA245" s="49"/>
      <c r="GB245" s="49"/>
      <c r="GC245" s="49"/>
      <c r="GD245" s="49"/>
      <c r="GE245" s="49"/>
      <c r="GF245" s="49"/>
      <c r="GG245" s="49"/>
      <c r="GH245" s="49"/>
      <c r="GI245" s="49"/>
      <c r="GJ245" s="49"/>
      <c r="GK245" s="49"/>
      <c r="GL245" s="49"/>
      <c r="GM245" s="49"/>
      <c r="GN245" s="49"/>
      <c r="GO245" s="49"/>
      <c r="GP245" s="49"/>
      <c r="GQ245" s="49"/>
      <c r="GR245" s="49"/>
      <c r="GS245" s="49"/>
      <c r="GT245" s="49"/>
      <c r="GU245" s="49"/>
      <c r="GV245" s="49"/>
      <c r="GW245" s="49"/>
      <c r="GX245" s="49"/>
      <c r="GY245" s="49"/>
      <c r="GZ245" s="49"/>
      <c r="HA245" s="49"/>
      <c r="HB245" s="49"/>
      <c r="HC245" s="49"/>
      <c r="HD245" s="49"/>
      <c r="HE245" s="49"/>
      <c r="HF245" s="49"/>
      <c r="HG245" s="49"/>
      <c r="HH245" s="49"/>
      <c r="HI245" s="49"/>
      <c r="HJ245" s="49"/>
      <c r="HK245" s="49"/>
      <c r="HL245" s="49"/>
      <c r="HM245" s="49"/>
    </row>
    <row r="246" spans="1:221" ht="3.75" customHeight="1">
      <c r="A246" s="1"/>
      <c r="B246" s="3"/>
      <c r="C246" s="3"/>
      <c r="D246" s="12"/>
      <c r="E246" s="197"/>
      <c r="F246" s="197"/>
      <c r="G246" s="39"/>
      <c r="H246" s="39"/>
      <c r="I246" s="39"/>
      <c r="J246" s="39"/>
      <c r="K246" s="197"/>
      <c r="L246" s="197"/>
      <c r="M246" s="197"/>
      <c r="N246" s="197"/>
      <c r="O246" s="39"/>
      <c r="P246" s="39"/>
      <c r="Q246" s="197"/>
      <c r="R246" s="197"/>
      <c r="S246" s="197"/>
      <c r="T246" s="197"/>
      <c r="U246" s="197"/>
      <c r="V246" s="197"/>
      <c r="W246" s="197"/>
      <c r="X246" s="197"/>
      <c r="Y246" s="197"/>
      <c r="Z246" s="197"/>
      <c r="AA246" s="197"/>
      <c r="AB246" s="197"/>
      <c r="AC246" s="197"/>
      <c r="AD246" s="197"/>
      <c r="AE246" s="197"/>
      <c r="AF246" s="197"/>
      <c r="AG246" s="197"/>
      <c r="AH246" s="197"/>
      <c r="AI246" s="197"/>
      <c r="AJ246" s="197"/>
      <c r="AK246" s="197"/>
      <c r="AL246" s="197"/>
      <c r="AM246" s="126"/>
      <c r="AN246" s="43" t="str">
        <f t="shared" ca="1" si="31"/>
        <v/>
      </c>
      <c r="AO246" s="228" t="str">
        <f t="shared" ca="1" si="45"/>
        <v/>
      </c>
      <c r="AP246" s="228" t="str">
        <f t="shared" ca="1" si="45"/>
        <v/>
      </c>
      <c r="AQ246" s="228" t="str">
        <f t="shared" ca="1" si="45"/>
        <v/>
      </c>
      <c r="AR246" s="228" t="str">
        <f t="shared" ca="1" si="45"/>
        <v/>
      </c>
      <c r="AS246" s="228" t="str">
        <f t="shared" ca="1" si="45"/>
        <v/>
      </c>
      <c r="AT246" s="228" t="str">
        <f t="shared" ca="1" si="45"/>
        <v/>
      </c>
      <c r="AU246" s="228" t="str">
        <f t="shared" ca="1" si="45"/>
        <v/>
      </c>
      <c r="AV246" s="228" t="str">
        <f t="shared" ca="1" si="45"/>
        <v/>
      </c>
      <c r="AW246" s="228" t="str">
        <f t="shared" ca="1" si="45"/>
        <v/>
      </c>
      <c r="AX246" s="228" t="str">
        <f t="shared" ca="1" si="45"/>
        <v/>
      </c>
      <c r="AY246" s="228" t="str">
        <f ca="1">IF(AND($FN$156=1,$BC$198=6),"*",IF(AND($FN$156=1,$BC$198=4),"-",""))</f>
        <v/>
      </c>
      <c r="AZ246" s="228" t="str">
        <f ca="1">IF(AND($FN$156=1,$BC$198=6),"*",IF(AND($FN$156=1,$BC$198=4),"-",""))</f>
        <v/>
      </c>
      <c r="BA246" s="228" t="str">
        <f ca="1">IF(AND($FN$156=1,$BC$198=6),"*",IF(AND($FN$156=1,$BC$198=4),"-",""))</f>
        <v/>
      </c>
      <c r="BB246" s="228" t="str">
        <f ca="1">IF(AND($FN$156=1,$BC$198=6),"*",IF(AND($FN$156=1,$BC$198=4),"-",""))</f>
        <v/>
      </c>
      <c r="BC246" s="228" t="str">
        <f t="shared" ca="1" si="43"/>
        <v/>
      </c>
      <c r="BD246" s="228" t="str">
        <f t="shared" ca="1" si="44"/>
        <v/>
      </c>
      <c r="BE246" s="237"/>
      <c r="BF246" s="237"/>
      <c r="BG246" s="230" t="str">
        <f ca="1">IF($FN$237=0,"","!")</f>
        <v/>
      </c>
      <c r="BH246" s="237"/>
      <c r="BI246" s="230" t="str">
        <f ca="1">IF($FN$237=0,"","!")</f>
        <v/>
      </c>
      <c r="BJ246" s="229"/>
      <c r="BK246" s="229"/>
      <c r="BL246" s="229"/>
      <c r="BM246" s="230" t="str">
        <f ca="1">IF($FN$237=0,"","!")</f>
        <v/>
      </c>
      <c r="BN246" s="229"/>
      <c r="BO246" s="230"/>
      <c r="BP246" s="230" t="str">
        <f ca="1">IF($FN$237=0,"","!")</f>
        <v/>
      </c>
      <c r="BQ246" s="230" t="str">
        <f ca="1">IF($FN$237=0,"","!")</f>
        <v/>
      </c>
      <c r="BR246" s="237"/>
      <c r="BS246" s="237"/>
      <c r="BT246" s="237"/>
      <c r="BU246" s="237"/>
      <c r="BV246" s="237"/>
      <c r="BW246" s="237"/>
      <c r="BX246" s="237"/>
      <c r="BY246" s="237"/>
      <c r="BZ246" s="230" t="str">
        <f ca="1">IF($FN$237=0,"",":")</f>
        <v/>
      </c>
      <c r="CA246" s="230"/>
      <c r="CB246" s="230"/>
      <c r="CC246" s="231"/>
      <c r="CD246" s="231"/>
      <c r="CE246" s="126"/>
      <c r="CF246" s="45"/>
      <c r="CG246" s="45"/>
      <c r="CH246" s="45"/>
      <c r="CI246" s="45"/>
      <c r="CJ246" s="45"/>
      <c r="CK246" s="45"/>
      <c r="CL246" s="45"/>
      <c r="CM246" s="45"/>
      <c r="CN246" s="45"/>
      <c r="CO246" s="45"/>
      <c r="CP246" s="45"/>
      <c r="CQ246" s="45"/>
      <c r="CR246" s="45"/>
      <c r="CS246" s="45"/>
      <c r="CT246" s="45"/>
      <c r="CU246" s="45"/>
      <c r="CV246" s="45"/>
      <c r="CW246" s="45"/>
      <c r="CX246" s="45"/>
      <c r="CY246" s="45"/>
      <c r="CZ246" s="45"/>
      <c r="DA246" s="45"/>
      <c r="DB246" s="45"/>
      <c r="DC246" s="45"/>
      <c r="DD246" s="45"/>
      <c r="DE246" s="45"/>
      <c r="DF246" s="45"/>
      <c r="DG246" s="45"/>
      <c r="DH246" s="45"/>
      <c r="DI246" s="45"/>
      <c r="DJ246" s="45"/>
      <c r="DK246" s="45"/>
      <c r="DL246" s="45"/>
      <c r="DM246" s="45"/>
      <c r="DN246" s="45"/>
      <c r="DO246" s="45"/>
      <c r="DP246" s="45"/>
      <c r="DQ246" s="45"/>
      <c r="DR246" s="45"/>
      <c r="DS246" s="45"/>
      <c r="DT246" s="45"/>
      <c r="DU246" s="45"/>
      <c r="DV246" s="45"/>
      <c r="DW246" s="45"/>
      <c r="DX246" s="45"/>
      <c r="DY246" s="45"/>
      <c r="DZ246" s="45"/>
      <c r="EA246" s="45"/>
      <c r="EB246" s="45"/>
      <c r="EC246" s="45"/>
      <c r="ED246" s="45"/>
      <c r="EE246" s="197"/>
      <c r="EF246" s="197"/>
      <c r="EG246" s="197"/>
      <c r="EH246" s="197"/>
      <c r="EI246" s="197"/>
      <c r="EJ246" s="197"/>
      <c r="EK246" s="39"/>
      <c r="EL246" s="39"/>
      <c r="EM246" s="39"/>
      <c r="EN246" s="39"/>
      <c r="EO246" s="39"/>
      <c r="EP246" s="39"/>
      <c r="EQ246" s="39"/>
      <c r="ER246" s="39"/>
      <c r="ES246" s="79"/>
      <c r="ET246" s="79"/>
      <c r="EU246" s="79"/>
      <c r="EV246" s="79"/>
      <c r="EW246" s="79"/>
      <c r="EX246" s="79"/>
      <c r="EY246" s="79"/>
      <c r="EZ246" s="79"/>
      <c r="FA246" s="79"/>
      <c r="FB246" s="79"/>
      <c r="FC246" s="79"/>
      <c r="FD246" s="79"/>
      <c r="FE246" s="79"/>
      <c r="FF246" s="79"/>
      <c r="FG246" s="79"/>
      <c r="FH246" s="79"/>
      <c r="FI246" s="79"/>
      <c r="FJ246" s="79"/>
      <c r="FK246" s="79"/>
      <c r="FL246" s="79"/>
      <c r="FM246" s="48"/>
      <c r="FN246" s="48"/>
      <c r="FO246" s="48"/>
      <c r="FP246" s="48"/>
      <c r="FQ246" s="48"/>
      <c r="FR246" s="48"/>
      <c r="FS246" s="48"/>
      <c r="FT246" s="48"/>
      <c r="FU246" s="47"/>
      <c r="FV246" s="48"/>
      <c r="FW246" s="48"/>
      <c r="FX246" s="48"/>
      <c r="FY246" s="48"/>
      <c r="FZ246" s="48"/>
      <c r="GA246" s="49"/>
      <c r="GB246" s="49"/>
      <c r="GC246" s="49"/>
      <c r="GD246" s="49"/>
      <c r="GE246" s="49"/>
      <c r="GF246" s="49"/>
      <c r="GG246" s="49"/>
      <c r="GH246" s="49"/>
      <c r="GI246" s="49"/>
      <c r="GJ246" s="49"/>
      <c r="GK246" s="49"/>
      <c r="GL246" s="49"/>
      <c r="GM246" s="49"/>
      <c r="GN246" s="49"/>
      <c r="GO246" s="49"/>
      <c r="GP246" s="49"/>
      <c r="GQ246" s="49"/>
      <c r="GR246" s="49"/>
      <c r="GS246" s="49"/>
      <c r="GT246" s="49"/>
      <c r="GU246" s="49"/>
      <c r="GV246" s="49"/>
      <c r="GW246" s="49"/>
      <c r="GX246" s="49"/>
      <c r="GY246" s="49"/>
      <c r="GZ246" s="49"/>
      <c r="HA246" s="49"/>
      <c r="HB246" s="49"/>
      <c r="HC246" s="49"/>
      <c r="HD246" s="49"/>
      <c r="HE246" s="49"/>
      <c r="HF246" s="49"/>
      <c r="HG246" s="49"/>
      <c r="HH246" s="49"/>
      <c r="HI246" s="49"/>
      <c r="HJ246" s="49"/>
      <c r="HK246" s="49"/>
      <c r="HL246" s="49"/>
      <c r="HM246" s="49"/>
    </row>
    <row r="247" spans="1:221" ht="3.75" customHeight="1">
      <c r="A247" s="1"/>
      <c r="B247" s="3"/>
      <c r="C247" s="3"/>
      <c r="D247" s="12"/>
      <c r="E247" s="197"/>
      <c r="F247" s="197"/>
      <c r="G247" s="39"/>
      <c r="H247" s="39"/>
      <c r="I247" s="39"/>
      <c r="J247" s="39"/>
      <c r="K247" s="197"/>
      <c r="L247" s="197"/>
      <c r="M247" s="197"/>
      <c r="N247" s="197"/>
      <c r="O247" s="39"/>
      <c r="P247" s="39"/>
      <c r="Q247" s="197"/>
      <c r="R247" s="197"/>
      <c r="S247" s="197"/>
      <c r="T247" s="197"/>
      <c r="U247" s="197"/>
      <c r="V247" s="197"/>
      <c r="W247" s="197"/>
      <c r="X247" s="197"/>
      <c r="Y247" s="197"/>
      <c r="Z247" s="197"/>
      <c r="AA247" s="197"/>
      <c r="AB247" s="197"/>
      <c r="AC247" s="197"/>
      <c r="AD247" s="197"/>
      <c r="AE247" s="197"/>
      <c r="AF247" s="197"/>
      <c r="AG247" s="197"/>
      <c r="AH247" s="197"/>
      <c r="AI247" s="197"/>
      <c r="AJ247" s="197"/>
      <c r="AK247" s="197"/>
      <c r="AL247" s="197"/>
      <c r="AM247" s="126"/>
      <c r="AN247" s="43" t="str">
        <f t="shared" ca="1" si="31"/>
        <v/>
      </c>
      <c r="AO247" s="228" t="str">
        <f t="shared" ca="1" si="45"/>
        <v/>
      </c>
      <c r="AP247" s="228" t="str">
        <f t="shared" ca="1" si="45"/>
        <v/>
      </c>
      <c r="AQ247" s="228" t="str">
        <f t="shared" ca="1" si="45"/>
        <v/>
      </c>
      <c r="AR247" s="228" t="str">
        <f t="shared" ca="1" si="45"/>
        <v/>
      </c>
      <c r="AS247" s="228" t="str">
        <f t="shared" ca="1" si="45"/>
        <v/>
      </c>
      <c r="AT247" s="228" t="str">
        <f t="shared" ca="1" si="45"/>
        <v/>
      </c>
      <c r="AU247" s="228" t="str">
        <f t="shared" ca="1" si="45"/>
        <v/>
      </c>
      <c r="AV247" s="228" t="str">
        <f t="shared" ca="1" si="45"/>
        <v/>
      </c>
      <c r="AW247" s="228" t="str">
        <f t="shared" ca="1" si="45"/>
        <v/>
      </c>
      <c r="AX247" s="228" t="str">
        <f t="shared" ca="1" si="45"/>
        <v/>
      </c>
      <c r="AY247" s="228" t="str">
        <f ca="1">IF(AND($FN$156=1,$BC$198=6),"*",IF(AND($FN$156=1,$BC$198=4),"-",""))</f>
        <v/>
      </c>
      <c r="AZ247" s="228" t="str">
        <f ca="1">IF(AND($FN$156=1,$BC$198=6),"*",IF(AND($FN$156=1,$BC$198=4),"-",""))</f>
        <v/>
      </c>
      <c r="BA247" s="228" t="str">
        <f ca="1">IF(AND($FN$156=1,$BC$198=6),"*",IF(AND($FN$156=1,$BC$198=4),"-",""))</f>
        <v/>
      </c>
      <c r="BB247" s="228" t="str">
        <f ca="1">IF(AND($FN$156=1,$BC$198=6),"*",IF(AND($FN$156=1,$BC$198=4),"-",""))</f>
        <v/>
      </c>
      <c r="BC247" s="228" t="str">
        <f t="shared" ca="1" si="43"/>
        <v/>
      </c>
      <c r="BD247" s="228" t="str">
        <f t="shared" ca="1" si="44"/>
        <v/>
      </c>
      <c r="BE247" s="237"/>
      <c r="BF247" s="237"/>
      <c r="BG247" s="230" t="str">
        <f ca="1">IF($FN$237=0,"","!")</f>
        <v/>
      </c>
      <c r="BH247" s="237"/>
      <c r="BI247" s="237"/>
      <c r="BJ247" s="237"/>
      <c r="BK247" s="237"/>
      <c r="BL247" s="237"/>
      <c r="BM247" s="237"/>
      <c r="BN247" s="237"/>
      <c r="BO247" s="237"/>
      <c r="BP247" s="237"/>
      <c r="BQ247" s="237"/>
      <c r="BR247" s="237"/>
      <c r="BS247" s="237"/>
      <c r="BT247" s="237"/>
      <c r="BU247" s="237"/>
      <c r="BV247" s="237"/>
      <c r="BW247" s="237"/>
      <c r="BX247" s="237"/>
      <c r="BY247" s="237"/>
      <c r="BZ247" s="237"/>
      <c r="CA247" s="230" t="str">
        <f ca="1">IF($FN$237=0,"",":")</f>
        <v/>
      </c>
      <c r="CB247" s="230"/>
      <c r="CC247" s="231"/>
      <c r="CD247" s="231"/>
      <c r="CE247" s="126"/>
      <c r="CF247" s="126"/>
      <c r="CG247" s="126"/>
      <c r="CH247" s="126"/>
      <c r="CI247" s="126"/>
      <c r="CJ247" s="126"/>
      <c r="CK247" s="126"/>
      <c r="CL247" s="126"/>
      <c r="CM247" s="126"/>
      <c r="CN247" s="126"/>
      <c r="CO247" s="197"/>
      <c r="CP247" s="197"/>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c r="EI247" s="43"/>
      <c r="EJ247" s="43"/>
      <c r="EK247" s="79"/>
      <c r="EL247" s="79"/>
      <c r="EM247" s="79"/>
      <c r="EN247" s="79"/>
      <c r="EO247" s="79"/>
      <c r="EP247" s="79"/>
      <c r="EQ247" s="79"/>
      <c r="ER247" s="79"/>
      <c r="ES247" s="79"/>
      <c r="ET247" s="79"/>
      <c r="EU247" s="79"/>
      <c r="EV247" s="79"/>
      <c r="EW247" s="79"/>
      <c r="EX247" s="79"/>
      <c r="EY247" s="79"/>
      <c r="EZ247" s="79"/>
      <c r="FA247" s="79"/>
      <c r="FB247" s="79"/>
      <c r="FC247" s="79"/>
      <c r="FD247" s="79"/>
      <c r="FE247" s="79"/>
      <c r="FF247" s="79"/>
      <c r="FG247" s="79"/>
      <c r="FH247" s="79"/>
      <c r="FI247" s="79"/>
      <c r="FJ247" s="79"/>
      <c r="FK247" s="79"/>
      <c r="FL247" s="79"/>
      <c r="FM247" s="48"/>
      <c r="FN247" s="48"/>
      <c r="FO247" s="48"/>
      <c r="FP247" s="48"/>
      <c r="FQ247" s="48"/>
      <c r="FR247" s="48"/>
      <c r="FS247" s="48"/>
      <c r="FT247" s="48"/>
      <c r="FU247" s="47"/>
      <c r="FV247" s="48"/>
      <c r="FW247" s="48"/>
      <c r="FX247" s="48"/>
      <c r="FY247" s="48"/>
      <c r="FZ247" s="48"/>
      <c r="GA247" s="49"/>
      <c r="GB247" s="49"/>
      <c r="GC247" s="49"/>
      <c r="GD247" s="49"/>
      <c r="GE247" s="49"/>
      <c r="GF247" s="49"/>
      <c r="GG247" s="49"/>
      <c r="GH247" s="49"/>
      <c r="GI247" s="49"/>
      <c r="GJ247" s="49"/>
      <c r="GK247" s="49"/>
      <c r="GL247" s="49"/>
      <c r="GM247" s="49"/>
      <c r="GN247" s="49"/>
      <c r="GO247" s="49"/>
      <c r="GP247" s="49"/>
      <c r="GQ247" s="49"/>
      <c r="GR247" s="49"/>
      <c r="GS247" s="49"/>
      <c r="GT247" s="49"/>
      <c r="GU247" s="49"/>
      <c r="GV247" s="49"/>
      <c r="GW247" s="49"/>
      <c r="GX247" s="49"/>
      <c r="GY247" s="49"/>
      <c r="GZ247" s="49"/>
      <c r="HA247" s="49"/>
      <c r="HB247" s="49"/>
      <c r="HC247" s="49"/>
      <c r="HD247" s="49"/>
      <c r="HE247" s="49"/>
      <c r="HF247" s="49"/>
      <c r="HG247" s="49"/>
      <c r="HH247" s="49"/>
      <c r="HI247" s="49"/>
      <c r="HJ247" s="49"/>
      <c r="HK247" s="49"/>
      <c r="HL247" s="49"/>
      <c r="HM247" s="49"/>
    </row>
    <row r="248" spans="1:221" ht="3.75" customHeight="1">
      <c r="A248" s="1"/>
      <c r="B248" s="3"/>
      <c r="C248" s="3"/>
      <c r="D248" s="38"/>
      <c r="E248" s="197"/>
      <c r="F248" s="197"/>
      <c r="G248" s="39"/>
      <c r="H248" s="39"/>
      <c r="I248" s="39"/>
      <c r="J248" s="39"/>
      <c r="K248" s="197"/>
      <c r="L248" s="197"/>
      <c r="M248" s="197"/>
      <c r="N248" s="197"/>
      <c r="O248" s="39"/>
      <c r="P248" s="39"/>
      <c r="Q248" s="197"/>
      <c r="R248" s="213"/>
      <c r="S248" s="197"/>
      <c r="T248" s="197"/>
      <c r="U248" s="197"/>
      <c r="V248" s="197"/>
      <c r="W248" s="197"/>
      <c r="X248" s="197"/>
      <c r="Y248" s="197"/>
      <c r="Z248" s="197"/>
      <c r="AA248" s="197"/>
      <c r="AB248" s="197"/>
      <c r="AC248" s="197"/>
      <c r="AD248" s="197"/>
      <c r="AE248" s="197"/>
      <c r="AF248" s="197"/>
      <c r="AG248" s="197"/>
      <c r="AH248" s="197"/>
      <c r="AI248" s="197"/>
      <c r="AJ248" s="197"/>
      <c r="AK248" s="197"/>
      <c r="AL248" s="197"/>
      <c r="AM248" s="126"/>
      <c r="AN248" s="43" t="str">
        <f t="shared" ca="1" si="31"/>
        <v/>
      </c>
      <c r="AO248" s="228" t="str">
        <f t="shared" ca="1" si="45"/>
        <v/>
      </c>
      <c r="AP248" s="228" t="str">
        <f t="shared" ca="1" si="45"/>
        <v/>
      </c>
      <c r="AQ248" s="228" t="str">
        <f t="shared" ca="1" si="45"/>
        <v/>
      </c>
      <c r="AR248" s="228" t="str">
        <f t="shared" ca="1" si="45"/>
        <v/>
      </c>
      <c r="AS248" s="228" t="str">
        <f t="shared" ca="1" si="45"/>
        <v/>
      </c>
      <c r="AT248" s="228" t="str">
        <f t="shared" ca="1" si="45"/>
        <v/>
      </c>
      <c r="AU248" s="228" t="str">
        <f t="shared" ca="1" si="45"/>
        <v/>
      </c>
      <c r="AV248" s="228" t="str">
        <f t="shared" ca="1" si="45"/>
        <v/>
      </c>
      <c r="AW248" s="228" t="str">
        <f t="shared" ca="1" si="45"/>
        <v/>
      </c>
      <c r="AX248" s="228" t="str">
        <f t="shared" ca="1" si="45"/>
        <v/>
      </c>
      <c r="AY248" s="228" t="str">
        <f ca="1">IF(AND($FN$156=1,$BC$198=6),"*",IF(AND($FN$156=1,$BC$198=4),"-",""))</f>
        <v/>
      </c>
      <c r="AZ248" s="228" t="str">
        <f ca="1">IF(AND($FN$156=1,$BC$198=6),"*",IF(AND($FN$156=1,$BC$198=4),"-",""))</f>
        <v/>
      </c>
      <c r="BA248" s="228" t="str">
        <f ca="1">IF(AND($FN$156=1,$BC$198=6),"*",IF(AND($FN$156=1,$BC$198=4),"-",""))</f>
        <v/>
      </c>
      <c r="BB248" s="228" t="str">
        <f ca="1">IF(AND($FN$156=1,$BC$198=6),"*",IF(AND($FN$156=1,$BC$198=4),"-",""))</f>
        <v/>
      </c>
      <c r="BC248" s="228" t="str">
        <f t="shared" ca="1" si="43"/>
        <v/>
      </c>
      <c r="BD248" s="228" t="str">
        <f t="shared" ca="1" si="44"/>
        <v/>
      </c>
      <c r="BE248" s="237"/>
      <c r="BF248" s="237"/>
      <c r="BG248" s="237"/>
      <c r="BH248" s="230" t="str">
        <f ca="1">IF($FN$237=0,"","!")</f>
        <v/>
      </c>
      <c r="BI248" s="237"/>
      <c r="BJ248" s="237"/>
      <c r="BK248" s="237"/>
      <c r="BL248" s="237"/>
      <c r="BM248" s="237"/>
      <c r="BN248" s="237"/>
      <c r="BO248" s="237"/>
      <c r="BP248" s="237"/>
      <c r="BQ248" s="237"/>
      <c r="BR248" s="237"/>
      <c r="BS248" s="237"/>
      <c r="BT248" s="237"/>
      <c r="BU248" s="237"/>
      <c r="BV248" s="237"/>
      <c r="BW248" s="237"/>
      <c r="BX248" s="237"/>
      <c r="BY248" s="237"/>
      <c r="BZ248" s="237"/>
      <c r="CA248" s="237"/>
      <c r="CB248" s="230" t="str">
        <f ca="1">IF($FN$237=0,"",":")</f>
        <v/>
      </c>
      <c r="CC248" s="231"/>
      <c r="CD248" s="231"/>
      <c r="CE248" s="126"/>
      <c r="CF248" s="126"/>
      <c r="CG248" s="126"/>
      <c r="CH248" s="126"/>
      <c r="CI248" s="126"/>
      <c r="CJ248" s="126"/>
      <c r="CK248" s="126"/>
      <c r="CL248" s="126"/>
      <c r="CM248" s="126"/>
      <c r="CN248" s="126"/>
      <c r="CO248" s="197"/>
      <c r="CP248" s="197"/>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c r="EI248" s="43"/>
      <c r="EJ248" s="43"/>
      <c r="EK248" s="79"/>
      <c r="EL248" s="79"/>
      <c r="EM248" s="79"/>
      <c r="EN248" s="79"/>
      <c r="EO248" s="79"/>
      <c r="EP248" s="79"/>
      <c r="EQ248" s="79"/>
      <c r="ER248" s="79"/>
      <c r="ES248" s="79"/>
      <c r="ET248" s="79"/>
      <c r="EU248" s="79"/>
      <c r="EV248" s="79"/>
      <c r="EW248" s="79"/>
      <c r="EX248" s="79"/>
      <c r="EY248" s="79"/>
      <c r="EZ248" s="79"/>
      <c r="FA248" s="79"/>
      <c r="FB248" s="79"/>
      <c r="FC248" s="79"/>
      <c r="FD248" s="79"/>
      <c r="FE248" s="79"/>
      <c r="FF248" s="79"/>
      <c r="FG248" s="79"/>
      <c r="FH248" s="79"/>
      <c r="FI248" s="79"/>
      <c r="FJ248" s="79"/>
      <c r="FK248" s="79"/>
      <c r="FL248" s="79"/>
      <c r="FM248" s="48"/>
      <c r="FN248" s="48" t="str">
        <f>IF(AB207="","",13*AB207/20)</f>
        <v/>
      </c>
      <c r="FO248" s="48"/>
      <c r="FP248" s="48"/>
      <c r="FQ248" s="48"/>
      <c r="FR248" s="48" t="str">
        <f>IF(AB207="","",AB207/20)</f>
        <v/>
      </c>
      <c r="FS248" s="48" t="str">
        <f>IF(AB207="","",2*AB207/20)</f>
        <v/>
      </c>
      <c r="FT248" s="48" t="str">
        <f>IF(AB207="","",3*AB207/20)</f>
        <v/>
      </c>
      <c r="FU248" s="47" t="str">
        <f>IF(AB207="","",4*AB207/20)</f>
        <v/>
      </c>
      <c r="FV248" s="48" t="str">
        <f>IF(AB207="","",5*AB207/20)</f>
        <v/>
      </c>
      <c r="FW248" s="48" t="str">
        <f>IF(AB207="","",6*AB207/20)</f>
        <v/>
      </c>
      <c r="FX248" s="48"/>
      <c r="FY248" s="48"/>
      <c r="FZ248" s="48"/>
      <c r="GA248" s="49" t="str">
        <f>IF(AB207="","",7*AB207/20)</f>
        <v/>
      </c>
      <c r="GB248" s="49" t="str">
        <f>IF(AB207="","",8*AB207/20)</f>
        <v/>
      </c>
      <c r="GC248" s="49" t="str">
        <f>IF(AB207="","",9*AB207/20)</f>
        <v/>
      </c>
      <c r="GD248" s="49" t="str">
        <f>IF(AB207="","",10*AB207/20)</f>
        <v/>
      </c>
      <c r="GE248" s="49" t="str">
        <f>IF(AB207="","",11*AB207/20)</f>
        <v/>
      </c>
      <c r="GF248" s="49" t="str">
        <f>IF(AB207="","",12*AB207/20)</f>
        <v/>
      </c>
      <c r="GG248" s="49"/>
      <c r="GH248" s="49"/>
      <c r="GI248" s="49"/>
      <c r="GJ248" s="49"/>
      <c r="GK248" s="49"/>
      <c r="GL248" s="49"/>
      <c r="GM248" s="49"/>
      <c r="GN248" s="49"/>
      <c r="GO248" s="49"/>
      <c r="GP248" s="49"/>
      <c r="GQ248" s="49"/>
      <c r="GR248" s="49"/>
      <c r="GS248" s="49"/>
      <c r="GT248" s="49"/>
      <c r="GU248" s="49"/>
      <c r="GV248" s="49"/>
      <c r="GW248" s="49"/>
      <c r="GX248" s="49"/>
      <c r="GY248" s="49"/>
      <c r="GZ248" s="49"/>
      <c r="HA248" s="49"/>
      <c r="HB248" s="49"/>
      <c r="HC248" s="49"/>
      <c r="HD248" s="49"/>
      <c r="HE248" s="49"/>
      <c r="HF248" s="49"/>
      <c r="HG248" s="49"/>
      <c r="HH248" s="49"/>
      <c r="HI248" s="49"/>
      <c r="HJ248" s="49"/>
      <c r="HK248" s="49"/>
      <c r="HL248" s="49"/>
      <c r="HM248" s="49"/>
    </row>
    <row r="249" spans="1:221" ht="3.75" customHeight="1">
      <c r="A249" s="1"/>
      <c r="B249" s="3"/>
      <c r="C249" s="3"/>
      <c r="D249" s="38"/>
      <c r="E249" s="197"/>
      <c r="F249" s="197"/>
      <c r="G249" s="39"/>
      <c r="H249" s="39"/>
      <c r="I249" s="39"/>
      <c r="J249" s="39"/>
      <c r="K249" s="197"/>
      <c r="L249" s="197"/>
      <c r="M249" s="197"/>
      <c r="N249" s="197"/>
      <c r="O249" s="39"/>
      <c r="P249" s="39"/>
      <c r="Q249" s="197"/>
      <c r="R249" s="197"/>
      <c r="S249" s="197"/>
      <c r="T249" s="197"/>
      <c r="U249" s="197"/>
      <c r="V249" s="197"/>
      <c r="W249" s="197"/>
      <c r="X249" s="197"/>
      <c r="Y249" s="197"/>
      <c r="Z249" s="197"/>
      <c r="AA249" s="197"/>
      <c r="AB249" s="197"/>
      <c r="AC249" s="197"/>
      <c r="AD249" s="197"/>
      <c r="AE249" s="197"/>
      <c r="AF249" s="197"/>
      <c r="AG249" s="197"/>
      <c r="AH249" s="197"/>
      <c r="AI249" s="197"/>
      <c r="AJ249" s="197"/>
      <c r="AK249" s="197"/>
      <c r="AL249" s="197"/>
      <c r="AM249" s="126"/>
      <c r="AN249" s="43" t="str">
        <f t="shared" ca="1" si="31"/>
        <v/>
      </c>
      <c r="AO249" s="43" t="str">
        <f t="shared" ref="AO249:BT249" ca="1" si="46">IF($FN$237=0,"","`")</f>
        <v/>
      </c>
      <c r="AP249" s="43" t="str">
        <f t="shared" ca="1" si="46"/>
        <v/>
      </c>
      <c r="AQ249" s="43" t="str">
        <f t="shared" ca="1" si="46"/>
        <v/>
      </c>
      <c r="AR249" s="43" t="str">
        <f t="shared" ca="1" si="46"/>
        <v/>
      </c>
      <c r="AS249" s="43" t="str">
        <f t="shared" ca="1" si="46"/>
        <v/>
      </c>
      <c r="AT249" s="43" t="str">
        <f t="shared" ca="1" si="46"/>
        <v/>
      </c>
      <c r="AU249" s="43" t="str">
        <f t="shared" ca="1" si="46"/>
        <v/>
      </c>
      <c r="AV249" s="43" t="str">
        <f t="shared" ca="1" si="46"/>
        <v/>
      </c>
      <c r="AW249" s="43" t="str">
        <f t="shared" ca="1" si="46"/>
        <v/>
      </c>
      <c r="AX249" s="43" t="str">
        <f t="shared" ca="1" si="46"/>
        <v/>
      </c>
      <c r="AY249" s="43" t="str">
        <f t="shared" ca="1" si="46"/>
        <v/>
      </c>
      <c r="AZ249" s="43" t="str">
        <f t="shared" ca="1" si="46"/>
        <v/>
      </c>
      <c r="BA249" s="43" t="str">
        <f t="shared" ca="1" si="46"/>
        <v/>
      </c>
      <c r="BB249" s="43" t="str">
        <f t="shared" ca="1" si="46"/>
        <v/>
      </c>
      <c r="BC249" s="43" t="str">
        <f t="shared" ca="1" si="46"/>
        <v/>
      </c>
      <c r="BD249" s="43" t="str">
        <f t="shared" ca="1" si="46"/>
        <v/>
      </c>
      <c r="BE249" s="43" t="str">
        <f t="shared" ca="1" si="46"/>
        <v/>
      </c>
      <c r="BF249" s="43" t="str">
        <f t="shared" ca="1" si="46"/>
        <v/>
      </c>
      <c r="BG249" s="43" t="str">
        <f t="shared" ca="1" si="46"/>
        <v/>
      </c>
      <c r="BH249" s="43" t="str">
        <f t="shared" ca="1" si="46"/>
        <v/>
      </c>
      <c r="BI249" s="43" t="str">
        <f t="shared" ca="1" si="46"/>
        <v/>
      </c>
      <c r="BJ249" s="43" t="str">
        <f t="shared" ca="1" si="46"/>
        <v/>
      </c>
      <c r="BK249" s="43" t="str">
        <f t="shared" ca="1" si="46"/>
        <v/>
      </c>
      <c r="BL249" s="43" t="str">
        <f t="shared" ca="1" si="46"/>
        <v/>
      </c>
      <c r="BM249" s="43" t="str">
        <f t="shared" ca="1" si="46"/>
        <v/>
      </c>
      <c r="BN249" s="43" t="str">
        <f t="shared" ca="1" si="46"/>
        <v/>
      </c>
      <c r="BO249" s="43" t="str">
        <f t="shared" ca="1" si="46"/>
        <v/>
      </c>
      <c r="BP249" s="43" t="str">
        <f t="shared" ca="1" si="46"/>
        <v/>
      </c>
      <c r="BQ249" s="43" t="str">
        <f t="shared" ca="1" si="46"/>
        <v/>
      </c>
      <c r="BR249" s="43" t="str">
        <f t="shared" ca="1" si="46"/>
        <v/>
      </c>
      <c r="BS249" s="43" t="str">
        <f t="shared" ca="1" si="46"/>
        <v/>
      </c>
      <c r="BT249" s="43" t="str">
        <f t="shared" ca="1" si="46"/>
        <v/>
      </c>
      <c r="BU249" s="43" t="str">
        <f t="shared" ref="BU249:CK249" ca="1" si="47">IF($FN$237=0,"","`")</f>
        <v/>
      </c>
      <c r="BV249" s="43" t="str">
        <f t="shared" ca="1" si="47"/>
        <v/>
      </c>
      <c r="BW249" s="43" t="str">
        <f t="shared" ca="1" si="47"/>
        <v/>
      </c>
      <c r="BX249" s="43" t="str">
        <f t="shared" ca="1" si="47"/>
        <v/>
      </c>
      <c r="BY249" s="43" t="str">
        <f t="shared" ca="1" si="47"/>
        <v/>
      </c>
      <c r="BZ249" s="43" t="str">
        <f t="shared" ca="1" si="47"/>
        <v/>
      </c>
      <c r="CA249" s="43" t="str">
        <f t="shared" ca="1" si="47"/>
        <v/>
      </c>
      <c r="CB249" s="43" t="str">
        <f t="shared" ca="1" si="47"/>
        <v/>
      </c>
      <c r="CC249" s="43" t="str">
        <f t="shared" ca="1" si="47"/>
        <v/>
      </c>
      <c r="CD249" s="43" t="str">
        <f t="shared" ca="1" si="47"/>
        <v/>
      </c>
      <c r="CE249" s="43" t="str">
        <f t="shared" ca="1" si="47"/>
        <v/>
      </c>
      <c r="CF249" s="43" t="str">
        <f t="shared" ca="1" si="47"/>
        <v/>
      </c>
      <c r="CG249" s="43" t="str">
        <f t="shared" ca="1" si="47"/>
        <v/>
      </c>
      <c r="CH249" s="43" t="str">
        <f t="shared" ca="1" si="47"/>
        <v/>
      </c>
      <c r="CI249" s="43" t="str">
        <f t="shared" ca="1" si="47"/>
        <v/>
      </c>
      <c r="CJ249" s="43" t="str">
        <f t="shared" ca="1" si="47"/>
        <v/>
      </c>
      <c r="CK249" s="43" t="str">
        <f t="shared" ca="1" si="47"/>
        <v/>
      </c>
      <c r="CL249" s="126"/>
      <c r="CM249" s="126"/>
      <c r="CN249" s="126"/>
      <c r="CO249" s="197"/>
      <c r="CP249" s="197"/>
      <c r="CQ249" s="43"/>
      <c r="CR249" s="43"/>
      <c r="CS249" s="43"/>
      <c r="CT249" s="43"/>
      <c r="CU249" s="43"/>
      <c r="CV249" s="43"/>
      <c r="CW249" s="43"/>
      <c r="CX249" s="43"/>
      <c r="CY249" s="43"/>
      <c r="CZ249" s="43"/>
      <c r="DA249" s="43"/>
      <c r="DB249" s="43"/>
      <c r="DC249" s="43"/>
      <c r="DD249" s="43"/>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43"/>
      <c r="EB249" s="43"/>
      <c r="EC249" s="43"/>
      <c r="ED249" s="43"/>
      <c r="EE249" s="43"/>
      <c r="EF249" s="43"/>
      <c r="EG249" s="43"/>
      <c r="EH249" s="43"/>
      <c r="EI249" s="43"/>
      <c r="EJ249" s="43"/>
      <c r="EK249" s="79"/>
      <c r="EL249" s="79"/>
      <c r="EM249" s="79"/>
      <c r="EN249" s="79"/>
      <c r="EO249" s="79"/>
      <c r="EP249" s="79"/>
      <c r="EQ249" s="79"/>
      <c r="ER249" s="79"/>
      <c r="ES249" s="79"/>
      <c r="ET249" s="79"/>
      <c r="EU249" s="79"/>
      <c r="EV249" s="79"/>
      <c r="EW249" s="79"/>
      <c r="EX249" s="79"/>
      <c r="EY249" s="79"/>
      <c r="EZ249" s="79"/>
      <c r="FA249" s="79"/>
      <c r="FB249" s="79"/>
      <c r="FC249" s="79"/>
      <c r="FD249" s="79"/>
      <c r="FE249" s="79"/>
      <c r="FF249" s="79"/>
      <c r="FG249" s="79"/>
      <c r="FH249" s="79"/>
      <c r="FI249" s="79"/>
      <c r="FJ249" s="79"/>
      <c r="FK249" s="79"/>
      <c r="FL249" s="79"/>
      <c r="FM249" s="48"/>
      <c r="FN249" s="48" t="str">
        <f>IF(AB207="","",13*AB207/20)</f>
        <v/>
      </c>
      <c r="FO249" s="48"/>
      <c r="FP249" s="48"/>
      <c r="FQ249" s="48"/>
      <c r="FR249" s="48" t="str">
        <f>IF(AB207="","",AB207/20)</f>
        <v/>
      </c>
      <c r="FS249" s="48" t="str">
        <f>IF(AB207="","",2*AB207/20)</f>
        <v/>
      </c>
      <c r="FT249" s="48" t="str">
        <f>IF(AB207="","",3*AB207/20)</f>
        <v/>
      </c>
      <c r="FU249" s="47" t="str">
        <f>IF(AB207="","",4*AB207/20)</f>
        <v/>
      </c>
      <c r="FV249" s="48" t="str">
        <f>IF(AB207="","",5*AB207/20)</f>
        <v/>
      </c>
      <c r="FW249" s="48" t="str">
        <f>IF(AB207="","",6*AB207/20)</f>
        <v/>
      </c>
      <c r="FX249" s="48"/>
      <c r="FY249" s="48"/>
      <c r="FZ249" s="48"/>
      <c r="GA249" s="49" t="str">
        <f>IF(AB207="","",7*AB207/20)</f>
        <v/>
      </c>
      <c r="GB249" s="49" t="str">
        <f>IF(AB207="","",8*AB207/20)</f>
        <v/>
      </c>
      <c r="GC249" s="49" t="str">
        <f>IF(AB207="","",9*AB207/20)</f>
        <v/>
      </c>
      <c r="GD249" s="49" t="str">
        <f>IF(AB207="","",10*AB207/20)</f>
        <v/>
      </c>
      <c r="GE249" s="49" t="str">
        <f>IF(AB207="","",11*AB207/20)</f>
        <v/>
      </c>
      <c r="GF249" s="49" t="str">
        <f>IF(AB207="","",12*AB207/20)</f>
        <v/>
      </c>
      <c r="GG249" s="49"/>
      <c r="GH249" s="49"/>
      <c r="GI249" s="49"/>
      <c r="GJ249" s="49"/>
      <c r="GK249" s="49"/>
      <c r="GL249" s="49"/>
      <c r="GM249" s="49"/>
      <c r="GN249" s="49"/>
      <c r="GO249" s="49"/>
      <c r="GP249" s="49"/>
      <c r="GQ249" s="49"/>
      <c r="GR249" s="49"/>
      <c r="GS249" s="49"/>
      <c r="GT249" s="49"/>
      <c r="GU249" s="49"/>
      <c r="GV249" s="49"/>
      <c r="GW249" s="49"/>
      <c r="GX249" s="49"/>
      <c r="GY249" s="49"/>
      <c r="GZ249" s="49"/>
      <c r="HA249" s="49"/>
      <c r="HB249" s="49"/>
      <c r="HC249" s="49"/>
      <c r="HD249" s="49"/>
      <c r="HE249" s="49"/>
      <c r="HF249" s="49"/>
      <c r="HG249" s="49"/>
      <c r="HH249" s="49"/>
      <c r="HI249" s="49"/>
      <c r="HJ249" s="49"/>
      <c r="HK249" s="49"/>
      <c r="HL249" s="49"/>
      <c r="HM249" s="49"/>
    </row>
    <row r="250" spans="1:221" ht="3.75" customHeight="1">
      <c r="A250" s="1"/>
      <c r="B250" s="3"/>
      <c r="C250" s="3"/>
      <c r="D250" s="38"/>
      <c r="E250" s="197"/>
      <c r="F250" s="197"/>
      <c r="G250" s="39"/>
      <c r="H250" s="39"/>
      <c r="I250" s="39"/>
      <c r="J250" s="39"/>
      <c r="K250" s="197"/>
      <c r="L250" s="197"/>
      <c r="M250" s="197"/>
      <c r="N250" s="197"/>
      <c r="O250" s="39"/>
      <c r="P250" s="39"/>
      <c r="Q250" s="197"/>
      <c r="R250" s="197"/>
      <c r="S250" s="197"/>
      <c r="T250" s="197"/>
      <c r="U250" s="197"/>
      <c r="V250" s="197"/>
      <c r="W250" s="197"/>
      <c r="X250" s="197"/>
      <c r="Y250" s="38"/>
      <c r="Z250" s="38"/>
      <c r="AA250" s="38"/>
      <c r="AB250" s="38"/>
      <c r="AC250" s="38"/>
      <c r="AD250" s="126"/>
      <c r="AE250" s="126"/>
      <c r="AF250" s="126"/>
      <c r="AG250" s="126"/>
      <c r="AH250" s="126"/>
      <c r="AI250" s="126"/>
      <c r="AJ250" s="652" t="str">
        <f ca="1">IF($FN$237=0,"","0")</f>
        <v/>
      </c>
      <c r="AK250" s="652"/>
      <c r="AL250" s="652"/>
      <c r="AM250" s="652"/>
      <c r="AN250" s="197"/>
      <c r="AO250" s="197"/>
      <c r="AP250" s="197"/>
      <c r="AQ250" s="197"/>
      <c r="AR250" s="197"/>
      <c r="AS250" s="197"/>
      <c r="AT250" s="197"/>
      <c r="AU250" s="197"/>
      <c r="AV250" s="197"/>
      <c r="AW250" s="197"/>
      <c r="AX250" s="197"/>
      <c r="AY250" s="150"/>
      <c r="AZ250" s="150"/>
      <c r="BA250" s="150"/>
      <c r="BB250" s="150"/>
      <c r="BC250" s="150"/>
      <c r="BD250" s="150"/>
      <c r="BE250" s="150"/>
      <c r="BF250" s="150"/>
      <c r="BG250" s="197"/>
      <c r="BH250" s="197"/>
      <c r="BI250" s="150"/>
      <c r="BJ250" s="150"/>
      <c r="BK250" s="150"/>
      <c r="BL250" s="150"/>
      <c r="BM250" s="150"/>
      <c r="BN250" s="150"/>
      <c r="BO250" s="150"/>
      <c r="BP250" s="150"/>
      <c r="BQ250" s="197"/>
      <c r="BR250" s="197"/>
      <c r="BS250" s="197"/>
      <c r="BT250" s="197"/>
      <c r="BU250" s="197"/>
      <c r="BV250" s="146"/>
      <c r="BW250" s="146"/>
      <c r="BX250" s="146"/>
      <c r="BY250" s="146"/>
      <c r="BZ250" s="146"/>
      <c r="CA250" s="146"/>
      <c r="CB250" s="146"/>
      <c r="CC250" s="146"/>
      <c r="CD250" s="197"/>
      <c r="CE250" s="197"/>
      <c r="CF250" s="197"/>
      <c r="CG250" s="197"/>
      <c r="CH250" s="197"/>
      <c r="CI250" s="43"/>
      <c r="CJ250" s="652" t="str">
        <f ca="1">IF($FN$237=0,"","Q")</f>
        <v/>
      </c>
      <c r="CK250" s="652"/>
      <c r="CL250" s="652"/>
      <c r="CM250" s="652"/>
      <c r="CN250" s="79"/>
      <c r="CO250" s="79"/>
      <c r="CP250" s="79"/>
      <c r="CQ250" s="43"/>
      <c r="CR250" s="43"/>
      <c r="CS250" s="43"/>
      <c r="CT250" s="43"/>
      <c r="CU250" s="43"/>
      <c r="CV250" s="79"/>
      <c r="CW250" s="79"/>
      <c r="CX250" s="79"/>
      <c r="CY250" s="79"/>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c r="EI250" s="43"/>
      <c r="EJ250" s="43"/>
      <c r="EK250" s="79"/>
      <c r="EL250" s="79"/>
      <c r="EM250" s="79"/>
      <c r="EN250" s="79"/>
      <c r="EO250" s="79"/>
      <c r="EP250" s="79"/>
      <c r="EQ250" s="79"/>
      <c r="ER250" s="79"/>
      <c r="ES250" s="79"/>
      <c r="ET250" s="79"/>
      <c r="EU250" s="79"/>
      <c r="EV250" s="79"/>
      <c r="EW250" s="79"/>
      <c r="EX250" s="79"/>
      <c r="EY250" s="79"/>
      <c r="EZ250" s="79"/>
      <c r="FA250" s="79"/>
      <c r="FB250" s="79"/>
      <c r="FC250" s="79"/>
      <c r="FD250" s="79"/>
      <c r="FE250" s="79"/>
      <c r="FF250" s="79"/>
      <c r="FG250" s="79"/>
      <c r="FH250" s="79"/>
      <c r="FI250" s="79"/>
      <c r="FJ250" s="79"/>
      <c r="FK250" s="79"/>
      <c r="FL250" s="79"/>
      <c r="FM250" s="48"/>
      <c r="FN250" s="48" t="str">
        <f>IF(AB207="","",BX252-BX252/AB207*13*AB207/20)</f>
        <v/>
      </c>
      <c r="FO250" s="48"/>
      <c r="FP250" s="48"/>
      <c r="FQ250" s="48"/>
      <c r="FR250" s="48" t="str">
        <f>IF(AB207="","",BX252-BX252/AB207*AB207/20)</f>
        <v/>
      </c>
      <c r="FS250" s="48" t="str">
        <f>IF(AB207="","",BX252-BX252/AB207*2*AB207/20)</f>
        <v/>
      </c>
      <c r="FT250" s="48" t="str">
        <f>IF(AB207="","",BX252-BX252/AB207*3*AB207/20)</f>
        <v/>
      </c>
      <c r="FU250" s="47" t="str">
        <f>IF(AB207="","",BX252-BX252/AB207*4*AB207/20)</f>
        <v/>
      </c>
      <c r="FV250" s="48" t="str">
        <f>IF(AB207="","",BX252-BX252/AB207*5*AB207/20)</f>
        <v/>
      </c>
      <c r="FW250" s="48" t="str">
        <f>IF(AB207="","",BX252-BX252/AB207*6*AB207/20)</f>
        <v/>
      </c>
      <c r="FX250" s="48"/>
      <c r="FY250" s="48"/>
      <c r="FZ250" s="48"/>
      <c r="GA250" s="49" t="str">
        <f>IF(AB207="","",BX252-BX252/AB207*7*AB207/20)</f>
        <v/>
      </c>
      <c r="GB250" s="49" t="str">
        <f>IF(AB207="","",BX252-BX252/AB207*8*AB207/20)</f>
        <v/>
      </c>
      <c r="GC250" s="49" t="str">
        <f>IF(AB207="","",BX252-BX252/AB207*9*AB207/20)</f>
        <v/>
      </c>
      <c r="GD250" s="49" t="str">
        <f>IF(AB207="","",BX252-BX252/AB207*10*AB207/20)</f>
        <v/>
      </c>
      <c r="GE250" s="49" t="str">
        <f>IF(AB207="","",BX252-BX252/AB207*11*AB207/20)</f>
        <v/>
      </c>
      <c r="GF250" s="49" t="str">
        <f>IF(AB207="","",BX252-BX252/AB207*12*AB207/20)</f>
        <v/>
      </c>
      <c r="GG250" s="49"/>
      <c r="GH250" s="49"/>
      <c r="GI250" s="49"/>
      <c r="GJ250" s="49"/>
      <c r="GK250" s="49"/>
      <c r="GL250" s="49"/>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row>
    <row r="251" spans="1:221" ht="3.75" customHeight="1">
      <c r="A251" s="1"/>
      <c r="B251" s="3"/>
      <c r="C251" s="3"/>
      <c r="D251" s="38"/>
      <c r="E251" s="197"/>
      <c r="F251" s="197"/>
      <c r="G251" s="39"/>
      <c r="H251" s="39"/>
      <c r="I251" s="39"/>
      <c r="J251" s="39"/>
      <c r="K251" s="197"/>
      <c r="L251" s="197"/>
      <c r="M251" s="197"/>
      <c r="N251" s="197"/>
      <c r="O251" s="39"/>
      <c r="P251" s="39"/>
      <c r="Q251" s="197"/>
      <c r="R251" s="197"/>
      <c r="S251" s="197"/>
      <c r="T251" s="197"/>
      <c r="U251" s="197"/>
      <c r="V251" s="197"/>
      <c r="W251" s="197"/>
      <c r="X251" s="197"/>
      <c r="Y251" s="38"/>
      <c r="Z251" s="38"/>
      <c r="AA251" s="38"/>
      <c r="AB251" s="38"/>
      <c r="AC251" s="38"/>
      <c r="AD251" s="126"/>
      <c r="AE251" s="126"/>
      <c r="AF251" s="126"/>
      <c r="AG251" s="126"/>
      <c r="AH251" s="126"/>
      <c r="AI251" s="122"/>
      <c r="AJ251" s="652"/>
      <c r="AK251" s="652"/>
      <c r="AL251" s="652"/>
      <c r="AM251" s="652"/>
      <c r="AN251" s="151"/>
      <c r="AO251" s="197"/>
      <c r="AP251" s="197"/>
      <c r="AQ251" s="197"/>
      <c r="AR251" s="197"/>
      <c r="AS251" s="197"/>
      <c r="AT251" s="197"/>
      <c r="AU251" s="197"/>
      <c r="AV251" s="197"/>
      <c r="AW251" s="197"/>
      <c r="AX251" s="197"/>
      <c r="AY251" s="197"/>
      <c r="AZ251" s="43"/>
      <c r="BA251" s="197"/>
      <c r="BB251" s="197"/>
      <c r="BC251" s="197"/>
      <c r="BD251" s="43" t="str">
        <f t="shared" ref="BD251:BD256" ca="1" si="48">IF(AND($FN$156=1,$BC$198=2),"`","")</f>
        <v/>
      </c>
      <c r="BE251" s="197"/>
      <c r="BF251" s="197"/>
      <c r="BG251" s="197"/>
      <c r="BH251" s="197"/>
      <c r="BI251" s="197"/>
      <c r="BJ251" s="197"/>
      <c r="BK251" s="197"/>
      <c r="BL251" s="197"/>
      <c r="BM251" s="197"/>
      <c r="BN251" s="197"/>
      <c r="BO251" s="197"/>
      <c r="BP251" s="197"/>
      <c r="BQ251" s="197"/>
      <c r="BR251" s="197"/>
      <c r="BS251" s="197"/>
      <c r="BT251" s="197"/>
      <c r="BU251" s="197"/>
      <c r="BV251" s="197"/>
      <c r="BW251" s="197"/>
      <c r="BX251" s="197"/>
      <c r="BY251" s="197"/>
      <c r="BZ251" s="197"/>
      <c r="CA251" s="197"/>
      <c r="CB251" s="197"/>
      <c r="CC251" s="197"/>
      <c r="CD251" s="197"/>
      <c r="CE251" s="197"/>
      <c r="CF251" s="197"/>
      <c r="CG251" s="197"/>
      <c r="CH251" s="197"/>
      <c r="CI251" s="43"/>
      <c r="CJ251" s="652"/>
      <c r="CK251" s="652"/>
      <c r="CL251" s="652"/>
      <c r="CM251" s="652"/>
      <c r="CN251" s="79"/>
      <c r="CO251" s="79"/>
      <c r="CP251" s="79"/>
      <c r="CQ251" s="43"/>
      <c r="CR251" s="43"/>
      <c r="CS251" s="43"/>
      <c r="CT251" s="43"/>
      <c r="CU251" s="43"/>
      <c r="CV251" s="79"/>
      <c r="CW251" s="79"/>
      <c r="CX251" s="79"/>
      <c r="CY251" s="79"/>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c r="EI251" s="43"/>
      <c r="EJ251" s="43"/>
      <c r="EK251" s="79"/>
      <c r="EL251" s="79"/>
      <c r="EM251" s="79"/>
      <c r="EN251" s="79"/>
      <c r="EO251" s="79"/>
      <c r="EP251" s="79"/>
      <c r="EQ251" s="79"/>
      <c r="ER251" s="79"/>
      <c r="ES251" s="79"/>
      <c r="ET251" s="79"/>
      <c r="EU251" s="79"/>
      <c r="EV251" s="79"/>
      <c r="EW251" s="79"/>
      <c r="EX251" s="79"/>
      <c r="EY251" s="79"/>
      <c r="EZ251" s="79"/>
      <c r="FA251" s="79"/>
      <c r="FB251" s="79"/>
      <c r="FC251" s="79"/>
      <c r="FD251" s="79"/>
      <c r="FE251" s="79"/>
      <c r="FF251" s="79"/>
      <c r="FG251" s="79"/>
      <c r="FH251" s="79"/>
      <c r="FI251" s="79"/>
      <c r="FJ251" s="79"/>
      <c r="FK251" s="79"/>
      <c r="FL251" s="79"/>
      <c r="FM251" s="48"/>
      <c r="FN251" s="48"/>
      <c r="FO251" s="48"/>
      <c r="FP251" s="48"/>
      <c r="FQ251" s="48"/>
      <c r="FR251" s="48"/>
      <c r="FS251" s="48"/>
      <c r="FT251" s="48"/>
      <c r="FU251" s="47"/>
      <c r="FV251" s="48"/>
      <c r="FW251" s="48"/>
      <c r="FX251" s="48"/>
      <c r="FY251" s="48"/>
      <c r="FZ251" s="48"/>
      <c r="GA251" s="49"/>
      <c r="GB251" s="49"/>
      <c r="GC251" s="49"/>
      <c r="GD251" s="49"/>
      <c r="GE251" s="49"/>
      <c r="GF251" s="49"/>
      <c r="GG251" s="49"/>
      <c r="GH251" s="49"/>
      <c r="GI251" s="49"/>
      <c r="GJ251" s="49"/>
      <c r="GK251" s="49"/>
      <c r="GL251" s="49"/>
      <c r="GM251" s="49"/>
      <c r="GN251" s="49"/>
      <c r="GO251" s="49"/>
      <c r="GP251" s="49"/>
      <c r="GQ251" s="49"/>
      <c r="GR251" s="49"/>
      <c r="GS251" s="49"/>
      <c r="GT251" s="49"/>
      <c r="GU251" s="49"/>
      <c r="GV251" s="49"/>
      <c r="GW251" s="49"/>
      <c r="GX251" s="49"/>
      <c r="GY251" s="49"/>
      <c r="GZ251" s="49"/>
      <c r="HA251" s="49"/>
      <c r="HB251" s="49"/>
      <c r="HC251" s="49"/>
      <c r="HD251" s="49"/>
      <c r="HE251" s="49"/>
      <c r="HF251" s="49"/>
      <c r="HG251" s="49"/>
      <c r="HH251" s="49"/>
      <c r="HI251" s="49"/>
      <c r="HJ251" s="49"/>
      <c r="HK251" s="49"/>
      <c r="HL251" s="49"/>
      <c r="HM251" s="49"/>
    </row>
    <row r="252" spans="1:221" ht="3.75" customHeight="1">
      <c r="A252" s="1"/>
      <c r="B252" s="3"/>
      <c r="C252" s="3"/>
      <c r="D252" s="38"/>
      <c r="E252" s="197"/>
      <c r="F252" s="197"/>
      <c r="G252" s="39"/>
      <c r="H252" s="39"/>
      <c r="I252" s="39"/>
      <c r="J252" s="39"/>
      <c r="K252" s="197"/>
      <c r="L252" s="197"/>
      <c r="M252" s="197"/>
      <c r="N252" s="197"/>
      <c r="O252" s="39"/>
      <c r="P252" s="39"/>
      <c r="Q252" s="197"/>
      <c r="R252" s="197"/>
      <c r="S252" s="197"/>
      <c r="T252" s="197"/>
      <c r="U252" s="197"/>
      <c r="V252" s="197"/>
      <c r="W252" s="197"/>
      <c r="X252" s="197"/>
      <c r="Y252" s="38"/>
      <c r="Z252" s="38"/>
      <c r="AA252" s="38"/>
      <c r="AB252" s="38"/>
      <c r="AC252" s="38"/>
      <c r="AD252" s="126"/>
      <c r="AE252" s="126"/>
      <c r="AF252" s="126"/>
      <c r="AG252" s="126"/>
      <c r="AH252" s="126"/>
      <c r="AI252" s="199"/>
      <c r="AJ252" s="652"/>
      <c r="AK252" s="652"/>
      <c r="AL252" s="652"/>
      <c r="AM252" s="652"/>
      <c r="AN252" s="197"/>
      <c r="AO252" s="197"/>
      <c r="AP252" s="197"/>
      <c r="AQ252" s="197"/>
      <c r="AR252" s="197"/>
      <c r="AS252" s="197"/>
      <c r="AT252" s="197"/>
      <c r="AU252" s="197"/>
      <c r="AV252" s="197"/>
      <c r="AW252" s="197"/>
      <c r="AX252" s="197"/>
      <c r="AY252" s="197"/>
      <c r="AZ252" s="79"/>
      <c r="BA252" s="197"/>
      <c r="BB252" s="197"/>
      <c r="BC252" s="43" t="str">
        <f ca="1">IF(AND($FN$156=1,$BC$198=2),"`","")</f>
        <v/>
      </c>
      <c r="BD252" s="43" t="str">
        <f t="shared" ca="1" si="48"/>
        <v/>
      </c>
      <c r="BE252" s="43" t="str">
        <f ca="1">IF(AND($FN$156=1,$BC$198=2),"`","")</f>
        <v/>
      </c>
      <c r="BF252" s="197"/>
      <c r="BG252" s="197"/>
      <c r="BH252" s="197"/>
      <c r="BI252" s="197"/>
      <c r="BJ252" s="197"/>
      <c r="BK252" s="197"/>
      <c r="BL252" s="197"/>
      <c r="BM252" s="197"/>
      <c r="BN252" s="197"/>
      <c r="BO252" s="197"/>
      <c r="BP252" s="197"/>
      <c r="BQ252" s="197"/>
      <c r="BR252" s="197"/>
      <c r="BS252" s="197"/>
      <c r="BT252" s="197"/>
      <c r="BU252" s="197"/>
      <c r="BV252" s="197"/>
      <c r="BW252" s="197"/>
      <c r="BX252" s="203"/>
      <c r="BY252" s="203"/>
      <c r="BZ252" s="203"/>
      <c r="CA252" s="203"/>
      <c r="CB252" s="203"/>
      <c r="CC252" s="203"/>
      <c r="CD252" s="203"/>
      <c r="CE252" s="203"/>
      <c r="CF252" s="203"/>
      <c r="CG252" s="203"/>
      <c r="CH252" s="197"/>
      <c r="CI252" s="43"/>
      <c r="CJ252" s="652"/>
      <c r="CK252" s="652"/>
      <c r="CL252" s="652"/>
      <c r="CM252" s="652"/>
      <c r="CN252" s="79"/>
      <c r="CO252" s="79"/>
      <c r="CP252" s="79"/>
      <c r="CQ252" s="43"/>
      <c r="CR252" s="43"/>
      <c r="CS252" s="43"/>
      <c r="CT252" s="43"/>
      <c r="CU252" s="43"/>
      <c r="CV252" s="79"/>
      <c r="CW252" s="79"/>
      <c r="CX252" s="79"/>
      <c r="CY252" s="79"/>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c r="EI252" s="43"/>
      <c r="EJ252" s="43"/>
      <c r="EK252" s="79"/>
      <c r="EL252" s="79"/>
      <c r="EM252" s="79"/>
      <c r="EN252" s="79"/>
      <c r="EO252" s="79"/>
      <c r="EP252" s="79"/>
      <c r="EQ252" s="79"/>
      <c r="ER252" s="79"/>
      <c r="ES252" s="79"/>
      <c r="ET252" s="79"/>
      <c r="EU252" s="79"/>
      <c r="EV252" s="79"/>
      <c r="EW252" s="79"/>
      <c r="EX252" s="79"/>
      <c r="EY252" s="79"/>
      <c r="EZ252" s="79"/>
      <c r="FA252" s="79"/>
      <c r="FB252" s="79"/>
      <c r="FC252" s="79"/>
      <c r="FD252" s="79"/>
      <c r="FE252" s="79"/>
      <c r="FF252" s="79"/>
      <c r="FG252" s="79"/>
      <c r="FH252" s="79"/>
      <c r="FI252" s="79"/>
      <c r="FJ252" s="79"/>
      <c r="FK252" s="79"/>
      <c r="FL252" s="79"/>
      <c r="FM252" s="48"/>
      <c r="FN252" s="48"/>
      <c r="FO252" s="48"/>
      <c r="FP252" s="48"/>
      <c r="FQ252" s="48"/>
      <c r="FR252" s="48"/>
      <c r="FS252" s="48"/>
      <c r="FT252" s="48"/>
      <c r="FU252" s="47"/>
      <c r="FV252" s="48"/>
      <c r="FW252" s="48"/>
      <c r="FX252" s="48"/>
      <c r="FY252" s="48"/>
      <c r="FZ252" s="48"/>
      <c r="GA252" s="49"/>
      <c r="GB252" s="49"/>
      <c r="GC252" s="49"/>
      <c r="GD252" s="49"/>
      <c r="GE252" s="49"/>
      <c r="GF252" s="49"/>
      <c r="GG252" s="49"/>
      <c r="GH252" s="49"/>
      <c r="GI252" s="49"/>
      <c r="GJ252" s="49"/>
      <c r="GK252" s="49"/>
      <c r="GL252" s="49"/>
      <c r="GM252" s="49"/>
      <c r="GN252" s="49"/>
      <c r="GO252" s="49"/>
      <c r="GP252" s="49"/>
      <c r="GQ252" s="49"/>
      <c r="GR252" s="49"/>
      <c r="GS252" s="49"/>
      <c r="GT252" s="49"/>
      <c r="GU252" s="49"/>
      <c r="GV252" s="49"/>
      <c r="GW252" s="49"/>
      <c r="GX252" s="49"/>
      <c r="GY252" s="49"/>
      <c r="GZ252" s="49"/>
      <c r="HA252" s="49"/>
      <c r="HB252" s="49"/>
      <c r="HC252" s="49"/>
      <c r="HD252" s="49"/>
      <c r="HE252" s="49"/>
      <c r="HF252" s="49"/>
      <c r="HG252" s="49"/>
      <c r="HH252" s="49"/>
      <c r="HI252" s="49"/>
      <c r="HJ252" s="49"/>
      <c r="HK252" s="49"/>
      <c r="HL252" s="49"/>
      <c r="HM252" s="49"/>
    </row>
    <row r="253" spans="1:221" ht="3.75" customHeight="1">
      <c r="A253" s="1"/>
      <c r="B253" s="3"/>
      <c r="C253" s="3"/>
      <c r="D253" s="38"/>
      <c r="E253" s="197"/>
      <c r="F253" s="197"/>
      <c r="G253" s="39"/>
      <c r="H253" s="39"/>
      <c r="I253" s="39"/>
      <c r="J253" s="39"/>
      <c r="K253" s="197"/>
      <c r="L253" s="197"/>
      <c r="M253" s="197"/>
      <c r="N253" s="197"/>
      <c r="O253" s="39"/>
      <c r="P253" s="39"/>
      <c r="Q253" s="197"/>
      <c r="R253" s="197"/>
      <c r="S253" s="197"/>
      <c r="T253" s="197"/>
      <c r="U253" s="197"/>
      <c r="V253" s="197"/>
      <c r="W253" s="197"/>
      <c r="X253" s="197"/>
      <c r="Y253" s="38"/>
      <c r="Z253" s="38"/>
      <c r="AA253" s="38"/>
      <c r="AB253" s="38"/>
      <c r="AC253" s="38"/>
      <c r="AD253" s="126"/>
      <c r="AE253" s="126"/>
      <c r="AF253" s="126"/>
      <c r="AG253" s="126"/>
      <c r="AH253" s="126"/>
      <c r="AI253" s="199"/>
      <c r="AJ253" s="652"/>
      <c r="AK253" s="652"/>
      <c r="AL253" s="652"/>
      <c r="AM253" s="652"/>
      <c r="AN253" s="197"/>
      <c r="AO253" s="197"/>
      <c r="AP253" s="197"/>
      <c r="AQ253" s="197"/>
      <c r="AR253" s="197"/>
      <c r="AS253" s="197"/>
      <c r="AT253" s="197"/>
      <c r="AU253" s="197"/>
      <c r="AV253" s="197"/>
      <c r="AW253" s="197"/>
      <c r="AX253" s="197"/>
      <c r="AY253" s="197"/>
      <c r="AZ253" s="79"/>
      <c r="BA253" s="197"/>
      <c r="BB253" s="43" t="str">
        <f ca="1">IF(AND($FN$156=1,$BC$198=2),"`","")</f>
        <v/>
      </c>
      <c r="BC253" s="43" t="str">
        <f ca="1">IF(AND($FN$156=1,$BC$198=2),"`","")</f>
        <v/>
      </c>
      <c r="BD253" s="43" t="str">
        <f t="shared" ca="1" si="48"/>
        <v/>
      </c>
      <c r="BE253" s="43" t="str">
        <f ca="1">IF(AND($FN$156=1,$BC$198=2),"`","")</f>
        <v/>
      </c>
      <c r="BF253" s="43" t="str">
        <f ca="1">IF(AND($FN$156=1,$BC$198=2),"`","")</f>
        <v/>
      </c>
      <c r="BG253" s="197"/>
      <c r="BH253" s="197"/>
      <c r="BI253" s="197"/>
      <c r="BJ253" s="197"/>
      <c r="BK253" s="197"/>
      <c r="BL253" s="197"/>
      <c r="BM253" s="197"/>
      <c r="BN253" s="197"/>
      <c r="BO253" s="197"/>
      <c r="BP253" s="197"/>
      <c r="BQ253" s="197"/>
      <c r="BR253" s="197"/>
      <c r="BS253" s="197"/>
      <c r="BT253" s="197"/>
      <c r="BU253" s="197"/>
      <c r="BV253" s="197"/>
      <c r="BW253" s="197"/>
      <c r="BX253" s="203"/>
      <c r="BY253" s="203"/>
      <c r="BZ253" s="203"/>
      <c r="CA253" s="203"/>
      <c r="CB253" s="203"/>
      <c r="CC253" s="203"/>
      <c r="CD253" s="203"/>
      <c r="CE253" s="203"/>
      <c r="CF253" s="203"/>
      <c r="CG253" s="203"/>
      <c r="CH253" s="197"/>
      <c r="CI253" s="43"/>
      <c r="CJ253" s="652"/>
      <c r="CK253" s="652"/>
      <c r="CL253" s="652"/>
      <c r="CM253" s="652"/>
      <c r="CN253" s="79"/>
      <c r="CO253" s="79"/>
      <c r="CP253" s="79"/>
      <c r="CQ253" s="43"/>
      <c r="CR253" s="43"/>
      <c r="CS253" s="43"/>
      <c r="CT253" s="43"/>
      <c r="CU253" s="43"/>
      <c r="CV253" s="79"/>
      <c r="CW253" s="79"/>
      <c r="CX253" s="79"/>
      <c r="CY253" s="79"/>
      <c r="CZ253" s="43"/>
      <c r="DA253" s="43"/>
      <c r="DB253" s="43"/>
      <c r="DC253" s="43"/>
      <c r="DD253" s="43"/>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43"/>
      <c r="EB253" s="43"/>
      <c r="EC253" s="43"/>
      <c r="ED253" s="43"/>
      <c r="EE253" s="43"/>
      <c r="EF253" s="43"/>
      <c r="EG253" s="43"/>
      <c r="EH253" s="43"/>
      <c r="EI253" s="43"/>
      <c r="EJ253" s="43"/>
      <c r="EK253" s="79"/>
      <c r="EL253" s="79"/>
      <c r="EM253" s="79"/>
      <c r="EN253" s="79"/>
      <c r="EO253" s="79"/>
      <c r="EP253" s="79"/>
      <c r="EQ253" s="79"/>
      <c r="ER253" s="79"/>
      <c r="ES253" s="79"/>
      <c r="ET253" s="79"/>
      <c r="EU253" s="79"/>
      <c r="EV253" s="79"/>
      <c r="EW253" s="79"/>
      <c r="EX253" s="79"/>
      <c r="EY253" s="79"/>
      <c r="EZ253" s="79"/>
      <c r="FA253" s="79"/>
      <c r="FB253" s="79"/>
      <c r="FC253" s="79"/>
      <c r="FD253" s="79"/>
      <c r="FE253" s="79"/>
      <c r="FF253" s="79"/>
      <c r="FG253" s="79"/>
      <c r="FH253" s="79"/>
      <c r="FI253" s="79"/>
      <c r="FJ253" s="79"/>
      <c r="FK253" s="79"/>
      <c r="FL253" s="79"/>
      <c r="FM253" s="48"/>
      <c r="FN253" s="48"/>
      <c r="FO253" s="48"/>
      <c r="FP253" s="48"/>
      <c r="FQ253" s="48"/>
      <c r="FR253" s="48"/>
      <c r="FS253" s="48"/>
      <c r="FT253" s="48"/>
      <c r="FU253" s="47"/>
      <c r="FV253" s="48"/>
      <c r="FW253" s="48"/>
      <c r="FX253" s="48"/>
      <c r="FY253" s="48"/>
      <c r="FZ253" s="48"/>
      <c r="GA253" s="49"/>
      <c r="GB253" s="49"/>
      <c r="GC253" s="49"/>
      <c r="GD253" s="49"/>
      <c r="GE253" s="49"/>
      <c r="GF253" s="49"/>
      <c r="GG253" s="49"/>
      <c r="GH253" s="49"/>
      <c r="GI253" s="49"/>
      <c r="GJ253" s="49"/>
      <c r="GK253" s="49"/>
      <c r="GL253" s="49"/>
      <c r="GM253" s="49"/>
      <c r="GN253" s="49"/>
      <c r="GO253" s="49"/>
      <c r="GP253" s="49"/>
      <c r="GQ253" s="49"/>
      <c r="GR253" s="49"/>
      <c r="GS253" s="49"/>
      <c r="GT253" s="49"/>
      <c r="GU253" s="49"/>
      <c r="GV253" s="49"/>
      <c r="GW253" s="49"/>
      <c r="GX253" s="49"/>
      <c r="GY253" s="49"/>
      <c r="GZ253" s="49"/>
      <c r="HA253" s="49"/>
      <c r="HB253" s="49"/>
      <c r="HC253" s="49"/>
      <c r="HD253" s="49"/>
      <c r="HE253" s="49"/>
      <c r="HF253" s="49"/>
      <c r="HG253" s="49"/>
      <c r="HH253" s="49"/>
      <c r="HI253" s="49"/>
      <c r="HJ253" s="49"/>
      <c r="HK253" s="49"/>
      <c r="HL253" s="49"/>
      <c r="HM253" s="49"/>
    </row>
    <row r="254" spans="1:221" ht="3.75" customHeight="1">
      <c r="A254" s="1"/>
      <c r="B254" s="3"/>
      <c r="C254" s="3"/>
      <c r="D254" s="38"/>
      <c r="E254" s="197"/>
      <c r="F254" s="197"/>
      <c r="G254" s="39"/>
      <c r="H254" s="39"/>
      <c r="I254" s="39"/>
      <c r="J254" s="39"/>
      <c r="K254" s="197"/>
      <c r="L254" s="197"/>
      <c r="M254" s="197"/>
      <c r="N254" s="197"/>
      <c r="O254" s="39"/>
      <c r="P254" s="39"/>
      <c r="Q254" s="197"/>
      <c r="R254" s="197"/>
      <c r="S254" s="197"/>
      <c r="T254" s="197"/>
      <c r="U254" s="197"/>
      <c r="V254" s="197"/>
      <c r="W254" s="197"/>
      <c r="X254" s="197"/>
      <c r="Y254" s="38"/>
      <c r="Z254" s="38"/>
      <c r="AA254" s="38"/>
      <c r="AB254" s="38"/>
      <c r="AC254" s="38"/>
      <c r="AD254" s="126"/>
      <c r="AE254" s="126"/>
      <c r="AF254" s="126"/>
      <c r="AG254" s="126"/>
      <c r="AH254" s="126"/>
      <c r="AI254" s="199"/>
      <c r="AJ254" s="652"/>
      <c r="AK254" s="652"/>
      <c r="AL254" s="652"/>
      <c r="AM254" s="652"/>
      <c r="AN254" s="197"/>
      <c r="AO254" s="197"/>
      <c r="AP254" s="197"/>
      <c r="AQ254" s="197"/>
      <c r="AR254" s="197"/>
      <c r="AS254" s="197"/>
      <c r="AT254" s="197"/>
      <c r="AU254" s="197"/>
      <c r="AV254" s="197"/>
      <c r="AW254" s="197"/>
      <c r="AX254" s="197"/>
      <c r="AY254" s="197"/>
      <c r="AZ254" s="79"/>
      <c r="BA254" s="197"/>
      <c r="BB254" s="197"/>
      <c r="BC254" s="197"/>
      <c r="BD254" s="43" t="str">
        <f t="shared" ca="1" si="48"/>
        <v/>
      </c>
      <c r="BE254" s="197"/>
      <c r="BF254" s="197"/>
      <c r="BG254" s="197"/>
      <c r="BH254" s="197"/>
      <c r="BI254" s="197"/>
      <c r="BJ254" s="197"/>
      <c r="BK254" s="197"/>
      <c r="BL254" s="197"/>
      <c r="BM254" s="197"/>
      <c r="BN254" s="197"/>
      <c r="BO254" s="197"/>
      <c r="BP254" s="197"/>
      <c r="BQ254" s="197"/>
      <c r="BR254" s="197"/>
      <c r="BS254" s="197"/>
      <c r="BT254" s="197"/>
      <c r="BU254" s="197"/>
      <c r="BV254" s="197"/>
      <c r="BW254" s="197"/>
      <c r="BX254" s="203"/>
      <c r="BY254" s="203"/>
      <c r="BZ254" s="203"/>
      <c r="CA254" s="203"/>
      <c r="CB254" s="203"/>
      <c r="CC254" s="203"/>
      <c r="CD254" s="203"/>
      <c r="CE254" s="203"/>
      <c r="CF254" s="203"/>
      <c r="CG254" s="203"/>
      <c r="CH254" s="197"/>
      <c r="CI254" s="43"/>
      <c r="CJ254" s="652"/>
      <c r="CK254" s="652"/>
      <c r="CL254" s="652"/>
      <c r="CM254" s="652"/>
      <c r="CN254" s="79"/>
      <c r="CO254" s="79"/>
      <c r="CP254" s="79"/>
      <c r="CQ254" s="43"/>
      <c r="CR254" s="43"/>
      <c r="CS254" s="43"/>
      <c r="CT254" s="43"/>
      <c r="CU254" s="43"/>
      <c r="CV254" s="79"/>
      <c r="CW254" s="79"/>
      <c r="CX254" s="79"/>
      <c r="CY254" s="79"/>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79"/>
      <c r="EL254" s="79"/>
      <c r="EM254" s="79"/>
      <c r="EN254" s="79"/>
      <c r="EO254" s="79"/>
      <c r="EP254" s="79"/>
      <c r="EQ254" s="79"/>
      <c r="ER254" s="79"/>
      <c r="ES254" s="79"/>
      <c r="ET254" s="79"/>
      <c r="EU254" s="79"/>
      <c r="EV254" s="79"/>
      <c r="EW254" s="79"/>
      <c r="EX254" s="10"/>
      <c r="EY254" s="10"/>
      <c r="EZ254" s="10"/>
      <c r="FA254" s="10"/>
      <c r="FB254" s="10"/>
      <c r="FC254" s="10"/>
      <c r="FD254" s="10"/>
      <c r="FE254" s="10"/>
      <c r="FF254" s="10"/>
      <c r="FG254" s="10"/>
      <c r="FH254" s="10"/>
      <c r="FI254" s="10"/>
      <c r="FJ254" s="10"/>
      <c r="FK254" s="10"/>
      <c r="FL254" s="10"/>
      <c r="FM254" s="48"/>
      <c r="FN254" s="48"/>
      <c r="FO254" s="48"/>
      <c r="FP254" s="48"/>
      <c r="FQ254" s="48"/>
      <c r="FR254" s="48"/>
      <c r="FS254" s="48"/>
      <c r="FT254" s="48"/>
      <c r="FU254" s="47"/>
      <c r="FV254" s="48"/>
      <c r="FW254" s="48"/>
      <c r="FX254" s="48"/>
      <c r="FY254" s="48"/>
      <c r="FZ254" s="48"/>
      <c r="GA254" s="49"/>
      <c r="GB254" s="49"/>
      <c r="GC254" s="49"/>
      <c r="GD254" s="49"/>
      <c r="GE254" s="49"/>
      <c r="GF254" s="49"/>
      <c r="GG254" s="49"/>
      <c r="GH254" s="49"/>
      <c r="GI254" s="49"/>
      <c r="GJ254" s="49"/>
      <c r="GK254" s="49"/>
      <c r="GL254" s="49"/>
      <c r="GM254" s="49"/>
      <c r="GN254" s="49"/>
      <c r="GO254" s="49"/>
      <c r="GP254" s="49"/>
      <c r="GQ254" s="49"/>
      <c r="GR254" s="49"/>
      <c r="GS254" s="49"/>
      <c r="GT254" s="49"/>
      <c r="GU254" s="49"/>
      <c r="GV254" s="49"/>
      <c r="GW254" s="49"/>
      <c r="GX254" s="49"/>
      <c r="GY254" s="49"/>
      <c r="GZ254" s="49"/>
      <c r="HA254" s="49"/>
      <c r="HB254" s="49"/>
      <c r="HC254" s="49"/>
      <c r="HD254" s="49"/>
      <c r="HE254" s="49"/>
      <c r="HF254" s="49"/>
      <c r="HG254" s="49"/>
      <c r="HH254" s="49"/>
      <c r="HI254" s="49"/>
      <c r="HJ254" s="49"/>
      <c r="HK254" s="49"/>
      <c r="HL254" s="49"/>
      <c r="HM254" s="49"/>
    </row>
    <row r="255" spans="1:221" ht="3.75" customHeight="1">
      <c r="A255" s="1"/>
      <c r="B255" s="3"/>
      <c r="C255" s="3"/>
      <c r="D255" s="38"/>
      <c r="E255" s="43"/>
      <c r="F255" s="43"/>
      <c r="G255" s="79"/>
      <c r="H255" s="79"/>
      <c r="I255" s="79"/>
      <c r="J255" s="79"/>
      <c r="K255" s="43"/>
      <c r="L255" s="43"/>
      <c r="M255" s="43"/>
      <c r="N255" s="43"/>
      <c r="O255" s="79"/>
      <c r="P255" s="79"/>
      <c r="Q255" s="43"/>
      <c r="R255" s="43"/>
      <c r="S255" s="43"/>
      <c r="T255" s="43"/>
      <c r="U255" s="43"/>
      <c r="V255" s="43"/>
      <c r="W255" s="197"/>
      <c r="X255" s="197"/>
      <c r="Y255" s="38"/>
      <c r="Z255" s="38"/>
      <c r="AA255" s="38"/>
      <c r="AB255" s="38"/>
      <c r="AC255" s="38"/>
      <c r="AD255" s="126"/>
      <c r="AE255" s="126"/>
      <c r="AF255" s="126"/>
      <c r="AG255" s="126"/>
      <c r="AH255" s="126"/>
      <c r="AI255" s="126"/>
      <c r="AJ255" s="126"/>
      <c r="AK255" s="126"/>
      <c r="AL255" s="197"/>
      <c r="AM255" s="197"/>
      <c r="AN255" s="197"/>
      <c r="AO255" s="197"/>
      <c r="AP255" s="197"/>
      <c r="AQ255" s="197"/>
      <c r="AR255" s="197"/>
      <c r="AS255" s="197"/>
      <c r="AT255" s="197"/>
      <c r="AU255" s="197"/>
      <c r="AV255" s="197"/>
      <c r="AW255" s="197"/>
      <c r="AX255" s="197"/>
      <c r="AY255" s="197"/>
      <c r="AZ255" s="79"/>
      <c r="BA255" s="197"/>
      <c r="BB255" s="197"/>
      <c r="BC255" s="197"/>
      <c r="BD255" s="43" t="str">
        <f t="shared" ca="1" si="48"/>
        <v/>
      </c>
      <c r="BE255" s="197"/>
      <c r="BF255" s="197"/>
      <c r="BG255" s="197"/>
      <c r="BH255" s="197"/>
      <c r="BI255" s="197"/>
      <c r="BJ255" s="197"/>
      <c r="BK255" s="197"/>
      <c r="BL255" s="197"/>
      <c r="BM255" s="197"/>
      <c r="BN255" s="197"/>
      <c r="BO255" s="197"/>
      <c r="BP255" s="197"/>
      <c r="BQ255" s="197"/>
      <c r="BR255" s="197"/>
      <c r="BS255" s="197"/>
      <c r="BT255" s="197"/>
      <c r="BU255" s="197"/>
      <c r="BV255" s="197"/>
      <c r="BW255" s="197"/>
      <c r="BX255" s="203"/>
      <c r="BY255" s="203"/>
      <c r="BZ255" s="203"/>
      <c r="CA255" s="203"/>
      <c r="CB255" s="203"/>
      <c r="CC255" s="203"/>
      <c r="CD255" s="203"/>
      <c r="CE255" s="203"/>
      <c r="CF255" s="203"/>
      <c r="CG255" s="203"/>
      <c r="CH255" s="197"/>
      <c r="CI255" s="197"/>
      <c r="CJ255" s="197"/>
      <c r="CK255" s="197"/>
      <c r="CL255" s="197"/>
      <c r="CM255" s="79"/>
      <c r="CN255" s="79"/>
      <c r="CO255" s="79"/>
      <c r="CP255" s="79"/>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79"/>
      <c r="EL255" s="79"/>
      <c r="EM255" s="79"/>
      <c r="EN255" s="79"/>
      <c r="EO255" s="79"/>
      <c r="EP255" s="79"/>
      <c r="EQ255" s="79"/>
      <c r="ER255" s="79"/>
      <c r="ES255" s="79"/>
      <c r="ET255" s="79"/>
      <c r="EU255" s="79"/>
      <c r="EV255" s="79"/>
      <c r="EW255" s="79"/>
      <c r="EX255" s="10"/>
      <c r="EY255" s="10"/>
      <c r="EZ255" s="10"/>
      <c r="FA255" s="10"/>
      <c r="FB255" s="10"/>
      <c r="FC255" s="10"/>
      <c r="FD255" s="10"/>
      <c r="FE255" s="10"/>
      <c r="FF255" s="10"/>
      <c r="FG255" s="10"/>
      <c r="FH255" s="10"/>
      <c r="FI255" s="10"/>
      <c r="FJ255" s="10"/>
      <c r="FK255" s="10"/>
      <c r="FL255" s="10"/>
      <c r="FM255" s="48"/>
      <c r="FN255" s="48"/>
      <c r="FO255" s="48"/>
      <c r="FP255" s="48"/>
      <c r="FQ255" s="48"/>
      <c r="FR255" s="48"/>
      <c r="FS255" s="48"/>
      <c r="FT255" s="48"/>
      <c r="FU255" s="47"/>
      <c r="FV255" s="48"/>
      <c r="FW255" s="48"/>
      <c r="FX255" s="48"/>
      <c r="FY255" s="48"/>
      <c r="FZ255" s="48"/>
      <c r="GA255" s="49"/>
      <c r="GB255" s="49"/>
      <c r="GC255" s="49"/>
      <c r="GD255" s="49"/>
      <c r="GE255" s="49"/>
      <c r="GF255" s="49"/>
      <c r="GG255" s="49"/>
      <c r="GH255" s="49"/>
      <c r="GI255" s="49"/>
      <c r="GJ255" s="49"/>
      <c r="GK255" s="49"/>
      <c r="GL255" s="49"/>
      <c r="GM255" s="49"/>
      <c r="GN255" s="49"/>
      <c r="GO255" s="49"/>
      <c r="GP255" s="49"/>
      <c r="GQ255" s="49"/>
      <c r="GR255" s="49"/>
      <c r="GS255" s="49"/>
      <c r="GT255" s="49"/>
      <c r="GU255" s="49"/>
      <c r="GV255" s="49"/>
      <c r="GW255" s="49"/>
      <c r="GX255" s="49"/>
      <c r="GY255" s="49"/>
      <c r="GZ255" s="49"/>
      <c r="HA255" s="49"/>
      <c r="HB255" s="49"/>
      <c r="HC255" s="49"/>
      <c r="HD255" s="49"/>
      <c r="HE255" s="49"/>
      <c r="HF255" s="49"/>
      <c r="HG255" s="49"/>
      <c r="HH255" s="49"/>
      <c r="HI255" s="49"/>
      <c r="HJ255" s="49"/>
      <c r="HK255" s="49"/>
      <c r="HL255" s="49"/>
      <c r="HM255" s="49"/>
    </row>
    <row r="256" spans="1:221" ht="3.75" customHeight="1">
      <c r="A256" s="1"/>
      <c r="B256" s="3"/>
      <c r="C256" s="3"/>
      <c r="D256" s="43"/>
      <c r="E256" s="43"/>
      <c r="F256" s="43"/>
      <c r="G256" s="79"/>
      <c r="H256" s="79"/>
      <c r="I256" s="79"/>
      <c r="J256" s="79"/>
      <c r="K256" s="79"/>
      <c r="L256" s="79"/>
      <c r="M256" s="79"/>
      <c r="N256" s="79"/>
      <c r="O256" s="79"/>
      <c r="P256" s="79"/>
      <c r="Q256" s="79"/>
      <c r="R256" s="79"/>
      <c r="S256" s="79"/>
      <c r="T256" s="79"/>
      <c r="U256" s="79"/>
      <c r="V256" s="79"/>
      <c r="W256" s="39"/>
      <c r="X256" s="39"/>
      <c r="Y256" s="38"/>
      <c r="Z256" s="38"/>
      <c r="AA256" s="38"/>
      <c r="AB256" s="38"/>
      <c r="AC256" s="38"/>
      <c r="AD256" s="126"/>
      <c r="AE256" s="126"/>
      <c r="AF256" s="126"/>
      <c r="AG256" s="126"/>
      <c r="AH256" s="126"/>
      <c r="AI256" s="126"/>
      <c r="AJ256" s="126"/>
      <c r="AK256" s="126"/>
      <c r="AL256" s="126"/>
      <c r="AM256" s="126"/>
      <c r="AN256" s="197"/>
      <c r="AO256" s="197"/>
      <c r="AP256" s="197"/>
      <c r="AQ256" s="197"/>
      <c r="AR256" s="197"/>
      <c r="AS256" s="197"/>
      <c r="AT256" s="197"/>
      <c r="AU256" s="197"/>
      <c r="AV256" s="197"/>
      <c r="AW256" s="197"/>
      <c r="AX256" s="197"/>
      <c r="AY256" s="197"/>
      <c r="AZ256" s="79"/>
      <c r="BA256" s="197"/>
      <c r="BB256" s="213"/>
      <c r="BC256" s="213"/>
      <c r="BD256" s="43" t="str">
        <f t="shared" ca="1" si="48"/>
        <v/>
      </c>
      <c r="BE256" s="213"/>
      <c r="BF256" s="213"/>
      <c r="BG256" s="197"/>
      <c r="BH256" s="197"/>
      <c r="BI256" s="197"/>
      <c r="BJ256" s="197"/>
      <c r="BK256" s="197"/>
      <c r="BL256" s="197"/>
      <c r="BM256" s="197"/>
      <c r="BN256" s="197"/>
      <c r="BO256" s="197"/>
      <c r="BP256" s="197"/>
      <c r="BQ256" s="197"/>
      <c r="BR256" s="197"/>
      <c r="BS256" s="197"/>
      <c r="BT256" s="197"/>
      <c r="BU256" s="197"/>
      <c r="BV256" s="197"/>
      <c r="BW256" s="197"/>
      <c r="BX256" s="197"/>
      <c r="BY256" s="197"/>
      <c r="BZ256" s="197"/>
      <c r="CA256" s="197"/>
      <c r="CB256" s="197"/>
      <c r="CC256" s="197"/>
      <c r="CD256" s="197"/>
      <c r="CE256" s="197"/>
      <c r="CF256" s="197"/>
      <c r="CG256" s="197"/>
      <c r="CH256" s="197"/>
      <c r="CI256" s="126"/>
      <c r="CJ256" s="126"/>
      <c r="CK256" s="126"/>
      <c r="CL256" s="126"/>
      <c r="CM256" s="126"/>
      <c r="CN256" s="126"/>
      <c r="CO256" s="38"/>
      <c r="CP256" s="38"/>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c r="EI256" s="43"/>
      <c r="EJ256" s="43"/>
      <c r="EK256" s="79"/>
      <c r="EL256" s="79"/>
      <c r="EM256" s="79"/>
      <c r="EN256" s="79"/>
      <c r="EO256" s="79"/>
      <c r="EP256" s="79"/>
      <c r="EQ256" s="79"/>
      <c r="ER256" s="79"/>
      <c r="ES256" s="79"/>
      <c r="ET256" s="79"/>
      <c r="EU256" s="79"/>
      <c r="EV256" s="79"/>
      <c r="EW256" s="79"/>
      <c r="EX256" s="10"/>
      <c r="EY256" s="10"/>
      <c r="EZ256" s="10"/>
      <c r="FA256" s="10"/>
      <c r="FB256" s="10"/>
      <c r="FC256" s="10"/>
      <c r="FD256" s="10"/>
      <c r="FE256" s="10"/>
      <c r="FF256" s="10"/>
      <c r="FG256" s="10"/>
      <c r="FH256" s="10"/>
      <c r="FI256" s="10"/>
      <c r="FJ256" s="10"/>
      <c r="FK256" s="10"/>
      <c r="FL256" s="10"/>
      <c r="FM256" s="48"/>
      <c r="FN256" s="48"/>
      <c r="FO256" s="48"/>
      <c r="FP256" s="48"/>
      <c r="FQ256" s="48"/>
      <c r="FR256" s="48"/>
      <c r="FS256" s="48"/>
      <c r="FT256" s="48"/>
      <c r="FU256" s="47"/>
      <c r="FV256" s="48"/>
      <c r="FW256" s="48"/>
      <c r="FX256" s="48"/>
      <c r="FY256" s="48"/>
      <c r="FZ256" s="48"/>
      <c r="GA256" s="49"/>
      <c r="GB256" s="49"/>
      <c r="GC256" s="49"/>
      <c r="GD256" s="49"/>
      <c r="GE256" s="49"/>
      <c r="GF256" s="49"/>
      <c r="GG256" s="49"/>
      <c r="GH256" s="49"/>
      <c r="GI256" s="49"/>
      <c r="GJ256" s="49"/>
      <c r="GK256" s="49"/>
      <c r="GL256" s="49"/>
      <c r="GM256" s="49"/>
      <c r="GN256" s="49"/>
      <c r="GO256" s="49"/>
      <c r="GP256" s="49"/>
      <c r="GQ256" s="49"/>
      <c r="GR256" s="49"/>
      <c r="GS256" s="49"/>
      <c r="GT256" s="49"/>
      <c r="GU256" s="49"/>
      <c r="GV256" s="49"/>
      <c r="GW256" s="49"/>
      <c r="GX256" s="49"/>
      <c r="GY256" s="49"/>
      <c r="GZ256" s="49"/>
      <c r="HA256" s="49"/>
      <c r="HB256" s="49"/>
      <c r="HC256" s="49"/>
      <c r="HD256" s="49"/>
      <c r="HE256" s="49"/>
      <c r="HF256" s="49"/>
      <c r="HG256" s="49"/>
      <c r="HH256" s="49"/>
      <c r="HI256" s="49"/>
      <c r="HJ256" s="49"/>
      <c r="HK256" s="49"/>
      <c r="HL256" s="49"/>
      <c r="HM256" s="49"/>
    </row>
    <row r="257" spans="1:221" ht="3.75" hidden="1" customHeight="1">
      <c r="A257" s="1"/>
      <c r="B257" s="3"/>
      <c r="C257" s="3"/>
      <c r="D257" s="43"/>
      <c r="E257" s="43"/>
      <c r="F257" s="43"/>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79"/>
      <c r="BA257" s="79"/>
      <c r="BB257" s="79"/>
      <c r="BC257" s="79"/>
      <c r="BD257" s="79"/>
      <c r="BE257" s="79"/>
      <c r="BF257" s="79"/>
      <c r="BG257" s="79"/>
      <c r="BH257" s="79"/>
      <c r="BI257" s="79"/>
      <c r="BJ257" s="79"/>
      <c r="BK257" s="79"/>
      <c r="BL257" s="79"/>
      <c r="BM257" s="79"/>
      <c r="BN257" s="79"/>
      <c r="BO257" s="79"/>
      <c r="BP257" s="79"/>
      <c r="BQ257" s="79"/>
      <c r="BR257" s="79"/>
      <c r="BS257" s="79"/>
      <c r="BT257" s="79"/>
      <c r="BU257" s="79"/>
      <c r="BV257" s="79"/>
      <c r="BW257" s="79"/>
      <c r="BX257" s="79"/>
      <c r="BY257" s="79"/>
      <c r="BZ257" s="79"/>
      <c r="CA257" s="79"/>
      <c r="CB257" s="79"/>
      <c r="CC257" s="79"/>
      <c r="CD257" s="79"/>
      <c r="CE257" s="79"/>
      <c r="CF257" s="79"/>
      <c r="CG257" s="79"/>
      <c r="CH257" s="79"/>
      <c r="CI257" s="79"/>
      <c r="CJ257" s="79"/>
      <c r="CK257" s="79"/>
      <c r="CL257" s="79"/>
      <c r="CM257" s="79"/>
      <c r="CN257" s="79"/>
      <c r="CO257" s="79"/>
      <c r="CP257" s="79"/>
      <c r="CQ257" s="79"/>
      <c r="CR257" s="79"/>
      <c r="CS257" s="79"/>
      <c r="CT257" s="79"/>
      <c r="CU257" s="79"/>
      <c r="CV257" s="79"/>
      <c r="CW257" s="79"/>
      <c r="CX257" s="79"/>
      <c r="CY257" s="79"/>
      <c r="CZ257" s="79"/>
      <c r="DA257" s="79"/>
      <c r="DB257" s="79"/>
      <c r="DC257" s="79"/>
      <c r="DD257" s="79"/>
      <c r="DE257" s="79"/>
      <c r="DF257" s="79"/>
      <c r="DG257" s="79"/>
      <c r="DH257" s="79"/>
      <c r="DI257" s="79"/>
      <c r="DJ257" s="79"/>
      <c r="DK257" s="79"/>
      <c r="DL257" s="79"/>
      <c r="DM257" s="79"/>
      <c r="DN257" s="79"/>
      <c r="DO257" s="79"/>
      <c r="DP257" s="79"/>
      <c r="DQ257" s="79"/>
      <c r="DR257" s="79"/>
      <c r="DS257" s="79"/>
      <c r="DT257" s="79"/>
      <c r="DU257" s="79"/>
      <c r="DV257" s="79"/>
      <c r="DW257" s="79"/>
      <c r="DX257" s="79"/>
      <c r="DY257" s="79"/>
      <c r="DZ257" s="79"/>
      <c r="EA257" s="79"/>
      <c r="EB257" s="79"/>
      <c r="EC257" s="79"/>
      <c r="ED257" s="79"/>
      <c r="EE257" s="79"/>
      <c r="EF257" s="79"/>
      <c r="EG257" s="79"/>
      <c r="EH257" s="79"/>
      <c r="EI257" s="79"/>
      <c r="EJ257" s="79"/>
      <c r="EK257" s="79"/>
      <c r="EL257" s="79"/>
      <c r="EM257" s="79"/>
      <c r="EN257" s="79"/>
      <c r="EO257" s="79"/>
      <c r="EP257" s="79"/>
      <c r="EQ257" s="79"/>
      <c r="ER257" s="79"/>
      <c r="ES257" s="79"/>
      <c r="ET257" s="79"/>
      <c r="EU257" s="79"/>
      <c r="EV257" s="79"/>
      <c r="EW257" s="79"/>
      <c r="EX257" s="79"/>
      <c r="EY257" s="79"/>
      <c r="EZ257" s="79"/>
      <c r="FA257" s="79"/>
      <c r="FB257" s="79"/>
      <c r="FC257" s="79"/>
      <c r="FD257" s="79"/>
      <c r="FE257" s="79"/>
      <c r="FF257" s="79"/>
      <c r="FG257" s="79"/>
      <c r="FH257" s="79"/>
      <c r="FI257" s="79"/>
      <c r="FJ257" s="79"/>
      <c r="FK257" s="79"/>
      <c r="FL257" s="79"/>
      <c r="FM257" s="48"/>
      <c r="FN257" s="48"/>
      <c r="FO257" s="48"/>
      <c r="FP257" s="48"/>
      <c r="FQ257" s="48"/>
      <c r="FR257" s="48"/>
      <c r="FS257" s="48"/>
      <c r="FT257" s="48"/>
      <c r="FU257" s="47"/>
      <c r="FV257" s="48"/>
      <c r="FW257" s="48"/>
      <c r="FX257" s="48"/>
      <c r="FY257" s="48"/>
      <c r="FZ257" s="48"/>
      <c r="GA257" s="49"/>
      <c r="GB257" s="49"/>
      <c r="GC257" s="49"/>
      <c r="GD257" s="49"/>
      <c r="GE257" s="49"/>
      <c r="GF257" s="49"/>
      <c r="GG257" s="49"/>
      <c r="GH257" s="49"/>
      <c r="GI257" s="49"/>
      <c r="GJ257" s="49"/>
      <c r="GK257" s="49"/>
      <c r="GL257" s="49"/>
      <c r="GM257" s="49"/>
      <c r="GN257" s="49"/>
      <c r="GO257" s="49"/>
      <c r="GP257" s="49"/>
      <c r="GQ257" s="49"/>
      <c r="GR257" s="49"/>
      <c r="GS257" s="49"/>
      <c r="GT257" s="49"/>
      <c r="GU257" s="49"/>
      <c r="GV257" s="49"/>
      <c r="GW257" s="49"/>
      <c r="GX257" s="49"/>
      <c r="GY257" s="49"/>
      <c r="GZ257" s="49"/>
      <c r="HA257" s="49"/>
      <c r="HB257" s="49"/>
      <c r="HC257" s="49"/>
      <c r="HD257" s="49"/>
      <c r="HE257" s="49"/>
      <c r="HF257" s="49"/>
      <c r="HG257" s="49"/>
      <c r="HH257" s="49"/>
      <c r="HI257" s="49"/>
      <c r="HJ257" s="49"/>
      <c r="HK257" s="49"/>
      <c r="HL257" s="49"/>
      <c r="HM257" s="49"/>
    </row>
    <row r="258" spans="1:221" ht="3.75" hidden="1" customHeight="1">
      <c r="A258" s="1"/>
      <c r="B258" s="3"/>
      <c r="C258" s="3"/>
      <c r="D258" s="43"/>
      <c r="E258" s="43"/>
      <c r="F258" s="43"/>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c r="BA258" s="79"/>
      <c r="BB258" s="79"/>
      <c r="BC258" s="79"/>
      <c r="BD258" s="79"/>
      <c r="BE258" s="79"/>
      <c r="BF258" s="79"/>
      <c r="BG258" s="79"/>
      <c r="BH258" s="79"/>
      <c r="BI258" s="79"/>
      <c r="BJ258" s="79"/>
      <c r="BK258" s="79"/>
      <c r="BL258" s="79"/>
      <c r="BM258" s="79"/>
      <c r="BN258" s="79"/>
      <c r="BO258" s="79"/>
      <c r="BP258" s="79"/>
      <c r="BQ258" s="79"/>
      <c r="BR258" s="79"/>
      <c r="BS258" s="79"/>
      <c r="BT258" s="79"/>
      <c r="BU258" s="79"/>
      <c r="BV258" s="79"/>
      <c r="BW258" s="79"/>
      <c r="BX258" s="79"/>
      <c r="BY258" s="79"/>
      <c r="BZ258" s="79"/>
      <c r="CA258" s="79"/>
      <c r="CB258" s="79"/>
      <c r="CC258" s="79"/>
      <c r="CD258" s="79"/>
      <c r="CE258" s="79"/>
      <c r="CF258" s="79"/>
      <c r="CG258" s="79"/>
      <c r="CH258" s="79"/>
      <c r="CI258" s="79"/>
      <c r="CJ258" s="79"/>
      <c r="CK258" s="79"/>
      <c r="CL258" s="79"/>
      <c r="CM258" s="79"/>
      <c r="CN258" s="79"/>
      <c r="CO258" s="79"/>
      <c r="CP258" s="79"/>
      <c r="CQ258" s="79"/>
      <c r="CR258" s="79"/>
      <c r="CS258" s="79"/>
      <c r="CT258" s="79"/>
      <c r="CU258" s="79"/>
      <c r="CV258" s="79"/>
      <c r="CW258" s="79"/>
      <c r="CX258" s="79"/>
      <c r="CY258" s="79"/>
      <c r="CZ258" s="79"/>
      <c r="DA258" s="79"/>
      <c r="DB258" s="79"/>
      <c r="DC258" s="79"/>
      <c r="DD258" s="79"/>
      <c r="DE258" s="79"/>
      <c r="DF258" s="79"/>
      <c r="DG258" s="79"/>
      <c r="DH258" s="79"/>
      <c r="DI258" s="79"/>
      <c r="DJ258" s="79"/>
      <c r="DK258" s="79"/>
      <c r="DL258" s="79"/>
      <c r="DM258" s="79"/>
      <c r="DN258" s="79"/>
      <c r="DO258" s="79"/>
      <c r="DP258" s="79"/>
      <c r="DQ258" s="79"/>
      <c r="DR258" s="79"/>
      <c r="DS258" s="79"/>
      <c r="DT258" s="79"/>
      <c r="DU258" s="79"/>
      <c r="DV258" s="79"/>
      <c r="DW258" s="79"/>
      <c r="DX258" s="79"/>
      <c r="DY258" s="79"/>
      <c r="DZ258" s="79"/>
      <c r="EA258" s="79"/>
      <c r="EB258" s="79"/>
      <c r="EC258" s="79"/>
      <c r="ED258" s="79"/>
      <c r="EE258" s="79"/>
      <c r="EF258" s="79"/>
      <c r="EG258" s="79"/>
      <c r="EH258" s="79"/>
      <c r="EI258" s="79"/>
      <c r="EJ258" s="79"/>
      <c r="EK258" s="79"/>
      <c r="EL258" s="79"/>
      <c r="EM258" s="79"/>
      <c r="EN258" s="79"/>
      <c r="EO258" s="79"/>
      <c r="EP258" s="79"/>
      <c r="EQ258" s="79"/>
      <c r="ER258" s="79"/>
      <c r="ES258" s="79"/>
      <c r="ET258" s="79"/>
      <c r="EU258" s="79"/>
      <c r="EV258" s="79"/>
      <c r="EW258" s="79"/>
      <c r="EX258" s="79"/>
      <c r="EY258" s="79"/>
      <c r="EZ258" s="79"/>
      <c r="FA258" s="79"/>
      <c r="FB258" s="79"/>
      <c r="FC258" s="79"/>
      <c r="FD258" s="79"/>
      <c r="FE258" s="79"/>
      <c r="FF258" s="79"/>
      <c r="FG258" s="79"/>
      <c r="FH258" s="79"/>
      <c r="FI258" s="79"/>
      <c r="FJ258" s="79"/>
      <c r="FK258" s="79"/>
      <c r="FL258" s="79"/>
      <c r="FM258" s="48"/>
      <c r="FN258" s="48"/>
      <c r="FO258" s="48"/>
      <c r="FP258" s="48"/>
      <c r="FQ258" s="48"/>
      <c r="FR258" s="48"/>
      <c r="FS258" s="48"/>
      <c r="FT258" s="48"/>
      <c r="FU258" s="47"/>
      <c r="FV258" s="48"/>
      <c r="FW258" s="48"/>
      <c r="FX258" s="48"/>
      <c r="FY258" s="48"/>
      <c r="FZ258" s="48"/>
      <c r="GA258" s="49"/>
      <c r="GB258" s="49"/>
      <c r="GC258" s="49"/>
      <c r="GD258" s="49"/>
      <c r="GE258" s="49"/>
      <c r="GF258" s="49"/>
      <c r="GG258" s="49"/>
      <c r="GH258" s="49"/>
      <c r="GI258" s="49"/>
      <c r="GJ258" s="49"/>
      <c r="GK258" s="49"/>
      <c r="GL258" s="49"/>
      <c r="GM258" s="49"/>
      <c r="GN258" s="49"/>
      <c r="GO258" s="49"/>
      <c r="GP258" s="49"/>
      <c r="GQ258" s="49"/>
      <c r="GR258" s="49"/>
      <c r="GS258" s="49"/>
      <c r="GT258" s="49"/>
      <c r="GU258" s="49"/>
      <c r="GV258" s="49"/>
      <c r="GW258" s="49"/>
      <c r="GX258" s="49"/>
      <c r="GY258" s="49"/>
      <c r="GZ258" s="49"/>
      <c r="HA258" s="49"/>
      <c r="HB258" s="49"/>
      <c r="HC258" s="49"/>
      <c r="HD258" s="49"/>
      <c r="HE258" s="49"/>
      <c r="HF258" s="49"/>
      <c r="HG258" s="49"/>
      <c r="HH258" s="49"/>
      <c r="HI258" s="49"/>
      <c r="HJ258" s="49"/>
      <c r="HK258" s="49"/>
      <c r="HL258" s="49"/>
      <c r="HM258" s="49"/>
    </row>
    <row r="259" spans="1:221" ht="3.75" hidden="1" customHeight="1">
      <c r="A259" s="1"/>
      <c r="B259" s="3"/>
      <c r="C259" s="3"/>
      <c r="D259" s="43"/>
      <c r="E259" s="43"/>
      <c r="F259" s="43"/>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9"/>
      <c r="BI259" s="79"/>
      <c r="BJ259" s="79"/>
      <c r="BK259" s="79"/>
      <c r="BL259" s="79"/>
      <c r="BM259" s="79"/>
      <c r="BN259" s="79"/>
      <c r="BO259" s="79"/>
      <c r="BP259" s="79"/>
      <c r="BQ259" s="79"/>
      <c r="BR259" s="79"/>
      <c r="BS259" s="79"/>
      <c r="BT259" s="79"/>
      <c r="BU259" s="79"/>
      <c r="BV259" s="79"/>
      <c r="BW259" s="79"/>
      <c r="BX259" s="79"/>
      <c r="BY259" s="79"/>
      <c r="BZ259" s="79"/>
      <c r="CA259" s="79"/>
      <c r="CB259" s="79"/>
      <c r="CC259" s="79"/>
      <c r="CD259" s="79"/>
      <c r="CE259" s="79"/>
      <c r="CF259" s="79"/>
      <c r="CG259" s="79"/>
      <c r="CH259" s="79"/>
      <c r="CI259" s="79"/>
      <c r="CJ259" s="79"/>
      <c r="CK259" s="79"/>
      <c r="CL259" s="79"/>
      <c r="CM259" s="79"/>
      <c r="CN259" s="79"/>
      <c r="CO259" s="79"/>
      <c r="CP259" s="79"/>
      <c r="CQ259" s="79"/>
      <c r="CR259" s="79"/>
      <c r="CS259" s="79"/>
      <c r="CT259" s="79"/>
      <c r="CU259" s="79"/>
      <c r="CV259" s="79"/>
      <c r="CW259" s="79"/>
      <c r="CX259" s="79"/>
      <c r="CY259" s="79"/>
      <c r="CZ259" s="79"/>
      <c r="DA259" s="79"/>
      <c r="DB259" s="79"/>
      <c r="DC259" s="79"/>
      <c r="DD259" s="79"/>
      <c r="DE259" s="79"/>
      <c r="DF259" s="79"/>
      <c r="DG259" s="79"/>
      <c r="DH259" s="79"/>
      <c r="DI259" s="79"/>
      <c r="DJ259" s="79"/>
      <c r="DK259" s="79"/>
      <c r="DL259" s="79"/>
      <c r="DM259" s="79"/>
      <c r="DN259" s="79"/>
      <c r="DO259" s="79"/>
      <c r="DP259" s="79"/>
      <c r="DQ259" s="79"/>
      <c r="DR259" s="79"/>
      <c r="DS259" s="79"/>
      <c r="DT259" s="79"/>
      <c r="DU259" s="79"/>
      <c r="DV259" s="79"/>
      <c r="DW259" s="79"/>
      <c r="DX259" s="79"/>
      <c r="DY259" s="79"/>
      <c r="DZ259" s="79"/>
      <c r="EA259" s="79"/>
      <c r="EB259" s="79"/>
      <c r="EC259" s="79"/>
      <c r="ED259" s="79"/>
      <c r="EE259" s="79"/>
      <c r="EF259" s="79"/>
      <c r="EG259" s="79"/>
      <c r="EH259" s="79"/>
      <c r="EI259" s="79"/>
      <c r="EJ259" s="79"/>
      <c r="EK259" s="79"/>
      <c r="EL259" s="79"/>
      <c r="EM259" s="79"/>
      <c r="EN259" s="79"/>
      <c r="EO259" s="79"/>
      <c r="EP259" s="79"/>
      <c r="EQ259" s="79"/>
      <c r="ER259" s="79"/>
      <c r="ES259" s="79"/>
      <c r="ET259" s="79"/>
      <c r="EU259" s="79"/>
      <c r="EV259" s="79"/>
      <c r="EW259" s="79"/>
      <c r="EX259" s="79"/>
      <c r="EY259" s="79"/>
      <c r="EZ259" s="79"/>
      <c r="FA259" s="79"/>
      <c r="FB259" s="79"/>
      <c r="FC259" s="79"/>
      <c r="FD259" s="79"/>
      <c r="FE259" s="79"/>
      <c r="FF259" s="79"/>
      <c r="FG259" s="79"/>
      <c r="FH259" s="79"/>
      <c r="FI259" s="79"/>
      <c r="FJ259" s="79"/>
      <c r="FK259" s="79"/>
      <c r="FL259" s="79"/>
      <c r="FM259" s="48"/>
      <c r="FN259" s="48"/>
      <c r="FO259" s="48"/>
      <c r="FP259" s="48"/>
      <c r="FQ259" s="48"/>
      <c r="FR259" s="48"/>
      <c r="FS259" s="48"/>
      <c r="FT259" s="48"/>
      <c r="FU259" s="47"/>
      <c r="FV259" s="48"/>
      <c r="FW259" s="48"/>
      <c r="FX259" s="48"/>
      <c r="FY259" s="48"/>
      <c r="FZ259" s="48"/>
      <c r="GA259" s="49"/>
      <c r="GB259" s="49"/>
      <c r="GC259" s="49"/>
      <c r="GD259" s="49"/>
      <c r="GE259" s="49"/>
      <c r="GF259" s="49"/>
      <c r="GG259" s="49"/>
      <c r="GH259" s="49"/>
      <c r="GI259" s="49"/>
      <c r="GJ259" s="49"/>
      <c r="GK259" s="49"/>
      <c r="GL259" s="49"/>
      <c r="GM259" s="49"/>
      <c r="GN259" s="49"/>
      <c r="GO259" s="49"/>
      <c r="GP259" s="49"/>
      <c r="GQ259" s="49"/>
      <c r="GR259" s="49"/>
      <c r="GS259" s="49"/>
      <c r="GT259" s="49"/>
      <c r="GU259" s="49"/>
      <c r="GV259" s="49"/>
      <c r="GW259" s="49"/>
      <c r="GX259" s="49"/>
      <c r="GY259" s="49"/>
      <c r="GZ259" s="49"/>
      <c r="HA259" s="49"/>
      <c r="HB259" s="49"/>
      <c r="HC259" s="49"/>
      <c r="HD259" s="49"/>
      <c r="HE259" s="49"/>
      <c r="HF259" s="49"/>
      <c r="HG259" s="49"/>
      <c r="HH259" s="49"/>
      <c r="HI259" s="49"/>
      <c r="HJ259" s="49"/>
      <c r="HK259" s="49"/>
      <c r="HL259" s="49"/>
      <c r="HM259" s="49"/>
    </row>
    <row r="260" spans="1:221" ht="3.75" hidden="1" customHeight="1">
      <c r="A260" s="1"/>
      <c r="B260" s="3"/>
      <c r="C260" s="3"/>
      <c r="D260" s="43"/>
      <c r="E260" s="43"/>
      <c r="F260" s="43"/>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c r="BI260" s="79"/>
      <c r="BJ260" s="79"/>
      <c r="BK260" s="79"/>
      <c r="BL260" s="79"/>
      <c r="BM260" s="79"/>
      <c r="BN260" s="79"/>
      <c r="BO260" s="79"/>
      <c r="BP260" s="79"/>
      <c r="BQ260" s="79"/>
      <c r="BR260" s="79"/>
      <c r="BS260" s="79"/>
      <c r="BT260" s="79"/>
      <c r="BU260" s="79"/>
      <c r="BV260" s="79"/>
      <c r="BW260" s="79"/>
      <c r="BX260" s="79"/>
      <c r="BY260" s="79"/>
      <c r="BZ260" s="79"/>
      <c r="CA260" s="79"/>
      <c r="CB260" s="79"/>
      <c r="CC260" s="79"/>
      <c r="CD260" s="79"/>
      <c r="CE260" s="79"/>
      <c r="CF260" s="79"/>
      <c r="CG260" s="79"/>
      <c r="CH260" s="79"/>
      <c r="CI260" s="79"/>
      <c r="CJ260" s="79"/>
      <c r="CK260" s="79"/>
      <c r="CL260" s="79"/>
      <c r="CM260" s="79"/>
      <c r="CN260" s="79"/>
      <c r="CO260" s="79"/>
      <c r="CP260" s="79"/>
      <c r="CQ260" s="79"/>
      <c r="CR260" s="79"/>
      <c r="CS260" s="79"/>
      <c r="CT260" s="79"/>
      <c r="CU260" s="79"/>
      <c r="CV260" s="79"/>
      <c r="CW260" s="79"/>
      <c r="CX260" s="79"/>
      <c r="CY260" s="79"/>
      <c r="CZ260" s="79"/>
      <c r="DA260" s="79"/>
      <c r="DB260" s="79"/>
      <c r="DC260" s="79"/>
      <c r="DD260" s="79"/>
      <c r="DE260" s="79"/>
      <c r="DF260" s="79"/>
      <c r="DG260" s="79"/>
      <c r="DH260" s="79"/>
      <c r="DI260" s="79"/>
      <c r="DJ260" s="79"/>
      <c r="DK260" s="79"/>
      <c r="DL260" s="79"/>
      <c r="DM260" s="79"/>
      <c r="DN260" s="79"/>
      <c r="DO260" s="79"/>
      <c r="DP260" s="79"/>
      <c r="DQ260" s="79"/>
      <c r="DR260" s="79"/>
      <c r="DS260" s="79"/>
      <c r="DT260" s="79"/>
      <c r="DU260" s="79"/>
      <c r="DV260" s="79"/>
      <c r="DW260" s="79"/>
      <c r="DX260" s="79"/>
      <c r="DY260" s="79"/>
      <c r="DZ260" s="79"/>
      <c r="EA260" s="79"/>
      <c r="EB260" s="79"/>
      <c r="EC260" s="79"/>
      <c r="ED260" s="79"/>
      <c r="EE260" s="79"/>
      <c r="EF260" s="79"/>
      <c r="EG260" s="79"/>
      <c r="EH260" s="79"/>
      <c r="EI260" s="79"/>
      <c r="EJ260" s="79"/>
      <c r="EK260" s="79"/>
      <c r="EL260" s="79"/>
      <c r="EM260" s="79"/>
      <c r="EN260" s="79"/>
      <c r="EO260" s="79"/>
      <c r="EP260" s="79"/>
      <c r="EQ260" s="79"/>
      <c r="ER260" s="79"/>
      <c r="ES260" s="79"/>
      <c r="ET260" s="79"/>
      <c r="EU260" s="79"/>
      <c r="EV260" s="79"/>
      <c r="EW260" s="79"/>
      <c r="EX260" s="79"/>
      <c r="EY260" s="79"/>
      <c r="EZ260" s="79"/>
      <c r="FA260" s="79"/>
      <c r="FB260" s="79"/>
      <c r="FC260" s="79"/>
      <c r="FD260" s="79"/>
      <c r="FE260" s="79"/>
      <c r="FF260" s="79"/>
      <c r="FG260" s="79"/>
      <c r="FH260" s="79"/>
      <c r="FI260" s="79"/>
      <c r="FJ260" s="79"/>
      <c r="FK260" s="79"/>
      <c r="FL260" s="79"/>
      <c r="FM260" s="48"/>
      <c r="FN260" s="48"/>
      <c r="FO260" s="48"/>
      <c r="FP260" s="48"/>
      <c r="FQ260" s="48"/>
      <c r="FR260" s="48"/>
      <c r="FS260" s="48"/>
      <c r="FT260" s="48"/>
      <c r="FU260" s="47"/>
      <c r="FV260" s="48"/>
      <c r="FW260" s="48"/>
      <c r="FX260" s="48"/>
      <c r="FY260" s="48"/>
      <c r="FZ260" s="48"/>
      <c r="GA260" s="49"/>
      <c r="GB260" s="49"/>
      <c r="GC260" s="49"/>
      <c r="GD260" s="49"/>
      <c r="GE260" s="49"/>
      <c r="GF260" s="49"/>
      <c r="GG260" s="49"/>
      <c r="GH260" s="49"/>
      <c r="GI260" s="49"/>
      <c r="GJ260" s="49"/>
      <c r="GK260" s="49"/>
      <c r="GL260" s="49"/>
      <c r="GM260" s="49"/>
      <c r="GN260" s="49"/>
      <c r="GO260" s="49"/>
      <c r="GP260" s="49"/>
      <c r="GQ260" s="49"/>
      <c r="GR260" s="49"/>
      <c r="GS260" s="49"/>
      <c r="GT260" s="49"/>
      <c r="GU260" s="49"/>
      <c r="GV260" s="49"/>
      <c r="GW260" s="49"/>
      <c r="GX260" s="49"/>
      <c r="GY260" s="49"/>
      <c r="GZ260" s="49"/>
      <c r="HA260" s="49"/>
      <c r="HB260" s="49"/>
      <c r="HC260" s="49"/>
      <c r="HD260" s="49"/>
      <c r="HE260" s="49"/>
      <c r="HF260" s="49"/>
      <c r="HG260" s="49"/>
      <c r="HH260" s="49"/>
      <c r="HI260" s="49"/>
      <c r="HJ260" s="49"/>
      <c r="HK260" s="49"/>
      <c r="HL260" s="49"/>
      <c r="HM260" s="49"/>
    </row>
    <row r="261" spans="1:221" ht="3.75" hidden="1" customHeight="1">
      <c r="A261" s="1"/>
      <c r="B261" s="3"/>
      <c r="C261" s="3"/>
      <c r="D261" s="43"/>
      <c r="E261" s="43"/>
      <c r="F261" s="43"/>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79"/>
      <c r="BA261" s="79"/>
      <c r="BB261" s="79"/>
      <c r="BC261" s="79"/>
      <c r="BD261" s="79"/>
      <c r="BE261" s="79"/>
      <c r="BF261" s="79"/>
      <c r="BG261" s="79"/>
      <c r="BH261" s="79"/>
      <c r="BI261" s="79"/>
      <c r="BJ261" s="79"/>
      <c r="BK261" s="79"/>
      <c r="BL261" s="79"/>
      <c r="BM261" s="79"/>
      <c r="BN261" s="79"/>
      <c r="BO261" s="79"/>
      <c r="BP261" s="79"/>
      <c r="BQ261" s="79"/>
      <c r="BR261" s="79"/>
      <c r="BS261" s="79"/>
      <c r="BT261" s="79"/>
      <c r="BU261" s="79"/>
      <c r="BV261" s="79"/>
      <c r="BW261" s="79"/>
      <c r="BX261" s="79"/>
      <c r="BY261" s="79"/>
      <c r="BZ261" s="79"/>
      <c r="CA261" s="79"/>
      <c r="CB261" s="79"/>
      <c r="CC261" s="79"/>
      <c r="CD261" s="79"/>
      <c r="CE261" s="79"/>
      <c r="CF261" s="79"/>
      <c r="CG261" s="79"/>
      <c r="CH261" s="79"/>
      <c r="CI261" s="79"/>
      <c r="CJ261" s="79"/>
      <c r="CK261" s="79"/>
      <c r="CL261" s="79"/>
      <c r="CM261" s="79"/>
      <c r="CN261" s="79"/>
      <c r="CO261" s="79"/>
      <c r="CP261" s="79"/>
      <c r="CQ261" s="79"/>
      <c r="CR261" s="79"/>
      <c r="CS261" s="79"/>
      <c r="CT261" s="79"/>
      <c r="CU261" s="79"/>
      <c r="CV261" s="79"/>
      <c r="CW261" s="79"/>
      <c r="CX261" s="79"/>
      <c r="CY261" s="79"/>
      <c r="CZ261" s="79"/>
      <c r="DA261" s="79"/>
      <c r="DB261" s="79"/>
      <c r="DC261" s="79"/>
      <c r="DD261" s="79"/>
      <c r="DE261" s="79"/>
      <c r="DF261" s="79"/>
      <c r="DG261" s="79"/>
      <c r="DH261" s="79"/>
      <c r="DI261" s="79"/>
      <c r="DJ261" s="79"/>
      <c r="DK261" s="79"/>
      <c r="DL261" s="79"/>
      <c r="DM261" s="79"/>
      <c r="DN261" s="79"/>
      <c r="DO261" s="79"/>
      <c r="DP261" s="79"/>
      <c r="DQ261" s="79"/>
      <c r="DR261" s="79"/>
      <c r="DS261" s="79"/>
      <c r="DT261" s="79"/>
      <c r="DU261" s="79"/>
      <c r="DV261" s="79"/>
      <c r="DW261" s="79"/>
      <c r="DX261" s="79"/>
      <c r="DY261" s="79"/>
      <c r="DZ261" s="79"/>
      <c r="EA261" s="79"/>
      <c r="EB261" s="79"/>
      <c r="EC261" s="79"/>
      <c r="ED261" s="79"/>
      <c r="EE261" s="79"/>
      <c r="EF261" s="79"/>
      <c r="EG261" s="79"/>
      <c r="EH261" s="79"/>
      <c r="EI261" s="79"/>
      <c r="EJ261" s="79"/>
      <c r="EK261" s="79"/>
      <c r="EL261" s="79"/>
      <c r="EM261" s="79"/>
      <c r="EN261" s="79"/>
      <c r="EO261" s="79"/>
      <c r="EP261" s="79"/>
      <c r="EQ261" s="79"/>
      <c r="ER261" s="79"/>
      <c r="ES261" s="79"/>
      <c r="ET261" s="79"/>
      <c r="EU261" s="79"/>
      <c r="EV261" s="79"/>
      <c r="EW261" s="79"/>
      <c r="EX261" s="79"/>
      <c r="EY261" s="79"/>
      <c r="EZ261" s="79"/>
      <c r="FA261" s="79"/>
      <c r="FB261" s="79"/>
      <c r="FC261" s="79"/>
      <c r="FD261" s="79"/>
      <c r="FE261" s="79"/>
      <c r="FF261" s="79"/>
      <c r="FG261" s="79"/>
      <c r="FH261" s="79"/>
      <c r="FI261" s="79"/>
      <c r="FJ261" s="79"/>
      <c r="FK261" s="79"/>
      <c r="FL261" s="79"/>
      <c r="FM261" s="48"/>
      <c r="FN261" s="48"/>
      <c r="FO261" s="48"/>
      <c r="FP261" s="48"/>
      <c r="FQ261" s="48"/>
      <c r="FR261" s="48"/>
      <c r="FS261" s="48"/>
      <c r="FT261" s="48"/>
      <c r="FU261" s="47"/>
      <c r="FV261" s="48"/>
      <c r="FW261" s="48"/>
      <c r="FX261" s="48"/>
      <c r="FY261" s="48"/>
      <c r="FZ261" s="48"/>
      <c r="GA261" s="49"/>
      <c r="GB261" s="49"/>
      <c r="GC261" s="49"/>
      <c r="GD261" s="49"/>
      <c r="GE261" s="49"/>
      <c r="GF261" s="49"/>
      <c r="GG261" s="49"/>
      <c r="GH261" s="49"/>
      <c r="GI261" s="49"/>
      <c r="GJ261" s="49"/>
      <c r="GK261" s="49"/>
      <c r="GL261" s="49"/>
      <c r="GM261" s="49"/>
      <c r="GN261" s="49"/>
      <c r="GO261" s="49"/>
      <c r="GP261" s="49"/>
      <c r="GQ261" s="49"/>
      <c r="GR261" s="49"/>
      <c r="GS261" s="49"/>
      <c r="GT261" s="49"/>
      <c r="GU261" s="49"/>
      <c r="GV261" s="49"/>
      <c r="GW261" s="49"/>
      <c r="GX261" s="49"/>
      <c r="GY261" s="49"/>
      <c r="GZ261" s="49"/>
      <c r="HA261" s="49"/>
      <c r="HB261" s="49"/>
      <c r="HC261" s="49"/>
      <c r="HD261" s="49"/>
      <c r="HE261" s="49"/>
      <c r="HF261" s="49"/>
      <c r="HG261" s="49"/>
      <c r="HH261" s="49"/>
      <c r="HI261" s="49"/>
      <c r="HJ261" s="49"/>
      <c r="HK261" s="49"/>
      <c r="HL261" s="49"/>
      <c r="HM261" s="49"/>
    </row>
    <row r="262" spans="1:221" ht="3.75" hidden="1" customHeight="1">
      <c r="A262" s="1"/>
      <c r="B262" s="3"/>
      <c r="C262" s="3"/>
      <c r="D262" s="43"/>
      <c r="E262" s="43"/>
      <c r="F262" s="43"/>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79"/>
      <c r="BA262" s="79"/>
      <c r="BB262" s="79"/>
      <c r="BC262" s="79"/>
      <c r="BD262" s="79"/>
      <c r="BE262" s="79"/>
      <c r="BF262" s="79"/>
      <c r="BG262" s="79"/>
      <c r="BH262" s="79"/>
      <c r="BI262" s="79"/>
      <c r="BJ262" s="79"/>
      <c r="BK262" s="79"/>
      <c r="BL262" s="79"/>
      <c r="BM262" s="79"/>
      <c r="BN262" s="79"/>
      <c r="BO262" s="79"/>
      <c r="BP262" s="79"/>
      <c r="BQ262" s="79"/>
      <c r="BR262" s="79"/>
      <c r="BS262" s="79"/>
      <c r="BT262" s="79"/>
      <c r="BU262" s="79"/>
      <c r="BV262" s="79"/>
      <c r="BW262" s="79"/>
      <c r="BX262" s="79"/>
      <c r="BY262" s="79"/>
      <c r="BZ262" s="79"/>
      <c r="CA262" s="79"/>
      <c r="CB262" s="79"/>
      <c r="CC262" s="79"/>
      <c r="CD262" s="79"/>
      <c r="CE262" s="79"/>
      <c r="CF262" s="79"/>
      <c r="CG262" s="79"/>
      <c r="CH262" s="79"/>
      <c r="CI262" s="79"/>
      <c r="CJ262" s="79"/>
      <c r="CK262" s="79"/>
      <c r="CL262" s="79"/>
      <c r="CM262" s="79"/>
      <c r="CN262" s="79"/>
      <c r="CO262" s="79"/>
      <c r="CP262" s="79"/>
      <c r="CQ262" s="79"/>
      <c r="CR262" s="79"/>
      <c r="CS262" s="79"/>
      <c r="CT262" s="79"/>
      <c r="CU262" s="79"/>
      <c r="CV262" s="79"/>
      <c r="CW262" s="79"/>
      <c r="CX262" s="79"/>
      <c r="CY262" s="79"/>
      <c r="CZ262" s="79"/>
      <c r="DA262" s="79"/>
      <c r="DB262" s="79"/>
      <c r="DC262" s="79"/>
      <c r="DD262" s="79"/>
      <c r="DE262" s="79"/>
      <c r="DF262" s="79"/>
      <c r="DG262" s="79"/>
      <c r="DH262" s="79"/>
      <c r="DI262" s="79"/>
      <c r="DJ262" s="79"/>
      <c r="DK262" s="79"/>
      <c r="DL262" s="79"/>
      <c r="DM262" s="79"/>
      <c r="DN262" s="79"/>
      <c r="DO262" s="79"/>
      <c r="DP262" s="79"/>
      <c r="DQ262" s="79"/>
      <c r="DR262" s="79"/>
      <c r="DS262" s="79"/>
      <c r="DT262" s="79"/>
      <c r="DU262" s="79"/>
      <c r="DV262" s="79"/>
      <c r="DW262" s="79"/>
      <c r="DX262" s="79"/>
      <c r="DY262" s="79"/>
      <c r="DZ262" s="79"/>
      <c r="EA262" s="79"/>
      <c r="EB262" s="79"/>
      <c r="EC262" s="79"/>
      <c r="ED262" s="79"/>
      <c r="EE262" s="79"/>
      <c r="EF262" s="79"/>
      <c r="EG262" s="79"/>
      <c r="EH262" s="79"/>
      <c r="EI262" s="79"/>
      <c r="EJ262" s="79"/>
      <c r="EK262" s="79"/>
      <c r="EL262" s="79"/>
      <c r="EM262" s="79"/>
      <c r="EN262" s="79"/>
      <c r="EO262" s="79"/>
      <c r="EP262" s="79"/>
      <c r="EQ262" s="79"/>
      <c r="ER262" s="79"/>
      <c r="ES262" s="79"/>
      <c r="ET262" s="79"/>
      <c r="EU262" s="79"/>
      <c r="EV262" s="79"/>
      <c r="EW262" s="79"/>
      <c r="EX262" s="79"/>
      <c r="EY262" s="79"/>
      <c r="EZ262" s="79"/>
      <c r="FA262" s="79"/>
      <c r="FB262" s="79"/>
      <c r="FC262" s="79"/>
      <c r="FD262" s="79"/>
      <c r="FE262" s="79"/>
      <c r="FF262" s="79"/>
      <c r="FG262" s="79"/>
      <c r="FH262" s="79"/>
      <c r="FI262" s="79"/>
      <c r="FJ262" s="79"/>
      <c r="FK262" s="79"/>
      <c r="FL262" s="79"/>
      <c r="FM262" s="48"/>
      <c r="FN262" s="48"/>
      <c r="FO262" s="48"/>
      <c r="FP262" s="48"/>
      <c r="FQ262" s="48"/>
      <c r="FR262" s="48"/>
      <c r="FS262" s="48"/>
      <c r="FT262" s="48"/>
      <c r="FU262" s="47"/>
      <c r="FV262" s="48"/>
      <c r="FW262" s="48"/>
      <c r="FX262" s="48"/>
      <c r="FY262" s="48"/>
      <c r="FZ262" s="48"/>
      <c r="GA262" s="49"/>
      <c r="GB262" s="49"/>
      <c r="GC262" s="49"/>
      <c r="GD262" s="49"/>
      <c r="GE262" s="49"/>
      <c r="GF262" s="49"/>
      <c r="GG262" s="49"/>
      <c r="GH262" s="49"/>
      <c r="GI262" s="49"/>
      <c r="GJ262" s="49"/>
      <c r="GK262" s="49"/>
      <c r="GL262" s="49"/>
      <c r="GM262" s="49"/>
      <c r="GN262" s="49"/>
      <c r="GO262" s="49"/>
      <c r="GP262" s="49"/>
      <c r="GQ262" s="49"/>
      <c r="GR262" s="49"/>
      <c r="GS262" s="49"/>
      <c r="GT262" s="49"/>
      <c r="GU262" s="49"/>
      <c r="GV262" s="49"/>
      <c r="GW262" s="49"/>
      <c r="GX262" s="49"/>
      <c r="GY262" s="49"/>
      <c r="GZ262" s="49"/>
      <c r="HA262" s="49"/>
      <c r="HB262" s="49"/>
      <c r="HC262" s="49"/>
      <c r="HD262" s="49"/>
      <c r="HE262" s="49"/>
      <c r="HF262" s="49"/>
      <c r="HG262" s="49"/>
      <c r="HH262" s="49"/>
      <c r="HI262" s="49"/>
      <c r="HJ262" s="49"/>
      <c r="HK262" s="49"/>
      <c r="HL262" s="49"/>
      <c r="HM262" s="49"/>
    </row>
    <row r="263" spans="1:221" ht="3.75" hidden="1" customHeight="1">
      <c r="A263" s="1"/>
      <c r="B263" s="3"/>
      <c r="C263" s="3"/>
      <c r="D263" s="43"/>
      <c r="E263" s="43"/>
      <c r="F263" s="43"/>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79"/>
      <c r="BA263" s="79"/>
      <c r="BB263" s="79"/>
      <c r="BC263" s="79"/>
      <c r="BD263" s="79"/>
      <c r="BE263" s="79"/>
      <c r="BF263" s="79"/>
      <c r="BG263" s="79"/>
      <c r="BH263" s="79"/>
      <c r="BI263" s="79"/>
      <c r="BJ263" s="79"/>
      <c r="BK263" s="79"/>
      <c r="BL263" s="79"/>
      <c r="BM263" s="79"/>
      <c r="BN263" s="79"/>
      <c r="BO263" s="79"/>
      <c r="BP263" s="79"/>
      <c r="BQ263" s="79"/>
      <c r="BR263" s="79"/>
      <c r="BS263" s="79"/>
      <c r="BT263" s="79"/>
      <c r="BU263" s="79"/>
      <c r="BV263" s="79"/>
      <c r="BW263" s="79"/>
      <c r="BX263" s="79"/>
      <c r="BY263" s="79"/>
      <c r="BZ263" s="79"/>
      <c r="CA263" s="79"/>
      <c r="CB263" s="79"/>
      <c r="CC263" s="79"/>
      <c r="CD263" s="79"/>
      <c r="CE263" s="79"/>
      <c r="CF263" s="79"/>
      <c r="CG263" s="79"/>
      <c r="CH263" s="79"/>
      <c r="CI263" s="79"/>
      <c r="CJ263" s="79"/>
      <c r="CK263" s="79"/>
      <c r="CL263" s="79"/>
      <c r="CM263" s="79"/>
      <c r="CN263" s="79"/>
      <c r="CO263" s="79"/>
      <c r="CP263" s="79"/>
      <c r="CQ263" s="79"/>
      <c r="CR263" s="79"/>
      <c r="CS263" s="79"/>
      <c r="CT263" s="79"/>
      <c r="CU263" s="79"/>
      <c r="CV263" s="79"/>
      <c r="CW263" s="79"/>
      <c r="CX263" s="79"/>
      <c r="CY263" s="79"/>
      <c r="CZ263" s="79"/>
      <c r="DA263" s="79"/>
      <c r="DB263" s="79"/>
      <c r="DC263" s="79"/>
      <c r="DD263" s="79"/>
      <c r="DE263" s="79"/>
      <c r="DF263" s="79"/>
      <c r="DG263" s="79"/>
      <c r="DH263" s="79"/>
      <c r="DI263" s="79"/>
      <c r="DJ263" s="79"/>
      <c r="DK263" s="79"/>
      <c r="DL263" s="79"/>
      <c r="DM263" s="79"/>
      <c r="DN263" s="79"/>
      <c r="DO263" s="79"/>
      <c r="DP263" s="79"/>
      <c r="DQ263" s="79"/>
      <c r="DR263" s="79"/>
      <c r="DS263" s="79"/>
      <c r="DT263" s="79"/>
      <c r="DU263" s="79"/>
      <c r="DV263" s="79"/>
      <c r="DW263" s="79"/>
      <c r="DX263" s="79"/>
      <c r="DY263" s="79"/>
      <c r="DZ263" s="79"/>
      <c r="EA263" s="79"/>
      <c r="EB263" s="79"/>
      <c r="EC263" s="79"/>
      <c r="ED263" s="79"/>
      <c r="EE263" s="79"/>
      <c r="EF263" s="79"/>
      <c r="EG263" s="79"/>
      <c r="EH263" s="79"/>
      <c r="EI263" s="79"/>
      <c r="EJ263" s="79"/>
      <c r="EK263" s="79"/>
      <c r="EL263" s="79"/>
      <c r="EM263" s="79"/>
      <c r="EN263" s="79"/>
      <c r="EO263" s="79"/>
      <c r="EP263" s="79"/>
      <c r="EQ263" s="79"/>
      <c r="ER263" s="79"/>
      <c r="ES263" s="79"/>
      <c r="ET263" s="79"/>
      <c r="EU263" s="79"/>
      <c r="EV263" s="79"/>
      <c r="EW263" s="79"/>
      <c r="EX263" s="79"/>
      <c r="EY263" s="79"/>
      <c r="EZ263" s="79"/>
      <c r="FA263" s="79"/>
      <c r="FB263" s="79"/>
      <c r="FC263" s="79"/>
      <c r="FD263" s="79"/>
      <c r="FE263" s="79"/>
      <c r="FF263" s="79"/>
      <c r="FG263" s="79"/>
      <c r="FH263" s="79"/>
      <c r="FI263" s="79"/>
      <c r="FJ263" s="79"/>
      <c r="FK263" s="79"/>
      <c r="FL263" s="79"/>
      <c r="FM263" s="48"/>
      <c r="FN263" s="48"/>
      <c r="FO263" s="48"/>
      <c r="FP263" s="48"/>
      <c r="FQ263" s="48"/>
      <c r="FR263" s="48"/>
      <c r="FS263" s="48"/>
      <c r="FT263" s="48"/>
      <c r="FU263" s="47"/>
      <c r="FV263" s="48"/>
      <c r="FW263" s="48"/>
      <c r="FX263" s="48"/>
      <c r="FY263" s="48"/>
      <c r="FZ263" s="48"/>
      <c r="GA263" s="49"/>
      <c r="GB263" s="49"/>
      <c r="GC263" s="49"/>
      <c r="GD263" s="49"/>
      <c r="GE263" s="49"/>
      <c r="GF263" s="49"/>
      <c r="GG263" s="49"/>
      <c r="GH263" s="49"/>
      <c r="GI263" s="49"/>
      <c r="GJ263" s="49"/>
      <c r="GK263" s="49"/>
      <c r="GL263" s="49"/>
      <c r="GM263" s="49"/>
      <c r="GN263" s="49"/>
      <c r="GO263" s="49"/>
      <c r="GP263" s="49"/>
      <c r="GQ263" s="49"/>
      <c r="GR263" s="49"/>
      <c r="GS263" s="49"/>
      <c r="GT263" s="49"/>
      <c r="GU263" s="49"/>
      <c r="GV263" s="49"/>
      <c r="GW263" s="49"/>
      <c r="GX263" s="49"/>
      <c r="GY263" s="49"/>
      <c r="GZ263" s="49"/>
      <c r="HA263" s="49"/>
      <c r="HB263" s="49"/>
      <c r="HC263" s="49"/>
      <c r="HD263" s="49"/>
      <c r="HE263" s="49"/>
      <c r="HF263" s="49"/>
      <c r="HG263" s="49"/>
      <c r="HH263" s="49"/>
      <c r="HI263" s="49"/>
      <c r="HJ263" s="49"/>
      <c r="HK263" s="49"/>
      <c r="HL263" s="49"/>
      <c r="HM263" s="49"/>
    </row>
    <row r="264" spans="1:221" ht="3.75" hidden="1" customHeight="1">
      <c r="A264" s="1"/>
      <c r="B264" s="3"/>
      <c r="C264" s="3"/>
      <c r="D264" s="43"/>
      <c r="E264" s="43"/>
      <c r="F264" s="43"/>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79"/>
      <c r="BA264" s="79"/>
      <c r="BB264" s="79"/>
      <c r="BC264" s="79"/>
      <c r="BD264" s="79"/>
      <c r="BE264" s="79"/>
      <c r="BF264" s="79"/>
      <c r="BG264" s="79"/>
      <c r="BH264" s="79"/>
      <c r="BI264" s="79"/>
      <c r="BJ264" s="79"/>
      <c r="BK264" s="79"/>
      <c r="BL264" s="79"/>
      <c r="BM264" s="79"/>
      <c r="BN264" s="79"/>
      <c r="BO264" s="79"/>
      <c r="BP264" s="79"/>
      <c r="BQ264" s="79"/>
      <c r="BR264" s="79"/>
      <c r="BS264" s="79"/>
      <c r="BT264" s="79"/>
      <c r="BU264" s="79"/>
      <c r="BV264" s="79"/>
      <c r="BW264" s="79"/>
      <c r="BX264" s="79"/>
      <c r="BY264" s="79"/>
      <c r="BZ264" s="79"/>
      <c r="CA264" s="79"/>
      <c r="CB264" s="79"/>
      <c r="CC264" s="79"/>
      <c r="CD264" s="79"/>
      <c r="CE264" s="79"/>
      <c r="CF264" s="79"/>
      <c r="CG264" s="79"/>
      <c r="CH264" s="79"/>
      <c r="CI264" s="79"/>
      <c r="CJ264" s="79"/>
      <c r="CK264" s="79"/>
      <c r="CL264" s="79"/>
      <c r="CM264" s="79"/>
      <c r="CN264" s="79"/>
      <c r="CO264" s="79"/>
      <c r="CP264" s="79"/>
      <c r="CQ264" s="79"/>
      <c r="CR264" s="79"/>
      <c r="CS264" s="79"/>
      <c r="CT264" s="79"/>
      <c r="CU264" s="79"/>
      <c r="CV264" s="79"/>
      <c r="CW264" s="79"/>
      <c r="CX264" s="79"/>
      <c r="CY264" s="79"/>
      <c r="CZ264" s="79"/>
      <c r="DA264" s="79"/>
      <c r="DB264" s="79"/>
      <c r="DC264" s="79"/>
      <c r="DD264" s="79"/>
      <c r="DE264" s="79"/>
      <c r="DF264" s="79"/>
      <c r="DG264" s="79"/>
      <c r="DH264" s="79"/>
      <c r="DI264" s="79"/>
      <c r="DJ264" s="79"/>
      <c r="DK264" s="79"/>
      <c r="DL264" s="79"/>
      <c r="DM264" s="79"/>
      <c r="DN264" s="79"/>
      <c r="DO264" s="79"/>
      <c r="DP264" s="79"/>
      <c r="DQ264" s="79"/>
      <c r="DR264" s="79"/>
      <c r="DS264" s="79"/>
      <c r="DT264" s="79"/>
      <c r="DU264" s="79"/>
      <c r="DV264" s="79"/>
      <c r="DW264" s="79"/>
      <c r="DX264" s="79"/>
      <c r="DY264" s="79"/>
      <c r="DZ264" s="79"/>
      <c r="EA264" s="79"/>
      <c r="EB264" s="79"/>
      <c r="EC264" s="79"/>
      <c r="ED264" s="79"/>
      <c r="EE264" s="79"/>
      <c r="EF264" s="79"/>
      <c r="EG264" s="79"/>
      <c r="EH264" s="79"/>
      <c r="EI264" s="79"/>
      <c r="EJ264" s="79"/>
      <c r="EK264" s="79"/>
      <c r="EL264" s="79"/>
      <c r="EM264" s="79"/>
      <c r="EN264" s="79"/>
      <c r="EO264" s="79"/>
      <c r="EP264" s="79"/>
      <c r="EQ264" s="79"/>
      <c r="ER264" s="79"/>
      <c r="ES264" s="79"/>
      <c r="ET264" s="79"/>
      <c r="EU264" s="79"/>
      <c r="EV264" s="79"/>
      <c r="EW264" s="79"/>
      <c r="EX264" s="79"/>
      <c r="EY264" s="79"/>
      <c r="EZ264" s="79"/>
      <c r="FA264" s="79"/>
      <c r="FB264" s="79"/>
      <c r="FC264" s="79"/>
      <c r="FD264" s="79"/>
      <c r="FE264" s="79"/>
      <c r="FF264" s="79"/>
      <c r="FG264" s="79"/>
      <c r="FH264" s="79"/>
      <c r="FI264" s="79"/>
      <c r="FJ264" s="79"/>
      <c r="FK264" s="79"/>
      <c r="FL264" s="79"/>
      <c r="FM264" s="48"/>
      <c r="FN264" s="48"/>
      <c r="FO264" s="48"/>
      <c r="FP264" s="48"/>
      <c r="FQ264" s="48"/>
      <c r="FR264" s="48"/>
      <c r="FS264" s="48"/>
      <c r="FT264" s="48"/>
      <c r="FU264" s="47"/>
      <c r="FV264" s="48"/>
      <c r="FW264" s="48"/>
      <c r="FX264" s="48"/>
      <c r="FY264" s="48"/>
      <c r="FZ264" s="48"/>
      <c r="GA264" s="49"/>
      <c r="GB264" s="49"/>
      <c r="GC264" s="49"/>
      <c r="GD264" s="49"/>
      <c r="GE264" s="49"/>
      <c r="GF264" s="49"/>
      <c r="GG264" s="49"/>
      <c r="GH264" s="49"/>
      <c r="GI264" s="49"/>
      <c r="GJ264" s="49"/>
      <c r="GK264" s="49"/>
      <c r="GL264" s="49"/>
      <c r="GM264" s="49"/>
      <c r="GN264" s="49"/>
      <c r="GO264" s="49"/>
      <c r="GP264" s="49"/>
      <c r="GQ264" s="49"/>
      <c r="GR264" s="49"/>
      <c r="GS264" s="49"/>
      <c r="GT264" s="49"/>
      <c r="GU264" s="49"/>
      <c r="GV264" s="49"/>
      <c r="GW264" s="49"/>
      <c r="GX264" s="49"/>
      <c r="GY264" s="49"/>
      <c r="GZ264" s="49"/>
      <c r="HA264" s="49"/>
      <c r="HB264" s="49"/>
      <c r="HC264" s="49"/>
      <c r="HD264" s="49"/>
      <c r="HE264" s="49"/>
      <c r="HF264" s="49"/>
      <c r="HG264" s="49"/>
      <c r="HH264" s="49"/>
      <c r="HI264" s="49"/>
      <c r="HJ264" s="49"/>
      <c r="HK264" s="49"/>
      <c r="HL264" s="49"/>
      <c r="HM264" s="49"/>
    </row>
    <row r="265" spans="1:221" ht="3.75" hidden="1" customHeight="1">
      <c r="A265" s="1"/>
      <c r="B265" s="3"/>
      <c r="C265" s="3"/>
      <c r="D265" s="43"/>
      <c r="E265" s="43"/>
      <c r="F265" s="43"/>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79"/>
      <c r="BA265" s="79"/>
      <c r="BB265" s="79"/>
      <c r="BC265" s="79"/>
      <c r="BD265" s="79"/>
      <c r="BE265" s="79"/>
      <c r="BF265" s="79"/>
      <c r="BG265" s="79"/>
      <c r="BH265" s="79"/>
      <c r="BI265" s="79"/>
      <c r="BJ265" s="79"/>
      <c r="BK265" s="79"/>
      <c r="BL265" s="79"/>
      <c r="BM265" s="79"/>
      <c r="BN265" s="79"/>
      <c r="BO265" s="79"/>
      <c r="BP265" s="79"/>
      <c r="BQ265" s="79"/>
      <c r="BR265" s="79"/>
      <c r="BS265" s="79"/>
      <c r="BT265" s="79"/>
      <c r="BU265" s="79"/>
      <c r="BV265" s="79"/>
      <c r="BW265" s="79"/>
      <c r="BX265" s="79"/>
      <c r="BY265" s="79"/>
      <c r="BZ265" s="79"/>
      <c r="CA265" s="79"/>
      <c r="CB265" s="79"/>
      <c r="CC265" s="79"/>
      <c r="CD265" s="79"/>
      <c r="CE265" s="79"/>
      <c r="CF265" s="79"/>
      <c r="CG265" s="79"/>
      <c r="CH265" s="79"/>
      <c r="CI265" s="79"/>
      <c r="CJ265" s="79"/>
      <c r="CK265" s="79"/>
      <c r="CL265" s="79"/>
      <c r="CM265" s="79"/>
      <c r="CN265" s="79"/>
      <c r="CO265" s="79"/>
      <c r="CP265" s="79"/>
      <c r="CQ265" s="79"/>
      <c r="CR265" s="79"/>
      <c r="CS265" s="79"/>
      <c r="CT265" s="79"/>
      <c r="CU265" s="79"/>
      <c r="CV265" s="79"/>
      <c r="CW265" s="79"/>
      <c r="CX265" s="79"/>
      <c r="CY265" s="79"/>
      <c r="CZ265" s="79"/>
      <c r="DA265" s="79"/>
      <c r="DB265" s="79"/>
      <c r="DC265" s="79"/>
      <c r="DD265" s="79"/>
      <c r="DE265" s="79"/>
      <c r="DF265" s="79"/>
      <c r="DG265" s="79"/>
      <c r="DH265" s="79"/>
      <c r="DI265" s="79"/>
      <c r="DJ265" s="79"/>
      <c r="DK265" s="79"/>
      <c r="DL265" s="79"/>
      <c r="DM265" s="79"/>
      <c r="DN265" s="79"/>
      <c r="DO265" s="79"/>
      <c r="DP265" s="79"/>
      <c r="DQ265" s="79"/>
      <c r="DR265" s="79"/>
      <c r="DS265" s="79"/>
      <c r="DT265" s="79"/>
      <c r="DU265" s="79"/>
      <c r="DV265" s="79"/>
      <c r="DW265" s="79"/>
      <c r="DX265" s="79"/>
      <c r="DY265" s="79"/>
      <c r="DZ265" s="79"/>
      <c r="EA265" s="79"/>
      <c r="EB265" s="79"/>
      <c r="EC265" s="79"/>
      <c r="ED265" s="79"/>
      <c r="EE265" s="79"/>
      <c r="EF265" s="79"/>
      <c r="EG265" s="79"/>
      <c r="EH265" s="79"/>
      <c r="EI265" s="79"/>
      <c r="EJ265" s="79"/>
      <c r="EK265" s="79"/>
      <c r="EL265" s="79"/>
      <c r="EM265" s="79"/>
      <c r="EN265" s="79"/>
      <c r="EO265" s="79"/>
      <c r="EP265" s="79"/>
      <c r="EQ265" s="79"/>
      <c r="ER265" s="79"/>
      <c r="ES265" s="79"/>
      <c r="ET265" s="79"/>
      <c r="EU265" s="79"/>
      <c r="EV265" s="79"/>
      <c r="EW265" s="79"/>
      <c r="EX265" s="79"/>
      <c r="EY265" s="79"/>
      <c r="EZ265" s="79"/>
      <c r="FA265" s="79"/>
      <c r="FB265" s="79"/>
      <c r="FC265" s="79"/>
      <c r="FD265" s="79"/>
      <c r="FE265" s="79"/>
      <c r="FF265" s="79"/>
      <c r="FG265" s="79"/>
      <c r="FH265" s="79"/>
      <c r="FI265" s="79"/>
      <c r="FJ265" s="79"/>
      <c r="FK265" s="79"/>
      <c r="FL265" s="79"/>
      <c r="FM265" s="48"/>
      <c r="FN265" s="48"/>
      <c r="FO265" s="48"/>
      <c r="FP265" s="48"/>
      <c r="FQ265" s="48"/>
      <c r="FR265" s="48"/>
      <c r="FS265" s="48"/>
      <c r="FT265" s="48"/>
      <c r="FU265" s="47"/>
      <c r="FV265" s="48"/>
      <c r="FW265" s="48"/>
      <c r="FX265" s="48"/>
      <c r="FY265" s="48"/>
      <c r="FZ265" s="48"/>
      <c r="GA265" s="49"/>
      <c r="GB265" s="49"/>
      <c r="GC265" s="49"/>
      <c r="GD265" s="49"/>
      <c r="GE265" s="49"/>
      <c r="GF265" s="49"/>
      <c r="GG265" s="49"/>
      <c r="GH265" s="49"/>
      <c r="GI265" s="49"/>
      <c r="GJ265" s="49"/>
      <c r="GK265" s="49"/>
      <c r="GL265" s="49"/>
      <c r="GM265" s="49"/>
      <c r="GN265" s="49"/>
      <c r="GO265" s="49"/>
      <c r="GP265" s="49"/>
      <c r="GQ265" s="49"/>
      <c r="GR265" s="49"/>
      <c r="GS265" s="49"/>
      <c r="GT265" s="49"/>
      <c r="GU265" s="49"/>
      <c r="GV265" s="49"/>
      <c r="GW265" s="49"/>
      <c r="GX265" s="49"/>
      <c r="GY265" s="49"/>
      <c r="GZ265" s="49"/>
      <c r="HA265" s="49"/>
      <c r="HB265" s="49"/>
      <c r="HC265" s="49"/>
      <c r="HD265" s="49"/>
      <c r="HE265" s="49"/>
      <c r="HF265" s="49"/>
      <c r="HG265" s="49"/>
      <c r="HH265" s="49"/>
      <c r="HI265" s="49"/>
      <c r="HJ265" s="49"/>
      <c r="HK265" s="49"/>
      <c r="HL265" s="49"/>
      <c r="HM265" s="49"/>
    </row>
    <row r="266" spans="1:221" ht="3.75" hidden="1" customHeight="1">
      <c r="A266" s="1"/>
      <c r="B266" s="3"/>
      <c r="C266" s="3"/>
      <c r="D266" s="43"/>
      <c r="E266" s="43"/>
      <c r="F266" s="43"/>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c r="BE266" s="79"/>
      <c r="BF266" s="79"/>
      <c r="BG266" s="79"/>
      <c r="BH266" s="79"/>
      <c r="BI266" s="79"/>
      <c r="BJ266" s="79"/>
      <c r="BK266" s="79"/>
      <c r="BL266" s="79"/>
      <c r="BM266" s="79"/>
      <c r="BN266" s="79"/>
      <c r="BO266" s="79"/>
      <c r="BP266" s="79"/>
      <c r="BQ266" s="79"/>
      <c r="BR266" s="79"/>
      <c r="BS266" s="79"/>
      <c r="BT266" s="79"/>
      <c r="BU266" s="79"/>
      <c r="BV266" s="79"/>
      <c r="BW266" s="79"/>
      <c r="BX266" s="79"/>
      <c r="BY266" s="79"/>
      <c r="BZ266" s="79"/>
      <c r="CA266" s="79"/>
      <c r="CB266" s="79"/>
      <c r="CC266" s="79"/>
      <c r="CD266" s="79"/>
      <c r="CE266" s="79"/>
      <c r="CF266" s="79"/>
      <c r="CG266" s="79"/>
      <c r="CH266" s="79"/>
      <c r="CI266" s="79"/>
      <c r="CJ266" s="79"/>
      <c r="CK266" s="79"/>
      <c r="CL266" s="79"/>
      <c r="CM266" s="79"/>
      <c r="CN266" s="79"/>
      <c r="CO266" s="79"/>
      <c r="CP266" s="79"/>
      <c r="CQ266" s="79"/>
      <c r="CR266" s="79"/>
      <c r="CS266" s="79"/>
      <c r="CT266" s="79"/>
      <c r="CU266" s="79"/>
      <c r="CV266" s="79"/>
      <c r="CW266" s="79"/>
      <c r="CX266" s="79"/>
      <c r="CY266" s="79"/>
      <c r="CZ266" s="79"/>
      <c r="DA266" s="79"/>
      <c r="DB266" s="79"/>
      <c r="DC266" s="79"/>
      <c r="DD266" s="79"/>
      <c r="DE266" s="79"/>
      <c r="DF266" s="79"/>
      <c r="DG266" s="79"/>
      <c r="DH266" s="79"/>
      <c r="DI266" s="79"/>
      <c r="DJ266" s="79"/>
      <c r="DK266" s="79"/>
      <c r="DL266" s="79"/>
      <c r="DM266" s="79"/>
      <c r="DN266" s="79"/>
      <c r="DO266" s="79"/>
      <c r="DP266" s="79"/>
      <c r="DQ266" s="79"/>
      <c r="DR266" s="79"/>
      <c r="DS266" s="79"/>
      <c r="DT266" s="79"/>
      <c r="DU266" s="79"/>
      <c r="DV266" s="79"/>
      <c r="DW266" s="79"/>
      <c r="DX266" s="79"/>
      <c r="DY266" s="79"/>
      <c r="DZ266" s="79"/>
      <c r="EA266" s="79"/>
      <c r="EB266" s="79"/>
      <c r="EC266" s="79"/>
      <c r="ED266" s="79"/>
      <c r="EE266" s="79"/>
      <c r="EF266" s="79"/>
      <c r="EG266" s="79"/>
      <c r="EH266" s="79"/>
      <c r="EI266" s="79"/>
      <c r="EJ266" s="79"/>
      <c r="EK266" s="79"/>
      <c r="EL266" s="79"/>
      <c r="EM266" s="79"/>
      <c r="EN266" s="79"/>
      <c r="EO266" s="79"/>
      <c r="EP266" s="79"/>
      <c r="EQ266" s="79"/>
      <c r="ER266" s="79"/>
      <c r="ES266" s="79"/>
      <c r="ET266" s="79"/>
      <c r="EU266" s="79"/>
      <c r="EV266" s="79"/>
      <c r="EW266" s="79"/>
      <c r="EX266" s="79"/>
      <c r="EY266" s="79"/>
      <c r="EZ266" s="79"/>
      <c r="FA266" s="79"/>
      <c r="FB266" s="79"/>
      <c r="FC266" s="79"/>
      <c r="FD266" s="79"/>
      <c r="FE266" s="79"/>
      <c r="FF266" s="79"/>
      <c r="FG266" s="79"/>
      <c r="FH266" s="79"/>
      <c r="FI266" s="79"/>
      <c r="FJ266" s="79"/>
      <c r="FK266" s="79"/>
      <c r="FL266" s="79"/>
      <c r="FM266" s="48"/>
      <c r="FN266" s="48"/>
      <c r="FO266" s="48"/>
      <c r="FP266" s="48"/>
      <c r="FQ266" s="48"/>
      <c r="FR266" s="48"/>
      <c r="FS266" s="48"/>
      <c r="FT266" s="48"/>
      <c r="FU266" s="47"/>
      <c r="FV266" s="48"/>
      <c r="FW266" s="48"/>
      <c r="FX266" s="48"/>
      <c r="FY266" s="48"/>
      <c r="FZ266" s="48"/>
      <c r="GA266" s="49"/>
      <c r="GB266" s="49"/>
      <c r="GC266" s="49"/>
      <c r="GD266" s="49"/>
      <c r="GE266" s="49"/>
      <c r="GF266" s="49"/>
      <c r="GG266" s="49"/>
      <c r="GH266" s="49"/>
      <c r="GI266" s="49"/>
      <c r="GJ266" s="49"/>
      <c r="GK266" s="49"/>
      <c r="GL266" s="49"/>
      <c r="GM266" s="49"/>
      <c r="GN266" s="49"/>
      <c r="GO266" s="49"/>
      <c r="GP266" s="49"/>
      <c r="GQ266" s="49"/>
      <c r="GR266" s="49"/>
      <c r="GS266" s="49"/>
      <c r="GT266" s="49"/>
      <c r="GU266" s="49"/>
      <c r="GV266" s="49"/>
      <c r="GW266" s="49"/>
      <c r="GX266" s="49"/>
      <c r="GY266" s="49"/>
      <c r="GZ266" s="49"/>
      <c r="HA266" s="49"/>
      <c r="HB266" s="49"/>
      <c r="HC266" s="49"/>
      <c r="HD266" s="49"/>
      <c r="HE266" s="49"/>
      <c r="HF266" s="49"/>
      <c r="HG266" s="49"/>
      <c r="HH266" s="49"/>
      <c r="HI266" s="49"/>
      <c r="HJ266" s="49"/>
      <c r="HK266" s="49"/>
      <c r="HL266" s="49"/>
      <c r="HM266" s="49"/>
    </row>
    <row r="267" spans="1:221" ht="3.75" hidden="1" customHeight="1">
      <c r="A267" s="1"/>
      <c r="B267" s="3"/>
      <c r="C267" s="3"/>
      <c r="D267" s="43"/>
      <c r="E267" s="43"/>
      <c r="F267" s="43"/>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79"/>
      <c r="BA267" s="79"/>
      <c r="BB267" s="79"/>
      <c r="BC267" s="79"/>
      <c r="BD267" s="79"/>
      <c r="BE267" s="79"/>
      <c r="BF267" s="79"/>
      <c r="BG267" s="79"/>
      <c r="BH267" s="79"/>
      <c r="BI267" s="79"/>
      <c r="BJ267" s="79"/>
      <c r="BK267" s="79"/>
      <c r="BL267" s="79"/>
      <c r="BM267" s="79"/>
      <c r="BN267" s="79"/>
      <c r="BO267" s="79"/>
      <c r="BP267" s="79"/>
      <c r="BQ267" s="79"/>
      <c r="BR267" s="79"/>
      <c r="BS267" s="79"/>
      <c r="BT267" s="79"/>
      <c r="BU267" s="79"/>
      <c r="BV267" s="79"/>
      <c r="BW267" s="79"/>
      <c r="BX267" s="79"/>
      <c r="BY267" s="79"/>
      <c r="BZ267" s="79"/>
      <c r="CA267" s="79"/>
      <c r="CB267" s="79"/>
      <c r="CC267" s="79"/>
      <c r="CD267" s="79"/>
      <c r="CE267" s="79"/>
      <c r="CF267" s="79"/>
      <c r="CG267" s="79"/>
      <c r="CH267" s="79"/>
      <c r="CI267" s="79"/>
      <c r="CJ267" s="79"/>
      <c r="CK267" s="79"/>
      <c r="CL267" s="79"/>
      <c r="CM267" s="79"/>
      <c r="CN267" s="79"/>
      <c r="CO267" s="79"/>
      <c r="CP267" s="79"/>
      <c r="CQ267" s="79"/>
      <c r="CR267" s="79"/>
      <c r="CS267" s="79"/>
      <c r="CT267" s="79"/>
      <c r="CU267" s="79"/>
      <c r="CV267" s="79"/>
      <c r="CW267" s="79"/>
      <c r="CX267" s="79"/>
      <c r="CY267" s="79"/>
      <c r="CZ267" s="79"/>
      <c r="DA267" s="79"/>
      <c r="DB267" s="79"/>
      <c r="DC267" s="79"/>
      <c r="DD267" s="79"/>
      <c r="DE267" s="79"/>
      <c r="DF267" s="79"/>
      <c r="DG267" s="79"/>
      <c r="DH267" s="79"/>
      <c r="DI267" s="79"/>
      <c r="DJ267" s="79"/>
      <c r="DK267" s="79"/>
      <c r="DL267" s="79"/>
      <c r="DM267" s="79"/>
      <c r="DN267" s="79"/>
      <c r="DO267" s="79"/>
      <c r="DP267" s="79"/>
      <c r="DQ267" s="79"/>
      <c r="DR267" s="79"/>
      <c r="DS267" s="79"/>
      <c r="DT267" s="79"/>
      <c r="DU267" s="79"/>
      <c r="DV267" s="79"/>
      <c r="DW267" s="79"/>
      <c r="DX267" s="79"/>
      <c r="DY267" s="79"/>
      <c r="DZ267" s="79"/>
      <c r="EA267" s="79"/>
      <c r="EB267" s="79"/>
      <c r="EC267" s="79"/>
      <c r="ED267" s="79"/>
      <c r="EE267" s="79"/>
      <c r="EF267" s="79"/>
      <c r="EG267" s="79"/>
      <c r="EH267" s="79"/>
      <c r="EI267" s="79"/>
      <c r="EJ267" s="79"/>
      <c r="EK267" s="79"/>
      <c r="EL267" s="79"/>
      <c r="EM267" s="79"/>
      <c r="EN267" s="79"/>
      <c r="EO267" s="79"/>
      <c r="EP267" s="79"/>
      <c r="EQ267" s="79"/>
      <c r="ER267" s="79"/>
      <c r="ES267" s="79"/>
      <c r="ET267" s="79"/>
      <c r="EU267" s="79"/>
      <c r="EV267" s="79"/>
      <c r="EW267" s="79"/>
      <c r="EX267" s="79"/>
      <c r="EY267" s="79"/>
      <c r="EZ267" s="79"/>
      <c r="FA267" s="79"/>
      <c r="FB267" s="79"/>
      <c r="FC267" s="79"/>
      <c r="FD267" s="79"/>
      <c r="FE267" s="79"/>
      <c r="FF267" s="79"/>
      <c r="FG267" s="79"/>
      <c r="FH267" s="79"/>
      <c r="FI267" s="79"/>
      <c r="FJ267" s="79"/>
      <c r="FK267" s="79"/>
      <c r="FL267" s="79"/>
      <c r="FM267" s="48"/>
      <c r="FN267" s="48"/>
      <c r="FO267" s="48"/>
      <c r="FP267" s="48"/>
      <c r="FQ267" s="48"/>
      <c r="FR267" s="48"/>
      <c r="FS267" s="48"/>
      <c r="FT267" s="48"/>
      <c r="FU267" s="47"/>
      <c r="FV267" s="48"/>
      <c r="FW267" s="48"/>
      <c r="FX267" s="48"/>
      <c r="FY267" s="48"/>
      <c r="FZ267" s="48"/>
      <c r="GA267" s="49"/>
      <c r="GB267" s="49"/>
      <c r="GC267" s="49"/>
      <c r="GD267" s="49"/>
      <c r="GE267" s="49"/>
      <c r="GF267" s="49"/>
      <c r="GG267" s="49"/>
      <c r="GH267" s="49"/>
      <c r="GI267" s="49"/>
      <c r="GJ267" s="49"/>
      <c r="GK267" s="49"/>
      <c r="GL267" s="49"/>
      <c r="GM267" s="49"/>
      <c r="GN267" s="49"/>
      <c r="GO267" s="49"/>
      <c r="GP267" s="49"/>
      <c r="GQ267" s="49"/>
      <c r="GR267" s="49"/>
      <c r="GS267" s="49"/>
      <c r="GT267" s="49"/>
      <c r="GU267" s="49"/>
      <c r="GV267" s="49"/>
      <c r="GW267" s="49"/>
      <c r="GX267" s="49"/>
      <c r="GY267" s="49"/>
      <c r="GZ267" s="49"/>
      <c r="HA267" s="49"/>
      <c r="HB267" s="49"/>
      <c r="HC267" s="49"/>
      <c r="HD267" s="49"/>
      <c r="HE267" s="49"/>
      <c r="HF267" s="49"/>
      <c r="HG267" s="49"/>
      <c r="HH267" s="49"/>
      <c r="HI267" s="49"/>
      <c r="HJ267" s="49"/>
      <c r="HK267" s="49"/>
      <c r="HL267" s="49"/>
      <c r="HM267" s="49"/>
    </row>
    <row r="268" spans="1:221" ht="3.75" hidden="1" customHeight="1">
      <c r="A268" s="1"/>
      <c r="B268" s="3"/>
      <c r="C268" s="3"/>
      <c r="D268" s="43"/>
      <c r="E268" s="43"/>
      <c r="F268" s="43"/>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c r="BA268" s="79"/>
      <c r="BB268" s="79"/>
      <c r="BC268" s="79"/>
      <c r="BD268" s="79"/>
      <c r="BE268" s="79"/>
      <c r="BF268" s="79"/>
      <c r="BG268" s="79"/>
      <c r="BH268" s="79"/>
      <c r="BI268" s="79"/>
      <c r="BJ268" s="79"/>
      <c r="BK268" s="79"/>
      <c r="BL268" s="79"/>
      <c r="BM268" s="79"/>
      <c r="BN268" s="79"/>
      <c r="BO268" s="79"/>
      <c r="BP268" s="79"/>
      <c r="BQ268" s="79"/>
      <c r="BR268" s="79"/>
      <c r="BS268" s="79"/>
      <c r="BT268" s="79"/>
      <c r="BU268" s="79"/>
      <c r="BV268" s="79"/>
      <c r="BW268" s="79"/>
      <c r="BX268" s="79"/>
      <c r="BY268" s="79"/>
      <c r="BZ268" s="79"/>
      <c r="CA268" s="79"/>
      <c r="CB268" s="79"/>
      <c r="CC268" s="79"/>
      <c r="CD268" s="79"/>
      <c r="CE268" s="79"/>
      <c r="CF268" s="79"/>
      <c r="CG268" s="79"/>
      <c r="CH268" s="79"/>
      <c r="CI268" s="79"/>
      <c r="CJ268" s="79"/>
      <c r="CK268" s="79"/>
      <c r="CL268" s="79"/>
      <c r="CM268" s="79"/>
      <c r="CN268" s="79"/>
      <c r="CO268" s="79"/>
      <c r="CP268" s="79"/>
      <c r="CQ268" s="79"/>
      <c r="CR268" s="79"/>
      <c r="CS268" s="79"/>
      <c r="CT268" s="79"/>
      <c r="CU268" s="79"/>
      <c r="CV268" s="79"/>
      <c r="CW268" s="79"/>
      <c r="CX268" s="79"/>
      <c r="CY268" s="79"/>
      <c r="CZ268" s="79"/>
      <c r="DA268" s="79"/>
      <c r="DB268" s="79"/>
      <c r="DC268" s="79"/>
      <c r="DD268" s="79"/>
      <c r="DE268" s="79"/>
      <c r="DF268" s="79"/>
      <c r="DG268" s="79"/>
      <c r="DH268" s="79"/>
      <c r="DI268" s="79"/>
      <c r="DJ268" s="79"/>
      <c r="DK268" s="79"/>
      <c r="DL268" s="79"/>
      <c r="DM268" s="79"/>
      <c r="DN268" s="79"/>
      <c r="DO268" s="79"/>
      <c r="DP268" s="79"/>
      <c r="DQ268" s="79"/>
      <c r="DR268" s="79"/>
      <c r="DS268" s="79"/>
      <c r="DT268" s="79"/>
      <c r="DU268" s="79"/>
      <c r="DV268" s="79"/>
      <c r="DW268" s="79"/>
      <c r="DX268" s="79"/>
      <c r="DY268" s="79"/>
      <c r="DZ268" s="79"/>
      <c r="EA268" s="79"/>
      <c r="EB268" s="79"/>
      <c r="EC268" s="79"/>
      <c r="ED268" s="79"/>
      <c r="EE268" s="79"/>
      <c r="EF268" s="79"/>
      <c r="EG268" s="79"/>
      <c r="EH268" s="79"/>
      <c r="EI268" s="79"/>
      <c r="EJ268" s="79"/>
      <c r="EK268" s="79"/>
      <c r="EL268" s="79"/>
      <c r="EM268" s="79"/>
      <c r="EN268" s="79"/>
      <c r="EO268" s="79"/>
      <c r="EP268" s="79"/>
      <c r="EQ268" s="79"/>
      <c r="ER268" s="79"/>
      <c r="ES268" s="79"/>
      <c r="ET268" s="79"/>
      <c r="EU268" s="79"/>
      <c r="EV268" s="79"/>
      <c r="EW268" s="79"/>
      <c r="EX268" s="79"/>
      <c r="EY268" s="79"/>
      <c r="EZ268" s="79"/>
      <c r="FA268" s="79"/>
      <c r="FB268" s="79"/>
      <c r="FC268" s="79"/>
      <c r="FD268" s="79"/>
      <c r="FE268" s="79"/>
      <c r="FF268" s="79"/>
      <c r="FG268" s="79"/>
      <c r="FH268" s="79"/>
      <c r="FI268" s="79"/>
      <c r="FJ268" s="79"/>
      <c r="FK268" s="79"/>
      <c r="FL268" s="79"/>
      <c r="FM268" s="48"/>
      <c r="FN268" s="48"/>
      <c r="FO268" s="48"/>
      <c r="FP268" s="48"/>
      <c r="FQ268" s="48"/>
      <c r="FR268" s="48"/>
      <c r="FS268" s="48"/>
      <c r="FT268" s="48"/>
      <c r="FU268" s="47"/>
      <c r="FV268" s="48"/>
      <c r="FW268" s="48"/>
      <c r="FX268" s="48"/>
      <c r="FY268" s="48"/>
      <c r="FZ268" s="48"/>
      <c r="GA268" s="49"/>
      <c r="GB268" s="49"/>
      <c r="GC268" s="49"/>
      <c r="GD268" s="49"/>
      <c r="GE268" s="49"/>
      <c r="GF268" s="49"/>
      <c r="GG268" s="49"/>
      <c r="GH268" s="49"/>
      <c r="GI268" s="49"/>
      <c r="GJ268" s="49"/>
      <c r="GK268" s="49"/>
      <c r="GL268" s="49"/>
      <c r="GM268" s="49"/>
      <c r="GN268" s="49"/>
      <c r="GO268" s="49"/>
      <c r="GP268" s="49"/>
      <c r="GQ268" s="49"/>
      <c r="GR268" s="49"/>
      <c r="GS268" s="49"/>
      <c r="GT268" s="49"/>
      <c r="GU268" s="49"/>
      <c r="GV268" s="49"/>
      <c r="GW268" s="49"/>
      <c r="GX268" s="49"/>
      <c r="GY268" s="49"/>
      <c r="GZ268" s="49"/>
      <c r="HA268" s="49"/>
      <c r="HB268" s="49"/>
      <c r="HC268" s="49"/>
      <c r="HD268" s="49"/>
      <c r="HE268" s="49"/>
      <c r="HF268" s="49"/>
      <c r="HG268" s="49"/>
      <c r="HH268" s="49"/>
      <c r="HI268" s="49"/>
      <c r="HJ268" s="49"/>
      <c r="HK268" s="49"/>
      <c r="HL268" s="49"/>
      <c r="HM268" s="49"/>
    </row>
    <row r="269" spans="1:221" ht="3.75" hidden="1" customHeight="1">
      <c r="A269" s="1"/>
      <c r="B269" s="3"/>
      <c r="C269" s="3"/>
      <c r="D269" s="43"/>
      <c r="E269" s="43"/>
      <c r="F269" s="43"/>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79"/>
      <c r="BA269" s="79"/>
      <c r="BB269" s="79"/>
      <c r="BC269" s="79"/>
      <c r="BD269" s="79"/>
      <c r="BE269" s="79"/>
      <c r="BF269" s="79"/>
      <c r="BG269" s="79"/>
      <c r="BH269" s="79"/>
      <c r="BI269" s="79"/>
      <c r="BJ269" s="79"/>
      <c r="BK269" s="79"/>
      <c r="BL269" s="79"/>
      <c r="BM269" s="79"/>
      <c r="BN269" s="79"/>
      <c r="BO269" s="79"/>
      <c r="BP269" s="79"/>
      <c r="BQ269" s="79"/>
      <c r="BR269" s="79"/>
      <c r="BS269" s="79"/>
      <c r="BT269" s="79"/>
      <c r="BU269" s="79"/>
      <c r="BV269" s="79"/>
      <c r="BW269" s="79"/>
      <c r="BX269" s="79"/>
      <c r="BY269" s="79"/>
      <c r="BZ269" s="79"/>
      <c r="CA269" s="79"/>
      <c r="CB269" s="79"/>
      <c r="CC269" s="79"/>
      <c r="CD269" s="79"/>
      <c r="CE269" s="79"/>
      <c r="CF269" s="79"/>
      <c r="CG269" s="79"/>
      <c r="CH269" s="79"/>
      <c r="CI269" s="79"/>
      <c r="CJ269" s="79"/>
      <c r="CK269" s="79"/>
      <c r="CL269" s="79"/>
      <c r="CM269" s="79"/>
      <c r="CN269" s="79"/>
      <c r="CO269" s="79"/>
      <c r="CP269" s="79"/>
      <c r="CQ269" s="79"/>
      <c r="CR269" s="79"/>
      <c r="CS269" s="79"/>
      <c r="CT269" s="79"/>
      <c r="CU269" s="79"/>
      <c r="CV269" s="79"/>
      <c r="CW269" s="79"/>
      <c r="CX269" s="79"/>
      <c r="CY269" s="79"/>
      <c r="CZ269" s="79"/>
      <c r="DA269" s="79"/>
      <c r="DB269" s="79"/>
      <c r="DC269" s="79"/>
      <c r="DD269" s="79"/>
      <c r="DE269" s="79"/>
      <c r="DF269" s="79"/>
      <c r="DG269" s="79"/>
      <c r="DH269" s="79"/>
      <c r="DI269" s="79"/>
      <c r="DJ269" s="79"/>
      <c r="DK269" s="79"/>
      <c r="DL269" s="79"/>
      <c r="DM269" s="79"/>
      <c r="DN269" s="79"/>
      <c r="DO269" s="79"/>
      <c r="DP269" s="79"/>
      <c r="DQ269" s="79"/>
      <c r="DR269" s="79"/>
      <c r="DS269" s="79"/>
      <c r="DT269" s="79"/>
      <c r="DU269" s="79"/>
      <c r="DV269" s="79"/>
      <c r="DW269" s="79"/>
      <c r="DX269" s="79"/>
      <c r="DY269" s="79"/>
      <c r="DZ269" s="79"/>
      <c r="EA269" s="79"/>
      <c r="EB269" s="79"/>
      <c r="EC269" s="79"/>
      <c r="ED269" s="79"/>
      <c r="EE269" s="79"/>
      <c r="EF269" s="79"/>
      <c r="EG269" s="79"/>
      <c r="EH269" s="79"/>
      <c r="EI269" s="79"/>
      <c r="EJ269" s="79"/>
      <c r="EK269" s="79"/>
      <c r="EL269" s="79"/>
      <c r="EM269" s="79"/>
      <c r="EN269" s="79"/>
      <c r="EO269" s="79"/>
      <c r="EP269" s="79"/>
      <c r="EQ269" s="79"/>
      <c r="ER269" s="79"/>
      <c r="ES269" s="79"/>
      <c r="ET269" s="79"/>
      <c r="EU269" s="79"/>
      <c r="EV269" s="79"/>
      <c r="EW269" s="79"/>
      <c r="EX269" s="79"/>
      <c r="EY269" s="79"/>
      <c r="EZ269" s="79"/>
      <c r="FA269" s="79"/>
      <c r="FB269" s="79"/>
      <c r="FC269" s="79"/>
      <c r="FD269" s="79"/>
      <c r="FE269" s="79"/>
      <c r="FF269" s="79"/>
      <c r="FG269" s="79"/>
      <c r="FH269" s="79"/>
      <c r="FI269" s="79"/>
      <c r="FJ269" s="79"/>
      <c r="FK269" s="79"/>
      <c r="FL269" s="79"/>
      <c r="FM269" s="48"/>
      <c r="FN269" s="48"/>
      <c r="FO269" s="48"/>
      <c r="FP269" s="48"/>
      <c r="FQ269" s="48"/>
      <c r="FR269" s="48"/>
      <c r="FS269" s="48"/>
      <c r="FT269" s="48"/>
      <c r="FU269" s="47"/>
      <c r="FV269" s="48"/>
      <c r="FW269" s="48"/>
      <c r="FX269" s="48"/>
      <c r="FY269" s="48"/>
      <c r="FZ269" s="48"/>
      <c r="GA269" s="49"/>
      <c r="GB269" s="49"/>
      <c r="GC269" s="49"/>
      <c r="GD269" s="49"/>
      <c r="GE269" s="49"/>
      <c r="GF269" s="49"/>
      <c r="GG269" s="49"/>
      <c r="GH269" s="49"/>
      <c r="GI269" s="49"/>
      <c r="GJ269" s="49"/>
      <c r="GK269" s="49"/>
      <c r="GL269" s="49"/>
      <c r="GM269" s="49"/>
      <c r="GN269" s="49"/>
      <c r="GO269" s="49"/>
      <c r="GP269" s="49"/>
      <c r="GQ269" s="49"/>
      <c r="GR269" s="49"/>
      <c r="GS269" s="49"/>
      <c r="GT269" s="49"/>
      <c r="GU269" s="49"/>
      <c r="GV269" s="49"/>
      <c r="GW269" s="49"/>
      <c r="GX269" s="49"/>
      <c r="GY269" s="49"/>
      <c r="GZ269" s="49"/>
      <c r="HA269" s="49"/>
      <c r="HB269" s="49"/>
      <c r="HC269" s="49"/>
      <c r="HD269" s="49"/>
      <c r="HE269" s="49"/>
      <c r="HF269" s="49"/>
      <c r="HG269" s="49"/>
      <c r="HH269" s="49"/>
      <c r="HI269" s="49"/>
      <c r="HJ269" s="49"/>
      <c r="HK269" s="49"/>
      <c r="HL269" s="49"/>
      <c r="HM269" s="49"/>
    </row>
    <row r="270" spans="1:221" ht="3.75" hidden="1" customHeight="1">
      <c r="A270" s="1"/>
      <c r="B270" s="3"/>
      <c r="C270" s="3"/>
      <c r="D270" s="43"/>
      <c r="E270" s="43"/>
      <c r="F270" s="43"/>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c r="BE270" s="79"/>
      <c r="BF270" s="79"/>
      <c r="BG270" s="79"/>
      <c r="BH270" s="79"/>
      <c r="BI270" s="79"/>
      <c r="BJ270" s="79"/>
      <c r="BK270" s="79"/>
      <c r="BL270" s="79"/>
      <c r="BM270" s="79"/>
      <c r="BN270" s="79"/>
      <c r="BO270" s="79"/>
      <c r="BP270" s="79"/>
      <c r="BQ270" s="79"/>
      <c r="BR270" s="79"/>
      <c r="BS270" s="79"/>
      <c r="BT270" s="79"/>
      <c r="BU270" s="79"/>
      <c r="BV270" s="79"/>
      <c r="BW270" s="79"/>
      <c r="BX270" s="79"/>
      <c r="BY270" s="79"/>
      <c r="BZ270" s="79"/>
      <c r="CA270" s="79"/>
      <c r="CB270" s="79"/>
      <c r="CC270" s="79"/>
      <c r="CD270" s="79"/>
      <c r="CE270" s="79"/>
      <c r="CF270" s="79"/>
      <c r="CG270" s="79"/>
      <c r="CH270" s="79"/>
      <c r="CI270" s="79"/>
      <c r="CJ270" s="79"/>
      <c r="CK270" s="79"/>
      <c r="CL270" s="79"/>
      <c r="CM270" s="79"/>
      <c r="CN270" s="79"/>
      <c r="CO270" s="79"/>
      <c r="CP270" s="79"/>
      <c r="CQ270" s="79"/>
      <c r="CR270" s="79"/>
      <c r="CS270" s="79"/>
      <c r="CT270" s="79"/>
      <c r="CU270" s="79"/>
      <c r="CV270" s="79"/>
      <c r="CW270" s="79"/>
      <c r="CX270" s="79"/>
      <c r="CY270" s="79"/>
      <c r="CZ270" s="79"/>
      <c r="DA270" s="79"/>
      <c r="DB270" s="79"/>
      <c r="DC270" s="79"/>
      <c r="DD270" s="79"/>
      <c r="DE270" s="79"/>
      <c r="DF270" s="79"/>
      <c r="DG270" s="79"/>
      <c r="DH270" s="79"/>
      <c r="DI270" s="79"/>
      <c r="DJ270" s="79"/>
      <c r="DK270" s="79"/>
      <c r="DL270" s="79"/>
      <c r="DM270" s="79"/>
      <c r="DN270" s="79"/>
      <c r="DO270" s="79"/>
      <c r="DP270" s="79"/>
      <c r="DQ270" s="79"/>
      <c r="DR270" s="79"/>
      <c r="DS270" s="79"/>
      <c r="DT270" s="79"/>
      <c r="DU270" s="79"/>
      <c r="DV270" s="79"/>
      <c r="DW270" s="79"/>
      <c r="DX270" s="79"/>
      <c r="DY270" s="79"/>
      <c r="DZ270" s="79"/>
      <c r="EA270" s="79"/>
      <c r="EB270" s="79"/>
      <c r="EC270" s="79"/>
      <c r="ED270" s="79"/>
      <c r="EE270" s="79"/>
      <c r="EF270" s="79"/>
      <c r="EG270" s="79"/>
      <c r="EH270" s="79"/>
      <c r="EI270" s="79"/>
      <c r="EJ270" s="79"/>
      <c r="EK270" s="79"/>
      <c r="EL270" s="79"/>
      <c r="EM270" s="79"/>
      <c r="EN270" s="79"/>
      <c r="EO270" s="79"/>
      <c r="EP270" s="79"/>
      <c r="EQ270" s="79"/>
      <c r="ER270" s="79"/>
      <c r="ES270" s="79"/>
      <c r="ET270" s="79"/>
      <c r="EU270" s="79"/>
      <c r="EV270" s="79"/>
      <c r="EW270" s="79"/>
      <c r="EX270" s="79"/>
      <c r="EY270" s="79"/>
      <c r="EZ270" s="79"/>
      <c r="FA270" s="79"/>
      <c r="FB270" s="79"/>
      <c r="FC270" s="79"/>
      <c r="FD270" s="79"/>
      <c r="FE270" s="79"/>
      <c r="FF270" s="79"/>
      <c r="FG270" s="79"/>
      <c r="FH270" s="79"/>
      <c r="FI270" s="79"/>
      <c r="FJ270" s="79"/>
      <c r="FK270" s="79"/>
      <c r="FL270" s="79"/>
      <c r="FM270" s="48"/>
      <c r="FN270" s="48"/>
      <c r="FO270" s="48"/>
      <c r="FP270" s="48"/>
      <c r="FQ270" s="48"/>
      <c r="FR270" s="48"/>
      <c r="FS270" s="48"/>
      <c r="FT270" s="48"/>
      <c r="FU270" s="47"/>
      <c r="FV270" s="48"/>
      <c r="FW270" s="48"/>
      <c r="FX270" s="48"/>
      <c r="FY270" s="48"/>
      <c r="FZ270" s="48"/>
      <c r="GA270" s="49"/>
      <c r="GB270" s="49"/>
      <c r="GC270" s="49"/>
      <c r="GD270" s="49"/>
      <c r="GE270" s="49"/>
      <c r="GF270" s="49"/>
      <c r="GG270" s="49"/>
      <c r="GH270" s="49"/>
      <c r="GI270" s="49"/>
      <c r="GJ270" s="49"/>
      <c r="GK270" s="49"/>
      <c r="GL270" s="49"/>
      <c r="GM270" s="49"/>
      <c r="GN270" s="49"/>
      <c r="GO270" s="49"/>
      <c r="GP270" s="49"/>
      <c r="GQ270" s="49"/>
      <c r="GR270" s="49"/>
      <c r="GS270" s="49"/>
      <c r="GT270" s="49"/>
      <c r="GU270" s="49"/>
      <c r="GV270" s="49"/>
      <c r="GW270" s="49"/>
      <c r="GX270" s="49"/>
      <c r="GY270" s="49"/>
      <c r="GZ270" s="49"/>
      <c r="HA270" s="49"/>
      <c r="HB270" s="49"/>
      <c r="HC270" s="49"/>
      <c r="HD270" s="49"/>
      <c r="HE270" s="49"/>
      <c r="HF270" s="49"/>
      <c r="HG270" s="49"/>
      <c r="HH270" s="49"/>
      <c r="HI270" s="49"/>
      <c r="HJ270" s="49"/>
      <c r="HK270" s="49"/>
      <c r="HL270" s="49"/>
      <c r="HM270" s="49"/>
    </row>
    <row r="271" spans="1:221" ht="3.75" hidden="1" customHeight="1">
      <c r="A271" s="1"/>
      <c r="B271" s="3"/>
      <c r="C271" s="3"/>
      <c r="D271" s="43"/>
      <c r="E271" s="43"/>
      <c r="F271" s="43"/>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79"/>
      <c r="BA271" s="79"/>
      <c r="BB271" s="79"/>
      <c r="BC271" s="79"/>
      <c r="BD271" s="79"/>
      <c r="BE271" s="79"/>
      <c r="BF271" s="79"/>
      <c r="BG271" s="79"/>
      <c r="BH271" s="79"/>
      <c r="BI271" s="79"/>
      <c r="BJ271" s="79"/>
      <c r="BK271" s="79"/>
      <c r="BL271" s="79"/>
      <c r="BM271" s="79"/>
      <c r="BN271" s="79"/>
      <c r="BO271" s="79"/>
      <c r="BP271" s="79"/>
      <c r="BQ271" s="79"/>
      <c r="BR271" s="79"/>
      <c r="BS271" s="79"/>
      <c r="BT271" s="79"/>
      <c r="BU271" s="79"/>
      <c r="BV271" s="79"/>
      <c r="BW271" s="79"/>
      <c r="BX271" s="79"/>
      <c r="BY271" s="79"/>
      <c r="BZ271" s="79"/>
      <c r="CA271" s="79"/>
      <c r="CB271" s="79"/>
      <c r="CC271" s="79"/>
      <c r="CD271" s="79"/>
      <c r="CE271" s="79"/>
      <c r="CF271" s="79"/>
      <c r="CG271" s="79"/>
      <c r="CH271" s="79"/>
      <c r="CI271" s="79"/>
      <c r="CJ271" s="79"/>
      <c r="CK271" s="79"/>
      <c r="CL271" s="79"/>
      <c r="CM271" s="79"/>
      <c r="CN271" s="79"/>
      <c r="CO271" s="79"/>
      <c r="CP271" s="79"/>
      <c r="CQ271" s="79"/>
      <c r="CR271" s="79"/>
      <c r="CS271" s="79"/>
      <c r="CT271" s="79"/>
      <c r="CU271" s="79"/>
      <c r="CV271" s="79"/>
      <c r="CW271" s="79"/>
      <c r="CX271" s="79"/>
      <c r="CY271" s="79"/>
      <c r="CZ271" s="79"/>
      <c r="DA271" s="79"/>
      <c r="DB271" s="79"/>
      <c r="DC271" s="79"/>
      <c r="DD271" s="79"/>
      <c r="DE271" s="79"/>
      <c r="DF271" s="79"/>
      <c r="DG271" s="79"/>
      <c r="DH271" s="79"/>
      <c r="DI271" s="79"/>
      <c r="DJ271" s="79"/>
      <c r="DK271" s="79"/>
      <c r="DL271" s="79"/>
      <c r="DM271" s="79"/>
      <c r="DN271" s="79"/>
      <c r="DO271" s="79"/>
      <c r="DP271" s="79"/>
      <c r="DQ271" s="79"/>
      <c r="DR271" s="79"/>
      <c r="DS271" s="79"/>
      <c r="DT271" s="79"/>
      <c r="DU271" s="79"/>
      <c r="DV271" s="79"/>
      <c r="DW271" s="79"/>
      <c r="DX271" s="79"/>
      <c r="DY271" s="79"/>
      <c r="DZ271" s="79"/>
      <c r="EA271" s="79"/>
      <c r="EB271" s="79"/>
      <c r="EC271" s="79"/>
      <c r="ED271" s="79"/>
      <c r="EE271" s="79"/>
      <c r="EF271" s="79"/>
      <c r="EG271" s="79"/>
      <c r="EH271" s="79"/>
      <c r="EI271" s="79"/>
      <c r="EJ271" s="79"/>
      <c r="EK271" s="79"/>
      <c r="EL271" s="79"/>
      <c r="EM271" s="79"/>
      <c r="EN271" s="79"/>
      <c r="EO271" s="79"/>
      <c r="EP271" s="79"/>
      <c r="EQ271" s="79"/>
      <c r="ER271" s="79"/>
      <c r="ES271" s="79"/>
      <c r="ET271" s="79"/>
      <c r="EU271" s="79"/>
      <c r="EV271" s="79"/>
      <c r="EW271" s="79"/>
      <c r="EX271" s="79"/>
      <c r="EY271" s="79"/>
      <c r="EZ271" s="79"/>
      <c r="FA271" s="79"/>
      <c r="FB271" s="79"/>
      <c r="FC271" s="79"/>
      <c r="FD271" s="79"/>
      <c r="FE271" s="79"/>
      <c r="FF271" s="79"/>
      <c r="FG271" s="79"/>
      <c r="FH271" s="79"/>
      <c r="FI271" s="79"/>
      <c r="FJ271" s="79"/>
      <c r="FK271" s="79"/>
      <c r="FL271" s="79"/>
      <c r="FM271" s="48"/>
      <c r="FN271" s="48"/>
      <c r="FO271" s="48"/>
      <c r="FP271" s="48"/>
      <c r="FQ271" s="48"/>
      <c r="FR271" s="48"/>
      <c r="FS271" s="48"/>
      <c r="FT271" s="48"/>
      <c r="FU271" s="47"/>
      <c r="FV271" s="48"/>
      <c r="FW271" s="48"/>
      <c r="FX271" s="48"/>
      <c r="FY271" s="48"/>
      <c r="FZ271" s="48"/>
      <c r="GA271" s="49"/>
      <c r="GB271" s="49"/>
      <c r="GC271" s="49"/>
      <c r="GD271" s="49"/>
      <c r="GE271" s="49"/>
      <c r="GF271" s="49"/>
      <c r="GG271" s="49"/>
      <c r="GH271" s="49"/>
      <c r="GI271" s="49"/>
      <c r="GJ271" s="49"/>
      <c r="GK271" s="49"/>
      <c r="GL271" s="49"/>
      <c r="GM271" s="49"/>
      <c r="GN271" s="49"/>
      <c r="GO271" s="49"/>
      <c r="GP271" s="49"/>
      <c r="GQ271" s="49"/>
      <c r="GR271" s="49"/>
      <c r="GS271" s="49"/>
      <c r="GT271" s="49"/>
      <c r="GU271" s="49"/>
      <c r="GV271" s="49"/>
      <c r="GW271" s="49"/>
      <c r="GX271" s="49"/>
      <c r="GY271" s="49"/>
      <c r="GZ271" s="49"/>
      <c r="HA271" s="49"/>
      <c r="HB271" s="49"/>
      <c r="HC271" s="49"/>
      <c r="HD271" s="49"/>
      <c r="HE271" s="49"/>
      <c r="HF271" s="49"/>
      <c r="HG271" s="49"/>
      <c r="HH271" s="49"/>
      <c r="HI271" s="49"/>
      <c r="HJ271" s="49"/>
      <c r="HK271" s="49"/>
      <c r="HL271" s="49"/>
      <c r="HM271" s="49"/>
    </row>
    <row r="272" spans="1:221" ht="3.75" hidden="1" customHeight="1">
      <c r="A272" s="1"/>
      <c r="B272" s="3"/>
      <c r="C272" s="3"/>
      <c r="D272" s="43"/>
      <c r="E272" s="43"/>
      <c r="F272" s="43"/>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79"/>
      <c r="BA272" s="79"/>
      <c r="BB272" s="79"/>
      <c r="BC272" s="79"/>
      <c r="BD272" s="79"/>
      <c r="BE272" s="79"/>
      <c r="BF272" s="79"/>
      <c r="BG272" s="79"/>
      <c r="BH272" s="79"/>
      <c r="BI272" s="79"/>
      <c r="BJ272" s="79"/>
      <c r="BK272" s="79"/>
      <c r="BL272" s="79"/>
      <c r="BM272" s="79"/>
      <c r="BN272" s="79"/>
      <c r="BO272" s="79"/>
      <c r="BP272" s="79"/>
      <c r="BQ272" s="79"/>
      <c r="BR272" s="79"/>
      <c r="BS272" s="79"/>
      <c r="BT272" s="79"/>
      <c r="BU272" s="79"/>
      <c r="BV272" s="79"/>
      <c r="BW272" s="79"/>
      <c r="BX272" s="79"/>
      <c r="BY272" s="79"/>
      <c r="BZ272" s="79"/>
      <c r="CA272" s="79"/>
      <c r="CB272" s="79"/>
      <c r="CC272" s="79"/>
      <c r="CD272" s="79"/>
      <c r="CE272" s="79"/>
      <c r="CF272" s="79"/>
      <c r="CG272" s="79"/>
      <c r="CH272" s="79"/>
      <c r="CI272" s="79"/>
      <c r="CJ272" s="79"/>
      <c r="CK272" s="79"/>
      <c r="CL272" s="79"/>
      <c r="CM272" s="79"/>
      <c r="CN272" s="79"/>
      <c r="CO272" s="79"/>
      <c r="CP272" s="79"/>
      <c r="CQ272" s="79"/>
      <c r="CR272" s="79"/>
      <c r="CS272" s="79"/>
      <c r="CT272" s="79"/>
      <c r="CU272" s="79"/>
      <c r="CV272" s="79"/>
      <c r="CW272" s="79"/>
      <c r="CX272" s="79"/>
      <c r="CY272" s="79"/>
      <c r="CZ272" s="79"/>
      <c r="DA272" s="79"/>
      <c r="DB272" s="79"/>
      <c r="DC272" s="79"/>
      <c r="DD272" s="79"/>
      <c r="DE272" s="79"/>
      <c r="DF272" s="79"/>
      <c r="DG272" s="79"/>
      <c r="DH272" s="79"/>
      <c r="DI272" s="79"/>
      <c r="DJ272" s="79"/>
      <c r="DK272" s="79"/>
      <c r="DL272" s="79"/>
      <c r="DM272" s="79"/>
      <c r="DN272" s="79"/>
      <c r="DO272" s="79"/>
      <c r="DP272" s="79"/>
      <c r="DQ272" s="79"/>
      <c r="DR272" s="79"/>
      <c r="DS272" s="79"/>
      <c r="DT272" s="79"/>
      <c r="DU272" s="79"/>
      <c r="DV272" s="79"/>
      <c r="DW272" s="79"/>
      <c r="DX272" s="79"/>
      <c r="DY272" s="79"/>
      <c r="DZ272" s="79"/>
      <c r="EA272" s="79"/>
      <c r="EB272" s="79"/>
      <c r="EC272" s="79"/>
      <c r="ED272" s="79"/>
      <c r="EE272" s="79"/>
      <c r="EF272" s="79"/>
      <c r="EG272" s="79"/>
      <c r="EH272" s="79"/>
      <c r="EI272" s="79"/>
      <c r="EJ272" s="79"/>
      <c r="EK272" s="79"/>
      <c r="EL272" s="79"/>
      <c r="EM272" s="79"/>
      <c r="EN272" s="79"/>
      <c r="EO272" s="79"/>
      <c r="EP272" s="79"/>
      <c r="EQ272" s="79"/>
      <c r="ER272" s="79"/>
      <c r="ES272" s="79"/>
      <c r="ET272" s="79"/>
      <c r="EU272" s="79"/>
      <c r="EV272" s="79"/>
      <c r="EW272" s="79"/>
      <c r="EX272" s="79"/>
      <c r="EY272" s="79"/>
      <c r="EZ272" s="79"/>
      <c r="FA272" s="79"/>
      <c r="FB272" s="79"/>
      <c r="FC272" s="79"/>
      <c r="FD272" s="79"/>
      <c r="FE272" s="79"/>
      <c r="FF272" s="79"/>
      <c r="FG272" s="79"/>
      <c r="FH272" s="79"/>
      <c r="FI272" s="79"/>
      <c r="FJ272" s="79"/>
      <c r="FK272" s="79"/>
      <c r="FL272" s="79"/>
      <c r="FM272" s="48"/>
      <c r="FN272" s="48"/>
      <c r="FO272" s="48"/>
      <c r="FP272" s="48"/>
      <c r="FQ272" s="48"/>
      <c r="FR272" s="48"/>
      <c r="FS272" s="48"/>
      <c r="FT272" s="48"/>
      <c r="FU272" s="47"/>
      <c r="FV272" s="48"/>
      <c r="FW272" s="48"/>
      <c r="FX272" s="48"/>
      <c r="FY272" s="48"/>
      <c r="FZ272" s="48"/>
      <c r="GA272" s="49"/>
      <c r="GB272" s="49"/>
      <c r="GC272" s="49"/>
      <c r="GD272" s="49"/>
      <c r="GE272" s="49"/>
      <c r="GF272" s="49"/>
      <c r="GG272" s="49"/>
      <c r="GH272" s="49"/>
      <c r="GI272" s="49"/>
      <c r="GJ272" s="49"/>
      <c r="GK272" s="49"/>
      <c r="GL272" s="49"/>
      <c r="GM272" s="49"/>
      <c r="GN272" s="49"/>
      <c r="GO272" s="49"/>
      <c r="GP272" s="49"/>
      <c r="GQ272" s="49"/>
      <c r="GR272" s="49"/>
      <c r="GS272" s="49"/>
      <c r="GT272" s="49"/>
      <c r="GU272" s="49"/>
      <c r="GV272" s="49"/>
      <c r="GW272" s="49"/>
      <c r="GX272" s="49"/>
      <c r="GY272" s="49"/>
      <c r="GZ272" s="49"/>
      <c r="HA272" s="49"/>
      <c r="HB272" s="49"/>
      <c r="HC272" s="49"/>
      <c r="HD272" s="49"/>
      <c r="HE272" s="49"/>
      <c r="HF272" s="49"/>
      <c r="HG272" s="49"/>
      <c r="HH272" s="49"/>
      <c r="HI272" s="49"/>
      <c r="HJ272" s="49"/>
      <c r="HK272" s="49"/>
      <c r="HL272" s="49"/>
      <c r="HM272" s="49"/>
    </row>
    <row r="273" spans="1:221" ht="3.75" hidden="1" customHeight="1">
      <c r="A273" s="1"/>
      <c r="B273" s="3"/>
      <c r="C273" s="3"/>
      <c r="D273" s="43"/>
      <c r="E273" s="43"/>
      <c r="F273" s="43"/>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79"/>
      <c r="BA273" s="79"/>
      <c r="BB273" s="79"/>
      <c r="BC273" s="79"/>
      <c r="BD273" s="79"/>
      <c r="BE273" s="79"/>
      <c r="BF273" s="79"/>
      <c r="BG273" s="79"/>
      <c r="BH273" s="79"/>
      <c r="BI273" s="79"/>
      <c r="BJ273" s="79"/>
      <c r="BK273" s="79"/>
      <c r="BL273" s="79"/>
      <c r="BM273" s="79"/>
      <c r="BN273" s="79"/>
      <c r="BO273" s="79"/>
      <c r="BP273" s="79"/>
      <c r="BQ273" s="79"/>
      <c r="BR273" s="79"/>
      <c r="BS273" s="79"/>
      <c r="BT273" s="79"/>
      <c r="BU273" s="79"/>
      <c r="BV273" s="79"/>
      <c r="BW273" s="79"/>
      <c r="BX273" s="79"/>
      <c r="BY273" s="79"/>
      <c r="BZ273" s="79"/>
      <c r="CA273" s="79"/>
      <c r="CB273" s="79"/>
      <c r="CC273" s="79"/>
      <c r="CD273" s="79"/>
      <c r="CE273" s="79"/>
      <c r="CF273" s="79"/>
      <c r="CG273" s="79"/>
      <c r="CH273" s="79"/>
      <c r="CI273" s="79"/>
      <c r="CJ273" s="79"/>
      <c r="CK273" s="79"/>
      <c r="CL273" s="79"/>
      <c r="CM273" s="79"/>
      <c r="CN273" s="79"/>
      <c r="CO273" s="79"/>
      <c r="CP273" s="79"/>
      <c r="CQ273" s="79"/>
      <c r="CR273" s="79"/>
      <c r="CS273" s="79"/>
      <c r="CT273" s="79"/>
      <c r="CU273" s="79"/>
      <c r="CV273" s="79"/>
      <c r="CW273" s="79"/>
      <c r="CX273" s="79"/>
      <c r="CY273" s="79"/>
      <c r="CZ273" s="79"/>
      <c r="DA273" s="79"/>
      <c r="DB273" s="79"/>
      <c r="DC273" s="79"/>
      <c r="DD273" s="79"/>
      <c r="DE273" s="79"/>
      <c r="DF273" s="79"/>
      <c r="DG273" s="79"/>
      <c r="DH273" s="79"/>
      <c r="DI273" s="79"/>
      <c r="DJ273" s="79"/>
      <c r="DK273" s="79"/>
      <c r="DL273" s="79"/>
      <c r="DM273" s="79"/>
      <c r="DN273" s="79"/>
      <c r="DO273" s="79"/>
      <c r="DP273" s="79"/>
      <c r="DQ273" s="79"/>
      <c r="DR273" s="79"/>
      <c r="DS273" s="79"/>
      <c r="DT273" s="79"/>
      <c r="DU273" s="79"/>
      <c r="DV273" s="79"/>
      <c r="DW273" s="79"/>
      <c r="DX273" s="79"/>
      <c r="DY273" s="79"/>
      <c r="DZ273" s="79"/>
      <c r="EA273" s="79"/>
      <c r="EB273" s="79"/>
      <c r="EC273" s="79"/>
      <c r="ED273" s="79"/>
      <c r="EE273" s="79"/>
      <c r="EF273" s="79"/>
      <c r="EG273" s="79"/>
      <c r="EH273" s="79"/>
      <c r="EI273" s="79"/>
      <c r="EJ273" s="79"/>
      <c r="EK273" s="79"/>
      <c r="EL273" s="79"/>
      <c r="EM273" s="79"/>
      <c r="EN273" s="79"/>
      <c r="EO273" s="79"/>
      <c r="EP273" s="79"/>
      <c r="EQ273" s="79"/>
      <c r="ER273" s="79"/>
      <c r="ES273" s="79"/>
      <c r="ET273" s="79"/>
      <c r="EU273" s="79"/>
      <c r="EV273" s="79"/>
      <c r="EW273" s="79"/>
      <c r="EX273" s="79"/>
      <c r="EY273" s="79"/>
      <c r="EZ273" s="79"/>
      <c r="FA273" s="79"/>
      <c r="FB273" s="79"/>
      <c r="FC273" s="79"/>
      <c r="FD273" s="79"/>
      <c r="FE273" s="79"/>
      <c r="FF273" s="79"/>
      <c r="FG273" s="79"/>
      <c r="FH273" s="79"/>
      <c r="FI273" s="79"/>
      <c r="FJ273" s="79"/>
      <c r="FK273" s="79"/>
      <c r="FL273" s="79"/>
      <c r="FM273" s="48"/>
      <c r="FN273" s="48"/>
      <c r="FO273" s="48"/>
      <c r="FP273" s="48"/>
      <c r="FQ273" s="48"/>
      <c r="FR273" s="48"/>
      <c r="FS273" s="48"/>
      <c r="FT273" s="48"/>
      <c r="FU273" s="47"/>
      <c r="FV273" s="48"/>
      <c r="FW273" s="48"/>
      <c r="FX273" s="48"/>
      <c r="FY273" s="48"/>
      <c r="FZ273" s="48"/>
      <c r="GA273" s="49"/>
      <c r="GB273" s="49"/>
      <c r="GC273" s="49"/>
      <c r="GD273" s="49"/>
      <c r="GE273" s="49"/>
      <c r="GF273" s="49"/>
      <c r="GG273" s="49"/>
      <c r="GH273" s="49"/>
      <c r="GI273" s="49"/>
      <c r="GJ273" s="49"/>
      <c r="GK273" s="49"/>
      <c r="GL273" s="49"/>
      <c r="GM273" s="49"/>
      <c r="GN273" s="49"/>
      <c r="GO273" s="49"/>
      <c r="GP273" s="49"/>
      <c r="GQ273" s="49"/>
      <c r="GR273" s="49"/>
      <c r="GS273" s="49"/>
      <c r="GT273" s="49"/>
      <c r="GU273" s="49"/>
      <c r="GV273" s="49"/>
      <c r="GW273" s="49"/>
      <c r="GX273" s="49"/>
      <c r="GY273" s="49"/>
      <c r="GZ273" s="49"/>
      <c r="HA273" s="49"/>
      <c r="HB273" s="49"/>
      <c r="HC273" s="49"/>
      <c r="HD273" s="49"/>
      <c r="HE273" s="49"/>
      <c r="HF273" s="49"/>
      <c r="HG273" s="49"/>
      <c r="HH273" s="49"/>
      <c r="HI273" s="49"/>
      <c r="HJ273" s="49"/>
      <c r="HK273" s="49"/>
      <c r="HL273" s="49"/>
      <c r="HM273" s="49"/>
    </row>
    <row r="274" spans="1:221" ht="3.75" hidden="1" customHeight="1">
      <c r="A274" s="1"/>
      <c r="B274" s="3"/>
      <c r="C274" s="3"/>
      <c r="D274" s="43"/>
      <c r="E274" s="43"/>
      <c r="F274" s="43"/>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c r="BI274" s="79"/>
      <c r="BJ274" s="79"/>
      <c r="BK274" s="79"/>
      <c r="BL274" s="79"/>
      <c r="BM274" s="79"/>
      <c r="BN274" s="79"/>
      <c r="BO274" s="79"/>
      <c r="BP274" s="79"/>
      <c r="BQ274" s="79"/>
      <c r="BR274" s="79"/>
      <c r="BS274" s="79"/>
      <c r="BT274" s="79"/>
      <c r="BU274" s="79"/>
      <c r="BV274" s="79"/>
      <c r="BW274" s="79"/>
      <c r="BX274" s="79"/>
      <c r="BY274" s="79"/>
      <c r="BZ274" s="79"/>
      <c r="CA274" s="79"/>
      <c r="CB274" s="79"/>
      <c r="CC274" s="79"/>
      <c r="CD274" s="79"/>
      <c r="CE274" s="79"/>
      <c r="CF274" s="79"/>
      <c r="CG274" s="79"/>
      <c r="CH274" s="79"/>
      <c r="CI274" s="79"/>
      <c r="CJ274" s="79"/>
      <c r="CK274" s="79"/>
      <c r="CL274" s="79"/>
      <c r="CM274" s="79"/>
      <c r="CN274" s="79"/>
      <c r="CO274" s="79"/>
      <c r="CP274" s="79"/>
      <c r="CQ274" s="79"/>
      <c r="CR274" s="79"/>
      <c r="CS274" s="79"/>
      <c r="CT274" s="79"/>
      <c r="CU274" s="79"/>
      <c r="CV274" s="79"/>
      <c r="CW274" s="79"/>
      <c r="CX274" s="79"/>
      <c r="CY274" s="79"/>
      <c r="CZ274" s="79"/>
      <c r="DA274" s="79"/>
      <c r="DB274" s="79"/>
      <c r="DC274" s="79"/>
      <c r="DD274" s="79"/>
      <c r="DE274" s="79"/>
      <c r="DF274" s="79"/>
      <c r="DG274" s="79"/>
      <c r="DH274" s="79"/>
      <c r="DI274" s="79"/>
      <c r="DJ274" s="79"/>
      <c r="DK274" s="79"/>
      <c r="DL274" s="79"/>
      <c r="DM274" s="79"/>
      <c r="DN274" s="79"/>
      <c r="DO274" s="79"/>
      <c r="DP274" s="79"/>
      <c r="DQ274" s="79"/>
      <c r="DR274" s="79"/>
      <c r="DS274" s="79"/>
      <c r="DT274" s="79"/>
      <c r="DU274" s="79"/>
      <c r="DV274" s="79"/>
      <c r="DW274" s="79"/>
      <c r="DX274" s="79"/>
      <c r="DY274" s="79"/>
      <c r="DZ274" s="79"/>
      <c r="EA274" s="79"/>
      <c r="EB274" s="79"/>
      <c r="EC274" s="79"/>
      <c r="ED274" s="79"/>
      <c r="EE274" s="79"/>
      <c r="EF274" s="79"/>
      <c r="EG274" s="79"/>
      <c r="EH274" s="79"/>
      <c r="EI274" s="79"/>
      <c r="EJ274" s="79"/>
      <c r="EK274" s="79"/>
      <c r="EL274" s="79"/>
      <c r="EM274" s="79"/>
      <c r="EN274" s="79"/>
      <c r="EO274" s="79"/>
      <c r="EP274" s="79"/>
      <c r="EQ274" s="79"/>
      <c r="ER274" s="79"/>
      <c r="ES274" s="79"/>
      <c r="ET274" s="79"/>
      <c r="EU274" s="79"/>
      <c r="EV274" s="79"/>
      <c r="EW274" s="79"/>
      <c r="EX274" s="79"/>
      <c r="EY274" s="79"/>
      <c r="EZ274" s="79"/>
      <c r="FA274" s="79"/>
      <c r="FB274" s="79"/>
      <c r="FC274" s="79"/>
      <c r="FD274" s="79"/>
      <c r="FE274" s="79"/>
      <c r="FF274" s="79"/>
      <c r="FG274" s="79"/>
      <c r="FH274" s="79"/>
      <c r="FI274" s="79"/>
      <c r="FJ274" s="79"/>
      <c r="FK274" s="79"/>
      <c r="FL274" s="79"/>
      <c r="FM274" s="48"/>
      <c r="FN274" s="48"/>
      <c r="FO274" s="48"/>
      <c r="FP274" s="48"/>
      <c r="FQ274" s="48"/>
      <c r="FR274" s="48"/>
      <c r="FS274" s="48"/>
      <c r="FT274" s="48"/>
      <c r="FU274" s="47"/>
      <c r="FV274" s="48"/>
      <c r="FW274" s="48"/>
      <c r="FX274" s="48"/>
      <c r="FY274" s="48"/>
      <c r="FZ274" s="48"/>
      <c r="GA274" s="49"/>
      <c r="GB274" s="49"/>
      <c r="GC274" s="49"/>
      <c r="GD274" s="49"/>
      <c r="GE274" s="49"/>
      <c r="GF274" s="49"/>
      <c r="GG274" s="49"/>
      <c r="GH274" s="49"/>
      <c r="GI274" s="49"/>
      <c r="GJ274" s="49"/>
      <c r="GK274" s="49"/>
      <c r="GL274" s="49"/>
      <c r="GM274" s="49"/>
      <c r="GN274" s="49"/>
      <c r="GO274" s="49"/>
      <c r="GP274" s="49"/>
      <c r="GQ274" s="49"/>
      <c r="GR274" s="49"/>
      <c r="GS274" s="49"/>
      <c r="GT274" s="49"/>
      <c r="GU274" s="49"/>
      <c r="GV274" s="49"/>
      <c r="GW274" s="49"/>
      <c r="GX274" s="49"/>
      <c r="GY274" s="49"/>
      <c r="GZ274" s="49"/>
      <c r="HA274" s="49"/>
      <c r="HB274" s="49"/>
      <c r="HC274" s="49"/>
      <c r="HD274" s="49"/>
      <c r="HE274" s="49"/>
      <c r="HF274" s="49"/>
      <c r="HG274" s="49"/>
      <c r="HH274" s="49"/>
      <c r="HI274" s="49"/>
      <c r="HJ274" s="49"/>
      <c r="HK274" s="49"/>
      <c r="HL274" s="49"/>
      <c r="HM274" s="49"/>
    </row>
    <row r="275" spans="1:221" ht="3.75" hidden="1" customHeight="1">
      <c r="A275" s="1"/>
      <c r="B275" s="3"/>
      <c r="C275" s="3"/>
      <c r="D275" s="43"/>
      <c r="E275" s="43"/>
      <c r="F275" s="43"/>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79"/>
      <c r="BA275" s="79"/>
      <c r="BB275" s="79"/>
      <c r="BC275" s="79"/>
      <c r="BD275" s="79"/>
      <c r="BE275" s="79"/>
      <c r="BF275" s="79"/>
      <c r="BG275" s="79"/>
      <c r="BH275" s="79"/>
      <c r="BI275" s="79"/>
      <c r="BJ275" s="79"/>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c r="CJ275" s="79"/>
      <c r="CK275" s="79"/>
      <c r="CL275" s="79"/>
      <c r="CM275" s="79"/>
      <c r="CN275" s="79"/>
      <c r="CO275" s="79"/>
      <c r="CP275" s="79"/>
      <c r="CQ275" s="79"/>
      <c r="CR275" s="79"/>
      <c r="CS275" s="79"/>
      <c r="CT275" s="79"/>
      <c r="CU275" s="79"/>
      <c r="CV275" s="79"/>
      <c r="CW275" s="79"/>
      <c r="CX275" s="79"/>
      <c r="CY275" s="79"/>
      <c r="CZ275" s="79"/>
      <c r="DA275" s="79"/>
      <c r="DB275" s="79"/>
      <c r="DC275" s="79"/>
      <c r="DD275" s="79"/>
      <c r="DE275" s="79"/>
      <c r="DF275" s="79"/>
      <c r="DG275" s="79"/>
      <c r="DH275" s="79"/>
      <c r="DI275" s="79"/>
      <c r="DJ275" s="79"/>
      <c r="DK275" s="79"/>
      <c r="DL275" s="79"/>
      <c r="DM275" s="79"/>
      <c r="DN275" s="79"/>
      <c r="DO275" s="79"/>
      <c r="DP275" s="79"/>
      <c r="DQ275" s="79"/>
      <c r="DR275" s="79"/>
      <c r="DS275" s="79"/>
      <c r="DT275" s="79"/>
      <c r="DU275" s="79"/>
      <c r="DV275" s="79"/>
      <c r="DW275" s="79"/>
      <c r="DX275" s="79"/>
      <c r="DY275" s="79"/>
      <c r="DZ275" s="79"/>
      <c r="EA275" s="79"/>
      <c r="EB275" s="79"/>
      <c r="EC275" s="79"/>
      <c r="ED275" s="79"/>
      <c r="EE275" s="79"/>
      <c r="EF275" s="79"/>
      <c r="EG275" s="79"/>
      <c r="EH275" s="79"/>
      <c r="EI275" s="79"/>
      <c r="EJ275" s="79"/>
      <c r="EK275" s="79"/>
      <c r="EL275" s="79"/>
      <c r="EM275" s="79"/>
      <c r="EN275" s="79"/>
      <c r="EO275" s="79"/>
      <c r="EP275" s="79"/>
      <c r="EQ275" s="79"/>
      <c r="ER275" s="79"/>
      <c r="ES275" s="79"/>
      <c r="ET275" s="79"/>
      <c r="EU275" s="79"/>
      <c r="EV275" s="79"/>
      <c r="EW275" s="79"/>
      <c r="EX275" s="79"/>
      <c r="EY275" s="79"/>
      <c r="EZ275" s="79"/>
      <c r="FA275" s="79"/>
      <c r="FB275" s="79"/>
      <c r="FC275" s="79"/>
      <c r="FD275" s="79"/>
      <c r="FE275" s="79"/>
      <c r="FF275" s="79"/>
      <c r="FG275" s="79"/>
      <c r="FH275" s="79"/>
      <c r="FI275" s="79"/>
      <c r="FJ275" s="79"/>
      <c r="FK275" s="79"/>
      <c r="FL275" s="79"/>
      <c r="FM275" s="47"/>
      <c r="FN275" s="47"/>
      <c r="FO275" s="47"/>
      <c r="FP275" s="47"/>
      <c r="FQ275" s="47"/>
      <c r="FR275" s="47"/>
      <c r="FS275" s="47"/>
      <c r="FT275" s="47"/>
      <c r="FU275" s="47"/>
      <c r="FV275" s="48"/>
      <c r="FW275" s="48"/>
      <c r="FX275" s="48"/>
      <c r="FY275" s="48"/>
      <c r="FZ275" s="48"/>
      <c r="GA275" s="49"/>
      <c r="GB275" s="49"/>
      <c r="GC275" s="49"/>
      <c r="GD275" s="49"/>
      <c r="GE275" s="49"/>
      <c r="GF275" s="49"/>
      <c r="GG275" s="49"/>
      <c r="GH275" s="49"/>
      <c r="GI275" s="49"/>
      <c r="GJ275" s="49"/>
      <c r="GK275" s="49"/>
      <c r="GL275" s="49"/>
      <c r="GM275" s="49"/>
      <c r="GN275" s="49"/>
      <c r="GO275" s="49"/>
      <c r="GP275" s="49"/>
      <c r="GQ275" s="49"/>
      <c r="GR275" s="49"/>
      <c r="GS275" s="49"/>
      <c r="GT275" s="49"/>
      <c r="GU275" s="49"/>
      <c r="GV275" s="49"/>
      <c r="GW275" s="49"/>
      <c r="GX275" s="49"/>
      <c r="GY275" s="49"/>
      <c r="GZ275" s="49"/>
      <c r="HA275" s="49"/>
      <c r="HB275" s="49"/>
      <c r="HC275" s="49"/>
      <c r="HD275" s="49"/>
      <c r="HE275" s="49"/>
      <c r="HF275" s="49"/>
      <c r="HG275" s="49"/>
      <c r="HH275" s="49"/>
      <c r="HI275" s="49"/>
      <c r="HJ275" s="49"/>
      <c r="HK275" s="49"/>
      <c r="HL275" s="49"/>
      <c r="HM275" s="49"/>
    </row>
    <row r="276" spans="1:221" ht="3.75" hidden="1" customHeight="1">
      <c r="A276" s="1"/>
      <c r="B276" s="3"/>
      <c r="C276" s="3"/>
      <c r="D276" s="43"/>
      <c r="E276" s="43"/>
      <c r="F276" s="43"/>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c r="BE276" s="79"/>
      <c r="BF276" s="79"/>
      <c r="BG276" s="79"/>
      <c r="BH276" s="79"/>
      <c r="BI276" s="79"/>
      <c r="BJ276" s="79"/>
      <c r="BK276" s="79"/>
      <c r="BL276" s="79"/>
      <c r="BM276" s="79"/>
      <c r="BN276" s="79"/>
      <c r="BO276" s="79"/>
      <c r="BP276" s="79"/>
      <c r="BQ276" s="79"/>
      <c r="BR276" s="79"/>
      <c r="BS276" s="79"/>
      <c r="BT276" s="79"/>
      <c r="BU276" s="79"/>
      <c r="BV276" s="79"/>
      <c r="BW276" s="79"/>
      <c r="BX276" s="79"/>
      <c r="BY276" s="79"/>
      <c r="BZ276" s="79"/>
      <c r="CA276" s="79"/>
      <c r="CB276" s="79"/>
      <c r="CC276" s="79"/>
      <c r="CD276" s="79"/>
      <c r="CE276" s="79"/>
      <c r="CF276" s="79"/>
      <c r="CG276" s="79"/>
      <c r="CH276" s="79"/>
      <c r="CI276" s="79"/>
      <c r="CJ276" s="79"/>
      <c r="CK276" s="79"/>
      <c r="CL276" s="79"/>
      <c r="CM276" s="79"/>
      <c r="CN276" s="79"/>
      <c r="CO276" s="79"/>
      <c r="CP276" s="79"/>
      <c r="CQ276" s="79"/>
      <c r="CR276" s="79"/>
      <c r="CS276" s="79"/>
      <c r="CT276" s="79"/>
      <c r="CU276" s="79"/>
      <c r="CV276" s="79"/>
      <c r="CW276" s="79"/>
      <c r="CX276" s="79"/>
      <c r="CY276" s="79"/>
      <c r="CZ276" s="79"/>
      <c r="DA276" s="79"/>
      <c r="DB276" s="79"/>
      <c r="DC276" s="79"/>
      <c r="DD276" s="79"/>
      <c r="DE276" s="79"/>
      <c r="DF276" s="79"/>
      <c r="DG276" s="79"/>
      <c r="DH276" s="79"/>
      <c r="DI276" s="79"/>
      <c r="DJ276" s="79"/>
      <c r="DK276" s="79"/>
      <c r="DL276" s="79"/>
      <c r="DM276" s="79"/>
      <c r="DN276" s="79"/>
      <c r="DO276" s="79"/>
      <c r="DP276" s="79"/>
      <c r="DQ276" s="79"/>
      <c r="DR276" s="79"/>
      <c r="DS276" s="79"/>
      <c r="DT276" s="79"/>
      <c r="DU276" s="79"/>
      <c r="DV276" s="79"/>
      <c r="DW276" s="79"/>
      <c r="DX276" s="79"/>
      <c r="DY276" s="79"/>
      <c r="DZ276" s="79"/>
      <c r="EA276" s="79"/>
      <c r="EB276" s="79"/>
      <c r="EC276" s="79"/>
      <c r="ED276" s="79"/>
      <c r="EE276" s="79"/>
      <c r="EF276" s="79"/>
      <c r="EG276" s="79"/>
      <c r="EH276" s="79"/>
      <c r="EI276" s="79"/>
      <c r="EJ276" s="79"/>
      <c r="EK276" s="79"/>
      <c r="EL276" s="79"/>
      <c r="EM276" s="79"/>
      <c r="EN276" s="79"/>
      <c r="EO276" s="79"/>
      <c r="EP276" s="79"/>
      <c r="EQ276" s="79"/>
      <c r="ER276" s="79"/>
      <c r="ES276" s="79"/>
      <c r="ET276" s="79"/>
      <c r="EU276" s="79"/>
      <c r="EV276" s="79"/>
      <c r="EW276" s="79"/>
      <c r="EX276" s="79"/>
      <c r="EY276" s="79"/>
      <c r="EZ276" s="79"/>
      <c r="FA276" s="79"/>
      <c r="FB276" s="79"/>
      <c r="FC276" s="79"/>
      <c r="FD276" s="79"/>
      <c r="FE276" s="79"/>
      <c r="FF276" s="79"/>
      <c r="FG276" s="79"/>
      <c r="FH276" s="79"/>
      <c r="FI276" s="79"/>
      <c r="FJ276" s="79"/>
      <c r="FK276" s="79"/>
      <c r="FL276" s="79"/>
      <c r="FM276" s="47"/>
      <c r="FN276" s="47"/>
      <c r="FO276" s="47"/>
      <c r="FP276" s="47"/>
      <c r="FQ276" s="47"/>
      <c r="FR276" s="47"/>
      <c r="FS276" s="47"/>
      <c r="FT276" s="47"/>
      <c r="FU276" s="47"/>
      <c r="FV276" s="48"/>
      <c r="FW276" s="48"/>
      <c r="FX276" s="48"/>
      <c r="FY276" s="48"/>
      <c r="FZ276" s="48"/>
      <c r="GA276" s="49"/>
      <c r="GB276" s="49"/>
      <c r="GC276" s="49"/>
      <c r="GD276" s="49"/>
      <c r="GE276" s="49"/>
      <c r="GF276" s="49"/>
      <c r="GG276" s="49"/>
      <c r="GH276" s="49"/>
      <c r="GI276" s="49"/>
      <c r="GJ276" s="49"/>
      <c r="GK276" s="49"/>
      <c r="GL276" s="49"/>
      <c r="GM276" s="49"/>
      <c r="GN276" s="49"/>
      <c r="GO276" s="49"/>
      <c r="GP276" s="49"/>
      <c r="GQ276" s="49"/>
      <c r="GR276" s="49"/>
      <c r="GS276" s="49"/>
      <c r="GT276" s="49"/>
      <c r="GU276" s="49"/>
      <c r="GV276" s="49"/>
      <c r="GW276" s="49"/>
      <c r="GX276" s="49"/>
      <c r="GY276" s="49"/>
      <c r="GZ276" s="49"/>
      <c r="HA276" s="49"/>
      <c r="HB276" s="49"/>
      <c r="HC276" s="49"/>
      <c r="HD276" s="49"/>
      <c r="HE276" s="49"/>
      <c r="HF276" s="49"/>
      <c r="HG276" s="49"/>
      <c r="HH276" s="49"/>
      <c r="HI276" s="49"/>
      <c r="HJ276" s="49"/>
      <c r="HK276" s="49"/>
      <c r="HL276" s="49"/>
      <c r="HM276" s="49"/>
    </row>
    <row r="277" spans="1:221" ht="3.75" hidden="1" customHeight="1">
      <c r="A277" s="1"/>
      <c r="B277" s="3"/>
      <c r="C277" s="3"/>
      <c r="D277" s="43"/>
      <c r="E277" s="43"/>
      <c r="F277" s="43"/>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79"/>
      <c r="BA277" s="79"/>
      <c r="BB277" s="79"/>
      <c r="BC277" s="79"/>
      <c r="BD277" s="79"/>
      <c r="BE277" s="79"/>
      <c r="BF277" s="79"/>
      <c r="BG277" s="79"/>
      <c r="BH277" s="79"/>
      <c r="BI277" s="79"/>
      <c r="BJ277" s="79"/>
      <c r="BK277" s="79"/>
      <c r="BL277" s="79"/>
      <c r="BM277" s="79"/>
      <c r="BN277" s="79"/>
      <c r="BO277" s="79"/>
      <c r="BP277" s="79"/>
      <c r="BQ277" s="79"/>
      <c r="BR277" s="79"/>
      <c r="BS277" s="79"/>
      <c r="BT277" s="79"/>
      <c r="BU277" s="79"/>
      <c r="BV277" s="79"/>
      <c r="BW277" s="79"/>
      <c r="BX277" s="79"/>
      <c r="BY277" s="79"/>
      <c r="BZ277" s="79"/>
      <c r="CA277" s="79"/>
      <c r="CB277" s="79"/>
      <c r="CC277" s="79"/>
      <c r="CD277" s="79"/>
      <c r="CE277" s="79"/>
      <c r="CF277" s="79"/>
      <c r="CG277" s="79"/>
      <c r="CH277" s="79"/>
      <c r="CI277" s="79"/>
      <c r="CJ277" s="79"/>
      <c r="CK277" s="79"/>
      <c r="CL277" s="79"/>
      <c r="CM277" s="79"/>
      <c r="CN277" s="79"/>
      <c r="CO277" s="79"/>
      <c r="CP277" s="79"/>
      <c r="CQ277" s="79"/>
      <c r="CR277" s="79"/>
      <c r="CS277" s="79"/>
      <c r="CT277" s="79"/>
      <c r="CU277" s="79"/>
      <c r="CV277" s="79"/>
      <c r="CW277" s="79"/>
      <c r="CX277" s="79"/>
      <c r="CY277" s="79"/>
      <c r="CZ277" s="79"/>
      <c r="DA277" s="79"/>
      <c r="DB277" s="79"/>
      <c r="DC277" s="79"/>
      <c r="DD277" s="79"/>
      <c r="DE277" s="79"/>
      <c r="DF277" s="79"/>
      <c r="DG277" s="79"/>
      <c r="DH277" s="79"/>
      <c r="DI277" s="79"/>
      <c r="DJ277" s="79"/>
      <c r="DK277" s="79"/>
      <c r="DL277" s="79"/>
      <c r="DM277" s="79"/>
      <c r="DN277" s="79"/>
      <c r="DO277" s="79"/>
      <c r="DP277" s="79"/>
      <c r="DQ277" s="79"/>
      <c r="DR277" s="79"/>
      <c r="DS277" s="79"/>
      <c r="DT277" s="79"/>
      <c r="DU277" s="79"/>
      <c r="DV277" s="79"/>
      <c r="DW277" s="79"/>
      <c r="DX277" s="79"/>
      <c r="DY277" s="79"/>
      <c r="DZ277" s="79"/>
      <c r="EA277" s="79"/>
      <c r="EB277" s="79"/>
      <c r="EC277" s="79"/>
      <c r="ED277" s="79"/>
      <c r="EE277" s="79"/>
      <c r="EF277" s="79"/>
      <c r="EG277" s="79"/>
      <c r="EH277" s="79"/>
      <c r="EI277" s="79"/>
      <c r="EJ277" s="79"/>
      <c r="EK277" s="79"/>
      <c r="EL277" s="79"/>
      <c r="EM277" s="79"/>
      <c r="EN277" s="79"/>
      <c r="EO277" s="79"/>
      <c r="EP277" s="79"/>
      <c r="EQ277" s="79"/>
      <c r="ER277" s="79"/>
      <c r="ES277" s="79"/>
      <c r="ET277" s="79"/>
      <c r="EU277" s="79"/>
      <c r="EV277" s="79"/>
      <c r="EW277" s="79"/>
      <c r="EX277" s="79"/>
      <c r="EY277" s="79"/>
      <c r="EZ277" s="79"/>
      <c r="FA277" s="79"/>
      <c r="FB277" s="79"/>
      <c r="FC277" s="79"/>
      <c r="FD277" s="79"/>
      <c r="FE277" s="79"/>
      <c r="FF277" s="79"/>
      <c r="FG277" s="79"/>
      <c r="FH277" s="79"/>
      <c r="FI277" s="79"/>
      <c r="FJ277" s="79"/>
      <c r="FK277" s="79"/>
      <c r="FL277" s="79"/>
      <c r="FM277" s="47"/>
      <c r="FN277" s="47"/>
      <c r="FO277" s="47"/>
      <c r="FP277" s="47"/>
      <c r="FQ277" s="47"/>
      <c r="FR277" s="47"/>
      <c r="FS277" s="47"/>
      <c r="FT277" s="47"/>
      <c r="FU277" s="47"/>
      <c r="FV277" s="48"/>
      <c r="FW277" s="48"/>
      <c r="FX277" s="48"/>
      <c r="FY277" s="48"/>
      <c r="FZ277" s="48"/>
      <c r="GA277" s="49"/>
      <c r="GB277" s="49"/>
      <c r="GC277" s="49"/>
      <c r="GD277" s="49"/>
      <c r="GE277" s="49"/>
      <c r="GF277" s="49"/>
      <c r="GG277" s="49"/>
      <c r="GH277" s="49"/>
      <c r="GI277" s="49"/>
      <c r="GJ277" s="49"/>
      <c r="GK277" s="49"/>
      <c r="GL277" s="49"/>
      <c r="GM277" s="49"/>
      <c r="GN277" s="49"/>
      <c r="GO277" s="49"/>
      <c r="GP277" s="49"/>
      <c r="GQ277" s="49"/>
      <c r="GR277" s="49"/>
      <c r="GS277" s="49"/>
      <c r="GT277" s="49"/>
      <c r="GU277" s="49"/>
      <c r="GV277" s="49"/>
      <c r="GW277" s="49"/>
      <c r="GX277" s="49"/>
      <c r="GY277" s="49"/>
      <c r="GZ277" s="49"/>
      <c r="HA277" s="49"/>
      <c r="HB277" s="49"/>
      <c r="HC277" s="49"/>
      <c r="HD277" s="49"/>
      <c r="HE277" s="49"/>
      <c r="HF277" s="49"/>
      <c r="HG277" s="49"/>
      <c r="HH277" s="49"/>
      <c r="HI277" s="49"/>
      <c r="HJ277" s="49"/>
      <c r="HK277" s="49"/>
      <c r="HL277" s="49"/>
      <c r="HM277" s="49"/>
    </row>
    <row r="278" spans="1:221" ht="3.75" hidden="1" customHeight="1">
      <c r="A278" s="1"/>
      <c r="B278" s="3"/>
      <c r="C278" s="3"/>
      <c r="D278" s="43"/>
      <c r="E278" s="43"/>
      <c r="F278" s="43"/>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79"/>
      <c r="BF278" s="79"/>
      <c r="BG278" s="79"/>
      <c r="BH278" s="79"/>
      <c r="BI278" s="79"/>
      <c r="BJ278" s="79"/>
      <c r="BK278" s="79"/>
      <c r="BL278" s="79"/>
      <c r="BM278" s="79"/>
      <c r="BN278" s="79"/>
      <c r="BO278" s="79"/>
      <c r="BP278" s="79"/>
      <c r="BQ278" s="79"/>
      <c r="BR278" s="79"/>
      <c r="BS278" s="79"/>
      <c r="BT278" s="79"/>
      <c r="BU278" s="79"/>
      <c r="BV278" s="79"/>
      <c r="BW278" s="79"/>
      <c r="BX278" s="79"/>
      <c r="BY278" s="79"/>
      <c r="BZ278" s="79"/>
      <c r="CA278" s="79"/>
      <c r="CB278" s="79"/>
      <c r="CC278" s="79"/>
      <c r="CD278" s="79"/>
      <c r="CE278" s="79"/>
      <c r="CF278" s="79"/>
      <c r="CG278" s="79"/>
      <c r="CH278" s="79"/>
      <c r="CI278" s="79"/>
      <c r="CJ278" s="79"/>
      <c r="CK278" s="79"/>
      <c r="CL278" s="79"/>
      <c r="CM278" s="79"/>
      <c r="CN278" s="79"/>
      <c r="CO278" s="79"/>
      <c r="CP278" s="79"/>
      <c r="CQ278" s="79"/>
      <c r="CR278" s="79"/>
      <c r="CS278" s="79"/>
      <c r="CT278" s="79"/>
      <c r="CU278" s="79"/>
      <c r="CV278" s="79"/>
      <c r="CW278" s="79"/>
      <c r="CX278" s="79"/>
      <c r="CY278" s="79"/>
      <c r="CZ278" s="79"/>
      <c r="DA278" s="79"/>
      <c r="DB278" s="79"/>
      <c r="DC278" s="79"/>
      <c r="DD278" s="79"/>
      <c r="DE278" s="79"/>
      <c r="DF278" s="79"/>
      <c r="DG278" s="79"/>
      <c r="DH278" s="79"/>
      <c r="DI278" s="79"/>
      <c r="DJ278" s="79"/>
      <c r="DK278" s="79"/>
      <c r="DL278" s="79"/>
      <c r="DM278" s="79"/>
      <c r="DN278" s="79"/>
      <c r="DO278" s="79"/>
      <c r="DP278" s="79"/>
      <c r="DQ278" s="79"/>
      <c r="DR278" s="79"/>
      <c r="DS278" s="79"/>
      <c r="DT278" s="79"/>
      <c r="DU278" s="79"/>
      <c r="DV278" s="79"/>
      <c r="DW278" s="79"/>
      <c r="DX278" s="79"/>
      <c r="DY278" s="79"/>
      <c r="DZ278" s="79"/>
      <c r="EA278" s="79"/>
      <c r="EB278" s="79"/>
      <c r="EC278" s="79"/>
      <c r="ED278" s="79"/>
      <c r="EE278" s="79"/>
      <c r="EF278" s="79"/>
      <c r="EG278" s="79"/>
      <c r="EH278" s="79"/>
      <c r="EI278" s="79"/>
      <c r="EJ278" s="79"/>
      <c r="EK278" s="79"/>
      <c r="EL278" s="79"/>
      <c r="EM278" s="79"/>
      <c r="EN278" s="79"/>
      <c r="EO278" s="79"/>
      <c r="EP278" s="79"/>
      <c r="EQ278" s="79"/>
      <c r="ER278" s="79"/>
      <c r="ES278" s="79"/>
      <c r="ET278" s="79"/>
      <c r="EU278" s="79"/>
      <c r="EV278" s="79"/>
      <c r="EW278" s="79"/>
      <c r="EX278" s="79"/>
      <c r="EY278" s="79"/>
      <c r="EZ278" s="79"/>
      <c r="FA278" s="79"/>
      <c r="FB278" s="79"/>
      <c r="FC278" s="79"/>
      <c r="FD278" s="79"/>
      <c r="FE278" s="79"/>
      <c r="FF278" s="79"/>
      <c r="FG278" s="79"/>
      <c r="FH278" s="79"/>
      <c r="FI278" s="79"/>
      <c r="FJ278" s="79"/>
      <c r="FK278" s="79"/>
      <c r="FL278" s="79"/>
      <c r="FM278" s="47"/>
      <c r="FN278" s="47"/>
      <c r="FO278" s="47"/>
      <c r="FP278" s="47"/>
      <c r="FQ278" s="47"/>
      <c r="FR278" s="47"/>
      <c r="FS278" s="47"/>
      <c r="FT278" s="47"/>
      <c r="FU278" s="47"/>
      <c r="FV278" s="48"/>
      <c r="FW278" s="48"/>
      <c r="FX278" s="48"/>
      <c r="FY278" s="48"/>
      <c r="FZ278" s="48"/>
      <c r="GA278" s="49"/>
      <c r="GB278" s="49"/>
      <c r="GC278" s="49"/>
      <c r="GD278" s="49"/>
      <c r="GE278" s="49"/>
      <c r="GF278" s="49"/>
      <c r="GG278" s="49"/>
      <c r="GH278" s="49"/>
      <c r="GI278" s="49"/>
      <c r="GJ278" s="49"/>
      <c r="GK278" s="49"/>
      <c r="GL278" s="49"/>
      <c r="GM278" s="49"/>
      <c r="GN278" s="49"/>
      <c r="GO278" s="49"/>
      <c r="GP278" s="49"/>
      <c r="GQ278" s="49"/>
      <c r="GR278" s="49"/>
      <c r="GS278" s="49"/>
      <c r="GT278" s="49"/>
      <c r="GU278" s="49"/>
      <c r="GV278" s="49"/>
      <c r="GW278" s="49"/>
      <c r="GX278" s="49"/>
      <c r="GY278" s="49"/>
      <c r="GZ278" s="49"/>
      <c r="HA278" s="49"/>
      <c r="HB278" s="49"/>
      <c r="HC278" s="49"/>
      <c r="HD278" s="49"/>
      <c r="HE278" s="49"/>
      <c r="HF278" s="49"/>
      <c r="HG278" s="49"/>
      <c r="HH278" s="49"/>
      <c r="HI278" s="49"/>
      <c r="HJ278" s="49"/>
      <c r="HK278" s="49"/>
      <c r="HL278" s="49"/>
      <c r="HM278" s="49"/>
    </row>
    <row r="279" spans="1:221" ht="3.75" hidden="1" customHeight="1">
      <c r="A279" s="1"/>
      <c r="B279" s="3"/>
      <c r="C279" s="3"/>
      <c r="D279" s="43"/>
      <c r="E279" s="43"/>
      <c r="F279" s="43"/>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79"/>
      <c r="BA279" s="79"/>
      <c r="BB279" s="79"/>
      <c r="BC279" s="79"/>
      <c r="BD279" s="79"/>
      <c r="BE279" s="79"/>
      <c r="BF279" s="79"/>
      <c r="BG279" s="79"/>
      <c r="BH279" s="79"/>
      <c r="BI279" s="79"/>
      <c r="BJ279" s="79"/>
      <c r="BK279" s="79"/>
      <c r="BL279" s="79"/>
      <c r="BM279" s="79"/>
      <c r="BN279" s="79"/>
      <c r="BO279" s="79"/>
      <c r="BP279" s="79"/>
      <c r="BQ279" s="79"/>
      <c r="BR279" s="79"/>
      <c r="BS279" s="79"/>
      <c r="BT279" s="79"/>
      <c r="BU279" s="79"/>
      <c r="BV279" s="79"/>
      <c r="BW279" s="79"/>
      <c r="BX279" s="79"/>
      <c r="BY279" s="79"/>
      <c r="BZ279" s="79"/>
      <c r="CA279" s="79"/>
      <c r="CB279" s="79"/>
      <c r="CC279" s="79"/>
      <c r="CD279" s="79"/>
      <c r="CE279" s="79"/>
      <c r="CF279" s="79"/>
      <c r="CG279" s="79"/>
      <c r="CH279" s="79"/>
      <c r="CI279" s="79"/>
      <c r="CJ279" s="79"/>
      <c r="CK279" s="79"/>
      <c r="CL279" s="79"/>
      <c r="CM279" s="79"/>
      <c r="CN279" s="79"/>
      <c r="CO279" s="79"/>
      <c r="CP279" s="79"/>
      <c r="CQ279" s="79"/>
      <c r="CR279" s="79"/>
      <c r="CS279" s="79"/>
      <c r="CT279" s="79"/>
      <c r="CU279" s="79"/>
      <c r="CV279" s="79"/>
      <c r="CW279" s="79"/>
      <c r="CX279" s="79"/>
      <c r="CY279" s="79"/>
      <c r="CZ279" s="79"/>
      <c r="DA279" s="79"/>
      <c r="DB279" s="79"/>
      <c r="DC279" s="79"/>
      <c r="DD279" s="79"/>
      <c r="DE279" s="79"/>
      <c r="DF279" s="79"/>
      <c r="DG279" s="79"/>
      <c r="DH279" s="79"/>
      <c r="DI279" s="79"/>
      <c r="DJ279" s="79"/>
      <c r="DK279" s="79"/>
      <c r="DL279" s="79"/>
      <c r="DM279" s="79"/>
      <c r="DN279" s="79"/>
      <c r="DO279" s="79"/>
      <c r="DP279" s="79"/>
      <c r="DQ279" s="79"/>
      <c r="DR279" s="79"/>
      <c r="DS279" s="79"/>
      <c r="DT279" s="79"/>
      <c r="DU279" s="79"/>
      <c r="DV279" s="79"/>
      <c r="DW279" s="79"/>
      <c r="DX279" s="79"/>
      <c r="DY279" s="79"/>
      <c r="DZ279" s="79"/>
      <c r="EA279" s="79"/>
      <c r="EB279" s="79"/>
      <c r="EC279" s="79"/>
      <c r="ED279" s="79"/>
      <c r="EE279" s="79"/>
      <c r="EF279" s="79"/>
      <c r="EG279" s="79"/>
      <c r="EH279" s="79"/>
      <c r="EI279" s="79"/>
      <c r="EJ279" s="79"/>
      <c r="EK279" s="79"/>
      <c r="EL279" s="79"/>
      <c r="EM279" s="79"/>
      <c r="EN279" s="79"/>
      <c r="EO279" s="79"/>
      <c r="EP279" s="79"/>
      <c r="EQ279" s="79"/>
      <c r="ER279" s="79"/>
      <c r="ES279" s="79"/>
      <c r="ET279" s="79"/>
      <c r="EU279" s="79"/>
      <c r="EV279" s="79"/>
      <c r="EW279" s="79"/>
      <c r="EX279" s="79"/>
      <c r="EY279" s="79"/>
      <c r="EZ279" s="79"/>
      <c r="FA279" s="79"/>
      <c r="FB279" s="79"/>
      <c r="FC279" s="79"/>
      <c r="FD279" s="79"/>
      <c r="FE279" s="79"/>
      <c r="FF279" s="79"/>
      <c r="FG279" s="79"/>
      <c r="FH279" s="79"/>
      <c r="FI279" s="79"/>
      <c r="FJ279" s="79"/>
      <c r="FK279" s="79"/>
      <c r="FL279" s="79"/>
      <c r="FM279" s="47"/>
      <c r="FN279" s="47"/>
      <c r="FO279" s="47"/>
      <c r="FP279" s="47"/>
      <c r="FQ279" s="47"/>
      <c r="FR279" s="47"/>
      <c r="FS279" s="47"/>
      <c r="FT279" s="47"/>
      <c r="FU279" s="47"/>
      <c r="FV279" s="48"/>
      <c r="FW279" s="48"/>
      <c r="FX279" s="48"/>
      <c r="FY279" s="48"/>
      <c r="FZ279" s="48"/>
      <c r="GA279" s="49"/>
      <c r="GB279" s="49"/>
      <c r="GC279" s="49"/>
      <c r="GD279" s="49"/>
      <c r="GE279" s="49"/>
      <c r="GF279" s="49"/>
      <c r="GG279" s="49"/>
      <c r="GH279" s="49"/>
      <c r="GI279" s="49"/>
      <c r="GJ279" s="49"/>
      <c r="GK279" s="49"/>
      <c r="GL279" s="49"/>
      <c r="GM279" s="49"/>
      <c r="GN279" s="49"/>
      <c r="GO279" s="49"/>
      <c r="GP279" s="49"/>
      <c r="GQ279" s="49"/>
      <c r="GR279" s="49"/>
      <c r="GS279" s="49"/>
      <c r="GT279" s="49"/>
      <c r="GU279" s="49"/>
      <c r="GV279" s="49"/>
      <c r="GW279" s="49"/>
      <c r="GX279" s="49"/>
      <c r="GY279" s="49"/>
      <c r="GZ279" s="49"/>
      <c r="HA279" s="49"/>
      <c r="HB279" s="49"/>
      <c r="HC279" s="49"/>
      <c r="HD279" s="49"/>
      <c r="HE279" s="49"/>
      <c r="HF279" s="49"/>
      <c r="HG279" s="49"/>
      <c r="HH279" s="49"/>
      <c r="HI279" s="49"/>
      <c r="HJ279" s="49"/>
      <c r="HK279" s="49"/>
      <c r="HL279" s="49"/>
      <c r="HM279" s="49"/>
    </row>
    <row r="280" spans="1:221" ht="3.75" hidden="1" customHeight="1">
      <c r="A280" s="1"/>
      <c r="B280" s="3"/>
      <c r="C280" s="3"/>
      <c r="D280" s="43"/>
      <c r="E280" s="43"/>
      <c r="F280" s="43"/>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79"/>
      <c r="BB280" s="79"/>
      <c r="BC280" s="79"/>
      <c r="BD280" s="79"/>
      <c r="BE280" s="79"/>
      <c r="BF280" s="79"/>
      <c r="BG280" s="79"/>
      <c r="BH280" s="79"/>
      <c r="BI280" s="79"/>
      <c r="BJ280" s="79"/>
      <c r="BK280" s="79"/>
      <c r="BL280" s="79"/>
      <c r="BM280" s="79"/>
      <c r="BN280" s="79"/>
      <c r="BO280" s="79"/>
      <c r="BP280" s="79"/>
      <c r="BQ280" s="79"/>
      <c r="BR280" s="79"/>
      <c r="BS280" s="79"/>
      <c r="BT280" s="79"/>
      <c r="BU280" s="79"/>
      <c r="BV280" s="79"/>
      <c r="BW280" s="79"/>
      <c r="BX280" s="79"/>
      <c r="BY280" s="79"/>
      <c r="BZ280" s="79"/>
      <c r="CA280" s="79"/>
      <c r="CB280" s="79"/>
      <c r="CC280" s="79"/>
      <c r="CD280" s="79"/>
      <c r="CE280" s="79"/>
      <c r="CF280" s="79"/>
      <c r="CG280" s="79"/>
      <c r="CH280" s="79"/>
      <c r="CI280" s="79"/>
      <c r="CJ280" s="79"/>
      <c r="CK280" s="79"/>
      <c r="CL280" s="79"/>
      <c r="CM280" s="79"/>
      <c r="CN280" s="79"/>
      <c r="CO280" s="79"/>
      <c r="CP280" s="79"/>
      <c r="CQ280" s="79"/>
      <c r="CR280" s="79"/>
      <c r="CS280" s="79"/>
      <c r="CT280" s="79"/>
      <c r="CU280" s="79"/>
      <c r="CV280" s="79"/>
      <c r="CW280" s="79"/>
      <c r="CX280" s="79"/>
      <c r="CY280" s="79"/>
      <c r="CZ280" s="79"/>
      <c r="DA280" s="79"/>
      <c r="DB280" s="79"/>
      <c r="DC280" s="79"/>
      <c r="DD280" s="79"/>
      <c r="DE280" s="79"/>
      <c r="DF280" s="79"/>
      <c r="DG280" s="79"/>
      <c r="DH280" s="79"/>
      <c r="DI280" s="79"/>
      <c r="DJ280" s="79"/>
      <c r="DK280" s="79"/>
      <c r="DL280" s="79"/>
      <c r="DM280" s="79"/>
      <c r="DN280" s="79"/>
      <c r="DO280" s="79"/>
      <c r="DP280" s="79"/>
      <c r="DQ280" s="79"/>
      <c r="DR280" s="79"/>
      <c r="DS280" s="79"/>
      <c r="DT280" s="79"/>
      <c r="DU280" s="79"/>
      <c r="DV280" s="79"/>
      <c r="DW280" s="79"/>
      <c r="DX280" s="79"/>
      <c r="DY280" s="79"/>
      <c r="DZ280" s="79"/>
      <c r="EA280" s="79"/>
      <c r="EB280" s="79"/>
      <c r="EC280" s="79"/>
      <c r="ED280" s="79"/>
      <c r="EE280" s="79"/>
      <c r="EF280" s="79"/>
      <c r="EG280" s="79"/>
      <c r="EH280" s="79"/>
      <c r="EI280" s="79"/>
      <c r="EJ280" s="79"/>
      <c r="EK280" s="79"/>
      <c r="EL280" s="79"/>
      <c r="EM280" s="79"/>
      <c r="EN280" s="79"/>
      <c r="EO280" s="79"/>
      <c r="EP280" s="79"/>
      <c r="EQ280" s="79"/>
      <c r="ER280" s="79"/>
      <c r="ES280" s="79"/>
      <c r="ET280" s="79"/>
      <c r="EU280" s="79"/>
      <c r="EV280" s="79"/>
      <c r="EW280" s="79"/>
      <c r="EX280" s="79"/>
      <c r="EY280" s="79"/>
      <c r="EZ280" s="79"/>
      <c r="FA280" s="79"/>
      <c r="FB280" s="79"/>
      <c r="FC280" s="79"/>
      <c r="FD280" s="79"/>
      <c r="FE280" s="79"/>
      <c r="FF280" s="79"/>
      <c r="FG280" s="79"/>
      <c r="FH280" s="79"/>
      <c r="FI280" s="79"/>
      <c r="FJ280" s="79"/>
      <c r="FK280" s="79"/>
      <c r="FL280" s="79"/>
      <c r="FM280" s="47"/>
      <c r="FN280" s="47"/>
      <c r="FO280" s="47"/>
      <c r="FP280" s="47"/>
      <c r="FQ280" s="47"/>
      <c r="FR280" s="47"/>
      <c r="FS280" s="47"/>
      <c r="FT280" s="47"/>
      <c r="FU280" s="47"/>
      <c r="FV280" s="48"/>
      <c r="FW280" s="48"/>
      <c r="FX280" s="48"/>
      <c r="FY280" s="48"/>
      <c r="FZ280" s="48"/>
      <c r="GA280" s="49"/>
      <c r="GB280" s="49"/>
      <c r="GC280" s="49"/>
      <c r="GD280" s="49"/>
      <c r="GE280" s="49"/>
      <c r="GF280" s="49"/>
      <c r="GG280" s="49"/>
      <c r="GH280" s="49"/>
      <c r="GI280" s="49"/>
      <c r="GJ280" s="49"/>
      <c r="GK280" s="49"/>
      <c r="GL280" s="49"/>
      <c r="GM280" s="49"/>
      <c r="GN280" s="49"/>
      <c r="GO280" s="49"/>
      <c r="GP280" s="49"/>
      <c r="GQ280" s="49"/>
      <c r="GR280" s="49"/>
      <c r="GS280" s="49"/>
      <c r="GT280" s="49"/>
      <c r="GU280" s="49"/>
      <c r="GV280" s="49"/>
      <c r="GW280" s="49"/>
      <c r="GX280" s="49"/>
      <c r="GY280" s="49"/>
      <c r="GZ280" s="49"/>
      <c r="HA280" s="49"/>
      <c r="HB280" s="49"/>
      <c r="HC280" s="49"/>
      <c r="HD280" s="49"/>
      <c r="HE280" s="49"/>
      <c r="HF280" s="49"/>
      <c r="HG280" s="49"/>
      <c r="HH280" s="49"/>
      <c r="HI280" s="49"/>
      <c r="HJ280" s="49"/>
      <c r="HK280" s="49"/>
      <c r="HL280" s="49"/>
      <c r="HM280" s="49"/>
    </row>
    <row r="281" spans="1:221" ht="3.75" hidden="1" customHeight="1">
      <c r="A281" s="1"/>
      <c r="B281" s="3"/>
      <c r="C281" s="3"/>
      <c r="D281" s="43"/>
      <c r="E281" s="43"/>
      <c r="F281" s="43"/>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79"/>
      <c r="BB281" s="79"/>
      <c r="BC281" s="79"/>
      <c r="BD281" s="79"/>
      <c r="BE281" s="79"/>
      <c r="BF281" s="79"/>
      <c r="BG281" s="79"/>
      <c r="BH281" s="79"/>
      <c r="BI281" s="79"/>
      <c r="BJ281" s="79"/>
      <c r="BK281" s="79"/>
      <c r="BL281" s="79"/>
      <c r="BM281" s="79"/>
      <c r="BN281" s="79"/>
      <c r="BO281" s="79"/>
      <c r="BP281" s="79"/>
      <c r="BQ281" s="79"/>
      <c r="BR281" s="79"/>
      <c r="BS281" s="79"/>
      <c r="BT281" s="79"/>
      <c r="BU281" s="79"/>
      <c r="BV281" s="79"/>
      <c r="BW281" s="79"/>
      <c r="BX281" s="79"/>
      <c r="BY281" s="79"/>
      <c r="BZ281" s="79"/>
      <c r="CA281" s="79"/>
      <c r="CB281" s="79"/>
      <c r="CC281" s="79"/>
      <c r="CD281" s="79"/>
      <c r="CE281" s="79"/>
      <c r="CF281" s="79"/>
      <c r="CG281" s="79"/>
      <c r="CH281" s="79"/>
      <c r="CI281" s="79"/>
      <c r="CJ281" s="79"/>
      <c r="CK281" s="79"/>
      <c r="CL281" s="79"/>
      <c r="CM281" s="79"/>
      <c r="CN281" s="79"/>
      <c r="CO281" s="79"/>
      <c r="CP281" s="79"/>
      <c r="CQ281" s="79"/>
      <c r="CR281" s="79"/>
      <c r="CS281" s="79"/>
      <c r="CT281" s="79"/>
      <c r="CU281" s="79"/>
      <c r="CV281" s="79"/>
      <c r="CW281" s="79"/>
      <c r="CX281" s="79"/>
      <c r="CY281" s="79"/>
      <c r="CZ281" s="79"/>
      <c r="DA281" s="79"/>
      <c r="DB281" s="79"/>
      <c r="DC281" s="79"/>
      <c r="DD281" s="79"/>
      <c r="DE281" s="79"/>
      <c r="DF281" s="79"/>
      <c r="DG281" s="79"/>
      <c r="DH281" s="79"/>
      <c r="DI281" s="79"/>
      <c r="DJ281" s="79"/>
      <c r="DK281" s="79"/>
      <c r="DL281" s="79"/>
      <c r="DM281" s="79"/>
      <c r="DN281" s="79"/>
      <c r="DO281" s="79"/>
      <c r="DP281" s="79"/>
      <c r="DQ281" s="79"/>
      <c r="DR281" s="79"/>
      <c r="DS281" s="79"/>
      <c r="DT281" s="79"/>
      <c r="DU281" s="79"/>
      <c r="DV281" s="79"/>
      <c r="DW281" s="79"/>
      <c r="DX281" s="79"/>
      <c r="DY281" s="79"/>
      <c r="DZ281" s="79"/>
      <c r="EA281" s="79"/>
      <c r="EB281" s="79"/>
      <c r="EC281" s="79"/>
      <c r="ED281" s="79"/>
      <c r="EE281" s="79"/>
      <c r="EF281" s="79"/>
      <c r="EG281" s="79"/>
      <c r="EH281" s="79"/>
      <c r="EI281" s="79"/>
      <c r="EJ281" s="79"/>
      <c r="EK281" s="79"/>
      <c r="EL281" s="79"/>
      <c r="EM281" s="79"/>
      <c r="EN281" s="79"/>
      <c r="EO281" s="79"/>
      <c r="EP281" s="79"/>
      <c r="EQ281" s="79"/>
      <c r="ER281" s="79"/>
      <c r="ES281" s="79"/>
      <c r="ET281" s="79"/>
      <c r="EU281" s="79"/>
      <c r="EV281" s="79"/>
      <c r="EW281" s="79"/>
      <c r="EX281" s="79"/>
      <c r="EY281" s="79"/>
      <c r="EZ281" s="79"/>
      <c r="FA281" s="79"/>
      <c r="FB281" s="79"/>
      <c r="FC281" s="79"/>
      <c r="FD281" s="79"/>
      <c r="FE281" s="79"/>
      <c r="FF281" s="79"/>
      <c r="FG281" s="79"/>
      <c r="FH281" s="79"/>
      <c r="FI281" s="79"/>
      <c r="FJ281" s="79"/>
      <c r="FK281" s="79"/>
      <c r="FL281" s="79"/>
      <c r="FM281" s="47"/>
      <c r="FN281" s="47"/>
      <c r="FO281" s="47"/>
      <c r="FP281" s="47"/>
      <c r="FQ281" s="47"/>
      <c r="FR281" s="47"/>
      <c r="FS281" s="47"/>
      <c r="FT281" s="47"/>
      <c r="FU281" s="47"/>
      <c r="FV281" s="48"/>
      <c r="FW281" s="48"/>
      <c r="FX281" s="48"/>
      <c r="FY281" s="48"/>
      <c r="FZ281" s="48"/>
      <c r="GA281" s="49"/>
      <c r="GB281" s="49"/>
      <c r="GC281" s="49"/>
      <c r="GD281" s="49"/>
      <c r="GE281" s="49"/>
      <c r="GF281" s="49"/>
      <c r="GG281" s="49"/>
      <c r="GH281" s="49"/>
      <c r="GI281" s="49"/>
      <c r="GJ281" s="49"/>
      <c r="GK281" s="49"/>
      <c r="GL281" s="49"/>
      <c r="GM281" s="49"/>
      <c r="GN281" s="49"/>
      <c r="GO281" s="49"/>
      <c r="GP281" s="49"/>
      <c r="GQ281" s="49"/>
      <c r="GR281" s="49"/>
      <c r="GS281" s="49"/>
      <c r="GT281" s="49"/>
      <c r="GU281" s="49"/>
      <c r="GV281" s="49"/>
      <c r="GW281" s="49"/>
      <c r="GX281" s="49"/>
      <c r="GY281" s="49"/>
      <c r="GZ281" s="49"/>
      <c r="HA281" s="49"/>
      <c r="HB281" s="49"/>
      <c r="HC281" s="49"/>
      <c r="HD281" s="49"/>
      <c r="HE281" s="49"/>
      <c r="HF281" s="49"/>
      <c r="HG281" s="49"/>
      <c r="HH281" s="49"/>
      <c r="HI281" s="49"/>
      <c r="HJ281" s="49"/>
      <c r="HK281" s="49"/>
      <c r="HL281" s="49"/>
      <c r="HM281" s="49"/>
    </row>
    <row r="282" spans="1:221" ht="3.75" hidden="1" customHeight="1">
      <c r="A282" s="1"/>
      <c r="B282" s="3"/>
      <c r="C282" s="3"/>
      <c r="D282" s="43"/>
      <c r="E282" s="43"/>
      <c r="F282" s="43"/>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79"/>
      <c r="BB282" s="79"/>
      <c r="BC282" s="79"/>
      <c r="BD282" s="79"/>
      <c r="BE282" s="79"/>
      <c r="BF282" s="79"/>
      <c r="BG282" s="79"/>
      <c r="BH282" s="79"/>
      <c r="BI282" s="79"/>
      <c r="BJ282" s="79"/>
      <c r="BK282" s="79"/>
      <c r="BL282" s="79"/>
      <c r="BM282" s="79"/>
      <c r="BN282" s="79"/>
      <c r="BO282" s="79"/>
      <c r="BP282" s="79"/>
      <c r="BQ282" s="79"/>
      <c r="BR282" s="79"/>
      <c r="BS282" s="79"/>
      <c r="BT282" s="79"/>
      <c r="BU282" s="79"/>
      <c r="BV282" s="79"/>
      <c r="BW282" s="79"/>
      <c r="BX282" s="79"/>
      <c r="BY282" s="79"/>
      <c r="BZ282" s="79"/>
      <c r="CA282" s="79"/>
      <c r="CB282" s="79"/>
      <c r="CC282" s="79"/>
      <c r="CD282" s="79"/>
      <c r="CE282" s="79"/>
      <c r="CF282" s="79"/>
      <c r="CG282" s="79"/>
      <c r="CH282" s="79"/>
      <c r="CI282" s="79"/>
      <c r="CJ282" s="79"/>
      <c r="CK282" s="79"/>
      <c r="CL282" s="79"/>
      <c r="CM282" s="79"/>
      <c r="CN282" s="79"/>
      <c r="CO282" s="79"/>
      <c r="CP282" s="79"/>
      <c r="CQ282" s="79"/>
      <c r="CR282" s="79"/>
      <c r="CS282" s="79"/>
      <c r="CT282" s="79"/>
      <c r="CU282" s="79"/>
      <c r="CV282" s="79"/>
      <c r="CW282" s="79"/>
      <c r="CX282" s="79"/>
      <c r="CY282" s="79"/>
      <c r="CZ282" s="79"/>
      <c r="DA282" s="79"/>
      <c r="DB282" s="79"/>
      <c r="DC282" s="79"/>
      <c r="DD282" s="79"/>
      <c r="DE282" s="79"/>
      <c r="DF282" s="79"/>
      <c r="DG282" s="79"/>
      <c r="DH282" s="79"/>
      <c r="DI282" s="79"/>
      <c r="DJ282" s="79"/>
      <c r="DK282" s="79"/>
      <c r="DL282" s="79"/>
      <c r="DM282" s="79"/>
      <c r="DN282" s="79"/>
      <c r="DO282" s="79"/>
      <c r="DP282" s="79"/>
      <c r="DQ282" s="79"/>
      <c r="DR282" s="79"/>
      <c r="DS282" s="79"/>
      <c r="DT282" s="79"/>
      <c r="DU282" s="79"/>
      <c r="DV282" s="79"/>
      <c r="DW282" s="79"/>
      <c r="DX282" s="79"/>
      <c r="DY282" s="79"/>
      <c r="DZ282" s="79"/>
      <c r="EA282" s="79"/>
      <c r="EB282" s="79"/>
      <c r="EC282" s="79"/>
      <c r="ED282" s="79"/>
      <c r="EE282" s="79"/>
      <c r="EF282" s="79"/>
      <c r="EG282" s="79"/>
      <c r="EH282" s="79"/>
      <c r="EI282" s="79"/>
      <c r="EJ282" s="79"/>
      <c r="EK282" s="79"/>
      <c r="EL282" s="79"/>
      <c r="EM282" s="79"/>
      <c r="EN282" s="79"/>
      <c r="EO282" s="79"/>
      <c r="EP282" s="79"/>
      <c r="EQ282" s="79"/>
      <c r="ER282" s="79"/>
      <c r="ES282" s="79"/>
      <c r="ET282" s="79"/>
      <c r="EU282" s="79"/>
      <c r="EV282" s="79"/>
      <c r="EW282" s="79"/>
      <c r="EX282" s="79"/>
      <c r="EY282" s="79"/>
      <c r="EZ282" s="79"/>
      <c r="FA282" s="79"/>
      <c r="FB282" s="79"/>
      <c r="FC282" s="79"/>
      <c r="FD282" s="79"/>
      <c r="FE282" s="79"/>
      <c r="FF282" s="79"/>
      <c r="FG282" s="79"/>
      <c r="FH282" s="79"/>
      <c r="FI282" s="79"/>
      <c r="FJ282" s="79"/>
      <c r="FK282" s="79"/>
      <c r="FL282" s="79"/>
      <c r="FM282" s="47"/>
      <c r="FN282" s="47"/>
      <c r="FO282" s="47"/>
      <c r="FP282" s="47"/>
      <c r="FQ282" s="47"/>
      <c r="FR282" s="47"/>
      <c r="FS282" s="47"/>
      <c r="FT282" s="47"/>
      <c r="FU282" s="47"/>
      <c r="FV282" s="48"/>
      <c r="FW282" s="48"/>
      <c r="FX282" s="48"/>
      <c r="FY282" s="48"/>
      <c r="FZ282" s="48"/>
      <c r="GA282" s="49"/>
      <c r="GB282" s="49"/>
      <c r="GC282" s="49"/>
      <c r="GD282" s="49"/>
      <c r="GE282" s="49"/>
      <c r="GF282" s="49"/>
      <c r="GG282" s="49"/>
      <c r="GH282" s="49"/>
      <c r="GI282" s="49"/>
      <c r="GJ282" s="49"/>
      <c r="GK282" s="49"/>
      <c r="GL282" s="49"/>
      <c r="GM282" s="49"/>
      <c r="GN282" s="49"/>
      <c r="GO282" s="49"/>
      <c r="GP282" s="49"/>
      <c r="GQ282" s="49"/>
      <c r="GR282" s="49"/>
      <c r="GS282" s="49"/>
      <c r="GT282" s="49"/>
      <c r="GU282" s="49"/>
      <c r="GV282" s="49"/>
      <c r="GW282" s="49"/>
      <c r="GX282" s="49"/>
      <c r="GY282" s="49"/>
      <c r="GZ282" s="49"/>
      <c r="HA282" s="49"/>
      <c r="HB282" s="49"/>
      <c r="HC282" s="49"/>
      <c r="HD282" s="49"/>
      <c r="HE282" s="49"/>
      <c r="HF282" s="49"/>
      <c r="HG282" s="49"/>
      <c r="HH282" s="49"/>
      <c r="HI282" s="49"/>
      <c r="HJ282" s="49"/>
      <c r="HK282" s="49"/>
      <c r="HL282" s="49"/>
      <c r="HM282" s="49"/>
    </row>
    <row r="283" spans="1:221" ht="3.75" hidden="1" customHeight="1">
      <c r="A283" s="1"/>
      <c r="B283" s="3"/>
      <c r="C283" s="3"/>
      <c r="D283" s="43"/>
      <c r="E283" s="43"/>
      <c r="F283" s="43"/>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c r="AU283" s="79"/>
      <c r="AV283" s="79"/>
      <c r="AW283" s="79"/>
      <c r="AX283" s="79"/>
      <c r="AY283" s="79"/>
      <c r="AZ283" s="79"/>
      <c r="BA283" s="79"/>
      <c r="BB283" s="79"/>
      <c r="BC283" s="79"/>
      <c r="BD283" s="79"/>
      <c r="BE283" s="79"/>
      <c r="BF283" s="79"/>
      <c r="BG283" s="79"/>
      <c r="BH283" s="79"/>
      <c r="BI283" s="79"/>
      <c r="BJ283" s="79"/>
      <c r="BK283" s="79"/>
      <c r="BL283" s="79"/>
      <c r="BM283" s="79"/>
      <c r="BN283" s="79"/>
      <c r="BO283" s="79"/>
      <c r="BP283" s="79"/>
      <c r="BQ283" s="79"/>
      <c r="BR283" s="79"/>
      <c r="BS283" s="79"/>
      <c r="BT283" s="79"/>
      <c r="BU283" s="79"/>
      <c r="BV283" s="79"/>
      <c r="BW283" s="79"/>
      <c r="BX283" s="79"/>
      <c r="BY283" s="79"/>
      <c r="BZ283" s="79"/>
      <c r="CA283" s="79"/>
      <c r="CB283" s="79"/>
      <c r="CC283" s="79"/>
      <c r="CD283" s="79"/>
      <c r="CE283" s="79"/>
      <c r="CF283" s="79"/>
      <c r="CG283" s="79"/>
      <c r="CH283" s="79"/>
      <c r="CI283" s="79"/>
      <c r="CJ283" s="79"/>
      <c r="CK283" s="79"/>
      <c r="CL283" s="79"/>
      <c r="CM283" s="79"/>
      <c r="CN283" s="79"/>
      <c r="CO283" s="79"/>
      <c r="CP283" s="79"/>
      <c r="CQ283" s="79"/>
      <c r="CR283" s="79"/>
      <c r="CS283" s="79"/>
      <c r="CT283" s="79"/>
      <c r="CU283" s="79"/>
      <c r="CV283" s="79"/>
      <c r="CW283" s="79"/>
      <c r="CX283" s="79"/>
      <c r="CY283" s="79"/>
      <c r="CZ283" s="79"/>
      <c r="DA283" s="79"/>
      <c r="DB283" s="79"/>
      <c r="DC283" s="79"/>
      <c r="DD283" s="79"/>
      <c r="DE283" s="79"/>
      <c r="DF283" s="79"/>
      <c r="DG283" s="79"/>
      <c r="DH283" s="79"/>
      <c r="DI283" s="79"/>
      <c r="DJ283" s="79"/>
      <c r="DK283" s="79"/>
      <c r="DL283" s="79"/>
      <c r="DM283" s="79"/>
      <c r="DN283" s="79"/>
      <c r="DO283" s="79"/>
      <c r="DP283" s="79"/>
      <c r="DQ283" s="79"/>
      <c r="DR283" s="79"/>
      <c r="DS283" s="79"/>
      <c r="DT283" s="79"/>
      <c r="DU283" s="79"/>
      <c r="DV283" s="79"/>
      <c r="DW283" s="79"/>
      <c r="DX283" s="79"/>
      <c r="DY283" s="79"/>
      <c r="DZ283" s="79"/>
      <c r="EA283" s="79"/>
      <c r="EB283" s="79"/>
      <c r="EC283" s="79"/>
      <c r="ED283" s="79"/>
      <c r="EE283" s="79"/>
      <c r="EF283" s="79"/>
      <c r="EG283" s="79"/>
      <c r="EH283" s="79"/>
      <c r="EI283" s="79"/>
      <c r="EJ283" s="79"/>
      <c r="EK283" s="79"/>
      <c r="EL283" s="79"/>
      <c r="EM283" s="79"/>
      <c r="EN283" s="79"/>
      <c r="EO283" s="79"/>
      <c r="EP283" s="79"/>
      <c r="EQ283" s="79"/>
      <c r="ER283" s="79"/>
      <c r="ES283" s="79"/>
      <c r="ET283" s="79"/>
      <c r="EU283" s="79"/>
      <c r="EV283" s="79"/>
      <c r="EW283" s="79"/>
      <c r="EX283" s="79"/>
      <c r="EY283" s="79"/>
      <c r="EZ283" s="79"/>
      <c r="FA283" s="79"/>
      <c r="FB283" s="79"/>
      <c r="FC283" s="79"/>
      <c r="FD283" s="79"/>
      <c r="FE283" s="79"/>
      <c r="FF283" s="79"/>
      <c r="FG283" s="79"/>
      <c r="FH283" s="79"/>
      <c r="FI283" s="79"/>
      <c r="FJ283" s="79"/>
      <c r="FK283" s="79"/>
      <c r="FL283" s="79"/>
      <c r="FM283" s="47"/>
      <c r="FN283" s="47"/>
      <c r="FO283" s="47"/>
      <c r="FP283" s="47"/>
      <c r="FQ283" s="47"/>
      <c r="FR283" s="47"/>
      <c r="FS283" s="47"/>
      <c r="FT283" s="47"/>
      <c r="FU283" s="47"/>
      <c r="FV283" s="48"/>
      <c r="FW283" s="48"/>
      <c r="FX283" s="48"/>
      <c r="FY283" s="48"/>
      <c r="FZ283" s="48"/>
      <c r="GA283" s="49"/>
      <c r="GB283" s="49"/>
      <c r="GC283" s="49"/>
      <c r="GD283" s="49"/>
      <c r="GE283" s="49"/>
      <c r="GF283" s="49"/>
      <c r="GG283" s="49"/>
      <c r="GH283" s="49"/>
      <c r="GI283" s="49"/>
      <c r="GJ283" s="49"/>
      <c r="GK283" s="49"/>
      <c r="GL283" s="49"/>
      <c r="GM283" s="49"/>
      <c r="GN283" s="49"/>
      <c r="GO283" s="49"/>
      <c r="GP283" s="49"/>
      <c r="GQ283" s="49"/>
      <c r="GR283" s="49"/>
      <c r="GS283" s="49"/>
      <c r="GT283" s="49"/>
      <c r="GU283" s="49"/>
      <c r="GV283" s="49"/>
      <c r="GW283" s="49"/>
      <c r="GX283" s="49"/>
      <c r="GY283" s="49"/>
      <c r="GZ283" s="49"/>
      <c r="HA283" s="49"/>
      <c r="HB283" s="49"/>
      <c r="HC283" s="49"/>
      <c r="HD283" s="49"/>
      <c r="HE283" s="49"/>
      <c r="HF283" s="49"/>
      <c r="HG283" s="49"/>
      <c r="HH283" s="49"/>
      <c r="HI283" s="49"/>
      <c r="HJ283" s="49"/>
      <c r="HK283" s="49"/>
      <c r="HL283" s="49"/>
      <c r="HM283" s="49"/>
    </row>
    <row r="284" spans="1:221" ht="3.75" hidden="1" customHeight="1">
      <c r="A284" s="1"/>
      <c r="B284" s="3"/>
      <c r="C284" s="3"/>
      <c r="D284" s="43"/>
      <c r="E284" s="43"/>
      <c r="F284" s="43"/>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79"/>
      <c r="BA284" s="79"/>
      <c r="BB284" s="79"/>
      <c r="BC284" s="79"/>
      <c r="BD284" s="79"/>
      <c r="BE284" s="79"/>
      <c r="BF284" s="79"/>
      <c r="BG284" s="79"/>
      <c r="BH284" s="79"/>
      <c r="BI284" s="79"/>
      <c r="BJ284" s="79"/>
      <c r="BK284" s="79"/>
      <c r="BL284" s="79"/>
      <c r="BM284" s="79"/>
      <c r="BN284" s="79"/>
      <c r="BO284" s="79"/>
      <c r="BP284" s="79"/>
      <c r="BQ284" s="79"/>
      <c r="BR284" s="79"/>
      <c r="BS284" s="79"/>
      <c r="BT284" s="79"/>
      <c r="BU284" s="79"/>
      <c r="BV284" s="79"/>
      <c r="BW284" s="79"/>
      <c r="BX284" s="79"/>
      <c r="BY284" s="79"/>
      <c r="BZ284" s="79"/>
      <c r="CA284" s="79"/>
      <c r="CB284" s="79"/>
      <c r="CC284" s="79"/>
      <c r="CD284" s="79"/>
      <c r="CE284" s="79"/>
      <c r="CF284" s="79"/>
      <c r="CG284" s="79"/>
      <c r="CH284" s="79"/>
      <c r="CI284" s="79"/>
      <c r="CJ284" s="79"/>
      <c r="CK284" s="79"/>
      <c r="CL284" s="79"/>
      <c r="CM284" s="79"/>
      <c r="CN284" s="79"/>
      <c r="CO284" s="79"/>
      <c r="CP284" s="79"/>
      <c r="CQ284" s="79"/>
      <c r="CR284" s="79"/>
      <c r="CS284" s="79"/>
      <c r="CT284" s="79"/>
      <c r="CU284" s="79"/>
      <c r="CV284" s="79"/>
      <c r="CW284" s="79"/>
      <c r="CX284" s="79"/>
      <c r="CY284" s="79"/>
      <c r="CZ284" s="79"/>
      <c r="DA284" s="79"/>
      <c r="DB284" s="79"/>
      <c r="DC284" s="79"/>
      <c r="DD284" s="79"/>
      <c r="DE284" s="79"/>
      <c r="DF284" s="79"/>
      <c r="DG284" s="79"/>
      <c r="DH284" s="79"/>
      <c r="DI284" s="79"/>
      <c r="DJ284" s="79"/>
      <c r="DK284" s="79"/>
      <c r="DL284" s="79"/>
      <c r="DM284" s="79"/>
      <c r="DN284" s="79"/>
      <c r="DO284" s="79"/>
      <c r="DP284" s="79"/>
      <c r="DQ284" s="79"/>
      <c r="DR284" s="79"/>
      <c r="DS284" s="79"/>
      <c r="DT284" s="79"/>
      <c r="DU284" s="79"/>
      <c r="DV284" s="79"/>
      <c r="DW284" s="79"/>
      <c r="DX284" s="79"/>
      <c r="DY284" s="79"/>
      <c r="DZ284" s="79"/>
      <c r="EA284" s="79"/>
      <c r="EB284" s="79"/>
      <c r="EC284" s="79"/>
      <c r="ED284" s="79"/>
      <c r="EE284" s="79"/>
      <c r="EF284" s="79"/>
      <c r="EG284" s="79"/>
      <c r="EH284" s="79"/>
      <c r="EI284" s="79"/>
      <c r="EJ284" s="79"/>
      <c r="EK284" s="79"/>
      <c r="EL284" s="79"/>
      <c r="EM284" s="79"/>
      <c r="EN284" s="79"/>
      <c r="EO284" s="79"/>
      <c r="EP284" s="79"/>
      <c r="EQ284" s="79"/>
      <c r="ER284" s="79"/>
      <c r="ES284" s="79"/>
      <c r="ET284" s="79"/>
      <c r="EU284" s="79"/>
      <c r="EV284" s="79"/>
      <c r="EW284" s="79"/>
      <c r="EX284" s="79"/>
      <c r="EY284" s="79"/>
      <c r="EZ284" s="79"/>
      <c r="FA284" s="79"/>
      <c r="FB284" s="79"/>
      <c r="FC284" s="79"/>
      <c r="FD284" s="79"/>
      <c r="FE284" s="79"/>
      <c r="FF284" s="79"/>
      <c r="FG284" s="79"/>
      <c r="FH284" s="79"/>
      <c r="FI284" s="79"/>
      <c r="FJ284" s="79"/>
      <c r="FK284" s="79"/>
      <c r="FL284" s="79"/>
      <c r="FM284" s="47"/>
      <c r="FN284" s="47"/>
      <c r="FO284" s="47"/>
      <c r="FP284" s="47"/>
      <c r="FQ284" s="47"/>
      <c r="FR284" s="47"/>
      <c r="FS284" s="47"/>
      <c r="FT284" s="47"/>
      <c r="FU284" s="47"/>
      <c r="FV284" s="48"/>
      <c r="FW284" s="48"/>
      <c r="FX284" s="48"/>
      <c r="FY284" s="48"/>
      <c r="FZ284" s="48"/>
      <c r="GA284" s="49"/>
      <c r="GB284" s="49"/>
      <c r="GC284" s="49"/>
      <c r="GD284" s="49"/>
      <c r="GE284" s="49"/>
      <c r="GF284" s="49"/>
      <c r="GG284" s="49"/>
      <c r="GH284" s="49"/>
      <c r="GI284" s="49"/>
      <c r="GJ284" s="49"/>
      <c r="GK284" s="49"/>
      <c r="GL284" s="49"/>
      <c r="GM284" s="49"/>
      <c r="GN284" s="49"/>
      <c r="GO284" s="49"/>
      <c r="GP284" s="49"/>
      <c r="GQ284" s="49"/>
      <c r="GR284" s="49"/>
      <c r="GS284" s="49"/>
      <c r="GT284" s="49"/>
      <c r="GU284" s="49"/>
      <c r="GV284" s="49"/>
      <c r="GW284" s="49"/>
      <c r="GX284" s="49"/>
      <c r="GY284" s="49"/>
      <c r="GZ284" s="49"/>
      <c r="HA284" s="49"/>
      <c r="HB284" s="49"/>
      <c r="HC284" s="49"/>
      <c r="HD284" s="49"/>
      <c r="HE284" s="49"/>
      <c r="HF284" s="49"/>
      <c r="HG284" s="49"/>
      <c r="HH284" s="49"/>
      <c r="HI284" s="49"/>
      <c r="HJ284" s="49"/>
      <c r="HK284" s="49"/>
      <c r="HL284" s="49"/>
      <c r="HM284" s="49"/>
    </row>
    <row r="285" spans="1:221" ht="3.75" hidden="1" customHeight="1">
      <c r="A285" s="1"/>
      <c r="B285" s="3"/>
      <c r="C285" s="3"/>
      <c r="D285" s="43"/>
      <c r="E285" s="43"/>
      <c r="F285" s="43"/>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A285" s="79"/>
      <c r="CB285" s="79"/>
      <c r="CC285" s="79"/>
      <c r="CD285" s="79"/>
      <c r="CE285" s="79"/>
      <c r="CF285" s="79"/>
      <c r="CG285" s="79"/>
      <c r="CH285" s="79"/>
      <c r="CI285" s="79"/>
      <c r="CJ285" s="79"/>
      <c r="CK285" s="79"/>
      <c r="CL285" s="79"/>
      <c r="CM285" s="79"/>
      <c r="CN285" s="79"/>
      <c r="CO285" s="79"/>
      <c r="CP285" s="79"/>
      <c r="CQ285" s="79"/>
      <c r="CR285" s="79"/>
      <c r="CS285" s="79"/>
      <c r="CT285" s="79"/>
      <c r="CU285" s="79"/>
      <c r="CV285" s="79"/>
      <c r="CW285" s="79"/>
      <c r="CX285" s="79"/>
      <c r="CY285" s="79"/>
      <c r="CZ285" s="79"/>
      <c r="DA285" s="79"/>
      <c r="DB285" s="79"/>
      <c r="DC285" s="79"/>
      <c r="DD285" s="79"/>
      <c r="DE285" s="79"/>
      <c r="DF285" s="79"/>
      <c r="DG285" s="79"/>
      <c r="DH285" s="79"/>
      <c r="DI285" s="79"/>
      <c r="DJ285" s="79"/>
      <c r="DK285" s="79"/>
      <c r="DL285" s="79"/>
      <c r="DM285" s="79"/>
      <c r="DN285" s="79"/>
      <c r="DO285" s="79"/>
      <c r="DP285" s="79"/>
      <c r="DQ285" s="79"/>
      <c r="DR285" s="79"/>
      <c r="DS285" s="79"/>
      <c r="DT285" s="79"/>
      <c r="DU285" s="79"/>
      <c r="DV285" s="79"/>
      <c r="DW285" s="79"/>
      <c r="DX285" s="79"/>
      <c r="DY285" s="79"/>
      <c r="DZ285" s="79"/>
      <c r="EA285" s="79"/>
      <c r="EB285" s="79"/>
      <c r="EC285" s="79"/>
      <c r="ED285" s="79"/>
      <c r="EE285" s="79"/>
      <c r="EF285" s="79"/>
      <c r="EG285" s="79"/>
      <c r="EH285" s="79"/>
      <c r="EI285" s="79"/>
      <c r="EJ285" s="79"/>
      <c r="EK285" s="79"/>
      <c r="EL285" s="79"/>
      <c r="EM285" s="79"/>
      <c r="EN285" s="79"/>
      <c r="EO285" s="79"/>
      <c r="EP285" s="79"/>
      <c r="EQ285" s="79"/>
      <c r="ER285" s="79"/>
      <c r="ES285" s="79"/>
      <c r="ET285" s="79"/>
      <c r="EU285" s="79"/>
      <c r="EV285" s="79"/>
      <c r="EW285" s="79"/>
      <c r="EX285" s="79"/>
      <c r="EY285" s="79"/>
      <c r="EZ285" s="79"/>
      <c r="FA285" s="79"/>
      <c r="FB285" s="79"/>
      <c r="FC285" s="79"/>
      <c r="FD285" s="79"/>
      <c r="FE285" s="79"/>
      <c r="FF285" s="79"/>
      <c r="FG285" s="79"/>
      <c r="FH285" s="79"/>
      <c r="FI285" s="79"/>
      <c r="FJ285" s="79"/>
      <c r="FK285" s="79"/>
      <c r="FL285" s="79"/>
      <c r="FM285" s="47"/>
      <c r="FN285" s="47"/>
      <c r="FO285" s="47"/>
      <c r="FP285" s="47"/>
      <c r="FQ285" s="47"/>
      <c r="FR285" s="47"/>
      <c r="FS285" s="47"/>
      <c r="FT285" s="47"/>
      <c r="FU285" s="47"/>
      <c r="FV285" s="48"/>
      <c r="FW285" s="48"/>
      <c r="FX285" s="48"/>
      <c r="FY285" s="48"/>
      <c r="FZ285" s="48"/>
      <c r="GA285" s="49"/>
      <c r="GB285" s="49"/>
      <c r="GC285" s="49"/>
      <c r="GD285" s="49"/>
      <c r="GE285" s="49"/>
      <c r="GF285" s="49"/>
      <c r="GG285" s="49"/>
      <c r="GH285" s="49"/>
      <c r="GI285" s="49"/>
      <c r="GJ285" s="49"/>
      <c r="GK285" s="49"/>
      <c r="GL285" s="49"/>
      <c r="GM285" s="49"/>
      <c r="GN285" s="49"/>
      <c r="GO285" s="49"/>
      <c r="GP285" s="49"/>
      <c r="GQ285" s="49"/>
      <c r="GR285" s="49"/>
      <c r="GS285" s="49"/>
      <c r="GT285" s="49"/>
      <c r="GU285" s="49"/>
      <c r="GV285" s="49"/>
      <c r="GW285" s="49"/>
      <c r="GX285" s="49"/>
      <c r="GY285" s="49"/>
      <c r="GZ285" s="49"/>
      <c r="HA285" s="49"/>
      <c r="HB285" s="49"/>
      <c r="HC285" s="49"/>
      <c r="HD285" s="49"/>
      <c r="HE285" s="49"/>
      <c r="HF285" s="49"/>
      <c r="HG285" s="49"/>
      <c r="HH285" s="49"/>
      <c r="HI285" s="49"/>
      <c r="HJ285" s="49"/>
      <c r="HK285" s="49"/>
      <c r="HL285" s="49"/>
      <c r="HM285" s="49"/>
    </row>
    <row r="286" spans="1:221" ht="3.75" hidden="1" customHeight="1">
      <c r="A286" s="1"/>
      <c r="B286" s="3"/>
      <c r="C286" s="3"/>
      <c r="D286" s="43"/>
      <c r="E286" s="43"/>
      <c r="F286" s="43"/>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c r="CJ286" s="79"/>
      <c r="CK286" s="79"/>
      <c r="CL286" s="79"/>
      <c r="CM286" s="79"/>
      <c r="CN286" s="79"/>
      <c r="CO286" s="79"/>
      <c r="CP286" s="79"/>
      <c r="CQ286" s="79"/>
      <c r="CR286" s="79"/>
      <c r="CS286" s="79"/>
      <c r="CT286" s="79"/>
      <c r="CU286" s="79"/>
      <c r="CV286" s="79"/>
      <c r="CW286" s="79"/>
      <c r="CX286" s="79"/>
      <c r="CY286" s="79"/>
      <c r="CZ286" s="79"/>
      <c r="DA286" s="79"/>
      <c r="DB286" s="79"/>
      <c r="DC286" s="79"/>
      <c r="DD286" s="79"/>
      <c r="DE286" s="79"/>
      <c r="DF286" s="79"/>
      <c r="DG286" s="79"/>
      <c r="DH286" s="79"/>
      <c r="DI286" s="79"/>
      <c r="DJ286" s="79"/>
      <c r="DK286" s="79"/>
      <c r="DL286" s="79"/>
      <c r="DM286" s="79"/>
      <c r="DN286" s="79"/>
      <c r="DO286" s="79"/>
      <c r="DP286" s="79"/>
      <c r="DQ286" s="79"/>
      <c r="DR286" s="79"/>
      <c r="DS286" s="79"/>
      <c r="DT286" s="79"/>
      <c r="DU286" s="79"/>
      <c r="DV286" s="79"/>
      <c r="DW286" s="79"/>
      <c r="DX286" s="79"/>
      <c r="DY286" s="79"/>
      <c r="DZ286" s="79"/>
      <c r="EA286" s="79"/>
      <c r="EB286" s="79"/>
      <c r="EC286" s="79"/>
      <c r="ED286" s="79"/>
      <c r="EE286" s="79"/>
      <c r="EF286" s="79"/>
      <c r="EG286" s="79"/>
      <c r="EH286" s="79"/>
      <c r="EI286" s="79"/>
      <c r="EJ286" s="79"/>
      <c r="EK286" s="79"/>
      <c r="EL286" s="79"/>
      <c r="EM286" s="79"/>
      <c r="EN286" s="79"/>
      <c r="EO286" s="79"/>
      <c r="EP286" s="79"/>
      <c r="EQ286" s="79"/>
      <c r="ER286" s="79"/>
      <c r="ES286" s="79"/>
      <c r="ET286" s="79"/>
      <c r="EU286" s="79"/>
      <c r="EV286" s="79"/>
      <c r="EW286" s="79"/>
      <c r="EX286" s="79"/>
      <c r="EY286" s="79"/>
      <c r="EZ286" s="79"/>
      <c r="FA286" s="79"/>
      <c r="FB286" s="79"/>
      <c r="FC286" s="79"/>
      <c r="FD286" s="79"/>
      <c r="FE286" s="79"/>
      <c r="FF286" s="79"/>
      <c r="FG286" s="79"/>
      <c r="FH286" s="79"/>
      <c r="FI286" s="79"/>
      <c r="FJ286" s="79"/>
      <c r="FK286" s="79"/>
      <c r="FL286" s="79"/>
      <c r="FM286" s="47"/>
      <c r="FN286" s="47"/>
      <c r="FO286" s="47"/>
      <c r="FP286" s="47"/>
      <c r="FQ286" s="47"/>
      <c r="FR286" s="47"/>
      <c r="FS286" s="47"/>
      <c r="FT286" s="47"/>
      <c r="FU286" s="47"/>
      <c r="FV286" s="48"/>
      <c r="FW286" s="48"/>
      <c r="FX286" s="48"/>
      <c r="FY286" s="48"/>
      <c r="FZ286" s="48"/>
      <c r="GA286" s="49"/>
      <c r="GB286" s="49"/>
      <c r="GC286" s="49"/>
      <c r="GD286" s="49"/>
      <c r="GE286" s="49"/>
      <c r="GF286" s="49"/>
      <c r="GG286" s="49"/>
      <c r="GH286" s="49"/>
      <c r="GI286" s="49"/>
      <c r="GJ286" s="49"/>
      <c r="GK286" s="49"/>
      <c r="GL286" s="49"/>
      <c r="GM286" s="49"/>
      <c r="GN286" s="49"/>
      <c r="GO286" s="49"/>
      <c r="GP286" s="49"/>
      <c r="GQ286" s="49"/>
      <c r="GR286" s="49"/>
      <c r="GS286" s="49"/>
      <c r="GT286" s="49"/>
      <c r="GU286" s="49"/>
      <c r="GV286" s="49"/>
      <c r="GW286" s="49"/>
      <c r="GX286" s="49"/>
      <c r="GY286" s="49"/>
      <c r="GZ286" s="49"/>
      <c r="HA286" s="49"/>
      <c r="HB286" s="49"/>
      <c r="HC286" s="49"/>
      <c r="HD286" s="49"/>
      <c r="HE286" s="49"/>
      <c r="HF286" s="49"/>
      <c r="HG286" s="49"/>
      <c r="HH286" s="49"/>
      <c r="HI286" s="49"/>
      <c r="HJ286" s="49"/>
      <c r="HK286" s="49"/>
      <c r="HL286" s="49"/>
      <c r="HM286" s="49"/>
    </row>
    <row r="287" spans="1:221" ht="3.75" hidden="1" customHeight="1">
      <c r="A287" s="1"/>
      <c r="B287" s="3"/>
      <c r="C287" s="3"/>
      <c r="D287" s="43"/>
      <c r="E287" s="43"/>
      <c r="F287" s="43"/>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c r="BC287" s="79"/>
      <c r="BD287" s="79"/>
      <c r="BE287" s="79"/>
      <c r="BF287" s="79"/>
      <c r="BG287" s="79"/>
      <c r="BH287" s="79"/>
      <c r="BI287" s="79"/>
      <c r="BJ287" s="79"/>
      <c r="BK287" s="79"/>
      <c r="BL287" s="79"/>
      <c r="BM287" s="79"/>
      <c r="BN287" s="79"/>
      <c r="BO287" s="79"/>
      <c r="BP287" s="79"/>
      <c r="BQ287" s="79"/>
      <c r="BR287" s="79"/>
      <c r="BS287" s="79"/>
      <c r="BT287" s="79"/>
      <c r="BU287" s="79"/>
      <c r="BV287" s="79"/>
      <c r="BW287" s="79"/>
      <c r="BX287" s="79"/>
      <c r="BY287" s="79"/>
      <c r="BZ287" s="79"/>
      <c r="CA287" s="79"/>
      <c r="CB287" s="79"/>
      <c r="CC287" s="79"/>
      <c r="CD287" s="79"/>
      <c r="CE287" s="79"/>
      <c r="CF287" s="79"/>
      <c r="CG287" s="79"/>
      <c r="CH287" s="79"/>
      <c r="CI287" s="79"/>
      <c r="CJ287" s="79"/>
      <c r="CK287" s="79"/>
      <c r="CL287" s="79"/>
      <c r="CM287" s="79"/>
      <c r="CN287" s="79"/>
      <c r="CO287" s="79"/>
      <c r="CP287" s="79"/>
      <c r="CQ287" s="79"/>
      <c r="CR287" s="79"/>
      <c r="CS287" s="79"/>
      <c r="CT287" s="79"/>
      <c r="CU287" s="79"/>
      <c r="CV287" s="79"/>
      <c r="CW287" s="79"/>
      <c r="CX287" s="79"/>
      <c r="CY287" s="79"/>
      <c r="CZ287" s="79"/>
      <c r="DA287" s="79"/>
      <c r="DB287" s="79"/>
      <c r="DC287" s="79"/>
      <c r="DD287" s="79"/>
      <c r="DE287" s="79"/>
      <c r="DF287" s="79"/>
      <c r="DG287" s="79"/>
      <c r="DH287" s="79"/>
      <c r="DI287" s="79"/>
      <c r="DJ287" s="79"/>
      <c r="DK287" s="79"/>
      <c r="DL287" s="79"/>
      <c r="DM287" s="79"/>
      <c r="DN287" s="79"/>
      <c r="DO287" s="79"/>
      <c r="DP287" s="79"/>
      <c r="DQ287" s="79"/>
      <c r="DR287" s="79"/>
      <c r="DS287" s="79"/>
      <c r="DT287" s="79"/>
      <c r="DU287" s="79"/>
      <c r="DV287" s="79"/>
      <c r="DW287" s="79"/>
      <c r="DX287" s="79"/>
      <c r="DY287" s="79"/>
      <c r="DZ287" s="79"/>
      <c r="EA287" s="79"/>
      <c r="EB287" s="79"/>
      <c r="EC287" s="79"/>
      <c r="ED287" s="79"/>
      <c r="EE287" s="79"/>
      <c r="EF287" s="79"/>
      <c r="EG287" s="79"/>
      <c r="EH287" s="79"/>
      <c r="EI287" s="79"/>
      <c r="EJ287" s="79"/>
      <c r="EK287" s="79"/>
      <c r="EL287" s="79"/>
      <c r="EM287" s="79"/>
      <c r="EN287" s="79"/>
      <c r="EO287" s="79"/>
      <c r="EP287" s="79"/>
      <c r="EQ287" s="79"/>
      <c r="ER287" s="79"/>
      <c r="ES287" s="79"/>
      <c r="ET287" s="79"/>
      <c r="EU287" s="79"/>
      <c r="EV287" s="79"/>
      <c r="EW287" s="79"/>
      <c r="EX287" s="79"/>
      <c r="EY287" s="79"/>
      <c r="EZ287" s="79"/>
      <c r="FA287" s="79"/>
      <c r="FB287" s="79"/>
      <c r="FC287" s="79"/>
      <c r="FD287" s="79"/>
      <c r="FE287" s="79"/>
      <c r="FF287" s="79"/>
      <c r="FG287" s="79"/>
      <c r="FH287" s="79"/>
      <c r="FI287" s="79"/>
      <c r="FJ287" s="79"/>
      <c r="FK287" s="79"/>
      <c r="FL287" s="79"/>
      <c r="FM287" s="47"/>
      <c r="FN287" s="47"/>
      <c r="FO287" s="47"/>
      <c r="FP287" s="47"/>
      <c r="FQ287" s="47"/>
      <c r="FR287" s="47"/>
      <c r="FS287" s="47"/>
      <c r="FT287" s="47"/>
      <c r="FU287" s="47"/>
      <c r="FV287" s="48"/>
      <c r="FW287" s="48"/>
      <c r="FX287" s="48"/>
      <c r="FY287" s="48"/>
      <c r="FZ287" s="48"/>
      <c r="GA287" s="49"/>
      <c r="GB287" s="49"/>
      <c r="GC287" s="49"/>
      <c r="GD287" s="49"/>
      <c r="GE287" s="49"/>
      <c r="GF287" s="49"/>
      <c r="GG287" s="49"/>
      <c r="GH287" s="49"/>
      <c r="GI287" s="49"/>
      <c r="GJ287" s="49"/>
      <c r="GK287" s="49"/>
      <c r="GL287" s="49"/>
      <c r="GM287" s="49"/>
      <c r="GN287" s="49"/>
      <c r="GO287" s="49"/>
      <c r="GP287" s="49"/>
      <c r="GQ287" s="49"/>
      <c r="GR287" s="49"/>
      <c r="GS287" s="49"/>
      <c r="GT287" s="49"/>
      <c r="GU287" s="49"/>
      <c r="GV287" s="49"/>
      <c r="GW287" s="49"/>
      <c r="GX287" s="49"/>
      <c r="GY287" s="49"/>
      <c r="GZ287" s="49"/>
      <c r="HA287" s="49"/>
      <c r="HB287" s="49"/>
      <c r="HC287" s="49"/>
      <c r="HD287" s="49"/>
      <c r="HE287" s="49"/>
      <c r="HF287" s="49"/>
      <c r="HG287" s="49"/>
      <c r="HH287" s="49"/>
      <c r="HI287" s="49"/>
      <c r="HJ287" s="49"/>
      <c r="HK287" s="49"/>
      <c r="HL287" s="49"/>
      <c r="HM287" s="49"/>
    </row>
    <row r="288" spans="1:221" ht="3.75" hidden="1" customHeight="1">
      <c r="A288" s="1"/>
      <c r="B288" s="3"/>
      <c r="C288" s="3"/>
      <c r="D288" s="43"/>
      <c r="E288" s="43"/>
      <c r="F288" s="43"/>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c r="BE288" s="79"/>
      <c r="BF288" s="79"/>
      <c r="BG288" s="79"/>
      <c r="BH288" s="79"/>
      <c r="BI288" s="79"/>
      <c r="BJ288" s="79"/>
      <c r="BK288" s="79"/>
      <c r="BL288" s="79"/>
      <c r="BM288" s="79"/>
      <c r="BN288" s="79"/>
      <c r="BO288" s="79"/>
      <c r="BP288" s="79"/>
      <c r="BQ288" s="79"/>
      <c r="BR288" s="79"/>
      <c r="BS288" s="79"/>
      <c r="BT288" s="79"/>
      <c r="BU288" s="79"/>
      <c r="BV288" s="79"/>
      <c r="BW288" s="79"/>
      <c r="BX288" s="79"/>
      <c r="BY288" s="79"/>
      <c r="BZ288" s="79"/>
      <c r="CA288" s="79"/>
      <c r="CB288" s="79"/>
      <c r="CC288" s="79"/>
      <c r="CD288" s="79"/>
      <c r="CE288" s="79"/>
      <c r="CF288" s="79"/>
      <c r="CG288" s="79"/>
      <c r="CH288" s="79"/>
      <c r="CI288" s="79"/>
      <c r="CJ288" s="79"/>
      <c r="CK288" s="79"/>
      <c r="CL288" s="79"/>
      <c r="CM288" s="79"/>
      <c r="CN288" s="79"/>
      <c r="CO288" s="79"/>
      <c r="CP288" s="79"/>
      <c r="CQ288" s="79"/>
      <c r="CR288" s="79"/>
      <c r="CS288" s="79"/>
      <c r="CT288" s="79"/>
      <c r="CU288" s="79"/>
      <c r="CV288" s="79"/>
      <c r="CW288" s="79"/>
      <c r="CX288" s="79"/>
      <c r="CY288" s="79"/>
      <c r="CZ288" s="79"/>
      <c r="DA288" s="79"/>
      <c r="DB288" s="79"/>
      <c r="DC288" s="79"/>
      <c r="DD288" s="79"/>
      <c r="DE288" s="79"/>
      <c r="DF288" s="79"/>
      <c r="DG288" s="79"/>
      <c r="DH288" s="79"/>
      <c r="DI288" s="79"/>
      <c r="DJ288" s="79"/>
      <c r="DK288" s="79"/>
      <c r="DL288" s="79"/>
      <c r="DM288" s="79"/>
      <c r="DN288" s="79"/>
      <c r="DO288" s="79"/>
      <c r="DP288" s="79"/>
      <c r="DQ288" s="79"/>
      <c r="DR288" s="79"/>
      <c r="DS288" s="79"/>
      <c r="DT288" s="79"/>
      <c r="DU288" s="79"/>
      <c r="DV288" s="79"/>
      <c r="DW288" s="79"/>
      <c r="DX288" s="79"/>
      <c r="DY288" s="79"/>
      <c r="DZ288" s="79"/>
      <c r="EA288" s="79"/>
      <c r="EB288" s="79"/>
      <c r="EC288" s="79"/>
      <c r="ED288" s="79"/>
      <c r="EE288" s="79"/>
      <c r="EF288" s="79"/>
      <c r="EG288" s="79"/>
      <c r="EH288" s="79"/>
      <c r="EI288" s="79"/>
      <c r="EJ288" s="79"/>
      <c r="EK288" s="79"/>
      <c r="EL288" s="79"/>
      <c r="EM288" s="79"/>
      <c r="EN288" s="79"/>
      <c r="EO288" s="79"/>
      <c r="EP288" s="79"/>
      <c r="EQ288" s="79"/>
      <c r="ER288" s="79"/>
      <c r="ES288" s="79"/>
      <c r="ET288" s="79"/>
      <c r="EU288" s="79"/>
      <c r="EV288" s="79"/>
      <c r="EW288" s="79"/>
      <c r="EX288" s="79"/>
      <c r="EY288" s="79"/>
      <c r="EZ288" s="79"/>
      <c r="FA288" s="79"/>
      <c r="FB288" s="79"/>
      <c r="FC288" s="79"/>
      <c r="FD288" s="79"/>
      <c r="FE288" s="79"/>
      <c r="FF288" s="79"/>
      <c r="FG288" s="79"/>
      <c r="FH288" s="79"/>
      <c r="FI288" s="79"/>
      <c r="FJ288" s="79"/>
      <c r="FK288" s="79"/>
      <c r="FL288" s="79"/>
      <c r="FM288" s="47"/>
      <c r="FN288" s="47"/>
      <c r="FO288" s="47"/>
      <c r="FP288" s="47"/>
      <c r="FQ288" s="47"/>
      <c r="FR288" s="47"/>
      <c r="FS288" s="47"/>
      <c r="FT288" s="47"/>
      <c r="FU288" s="47"/>
      <c r="FV288" s="48"/>
      <c r="FW288" s="48"/>
      <c r="FX288" s="48"/>
      <c r="FY288" s="48"/>
      <c r="FZ288" s="48"/>
      <c r="GA288" s="49"/>
      <c r="GB288" s="49"/>
      <c r="GC288" s="49"/>
      <c r="GD288" s="49"/>
      <c r="GE288" s="49"/>
      <c r="GF288" s="49"/>
      <c r="GG288" s="49"/>
      <c r="GH288" s="49"/>
      <c r="GI288" s="49"/>
      <c r="GJ288" s="49"/>
      <c r="GK288" s="49"/>
      <c r="GL288" s="49"/>
      <c r="GM288" s="49"/>
      <c r="GN288" s="49"/>
      <c r="GO288" s="49"/>
      <c r="GP288" s="49"/>
      <c r="GQ288" s="49"/>
      <c r="GR288" s="49"/>
      <c r="GS288" s="49"/>
      <c r="GT288" s="49"/>
      <c r="GU288" s="49"/>
      <c r="GV288" s="49"/>
      <c r="GW288" s="49"/>
      <c r="GX288" s="49"/>
      <c r="GY288" s="49"/>
      <c r="GZ288" s="49"/>
      <c r="HA288" s="49"/>
      <c r="HB288" s="49"/>
      <c r="HC288" s="49"/>
      <c r="HD288" s="49"/>
      <c r="HE288" s="49"/>
      <c r="HF288" s="49"/>
      <c r="HG288" s="49"/>
      <c r="HH288" s="49"/>
      <c r="HI288" s="49"/>
      <c r="HJ288" s="49"/>
      <c r="HK288" s="49"/>
      <c r="HL288" s="49"/>
      <c r="HM288" s="49"/>
    </row>
    <row r="289" spans="1:221" ht="3.75" hidden="1" customHeight="1">
      <c r="A289" s="1"/>
      <c r="B289" s="3"/>
      <c r="C289" s="3"/>
      <c r="D289" s="43"/>
      <c r="E289" s="43"/>
      <c r="F289" s="43"/>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79"/>
      <c r="BA289" s="79"/>
      <c r="BB289" s="79"/>
      <c r="BC289" s="79"/>
      <c r="BD289" s="79"/>
      <c r="BE289" s="79"/>
      <c r="BF289" s="79"/>
      <c r="BG289" s="79"/>
      <c r="BH289" s="79"/>
      <c r="BI289" s="79"/>
      <c r="BJ289" s="79"/>
      <c r="BK289" s="79"/>
      <c r="BL289" s="79"/>
      <c r="BM289" s="79"/>
      <c r="BN289" s="79"/>
      <c r="BO289" s="79"/>
      <c r="BP289" s="79"/>
      <c r="BQ289" s="79"/>
      <c r="BR289" s="79"/>
      <c r="BS289" s="79"/>
      <c r="BT289" s="79"/>
      <c r="BU289" s="79"/>
      <c r="BV289" s="79"/>
      <c r="BW289" s="79"/>
      <c r="BX289" s="79"/>
      <c r="BY289" s="79"/>
      <c r="BZ289" s="79"/>
      <c r="CA289" s="79"/>
      <c r="CB289" s="79"/>
      <c r="CC289" s="79"/>
      <c r="CD289" s="79"/>
      <c r="CE289" s="79"/>
      <c r="CF289" s="79"/>
      <c r="CG289" s="79"/>
      <c r="CH289" s="79"/>
      <c r="CI289" s="79"/>
      <c r="CJ289" s="79"/>
      <c r="CK289" s="79"/>
      <c r="CL289" s="79"/>
      <c r="CM289" s="79"/>
      <c r="CN289" s="79"/>
      <c r="CO289" s="79"/>
      <c r="CP289" s="79"/>
      <c r="CQ289" s="79"/>
      <c r="CR289" s="79"/>
      <c r="CS289" s="79"/>
      <c r="CT289" s="79"/>
      <c r="CU289" s="79"/>
      <c r="CV289" s="79"/>
      <c r="CW289" s="79"/>
      <c r="CX289" s="79"/>
      <c r="CY289" s="79"/>
      <c r="CZ289" s="79"/>
      <c r="DA289" s="79"/>
      <c r="DB289" s="79"/>
      <c r="DC289" s="79"/>
      <c r="DD289" s="79"/>
      <c r="DE289" s="79"/>
      <c r="DF289" s="79"/>
      <c r="DG289" s="79"/>
      <c r="DH289" s="79"/>
      <c r="DI289" s="79"/>
      <c r="DJ289" s="79"/>
      <c r="DK289" s="79"/>
      <c r="DL289" s="79"/>
      <c r="DM289" s="79"/>
      <c r="DN289" s="79"/>
      <c r="DO289" s="79"/>
      <c r="DP289" s="79"/>
      <c r="DQ289" s="79"/>
      <c r="DR289" s="79"/>
      <c r="DS289" s="79"/>
      <c r="DT289" s="79"/>
      <c r="DU289" s="79"/>
      <c r="DV289" s="79"/>
      <c r="DW289" s="79"/>
      <c r="DX289" s="79"/>
      <c r="DY289" s="79"/>
      <c r="DZ289" s="79"/>
      <c r="EA289" s="79"/>
      <c r="EB289" s="79"/>
      <c r="EC289" s="79"/>
      <c r="ED289" s="79"/>
      <c r="EE289" s="79"/>
      <c r="EF289" s="79"/>
      <c r="EG289" s="79"/>
      <c r="EH289" s="79"/>
      <c r="EI289" s="79"/>
      <c r="EJ289" s="79"/>
      <c r="EK289" s="79"/>
      <c r="EL289" s="79"/>
      <c r="EM289" s="79"/>
      <c r="EN289" s="79"/>
      <c r="EO289" s="79"/>
      <c r="EP289" s="79"/>
      <c r="EQ289" s="79"/>
      <c r="ER289" s="79"/>
      <c r="ES289" s="79"/>
      <c r="ET289" s="79"/>
      <c r="EU289" s="79"/>
      <c r="EV289" s="79"/>
      <c r="EW289" s="79"/>
      <c r="EX289" s="79"/>
      <c r="EY289" s="79"/>
      <c r="EZ289" s="79"/>
      <c r="FA289" s="79"/>
      <c r="FB289" s="79"/>
      <c r="FC289" s="79"/>
      <c r="FD289" s="79"/>
      <c r="FE289" s="79"/>
      <c r="FF289" s="79"/>
      <c r="FG289" s="79"/>
      <c r="FH289" s="79"/>
      <c r="FI289" s="79"/>
      <c r="FJ289" s="79"/>
      <c r="FK289" s="79"/>
      <c r="FL289" s="79"/>
      <c r="FM289" s="47"/>
      <c r="FN289" s="47"/>
      <c r="FO289" s="47"/>
      <c r="FP289" s="47"/>
      <c r="FQ289" s="47"/>
      <c r="FR289" s="47"/>
      <c r="FS289" s="47"/>
      <c r="FT289" s="47"/>
      <c r="FU289" s="47"/>
      <c r="FV289" s="48"/>
      <c r="FW289" s="48"/>
      <c r="FX289" s="48"/>
      <c r="FY289" s="48"/>
      <c r="FZ289" s="48"/>
      <c r="GA289" s="49"/>
      <c r="GB289" s="49"/>
      <c r="GC289" s="49"/>
      <c r="GD289" s="49"/>
      <c r="GE289" s="49"/>
      <c r="GF289" s="49"/>
      <c r="GG289" s="49"/>
      <c r="GH289" s="49"/>
      <c r="GI289" s="49"/>
      <c r="GJ289" s="49"/>
      <c r="GK289" s="49"/>
      <c r="GL289" s="49"/>
      <c r="GM289" s="49"/>
      <c r="GN289" s="49"/>
      <c r="GO289" s="49"/>
      <c r="GP289" s="49"/>
      <c r="GQ289" s="49"/>
      <c r="GR289" s="49"/>
      <c r="GS289" s="49"/>
      <c r="GT289" s="49"/>
      <c r="GU289" s="49"/>
      <c r="GV289" s="49"/>
      <c r="GW289" s="49"/>
      <c r="GX289" s="49"/>
      <c r="GY289" s="49"/>
      <c r="GZ289" s="49"/>
      <c r="HA289" s="49"/>
      <c r="HB289" s="49"/>
      <c r="HC289" s="49"/>
      <c r="HD289" s="49"/>
      <c r="HE289" s="49"/>
      <c r="HF289" s="49"/>
      <c r="HG289" s="49"/>
      <c r="HH289" s="49"/>
      <c r="HI289" s="49"/>
      <c r="HJ289" s="49"/>
      <c r="HK289" s="49"/>
      <c r="HL289" s="49"/>
      <c r="HM289" s="49"/>
    </row>
    <row r="290" spans="1:221" ht="3.75" hidden="1" customHeight="1">
      <c r="A290" s="1"/>
      <c r="B290" s="3"/>
      <c r="C290" s="3"/>
      <c r="D290" s="43"/>
      <c r="E290" s="43"/>
      <c r="F290" s="43"/>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A290" s="79"/>
      <c r="CB290" s="79"/>
      <c r="CC290" s="79"/>
      <c r="CD290" s="79"/>
      <c r="CE290" s="79"/>
      <c r="CF290" s="79"/>
      <c r="CG290" s="79"/>
      <c r="CH290" s="79"/>
      <c r="CI290" s="79"/>
      <c r="CJ290" s="79"/>
      <c r="CK290" s="79"/>
      <c r="CL290" s="79"/>
      <c r="CM290" s="79"/>
      <c r="CN290" s="79"/>
      <c r="CO290" s="79"/>
      <c r="CP290" s="79"/>
      <c r="CQ290" s="79"/>
      <c r="CR290" s="79"/>
      <c r="CS290" s="79"/>
      <c r="CT290" s="79"/>
      <c r="CU290" s="79"/>
      <c r="CV290" s="79"/>
      <c r="CW290" s="79"/>
      <c r="CX290" s="79"/>
      <c r="CY290" s="79"/>
      <c r="CZ290" s="79"/>
      <c r="DA290" s="79"/>
      <c r="DB290" s="79"/>
      <c r="DC290" s="79"/>
      <c r="DD290" s="79"/>
      <c r="DE290" s="79"/>
      <c r="DF290" s="79"/>
      <c r="DG290" s="79"/>
      <c r="DH290" s="79"/>
      <c r="DI290" s="79"/>
      <c r="DJ290" s="79"/>
      <c r="DK290" s="79"/>
      <c r="DL290" s="79"/>
      <c r="DM290" s="79"/>
      <c r="DN290" s="79"/>
      <c r="DO290" s="79"/>
      <c r="DP290" s="79"/>
      <c r="DQ290" s="79"/>
      <c r="DR290" s="79"/>
      <c r="DS290" s="79"/>
      <c r="DT290" s="79"/>
      <c r="DU290" s="79"/>
      <c r="DV290" s="79"/>
      <c r="DW290" s="79"/>
      <c r="DX290" s="79"/>
      <c r="DY290" s="79"/>
      <c r="DZ290" s="79"/>
      <c r="EA290" s="79"/>
      <c r="EB290" s="79"/>
      <c r="EC290" s="79"/>
      <c r="ED290" s="79"/>
      <c r="EE290" s="79"/>
      <c r="EF290" s="79"/>
      <c r="EG290" s="79"/>
      <c r="EH290" s="79"/>
      <c r="EI290" s="79"/>
      <c r="EJ290" s="79"/>
      <c r="EK290" s="79"/>
      <c r="EL290" s="79"/>
      <c r="EM290" s="79"/>
      <c r="EN290" s="79"/>
      <c r="EO290" s="79"/>
      <c r="EP290" s="79"/>
      <c r="EQ290" s="79"/>
      <c r="ER290" s="79"/>
      <c r="ES290" s="79"/>
      <c r="ET290" s="79"/>
      <c r="EU290" s="79"/>
      <c r="EV290" s="79"/>
      <c r="EW290" s="79"/>
      <c r="EX290" s="79"/>
      <c r="EY290" s="79"/>
      <c r="EZ290" s="79"/>
      <c r="FA290" s="79"/>
      <c r="FB290" s="79"/>
      <c r="FC290" s="79"/>
      <c r="FD290" s="79"/>
      <c r="FE290" s="79"/>
      <c r="FF290" s="79"/>
      <c r="FG290" s="79"/>
      <c r="FH290" s="79"/>
      <c r="FI290" s="79"/>
      <c r="FJ290" s="79"/>
      <c r="FK290" s="79"/>
      <c r="FL290" s="79"/>
      <c r="FM290" s="47"/>
      <c r="FN290" s="47"/>
      <c r="FO290" s="47"/>
      <c r="FP290" s="47"/>
      <c r="FQ290" s="47"/>
      <c r="FR290" s="47"/>
      <c r="FS290" s="47"/>
      <c r="FT290" s="47"/>
      <c r="FU290" s="47"/>
      <c r="FV290" s="48"/>
      <c r="FW290" s="48"/>
      <c r="FX290" s="48"/>
      <c r="FY290" s="48"/>
      <c r="FZ290" s="48"/>
      <c r="GA290" s="49"/>
      <c r="GB290" s="49"/>
      <c r="GC290" s="49"/>
      <c r="GD290" s="49"/>
      <c r="GE290" s="49"/>
      <c r="GF290" s="49"/>
      <c r="GG290" s="49"/>
      <c r="GH290" s="49"/>
      <c r="GI290" s="49"/>
      <c r="GJ290" s="49"/>
      <c r="GK290" s="49"/>
      <c r="GL290" s="49"/>
      <c r="GM290" s="49"/>
      <c r="GN290" s="49"/>
      <c r="GO290" s="49"/>
      <c r="GP290" s="49"/>
      <c r="GQ290" s="49"/>
      <c r="GR290" s="49"/>
      <c r="GS290" s="49"/>
      <c r="GT290" s="49"/>
      <c r="GU290" s="49"/>
      <c r="GV290" s="49"/>
      <c r="GW290" s="49"/>
      <c r="GX290" s="49"/>
      <c r="GY290" s="49"/>
      <c r="GZ290" s="49"/>
      <c r="HA290" s="49"/>
      <c r="HB290" s="49"/>
      <c r="HC290" s="49"/>
      <c r="HD290" s="49"/>
      <c r="HE290" s="49"/>
      <c r="HF290" s="49"/>
      <c r="HG290" s="49"/>
      <c r="HH290" s="49"/>
      <c r="HI290" s="49"/>
      <c r="HJ290" s="49"/>
      <c r="HK290" s="49"/>
      <c r="HL290" s="49"/>
      <c r="HM290" s="49"/>
    </row>
    <row r="291" spans="1:221" ht="3.75" hidden="1" customHeight="1">
      <c r="A291" s="1"/>
      <c r="B291" s="3"/>
      <c r="C291" s="3"/>
      <c r="D291" s="43"/>
      <c r="E291" s="43"/>
      <c r="F291" s="43"/>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A291" s="79"/>
      <c r="CB291" s="79"/>
      <c r="CC291" s="79"/>
      <c r="CD291" s="79"/>
      <c r="CE291" s="79"/>
      <c r="CF291" s="79"/>
      <c r="CG291" s="79"/>
      <c r="CH291" s="79"/>
      <c r="CI291" s="79"/>
      <c r="CJ291" s="79"/>
      <c r="CK291" s="79"/>
      <c r="CL291" s="79"/>
      <c r="CM291" s="79"/>
      <c r="CN291" s="79"/>
      <c r="CO291" s="79"/>
      <c r="CP291" s="79"/>
      <c r="CQ291" s="79"/>
      <c r="CR291" s="79"/>
      <c r="CS291" s="79"/>
      <c r="CT291" s="79"/>
      <c r="CU291" s="79"/>
      <c r="CV291" s="79"/>
      <c r="CW291" s="79"/>
      <c r="CX291" s="79"/>
      <c r="CY291" s="79"/>
      <c r="CZ291" s="79"/>
      <c r="DA291" s="79"/>
      <c r="DB291" s="79"/>
      <c r="DC291" s="79"/>
      <c r="DD291" s="79"/>
      <c r="DE291" s="79"/>
      <c r="DF291" s="79"/>
      <c r="DG291" s="79"/>
      <c r="DH291" s="79"/>
      <c r="DI291" s="79"/>
      <c r="DJ291" s="79"/>
      <c r="DK291" s="79"/>
      <c r="DL291" s="79"/>
      <c r="DM291" s="79"/>
      <c r="DN291" s="79"/>
      <c r="DO291" s="79"/>
      <c r="DP291" s="79"/>
      <c r="DQ291" s="79"/>
      <c r="DR291" s="79"/>
      <c r="DS291" s="79"/>
      <c r="DT291" s="79"/>
      <c r="DU291" s="79"/>
      <c r="DV291" s="79"/>
      <c r="DW291" s="79"/>
      <c r="DX291" s="79"/>
      <c r="DY291" s="79"/>
      <c r="DZ291" s="79"/>
      <c r="EA291" s="79"/>
      <c r="EB291" s="79"/>
      <c r="EC291" s="79"/>
      <c r="ED291" s="79"/>
      <c r="EE291" s="79"/>
      <c r="EF291" s="79"/>
      <c r="EG291" s="79"/>
      <c r="EH291" s="79"/>
      <c r="EI291" s="79"/>
      <c r="EJ291" s="79"/>
      <c r="EK291" s="79"/>
      <c r="EL291" s="79"/>
      <c r="EM291" s="79"/>
      <c r="EN291" s="79"/>
      <c r="EO291" s="79"/>
      <c r="EP291" s="79"/>
      <c r="EQ291" s="79"/>
      <c r="ER291" s="79"/>
      <c r="ES291" s="79"/>
      <c r="ET291" s="79"/>
      <c r="EU291" s="79"/>
      <c r="EV291" s="79"/>
      <c r="EW291" s="79"/>
      <c r="EX291" s="79"/>
      <c r="EY291" s="79"/>
      <c r="EZ291" s="79"/>
      <c r="FA291" s="79"/>
      <c r="FB291" s="79"/>
      <c r="FC291" s="79"/>
      <c r="FD291" s="79"/>
      <c r="FE291" s="79"/>
      <c r="FF291" s="79"/>
      <c r="FG291" s="79"/>
      <c r="FH291" s="79"/>
      <c r="FI291" s="79"/>
      <c r="FJ291" s="79"/>
      <c r="FK291" s="79"/>
      <c r="FL291" s="79"/>
      <c r="FM291" s="47"/>
      <c r="FN291" s="47"/>
      <c r="FO291" s="47"/>
      <c r="FP291" s="47"/>
      <c r="FQ291" s="47"/>
      <c r="FR291" s="47"/>
      <c r="FS291" s="47"/>
      <c r="FT291" s="47"/>
      <c r="FU291" s="47"/>
      <c r="FV291" s="48"/>
      <c r="FW291" s="48"/>
      <c r="FX291" s="48"/>
      <c r="FY291" s="48"/>
      <c r="FZ291" s="48"/>
      <c r="GA291" s="49"/>
      <c r="GB291" s="49"/>
      <c r="GC291" s="49"/>
      <c r="GD291" s="49"/>
      <c r="GE291" s="49"/>
      <c r="GF291" s="49"/>
      <c r="GG291" s="49"/>
      <c r="GH291" s="49"/>
      <c r="GI291" s="49"/>
      <c r="GJ291" s="49"/>
      <c r="GK291" s="49"/>
      <c r="GL291" s="49"/>
      <c r="GM291" s="49"/>
      <c r="GN291" s="49"/>
      <c r="GO291" s="49"/>
      <c r="GP291" s="49"/>
      <c r="GQ291" s="49"/>
      <c r="GR291" s="49"/>
      <c r="GS291" s="49"/>
      <c r="GT291" s="49"/>
      <c r="GU291" s="49"/>
      <c r="GV291" s="49"/>
      <c r="GW291" s="49"/>
      <c r="GX291" s="49"/>
      <c r="GY291" s="49"/>
      <c r="GZ291" s="49"/>
      <c r="HA291" s="49"/>
      <c r="HB291" s="49"/>
      <c r="HC291" s="49"/>
      <c r="HD291" s="49"/>
      <c r="HE291" s="49"/>
      <c r="HF291" s="49"/>
      <c r="HG291" s="49"/>
      <c r="HH291" s="49"/>
      <c r="HI291" s="49"/>
      <c r="HJ291" s="49"/>
      <c r="HK291" s="49"/>
      <c r="HL291" s="49"/>
      <c r="HM291" s="49"/>
    </row>
    <row r="292" spans="1:221" ht="3.75" hidden="1" customHeight="1">
      <c r="A292" s="1"/>
      <c r="B292" s="3"/>
      <c r="C292" s="3"/>
      <c r="D292" s="43"/>
      <c r="E292" s="43"/>
      <c r="F292" s="43"/>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A292" s="79"/>
      <c r="CB292" s="79"/>
      <c r="CC292" s="79"/>
      <c r="CD292" s="79"/>
      <c r="CE292" s="79"/>
      <c r="CF292" s="79"/>
      <c r="CG292" s="79"/>
      <c r="CH292" s="79"/>
      <c r="CI292" s="79"/>
      <c r="CJ292" s="79"/>
      <c r="CK292" s="79"/>
      <c r="CL292" s="79"/>
      <c r="CM292" s="79"/>
      <c r="CN292" s="79"/>
      <c r="CO292" s="79"/>
      <c r="CP292" s="79"/>
      <c r="CQ292" s="79"/>
      <c r="CR292" s="79"/>
      <c r="CS292" s="79"/>
      <c r="CT292" s="79"/>
      <c r="CU292" s="79"/>
      <c r="CV292" s="79"/>
      <c r="CW292" s="79"/>
      <c r="CX292" s="79"/>
      <c r="CY292" s="79"/>
      <c r="CZ292" s="79"/>
      <c r="DA292" s="79"/>
      <c r="DB292" s="79"/>
      <c r="DC292" s="79"/>
      <c r="DD292" s="79"/>
      <c r="DE292" s="79"/>
      <c r="DF292" s="79"/>
      <c r="DG292" s="79"/>
      <c r="DH292" s="79"/>
      <c r="DI292" s="79"/>
      <c r="DJ292" s="79"/>
      <c r="DK292" s="79"/>
      <c r="DL292" s="79"/>
      <c r="DM292" s="79"/>
      <c r="DN292" s="79"/>
      <c r="DO292" s="79"/>
      <c r="DP292" s="79"/>
      <c r="DQ292" s="79"/>
      <c r="DR292" s="79"/>
      <c r="DS292" s="79"/>
      <c r="DT292" s="79"/>
      <c r="DU292" s="79"/>
      <c r="DV292" s="79"/>
      <c r="DW292" s="79"/>
      <c r="DX292" s="79"/>
      <c r="DY292" s="79"/>
      <c r="DZ292" s="79"/>
      <c r="EA292" s="79"/>
      <c r="EB292" s="79"/>
      <c r="EC292" s="79"/>
      <c r="ED292" s="79"/>
      <c r="EE292" s="79"/>
      <c r="EF292" s="79"/>
      <c r="EG292" s="79"/>
      <c r="EH292" s="79"/>
      <c r="EI292" s="79"/>
      <c r="EJ292" s="79"/>
      <c r="EK292" s="79"/>
      <c r="EL292" s="79"/>
      <c r="EM292" s="79"/>
      <c r="EN292" s="79"/>
      <c r="EO292" s="79"/>
      <c r="EP292" s="79"/>
      <c r="EQ292" s="79"/>
      <c r="ER292" s="79"/>
      <c r="ES292" s="79"/>
      <c r="ET292" s="79"/>
      <c r="EU292" s="79"/>
      <c r="EV292" s="79"/>
      <c r="EW292" s="79"/>
      <c r="EX292" s="79"/>
      <c r="EY292" s="79"/>
      <c r="EZ292" s="79"/>
      <c r="FA292" s="79"/>
      <c r="FB292" s="79"/>
      <c r="FC292" s="79"/>
      <c r="FD292" s="79"/>
      <c r="FE292" s="79"/>
      <c r="FF292" s="79"/>
      <c r="FG292" s="79"/>
      <c r="FH292" s="79"/>
      <c r="FI292" s="79"/>
      <c r="FJ292" s="79"/>
      <c r="FK292" s="79"/>
      <c r="FL292" s="79"/>
      <c r="FM292" s="47"/>
      <c r="FN292" s="47"/>
      <c r="FO292" s="47"/>
      <c r="FP292" s="47"/>
      <c r="FQ292" s="47"/>
      <c r="FR292" s="47"/>
      <c r="FS292" s="47"/>
      <c r="FT292" s="47"/>
      <c r="FU292" s="47"/>
      <c r="FV292" s="48"/>
      <c r="FW292" s="48"/>
      <c r="FX292" s="48"/>
      <c r="FY292" s="48"/>
      <c r="FZ292" s="48"/>
      <c r="GA292" s="49"/>
      <c r="GB292" s="49"/>
      <c r="GC292" s="49"/>
      <c r="GD292" s="49"/>
      <c r="GE292" s="49"/>
      <c r="GF292" s="49"/>
      <c r="GG292" s="49"/>
      <c r="GH292" s="49"/>
      <c r="GI292" s="49"/>
      <c r="GJ292" s="49"/>
      <c r="GK292" s="49"/>
      <c r="GL292" s="49"/>
      <c r="GM292" s="49"/>
      <c r="GN292" s="49"/>
      <c r="GO292" s="49"/>
      <c r="GP292" s="49"/>
      <c r="GQ292" s="49"/>
      <c r="GR292" s="49"/>
      <c r="GS292" s="49"/>
      <c r="GT292" s="49"/>
      <c r="GU292" s="49"/>
      <c r="GV292" s="49"/>
      <c r="GW292" s="49"/>
      <c r="GX292" s="49"/>
      <c r="GY292" s="49"/>
      <c r="GZ292" s="49"/>
      <c r="HA292" s="49"/>
      <c r="HB292" s="49"/>
      <c r="HC292" s="49"/>
      <c r="HD292" s="49"/>
      <c r="HE292" s="49"/>
      <c r="HF292" s="49"/>
      <c r="HG292" s="49"/>
      <c r="HH292" s="49"/>
      <c r="HI292" s="49"/>
      <c r="HJ292" s="49"/>
      <c r="HK292" s="49"/>
      <c r="HL292" s="49"/>
      <c r="HM292" s="49"/>
    </row>
    <row r="293" spans="1:221" ht="3.75" hidden="1" customHeight="1">
      <c r="A293" s="1"/>
      <c r="B293" s="3"/>
      <c r="C293" s="3"/>
      <c r="D293" s="43"/>
      <c r="E293" s="43"/>
      <c r="F293" s="43"/>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79"/>
      <c r="BA293" s="79"/>
      <c r="BB293" s="79"/>
      <c r="BC293" s="79"/>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A293" s="79"/>
      <c r="CB293" s="79"/>
      <c r="CC293" s="79"/>
      <c r="CD293" s="79"/>
      <c r="CE293" s="79"/>
      <c r="CF293" s="79"/>
      <c r="CG293" s="79"/>
      <c r="CH293" s="79"/>
      <c r="CI293" s="79"/>
      <c r="CJ293" s="79"/>
      <c r="CK293" s="79"/>
      <c r="CL293" s="79"/>
      <c r="CM293" s="79"/>
      <c r="CN293" s="79"/>
      <c r="CO293" s="79"/>
      <c r="CP293" s="79"/>
      <c r="CQ293" s="79"/>
      <c r="CR293" s="79"/>
      <c r="CS293" s="79"/>
      <c r="CT293" s="79"/>
      <c r="CU293" s="79"/>
      <c r="CV293" s="79"/>
      <c r="CW293" s="79"/>
      <c r="CX293" s="79"/>
      <c r="CY293" s="79"/>
      <c r="CZ293" s="79"/>
      <c r="DA293" s="79"/>
      <c r="DB293" s="79"/>
      <c r="DC293" s="79"/>
      <c r="DD293" s="79"/>
      <c r="DE293" s="79"/>
      <c r="DF293" s="79"/>
      <c r="DG293" s="79"/>
      <c r="DH293" s="79"/>
      <c r="DI293" s="79"/>
      <c r="DJ293" s="79"/>
      <c r="DK293" s="79"/>
      <c r="DL293" s="79"/>
      <c r="DM293" s="79"/>
      <c r="DN293" s="79"/>
      <c r="DO293" s="79"/>
      <c r="DP293" s="79"/>
      <c r="DQ293" s="79"/>
      <c r="DR293" s="79"/>
      <c r="DS293" s="79"/>
      <c r="DT293" s="79"/>
      <c r="DU293" s="79"/>
      <c r="DV293" s="79"/>
      <c r="DW293" s="79"/>
      <c r="DX293" s="79"/>
      <c r="DY293" s="79"/>
      <c r="DZ293" s="79"/>
      <c r="EA293" s="79"/>
      <c r="EB293" s="79"/>
      <c r="EC293" s="79"/>
      <c r="ED293" s="79"/>
      <c r="EE293" s="79"/>
      <c r="EF293" s="79"/>
      <c r="EG293" s="79"/>
      <c r="EH293" s="79"/>
      <c r="EI293" s="79"/>
      <c r="EJ293" s="79"/>
      <c r="EK293" s="79"/>
      <c r="EL293" s="79"/>
      <c r="EM293" s="79"/>
      <c r="EN293" s="79"/>
      <c r="EO293" s="79"/>
      <c r="EP293" s="79"/>
      <c r="EQ293" s="79"/>
      <c r="ER293" s="79"/>
      <c r="ES293" s="79"/>
      <c r="ET293" s="79"/>
      <c r="EU293" s="79"/>
      <c r="EV293" s="79"/>
      <c r="EW293" s="79"/>
      <c r="EX293" s="79"/>
      <c r="EY293" s="79"/>
      <c r="EZ293" s="79"/>
      <c r="FA293" s="79"/>
      <c r="FB293" s="79"/>
      <c r="FC293" s="79"/>
      <c r="FD293" s="79"/>
      <c r="FE293" s="79"/>
      <c r="FF293" s="79"/>
      <c r="FG293" s="79"/>
      <c r="FH293" s="79"/>
      <c r="FI293" s="79"/>
      <c r="FJ293" s="79"/>
      <c r="FK293" s="79"/>
      <c r="FL293" s="79"/>
      <c r="FM293" s="47"/>
      <c r="FN293" s="47"/>
      <c r="FO293" s="47"/>
      <c r="FP293" s="47"/>
      <c r="FQ293" s="47"/>
      <c r="FR293" s="47"/>
      <c r="FS293" s="47"/>
      <c r="FT293" s="47"/>
      <c r="FU293" s="47"/>
      <c r="FV293" s="48"/>
      <c r="FW293" s="48"/>
      <c r="FX293" s="48"/>
      <c r="FY293" s="48"/>
      <c r="FZ293" s="48"/>
      <c r="GA293" s="49"/>
      <c r="GB293" s="49"/>
      <c r="GC293" s="49"/>
      <c r="GD293" s="49"/>
      <c r="GE293" s="49"/>
      <c r="GF293" s="49"/>
      <c r="GG293" s="49"/>
      <c r="GH293" s="49"/>
      <c r="GI293" s="49"/>
      <c r="GJ293" s="49"/>
      <c r="GK293" s="49"/>
      <c r="GL293" s="49"/>
      <c r="GM293" s="49"/>
      <c r="GN293" s="49"/>
      <c r="GO293" s="49"/>
      <c r="GP293" s="49"/>
      <c r="GQ293" s="49"/>
      <c r="GR293" s="49"/>
      <c r="GS293" s="49"/>
      <c r="GT293" s="49"/>
      <c r="GU293" s="49"/>
      <c r="GV293" s="49"/>
      <c r="GW293" s="49"/>
      <c r="GX293" s="49"/>
      <c r="GY293" s="49"/>
      <c r="GZ293" s="49"/>
      <c r="HA293" s="49"/>
      <c r="HB293" s="49"/>
      <c r="HC293" s="49"/>
      <c r="HD293" s="49"/>
      <c r="HE293" s="49"/>
      <c r="HF293" s="49"/>
      <c r="HG293" s="49"/>
      <c r="HH293" s="49"/>
      <c r="HI293" s="49"/>
      <c r="HJ293" s="49"/>
      <c r="HK293" s="49"/>
      <c r="HL293" s="49"/>
      <c r="HM293" s="49"/>
    </row>
    <row r="294" spans="1:221" ht="3.75" hidden="1" customHeight="1">
      <c r="A294" s="1"/>
      <c r="B294" s="3"/>
      <c r="C294" s="3"/>
      <c r="D294" s="43"/>
      <c r="E294" s="43"/>
      <c r="F294" s="43"/>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A294" s="79"/>
      <c r="CB294" s="79"/>
      <c r="CC294" s="79"/>
      <c r="CD294" s="79"/>
      <c r="CE294" s="79"/>
      <c r="CF294" s="79"/>
      <c r="CG294" s="79"/>
      <c r="CH294" s="79"/>
      <c r="CI294" s="79"/>
      <c r="CJ294" s="79"/>
      <c r="CK294" s="79"/>
      <c r="CL294" s="79"/>
      <c r="CM294" s="79"/>
      <c r="CN294" s="79"/>
      <c r="CO294" s="79"/>
      <c r="CP294" s="79"/>
      <c r="CQ294" s="79"/>
      <c r="CR294" s="79"/>
      <c r="CS294" s="79"/>
      <c r="CT294" s="79"/>
      <c r="CU294" s="79"/>
      <c r="CV294" s="79"/>
      <c r="CW294" s="79"/>
      <c r="CX294" s="79"/>
      <c r="CY294" s="79"/>
      <c r="CZ294" s="79"/>
      <c r="DA294" s="79"/>
      <c r="DB294" s="79"/>
      <c r="DC294" s="79"/>
      <c r="DD294" s="79"/>
      <c r="DE294" s="79"/>
      <c r="DF294" s="79"/>
      <c r="DG294" s="79"/>
      <c r="DH294" s="79"/>
      <c r="DI294" s="79"/>
      <c r="DJ294" s="79"/>
      <c r="DK294" s="79"/>
      <c r="DL294" s="79"/>
      <c r="DM294" s="79"/>
      <c r="DN294" s="79"/>
      <c r="DO294" s="79"/>
      <c r="DP294" s="79"/>
      <c r="DQ294" s="79"/>
      <c r="DR294" s="79"/>
      <c r="DS294" s="79"/>
      <c r="DT294" s="79"/>
      <c r="DU294" s="79"/>
      <c r="DV294" s="79"/>
      <c r="DW294" s="79"/>
      <c r="DX294" s="79"/>
      <c r="DY294" s="79"/>
      <c r="DZ294" s="79"/>
      <c r="EA294" s="79"/>
      <c r="EB294" s="79"/>
      <c r="EC294" s="79"/>
      <c r="ED294" s="79"/>
      <c r="EE294" s="79"/>
      <c r="EF294" s="79"/>
      <c r="EG294" s="79"/>
      <c r="EH294" s="79"/>
      <c r="EI294" s="79"/>
      <c r="EJ294" s="79"/>
      <c r="EK294" s="79"/>
      <c r="EL294" s="79"/>
      <c r="EM294" s="79"/>
      <c r="EN294" s="79"/>
      <c r="EO294" s="79"/>
      <c r="EP294" s="79"/>
      <c r="EQ294" s="79"/>
      <c r="ER294" s="79"/>
      <c r="ES294" s="79"/>
      <c r="ET294" s="79"/>
      <c r="EU294" s="79"/>
      <c r="EV294" s="79"/>
      <c r="EW294" s="79"/>
      <c r="EX294" s="79"/>
      <c r="EY294" s="79"/>
      <c r="EZ294" s="79"/>
      <c r="FA294" s="79"/>
      <c r="FB294" s="79"/>
      <c r="FC294" s="79"/>
      <c r="FD294" s="79"/>
      <c r="FE294" s="79"/>
      <c r="FF294" s="79"/>
      <c r="FG294" s="79"/>
      <c r="FH294" s="79"/>
      <c r="FI294" s="79"/>
      <c r="FJ294" s="79"/>
      <c r="FK294" s="79"/>
      <c r="FL294" s="79"/>
      <c r="FM294" s="47"/>
      <c r="FN294" s="47"/>
      <c r="FO294" s="47"/>
      <c r="FP294" s="47"/>
      <c r="FQ294" s="47"/>
      <c r="FR294" s="47"/>
      <c r="FS294" s="47"/>
      <c r="FT294" s="47"/>
      <c r="FU294" s="47"/>
      <c r="FV294" s="48"/>
      <c r="FW294" s="48"/>
      <c r="FX294" s="48"/>
      <c r="FY294" s="48"/>
      <c r="FZ294" s="48"/>
      <c r="GA294" s="49"/>
      <c r="GB294" s="49"/>
      <c r="GC294" s="49"/>
      <c r="GD294" s="49"/>
      <c r="GE294" s="49"/>
      <c r="GF294" s="49"/>
      <c r="GG294" s="49"/>
      <c r="GH294" s="49"/>
      <c r="GI294" s="49"/>
      <c r="GJ294" s="49"/>
      <c r="GK294" s="49"/>
      <c r="GL294" s="49"/>
      <c r="GM294" s="49"/>
      <c r="GN294" s="49"/>
      <c r="GO294" s="49"/>
      <c r="GP294" s="49"/>
      <c r="GQ294" s="49"/>
      <c r="GR294" s="49"/>
      <c r="GS294" s="49"/>
      <c r="GT294" s="49"/>
      <c r="GU294" s="49"/>
      <c r="GV294" s="49"/>
      <c r="GW294" s="49"/>
      <c r="GX294" s="49"/>
      <c r="GY294" s="49"/>
      <c r="GZ294" s="49"/>
      <c r="HA294" s="49"/>
      <c r="HB294" s="49"/>
      <c r="HC294" s="49"/>
      <c r="HD294" s="49"/>
      <c r="HE294" s="49"/>
      <c r="HF294" s="49"/>
      <c r="HG294" s="49"/>
      <c r="HH294" s="49"/>
      <c r="HI294" s="49"/>
      <c r="HJ294" s="49"/>
      <c r="HK294" s="49"/>
      <c r="HL294" s="49"/>
      <c r="HM294" s="49"/>
    </row>
    <row r="295" spans="1:221" ht="3.75" hidden="1" customHeight="1">
      <c r="A295" s="1"/>
      <c r="B295" s="3"/>
      <c r="C295" s="3"/>
      <c r="D295" s="43"/>
      <c r="E295" s="43"/>
      <c r="F295" s="43"/>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79"/>
      <c r="BB295" s="79"/>
      <c r="BC295" s="79"/>
      <c r="BD295" s="79"/>
      <c r="BE295" s="79"/>
      <c r="BF295" s="79"/>
      <c r="BG295" s="79"/>
      <c r="BH295" s="79"/>
      <c r="BI295" s="79"/>
      <c r="BJ295" s="79"/>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c r="CJ295" s="79"/>
      <c r="CK295" s="79"/>
      <c r="CL295" s="79"/>
      <c r="CM295" s="79"/>
      <c r="CN295" s="79"/>
      <c r="CO295" s="79"/>
      <c r="CP295" s="79"/>
      <c r="CQ295" s="79"/>
      <c r="CR295" s="79"/>
      <c r="CS295" s="79"/>
      <c r="CT295" s="79"/>
      <c r="CU295" s="79"/>
      <c r="CV295" s="79"/>
      <c r="CW295" s="79"/>
      <c r="CX295" s="79"/>
      <c r="CY295" s="79"/>
      <c r="CZ295" s="79"/>
      <c r="DA295" s="79"/>
      <c r="DB295" s="79"/>
      <c r="DC295" s="79"/>
      <c r="DD295" s="79"/>
      <c r="DE295" s="79"/>
      <c r="DF295" s="79"/>
      <c r="DG295" s="79"/>
      <c r="DH295" s="79"/>
      <c r="DI295" s="79"/>
      <c r="DJ295" s="79"/>
      <c r="DK295" s="79"/>
      <c r="DL295" s="79"/>
      <c r="DM295" s="79"/>
      <c r="DN295" s="79"/>
      <c r="DO295" s="79"/>
      <c r="DP295" s="79"/>
      <c r="DQ295" s="79"/>
      <c r="DR295" s="79"/>
      <c r="DS295" s="79"/>
      <c r="DT295" s="79"/>
      <c r="DU295" s="79"/>
      <c r="DV295" s="79"/>
      <c r="DW295" s="79"/>
      <c r="DX295" s="79"/>
      <c r="DY295" s="79"/>
      <c r="DZ295" s="79"/>
      <c r="EA295" s="79"/>
      <c r="EB295" s="79"/>
      <c r="EC295" s="79"/>
      <c r="ED295" s="79"/>
      <c r="EE295" s="79"/>
      <c r="EF295" s="79"/>
      <c r="EG295" s="79"/>
      <c r="EH295" s="79"/>
      <c r="EI295" s="79"/>
      <c r="EJ295" s="79"/>
      <c r="EK295" s="79"/>
      <c r="EL295" s="79"/>
      <c r="EM295" s="79"/>
      <c r="EN295" s="79"/>
      <c r="EO295" s="79"/>
      <c r="EP295" s="79"/>
      <c r="EQ295" s="79"/>
      <c r="ER295" s="79"/>
      <c r="ES295" s="79"/>
      <c r="ET295" s="79"/>
      <c r="EU295" s="79"/>
      <c r="EV295" s="79"/>
      <c r="EW295" s="79"/>
      <c r="EX295" s="79"/>
      <c r="EY295" s="79"/>
      <c r="EZ295" s="79"/>
      <c r="FA295" s="79"/>
      <c r="FB295" s="79"/>
      <c r="FC295" s="79"/>
      <c r="FD295" s="79"/>
      <c r="FE295" s="79"/>
      <c r="FF295" s="79"/>
      <c r="FG295" s="79"/>
      <c r="FH295" s="79"/>
      <c r="FI295" s="79"/>
      <c r="FJ295" s="79"/>
      <c r="FK295" s="79"/>
      <c r="FL295" s="79"/>
      <c r="FM295" s="47"/>
      <c r="FN295" s="47"/>
      <c r="FO295" s="47"/>
      <c r="FP295" s="47"/>
      <c r="FQ295" s="47"/>
      <c r="FR295" s="47"/>
      <c r="FS295" s="47"/>
      <c r="FT295" s="47"/>
      <c r="FU295" s="47"/>
      <c r="FV295" s="48"/>
      <c r="FW295" s="48"/>
      <c r="FX295" s="48"/>
      <c r="FY295" s="48"/>
      <c r="FZ295" s="48"/>
      <c r="GA295" s="49"/>
      <c r="GB295" s="49"/>
      <c r="GC295" s="49"/>
      <c r="GD295" s="49"/>
      <c r="GE295" s="49"/>
      <c r="GF295" s="49"/>
      <c r="GG295" s="49"/>
      <c r="GH295" s="49"/>
      <c r="GI295" s="49"/>
      <c r="GJ295" s="49"/>
      <c r="GK295" s="49"/>
      <c r="GL295" s="49"/>
      <c r="GM295" s="49"/>
      <c r="GN295" s="49"/>
      <c r="GO295" s="49"/>
      <c r="GP295" s="49"/>
      <c r="GQ295" s="49"/>
      <c r="GR295" s="49"/>
      <c r="GS295" s="49"/>
      <c r="GT295" s="49"/>
      <c r="GU295" s="49"/>
      <c r="GV295" s="49"/>
      <c r="GW295" s="49"/>
      <c r="GX295" s="49"/>
      <c r="GY295" s="49"/>
      <c r="GZ295" s="49"/>
      <c r="HA295" s="49"/>
      <c r="HB295" s="49"/>
      <c r="HC295" s="49"/>
      <c r="HD295" s="49"/>
      <c r="HE295" s="49"/>
      <c r="HF295" s="49"/>
      <c r="HG295" s="49"/>
      <c r="HH295" s="49"/>
      <c r="HI295" s="49"/>
      <c r="HJ295" s="49"/>
      <c r="HK295" s="49"/>
      <c r="HL295" s="49"/>
      <c r="HM295" s="49"/>
    </row>
    <row r="296" spans="1:221" ht="3.75" hidden="1" customHeight="1">
      <c r="A296" s="1"/>
      <c r="B296" s="3"/>
      <c r="C296" s="3"/>
      <c r="D296" s="43"/>
      <c r="E296" s="43"/>
      <c r="F296" s="43"/>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79"/>
      <c r="BB296" s="79"/>
      <c r="BC296" s="79"/>
      <c r="BD296" s="79"/>
      <c r="BE296" s="79"/>
      <c r="BF296" s="79"/>
      <c r="BG296" s="79"/>
      <c r="BH296" s="79"/>
      <c r="BI296" s="79"/>
      <c r="BJ296" s="79"/>
      <c r="BK296" s="79"/>
      <c r="BL296" s="79"/>
      <c r="BM296" s="79"/>
      <c r="BN296" s="79"/>
      <c r="BO296" s="79"/>
      <c r="BP296" s="79"/>
      <c r="BQ296" s="79"/>
      <c r="BR296" s="79"/>
      <c r="BS296" s="79"/>
      <c r="BT296" s="79"/>
      <c r="BU296" s="79"/>
      <c r="BV296" s="79"/>
      <c r="BW296" s="79"/>
      <c r="BX296" s="79"/>
      <c r="BY296" s="79"/>
      <c r="BZ296" s="79"/>
      <c r="CA296" s="79"/>
      <c r="CB296" s="79"/>
      <c r="CC296" s="79"/>
      <c r="CD296" s="79"/>
      <c r="CE296" s="79"/>
      <c r="CF296" s="79"/>
      <c r="CG296" s="79"/>
      <c r="CH296" s="79"/>
      <c r="CI296" s="79"/>
      <c r="CJ296" s="79"/>
      <c r="CK296" s="79"/>
      <c r="CL296" s="79"/>
      <c r="CM296" s="79"/>
      <c r="CN296" s="79"/>
      <c r="CO296" s="79"/>
      <c r="CP296" s="79"/>
      <c r="CQ296" s="79"/>
      <c r="CR296" s="79"/>
      <c r="CS296" s="79"/>
      <c r="CT296" s="79"/>
      <c r="CU296" s="79"/>
      <c r="CV296" s="79"/>
      <c r="CW296" s="79"/>
      <c r="CX296" s="79"/>
      <c r="CY296" s="79"/>
      <c r="CZ296" s="79"/>
      <c r="DA296" s="79"/>
      <c r="DB296" s="79"/>
      <c r="DC296" s="79"/>
      <c r="DD296" s="79"/>
      <c r="DE296" s="79"/>
      <c r="DF296" s="79"/>
      <c r="DG296" s="79"/>
      <c r="DH296" s="79"/>
      <c r="DI296" s="79"/>
      <c r="DJ296" s="79"/>
      <c r="DK296" s="79"/>
      <c r="DL296" s="79"/>
      <c r="DM296" s="79"/>
      <c r="DN296" s="79"/>
      <c r="DO296" s="79"/>
      <c r="DP296" s="79"/>
      <c r="DQ296" s="79"/>
      <c r="DR296" s="79"/>
      <c r="DS296" s="79"/>
      <c r="DT296" s="79"/>
      <c r="DU296" s="79"/>
      <c r="DV296" s="79"/>
      <c r="DW296" s="79"/>
      <c r="DX296" s="79"/>
      <c r="DY296" s="79"/>
      <c r="DZ296" s="79"/>
      <c r="EA296" s="79"/>
      <c r="EB296" s="79"/>
      <c r="EC296" s="79"/>
      <c r="ED296" s="79"/>
      <c r="EE296" s="79"/>
      <c r="EF296" s="79"/>
      <c r="EG296" s="79"/>
      <c r="EH296" s="79"/>
      <c r="EI296" s="79"/>
      <c r="EJ296" s="79"/>
      <c r="EK296" s="79"/>
      <c r="EL296" s="79"/>
      <c r="EM296" s="79"/>
      <c r="EN296" s="79"/>
      <c r="EO296" s="79"/>
      <c r="EP296" s="79"/>
      <c r="EQ296" s="79"/>
      <c r="ER296" s="79"/>
      <c r="ES296" s="79"/>
      <c r="ET296" s="79"/>
      <c r="EU296" s="79"/>
      <c r="EV296" s="79"/>
      <c r="EW296" s="79"/>
      <c r="EX296" s="79"/>
      <c r="EY296" s="79"/>
      <c r="EZ296" s="79"/>
      <c r="FA296" s="79"/>
      <c r="FB296" s="79"/>
      <c r="FC296" s="79"/>
      <c r="FD296" s="79"/>
      <c r="FE296" s="79"/>
      <c r="FF296" s="79"/>
      <c r="FG296" s="79"/>
      <c r="FH296" s="79"/>
      <c r="FI296" s="79"/>
      <c r="FJ296" s="79"/>
      <c r="FK296" s="79"/>
      <c r="FL296" s="79"/>
      <c r="FM296" s="47"/>
      <c r="FN296" s="47"/>
      <c r="FO296" s="47"/>
      <c r="FP296" s="47"/>
      <c r="FQ296" s="47"/>
      <c r="FR296" s="47"/>
      <c r="FS296" s="47"/>
      <c r="FT296" s="47"/>
      <c r="FU296" s="47"/>
      <c r="FV296" s="48"/>
      <c r="FW296" s="48"/>
      <c r="FX296" s="48"/>
      <c r="FY296" s="48"/>
      <c r="FZ296" s="48"/>
      <c r="GA296" s="49"/>
      <c r="GB296" s="49"/>
      <c r="GC296" s="49"/>
      <c r="GD296" s="49"/>
      <c r="GE296" s="49"/>
      <c r="GF296" s="49"/>
      <c r="GG296" s="49"/>
      <c r="GH296" s="49"/>
      <c r="GI296" s="49"/>
      <c r="GJ296" s="49"/>
      <c r="GK296" s="49"/>
      <c r="GL296" s="49"/>
      <c r="GM296" s="49"/>
      <c r="GN296" s="49"/>
      <c r="GO296" s="49"/>
      <c r="GP296" s="49"/>
      <c r="GQ296" s="49"/>
      <c r="GR296" s="49"/>
      <c r="GS296" s="49"/>
      <c r="GT296" s="49"/>
      <c r="GU296" s="49"/>
      <c r="GV296" s="49"/>
      <c r="GW296" s="49"/>
      <c r="GX296" s="49"/>
      <c r="GY296" s="49"/>
      <c r="GZ296" s="49"/>
      <c r="HA296" s="49"/>
      <c r="HB296" s="49"/>
      <c r="HC296" s="49"/>
      <c r="HD296" s="49"/>
      <c r="HE296" s="49"/>
      <c r="HF296" s="49"/>
      <c r="HG296" s="49"/>
      <c r="HH296" s="49"/>
      <c r="HI296" s="49"/>
      <c r="HJ296" s="49"/>
      <c r="HK296" s="49"/>
      <c r="HL296" s="49"/>
      <c r="HM296" s="49"/>
    </row>
    <row r="297" spans="1:221" ht="3.75" hidden="1" customHeight="1">
      <c r="A297" s="1"/>
      <c r="B297" s="3"/>
      <c r="C297" s="3"/>
      <c r="D297" s="43"/>
      <c r="E297" s="43"/>
      <c r="F297" s="43"/>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79"/>
      <c r="BQ297" s="79"/>
      <c r="BR297" s="79"/>
      <c r="BS297" s="79"/>
      <c r="BT297" s="79"/>
      <c r="BU297" s="79"/>
      <c r="BV297" s="79"/>
      <c r="BW297" s="79"/>
      <c r="BX297" s="79"/>
      <c r="BY297" s="79"/>
      <c r="BZ297" s="79"/>
      <c r="CA297" s="79"/>
      <c r="CB297" s="79"/>
      <c r="CC297" s="79"/>
      <c r="CD297" s="79"/>
      <c r="CE297" s="79"/>
      <c r="CF297" s="79"/>
      <c r="CG297" s="79"/>
      <c r="CH297" s="79"/>
      <c r="CI297" s="79"/>
      <c r="CJ297" s="79"/>
      <c r="CK297" s="79"/>
      <c r="CL297" s="79"/>
      <c r="CM297" s="79"/>
      <c r="CN297" s="79"/>
      <c r="CO297" s="79"/>
      <c r="CP297" s="79"/>
      <c r="CQ297" s="79"/>
      <c r="CR297" s="79"/>
      <c r="CS297" s="79"/>
      <c r="CT297" s="79"/>
      <c r="CU297" s="79"/>
      <c r="CV297" s="79"/>
      <c r="CW297" s="79"/>
      <c r="CX297" s="79"/>
      <c r="CY297" s="79"/>
      <c r="CZ297" s="79"/>
      <c r="DA297" s="79"/>
      <c r="DB297" s="79"/>
      <c r="DC297" s="79"/>
      <c r="DD297" s="79"/>
      <c r="DE297" s="79"/>
      <c r="DF297" s="79"/>
      <c r="DG297" s="79"/>
      <c r="DH297" s="79"/>
      <c r="DI297" s="79"/>
      <c r="DJ297" s="79"/>
      <c r="DK297" s="79"/>
      <c r="DL297" s="79"/>
      <c r="DM297" s="79"/>
      <c r="DN297" s="79"/>
      <c r="DO297" s="79"/>
      <c r="DP297" s="79"/>
      <c r="DQ297" s="79"/>
      <c r="DR297" s="79"/>
      <c r="DS297" s="79"/>
      <c r="DT297" s="79"/>
      <c r="DU297" s="79"/>
      <c r="DV297" s="79"/>
      <c r="DW297" s="79"/>
      <c r="DX297" s="79"/>
      <c r="DY297" s="79"/>
      <c r="DZ297" s="79"/>
      <c r="EA297" s="79"/>
      <c r="EB297" s="79"/>
      <c r="EC297" s="79"/>
      <c r="ED297" s="79"/>
      <c r="EE297" s="79"/>
      <c r="EF297" s="79"/>
      <c r="EG297" s="79"/>
      <c r="EH297" s="79"/>
      <c r="EI297" s="79"/>
      <c r="EJ297" s="79"/>
      <c r="EK297" s="79"/>
      <c r="EL297" s="79"/>
      <c r="EM297" s="79"/>
      <c r="EN297" s="79"/>
      <c r="EO297" s="79"/>
      <c r="EP297" s="79"/>
      <c r="EQ297" s="79"/>
      <c r="ER297" s="79"/>
      <c r="ES297" s="79"/>
      <c r="ET297" s="79"/>
      <c r="EU297" s="79"/>
      <c r="EV297" s="79"/>
      <c r="EW297" s="79"/>
      <c r="EX297" s="79"/>
      <c r="EY297" s="79"/>
      <c r="EZ297" s="79"/>
      <c r="FA297" s="79"/>
      <c r="FB297" s="79"/>
      <c r="FC297" s="79"/>
      <c r="FD297" s="79"/>
      <c r="FE297" s="79"/>
      <c r="FF297" s="79"/>
      <c r="FG297" s="79"/>
      <c r="FH297" s="79"/>
      <c r="FI297" s="79"/>
      <c r="FJ297" s="79"/>
      <c r="FK297" s="79"/>
      <c r="FL297" s="79"/>
      <c r="FM297" s="47"/>
      <c r="FN297" s="47"/>
      <c r="FO297" s="47"/>
      <c r="FP297" s="47"/>
      <c r="FQ297" s="47"/>
      <c r="FR297" s="47"/>
      <c r="FS297" s="47"/>
      <c r="FT297" s="47"/>
      <c r="FU297" s="47"/>
      <c r="FV297" s="48"/>
      <c r="FW297" s="48"/>
      <c r="FX297" s="48"/>
      <c r="FY297" s="48"/>
      <c r="FZ297" s="48"/>
      <c r="GA297" s="49"/>
      <c r="GB297" s="49"/>
      <c r="GC297" s="49"/>
      <c r="GD297" s="49"/>
      <c r="GE297" s="49"/>
      <c r="GF297" s="49"/>
      <c r="GG297" s="49"/>
      <c r="GH297" s="49"/>
      <c r="GI297" s="49"/>
      <c r="GJ297" s="49"/>
      <c r="GK297" s="49"/>
      <c r="GL297" s="49"/>
      <c r="GM297" s="49"/>
      <c r="GN297" s="49"/>
      <c r="GO297" s="49"/>
      <c r="GP297" s="49"/>
      <c r="GQ297" s="49"/>
      <c r="GR297" s="49"/>
      <c r="GS297" s="49"/>
      <c r="GT297" s="49"/>
      <c r="GU297" s="49"/>
      <c r="GV297" s="49"/>
      <c r="GW297" s="49"/>
      <c r="GX297" s="49"/>
      <c r="GY297" s="49"/>
      <c r="GZ297" s="49"/>
      <c r="HA297" s="49"/>
      <c r="HB297" s="49"/>
      <c r="HC297" s="49"/>
      <c r="HD297" s="49"/>
      <c r="HE297" s="49"/>
      <c r="HF297" s="49"/>
      <c r="HG297" s="49"/>
      <c r="HH297" s="49"/>
      <c r="HI297" s="49"/>
      <c r="HJ297" s="49"/>
      <c r="HK297" s="49"/>
      <c r="HL297" s="49"/>
      <c r="HM297" s="49"/>
    </row>
    <row r="298" spans="1:221" ht="3.75" hidden="1" customHeight="1">
      <c r="A298" s="1"/>
      <c r="B298" s="3"/>
      <c r="C298" s="3"/>
      <c r="D298" s="43"/>
      <c r="E298" s="43"/>
      <c r="F298" s="43"/>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9"/>
      <c r="BI298" s="79"/>
      <c r="BJ298" s="79"/>
      <c r="BK298" s="79"/>
      <c r="BL298" s="79"/>
      <c r="BM298" s="79"/>
      <c r="BN298" s="79"/>
      <c r="BO298" s="79"/>
      <c r="BP298" s="79"/>
      <c r="BQ298" s="79"/>
      <c r="BR298" s="79"/>
      <c r="BS298" s="79"/>
      <c r="BT298" s="79"/>
      <c r="BU298" s="79"/>
      <c r="BV298" s="79"/>
      <c r="BW298" s="79"/>
      <c r="BX298" s="79"/>
      <c r="BY298" s="79"/>
      <c r="BZ298" s="79"/>
      <c r="CA298" s="79"/>
      <c r="CB298" s="79"/>
      <c r="CC298" s="79"/>
      <c r="CD298" s="79"/>
      <c r="CE298" s="79"/>
      <c r="CF298" s="79"/>
      <c r="CG298" s="79"/>
      <c r="CH298" s="79"/>
      <c r="CI298" s="79"/>
      <c r="CJ298" s="79"/>
      <c r="CK298" s="79"/>
      <c r="CL298" s="79"/>
      <c r="CM298" s="79"/>
      <c r="CN298" s="79"/>
      <c r="CO298" s="79"/>
      <c r="CP298" s="79"/>
      <c r="CQ298" s="79"/>
      <c r="CR298" s="79"/>
      <c r="CS298" s="79"/>
      <c r="CT298" s="79"/>
      <c r="CU298" s="79"/>
      <c r="CV298" s="79"/>
      <c r="CW298" s="79"/>
      <c r="CX298" s="79"/>
      <c r="CY298" s="79"/>
      <c r="CZ298" s="79"/>
      <c r="DA298" s="79"/>
      <c r="DB298" s="79"/>
      <c r="DC298" s="79"/>
      <c r="DD298" s="79"/>
      <c r="DE298" s="79"/>
      <c r="DF298" s="79"/>
      <c r="DG298" s="79"/>
      <c r="DH298" s="79"/>
      <c r="DI298" s="79"/>
      <c r="DJ298" s="79"/>
      <c r="DK298" s="79"/>
      <c r="DL298" s="79"/>
      <c r="DM298" s="79"/>
      <c r="DN298" s="79"/>
      <c r="DO298" s="79"/>
      <c r="DP298" s="79"/>
      <c r="DQ298" s="79"/>
      <c r="DR298" s="79"/>
      <c r="DS298" s="79"/>
      <c r="DT298" s="79"/>
      <c r="DU298" s="79"/>
      <c r="DV298" s="79"/>
      <c r="DW298" s="79"/>
      <c r="DX298" s="79"/>
      <c r="DY298" s="79"/>
      <c r="DZ298" s="79"/>
      <c r="EA298" s="79"/>
      <c r="EB298" s="79"/>
      <c r="EC298" s="79"/>
      <c r="ED298" s="79"/>
      <c r="EE298" s="79"/>
      <c r="EF298" s="79"/>
      <c r="EG298" s="79"/>
      <c r="EH298" s="79"/>
      <c r="EI298" s="79"/>
      <c r="EJ298" s="79"/>
      <c r="EK298" s="79"/>
      <c r="EL298" s="79"/>
      <c r="EM298" s="79"/>
      <c r="EN298" s="79"/>
      <c r="EO298" s="79"/>
      <c r="EP298" s="79"/>
      <c r="EQ298" s="79"/>
      <c r="ER298" s="79"/>
      <c r="ES298" s="79"/>
      <c r="ET298" s="79"/>
      <c r="EU298" s="79"/>
      <c r="EV298" s="79"/>
      <c r="EW298" s="79"/>
      <c r="EX298" s="79"/>
      <c r="EY298" s="79"/>
      <c r="EZ298" s="79"/>
      <c r="FA298" s="79"/>
      <c r="FB298" s="79"/>
      <c r="FC298" s="79"/>
      <c r="FD298" s="79"/>
      <c r="FE298" s="79"/>
      <c r="FF298" s="79"/>
      <c r="FG298" s="79"/>
      <c r="FH298" s="79"/>
      <c r="FI298" s="79"/>
      <c r="FJ298" s="79"/>
      <c r="FK298" s="79"/>
      <c r="FL298" s="79"/>
      <c r="FM298" s="47"/>
      <c r="FN298" s="47"/>
      <c r="FO298" s="47"/>
      <c r="FP298" s="47"/>
      <c r="FQ298" s="47"/>
      <c r="FR298" s="47"/>
      <c r="FS298" s="47"/>
      <c r="FT298" s="47"/>
      <c r="FU298" s="47"/>
      <c r="FV298" s="48"/>
      <c r="FW298" s="48"/>
      <c r="FX298" s="48"/>
      <c r="FY298" s="48"/>
      <c r="FZ298" s="48"/>
      <c r="GA298" s="49"/>
      <c r="GB298" s="49"/>
      <c r="GC298" s="49"/>
      <c r="GD298" s="49"/>
      <c r="GE298" s="49"/>
      <c r="GF298" s="49"/>
      <c r="GG298" s="49"/>
      <c r="GH298" s="49"/>
      <c r="GI298" s="49"/>
      <c r="GJ298" s="49"/>
      <c r="GK298" s="49"/>
      <c r="GL298" s="49"/>
      <c r="GM298" s="49"/>
      <c r="GN298" s="49"/>
      <c r="GO298" s="49"/>
      <c r="GP298" s="49"/>
      <c r="GQ298" s="49"/>
      <c r="GR298" s="49"/>
      <c r="GS298" s="49"/>
      <c r="GT298" s="49"/>
      <c r="GU298" s="49"/>
      <c r="GV298" s="49"/>
      <c r="GW298" s="49"/>
      <c r="GX298" s="49"/>
      <c r="GY298" s="49"/>
      <c r="GZ298" s="49"/>
      <c r="HA298" s="49"/>
      <c r="HB298" s="49"/>
      <c r="HC298" s="49"/>
      <c r="HD298" s="49"/>
      <c r="HE298" s="49"/>
      <c r="HF298" s="49"/>
      <c r="HG298" s="49"/>
      <c r="HH298" s="49"/>
      <c r="HI298" s="49"/>
      <c r="HJ298" s="49"/>
      <c r="HK298" s="49"/>
      <c r="HL298" s="49"/>
      <c r="HM298" s="49"/>
    </row>
    <row r="299" spans="1:221" ht="3.75" hidden="1" customHeight="1">
      <c r="A299" s="1"/>
      <c r="B299" s="3"/>
      <c r="C299" s="3"/>
      <c r="D299" s="43"/>
      <c r="E299" s="43"/>
      <c r="F299" s="43"/>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79"/>
      <c r="BA299" s="79"/>
      <c r="BB299" s="79"/>
      <c r="BC299" s="79"/>
      <c r="BD299" s="79"/>
      <c r="BE299" s="79"/>
      <c r="BF299" s="79"/>
      <c r="BG299" s="79"/>
      <c r="BH299" s="79"/>
      <c r="BI299" s="79"/>
      <c r="BJ299" s="79"/>
      <c r="BK299" s="79"/>
      <c r="BL299" s="79"/>
      <c r="BM299" s="79"/>
      <c r="BN299" s="79"/>
      <c r="BO299" s="79"/>
      <c r="BP299" s="79"/>
      <c r="BQ299" s="79"/>
      <c r="BR299" s="79"/>
      <c r="BS299" s="79"/>
      <c r="BT299" s="79"/>
      <c r="BU299" s="79"/>
      <c r="BV299" s="79"/>
      <c r="BW299" s="79"/>
      <c r="BX299" s="79"/>
      <c r="BY299" s="79"/>
      <c r="BZ299" s="79"/>
      <c r="CA299" s="79"/>
      <c r="CB299" s="79"/>
      <c r="CC299" s="79"/>
      <c r="CD299" s="79"/>
      <c r="CE299" s="79"/>
      <c r="CF299" s="79"/>
      <c r="CG299" s="79"/>
      <c r="CH299" s="79"/>
      <c r="CI299" s="79"/>
      <c r="CJ299" s="79"/>
      <c r="CK299" s="79"/>
      <c r="CL299" s="79"/>
      <c r="CM299" s="79"/>
      <c r="CN299" s="79"/>
      <c r="CO299" s="79"/>
      <c r="CP299" s="79"/>
      <c r="CQ299" s="79"/>
      <c r="CR299" s="79"/>
      <c r="CS299" s="79"/>
      <c r="CT299" s="79"/>
      <c r="CU299" s="79"/>
      <c r="CV299" s="79"/>
      <c r="CW299" s="79"/>
      <c r="CX299" s="79"/>
      <c r="CY299" s="79"/>
      <c r="CZ299" s="79"/>
      <c r="DA299" s="79"/>
      <c r="DB299" s="79"/>
      <c r="DC299" s="79"/>
      <c r="DD299" s="79"/>
      <c r="DE299" s="79"/>
      <c r="DF299" s="79"/>
      <c r="DG299" s="79"/>
      <c r="DH299" s="79"/>
      <c r="DI299" s="79"/>
      <c r="DJ299" s="79"/>
      <c r="DK299" s="79"/>
      <c r="DL299" s="79"/>
      <c r="DM299" s="79"/>
      <c r="DN299" s="79"/>
      <c r="DO299" s="79"/>
      <c r="DP299" s="79"/>
      <c r="DQ299" s="79"/>
      <c r="DR299" s="79"/>
      <c r="DS299" s="79"/>
      <c r="DT299" s="79"/>
      <c r="DU299" s="79"/>
      <c r="DV299" s="79"/>
      <c r="DW299" s="79"/>
      <c r="DX299" s="79"/>
      <c r="DY299" s="79"/>
      <c r="DZ299" s="79"/>
      <c r="EA299" s="79"/>
      <c r="EB299" s="79"/>
      <c r="EC299" s="79"/>
      <c r="ED299" s="79"/>
      <c r="EE299" s="79"/>
      <c r="EF299" s="79"/>
      <c r="EG299" s="79"/>
      <c r="EH299" s="79"/>
      <c r="EI299" s="79"/>
      <c r="EJ299" s="79"/>
      <c r="EK299" s="79"/>
      <c r="EL299" s="79"/>
      <c r="EM299" s="79"/>
      <c r="EN299" s="79"/>
      <c r="EO299" s="79"/>
      <c r="EP299" s="79"/>
      <c r="EQ299" s="79"/>
      <c r="ER299" s="79"/>
      <c r="ES299" s="79"/>
      <c r="ET299" s="79"/>
      <c r="EU299" s="79"/>
      <c r="EV299" s="79"/>
      <c r="EW299" s="79"/>
      <c r="EX299" s="79"/>
      <c r="EY299" s="79"/>
      <c r="EZ299" s="79"/>
      <c r="FA299" s="79"/>
      <c r="FB299" s="79"/>
      <c r="FC299" s="79"/>
      <c r="FD299" s="79"/>
      <c r="FE299" s="79"/>
      <c r="FF299" s="79"/>
      <c r="FG299" s="79"/>
      <c r="FH299" s="79"/>
      <c r="FI299" s="79"/>
      <c r="FJ299" s="79"/>
      <c r="FK299" s="79"/>
      <c r="FL299" s="79"/>
      <c r="FM299" s="47"/>
      <c r="FN299" s="47"/>
      <c r="FO299" s="47"/>
      <c r="FP299" s="47"/>
      <c r="FQ299" s="47"/>
      <c r="FR299" s="47"/>
      <c r="FS299" s="47"/>
      <c r="FT299" s="47"/>
      <c r="FU299" s="47"/>
      <c r="FV299" s="48"/>
      <c r="FW299" s="48"/>
      <c r="FX299" s="48"/>
      <c r="FY299" s="48"/>
      <c r="FZ299" s="48"/>
      <c r="GA299" s="49"/>
      <c r="GB299" s="49"/>
      <c r="GC299" s="49"/>
      <c r="GD299" s="49"/>
      <c r="GE299" s="49"/>
      <c r="GF299" s="49"/>
      <c r="GG299" s="49"/>
      <c r="GH299" s="49"/>
      <c r="GI299" s="49"/>
      <c r="GJ299" s="49"/>
      <c r="GK299" s="49"/>
      <c r="GL299" s="49"/>
      <c r="GM299" s="49"/>
      <c r="GN299" s="49"/>
      <c r="GO299" s="49"/>
      <c r="GP299" s="49"/>
      <c r="GQ299" s="49"/>
      <c r="GR299" s="49"/>
      <c r="GS299" s="49"/>
      <c r="GT299" s="49"/>
      <c r="GU299" s="49"/>
      <c r="GV299" s="49"/>
      <c r="GW299" s="49"/>
      <c r="GX299" s="49"/>
      <c r="GY299" s="49"/>
      <c r="GZ299" s="49"/>
      <c r="HA299" s="49"/>
      <c r="HB299" s="49"/>
      <c r="HC299" s="49"/>
      <c r="HD299" s="49"/>
      <c r="HE299" s="49"/>
      <c r="HF299" s="49"/>
      <c r="HG299" s="49"/>
      <c r="HH299" s="49"/>
      <c r="HI299" s="49"/>
      <c r="HJ299" s="49"/>
      <c r="HK299" s="49"/>
      <c r="HL299" s="49"/>
      <c r="HM299" s="49"/>
    </row>
    <row r="300" spans="1:221" ht="3.75" hidden="1" customHeight="1">
      <c r="A300" s="1"/>
      <c r="B300" s="3"/>
      <c r="C300" s="3"/>
      <c r="D300" s="43"/>
      <c r="E300" s="43"/>
      <c r="F300" s="43"/>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79"/>
      <c r="BA300" s="79"/>
      <c r="BB300" s="79"/>
      <c r="BC300" s="79"/>
      <c r="BD300" s="79"/>
      <c r="BE300" s="79"/>
      <c r="BF300" s="79"/>
      <c r="BG300" s="79"/>
      <c r="BH300" s="79"/>
      <c r="BI300" s="79"/>
      <c r="BJ300" s="79"/>
      <c r="BK300" s="79"/>
      <c r="BL300" s="79"/>
      <c r="BM300" s="79"/>
      <c r="BN300" s="79"/>
      <c r="BO300" s="79"/>
      <c r="BP300" s="79"/>
      <c r="BQ300" s="79"/>
      <c r="BR300" s="79"/>
      <c r="BS300" s="79"/>
      <c r="BT300" s="79"/>
      <c r="BU300" s="79"/>
      <c r="BV300" s="79"/>
      <c r="BW300" s="79"/>
      <c r="BX300" s="79"/>
      <c r="BY300" s="79"/>
      <c r="BZ300" s="79"/>
      <c r="CA300" s="79"/>
      <c r="CB300" s="79"/>
      <c r="CC300" s="79"/>
      <c r="CD300" s="79"/>
      <c r="CE300" s="79"/>
      <c r="CF300" s="79"/>
      <c r="CG300" s="79"/>
      <c r="CH300" s="79"/>
      <c r="CI300" s="79"/>
      <c r="CJ300" s="79"/>
      <c r="CK300" s="79"/>
      <c r="CL300" s="79"/>
      <c r="CM300" s="79"/>
      <c r="CN300" s="79"/>
      <c r="CO300" s="79"/>
      <c r="CP300" s="79"/>
      <c r="CQ300" s="79"/>
      <c r="CR300" s="79"/>
      <c r="CS300" s="79"/>
      <c r="CT300" s="79"/>
      <c r="CU300" s="79"/>
      <c r="CV300" s="79"/>
      <c r="CW300" s="79"/>
      <c r="CX300" s="79"/>
      <c r="CY300" s="79"/>
      <c r="CZ300" s="79"/>
      <c r="DA300" s="79"/>
      <c r="DB300" s="79"/>
      <c r="DC300" s="79"/>
      <c r="DD300" s="79"/>
      <c r="DE300" s="79"/>
      <c r="DF300" s="79"/>
      <c r="DG300" s="79"/>
      <c r="DH300" s="79"/>
      <c r="DI300" s="79"/>
      <c r="DJ300" s="79"/>
      <c r="DK300" s="79"/>
      <c r="DL300" s="79"/>
      <c r="DM300" s="79"/>
      <c r="DN300" s="79"/>
      <c r="DO300" s="79"/>
      <c r="DP300" s="79"/>
      <c r="DQ300" s="79"/>
      <c r="DR300" s="79"/>
      <c r="DS300" s="79"/>
      <c r="DT300" s="79"/>
      <c r="DU300" s="79"/>
      <c r="DV300" s="79"/>
      <c r="DW300" s="79"/>
      <c r="DX300" s="79"/>
      <c r="DY300" s="79"/>
      <c r="DZ300" s="79"/>
      <c r="EA300" s="79"/>
      <c r="EB300" s="79"/>
      <c r="EC300" s="79"/>
      <c r="ED300" s="79"/>
      <c r="EE300" s="79"/>
      <c r="EF300" s="79"/>
      <c r="EG300" s="79"/>
      <c r="EH300" s="79"/>
      <c r="EI300" s="79"/>
      <c r="EJ300" s="79"/>
      <c r="EK300" s="79"/>
      <c r="EL300" s="79"/>
      <c r="EM300" s="79"/>
      <c r="EN300" s="79"/>
      <c r="EO300" s="79"/>
      <c r="EP300" s="79"/>
      <c r="EQ300" s="79"/>
      <c r="ER300" s="79"/>
      <c r="ES300" s="79"/>
      <c r="ET300" s="79"/>
      <c r="EU300" s="79"/>
      <c r="EV300" s="79"/>
      <c r="EW300" s="79"/>
      <c r="EX300" s="79"/>
      <c r="EY300" s="79"/>
      <c r="EZ300" s="79"/>
      <c r="FA300" s="79"/>
      <c r="FB300" s="79"/>
      <c r="FC300" s="79"/>
      <c r="FD300" s="79"/>
      <c r="FE300" s="79"/>
      <c r="FF300" s="79"/>
      <c r="FG300" s="79"/>
      <c r="FH300" s="79"/>
      <c r="FI300" s="79"/>
      <c r="FJ300" s="79"/>
      <c r="FK300" s="79"/>
      <c r="FL300" s="79"/>
      <c r="FM300" s="47"/>
      <c r="FN300" s="47"/>
      <c r="FO300" s="47"/>
      <c r="FP300" s="47"/>
      <c r="FQ300" s="47"/>
      <c r="FR300" s="47"/>
      <c r="FS300" s="47"/>
      <c r="FT300" s="47"/>
      <c r="FU300" s="47"/>
      <c r="FV300" s="48"/>
      <c r="FW300" s="48"/>
      <c r="FX300" s="48"/>
      <c r="FY300" s="48"/>
      <c r="FZ300" s="48"/>
      <c r="GA300" s="49"/>
      <c r="GB300" s="49"/>
      <c r="GC300" s="49"/>
      <c r="GD300" s="49"/>
      <c r="GE300" s="49"/>
      <c r="GF300" s="49"/>
      <c r="GG300" s="49"/>
      <c r="GH300" s="49"/>
      <c r="GI300" s="49"/>
      <c r="GJ300" s="49"/>
      <c r="GK300" s="49"/>
      <c r="GL300" s="49"/>
      <c r="GM300" s="49"/>
      <c r="GN300" s="49"/>
      <c r="GO300" s="49"/>
      <c r="GP300" s="49"/>
      <c r="GQ300" s="49"/>
      <c r="GR300" s="49"/>
      <c r="GS300" s="49"/>
      <c r="GT300" s="49"/>
      <c r="GU300" s="49"/>
      <c r="GV300" s="49"/>
      <c r="GW300" s="49"/>
      <c r="GX300" s="49"/>
      <c r="GY300" s="49"/>
      <c r="GZ300" s="49"/>
      <c r="HA300" s="49"/>
      <c r="HB300" s="49"/>
      <c r="HC300" s="49"/>
      <c r="HD300" s="49"/>
      <c r="HE300" s="49"/>
      <c r="HF300" s="49"/>
      <c r="HG300" s="49"/>
      <c r="HH300" s="49"/>
      <c r="HI300" s="49"/>
      <c r="HJ300" s="49"/>
      <c r="HK300" s="49"/>
      <c r="HL300" s="49"/>
      <c r="HM300" s="49"/>
    </row>
    <row r="301" spans="1:221" ht="3.75" hidden="1" customHeight="1">
      <c r="A301" s="1"/>
      <c r="B301" s="3"/>
      <c r="C301" s="3"/>
      <c r="D301" s="43"/>
      <c r="E301" s="43"/>
      <c r="F301" s="43"/>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79"/>
      <c r="BA301" s="79"/>
      <c r="BB301" s="79"/>
      <c r="BC301" s="79"/>
      <c r="BD301" s="79"/>
      <c r="BE301" s="79"/>
      <c r="BF301" s="79"/>
      <c r="BG301" s="79"/>
      <c r="BH301" s="79"/>
      <c r="BI301" s="79"/>
      <c r="BJ301" s="79"/>
      <c r="BK301" s="79"/>
      <c r="BL301" s="79"/>
      <c r="BM301" s="79"/>
      <c r="BN301" s="79"/>
      <c r="BO301" s="79"/>
      <c r="BP301" s="79"/>
      <c r="BQ301" s="79"/>
      <c r="BR301" s="79"/>
      <c r="BS301" s="79"/>
      <c r="BT301" s="79"/>
      <c r="BU301" s="79"/>
      <c r="BV301" s="79"/>
      <c r="BW301" s="79"/>
      <c r="BX301" s="79"/>
      <c r="BY301" s="79"/>
      <c r="BZ301" s="79"/>
      <c r="CA301" s="79"/>
      <c r="CB301" s="79"/>
      <c r="CC301" s="79"/>
      <c r="CD301" s="79"/>
      <c r="CE301" s="79"/>
      <c r="CF301" s="79"/>
      <c r="CG301" s="79"/>
      <c r="CH301" s="79"/>
      <c r="CI301" s="79"/>
      <c r="CJ301" s="79"/>
      <c r="CK301" s="79"/>
      <c r="CL301" s="79"/>
      <c r="CM301" s="79"/>
      <c r="CN301" s="79"/>
      <c r="CO301" s="79"/>
      <c r="CP301" s="79"/>
      <c r="CQ301" s="79"/>
      <c r="CR301" s="79"/>
      <c r="CS301" s="79"/>
      <c r="CT301" s="79"/>
      <c r="CU301" s="79"/>
      <c r="CV301" s="79"/>
      <c r="CW301" s="79"/>
      <c r="CX301" s="79"/>
      <c r="CY301" s="79"/>
      <c r="CZ301" s="79"/>
      <c r="DA301" s="79"/>
      <c r="DB301" s="79"/>
      <c r="DC301" s="79"/>
      <c r="DD301" s="79"/>
      <c r="DE301" s="79"/>
      <c r="DF301" s="79"/>
      <c r="DG301" s="79"/>
      <c r="DH301" s="79"/>
      <c r="DI301" s="79"/>
      <c r="DJ301" s="79"/>
      <c r="DK301" s="79"/>
      <c r="DL301" s="79"/>
      <c r="DM301" s="79"/>
      <c r="DN301" s="79"/>
      <c r="DO301" s="79"/>
      <c r="DP301" s="79"/>
      <c r="DQ301" s="79"/>
      <c r="DR301" s="79"/>
      <c r="DS301" s="79"/>
      <c r="DT301" s="79"/>
      <c r="DU301" s="79"/>
      <c r="DV301" s="79"/>
      <c r="DW301" s="79"/>
      <c r="DX301" s="79"/>
      <c r="DY301" s="79"/>
      <c r="DZ301" s="79"/>
      <c r="EA301" s="79"/>
      <c r="EB301" s="79"/>
      <c r="EC301" s="79"/>
      <c r="ED301" s="79"/>
      <c r="EE301" s="79"/>
      <c r="EF301" s="79"/>
      <c r="EG301" s="79"/>
      <c r="EH301" s="79"/>
      <c r="EI301" s="79"/>
      <c r="EJ301" s="79"/>
      <c r="EK301" s="79"/>
      <c r="EL301" s="79"/>
      <c r="EM301" s="79"/>
      <c r="EN301" s="79"/>
      <c r="EO301" s="79"/>
      <c r="EP301" s="79"/>
      <c r="EQ301" s="79"/>
      <c r="ER301" s="79"/>
      <c r="ES301" s="79"/>
      <c r="ET301" s="79"/>
      <c r="EU301" s="79"/>
      <c r="EV301" s="79"/>
      <c r="EW301" s="79"/>
      <c r="EX301" s="79"/>
      <c r="EY301" s="79"/>
      <c r="EZ301" s="79"/>
      <c r="FA301" s="79"/>
      <c r="FB301" s="79"/>
      <c r="FC301" s="79"/>
      <c r="FD301" s="79"/>
      <c r="FE301" s="79"/>
      <c r="FF301" s="79"/>
      <c r="FG301" s="79"/>
      <c r="FH301" s="79"/>
      <c r="FI301" s="79"/>
      <c r="FJ301" s="79"/>
      <c r="FK301" s="79"/>
      <c r="FL301" s="79"/>
      <c r="FM301" s="47"/>
      <c r="FN301" s="47"/>
      <c r="FO301" s="47"/>
      <c r="FP301" s="47"/>
      <c r="FQ301" s="47"/>
      <c r="FR301" s="47"/>
      <c r="FS301" s="47"/>
      <c r="FT301" s="47"/>
      <c r="FU301" s="47"/>
      <c r="FV301" s="48"/>
      <c r="FW301" s="48"/>
      <c r="FX301" s="48"/>
      <c r="FY301" s="48"/>
      <c r="FZ301" s="48"/>
      <c r="GA301" s="49"/>
      <c r="GB301" s="49"/>
      <c r="GC301" s="49"/>
      <c r="GD301" s="49"/>
      <c r="GE301" s="49"/>
      <c r="GF301" s="49"/>
      <c r="GG301" s="49"/>
      <c r="GH301" s="49"/>
      <c r="GI301" s="49"/>
      <c r="GJ301" s="49"/>
      <c r="GK301" s="49"/>
      <c r="GL301" s="49"/>
      <c r="GM301" s="49"/>
      <c r="GN301" s="49"/>
      <c r="GO301" s="49"/>
      <c r="GP301" s="49"/>
      <c r="GQ301" s="49"/>
      <c r="GR301" s="49"/>
      <c r="GS301" s="49"/>
      <c r="GT301" s="49"/>
      <c r="GU301" s="49"/>
      <c r="GV301" s="49"/>
      <c r="GW301" s="49"/>
      <c r="GX301" s="49"/>
      <c r="GY301" s="49"/>
      <c r="GZ301" s="49"/>
      <c r="HA301" s="49"/>
      <c r="HB301" s="49"/>
      <c r="HC301" s="49"/>
      <c r="HD301" s="49"/>
      <c r="HE301" s="49"/>
      <c r="HF301" s="49"/>
      <c r="HG301" s="49"/>
      <c r="HH301" s="49"/>
      <c r="HI301" s="49"/>
      <c r="HJ301" s="49"/>
      <c r="HK301" s="49"/>
      <c r="HL301" s="49"/>
      <c r="HM301" s="49"/>
    </row>
    <row r="302" spans="1:221" ht="5.25" hidden="1" customHeight="1">
      <c r="A302" s="1"/>
      <c r="B302" s="3"/>
      <c r="C302" s="3"/>
      <c r="D302" s="43"/>
      <c r="E302" s="43"/>
      <c r="F302" s="43"/>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79"/>
      <c r="BA302" s="79"/>
      <c r="BB302" s="79"/>
      <c r="BC302" s="79"/>
      <c r="BD302" s="79"/>
      <c r="BE302" s="79"/>
      <c r="BF302" s="79"/>
      <c r="BG302" s="79"/>
      <c r="BH302" s="79"/>
      <c r="BI302" s="79"/>
      <c r="BJ302" s="79"/>
      <c r="BK302" s="79"/>
      <c r="BL302" s="79"/>
      <c r="BM302" s="79"/>
      <c r="BN302" s="79"/>
      <c r="BO302" s="79"/>
      <c r="BP302" s="79"/>
      <c r="BQ302" s="79"/>
      <c r="BR302" s="79"/>
      <c r="BS302" s="79"/>
      <c r="BT302" s="79"/>
      <c r="BU302" s="79"/>
      <c r="BV302" s="79"/>
      <c r="BW302" s="79"/>
      <c r="BX302" s="79"/>
      <c r="BY302" s="79"/>
      <c r="BZ302" s="79"/>
      <c r="CA302" s="79"/>
      <c r="CB302" s="79"/>
      <c r="CC302" s="79"/>
      <c r="CD302" s="79"/>
      <c r="CE302" s="79"/>
      <c r="CF302" s="79"/>
      <c r="CG302" s="79"/>
      <c r="CH302" s="79"/>
      <c r="CI302" s="79"/>
      <c r="CJ302" s="79"/>
      <c r="CK302" s="79"/>
      <c r="CL302" s="79"/>
      <c r="CM302" s="79"/>
      <c r="CN302" s="79"/>
      <c r="CO302" s="79"/>
      <c r="CP302" s="79"/>
      <c r="CQ302" s="79"/>
      <c r="CR302" s="79"/>
      <c r="CS302" s="79"/>
      <c r="CT302" s="79"/>
      <c r="CU302" s="79"/>
      <c r="CV302" s="79"/>
      <c r="CW302" s="79"/>
      <c r="CX302" s="79"/>
      <c r="CY302" s="79"/>
      <c r="CZ302" s="79"/>
      <c r="DA302" s="79"/>
      <c r="DB302" s="79"/>
      <c r="DC302" s="79"/>
      <c r="DD302" s="79"/>
      <c r="DE302" s="79"/>
      <c r="DF302" s="79"/>
      <c r="DG302" s="79"/>
      <c r="DH302" s="79"/>
      <c r="DI302" s="79"/>
      <c r="DJ302" s="79"/>
      <c r="DK302" s="79"/>
      <c r="DL302" s="79"/>
      <c r="DM302" s="79"/>
      <c r="DN302" s="79"/>
      <c r="DO302" s="79"/>
      <c r="DP302" s="79"/>
      <c r="DQ302" s="79"/>
      <c r="DR302" s="79"/>
      <c r="DS302" s="79"/>
      <c r="DT302" s="79"/>
      <c r="DU302" s="79"/>
      <c r="DV302" s="79"/>
      <c r="DW302" s="79"/>
      <c r="DX302" s="79"/>
      <c r="DY302" s="79"/>
      <c r="DZ302" s="79"/>
      <c r="EA302" s="79"/>
      <c r="EB302" s="79"/>
      <c r="EC302" s="79"/>
      <c r="ED302" s="79"/>
      <c r="EE302" s="79"/>
      <c r="EF302" s="79"/>
      <c r="EG302" s="79"/>
      <c r="EH302" s="79"/>
      <c r="EI302" s="79"/>
      <c r="EJ302" s="79"/>
      <c r="EK302" s="79"/>
      <c r="EL302" s="79"/>
      <c r="EM302" s="79"/>
      <c r="EN302" s="79"/>
      <c r="EO302" s="79"/>
      <c r="EP302" s="79"/>
      <c r="EQ302" s="79"/>
      <c r="ER302" s="79"/>
      <c r="ES302" s="79"/>
      <c r="ET302" s="79"/>
      <c r="EU302" s="79"/>
      <c r="EV302" s="79"/>
      <c r="EW302" s="79"/>
      <c r="EX302" s="79"/>
      <c r="EY302" s="79"/>
      <c r="EZ302" s="79"/>
      <c r="FA302" s="79"/>
      <c r="FB302" s="79"/>
      <c r="FC302" s="79"/>
      <c r="FD302" s="79"/>
      <c r="FE302" s="79"/>
      <c r="FF302" s="79"/>
      <c r="FG302" s="79"/>
      <c r="FH302" s="79"/>
      <c r="FI302" s="79"/>
      <c r="FJ302" s="79"/>
      <c r="FK302" s="79"/>
      <c r="FL302" s="79"/>
      <c r="FM302" s="47"/>
      <c r="FN302" s="47">
        <v>1</v>
      </c>
      <c r="FO302" s="47"/>
      <c r="FP302" s="47"/>
      <c r="FQ302" s="47"/>
      <c r="FR302" s="47"/>
      <c r="FS302" s="47"/>
      <c r="FT302" s="47"/>
      <c r="FU302" s="47"/>
      <c r="FV302" s="48"/>
      <c r="FW302" s="48"/>
      <c r="FX302" s="48"/>
      <c r="FY302" s="48"/>
      <c r="FZ302" s="48"/>
      <c r="GA302" s="49"/>
      <c r="GB302" s="49"/>
      <c r="GC302" s="49"/>
      <c r="GD302" s="49"/>
      <c r="GE302" s="49"/>
      <c r="GF302" s="49"/>
      <c r="GG302" s="49"/>
      <c r="GH302" s="49"/>
      <c r="GI302" s="49"/>
      <c r="GJ302" s="49"/>
      <c r="GK302" s="49"/>
      <c r="GL302" s="49"/>
      <c r="GM302" s="49"/>
      <c r="GN302" s="49"/>
      <c r="GO302" s="49"/>
      <c r="GP302" s="49"/>
      <c r="GQ302" s="49"/>
      <c r="GR302" s="49"/>
      <c r="GS302" s="49"/>
      <c r="GT302" s="49"/>
      <c r="GU302" s="49"/>
      <c r="GV302" s="49"/>
      <c r="GW302" s="49"/>
      <c r="GX302" s="49"/>
      <c r="GY302" s="49"/>
      <c r="GZ302" s="49"/>
      <c r="HA302" s="49"/>
      <c r="HB302" s="49"/>
      <c r="HC302" s="49"/>
      <c r="HD302" s="49"/>
      <c r="HE302" s="49"/>
      <c r="HF302" s="49"/>
      <c r="HG302" s="49"/>
      <c r="HH302" s="49"/>
      <c r="HI302" s="49"/>
      <c r="HJ302" s="49"/>
      <c r="HK302" s="49"/>
      <c r="HL302" s="49"/>
      <c r="HM302" s="49"/>
    </row>
    <row r="303" spans="1:221" ht="16.95" customHeight="1">
      <c r="A303" s="1"/>
      <c r="B303" s="3"/>
      <c r="C303" s="3"/>
      <c r="D303" s="38" t="str">
        <f ca="1">IF(FN242=0,"","Onthoud goed dat de MO- en MK-curve alleen maar hulplijnen zijn en dat")</f>
        <v/>
      </c>
      <c r="E303" s="126"/>
      <c r="F303" s="126"/>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25"/>
      <c r="FG303" s="26"/>
      <c r="FH303" s="79"/>
      <c r="FI303" s="79"/>
      <c r="FJ303" s="79"/>
      <c r="FK303" s="79"/>
      <c r="FL303" s="79"/>
      <c r="FM303" s="115"/>
      <c r="FN303" s="115"/>
      <c r="FO303" s="206"/>
      <c r="FP303" s="206"/>
      <c r="FQ303" s="206"/>
      <c r="FR303" s="206"/>
      <c r="FS303" s="206"/>
      <c r="FT303" s="206"/>
      <c r="FU303" s="206"/>
      <c r="FV303" s="93"/>
      <c r="FW303" s="93"/>
      <c r="FX303" s="93"/>
      <c r="FY303" s="206"/>
      <c r="FZ303" s="93"/>
      <c r="GA303" s="49"/>
      <c r="GB303" s="49"/>
      <c r="GC303" s="49"/>
      <c r="GD303" s="49"/>
      <c r="GE303" s="49"/>
      <c r="GF303" s="49"/>
      <c r="GG303" s="49"/>
      <c r="GH303" s="49"/>
      <c r="GI303" s="49"/>
      <c r="GJ303" s="49"/>
      <c r="GK303" s="49"/>
      <c r="GL303" s="49"/>
      <c r="GM303" s="49"/>
      <c r="GN303" s="49"/>
      <c r="GO303" s="49"/>
      <c r="GP303" s="49"/>
      <c r="GQ303" s="49"/>
      <c r="GR303" s="49"/>
      <c r="GS303" s="49"/>
      <c r="GT303" s="49"/>
      <c r="GU303" s="49"/>
      <c r="GV303" s="49"/>
      <c r="GW303" s="49"/>
      <c r="GX303" s="49"/>
      <c r="GY303" s="49"/>
      <c r="GZ303" s="49"/>
      <c r="HA303" s="49"/>
      <c r="HB303" s="49"/>
      <c r="HC303" s="49"/>
      <c r="HD303" s="49"/>
      <c r="HE303" s="49"/>
      <c r="HF303" s="49"/>
      <c r="HG303" s="49"/>
      <c r="HH303" s="49"/>
      <c r="HI303" s="49"/>
      <c r="HJ303" s="49"/>
      <c r="HK303" s="49"/>
      <c r="HL303" s="49"/>
      <c r="HM303" s="49"/>
    </row>
    <row r="304" spans="1:221" ht="16.95" customHeight="1">
      <c r="A304" s="1"/>
      <c r="B304" s="3"/>
      <c r="C304" s="3"/>
      <c r="D304" s="38" t="str">
        <f ca="1">IF(FN242=0,"","je om de totale omzet, kosten of winst aan te geven gebruik moet maken van")</f>
        <v/>
      </c>
      <c r="E304" s="126"/>
      <c r="F304" s="126"/>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25"/>
      <c r="FG304" s="26"/>
      <c r="FH304" s="79"/>
      <c r="FI304" s="79"/>
      <c r="FJ304" s="79"/>
      <c r="FK304" s="79"/>
      <c r="FL304" s="79"/>
      <c r="FM304" s="115"/>
      <c r="FN304" s="115"/>
      <c r="FO304" s="206"/>
      <c r="FP304" s="206"/>
      <c r="FQ304" s="206"/>
      <c r="FR304" s="206"/>
      <c r="FS304" s="206"/>
      <c r="FT304" s="206"/>
      <c r="FU304" s="206"/>
      <c r="FV304" s="93"/>
      <c r="FW304" s="93"/>
      <c r="FX304" s="93"/>
      <c r="FY304" s="206"/>
      <c r="FZ304" s="93"/>
      <c r="GA304" s="49"/>
      <c r="GB304" s="49"/>
      <c r="GC304" s="49"/>
      <c r="GD304" s="49"/>
      <c r="GE304" s="49"/>
      <c r="GF304" s="49"/>
      <c r="GG304" s="49"/>
      <c r="GH304" s="49"/>
      <c r="GI304" s="49"/>
      <c r="GJ304" s="49"/>
      <c r="GK304" s="49"/>
      <c r="GL304" s="49"/>
      <c r="GM304" s="49"/>
      <c r="GN304" s="49"/>
      <c r="GO304" s="49"/>
      <c r="GP304" s="49"/>
      <c r="GQ304" s="49"/>
      <c r="GR304" s="49"/>
      <c r="GS304" s="49"/>
      <c r="GT304" s="49"/>
      <c r="GU304" s="49"/>
      <c r="GV304" s="49"/>
      <c r="GW304" s="49"/>
      <c r="GX304" s="49"/>
      <c r="GY304" s="49"/>
      <c r="GZ304" s="49"/>
      <c r="HA304" s="49"/>
      <c r="HB304" s="49"/>
      <c r="HC304" s="49"/>
      <c r="HD304" s="49"/>
      <c r="HE304" s="49"/>
      <c r="HF304" s="49"/>
      <c r="HG304" s="49"/>
      <c r="HH304" s="49"/>
      <c r="HI304" s="49"/>
      <c r="HJ304" s="49"/>
      <c r="HK304" s="49"/>
      <c r="HL304" s="49"/>
      <c r="HM304" s="49"/>
    </row>
    <row r="305" spans="1:221" ht="16.95" customHeight="1">
      <c r="A305" s="1"/>
      <c r="B305" s="3"/>
      <c r="C305" s="3"/>
      <c r="D305" s="38" t="str">
        <f ca="1">IF(FN242=0,"","een rechthoek, die aan de rechterkant begrensd wordt door de betreffende")</f>
        <v/>
      </c>
      <c r="E305" s="126"/>
      <c r="F305" s="126"/>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25"/>
      <c r="FG305" s="26"/>
      <c r="FH305" s="79"/>
      <c r="FI305" s="79"/>
      <c r="FJ305" s="79"/>
      <c r="FK305" s="79"/>
      <c r="FL305" s="79"/>
      <c r="FM305" s="115"/>
      <c r="FN305" s="115">
        <f ca="1">IF(FN242=0,0,1)</f>
        <v>0</v>
      </c>
      <c r="FO305" s="128" t="s">
        <v>1</v>
      </c>
      <c r="FP305" s="128" t="str">
        <f>"q^3"</f>
        <v>q^3</v>
      </c>
      <c r="FQ305" s="128" t="str">
        <f>"q^2"</f>
        <v>q^2</v>
      </c>
      <c r="FR305" s="128" t="str">
        <f>"q^1"</f>
        <v>q^1</v>
      </c>
      <c r="FS305" s="96" t="s">
        <v>23</v>
      </c>
      <c r="FT305" s="96" t="s">
        <v>24</v>
      </c>
      <c r="FU305" s="96" t="s">
        <v>25</v>
      </c>
      <c r="FV305" s="97" t="s">
        <v>27</v>
      </c>
      <c r="FW305" s="96"/>
      <c r="FX305" s="96"/>
      <c r="FY305" s="206"/>
      <c r="FZ305" s="93"/>
      <c r="GA305" s="49"/>
      <c r="GB305" s="49"/>
      <c r="GC305" s="49"/>
      <c r="GD305" s="49"/>
      <c r="GE305" s="49"/>
      <c r="GF305" s="49"/>
      <c r="GG305" s="49"/>
      <c r="GH305" s="49"/>
      <c r="GI305" s="49"/>
      <c r="GJ305" s="49"/>
      <c r="GK305" s="49"/>
      <c r="GL305" s="49"/>
      <c r="GM305" s="49"/>
      <c r="GN305" s="49"/>
      <c r="GO305" s="49"/>
      <c r="GP305" s="49"/>
      <c r="GQ305" s="49"/>
      <c r="GR305" s="49"/>
      <c r="GS305" s="49"/>
      <c r="GT305" s="49"/>
      <c r="GU305" s="49"/>
      <c r="GV305" s="49"/>
      <c r="GW305" s="49"/>
      <c r="GX305" s="49"/>
      <c r="GY305" s="49"/>
      <c r="GZ305" s="49"/>
      <c r="HA305" s="49"/>
      <c r="HB305" s="49"/>
      <c r="HC305" s="49"/>
      <c r="HD305" s="49"/>
      <c r="HE305" s="49"/>
      <c r="HF305" s="49"/>
      <c r="HG305" s="49"/>
      <c r="HH305" s="49"/>
      <c r="HI305" s="49"/>
      <c r="HJ305" s="49"/>
      <c r="HK305" s="49"/>
      <c r="HL305" s="49"/>
      <c r="HM305" s="49"/>
    </row>
    <row r="306" spans="1:221" ht="16.95" customHeight="1">
      <c r="A306" s="1"/>
      <c r="B306" s="3"/>
      <c r="C306" s="3"/>
      <c r="D306" s="373" t="str">
        <f ca="1">IF(FN242=0,"","GO- of GTK-lijn.")</f>
        <v/>
      </c>
      <c r="E306" s="376"/>
      <c r="F306" s="376"/>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25"/>
      <c r="FG306" s="26"/>
      <c r="FH306" s="79"/>
      <c r="FI306" s="79"/>
      <c r="FJ306" s="79"/>
      <c r="FK306" s="79"/>
      <c r="FL306" s="79"/>
      <c r="FM306" s="115"/>
      <c r="FN306" s="115"/>
      <c r="FO306" s="128"/>
      <c r="FP306" s="128"/>
      <c r="FQ306" s="128"/>
      <c r="FR306" s="128"/>
      <c r="FS306" s="96"/>
      <c r="FT306" s="96"/>
      <c r="FU306" s="96"/>
      <c r="FV306" s="97"/>
      <c r="FW306" s="96"/>
      <c r="FX306" s="96"/>
      <c r="FY306" s="371"/>
      <c r="FZ306" s="93"/>
      <c r="GA306" s="49"/>
      <c r="GB306" s="49"/>
      <c r="GC306" s="49"/>
      <c r="GD306" s="49"/>
      <c r="GE306" s="49"/>
      <c r="GF306" s="49"/>
      <c r="GG306" s="49"/>
      <c r="GH306" s="49"/>
      <c r="GI306" s="49"/>
      <c r="GJ306" s="49"/>
      <c r="GK306" s="49"/>
      <c r="GL306" s="49"/>
      <c r="GM306" s="49"/>
      <c r="GN306" s="49"/>
      <c r="GO306" s="49"/>
      <c r="GP306" s="49"/>
      <c r="GQ306" s="49"/>
      <c r="GR306" s="49"/>
      <c r="GS306" s="49"/>
      <c r="GT306" s="49"/>
      <c r="GU306" s="49"/>
      <c r="GV306" s="49"/>
      <c r="GW306" s="49"/>
      <c r="GX306" s="49"/>
      <c r="GY306" s="49"/>
      <c r="GZ306" s="49"/>
      <c r="HA306" s="49"/>
      <c r="HB306" s="49"/>
      <c r="HC306" s="49"/>
      <c r="HD306" s="49"/>
      <c r="HE306" s="49"/>
      <c r="HF306" s="49"/>
      <c r="HG306" s="49"/>
      <c r="HH306" s="49"/>
      <c r="HI306" s="49"/>
      <c r="HJ306" s="49"/>
      <c r="HK306" s="49"/>
      <c r="HL306" s="49"/>
      <c r="HM306" s="49"/>
    </row>
    <row r="307" spans="1:221" ht="16.95" customHeight="1">
      <c r="A307" s="1"/>
      <c r="B307" s="3"/>
      <c r="C307" s="3"/>
      <c r="D307" s="38"/>
      <c r="E307" s="126"/>
      <c r="F307" s="126"/>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25"/>
      <c r="FG307" s="26"/>
      <c r="FH307" s="79"/>
      <c r="FI307" s="79"/>
      <c r="FJ307" s="79"/>
      <c r="FK307" s="79"/>
      <c r="FL307" s="79"/>
      <c r="FM307" s="468"/>
      <c r="FN307" s="206">
        <f ca="1">IF(FN305=0,0,IF(FN317=FV305,1,0))</f>
        <v>0</v>
      </c>
      <c r="FO307" s="128">
        <v>2400</v>
      </c>
      <c r="FP307" s="128">
        <v>0.5</v>
      </c>
      <c r="FQ307" s="128">
        <v>23</v>
      </c>
      <c r="FR307" s="128">
        <v>400</v>
      </c>
      <c r="FS307" s="206"/>
      <c r="FT307" s="206"/>
      <c r="FU307" s="206"/>
      <c r="FV307" s="93"/>
      <c r="FW307" s="93"/>
      <c r="FX307" s="93"/>
      <c r="FY307" s="206"/>
      <c r="FZ307" s="93"/>
      <c r="GA307" s="49"/>
      <c r="GB307" s="49"/>
      <c r="GC307" s="49"/>
      <c r="GD307" s="49"/>
      <c r="GE307" s="49"/>
      <c r="GF307" s="49"/>
      <c r="GG307" s="49"/>
      <c r="GH307" s="49"/>
      <c r="GI307" s="49"/>
      <c r="GJ307" s="49"/>
      <c r="GK307" s="49"/>
      <c r="GL307" s="49"/>
      <c r="GM307" s="49"/>
      <c r="GN307" s="49"/>
      <c r="GO307" s="49"/>
      <c r="GP307" s="49"/>
      <c r="GQ307" s="49"/>
      <c r="GR307" s="49"/>
      <c r="GS307" s="49"/>
      <c r="GT307" s="49"/>
      <c r="GU307" s="49"/>
      <c r="GV307" s="49"/>
      <c r="GW307" s="49"/>
      <c r="GX307" s="49"/>
      <c r="GY307" s="49"/>
      <c r="GZ307" s="49"/>
      <c r="HA307" s="49"/>
      <c r="HB307" s="49"/>
      <c r="HC307" s="49"/>
      <c r="HD307" s="49"/>
      <c r="HE307" s="49"/>
      <c r="HF307" s="49"/>
      <c r="HG307" s="49"/>
      <c r="HH307" s="49"/>
      <c r="HI307" s="49"/>
      <c r="HJ307" s="49"/>
      <c r="HK307" s="49"/>
      <c r="HL307" s="49"/>
      <c r="HM307" s="49"/>
    </row>
    <row r="308" spans="1:221" ht="16.95" customHeight="1">
      <c r="A308" s="1"/>
      <c r="B308" s="3"/>
      <c r="C308" s="3"/>
      <c r="D308" s="12" t="str">
        <f ca="1">IF(FN305=0,"","Hieronder zie je weer een grafiek met een GO- en een MO-lijn. Als je in het")</f>
        <v/>
      </c>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25"/>
      <c r="FG308" s="26"/>
      <c r="FH308" s="79"/>
      <c r="FI308" s="79"/>
      <c r="FJ308" s="79"/>
      <c r="FK308" s="79"/>
      <c r="FL308" s="79"/>
      <c r="FM308" s="468"/>
      <c r="FN308" s="206">
        <f ca="1">IF(FN305=0,0,IF(FN317=FU305,1,0))</f>
        <v>0</v>
      </c>
      <c r="FO308" s="128">
        <v>2400</v>
      </c>
      <c r="FP308" s="128"/>
      <c r="FQ308" s="128">
        <v>2</v>
      </c>
      <c r="FR308" s="128">
        <v>90</v>
      </c>
      <c r="FS308" s="206" t="str">
        <f ca="1">IF(AND(FN309=1,FO317=21),"De winst is bij deze hoeveelheid maximaal want MO = MK.",IF(AND(FO317&gt;0,FO317=25),"De omzet is bij deze hoeveelheid maximaal want MO = 0.",IF(AND(FN310=1,FO317=21),"De winst is bij deze hoeveelheid maximaal want MO = MK.",IF(AND(FN308=1,FO317=17),"De winst is bij deze hoeveelheid maximaal want MO = MK.",IF(AND(FN307=1,FO317=21),"De winst is bij deze hoeveelheid maximaal want MO = MK.","")))))</f>
        <v/>
      </c>
      <c r="FT308" s="206"/>
      <c r="FU308" s="206"/>
      <c r="FV308" s="93"/>
      <c r="FW308" s="93"/>
      <c r="FX308" s="93"/>
      <c r="FY308" s="206"/>
      <c r="FZ308" s="93"/>
      <c r="GA308" s="49"/>
      <c r="GB308" s="49"/>
      <c r="GC308" s="49"/>
      <c r="GD308" s="49"/>
      <c r="GE308" s="49"/>
      <c r="GF308" s="49"/>
      <c r="GG308" s="49"/>
      <c r="GH308" s="49"/>
      <c r="GI308" s="49"/>
      <c r="GJ308" s="49"/>
      <c r="GK308" s="49"/>
      <c r="GL308" s="49"/>
      <c r="GM308" s="49"/>
      <c r="GN308" s="49"/>
      <c r="GO308" s="49"/>
      <c r="GP308" s="49"/>
      <c r="GQ308" s="49"/>
      <c r="GR308" s="49"/>
      <c r="GS308" s="49"/>
      <c r="GT308" s="49"/>
      <c r="GU308" s="49"/>
      <c r="GV308" s="49"/>
      <c r="GW308" s="49"/>
      <c r="GX308" s="49"/>
      <c r="GY308" s="49"/>
      <c r="GZ308" s="49"/>
      <c r="HA308" s="49"/>
      <c r="HB308" s="49"/>
      <c r="HC308" s="49"/>
      <c r="HD308" s="49"/>
      <c r="HE308" s="49"/>
      <c r="HF308" s="49"/>
      <c r="HG308" s="49"/>
      <c r="HH308" s="49"/>
      <c r="HI308" s="49"/>
      <c r="HJ308" s="49"/>
      <c r="HK308" s="49"/>
      <c r="HL308" s="49"/>
      <c r="HM308" s="49"/>
    </row>
    <row r="309" spans="1:221" ht="16.95" customHeight="1">
      <c r="A309" s="1"/>
      <c r="B309" s="3"/>
      <c r="C309" s="3"/>
      <c r="D309" s="12" t="str">
        <f ca="1">IF(FN305=0,"","blauwomrande vak kiest voor ''kosten erbij'', zie je ook een GTK- en een")</f>
        <v/>
      </c>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25"/>
      <c r="FG309" s="26"/>
      <c r="FH309" s="79"/>
      <c r="FI309" s="79"/>
      <c r="FJ309" s="79"/>
      <c r="FK309" s="79"/>
      <c r="FL309" s="79"/>
      <c r="FM309" s="468"/>
      <c r="FN309" s="206">
        <f ca="1">IF(FN305=0,0,IF(FN317=FT305,1,0))</f>
        <v>0</v>
      </c>
      <c r="FO309" s="128">
        <v>2400</v>
      </c>
      <c r="FP309" s="128"/>
      <c r="FQ309" s="128">
        <v>0.8</v>
      </c>
      <c r="FR309" s="128">
        <v>120</v>
      </c>
      <c r="FS309" s="206"/>
      <c r="FT309" s="206"/>
      <c r="FU309" s="206"/>
      <c r="FV309" s="93"/>
      <c r="FW309" s="93"/>
      <c r="FX309" s="93"/>
      <c r="FY309" s="206"/>
      <c r="FZ309" s="93"/>
      <c r="GA309" s="49"/>
      <c r="GB309" s="49"/>
      <c r="GC309" s="49"/>
      <c r="GD309" s="49"/>
      <c r="GE309" s="49"/>
      <c r="GF309" s="49"/>
      <c r="GG309" s="49"/>
      <c r="GH309" s="49"/>
      <c r="GI309" s="49"/>
      <c r="GJ309" s="49"/>
      <c r="GK309" s="49"/>
      <c r="GL309" s="49"/>
      <c r="GM309" s="49"/>
      <c r="GN309" s="49"/>
      <c r="GO309" s="49"/>
      <c r="GP309" s="49"/>
      <c r="GQ309" s="49"/>
      <c r="GR309" s="49"/>
      <c r="GS309" s="49"/>
      <c r="GT309" s="49"/>
      <c r="GU309" s="49"/>
      <c r="GV309" s="49"/>
      <c r="GW309" s="49"/>
      <c r="GX309" s="49"/>
      <c r="GY309" s="49"/>
      <c r="GZ309" s="49"/>
      <c r="HA309" s="49"/>
      <c r="HB309" s="49"/>
      <c r="HC309" s="49"/>
      <c r="HD309" s="49"/>
      <c r="HE309" s="49"/>
      <c r="HF309" s="49"/>
      <c r="HG309" s="49"/>
      <c r="HH309" s="49"/>
      <c r="HI309" s="49"/>
      <c r="HJ309" s="49"/>
      <c r="HK309" s="49"/>
      <c r="HL309" s="49"/>
      <c r="HM309" s="49"/>
    </row>
    <row r="310" spans="1:221" ht="16.95" customHeight="1">
      <c r="A310" s="1"/>
      <c r="B310" s="3"/>
      <c r="C310" s="3"/>
      <c r="D310" s="12" t="str">
        <f ca="1">IF(FN305=0,"","MK-lijn verschijnen. Vervolgens moet je in het blauwomrande vak dat")</f>
        <v/>
      </c>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25"/>
      <c r="FG310" s="26"/>
      <c r="FH310" s="79"/>
      <c r="FI310" s="79"/>
      <c r="FJ310" s="79"/>
      <c r="FK310" s="79"/>
      <c r="FL310" s="79"/>
      <c r="FM310" s="468"/>
      <c r="FN310" s="206">
        <f ca="1">IF(FN305=0,0,IF(FN317=FS305,1,0))</f>
        <v>0</v>
      </c>
      <c r="FO310" s="128">
        <v>2400</v>
      </c>
      <c r="FP310" s="128"/>
      <c r="FQ310" s="128"/>
      <c r="FR310" s="128">
        <v>100</v>
      </c>
      <c r="FS310" s="206"/>
      <c r="FT310" s="206"/>
      <c r="FU310" s="206"/>
      <c r="FV310" s="93"/>
      <c r="FW310" s="93"/>
      <c r="FX310" s="93"/>
      <c r="FY310" s="206"/>
      <c r="FZ310" s="93"/>
      <c r="GA310" s="49"/>
      <c r="GB310" s="49"/>
      <c r="GC310" s="49"/>
      <c r="GD310" s="49"/>
      <c r="GE310" s="49"/>
      <c r="GF310" s="49"/>
      <c r="GG310" s="49"/>
      <c r="GH310" s="49"/>
      <c r="GI310" s="49"/>
      <c r="GJ310" s="49"/>
      <c r="GK310" s="49"/>
      <c r="GL310" s="49"/>
      <c r="GM310" s="49"/>
      <c r="GN310" s="49"/>
      <c r="GO310" s="49"/>
      <c r="GP310" s="49"/>
      <c r="GQ310" s="49"/>
      <c r="GR310" s="49"/>
      <c r="GS310" s="49"/>
      <c r="GT310" s="49"/>
      <c r="GU310" s="49"/>
      <c r="GV310" s="49"/>
      <c r="GW310" s="49"/>
      <c r="GX310" s="49"/>
      <c r="GY310" s="49"/>
      <c r="GZ310" s="49"/>
      <c r="HA310" s="49"/>
      <c r="HB310" s="49"/>
      <c r="HC310" s="49"/>
      <c r="HD310" s="49"/>
      <c r="HE310" s="49"/>
      <c r="HF310" s="49"/>
      <c r="HG310" s="49"/>
      <c r="HH310" s="49"/>
      <c r="HI310" s="49"/>
      <c r="HJ310" s="49"/>
      <c r="HK310" s="49"/>
      <c r="HL310" s="49"/>
      <c r="HM310" s="49"/>
    </row>
    <row r="311" spans="1:221" ht="16.95" customHeight="1">
      <c r="A311" s="1"/>
      <c r="B311" s="3"/>
      <c r="C311" s="3"/>
      <c r="D311" s="12" t="str">
        <f ca="1">IF(FN305=0,"","verschijnt een hoeveelheid tussen 5 en 50 invullen. Zodra je dat gedaan hebt,")</f>
        <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25"/>
      <c r="FG311" s="113"/>
      <c r="FH311" s="79"/>
      <c r="FI311" s="79"/>
      <c r="FJ311" s="79"/>
      <c r="FK311" s="79"/>
      <c r="FL311" s="79"/>
      <c r="FM311" s="468"/>
      <c r="FN311" s="206">
        <f ca="1">IF(FN242=0,0,1)</f>
        <v>0</v>
      </c>
      <c r="FO311" s="206" t="s">
        <v>5</v>
      </c>
      <c r="FP311" s="206"/>
      <c r="FQ311" s="206">
        <f>-10</f>
        <v>-10</v>
      </c>
      <c r="FR311" s="206">
        <v>510</v>
      </c>
      <c r="FS311" s="206">
        <f ca="1">ROUND(FQ311*FO317+FR311,-1)</f>
        <v>510</v>
      </c>
      <c r="FT311" s="206">
        <f ca="1">FS311/10</f>
        <v>51</v>
      </c>
      <c r="FU311" s="206"/>
      <c r="FV311" s="93"/>
      <c r="FW311" s="93"/>
      <c r="FX311" s="93"/>
      <c r="FY311" s="206"/>
      <c r="FZ311" s="93"/>
      <c r="GA311" s="49"/>
      <c r="GB311" s="49"/>
      <c r="GC311" s="49"/>
      <c r="GD311" s="49"/>
      <c r="GE311" s="49"/>
      <c r="GF311" s="49"/>
      <c r="GG311" s="49"/>
      <c r="GH311" s="49"/>
      <c r="GI311" s="49"/>
      <c r="GJ311" s="49"/>
      <c r="GK311" s="49"/>
      <c r="GL311" s="49"/>
      <c r="GM311" s="49"/>
      <c r="GN311" s="49"/>
      <c r="GO311" s="49"/>
      <c r="GP311" s="49"/>
      <c r="GQ311" s="49"/>
      <c r="GR311" s="49"/>
      <c r="GS311" s="49"/>
      <c r="GT311" s="49"/>
      <c r="GU311" s="49"/>
      <c r="GV311" s="49"/>
      <c r="GW311" s="49"/>
      <c r="GX311" s="49"/>
      <c r="GY311" s="49"/>
      <c r="GZ311" s="49"/>
      <c r="HA311" s="49"/>
      <c r="HB311" s="49"/>
      <c r="HC311" s="49"/>
      <c r="HD311" s="49"/>
      <c r="HE311" s="49"/>
      <c r="HF311" s="49"/>
      <c r="HG311" s="49"/>
      <c r="HH311" s="49"/>
      <c r="HI311" s="49"/>
      <c r="HJ311" s="49"/>
      <c r="HK311" s="49"/>
      <c r="HL311" s="49"/>
      <c r="HM311" s="49"/>
    </row>
    <row r="312" spans="1:221" ht="16.95" customHeight="1">
      <c r="A312" s="1"/>
      <c r="B312" s="3"/>
      <c r="C312" s="3"/>
      <c r="D312" s="12" t="str">
        <f ca="1">IF(FN305=0,"","wordt in de grafiek het resultaat bij die hoeveelheid aangegeven. In geel is")</f>
        <v/>
      </c>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25"/>
      <c r="FG312" s="113"/>
      <c r="FH312" s="79"/>
      <c r="FI312" s="79"/>
      <c r="FJ312" s="79"/>
      <c r="FK312" s="79"/>
      <c r="FL312" s="79"/>
      <c r="FM312" s="468"/>
      <c r="FN312" s="206">
        <f ca="1">IF(FN305=0,0,IF(FN317="",0,1))</f>
        <v>0</v>
      </c>
      <c r="FO312" s="93"/>
      <c r="FP312" s="93"/>
      <c r="FQ312" s="93"/>
      <c r="FR312" s="93"/>
      <c r="FS312" s="206" t="e">
        <f ca="1">ROUND(FO307/FO317,-1)</f>
        <v>#DIV/0!</v>
      </c>
      <c r="FT312" s="206" t="e">
        <f ca="1">FS312/10</f>
        <v>#DIV/0!</v>
      </c>
      <c r="FU312" s="93" t="e">
        <f ca="1">FLOOR(FT312,1)</f>
        <v>#DIV/0!</v>
      </c>
      <c r="FV312" s="93" t="e">
        <f ca="1">ROUND(100*(FT312-FU312),2)</f>
        <v>#DIV/0!</v>
      </c>
      <c r="FW312" s="93" t="e">
        <f ca="1">IF(FV312&lt;10,FT312,FU312&amp;","&amp;FV312&amp;"")</f>
        <v>#DIV/0!</v>
      </c>
      <c r="FX312" s="93"/>
      <c r="FY312" s="206"/>
      <c r="FZ312" s="93"/>
      <c r="GA312" s="49"/>
      <c r="GB312" s="49"/>
      <c r="GC312" s="49"/>
      <c r="GD312" s="49"/>
      <c r="GE312" s="49"/>
      <c r="GF312" s="49"/>
      <c r="GG312" s="49"/>
      <c r="GH312" s="49"/>
      <c r="GI312" s="49"/>
      <c r="GJ312" s="49"/>
      <c r="GK312" s="49"/>
      <c r="GL312" s="49"/>
      <c r="GM312" s="49"/>
      <c r="GN312" s="49"/>
      <c r="GO312" s="49"/>
      <c r="GP312" s="49"/>
      <c r="GQ312" s="49"/>
      <c r="GR312" s="49"/>
      <c r="GS312" s="49"/>
      <c r="GT312" s="49"/>
      <c r="GU312" s="49"/>
      <c r="GV312" s="49"/>
      <c r="GW312" s="49"/>
      <c r="GX312" s="49"/>
      <c r="GY312" s="49"/>
      <c r="GZ312" s="49"/>
      <c r="HA312" s="49"/>
      <c r="HB312" s="49"/>
      <c r="HC312" s="49"/>
      <c r="HD312" s="49"/>
      <c r="HE312" s="49"/>
      <c r="HF312" s="49"/>
      <c r="HG312" s="49"/>
      <c r="HH312" s="49"/>
      <c r="HI312" s="49"/>
      <c r="HJ312" s="49"/>
      <c r="HK312" s="49"/>
      <c r="HL312" s="49"/>
      <c r="HM312" s="49"/>
    </row>
    <row r="313" spans="1:221" ht="16.95" customHeight="1">
      <c r="A313" s="1"/>
      <c r="B313" s="3"/>
      <c r="C313" s="3"/>
      <c r="D313" s="12" t="str">
        <f ca="1">IF(FN305=0,"","steeds aangegeven welk gedeelte van de totale kosten bij die hoeveelheid")</f>
        <v/>
      </c>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25"/>
      <c r="FG313" s="113"/>
      <c r="FH313" s="79"/>
      <c r="FI313" s="79"/>
      <c r="FJ313" s="79"/>
      <c r="FK313" s="79"/>
      <c r="FL313" s="79"/>
      <c r="FM313" s="468"/>
      <c r="FN313" s="371"/>
      <c r="FO313" s="93"/>
      <c r="FP313" s="93"/>
      <c r="FQ313" s="93"/>
      <c r="FR313" s="93"/>
      <c r="FS313" s="371"/>
      <c r="FT313" s="371"/>
      <c r="FU313" s="93"/>
      <c r="FV313" s="93"/>
      <c r="FW313" s="93"/>
      <c r="FX313" s="93"/>
      <c r="FY313" s="371"/>
      <c r="FZ313" s="93"/>
      <c r="GA313" s="49"/>
      <c r="GB313" s="49"/>
      <c r="GC313" s="49"/>
      <c r="GD313" s="49"/>
      <c r="GE313" s="49"/>
      <c r="GF313" s="49"/>
      <c r="GG313" s="49"/>
      <c r="GH313" s="49"/>
      <c r="GI313" s="49"/>
      <c r="GJ313" s="49"/>
      <c r="GK313" s="49"/>
      <c r="GL313" s="49"/>
      <c r="GM313" s="49"/>
      <c r="GN313" s="49"/>
      <c r="GO313" s="49"/>
      <c r="GP313" s="49"/>
      <c r="GQ313" s="49"/>
      <c r="GR313" s="49"/>
      <c r="GS313" s="49"/>
      <c r="GT313" s="49"/>
      <c r="GU313" s="49"/>
      <c r="GV313" s="49"/>
      <c r="GW313" s="49"/>
      <c r="GX313" s="49"/>
      <c r="GY313" s="49"/>
      <c r="GZ313" s="49"/>
      <c r="HA313" s="49"/>
      <c r="HB313" s="49"/>
      <c r="HC313" s="49"/>
      <c r="HD313" s="49"/>
      <c r="HE313" s="49"/>
      <c r="HF313" s="49"/>
      <c r="HG313" s="49"/>
      <c r="HH313" s="49"/>
      <c r="HI313" s="49"/>
      <c r="HJ313" s="49"/>
      <c r="HK313" s="49"/>
      <c r="HL313" s="49"/>
      <c r="HM313" s="49"/>
    </row>
    <row r="314" spans="1:221" ht="16.95" customHeight="1">
      <c r="A314" s="1"/>
      <c r="B314" s="3"/>
      <c r="C314" s="3"/>
      <c r="D314" s="12" t="str">
        <f ca="1">IF(FN305=0,"","gedekt (= terugverdiend) is.")</f>
        <v/>
      </c>
      <c r="E314" s="10"/>
      <c r="F314" s="126"/>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c r="BY314" s="126"/>
      <c r="BZ314" s="126"/>
      <c r="CA314" s="126"/>
      <c r="CB314" s="126"/>
      <c r="CC314" s="126"/>
      <c r="CD314" s="126"/>
      <c r="CE314" s="126"/>
      <c r="CF314" s="126"/>
      <c r="CG314" s="126"/>
      <c r="CH314" s="126"/>
      <c r="CI314" s="126"/>
      <c r="CJ314" s="126"/>
      <c r="CK314" s="126"/>
      <c r="CL314" s="126"/>
      <c r="CM314" s="126"/>
      <c r="CN314" s="126"/>
      <c r="CO314" s="126"/>
      <c r="CP314" s="126"/>
      <c r="CQ314" s="126"/>
      <c r="CR314" s="126"/>
      <c r="CS314" s="126"/>
      <c r="CT314" s="126"/>
      <c r="CU314" s="126"/>
      <c r="CV314" s="126"/>
      <c r="CW314" s="126"/>
      <c r="CX314" s="126"/>
      <c r="CY314" s="126"/>
      <c r="CZ314" s="126"/>
      <c r="DA314" s="126"/>
      <c r="DB314" s="126"/>
      <c r="DC314" s="126"/>
      <c r="DD314" s="126"/>
      <c r="DE314" s="126"/>
      <c r="DF314" s="126"/>
      <c r="DG314" s="126"/>
      <c r="DH314" s="126"/>
      <c r="DI314" s="126"/>
      <c r="DJ314" s="126"/>
      <c r="DK314" s="126"/>
      <c r="DL314" s="126"/>
      <c r="DM314" s="126"/>
      <c r="DN314" s="126"/>
      <c r="DO314" s="126"/>
      <c r="DP314" s="126"/>
      <c r="DQ314" s="126"/>
      <c r="DR314" s="126"/>
      <c r="DS314" s="126"/>
      <c r="DT314" s="126"/>
      <c r="DU314" s="126"/>
      <c r="DV314" s="126"/>
      <c r="DW314" s="126"/>
      <c r="DX314" s="126"/>
      <c r="DY314" s="126"/>
      <c r="DZ314" s="126"/>
      <c r="EA314" s="126"/>
      <c r="EB314" s="126"/>
      <c r="EC314" s="126"/>
      <c r="ED314" s="126"/>
      <c r="EE314" s="126"/>
      <c r="EF314" s="126"/>
      <c r="EG314" s="126"/>
      <c r="EH314" s="126"/>
      <c r="EI314" s="126"/>
      <c r="EJ314" s="126"/>
      <c r="EK314" s="126"/>
      <c r="EL314" s="126"/>
      <c r="EM314" s="126"/>
      <c r="EN314" s="126"/>
      <c r="EO314" s="126"/>
      <c r="EP314" s="126"/>
      <c r="EQ314" s="126"/>
      <c r="ER314" s="126"/>
      <c r="ES314" s="126"/>
      <c r="ET314" s="126"/>
      <c r="EU314" s="126"/>
      <c r="EV314" s="126"/>
      <c r="EW314" s="126"/>
      <c r="EX314" s="126"/>
      <c r="EY314" s="126"/>
      <c r="EZ314" s="126"/>
      <c r="FA314" s="126"/>
      <c r="FB314" s="126"/>
      <c r="FC314" s="126"/>
      <c r="FD314" s="126"/>
      <c r="FE314" s="126"/>
      <c r="FF314" s="197"/>
      <c r="FG314" s="118"/>
      <c r="FH314" s="43"/>
      <c r="FI314" s="79"/>
      <c r="FJ314" s="79"/>
      <c r="FK314" s="79"/>
      <c r="FL314" s="79"/>
      <c r="FM314" s="468"/>
      <c r="FN314" s="206"/>
      <c r="FO314" s="128"/>
      <c r="FP314" s="128"/>
      <c r="FQ314" s="128"/>
      <c r="FR314" s="128"/>
      <c r="FS314" s="206"/>
      <c r="FT314" s="206"/>
      <c r="FU314" s="93"/>
      <c r="FV314" s="93"/>
      <c r="FW314" s="93"/>
      <c r="FX314" s="93"/>
      <c r="FY314" s="206"/>
      <c r="FZ314" s="93"/>
      <c r="GA314" s="49"/>
      <c r="GB314" s="49"/>
      <c r="GC314" s="49"/>
      <c r="GD314" s="49"/>
      <c r="GE314" s="49"/>
      <c r="GF314" s="49"/>
      <c r="GG314" s="49"/>
      <c r="GH314" s="49"/>
      <c r="GI314" s="49"/>
      <c r="GJ314" s="49"/>
      <c r="GK314" s="49"/>
      <c r="GL314" s="49"/>
      <c r="GM314" s="49"/>
      <c r="GN314" s="49"/>
      <c r="GO314" s="49"/>
      <c r="GP314" s="49"/>
      <c r="GQ314" s="49"/>
      <c r="GR314" s="49"/>
      <c r="GS314" s="49"/>
      <c r="GT314" s="49"/>
      <c r="GU314" s="49"/>
      <c r="GV314" s="49"/>
      <c r="GW314" s="49"/>
      <c r="GX314" s="49"/>
      <c r="GY314" s="49"/>
      <c r="GZ314" s="49"/>
      <c r="HA314" s="49"/>
      <c r="HB314" s="49"/>
      <c r="HC314" s="49"/>
      <c r="HD314" s="49"/>
      <c r="HE314" s="49"/>
      <c r="HF314" s="49"/>
      <c r="HG314" s="49"/>
      <c r="HH314" s="49"/>
      <c r="HI314" s="49"/>
      <c r="HJ314" s="49"/>
      <c r="HK314" s="49"/>
      <c r="HL314" s="49"/>
      <c r="HM314" s="49"/>
    </row>
    <row r="315" spans="1:221" ht="12" customHeight="1">
      <c r="A315" s="1"/>
      <c r="B315" s="3"/>
      <c r="C315" s="3"/>
      <c r="D315" s="38"/>
      <c r="E315" s="126"/>
      <c r="F315" s="126"/>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43"/>
      <c r="BS315" s="43"/>
      <c r="BT315" s="126"/>
      <c r="BU315" s="126"/>
      <c r="BV315" s="126"/>
      <c r="BW315" s="126"/>
      <c r="BX315" s="126"/>
      <c r="BY315" s="126"/>
      <c r="BZ315" s="126"/>
      <c r="CA315" s="126"/>
      <c r="CB315" s="126"/>
      <c r="CC315" s="126"/>
      <c r="CD315" s="126"/>
      <c r="CE315" s="126"/>
      <c r="CF315" s="126"/>
      <c r="CG315" s="126"/>
      <c r="CH315" s="126"/>
      <c r="CI315" s="126"/>
      <c r="CJ315" s="126"/>
      <c r="CK315" s="126"/>
      <c r="CL315" s="126"/>
      <c r="CM315" s="126"/>
      <c r="CN315" s="126"/>
      <c r="CO315" s="126"/>
      <c r="CP315" s="126"/>
      <c r="CQ315" s="126"/>
      <c r="CR315" s="126"/>
      <c r="CS315" s="126"/>
      <c r="CT315" s="126"/>
      <c r="CU315" s="126"/>
      <c r="CV315" s="126"/>
      <c r="CW315" s="43"/>
      <c r="CX315" s="43"/>
      <c r="CY315" s="43"/>
      <c r="CZ315" s="43"/>
      <c r="DA315" s="43"/>
      <c r="DB315" s="43"/>
      <c r="DC315" s="43"/>
      <c r="DD315" s="43"/>
      <c r="DE315" s="126"/>
      <c r="DF315" s="43"/>
      <c r="DG315" s="43"/>
      <c r="DH315" s="43"/>
      <c r="DI315" s="43"/>
      <c r="DJ315" s="43"/>
      <c r="DK315" s="43"/>
      <c r="DL315" s="43"/>
      <c r="DM315" s="43"/>
      <c r="DN315" s="43"/>
      <c r="DO315" s="43"/>
      <c r="DP315" s="43"/>
      <c r="DQ315" s="43"/>
      <c r="DR315" s="43"/>
      <c r="DS315" s="43"/>
      <c r="DT315" s="43"/>
      <c r="DU315" s="43"/>
      <c r="DV315" s="43"/>
      <c r="DW315" s="43"/>
      <c r="DX315" s="43"/>
      <c r="DY315" s="43"/>
      <c r="DZ315" s="43"/>
      <c r="EA315" s="43"/>
      <c r="EB315" s="43"/>
      <c r="EC315" s="43"/>
      <c r="ED315" s="43"/>
      <c r="EE315" s="43"/>
      <c r="EF315" s="43"/>
      <c r="EG315" s="43"/>
      <c r="EH315" s="43"/>
      <c r="EI315" s="126"/>
      <c r="EJ315" s="126"/>
      <c r="EK315" s="126"/>
      <c r="EL315" s="126"/>
      <c r="EM315" s="126"/>
      <c r="EN315" s="126"/>
      <c r="EO315" s="126"/>
      <c r="EP315" s="126"/>
      <c r="EQ315" s="126"/>
      <c r="ER315" s="126"/>
      <c r="ES315" s="126"/>
      <c r="ET315" s="126"/>
      <c r="EU315" s="126"/>
      <c r="EV315" s="126"/>
      <c r="EW315" s="126"/>
      <c r="EX315" s="126"/>
      <c r="EY315" s="126"/>
      <c r="EZ315" s="126"/>
      <c r="FA315" s="126"/>
      <c r="FB315" s="126"/>
      <c r="FC315" s="126"/>
      <c r="FD315" s="126"/>
      <c r="FE315" s="126"/>
      <c r="FF315" s="197"/>
      <c r="FG315" s="118"/>
      <c r="FH315" s="43"/>
      <c r="FI315" s="79"/>
      <c r="FJ315" s="79"/>
      <c r="FK315" s="79"/>
      <c r="FL315" s="79"/>
      <c r="FM315" s="468"/>
      <c r="FN315" s="206"/>
      <c r="FO315" s="93"/>
      <c r="FP315" s="93"/>
      <c r="FQ315" s="93"/>
      <c r="FR315" s="93"/>
      <c r="FS315" s="206">
        <f ca="1">IF($FO$388=1,ROUND($FP$307*FO317^2-$FQ$307*FO317+$FR$307,-1),IF($FO$388=2,ROUND($FQ$308*FO317+$FR$308,-1),IF($FO$388=3,ROUND(-$FQ$309*FO317+$FR$309,-1),IF($FO$388=4,ROUND($FR$310,-1),0))))</f>
        <v>0</v>
      </c>
      <c r="FT315" s="206">
        <f ca="1">FS315/10</f>
        <v>0</v>
      </c>
      <c r="FU315" s="93">
        <f ca="1">FLOOR(FT315,1)</f>
        <v>0</v>
      </c>
      <c r="FV315" s="93">
        <f ca="1">ROUND(100*(FT315-FU315),2)</f>
        <v>0</v>
      </c>
      <c r="FW315" s="93">
        <f ca="1">IF(FV315&lt;10,FT315,FU315&amp;","&amp;FV315&amp;"")</f>
        <v>0</v>
      </c>
      <c r="FX315" s="93"/>
      <c r="FY315" s="206"/>
      <c r="FZ315" s="93"/>
      <c r="GA315" s="49"/>
      <c r="GB315" s="49"/>
      <c r="GC315" s="49"/>
      <c r="GD315" s="49"/>
      <c r="GE315" s="49"/>
      <c r="GF315" s="49"/>
      <c r="GG315" s="49"/>
      <c r="GH315" s="49"/>
      <c r="GI315" s="49"/>
      <c r="GJ315" s="49"/>
      <c r="GK315" s="49"/>
      <c r="GL315" s="49"/>
      <c r="GM315" s="49"/>
      <c r="GN315" s="49"/>
      <c r="GO315" s="49"/>
      <c r="GP315" s="49"/>
      <c r="GQ315" s="49"/>
      <c r="GR315" s="49"/>
      <c r="GS315" s="49"/>
      <c r="GT315" s="49"/>
      <c r="GU315" s="49"/>
      <c r="GV315" s="49"/>
      <c r="GW315" s="49"/>
      <c r="GX315" s="49"/>
      <c r="GY315" s="49"/>
      <c r="GZ315" s="49"/>
      <c r="HA315" s="49"/>
      <c r="HB315" s="49"/>
      <c r="HC315" s="49"/>
      <c r="HD315" s="49"/>
      <c r="HE315" s="49"/>
      <c r="HF315" s="49"/>
      <c r="HG315" s="49"/>
      <c r="HH315" s="49"/>
      <c r="HI315" s="49"/>
      <c r="HJ315" s="49"/>
      <c r="HK315" s="49"/>
      <c r="HL315" s="49"/>
      <c r="HM315" s="49"/>
    </row>
    <row r="316" spans="1:221" ht="4.5" customHeight="1">
      <c r="A316" s="1"/>
      <c r="B316" s="3"/>
      <c r="C316" s="3"/>
      <c r="D316" s="38"/>
      <c r="E316" s="43"/>
      <c r="F316" s="43"/>
      <c r="G316" s="43"/>
      <c r="H316" s="43"/>
      <c r="I316" s="43"/>
      <c r="J316" s="43"/>
      <c r="K316" s="43"/>
      <c r="L316" s="43"/>
      <c r="M316" s="43"/>
      <c r="N316" s="43"/>
      <c r="O316" s="43"/>
      <c r="P316" s="43"/>
      <c r="Q316" s="43"/>
      <c r="R316" s="43"/>
      <c r="S316" s="43"/>
      <c r="T316" s="43"/>
      <c r="U316" s="43"/>
      <c r="V316" s="43"/>
      <c r="W316" s="43"/>
      <c r="X316" s="43"/>
      <c r="Y316" s="538" t="str">
        <f ca="1">IF(FN305=0,"",":")</f>
        <v/>
      </c>
      <c r="Z316" s="522"/>
      <c r="AA316" s="522"/>
      <c r="AB316" s="522"/>
      <c r="AC316" s="522"/>
      <c r="AD316" s="522"/>
      <c r="AE316" s="522"/>
      <c r="AF316" s="522"/>
      <c r="AG316" s="522"/>
      <c r="AH316" s="522"/>
      <c r="AI316" s="522"/>
      <c r="AJ316" s="522"/>
      <c r="AK316" s="522"/>
      <c r="AL316" s="522"/>
      <c r="AM316" s="522"/>
      <c r="AN316" s="522"/>
      <c r="AO316" s="522"/>
      <c r="AP316" s="522"/>
      <c r="AQ316" s="522"/>
      <c r="AR316" s="522"/>
      <c r="AS316" s="522"/>
      <c r="AT316" s="522"/>
      <c r="AU316" s="522"/>
      <c r="AV316" s="522"/>
      <c r="AW316" s="522"/>
      <c r="AX316" s="522"/>
      <c r="AY316" s="522"/>
      <c r="AZ316" s="522"/>
      <c r="BA316" s="522"/>
      <c r="BB316" s="522"/>
      <c r="BC316" s="522"/>
      <c r="BD316" s="522"/>
      <c r="BE316" s="522"/>
      <c r="BF316" s="522"/>
      <c r="BG316" s="522"/>
      <c r="BH316" s="522"/>
      <c r="BI316" s="39"/>
      <c r="BJ316" s="39"/>
      <c r="BK316" s="39"/>
      <c r="BL316" s="39"/>
      <c r="BM316" s="39"/>
      <c r="BN316" s="39"/>
      <c r="BO316" s="39"/>
      <c r="BP316" s="39"/>
      <c r="BQ316" s="39"/>
      <c r="BR316" s="39"/>
      <c r="BS316" s="39"/>
      <c r="BT316" s="39"/>
      <c r="BU316" s="39"/>
      <c r="BV316" s="39"/>
      <c r="BW316" s="39"/>
      <c r="BX316" s="39"/>
      <c r="BY316" s="39"/>
      <c r="BZ316" s="39"/>
      <c r="CA316" s="43"/>
      <c r="CB316" s="43"/>
      <c r="CC316" s="43"/>
      <c r="CD316" s="43"/>
      <c r="CE316" s="43"/>
      <c r="CF316" s="43"/>
      <c r="CG316" s="43"/>
      <c r="CH316" s="126"/>
      <c r="CI316" s="126"/>
      <c r="CJ316" s="126"/>
      <c r="CK316" s="126"/>
      <c r="CL316" s="126"/>
      <c r="CM316" s="126"/>
      <c r="CN316" s="545" t="str">
        <f ca="1">IF($FN$312=0,"",":")</f>
        <v/>
      </c>
      <c r="CO316" s="645"/>
      <c r="CP316" s="645"/>
      <c r="CQ316" s="645"/>
      <c r="CR316" s="645"/>
      <c r="CS316" s="645"/>
      <c r="CT316" s="645"/>
      <c r="CU316" s="645"/>
      <c r="CV316" s="645"/>
      <c r="CW316" s="645"/>
      <c r="CX316" s="645"/>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79"/>
      <c r="DV316" s="79"/>
      <c r="DW316" s="79"/>
      <c r="DX316" s="79"/>
      <c r="DY316" s="79"/>
      <c r="DZ316" s="79"/>
      <c r="EA316" s="79"/>
      <c r="EB316" s="79"/>
      <c r="EC316" s="79"/>
      <c r="ED316" s="79"/>
      <c r="EE316" s="79"/>
      <c r="EF316" s="79"/>
      <c r="EG316" s="79"/>
      <c r="EH316" s="79"/>
      <c r="EI316" s="79"/>
      <c r="EJ316" s="79"/>
      <c r="EK316" s="79"/>
      <c r="EL316" s="79"/>
      <c r="EM316" s="79"/>
      <c r="EN316" s="79"/>
      <c r="EO316" s="79"/>
      <c r="EP316" s="79"/>
      <c r="EQ316" s="79"/>
      <c r="ER316" s="79"/>
      <c r="ES316" s="79"/>
      <c r="ET316" s="79"/>
      <c r="EU316" s="79"/>
      <c r="EV316" s="43"/>
      <c r="EW316" s="43"/>
      <c r="EX316" s="43"/>
      <c r="EY316" s="43"/>
      <c r="EZ316" s="43"/>
      <c r="FA316" s="43"/>
      <c r="FB316" s="43"/>
      <c r="FC316" s="126"/>
      <c r="FD316" s="126"/>
      <c r="FE316" s="126"/>
      <c r="FF316" s="197"/>
      <c r="FG316" s="118"/>
      <c r="FH316" s="43"/>
      <c r="FI316" s="79"/>
      <c r="FJ316" s="79"/>
      <c r="FK316" s="79"/>
      <c r="FL316" s="79"/>
      <c r="FM316" s="468"/>
      <c r="FN316" s="206"/>
      <c r="FO316" s="206"/>
      <c r="FP316" s="206"/>
      <c r="FQ316" s="206"/>
      <c r="FR316" s="206"/>
      <c r="FS316" s="206"/>
      <c r="FT316" s="206"/>
      <c r="FU316" s="206"/>
      <c r="FV316" s="93"/>
      <c r="FW316" s="93">
        <f>IF(FV316&lt;10,FT316,FU316&amp;","&amp;FV316&amp;"")</f>
        <v>0</v>
      </c>
      <c r="FX316" s="93"/>
      <c r="FY316" s="206"/>
      <c r="FZ316" s="93"/>
      <c r="GA316" s="49"/>
      <c r="GB316" s="49"/>
      <c r="GC316" s="49"/>
      <c r="GD316" s="49"/>
      <c r="GE316" s="49"/>
      <c r="GF316" s="49"/>
      <c r="GG316" s="49"/>
      <c r="GH316" s="49"/>
      <c r="GI316" s="49"/>
      <c r="GJ316" s="49"/>
      <c r="GK316" s="49"/>
      <c r="GL316" s="49"/>
      <c r="GM316" s="49"/>
      <c r="GN316" s="49"/>
      <c r="GO316" s="49"/>
      <c r="GP316" s="49"/>
      <c r="GQ316" s="49"/>
      <c r="GR316" s="49"/>
      <c r="GS316" s="49"/>
      <c r="GT316" s="49"/>
      <c r="GU316" s="49"/>
      <c r="GV316" s="49"/>
      <c r="GW316" s="49"/>
      <c r="GX316" s="49"/>
      <c r="GY316" s="49"/>
      <c r="GZ316" s="49"/>
      <c r="HA316" s="49"/>
      <c r="HB316" s="49"/>
      <c r="HC316" s="49"/>
      <c r="HD316" s="49"/>
      <c r="HE316" s="49"/>
      <c r="HF316" s="49"/>
      <c r="HG316" s="49"/>
      <c r="HH316" s="49"/>
      <c r="HI316" s="49"/>
      <c r="HJ316" s="49"/>
      <c r="HK316" s="49"/>
      <c r="HL316" s="49"/>
      <c r="HM316" s="49"/>
    </row>
    <row r="317" spans="1:221" ht="18.75" customHeight="1">
      <c r="A317" s="1"/>
      <c r="B317" s="3"/>
      <c r="C317" s="3"/>
      <c r="D317" s="38"/>
      <c r="E317" s="43"/>
      <c r="F317" s="43"/>
      <c r="G317" s="43"/>
      <c r="H317" s="43"/>
      <c r="I317" s="43"/>
      <c r="J317" s="43"/>
      <c r="K317" s="43"/>
      <c r="L317" s="43"/>
      <c r="M317" s="43"/>
      <c r="N317" s="43"/>
      <c r="O317" s="43"/>
      <c r="P317" s="43"/>
      <c r="Q317" s="43"/>
      <c r="R317" s="43"/>
      <c r="S317" s="43"/>
      <c r="T317" s="43"/>
      <c r="U317" s="43"/>
      <c r="V317" s="43"/>
      <c r="W317" s="153"/>
      <c r="X317" s="43"/>
      <c r="Y317" s="195" t="str">
        <f ca="1">IF(FN305=0,"",":")</f>
        <v/>
      </c>
      <c r="Z317" s="637"/>
      <c r="AA317" s="637"/>
      <c r="AB317" s="637"/>
      <c r="AC317" s="637"/>
      <c r="AD317" s="637"/>
      <c r="AE317" s="637"/>
      <c r="AF317" s="637"/>
      <c r="AG317" s="637"/>
      <c r="AH317" s="637"/>
      <c r="AI317" s="637"/>
      <c r="AJ317" s="637"/>
      <c r="AK317" s="637"/>
      <c r="AL317" s="637"/>
      <c r="AM317" s="637"/>
      <c r="AN317" s="637"/>
      <c r="AO317" s="637"/>
      <c r="AP317" s="637"/>
      <c r="AQ317" s="637"/>
      <c r="AR317" s="637"/>
      <c r="AS317" s="637"/>
      <c r="AT317" s="637"/>
      <c r="AU317" s="637"/>
      <c r="AV317" s="637"/>
      <c r="AW317" s="637"/>
      <c r="AX317" s="637"/>
      <c r="AY317" s="637"/>
      <c r="AZ317" s="637"/>
      <c r="BA317" s="637"/>
      <c r="BB317" s="637"/>
      <c r="BC317" s="637"/>
      <c r="BD317" s="637"/>
      <c r="BE317" s="637"/>
      <c r="BF317" s="637"/>
      <c r="BG317" s="637"/>
      <c r="BH317" s="226" t="str">
        <f ca="1">IF(FN305=0,"",":")</f>
        <v/>
      </c>
      <c r="BI317" s="39"/>
      <c r="BJ317" s="39"/>
      <c r="BK317" s="39"/>
      <c r="BL317" s="39"/>
      <c r="BM317" s="39"/>
      <c r="BN317" s="39"/>
      <c r="BO317" s="39"/>
      <c r="BP317" s="39"/>
      <c r="BQ317" s="39"/>
      <c r="BR317" s="39"/>
      <c r="BS317" s="39"/>
      <c r="BT317" s="39"/>
      <c r="BU317" s="39"/>
      <c r="BV317" s="39"/>
      <c r="BW317" s="39"/>
      <c r="BX317" s="39"/>
      <c r="BY317" s="39"/>
      <c r="BZ317" s="79"/>
      <c r="CA317" s="43"/>
      <c r="CB317" s="43"/>
      <c r="CC317" s="43"/>
      <c r="CD317" s="43"/>
      <c r="CE317" s="43"/>
      <c r="CF317" s="43"/>
      <c r="CG317" s="43"/>
      <c r="CH317" s="126"/>
      <c r="CI317" s="43"/>
      <c r="CJ317" s="126"/>
      <c r="CK317" s="126"/>
      <c r="CL317" s="153" t="str">
        <f ca="1">IF(FN312=0,"","Q =")</f>
        <v/>
      </c>
      <c r="CM317" s="126"/>
      <c r="CN317" s="43" t="str">
        <f ca="1">IF($FN$312=0,"",":")</f>
        <v/>
      </c>
      <c r="CO317" s="637"/>
      <c r="CP317" s="637"/>
      <c r="CQ317" s="637"/>
      <c r="CR317" s="637"/>
      <c r="CS317" s="637"/>
      <c r="CT317" s="637"/>
      <c r="CU317" s="637"/>
      <c r="CV317" s="637"/>
      <c r="CW317" s="637"/>
      <c r="CX317" s="226" t="str">
        <f ca="1">IF($FN$312=0,"",":")</f>
        <v/>
      </c>
      <c r="CY317" s="200"/>
      <c r="CZ317" s="154" t="str">
        <f ca="1">IF(FN312=0,"","stuks")</f>
        <v/>
      </c>
      <c r="DA317" s="200"/>
      <c r="DB317" s="43"/>
      <c r="DC317" s="43"/>
      <c r="DD317" s="43"/>
      <c r="DE317" s="43"/>
      <c r="DF317" s="43"/>
      <c r="DG317" s="43"/>
      <c r="DH317" s="43"/>
      <c r="DI317" s="43"/>
      <c r="DJ317" s="43"/>
      <c r="DK317" s="43"/>
      <c r="DL317" s="43"/>
      <c r="DM317" s="43"/>
      <c r="DN317" s="43"/>
      <c r="DO317" s="43"/>
      <c r="DP317" s="43"/>
      <c r="DQ317" s="43"/>
      <c r="DR317" s="43"/>
      <c r="DS317" s="43"/>
      <c r="DT317" s="43"/>
      <c r="DU317" s="79"/>
      <c r="DV317" s="79"/>
      <c r="DW317" s="79"/>
      <c r="DX317" s="79"/>
      <c r="DY317" s="79"/>
      <c r="DZ317" s="79"/>
      <c r="EA317" s="79"/>
      <c r="EB317" s="79"/>
      <c r="EC317" s="79"/>
      <c r="ED317" s="79"/>
      <c r="EE317" s="79"/>
      <c r="EF317" s="79"/>
      <c r="EG317" s="79"/>
      <c r="EH317" s="79"/>
      <c r="EI317" s="79"/>
      <c r="EJ317" s="79"/>
      <c r="EK317" s="79"/>
      <c r="EL317" s="79"/>
      <c r="EM317" s="79"/>
      <c r="EN317" s="79"/>
      <c r="EO317" s="79"/>
      <c r="EP317" s="79"/>
      <c r="EQ317" s="79"/>
      <c r="ER317" s="79"/>
      <c r="ES317" s="79"/>
      <c r="ET317" s="79"/>
      <c r="EU317" s="79"/>
      <c r="EV317" s="43"/>
      <c r="EW317" s="43"/>
      <c r="EX317" s="43"/>
      <c r="EY317" s="43"/>
      <c r="EZ317" s="43"/>
      <c r="FA317" s="43"/>
      <c r="FB317" s="43"/>
      <c r="FC317" s="126"/>
      <c r="FD317" s="126"/>
      <c r="FE317" s="126"/>
      <c r="FF317" s="197"/>
      <c r="FG317" s="118"/>
      <c r="FH317" s="43"/>
      <c r="FI317" s="79"/>
      <c r="FJ317" s="79"/>
      <c r="FK317" s="79"/>
      <c r="FL317" s="79"/>
      <c r="FM317" s="223"/>
      <c r="FN317" s="223" t="str">
        <f>IF(Z317=FQ317,"proportioneel variabele kosten","")</f>
        <v/>
      </c>
      <c r="FO317" s="206">
        <f ca="1">IF(FN312=0,0,CO317)</f>
        <v>0</v>
      </c>
      <c r="FP317" s="206"/>
      <c r="FQ317" s="206" t="s">
        <v>132</v>
      </c>
      <c r="FR317" s="206" t="s">
        <v>133</v>
      </c>
      <c r="FS317" s="206" t="e">
        <f ca="1">FS312+FS315</f>
        <v>#DIV/0!</v>
      </c>
      <c r="FT317" s="206" t="e">
        <f ca="1">FS317/10</f>
        <v>#DIV/0!</v>
      </c>
      <c r="FU317" s="93" t="e">
        <f ca="1">FLOOR(FT317,1)</f>
        <v>#DIV/0!</v>
      </c>
      <c r="FV317" s="93" t="e">
        <f ca="1">ROUND(100*(FT317-FU317),2)</f>
        <v>#DIV/0!</v>
      </c>
      <c r="FW317" s="93" t="e">
        <f ca="1">IF(FV317&lt;10,FT317,FU317&amp;","&amp;FV317&amp;"")</f>
        <v>#DIV/0!</v>
      </c>
      <c r="FX317" s="206"/>
      <c r="FY317" s="206"/>
      <c r="FZ317" s="93"/>
      <c r="GA317" s="49"/>
      <c r="GB317" s="49"/>
      <c r="GC317" s="49"/>
      <c r="GD317" s="49"/>
      <c r="GE317" s="49"/>
      <c r="GF317" s="49"/>
      <c r="GG317" s="49"/>
      <c r="GH317" s="49"/>
      <c r="GI317" s="49"/>
      <c r="GJ317" s="49"/>
      <c r="GK317" s="49"/>
      <c r="GL317" s="49"/>
      <c r="GM317" s="49"/>
      <c r="GN317" s="49"/>
      <c r="GO317" s="49"/>
      <c r="GP317" s="49"/>
      <c r="GQ317" s="49"/>
      <c r="GR317" s="49"/>
      <c r="GS317" s="49"/>
      <c r="GT317" s="49"/>
      <c r="GU317" s="49"/>
      <c r="GV317" s="49"/>
      <c r="GW317" s="49"/>
      <c r="GX317" s="49"/>
      <c r="GY317" s="49"/>
      <c r="GZ317" s="49"/>
      <c r="HA317" s="49"/>
      <c r="HB317" s="49"/>
      <c r="HC317" s="49"/>
      <c r="HD317" s="49"/>
      <c r="HE317" s="49"/>
      <c r="HF317" s="49"/>
      <c r="HG317" s="49"/>
      <c r="HH317" s="49"/>
      <c r="HI317" s="49"/>
      <c r="HJ317" s="49"/>
      <c r="HK317" s="49"/>
      <c r="HL317" s="49"/>
      <c r="HM317" s="49"/>
    </row>
    <row r="318" spans="1:221" ht="4.5" customHeight="1">
      <c r="A318" s="1"/>
      <c r="B318" s="3"/>
      <c r="C318" s="3"/>
      <c r="D318" s="38"/>
      <c r="E318" s="43"/>
      <c r="F318" s="43"/>
      <c r="G318" s="43"/>
      <c r="H318" s="43"/>
      <c r="I318" s="43"/>
      <c r="J318" s="43"/>
      <c r="K318" s="43"/>
      <c r="L318" s="43"/>
      <c r="M318" s="43"/>
      <c r="N318" s="43"/>
      <c r="O318" s="197"/>
      <c r="P318" s="197"/>
      <c r="Q318" s="197"/>
      <c r="R318" s="197"/>
      <c r="S318" s="197"/>
      <c r="T318" s="197"/>
      <c r="U318" s="197"/>
      <c r="V318" s="197"/>
      <c r="W318" s="197"/>
      <c r="X318" s="197"/>
      <c r="Y318" s="538" t="str">
        <f ca="1">IF(FN305=0,"",":")</f>
        <v/>
      </c>
      <c r="Z318" s="522"/>
      <c r="AA318" s="522"/>
      <c r="AB318" s="522"/>
      <c r="AC318" s="522"/>
      <c r="AD318" s="522"/>
      <c r="AE318" s="522"/>
      <c r="AF318" s="522"/>
      <c r="AG318" s="522"/>
      <c r="AH318" s="522"/>
      <c r="AI318" s="522"/>
      <c r="AJ318" s="522"/>
      <c r="AK318" s="522"/>
      <c r="AL318" s="522"/>
      <c r="AM318" s="522"/>
      <c r="AN318" s="522"/>
      <c r="AO318" s="522"/>
      <c r="AP318" s="522"/>
      <c r="AQ318" s="522"/>
      <c r="AR318" s="522"/>
      <c r="AS318" s="522"/>
      <c r="AT318" s="522"/>
      <c r="AU318" s="522"/>
      <c r="AV318" s="522"/>
      <c r="AW318" s="522"/>
      <c r="AX318" s="522"/>
      <c r="AY318" s="522"/>
      <c r="AZ318" s="522"/>
      <c r="BA318" s="522"/>
      <c r="BB318" s="522"/>
      <c r="BC318" s="522"/>
      <c r="BD318" s="522"/>
      <c r="BE318" s="522"/>
      <c r="BF318" s="522"/>
      <c r="BG318" s="522"/>
      <c r="BH318" s="522"/>
      <c r="BI318" s="39"/>
      <c r="BJ318" s="39"/>
      <c r="BK318" s="39"/>
      <c r="BL318" s="39"/>
      <c r="BM318" s="39"/>
      <c r="BN318" s="39"/>
      <c r="BO318" s="39"/>
      <c r="BP318" s="39"/>
      <c r="BQ318" s="39"/>
      <c r="BR318" s="39"/>
      <c r="BS318" s="39"/>
      <c r="BT318" s="39"/>
      <c r="BU318" s="39"/>
      <c r="BV318" s="39"/>
      <c r="BW318" s="39"/>
      <c r="BX318" s="39"/>
      <c r="BY318" s="39"/>
      <c r="BZ318" s="39"/>
      <c r="CA318" s="43"/>
      <c r="CB318" s="43"/>
      <c r="CC318" s="43"/>
      <c r="CD318" s="43"/>
      <c r="CE318" s="43"/>
      <c r="CF318" s="43"/>
      <c r="CG318" s="43"/>
      <c r="CH318" s="126"/>
      <c r="CI318" s="126"/>
      <c r="CJ318" s="126"/>
      <c r="CK318" s="126"/>
      <c r="CL318" s="126"/>
      <c r="CM318" s="126"/>
      <c r="CN318" s="545" t="str">
        <f ca="1">IF($FN$312=0,"",":")</f>
        <v/>
      </c>
      <c r="CO318" s="645"/>
      <c r="CP318" s="645"/>
      <c r="CQ318" s="645"/>
      <c r="CR318" s="645"/>
      <c r="CS318" s="645"/>
      <c r="CT318" s="645"/>
      <c r="CU318" s="645"/>
      <c r="CV318" s="645"/>
      <c r="CW318" s="645"/>
      <c r="CX318" s="645"/>
      <c r="CY318" s="167"/>
      <c r="CZ318" s="167"/>
      <c r="DA318" s="167"/>
      <c r="DB318" s="43"/>
      <c r="DC318" s="43"/>
      <c r="DD318" s="43"/>
      <c r="DE318" s="43"/>
      <c r="DF318" s="43"/>
      <c r="DG318" s="43"/>
      <c r="DH318" s="43"/>
      <c r="DI318" s="43"/>
      <c r="DJ318" s="43"/>
      <c r="DK318" s="43"/>
      <c r="DL318" s="43"/>
      <c r="DM318" s="43"/>
      <c r="DN318" s="43"/>
      <c r="DO318" s="43"/>
      <c r="DP318" s="43"/>
      <c r="DQ318" s="43"/>
      <c r="DR318" s="43"/>
      <c r="DS318" s="43"/>
      <c r="DT318" s="43"/>
      <c r="DU318" s="79"/>
      <c r="DV318" s="79"/>
      <c r="DW318" s="79"/>
      <c r="DX318" s="79"/>
      <c r="DY318" s="79"/>
      <c r="DZ318" s="79"/>
      <c r="EA318" s="79"/>
      <c r="EB318" s="79"/>
      <c r="EC318" s="79"/>
      <c r="ED318" s="79"/>
      <c r="EE318" s="79"/>
      <c r="EF318" s="79"/>
      <c r="EG318" s="79"/>
      <c r="EH318" s="79"/>
      <c r="EI318" s="79"/>
      <c r="EJ318" s="79"/>
      <c r="EK318" s="79"/>
      <c r="EL318" s="79"/>
      <c r="EM318" s="79"/>
      <c r="EN318" s="79"/>
      <c r="EO318" s="79"/>
      <c r="EP318" s="79"/>
      <c r="EQ318" s="79"/>
      <c r="ER318" s="79"/>
      <c r="ES318" s="79"/>
      <c r="ET318" s="79"/>
      <c r="EU318" s="79"/>
      <c r="EV318" s="43"/>
      <c r="EW318" s="43"/>
      <c r="EX318" s="43"/>
      <c r="EY318" s="43"/>
      <c r="EZ318" s="43"/>
      <c r="FA318" s="43"/>
      <c r="FB318" s="43"/>
      <c r="FC318" s="126"/>
      <c r="FD318" s="126"/>
      <c r="FE318" s="126"/>
      <c r="FF318" s="197"/>
      <c r="FG318" s="118"/>
      <c r="FH318" s="43"/>
      <c r="FI318" s="79"/>
      <c r="FJ318" s="79"/>
      <c r="FK318" s="79"/>
      <c r="FL318" s="79"/>
      <c r="FM318" s="468"/>
      <c r="FN318" s="206"/>
      <c r="FO318" s="206"/>
      <c r="FP318" s="206"/>
      <c r="FQ318" s="206"/>
      <c r="FR318" s="206"/>
      <c r="FS318" s="206"/>
      <c r="FT318" s="206"/>
      <c r="FU318" s="206"/>
      <c r="FV318" s="93"/>
      <c r="FW318" s="93"/>
      <c r="FX318" s="93"/>
      <c r="FY318" s="206"/>
      <c r="FZ318" s="93"/>
      <c r="GA318" s="49"/>
      <c r="GB318" s="49"/>
      <c r="GC318" s="49"/>
      <c r="GD318" s="49"/>
      <c r="GE318" s="49"/>
      <c r="GF318" s="49"/>
      <c r="GG318" s="49"/>
      <c r="GH318" s="49"/>
      <c r="GI318" s="49"/>
      <c r="GJ318" s="49"/>
      <c r="GK318" s="49"/>
      <c r="GL318" s="49"/>
      <c r="GM318" s="49"/>
      <c r="GN318" s="49"/>
      <c r="GO318" s="49"/>
      <c r="GP318" s="49"/>
      <c r="GQ318" s="49"/>
      <c r="GR318" s="49"/>
      <c r="GS318" s="49"/>
      <c r="GT318" s="49"/>
      <c r="GU318" s="49"/>
      <c r="GV318" s="49"/>
      <c r="GW318" s="49"/>
      <c r="GX318" s="49"/>
      <c r="GY318" s="49"/>
      <c r="GZ318" s="49"/>
      <c r="HA318" s="49"/>
      <c r="HB318" s="49"/>
      <c r="HC318" s="49"/>
      <c r="HD318" s="49"/>
      <c r="HE318" s="49"/>
      <c r="HF318" s="49"/>
      <c r="HG318" s="49"/>
      <c r="HH318" s="49"/>
      <c r="HI318" s="49"/>
      <c r="HJ318" s="49"/>
      <c r="HK318" s="49"/>
      <c r="HL318" s="49"/>
      <c r="HM318" s="49"/>
    </row>
    <row r="319" spans="1:221" ht="4.5" customHeight="1">
      <c r="A319" s="1"/>
      <c r="B319" s="3"/>
      <c r="C319" s="3"/>
      <c r="D319" s="38"/>
      <c r="E319" s="43"/>
      <c r="F319" s="43"/>
      <c r="G319" s="197"/>
      <c r="H319" s="197"/>
      <c r="I319" s="197"/>
      <c r="J319" s="197"/>
      <c r="K319" s="197"/>
      <c r="L319" s="197"/>
      <c r="M319" s="197"/>
      <c r="N319" s="197"/>
      <c r="O319" s="197"/>
      <c r="P319" s="197"/>
      <c r="Q319" s="195"/>
      <c r="R319" s="196"/>
      <c r="S319" s="196"/>
      <c r="T319" s="196"/>
      <c r="U319" s="196"/>
      <c r="V319" s="196"/>
      <c r="W319" s="196"/>
      <c r="X319" s="196"/>
      <c r="Y319" s="196"/>
      <c r="Z319" s="196"/>
      <c r="AA319" s="196"/>
      <c r="AB319" s="196"/>
      <c r="AC319" s="196"/>
      <c r="AD319" s="196"/>
      <c r="AE319" s="196"/>
      <c r="AF319" s="196"/>
      <c r="AG319" s="196"/>
      <c r="AH319" s="196"/>
      <c r="AI319" s="196"/>
      <c r="AJ319" s="196"/>
      <c r="AK319" s="196"/>
      <c r="AL319" s="196"/>
      <c r="AM319" s="196"/>
      <c r="AN319" s="197"/>
      <c r="AO319" s="197"/>
      <c r="AP319" s="197"/>
      <c r="AQ319" s="197"/>
      <c r="AR319" s="197"/>
      <c r="AS319" s="197"/>
      <c r="AT319" s="197"/>
      <c r="AU319" s="197"/>
      <c r="AV319" s="197"/>
      <c r="AW319" s="197"/>
      <c r="AX319" s="197"/>
      <c r="AY319" s="197"/>
      <c r="AZ319" s="197"/>
      <c r="BA319" s="197"/>
      <c r="BB319" s="197"/>
      <c r="BC319" s="197"/>
      <c r="BD319" s="197"/>
      <c r="BE319" s="197"/>
      <c r="BF319" s="197"/>
      <c r="BG319" s="197"/>
      <c r="BH319" s="197"/>
      <c r="BI319" s="197"/>
      <c r="BJ319" s="197"/>
      <c r="BK319" s="197"/>
      <c r="BL319" s="197"/>
      <c r="BM319" s="197"/>
      <c r="BN319" s="197"/>
      <c r="BO319" s="197"/>
      <c r="BP319" s="197"/>
      <c r="BQ319" s="197"/>
      <c r="BR319" s="197"/>
      <c r="BS319" s="43"/>
      <c r="BT319" s="43"/>
      <c r="BU319" s="43"/>
      <c r="BV319" s="126"/>
      <c r="BW319" s="126"/>
      <c r="BX319" s="126"/>
      <c r="BY319" s="126"/>
      <c r="BZ319" s="126"/>
      <c r="CA319" s="126"/>
      <c r="CB319" s="43"/>
      <c r="CC319" s="43"/>
      <c r="CD319" s="43"/>
      <c r="CE319" s="43"/>
      <c r="CF319" s="43"/>
      <c r="CG319" s="43"/>
      <c r="CH319" s="43"/>
      <c r="CI319" s="43"/>
      <c r="CJ319" s="43"/>
      <c r="CK319" s="43"/>
      <c r="CL319" s="43"/>
      <c r="CM319" s="167"/>
      <c r="CN319" s="167"/>
      <c r="CO319" s="167"/>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126"/>
      <c r="EJ319" s="126"/>
      <c r="EK319" s="126"/>
      <c r="EL319" s="126"/>
      <c r="EM319" s="126"/>
      <c r="EN319" s="126"/>
      <c r="EO319" s="126"/>
      <c r="EP319" s="126"/>
      <c r="EQ319" s="126"/>
      <c r="ER319" s="126"/>
      <c r="ES319" s="126"/>
      <c r="ET319" s="126"/>
      <c r="EU319" s="126"/>
      <c r="EV319" s="126"/>
      <c r="EW319" s="126"/>
      <c r="EX319" s="126"/>
      <c r="EY319" s="126"/>
      <c r="EZ319" s="126"/>
      <c r="FA319" s="126"/>
      <c r="FB319" s="126"/>
      <c r="FC319" s="126"/>
      <c r="FD319" s="126"/>
      <c r="FE319" s="126"/>
      <c r="FF319" s="197"/>
      <c r="FG319" s="118"/>
      <c r="FH319" s="43"/>
      <c r="FI319" s="79"/>
      <c r="FJ319" s="79"/>
      <c r="FK319" s="79"/>
      <c r="FL319" s="79"/>
      <c r="FM319" s="468"/>
      <c r="FN319" s="206"/>
      <c r="FO319" s="206"/>
      <c r="FP319" s="206"/>
      <c r="FQ319" s="206"/>
      <c r="FR319" s="206"/>
      <c r="FS319" s="206"/>
      <c r="FT319" s="206"/>
      <c r="FU319" s="206"/>
      <c r="FV319" s="93"/>
      <c r="FW319" s="93"/>
      <c r="FX319" s="93"/>
      <c r="FY319" s="206"/>
      <c r="FZ319" s="93"/>
      <c r="GA319" s="49"/>
      <c r="GB319" s="49"/>
      <c r="GC319" s="49"/>
      <c r="GD319" s="49"/>
      <c r="GE319" s="49"/>
      <c r="GF319" s="49"/>
      <c r="GG319" s="49"/>
      <c r="GH319" s="49"/>
      <c r="GI319" s="49"/>
      <c r="GJ319" s="49"/>
      <c r="GK319" s="49"/>
      <c r="GL319" s="49"/>
      <c r="GM319" s="49"/>
      <c r="GN319" s="49"/>
      <c r="GO319" s="49"/>
      <c r="GP319" s="49"/>
      <c r="GQ319" s="49"/>
      <c r="GR319" s="49"/>
      <c r="GS319" s="49"/>
      <c r="GT319" s="49"/>
      <c r="GU319" s="49"/>
      <c r="GV319" s="49"/>
      <c r="GW319" s="49"/>
      <c r="GX319" s="49"/>
      <c r="GY319" s="49"/>
      <c r="GZ319" s="49"/>
      <c r="HA319" s="49"/>
      <c r="HB319" s="49"/>
      <c r="HC319" s="49"/>
      <c r="HD319" s="49"/>
      <c r="HE319" s="49"/>
      <c r="HF319" s="49"/>
      <c r="HG319" s="49"/>
      <c r="HH319" s="49"/>
      <c r="HI319" s="49"/>
      <c r="HJ319" s="49"/>
      <c r="HK319" s="49"/>
      <c r="HL319" s="49"/>
      <c r="HM319" s="49"/>
    </row>
    <row r="320" spans="1:221" ht="11.25" customHeight="1">
      <c r="A320" s="1"/>
      <c r="B320" s="3"/>
      <c r="C320" s="3"/>
      <c r="D320" s="43"/>
      <c r="E320" s="653" t="str">
        <f ca="1">IF($FN$312=1,"GO (blauw), MO (paars), GTK (rood) en MK (groen)",IF(FN305=1,"GO (blauw) en MO (paars)",IF($FN$312=1,"GO (blauw), MO (paars), GTK (rood) en MK (groen)","")))</f>
        <v/>
      </c>
      <c r="F320" s="645"/>
      <c r="G320" s="645"/>
      <c r="H320" s="645"/>
      <c r="I320" s="645"/>
      <c r="J320" s="645"/>
      <c r="K320" s="645"/>
      <c r="L320" s="645"/>
      <c r="M320" s="645"/>
      <c r="N320" s="645"/>
      <c r="O320" s="645"/>
      <c r="P320" s="645"/>
      <c r="Q320" s="645"/>
      <c r="R320" s="645"/>
      <c r="S320" s="645"/>
      <c r="T320" s="645"/>
      <c r="U320" s="645"/>
      <c r="V320" s="645"/>
      <c r="W320" s="645"/>
      <c r="X320" s="645"/>
      <c r="Y320" s="645"/>
      <c r="Z320" s="645"/>
      <c r="AA320" s="645"/>
      <c r="AB320" s="645"/>
      <c r="AC320" s="645"/>
      <c r="AD320" s="645"/>
      <c r="AE320" s="645"/>
      <c r="AF320" s="645"/>
      <c r="AG320" s="645"/>
      <c r="AH320" s="645"/>
      <c r="AI320" s="645"/>
      <c r="AJ320" s="645"/>
      <c r="AK320" s="645"/>
      <c r="AL320" s="645"/>
      <c r="AM320" s="645"/>
      <c r="AN320" s="645"/>
      <c r="AO320" s="645"/>
      <c r="AP320" s="645"/>
      <c r="AQ320" s="645"/>
      <c r="AR320" s="645"/>
      <c r="AS320" s="645"/>
      <c r="AT320" s="645"/>
      <c r="AU320" s="645"/>
      <c r="AV320" s="645"/>
      <c r="AW320" s="645"/>
      <c r="AX320" s="645"/>
      <c r="AY320" s="645"/>
      <c r="AZ320" s="645"/>
      <c r="BA320" s="645"/>
      <c r="BB320" s="645"/>
      <c r="BC320" s="645"/>
      <c r="BD320" s="645"/>
      <c r="BE320" s="645"/>
      <c r="BF320" s="645"/>
      <c r="BG320" s="645"/>
      <c r="BH320" s="645"/>
      <c r="BI320" s="645"/>
      <c r="BJ320" s="645"/>
      <c r="BK320" s="645"/>
      <c r="BL320" s="645"/>
      <c r="BM320" s="645"/>
      <c r="BN320" s="645"/>
      <c r="BO320" s="645"/>
      <c r="BP320" s="645"/>
      <c r="BQ320" s="645"/>
      <c r="BR320" s="645"/>
      <c r="BS320" s="645"/>
      <c r="BT320" s="645"/>
      <c r="BU320" s="645"/>
      <c r="BV320" s="645"/>
      <c r="BW320" s="645"/>
      <c r="BX320" s="645"/>
      <c r="BY320" s="645"/>
      <c r="BZ320" s="645"/>
      <c r="CA320" s="645"/>
      <c r="CB320" s="645"/>
      <c r="CC320" s="645"/>
      <c r="CD320" s="645"/>
      <c r="CE320" s="645"/>
      <c r="CF320" s="645"/>
      <c r="CG320" s="39"/>
      <c r="CH320" s="39"/>
      <c r="CI320" s="39"/>
      <c r="CJ320" s="39"/>
      <c r="CK320" s="39"/>
      <c r="CL320" s="39"/>
      <c r="CM320" s="39"/>
      <c r="CN320" s="39"/>
      <c r="CO320" s="39"/>
      <c r="CP320" s="39"/>
      <c r="CQ320" s="39"/>
      <c r="CR320" s="39"/>
      <c r="CS320" s="39"/>
      <c r="CT320" s="39"/>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126"/>
      <c r="EJ320" s="126"/>
      <c r="EK320" s="126"/>
      <c r="EL320" s="126"/>
      <c r="EM320" s="126"/>
      <c r="EN320" s="126"/>
      <c r="EO320" s="126"/>
      <c r="EP320" s="126"/>
      <c r="EQ320" s="126"/>
      <c r="ER320" s="126"/>
      <c r="ES320" s="126"/>
      <c r="ET320" s="126"/>
      <c r="EU320" s="126"/>
      <c r="EV320" s="126"/>
      <c r="EW320" s="126"/>
      <c r="EX320" s="126"/>
      <c r="EY320" s="126"/>
      <c r="EZ320" s="126"/>
      <c r="FA320" s="126"/>
      <c r="FB320" s="126"/>
      <c r="FC320" s="126"/>
      <c r="FD320" s="126"/>
      <c r="FE320" s="126"/>
      <c r="FF320" s="197"/>
      <c r="FG320" s="118"/>
      <c r="FH320" s="43"/>
      <c r="FI320" s="79"/>
      <c r="FJ320" s="79"/>
      <c r="FK320" s="79"/>
      <c r="FL320" s="79"/>
      <c r="FM320" s="468"/>
      <c r="FN320" s="206"/>
      <c r="FO320" s="206"/>
      <c r="FP320" s="206"/>
      <c r="FQ320" s="206"/>
      <c r="FR320" s="206"/>
      <c r="FS320" s="206"/>
      <c r="FT320" s="206"/>
      <c r="FU320" s="206"/>
      <c r="FV320" s="93"/>
      <c r="FW320" s="93"/>
      <c r="FX320" s="93"/>
      <c r="FY320" s="206"/>
      <c r="FZ320" s="93"/>
      <c r="GA320" s="49"/>
      <c r="GB320" s="49"/>
      <c r="GC320" s="49"/>
      <c r="GD320" s="49"/>
      <c r="GE320" s="49"/>
      <c r="GF320" s="49"/>
      <c r="GG320" s="49"/>
      <c r="GH320" s="49"/>
      <c r="GI320" s="49"/>
      <c r="GJ320" s="49"/>
      <c r="GK320" s="49"/>
      <c r="GL320" s="49"/>
      <c r="GM320" s="49"/>
      <c r="GN320" s="49"/>
      <c r="GO320" s="49"/>
      <c r="GP320" s="49"/>
      <c r="GQ320" s="49"/>
      <c r="GR320" s="49"/>
      <c r="GS320" s="49"/>
      <c r="GT320" s="49"/>
      <c r="GU320" s="49"/>
      <c r="GV320" s="49"/>
      <c r="GW320" s="49"/>
      <c r="GX320" s="49"/>
      <c r="GY320" s="49"/>
      <c r="GZ320" s="49"/>
      <c r="HA320" s="49"/>
      <c r="HB320" s="49"/>
      <c r="HC320" s="49"/>
      <c r="HD320" s="49"/>
      <c r="HE320" s="49"/>
      <c r="HF320" s="49"/>
      <c r="HG320" s="49"/>
      <c r="HH320" s="49"/>
      <c r="HI320" s="49"/>
      <c r="HJ320" s="49"/>
      <c r="HK320" s="49"/>
      <c r="HL320" s="49"/>
      <c r="HM320" s="49"/>
    </row>
    <row r="321" spans="1:221" ht="13.5" customHeight="1">
      <c r="A321" s="1"/>
      <c r="B321" s="3"/>
      <c r="C321" s="3"/>
      <c r="D321" s="214"/>
      <c r="E321" s="645"/>
      <c r="F321" s="645"/>
      <c r="G321" s="645"/>
      <c r="H321" s="645"/>
      <c r="I321" s="645"/>
      <c r="J321" s="645"/>
      <c r="K321" s="645"/>
      <c r="L321" s="645"/>
      <c r="M321" s="645"/>
      <c r="N321" s="645"/>
      <c r="O321" s="645"/>
      <c r="P321" s="645"/>
      <c r="Q321" s="645"/>
      <c r="R321" s="645"/>
      <c r="S321" s="645"/>
      <c r="T321" s="645"/>
      <c r="U321" s="645"/>
      <c r="V321" s="645"/>
      <c r="W321" s="645"/>
      <c r="X321" s="645"/>
      <c r="Y321" s="645"/>
      <c r="Z321" s="645"/>
      <c r="AA321" s="645"/>
      <c r="AB321" s="645"/>
      <c r="AC321" s="645"/>
      <c r="AD321" s="645"/>
      <c r="AE321" s="645"/>
      <c r="AF321" s="645"/>
      <c r="AG321" s="645"/>
      <c r="AH321" s="645"/>
      <c r="AI321" s="645"/>
      <c r="AJ321" s="645"/>
      <c r="AK321" s="645"/>
      <c r="AL321" s="645"/>
      <c r="AM321" s="645"/>
      <c r="AN321" s="645"/>
      <c r="AO321" s="645"/>
      <c r="AP321" s="645"/>
      <c r="AQ321" s="645"/>
      <c r="AR321" s="645"/>
      <c r="AS321" s="645"/>
      <c r="AT321" s="645"/>
      <c r="AU321" s="645"/>
      <c r="AV321" s="645"/>
      <c r="AW321" s="645"/>
      <c r="AX321" s="645"/>
      <c r="AY321" s="645"/>
      <c r="AZ321" s="645"/>
      <c r="BA321" s="645"/>
      <c r="BB321" s="645"/>
      <c r="BC321" s="645"/>
      <c r="BD321" s="645"/>
      <c r="BE321" s="645"/>
      <c r="BF321" s="645"/>
      <c r="BG321" s="645"/>
      <c r="BH321" s="645"/>
      <c r="BI321" s="645"/>
      <c r="BJ321" s="645"/>
      <c r="BK321" s="645"/>
      <c r="BL321" s="645"/>
      <c r="BM321" s="645"/>
      <c r="BN321" s="645"/>
      <c r="BO321" s="645"/>
      <c r="BP321" s="645"/>
      <c r="BQ321" s="645"/>
      <c r="BR321" s="645"/>
      <c r="BS321" s="645"/>
      <c r="BT321" s="645"/>
      <c r="BU321" s="645"/>
      <c r="BV321" s="645"/>
      <c r="BW321" s="645"/>
      <c r="BX321" s="645"/>
      <c r="BY321" s="645"/>
      <c r="BZ321" s="645"/>
      <c r="CA321" s="645"/>
      <c r="CB321" s="645"/>
      <c r="CC321" s="645"/>
      <c r="CD321" s="645"/>
      <c r="CE321" s="645"/>
      <c r="CF321" s="645"/>
      <c r="CG321" s="39"/>
      <c r="CH321" s="39"/>
      <c r="CI321" s="39"/>
      <c r="CJ321" s="39"/>
      <c r="CK321" s="39"/>
      <c r="CL321" s="39"/>
      <c r="CM321" s="39"/>
      <c r="CN321" s="39"/>
      <c r="CO321" s="39"/>
      <c r="CP321" s="39"/>
      <c r="CQ321" s="39"/>
      <c r="CR321" s="39"/>
      <c r="CS321" s="39"/>
      <c r="CT321" s="39"/>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126"/>
      <c r="EJ321" s="126"/>
      <c r="EK321" s="126"/>
      <c r="EL321" s="126"/>
      <c r="EM321" s="126"/>
      <c r="EN321" s="126"/>
      <c r="EO321" s="126"/>
      <c r="EP321" s="126"/>
      <c r="EQ321" s="126"/>
      <c r="ER321" s="126"/>
      <c r="ES321" s="126"/>
      <c r="ET321" s="126"/>
      <c r="EU321" s="126"/>
      <c r="EV321" s="126"/>
      <c r="EW321" s="126"/>
      <c r="EX321" s="126"/>
      <c r="EY321" s="126"/>
      <c r="EZ321" s="126"/>
      <c r="FA321" s="126"/>
      <c r="FB321" s="126"/>
      <c r="FC321" s="126"/>
      <c r="FD321" s="126"/>
      <c r="FE321" s="126"/>
      <c r="FF321" s="197"/>
      <c r="FG321" s="118"/>
      <c r="FH321" s="43"/>
      <c r="FI321" s="79"/>
      <c r="FJ321" s="79"/>
      <c r="FK321" s="79"/>
      <c r="FL321" s="79"/>
      <c r="FM321" s="468"/>
      <c r="FN321" s="206"/>
      <c r="FO321" s="206"/>
      <c r="FP321" s="206"/>
      <c r="FQ321" s="206"/>
      <c r="FR321" s="206"/>
      <c r="FS321" s="206"/>
      <c r="FT321" s="206"/>
      <c r="FU321" s="206"/>
      <c r="FV321" s="93"/>
      <c r="FW321" s="93"/>
      <c r="FX321" s="93"/>
      <c r="FY321" s="206"/>
      <c r="FZ321" s="93"/>
      <c r="GA321" s="49"/>
      <c r="GB321" s="49"/>
      <c r="GC321" s="49"/>
      <c r="GD321" s="49"/>
      <c r="GE321" s="49"/>
      <c r="GF321" s="49"/>
      <c r="GG321" s="49"/>
      <c r="GH321" s="49"/>
      <c r="GI321" s="49"/>
      <c r="GJ321" s="49"/>
      <c r="GK321" s="49"/>
      <c r="GL321" s="49"/>
      <c r="GM321" s="49"/>
      <c r="GN321" s="49"/>
      <c r="GO321" s="49"/>
      <c r="GP321" s="49"/>
      <c r="GQ321" s="49"/>
      <c r="GR321" s="49"/>
      <c r="GS321" s="49"/>
      <c r="GT321" s="49"/>
      <c r="GU321" s="49"/>
      <c r="GV321" s="49"/>
      <c r="GW321" s="49"/>
      <c r="GX321" s="49"/>
      <c r="GY321" s="49"/>
      <c r="GZ321" s="49"/>
      <c r="HA321" s="49"/>
      <c r="HB321" s="49"/>
      <c r="HC321" s="49"/>
      <c r="HD321" s="49"/>
      <c r="HE321" s="49"/>
      <c r="HF321" s="49"/>
      <c r="HG321" s="49"/>
      <c r="HH321" s="49"/>
      <c r="HI321" s="49"/>
      <c r="HJ321" s="49"/>
      <c r="HK321" s="49"/>
      <c r="HL321" s="49"/>
      <c r="HM321" s="49"/>
    </row>
    <row r="322" spans="1:221" ht="2.25" customHeight="1">
      <c r="A322" s="1"/>
      <c r="B322" s="3"/>
      <c r="C322" s="3"/>
      <c r="D322" s="214"/>
      <c r="E322" s="645"/>
      <c r="F322" s="645"/>
      <c r="G322" s="645"/>
      <c r="H322" s="645"/>
      <c r="I322" s="645"/>
      <c r="J322" s="645"/>
      <c r="K322" s="645"/>
      <c r="L322" s="645"/>
      <c r="M322" s="645"/>
      <c r="N322" s="645"/>
      <c r="O322" s="645"/>
      <c r="P322" s="645"/>
      <c r="Q322" s="645"/>
      <c r="R322" s="645"/>
      <c r="S322" s="645"/>
      <c r="T322" s="645"/>
      <c r="U322" s="645"/>
      <c r="V322" s="645"/>
      <c r="W322" s="645"/>
      <c r="X322" s="645"/>
      <c r="Y322" s="645"/>
      <c r="Z322" s="645"/>
      <c r="AA322" s="645"/>
      <c r="AB322" s="645"/>
      <c r="AC322" s="645"/>
      <c r="AD322" s="645"/>
      <c r="AE322" s="645"/>
      <c r="AF322" s="645"/>
      <c r="AG322" s="645"/>
      <c r="AH322" s="645"/>
      <c r="AI322" s="645"/>
      <c r="AJ322" s="645"/>
      <c r="AK322" s="645"/>
      <c r="AL322" s="645"/>
      <c r="AM322" s="645"/>
      <c r="AN322" s="645"/>
      <c r="AO322" s="645"/>
      <c r="AP322" s="645"/>
      <c r="AQ322" s="645"/>
      <c r="AR322" s="645"/>
      <c r="AS322" s="645"/>
      <c r="AT322" s="645"/>
      <c r="AU322" s="645"/>
      <c r="AV322" s="645"/>
      <c r="AW322" s="645"/>
      <c r="AX322" s="645"/>
      <c r="AY322" s="645"/>
      <c r="AZ322" s="645"/>
      <c r="BA322" s="645"/>
      <c r="BB322" s="645"/>
      <c r="BC322" s="645"/>
      <c r="BD322" s="645"/>
      <c r="BE322" s="645"/>
      <c r="BF322" s="645"/>
      <c r="BG322" s="645"/>
      <c r="BH322" s="645"/>
      <c r="BI322" s="645"/>
      <c r="BJ322" s="645"/>
      <c r="BK322" s="645"/>
      <c r="BL322" s="645"/>
      <c r="BM322" s="645"/>
      <c r="BN322" s="645"/>
      <c r="BO322" s="645"/>
      <c r="BP322" s="645"/>
      <c r="BQ322" s="645"/>
      <c r="BR322" s="645"/>
      <c r="BS322" s="645"/>
      <c r="BT322" s="645"/>
      <c r="BU322" s="645"/>
      <c r="BV322" s="645"/>
      <c r="BW322" s="645"/>
      <c r="BX322" s="645"/>
      <c r="BY322" s="645"/>
      <c r="BZ322" s="645"/>
      <c r="CA322" s="645"/>
      <c r="CB322" s="645"/>
      <c r="CC322" s="645"/>
      <c r="CD322" s="645"/>
      <c r="CE322" s="645"/>
      <c r="CF322" s="645"/>
      <c r="CG322" s="39"/>
      <c r="CH322" s="39"/>
      <c r="CI322" s="39"/>
      <c r="CJ322" s="39"/>
      <c r="CK322" s="39"/>
      <c r="CL322" s="39"/>
      <c r="CM322" s="39"/>
      <c r="CN322" s="39"/>
      <c r="CO322" s="39"/>
      <c r="CP322" s="39"/>
      <c r="CQ322" s="39"/>
      <c r="CR322" s="39"/>
      <c r="CS322" s="39"/>
      <c r="CT322" s="39"/>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3"/>
      <c r="ES322" s="43"/>
      <c r="ET322" s="43"/>
      <c r="EU322" s="43"/>
      <c r="EV322" s="43"/>
      <c r="EW322" s="43"/>
      <c r="EX322" s="126"/>
      <c r="EY322" s="126"/>
      <c r="EZ322" s="126"/>
      <c r="FA322" s="126"/>
      <c r="FB322" s="126"/>
      <c r="FC322" s="126"/>
      <c r="FD322" s="126"/>
      <c r="FE322" s="126"/>
      <c r="FF322" s="126"/>
      <c r="FG322" s="44"/>
      <c r="FH322" s="43"/>
      <c r="FI322" s="79"/>
      <c r="FJ322" s="79"/>
      <c r="FK322" s="79"/>
      <c r="FL322" s="79"/>
      <c r="FM322" s="48"/>
      <c r="FN322" s="48"/>
      <c r="FO322" s="48"/>
      <c r="FP322" s="48"/>
      <c r="FQ322" s="48"/>
      <c r="FR322" s="48"/>
      <c r="FS322" s="48"/>
      <c r="FT322" s="48"/>
      <c r="FU322" s="48"/>
      <c r="FV322" s="48"/>
      <c r="FW322" s="48"/>
      <c r="FX322" s="48"/>
      <c r="FY322" s="48"/>
      <c r="FZ322" s="48"/>
      <c r="GA322" s="49"/>
      <c r="GB322" s="49"/>
      <c r="GC322" s="49"/>
      <c r="GD322" s="49"/>
      <c r="GE322" s="49"/>
      <c r="GF322" s="49"/>
      <c r="GG322" s="49"/>
      <c r="GH322" s="49"/>
      <c r="GI322" s="49"/>
      <c r="GJ322" s="49"/>
      <c r="GK322" s="49"/>
      <c r="GL322" s="49"/>
      <c r="GM322" s="49"/>
      <c r="GN322" s="49"/>
      <c r="GO322" s="49"/>
      <c r="GP322" s="49"/>
      <c r="GQ322" s="49"/>
      <c r="GR322" s="49"/>
      <c r="GS322" s="49"/>
      <c r="GT322" s="49"/>
      <c r="GU322" s="49"/>
      <c r="GV322" s="49"/>
      <c r="GW322" s="49"/>
      <c r="GX322" s="49"/>
      <c r="GY322" s="49"/>
      <c r="GZ322" s="49"/>
      <c r="HA322" s="49"/>
      <c r="HB322" s="49"/>
      <c r="HC322" s="49"/>
      <c r="HD322" s="49"/>
      <c r="HE322" s="49"/>
      <c r="HF322" s="49"/>
      <c r="HG322" s="49"/>
      <c r="HH322" s="49"/>
      <c r="HI322" s="49"/>
      <c r="HJ322" s="49"/>
      <c r="HK322" s="49"/>
      <c r="HL322" s="49"/>
      <c r="HM322" s="49"/>
    </row>
    <row r="323" spans="1:221" ht="9.75" customHeight="1">
      <c r="A323" s="1"/>
      <c r="B323" s="3"/>
      <c r="C323" s="3"/>
      <c r="D323" s="214"/>
      <c r="E323" s="214"/>
      <c r="F323" s="214"/>
      <c r="G323" s="214"/>
      <c r="H323" s="214"/>
      <c r="I323" s="214"/>
      <c r="J323" s="214"/>
      <c r="K323" s="214"/>
      <c r="L323" s="214"/>
      <c r="M323" s="214"/>
      <c r="N323" s="214"/>
      <c r="O323" s="214"/>
      <c r="P323" s="214"/>
      <c r="Q323" s="214"/>
      <c r="R323" s="214"/>
      <c r="S323" s="214"/>
      <c r="T323" s="214"/>
      <c r="U323" s="214"/>
      <c r="V323" s="214"/>
      <c r="W323" s="214"/>
      <c r="X323" s="214"/>
      <c r="Y323" s="214"/>
      <c r="Z323" s="214"/>
      <c r="AA323" s="214"/>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5"/>
      <c r="AY323" s="155"/>
      <c r="AZ323" s="155"/>
      <c r="BA323" s="155"/>
      <c r="BB323" s="155"/>
      <c r="BC323" s="155"/>
      <c r="BD323" s="155"/>
      <c r="BE323" s="155"/>
      <c r="BF323" s="155"/>
      <c r="BG323" s="155"/>
      <c r="BH323" s="155"/>
      <c r="BI323" s="155"/>
      <c r="BJ323" s="155"/>
      <c r="BK323" s="155"/>
      <c r="BL323" s="155"/>
      <c r="BM323" s="155"/>
      <c r="BN323" s="155"/>
      <c r="BO323" s="43"/>
      <c r="BP323" s="43"/>
      <c r="BQ323" s="43"/>
      <c r="BR323" s="43"/>
      <c r="BS323" s="147"/>
      <c r="BT323" s="43"/>
      <c r="BU323" s="43"/>
      <c r="BV323" s="43"/>
      <c r="BW323" s="43"/>
      <c r="BX323" s="43"/>
      <c r="BY323" s="43"/>
      <c r="BZ323" s="43"/>
      <c r="CA323" s="43"/>
      <c r="CB323" s="43"/>
      <c r="CC323" s="43"/>
      <c r="CD323" s="43"/>
      <c r="CE323" s="43"/>
      <c r="CF323" s="43"/>
      <c r="CG323" s="43"/>
      <c r="CH323" s="43"/>
      <c r="CI323" s="43"/>
      <c r="CJ323" s="43"/>
      <c r="CK323" s="43"/>
      <c r="CL323" s="43"/>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10"/>
      <c r="EY323" s="10"/>
      <c r="EZ323" s="10"/>
      <c r="FA323" s="10"/>
      <c r="FB323" s="10"/>
      <c r="FC323" s="10"/>
      <c r="FD323" s="10"/>
      <c r="FE323" s="10"/>
      <c r="FF323" s="10"/>
      <c r="FG323" s="114"/>
      <c r="FH323" s="79"/>
      <c r="FI323" s="79"/>
      <c r="FJ323" s="79"/>
      <c r="FK323" s="79"/>
      <c r="FL323" s="79"/>
      <c r="FM323" s="48"/>
      <c r="FN323" s="48"/>
      <c r="FO323" s="48"/>
      <c r="FP323" s="48"/>
      <c r="FQ323" s="48"/>
      <c r="FR323" s="48"/>
      <c r="FS323" s="48"/>
      <c r="FT323" s="48"/>
      <c r="FU323" s="48"/>
      <c r="FV323" s="48"/>
      <c r="FW323" s="48"/>
      <c r="FX323" s="48"/>
      <c r="FY323" s="48"/>
      <c r="FZ323" s="48"/>
      <c r="GA323" s="49"/>
      <c r="GB323" s="49"/>
      <c r="GC323" s="49"/>
      <c r="GD323" s="49"/>
      <c r="GE323" s="49"/>
      <c r="GF323" s="49"/>
      <c r="GG323" s="49"/>
      <c r="GH323" s="49"/>
      <c r="GI323" s="49"/>
      <c r="GJ323" s="49"/>
      <c r="GK323" s="49"/>
      <c r="GL323" s="49"/>
      <c r="GM323" s="49"/>
      <c r="GN323" s="49"/>
      <c r="GO323" s="49"/>
      <c r="GP323" s="49"/>
      <c r="GQ323" s="49"/>
      <c r="GR323" s="49"/>
      <c r="GS323" s="49"/>
      <c r="GT323" s="49"/>
      <c r="GU323" s="49"/>
      <c r="GV323" s="49"/>
      <c r="GW323" s="49"/>
      <c r="GX323" s="49"/>
      <c r="GY323" s="49"/>
      <c r="GZ323" s="49"/>
      <c r="HA323" s="49"/>
      <c r="HB323" s="49"/>
      <c r="HC323" s="49"/>
      <c r="HD323" s="49"/>
      <c r="HE323" s="49"/>
      <c r="HF323" s="49"/>
      <c r="HG323" s="49"/>
      <c r="HH323" s="49"/>
      <c r="HI323" s="49"/>
      <c r="HJ323" s="49"/>
      <c r="HK323" s="49"/>
      <c r="HL323" s="49"/>
      <c r="HM323" s="49"/>
    </row>
    <row r="324" spans="1:221" ht="3.75" customHeight="1">
      <c r="A324" s="1"/>
      <c r="B324" s="3"/>
      <c r="C324" s="3"/>
      <c r="D324" s="12"/>
      <c r="E324" s="39"/>
      <c r="F324" s="39"/>
      <c r="G324" s="39"/>
      <c r="H324" s="39"/>
      <c r="I324" s="39"/>
      <c r="J324" s="39"/>
      <c r="K324" s="39"/>
      <c r="L324" s="39"/>
      <c r="M324" s="39"/>
      <c r="N324" s="39"/>
      <c r="O324" s="39"/>
      <c r="P324" s="39"/>
      <c r="Q324" s="678" t="str">
        <f ca="1">IF($FN$305=0,"","€ 50")</f>
        <v/>
      </c>
      <c r="R324" s="678"/>
      <c r="S324" s="678"/>
      <c r="T324" s="678"/>
      <c r="U324" s="678"/>
      <c r="V324" s="678"/>
      <c r="W324" s="678"/>
      <c r="X324" s="678"/>
      <c r="Y324" s="678"/>
      <c r="Z324" s="43"/>
      <c r="AA324" s="156" t="str">
        <f t="shared" ref="AA324:AA355" ca="1" si="49">IF($FN$305=0,"","`")</f>
        <v/>
      </c>
      <c r="AB324" s="157"/>
      <c r="AC324" s="157"/>
      <c r="AD324" s="157"/>
      <c r="AE324" s="157"/>
      <c r="AF324" s="157"/>
      <c r="AG324" s="157"/>
      <c r="AH324" s="157"/>
      <c r="AI324" s="157"/>
      <c r="AJ324" s="157"/>
      <c r="AK324" s="157"/>
      <c r="AL324" s="157"/>
      <c r="AM324" s="157"/>
      <c r="AN324" s="157"/>
      <c r="AO324" s="157"/>
      <c r="AP324" s="157"/>
      <c r="AQ324" s="157"/>
      <c r="AR324" s="157"/>
      <c r="AS324" s="157"/>
      <c r="AT324" s="157"/>
      <c r="AU324" s="157"/>
      <c r="AV324" s="157"/>
      <c r="AW324" s="157"/>
      <c r="AX324" s="157"/>
      <c r="AY324" s="157"/>
      <c r="AZ324" s="157"/>
      <c r="BA324" s="157"/>
      <c r="BB324" s="157"/>
      <c r="BC324" s="157"/>
      <c r="BD324" s="157"/>
      <c r="BE324" s="157"/>
      <c r="BF324" s="157"/>
      <c r="BG324" s="157"/>
      <c r="BH324" s="157"/>
      <c r="BI324" s="157"/>
      <c r="BJ324" s="157"/>
      <c r="BK324" s="157"/>
      <c r="BL324" s="157"/>
      <c r="BM324" s="157"/>
      <c r="BN324" s="157"/>
      <c r="BO324" s="157"/>
      <c r="BP324" s="157"/>
      <c r="BQ324" s="157"/>
      <c r="BR324" s="157"/>
      <c r="BS324" s="157"/>
      <c r="BT324" s="157"/>
      <c r="BU324" s="157"/>
      <c r="BV324" s="157"/>
      <c r="BW324" s="157"/>
      <c r="BX324" s="157"/>
      <c r="BY324" s="157"/>
      <c r="BZ324" s="157"/>
      <c r="CA324" s="157"/>
      <c r="CB324" s="156"/>
      <c r="CC324" s="43"/>
      <c r="CD324" s="197"/>
      <c r="CE324" s="197"/>
      <c r="CF324" s="197"/>
      <c r="CG324" s="197"/>
      <c r="CH324" s="197"/>
      <c r="CI324" s="197"/>
      <c r="CJ324" s="79"/>
      <c r="CK324" s="79"/>
      <c r="CL324" s="79"/>
      <c r="CM324" s="79"/>
      <c r="CN324" s="79"/>
      <c r="CO324" s="79"/>
      <c r="CP324" s="79"/>
      <c r="CQ324" s="79"/>
      <c r="CR324" s="79"/>
      <c r="CS324" s="79"/>
      <c r="CT324" s="79"/>
      <c r="CU324" s="79"/>
      <c r="CV324" s="79"/>
      <c r="CW324" s="197"/>
      <c r="CX324" s="197"/>
      <c r="CY324" s="197"/>
      <c r="CZ324" s="197"/>
      <c r="DA324" s="197"/>
      <c r="DB324" s="197"/>
      <c r="DC324" s="197"/>
      <c r="DD324" s="197"/>
      <c r="DE324" s="197"/>
      <c r="DF324" s="197"/>
      <c r="DG324" s="197"/>
      <c r="DH324" s="197"/>
      <c r="DI324" s="197"/>
      <c r="DJ324" s="197"/>
      <c r="DK324" s="197"/>
      <c r="DL324" s="197"/>
      <c r="DM324" s="197"/>
      <c r="DN324" s="197"/>
      <c r="DO324" s="197"/>
      <c r="DP324" s="197"/>
      <c r="DQ324" s="197"/>
      <c r="DR324" s="197"/>
      <c r="DS324" s="197"/>
      <c r="DT324" s="197"/>
      <c r="DU324" s="197"/>
      <c r="DV324" s="197"/>
      <c r="DW324" s="197"/>
      <c r="DX324" s="197"/>
      <c r="DY324" s="197"/>
      <c r="DZ324" s="197"/>
      <c r="EA324" s="197"/>
      <c r="EB324" s="197"/>
      <c r="EC324" s="197"/>
      <c r="ED324" s="197"/>
      <c r="EE324" s="197"/>
      <c r="EF324" s="197"/>
      <c r="EG324" s="197"/>
      <c r="EH324" s="197"/>
      <c r="EI324" s="197"/>
      <c r="EJ324" s="197"/>
      <c r="EK324" s="43"/>
      <c r="EL324" s="43"/>
      <c r="EM324" s="43"/>
      <c r="EN324" s="43"/>
      <c r="EO324" s="43"/>
      <c r="EP324" s="43"/>
      <c r="EQ324" s="43"/>
      <c r="ER324" s="43"/>
      <c r="ES324" s="43"/>
      <c r="ET324" s="43"/>
      <c r="EU324" s="43"/>
      <c r="EV324" s="43"/>
      <c r="EW324" s="43"/>
      <c r="EX324" s="126"/>
      <c r="EY324" s="126"/>
      <c r="EZ324" s="10"/>
      <c r="FA324" s="10"/>
      <c r="FB324" s="10"/>
      <c r="FC324" s="10"/>
      <c r="FD324" s="10"/>
      <c r="FE324" s="10"/>
      <c r="FF324" s="10"/>
      <c r="FG324" s="10"/>
      <c r="FH324" s="79"/>
      <c r="FI324" s="79"/>
      <c r="FJ324" s="79"/>
      <c r="FK324" s="79"/>
      <c r="FL324" s="79"/>
      <c r="FM324" s="49"/>
      <c r="FN324" s="49"/>
      <c r="FO324" s="49"/>
      <c r="FP324" s="49"/>
      <c r="FQ324" s="49"/>
      <c r="FR324" s="49"/>
      <c r="FS324" s="49"/>
      <c r="FT324" s="49"/>
      <c r="FU324" s="49"/>
      <c r="FV324" s="48"/>
      <c r="FW324" s="48"/>
      <c r="FX324" s="48"/>
      <c r="FY324" s="48"/>
      <c r="FZ324" s="48"/>
      <c r="GA324" s="49"/>
      <c r="GB324" s="49"/>
      <c r="GC324" s="49"/>
      <c r="GD324" s="49"/>
      <c r="GE324" s="49"/>
      <c r="GF324" s="49"/>
      <c r="GG324" s="49"/>
      <c r="GH324" s="49"/>
      <c r="GI324" s="49"/>
      <c r="GJ324" s="49"/>
      <c r="GK324" s="49"/>
      <c r="GL324" s="49"/>
      <c r="GM324" s="49"/>
      <c r="GN324" s="49"/>
      <c r="GO324" s="49"/>
      <c r="GP324" s="49"/>
      <c r="GQ324" s="49"/>
      <c r="GR324" s="49"/>
      <c r="GS324" s="49"/>
      <c r="GT324" s="49"/>
      <c r="GU324" s="49"/>
      <c r="GV324" s="49"/>
      <c r="GW324" s="49"/>
      <c r="GX324" s="49"/>
      <c r="GY324" s="49"/>
      <c r="GZ324" s="49"/>
      <c r="HA324" s="49"/>
      <c r="HB324" s="49"/>
      <c r="HC324" s="49"/>
      <c r="HD324" s="49"/>
      <c r="HE324" s="49"/>
      <c r="HF324" s="49"/>
      <c r="HG324" s="49"/>
      <c r="HH324" s="49"/>
      <c r="HI324" s="49"/>
      <c r="HJ324" s="49"/>
      <c r="HK324" s="49"/>
      <c r="HL324" s="49"/>
      <c r="HM324" s="49"/>
    </row>
    <row r="325" spans="1:221" ht="3.75" customHeight="1" thickBot="1">
      <c r="A325" s="1"/>
      <c r="B325" s="3"/>
      <c r="C325" s="3"/>
      <c r="D325" s="12"/>
      <c r="E325" s="39"/>
      <c r="F325" s="39"/>
      <c r="G325" s="39"/>
      <c r="H325" s="39"/>
      <c r="I325" s="39"/>
      <c r="J325" s="39"/>
      <c r="K325" s="39"/>
      <c r="L325" s="39"/>
      <c r="M325" s="39"/>
      <c r="N325" s="39"/>
      <c r="O325" s="39"/>
      <c r="P325" s="39"/>
      <c r="Q325" s="678"/>
      <c r="R325" s="678"/>
      <c r="S325" s="678"/>
      <c r="T325" s="678"/>
      <c r="U325" s="678"/>
      <c r="V325" s="678"/>
      <c r="W325" s="678"/>
      <c r="X325" s="678"/>
      <c r="Y325" s="678"/>
      <c r="Z325" s="158"/>
      <c r="AA325" s="156" t="str">
        <f t="shared" ca="1" si="49"/>
        <v/>
      </c>
      <c r="AB325" s="157"/>
      <c r="AC325" s="157"/>
      <c r="AD325" s="157"/>
      <c r="AE325" s="157"/>
      <c r="AF325" s="157"/>
      <c r="AG325" s="157"/>
      <c r="AH325" s="157"/>
      <c r="AI325" s="157"/>
      <c r="AJ325" s="157"/>
      <c r="AK325" s="157"/>
      <c r="AL325" s="157"/>
      <c r="AM325" s="157"/>
      <c r="AN325" s="157"/>
      <c r="AO325" s="157"/>
      <c r="AP325" s="157"/>
      <c r="AQ325" s="157"/>
      <c r="AR325" s="157"/>
      <c r="AS325" s="157"/>
      <c r="AT325" s="157"/>
      <c r="AU325" s="157"/>
      <c r="AV325" s="157"/>
      <c r="AW325" s="157"/>
      <c r="AX325" s="157"/>
      <c r="AY325" s="157"/>
      <c r="AZ325" s="157"/>
      <c r="BA325" s="157"/>
      <c r="BB325" s="157"/>
      <c r="BC325" s="157"/>
      <c r="BD325" s="157"/>
      <c r="BE325" s="157"/>
      <c r="BF325" s="157"/>
      <c r="BG325" s="157"/>
      <c r="BH325" s="157"/>
      <c r="BI325" s="157"/>
      <c r="BJ325" s="157"/>
      <c r="BK325" s="157"/>
      <c r="BL325" s="157"/>
      <c r="BM325" s="157"/>
      <c r="BN325" s="157"/>
      <c r="BO325" s="157"/>
      <c r="BP325" s="157"/>
      <c r="BQ325" s="157"/>
      <c r="BR325" s="157"/>
      <c r="BS325" s="157"/>
      <c r="BT325" s="157"/>
      <c r="BU325" s="157"/>
      <c r="BV325" s="157"/>
      <c r="BW325" s="157"/>
      <c r="BX325" s="157"/>
      <c r="BY325" s="157"/>
      <c r="BZ325" s="157"/>
      <c r="CA325" s="157"/>
      <c r="CB325" s="156"/>
      <c r="CC325" s="43"/>
      <c r="CD325" s="167"/>
      <c r="CE325" s="167"/>
      <c r="CF325" s="197"/>
      <c r="CG325" s="197"/>
      <c r="CH325" s="197"/>
      <c r="CI325" s="54"/>
      <c r="CJ325" s="683" t="str">
        <f ca="1">IF(FO317&gt;0,"De gemiddelde totale opbrengst bij een afzet van "&amp;FO317&amp;" stuks is € "&amp;FT311&amp;" en de gemiddelde totale kosten zijn € "&amp;FW317&amp;".","")</f>
        <v/>
      </c>
      <c r="CK325" s="645"/>
      <c r="CL325" s="645"/>
      <c r="CM325" s="645"/>
      <c r="CN325" s="645"/>
      <c r="CO325" s="645"/>
      <c r="CP325" s="645"/>
      <c r="CQ325" s="645"/>
      <c r="CR325" s="645"/>
      <c r="CS325" s="645"/>
      <c r="CT325" s="645"/>
      <c r="CU325" s="645"/>
      <c r="CV325" s="645"/>
      <c r="CW325" s="645"/>
      <c r="CX325" s="645"/>
      <c r="CY325" s="645"/>
      <c r="CZ325" s="645"/>
      <c r="DA325" s="645"/>
      <c r="DB325" s="645"/>
      <c r="DC325" s="645"/>
      <c r="DD325" s="645"/>
      <c r="DE325" s="645"/>
      <c r="DF325" s="645"/>
      <c r="DG325" s="645"/>
      <c r="DH325" s="645"/>
      <c r="DI325" s="645"/>
      <c r="DJ325" s="645"/>
      <c r="DK325" s="645"/>
      <c r="DL325" s="645"/>
      <c r="DM325" s="645"/>
      <c r="DN325" s="645"/>
      <c r="DO325" s="645"/>
      <c r="DP325" s="645"/>
      <c r="DQ325" s="645"/>
      <c r="DR325" s="645"/>
      <c r="DS325" s="645"/>
      <c r="DT325" s="645"/>
      <c r="DU325" s="645"/>
      <c r="DV325" s="645"/>
      <c r="DW325" s="645"/>
      <c r="DX325" s="645"/>
      <c r="DY325" s="645"/>
      <c r="DZ325" s="645"/>
      <c r="EA325" s="645"/>
      <c r="EB325" s="645"/>
      <c r="EC325" s="645"/>
      <c r="ED325" s="645"/>
      <c r="EE325" s="645"/>
      <c r="EF325" s="645"/>
      <c r="EG325" s="645"/>
      <c r="EH325" s="645"/>
      <c r="EI325" s="645"/>
      <c r="EJ325" s="645"/>
      <c r="EK325" s="645"/>
      <c r="EL325" s="645"/>
      <c r="EM325" s="645"/>
      <c r="EN325" s="645"/>
      <c r="EO325" s="645"/>
      <c r="EP325" s="645"/>
      <c r="EQ325" s="645"/>
      <c r="ER325" s="645"/>
      <c r="ES325" s="645"/>
      <c r="ET325" s="645"/>
      <c r="EU325" s="43"/>
      <c r="EV325" s="43"/>
      <c r="EW325" s="43"/>
      <c r="EX325" s="43"/>
      <c r="EY325" s="43"/>
      <c r="EZ325" s="79"/>
      <c r="FA325" s="79"/>
      <c r="FB325" s="79"/>
      <c r="FC325" s="79"/>
      <c r="FD325" s="79"/>
      <c r="FE325" s="79"/>
      <c r="FF325" s="79"/>
      <c r="FG325" s="79"/>
      <c r="FH325" s="79"/>
      <c r="FI325" s="79"/>
      <c r="FJ325" s="79"/>
      <c r="FK325" s="79"/>
      <c r="FL325" s="79"/>
      <c r="FM325" s="49"/>
      <c r="FN325" s="49"/>
      <c r="FO325" s="49"/>
      <c r="FP325" s="49"/>
      <c r="FQ325" s="49"/>
      <c r="FR325" s="49"/>
      <c r="FS325" s="49"/>
      <c r="FT325" s="49">
        <v>0</v>
      </c>
      <c r="FU325" s="49">
        <v>0</v>
      </c>
      <c r="FV325" s="48"/>
      <c r="FW325" s="48"/>
      <c r="FX325" s="48"/>
      <c r="FY325" s="48"/>
      <c r="FZ325" s="48"/>
      <c r="GA325" s="49"/>
      <c r="GB325" s="49"/>
      <c r="GC325" s="49"/>
      <c r="GD325" s="49"/>
      <c r="GE325" s="49"/>
      <c r="GF325" s="49"/>
      <c r="GG325" s="49"/>
      <c r="GH325" s="49"/>
      <c r="GI325" s="49"/>
      <c r="GJ325" s="49"/>
      <c r="GK325" s="49"/>
      <c r="GL325" s="49"/>
      <c r="GM325" s="49"/>
      <c r="GN325" s="49"/>
      <c r="GO325" s="49"/>
      <c r="GP325" s="49"/>
      <c r="GQ325" s="49"/>
      <c r="GR325" s="49"/>
      <c r="GS325" s="49"/>
      <c r="GT325" s="49"/>
      <c r="GU325" s="49"/>
      <c r="GV325" s="49"/>
      <c r="GW325" s="49"/>
      <c r="GX325" s="49"/>
      <c r="GY325" s="49"/>
      <c r="GZ325" s="49"/>
      <c r="HA325" s="49"/>
      <c r="HB325" s="49"/>
      <c r="HC325" s="49"/>
      <c r="HD325" s="49"/>
      <c r="HE325" s="49"/>
      <c r="HF325" s="49"/>
      <c r="HG325" s="49"/>
      <c r="HH325" s="49"/>
      <c r="HI325" s="49"/>
      <c r="HJ325" s="49"/>
      <c r="HK325" s="49"/>
      <c r="HL325" s="49"/>
      <c r="HM325" s="49"/>
    </row>
    <row r="326" spans="1:221" ht="3.75" customHeight="1">
      <c r="A326" s="1"/>
      <c r="B326" s="3"/>
      <c r="C326" s="3"/>
      <c r="D326" s="12"/>
      <c r="E326" s="39"/>
      <c r="F326" s="39"/>
      <c r="G326" s="39"/>
      <c r="H326" s="39"/>
      <c r="I326" s="39"/>
      <c r="J326" s="39"/>
      <c r="K326" s="197"/>
      <c r="L326" s="197"/>
      <c r="M326" s="197">
        <v>500</v>
      </c>
      <c r="N326" s="197"/>
      <c r="O326" s="197"/>
      <c r="P326" s="197"/>
      <c r="Q326" s="678"/>
      <c r="R326" s="678"/>
      <c r="S326" s="678"/>
      <c r="T326" s="678"/>
      <c r="U326" s="678"/>
      <c r="V326" s="678"/>
      <c r="W326" s="678"/>
      <c r="X326" s="678"/>
      <c r="Y326" s="678"/>
      <c r="Z326" s="43"/>
      <c r="AA326" s="156" t="str">
        <f t="shared" ca="1" si="49"/>
        <v/>
      </c>
      <c r="AB326" s="159" t="e">
        <f t="shared" ref="AB326:BG326" ca="1" si="50">IF(AB564=4,":",IF(AB564=5,"!",IF(AB564=3,",",IF(AB564=2,"^",IF(AND($FO$317&gt;=AB$383,$FS$311&gt;=$M326,$FS$317&lt;$M326),"~",IF(AND($FO$317&gt;=AB$383,$FS$311&lt;$M326,$FS$317&gt;=$M326),"*",IF(OR($FO$317&lt;AB$383,$FS$317&lt;$M326),"","+")))))))</f>
        <v>#DIV/0!</v>
      </c>
      <c r="AC326" s="159" t="e">
        <f t="shared" ca="1" si="50"/>
        <v>#DIV/0!</v>
      </c>
      <c r="AD326" s="159" t="e">
        <f t="shared" ca="1" si="50"/>
        <v>#DIV/0!</v>
      </c>
      <c r="AE326" s="159" t="e">
        <f t="shared" ca="1" si="50"/>
        <v>#DIV/0!</v>
      </c>
      <c r="AF326" s="159" t="e">
        <f t="shared" ca="1" si="50"/>
        <v>#DIV/0!</v>
      </c>
      <c r="AG326" s="159" t="e">
        <f t="shared" ca="1" si="50"/>
        <v>#DIV/0!</v>
      </c>
      <c r="AH326" s="159" t="e">
        <f t="shared" ca="1" si="50"/>
        <v>#DIV/0!</v>
      </c>
      <c r="AI326" s="159" t="e">
        <f t="shared" ca="1" si="50"/>
        <v>#DIV/0!</v>
      </c>
      <c r="AJ326" s="159" t="e">
        <f t="shared" ca="1" si="50"/>
        <v>#DIV/0!</v>
      </c>
      <c r="AK326" s="159" t="e">
        <f t="shared" ca="1" si="50"/>
        <v>#DIV/0!</v>
      </c>
      <c r="AL326" s="159" t="e">
        <f t="shared" ca="1" si="50"/>
        <v>#DIV/0!</v>
      </c>
      <c r="AM326" s="159" t="e">
        <f t="shared" ca="1" si="50"/>
        <v>#DIV/0!</v>
      </c>
      <c r="AN326" s="159" t="e">
        <f t="shared" ca="1" si="50"/>
        <v>#DIV/0!</v>
      </c>
      <c r="AO326" s="159" t="e">
        <f t="shared" ca="1" si="50"/>
        <v>#DIV/0!</v>
      </c>
      <c r="AP326" s="159" t="e">
        <f t="shared" ca="1" si="50"/>
        <v>#DIV/0!</v>
      </c>
      <c r="AQ326" s="159" t="e">
        <f t="shared" ca="1" si="50"/>
        <v>#DIV/0!</v>
      </c>
      <c r="AR326" s="159" t="e">
        <f t="shared" ca="1" si="50"/>
        <v>#DIV/0!</v>
      </c>
      <c r="AS326" s="159" t="e">
        <f t="shared" ca="1" si="50"/>
        <v>#DIV/0!</v>
      </c>
      <c r="AT326" s="159" t="e">
        <f t="shared" ca="1" si="50"/>
        <v>#DIV/0!</v>
      </c>
      <c r="AU326" s="159" t="e">
        <f t="shared" ca="1" si="50"/>
        <v>#DIV/0!</v>
      </c>
      <c r="AV326" s="159" t="e">
        <f t="shared" ca="1" si="50"/>
        <v>#DIV/0!</v>
      </c>
      <c r="AW326" s="159" t="e">
        <f t="shared" ca="1" si="50"/>
        <v>#DIV/0!</v>
      </c>
      <c r="AX326" s="159" t="e">
        <f t="shared" ca="1" si="50"/>
        <v>#DIV/0!</v>
      </c>
      <c r="AY326" s="159" t="e">
        <f t="shared" ca="1" si="50"/>
        <v>#DIV/0!</v>
      </c>
      <c r="AZ326" s="159" t="e">
        <f t="shared" ca="1" si="50"/>
        <v>#DIV/0!</v>
      </c>
      <c r="BA326" s="159" t="e">
        <f t="shared" ca="1" si="50"/>
        <v>#DIV/0!</v>
      </c>
      <c r="BB326" s="159" t="e">
        <f t="shared" ca="1" si="50"/>
        <v>#DIV/0!</v>
      </c>
      <c r="BC326" s="159" t="e">
        <f t="shared" ca="1" si="50"/>
        <v>#DIV/0!</v>
      </c>
      <c r="BD326" s="159" t="e">
        <f t="shared" ca="1" si="50"/>
        <v>#DIV/0!</v>
      </c>
      <c r="BE326" s="159" t="e">
        <f t="shared" ca="1" si="50"/>
        <v>#DIV/0!</v>
      </c>
      <c r="BF326" s="159" t="e">
        <f t="shared" ca="1" si="50"/>
        <v>#DIV/0!</v>
      </c>
      <c r="BG326" s="159" t="e">
        <f t="shared" ca="1" si="50"/>
        <v>#DIV/0!</v>
      </c>
      <c r="BH326" s="159" t="e">
        <f t="shared" ref="BH326:BX326" ca="1" si="51">IF(BH564=4,":",IF(BH564=5,"!",IF(BH564=3,",",IF(BH564=2,"^",IF(AND($FO$317&gt;=BH$383,$FS$311&gt;=$M326,$FS$317&lt;$M326),"~",IF(AND($FO$317&gt;=BH$383,$FS$311&lt;$M326,$FS$317&gt;=$M326),"*",IF(OR($FO$317&lt;BH$383,$FS$317&lt;$M326),"","+")))))))</f>
        <v>#DIV/0!</v>
      </c>
      <c r="BI326" s="159" t="e">
        <f t="shared" ca="1" si="51"/>
        <v>#DIV/0!</v>
      </c>
      <c r="BJ326" s="159" t="e">
        <f t="shared" ca="1" si="51"/>
        <v>#DIV/0!</v>
      </c>
      <c r="BK326" s="159" t="e">
        <f t="shared" ca="1" si="51"/>
        <v>#DIV/0!</v>
      </c>
      <c r="BL326" s="159" t="e">
        <f t="shared" ca="1" si="51"/>
        <v>#DIV/0!</v>
      </c>
      <c r="BM326" s="159" t="e">
        <f t="shared" ca="1" si="51"/>
        <v>#DIV/0!</v>
      </c>
      <c r="BN326" s="159" t="e">
        <f t="shared" ca="1" si="51"/>
        <v>#DIV/0!</v>
      </c>
      <c r="BO326" s="159" t="e">
        <f t="shared" ca="1" si="51"/>
        <v>#DIV/0!</v>
      </c>
      <c r="BP326" s="159" t="e">
        <f t="shared" ca="1" si="51"/>
        <v>#DIV/0!</v>
      </c>
      <c r="BQ326" s="159" t="e">
        <f t="shared" ca="1" si="51"/>
        <v>#DIV/0!</v>
      </c>
      <c r="BR326" s="159" t="e">
        <f t="shared" ca="1" si="51"/>
        <v>#DIV/0!</v>
      </c>
      <c r="BS326" s="159" t="e">
        <f t="shared" ca="1" si="51"/>
        <v>#DIV/0!</v>
      </c>
      <c r="BT326" s="159" t="e">
        <f t="shared" ca="1" si="51"/>
        <v>#DIV/0!</v>
      </c>
      <c r="BU326" s="159" t="e">
        <f t="shared" ca="1" si="51"/>
        <v>#DIV/0!</v>
      </c>
      <c r="BV326" s="159" t="e">
        <f t="shared" ca="1" si="51"/>
        <v>#DIV/0!</v>
      </c>
      <c r="BW326" s="159" t="e">
        <f t="shared" ca="1" si="51"/>
        <v>#DIV/0!</v>
      </c>
      <c r="BX326" s="159" t="e">
        <f t="shared" ca="1" si="51"/>
        <v>#DIV/0!</v>
      </c>
      <c r="BY326" s="159" t="e">
        <f ca="1">IF(BY564=3,",",IF(BY564=1,"`",IF(BY564=2,";",IF(AND($FO$317&gt;=BY$383,$FS$317&gt;=$M326,$FS$315&lt;$M326),"*",IF(OR($FO$317&lt;=BX$383,$FS$315&lt;$M326),"","+")))))</f>
        <v>#DIV/0!</v>
      </c>
      <c r="BZ326" s="160"/>
      <c r="CA326" s="57"/>
      <c r="CB326" s="57"/>
      <c r="CC326" s="197"/>
      <c r="CD326" s="197"/>
      <c r="CE326" s="197"/>
      <c r="CF326" s="197"/>
      <c r="CG326" s="197"/>
      <c r="CH326" s="197"/>
      <c r="CI326" s="197"/>
      <c r="CJ326" s="645"/>
      <c r="CK326" s="645"/>
      <c r="CL326" s="645"/>
      <c r="CM326" s="645"/>
      <c r="CN326" s="645"/>
      <c r="CO326" s="645"/>
      <c r="CP326" s="645"/>
      <c r="CQ326" s="645"/>
      <c r="CR326" s="645"/>
      <c r="CS326" s="645"/>
      <c r="CT326" s="645"/>
      <c r="CU326" s="645"/>
      <c r="CV326" s="645"/>
      <c r="CW326" s="645"/>
      <c r="CX326" s="645"/>
      <c r="CY326" s="645"/>
      <c r="CZ326" s="645"/>
      <c r="DA326" s="645"/>
      <c r="DB326" s="645"/>
      <c r="DC326" s="645"/>
      <c r="DD326" s="645"/>
      <c r="DE326" s="645"/>
      <c r="DF326" s="645"/>
      <c r="DG326" s="645"/>
      <c r="DH326" s="645"/>
      <c r="DI326" s="645"/>
      <c r="DJ326" s="645"/>
      <c r="DK326" s="645"/>
      <c r="DL326" s="645"/>
      <c r="DM326" s="645"/>
      <c r="DN326" s="645"/>
      <c r="DO326" s="645"/>
      <c r="DP326" s="645"/>
      <c r="DQ326" s="645"/>
      <c r="DR326" s="645"/>
      <c r="DS326" s="645"/>
      <c r="DT326" s="645"/>
      <c r="DU326" s="645"/>
      <c r="DV326" s="645"/>
      <c r="DW326" s="645"/>
      <c r="DX326" s="645"/>
      <c r="DY326" s="645"/>
      <c r="DZ326" s="645"/>
      <c r="EA326" s="645"/>
      <c r="EB326" s="645"/>
      <c r="EC326" s="645"/>
      <c r="ED326" s="645"/>
      <c r="EE326" s="645"/>
      <c r="EF326" s="645"/>
      <c r="EG326" s="645"/>
      <c r="EH326" s="645"/>
      <c r="EI326" s="645"/>
      <c r="EJ326" s="645"/>
      <c r="EK326" s="645"/>
      <c r="EL326" s="645"/>
      <c r="EM326" s="645"/>
      <c r="EN326" s="645"/>
      <c r="EO326" s="645"/>
      <c r="EP326" s="645"/>
      <c r="EQ326" s="645"/>
      <c r="ER326" s="645"/>
      <c r="ES326" s="645"/>
      <c r="ET326" s="645"/>
      <c r="EU326" s="43"/>
      <c r="EV326" s="43"/>
      <c r="EW326" s="43"/>
      <c r="EX326" s="43"/>
      <c r="EY326" s="43"/>
      <c r="EZ326" s="79"/>
      <c r="FA326" s="79"/>
      <c r="FB326" s="79"/>
      <c r="FC326" s="79"/>
      <c r="FD326" s="79"/>
      <c r="FE326" s="79"/>
      <c r="FF326" s="79"/>
      <c r="FG326" s="79"/>
      <c r="FH326" s="79"/>
      <c r="FI326" s="79"/>
      <c r="FJ326" s="79"/>
      <c r="FK326" s="79"/>
      <c r="FL326" s="79"/>
      <c r="FM326" s="49"/>
      <c r="FN326" s="49"/>
      <c r="FO326" s="49"/>
      <c r="FP326" s="49"/>
      <c r="FQ326" s="49"/>
      <c r="FR326" s="49"/>
      <c r="FS326" s="49"/>
      <c r="FT326" s="49"/>
      <c r="FU326" s="49"/>
      <c r="FV326" s="48"/>
      <c r="FW326" s="48"/>
      <c r="FX326" s="48"/>
      <c r="FY326" s="48"/>
      <c r="FZ326" s="48"/>
      <c r="GA326" s="49"/>
      <c r="GB326" s="49"/>
      <c r="GC326" s="49"/>
      <c r="GD326" s="49"/>
      <c r="GE326" s="49"/>
      <c r="GF326" s="49"/>
      <c r="GG326" s="49"/>
      <c r="GH326" s="49"/>
      <c r="GI326" s="49"/>
      <c r="GJ326" s="49"/>
      <c r="GK326" s="49"/>
      <c r="GL326" s="49"/>
      <c r="GM326" s="49"/>
      <c r="GN326" s="49"/>
      <c r="GO326" s="49"/>
      <c r="GP326" s="49"/>
      <c r="GQ326" s="49"/>
      <c r="GR326" s="49"/>
      <c r="GS326" s="49"/>
      <c r="GT326" s="49"/>
      <c r="GU326" s="49"/>
      <c r="GV326" s="49"/>
      <c r="GW326" s="49"/>
      <c r="GX326" s="49"/>
      <c r="GY326" s="49"/>
      <c r="GZ326" s="49"/>
      <c r="HA326" s="49"/>
      <c r="HB326" s="49"/>
      <c r="HC326" s="49"/>
      <c r="HD326" s="49"/>
      <c r="HE326" s="49"/>
      <c r="HF326" s="49"/>
      <c r="HG326" s="49"/>
      <c r="HH326" s="49"/>
      <c r="HI326" s="49"/>
      <c r="HJ326" s="49"/>
      <c r="HK326" s="49"/>
      <c r="HL326" s="49"/>
      <c r="HM326" s="49"/>
    </row>
    <row r="327" spans="1:221" ht="3.75" customHeight="1">
      <c r="A327" s="1"/>
      <c r="B327" s="3"/>
      <c r="C327" s="3"/>
      <c r="D327" s="12"/>
      <c r="E327" s="39"/>
      <c r="F327" s="39"/>
      <c r="G327" s="39"/>
      <c r="H327" s="39"/>
      <c r="I327" s="39"/>
      <c r="J327" s="39"/>
      <c r="K327" s="197"/>
      <c r="L327" s="197"/>
      <c r="M327" s="197">
        <v>490</v>
      </c>
      <c r="N327" s="197"/>
      <c r="O327" s="197"/>
      <c r="P327" s="201"/>
      <c r="Q327" s="678"/>
      <c r="R327" s="678"/>
      <c r="S327" s="678"/>
      <c r="T327" s="678"/>
      <c r="U327" s="678"/>
      <c r="V327" s="678"/>
      <c r="W327" s="678"/>
      <c r="X327" s="678"/>
      <c r="Y327" s="678"/>
      <c r="Z327" s="43"/>
      <c r="AA327" s="156" t="str">
        <f t="shared" ca="1" si="49"/>
        <v/>
      </c>
      <c r="AB327" s="159" t="e">
        <f t="shared" ref="AB327:BG327" ca="1" si="52">IF(AB565=4,":",IF(AB565=5,"!",IF(AB565=3,",",IF(AB565=2,"^",IF(AND($FO$317&gt;=AB$383,$FS$311&gt;=$M327,$FS$317&lt;$M327),"~",IF(AND($FO$317&gt;=AB$383,$FS$311&lt;$M327,$FS$317&gt;=$M327),"*",IF(OR($FO$317&lt;AB$383,$FS$317&lt;$M327),"","+")))))))</f>
        <v>#DIV/0!</v>
      </c>
      <c r="AC327" s="159" t="e">
        <f t="shared" ca="1" si="52"/>
        <v>#DIV/0!</v>
      </c>
      <c r="AD327" s="159" t="e">
        <f t="shared" ca="1" si="52"/>
        <v>#DIV/0!</v>
      </c>
      <c r="AE327" s="159" t="e">
        <f t="shared" ca="1" si="52"/>
        <v>#DIV/0!</v>
      </c>
      <c r="AF327" s="159" t="e">
        <f t="shared" ca="1" si="52"/>
        <v>#DIV/0!</v>
      </c>
      <c r="AG327" s="159" t="e">
        <f t="shared" ca="1" si="52"/>
        <v>#DIV/0!</v>
      </c>
      <c r="AH327" s="159" t="e">
        <f t="shared" ca="1" si="52"/>
        <v>#DIV/0!</v>
      </c>
      <c r="AI327" s="159" t="e">
        <f t="shared" ca="1" si="52"/>
        <v>#DIV/0!</v>
      </c>
      <c r="AJ327" s="159" t="e">
        <f t="shared" ca="1" si="52"/>
        <v>#DIV/0!</v>
      </c>
      <c r="AK327" s="159" t="e">
        <f t="shared" ca="1" si="52"/>
        <v>#DIV/0!</v>
      </c>
      <c r="AL327" s="159" t="e">
        <f t="shared" ca="1" si="52"/>
        <v>#DIV/0!</v>
      </c>
      <c r="AM327" s="159" t="e">
        <f t="shared" ca="1" si="52"/>
        <v>#DIV/0!</v>
      </c>
      <c r="AN327" s="159" t="e">
        <f t="shared" ca="1" si="52"/>
        <v>#DIV/0!</v>
      </c>
      <c r="AO327" s="159" t="e">
        <f t="shared" ca="1" si="52"/>
        <v>#DIV/0!</v>
      </c>
      <c r="AP327" s="159" t="e">
        <f t="shared" ca="1" si="52"/>
        <v>#DIV/0!</v>
      </c>
      <c r="AQ327" s="159" t="e">
        <f t="shared" ca="1" si="52"/>
        <v>#DIV/0!</v>
      </c>
      <c r="AR327" s="159" t="e">
        <f t="shared" ca="1" si="52"/>
        <v>#DIV/0!</v>
      </c>
      <c r="AS327" s="159" t="e">
        <f t="shared" ca="1" si="52"/>
        <v>#DIV/0!</v>
      </c>
      <c r="AT327" s="159" t="e">
        <f t="shared" ca="1" si="52"/>
        <v>#DIV/0!</v>
      </c>
      <c r="AU327" s="159" t="e">
        <f t="shared" ca="1" si="52"/>
        <v>#DIV/0!</v>
      </c>
      <c r="AV327" s="159" t="e">
        <f t="shared" ca="1" si="52"/>
        <v>#DIV/0!</v>
      </c>
      <c r="AW327" s="159" t="e">
        <f t="shared" ca="1" si="52"/>
        <v>#DIV/0!</v>
      </c>
      <c r="AX327" s="159" t="e">
        <f t="shared" ca="1" si="52"/>
        <v>#DIV/0!</v>
      </c>
      <c r="AY327" s="159" t="e">
        <f t="shared" ca="1" si="52"/>
        <v>#DIV/0!</v>
      </c>
      <c r="AZ327" s="159" t="e">
        <f t="shared" ca="1" si="52"/>
        <v>#DIV/0!</v>
      </c>
      <c r="BA327" s="159" t="e">
        <f t="shared" ca="1" si="52"/>
        <v>#DIV/0!</v>
      </c>
      <c r="BB327" s="159" t="e">
        <f t="shared" ca="1" si="52"/>
        <v>#DIV/0!</v>
      </c>
      <c r="BC327" s="159" t="e">
        <f t="shared" ca="1" si="52"/>
        <v>#DIV/0!</v>
      </c>
      <c r="BD327" s="159" t="e">
        <f t="shared" ca="1" si="52"/>
        <v>#DIV/0!</v>
      </c>
      <c r="BE327" s="159" t="e">
        <f t="shared" ca="1" si="52"/>
        <v>#DIV/0!</v>
      </c>
      <c r="BF327" s="159" t="e">
        <f t="shared" ca="1" si="52"/>
        <v>#DIV/0!</v>
      </c>
      <c r="BG327" s="159" t="e">
        <f t="shared" ca="1" si="52"/>
        <v>#DIV/0!</v>
      </c>
      <c r="BH327" s="159" t="e">
        <f t="shared" ref="BH327:BX327" ca="1" si="53">IF(BH565=4,":",IF(BH565=5,"!",IF(BH565=3,",",IF(BH565=2,"^",IF(AND($FO$317&gt;=BH$383,$FS$311&gt;=$M327,$FS$317&lt;$M327),"~",IF(AND($FO$317&gt;=BH$383,$FS$311&lt;$M327,$FS$317&gt;=$M327),"*",IF(OR($FO$317&lt;BH$383,$FS$317&lt;$M327),"","+")))))))</f>
        <v>#DIV/0!</v>
      </c>
      <c r="BI327" s="159" t="e">
        <f t="shared" ca="1" si="53"/>
        <v>#DIV/0!</v>
      </c>
      <c r="BJ327" s="159" t="e">
        <f t="shared" ca="1" si="53"/>
        <v>#DIV/0!</v>
      </c>
      <c r="BK327" s="159" t="e">
        <f t="shared" ca="1" si="53"/>
        <v>#DIV/0!</v>
      </c>
      <c r="BL327" s="159" t="e">
        <f t="shared" ca="1" si="53"/>
        <v>#DIV/0!</v>
      </c>
      <c r="BM327" s="159" t="e">
        <f t="shared" ca="1" si="53"/>
        <v>#DIV/0!</v>
      </c>
      <c r="BN327" s="159" t="e">
        <f t="shared" ca="1" si="53"/>
        <v>#DIV/0!</v>
      </c>
      <c r="BO327" s="159" t="e">
        <f t="shared" ca="1" si="53"/>
        <v>#DIV/0!</v>
      </c>
      <c r="BP327" s="159" t="e">
        <f t="shared" ca="1" si="53"/>
        <v>#DIV/0!</v>
      </c>
      <c r="BQ327" s="159" t="e">
        <f t="shared" ca="1" si="53"/>
        <v>#DIV/0!</v>
      </c>
      <c r="BR327" s="159" t="e">
        <f t="shared" ca="1" si="53"/>
        <v>#DIV/0!</v>
      </c>
      <c r="BS327" s="159" t="e">
        <f t="shared" ca="1" si="53"/>
        <v>#DIV/0!</v>
      </c>
      <c r="BT327" s="159" t="e">
        <f t="shared" ca="1" si="53"/>
        <v>#DIV/0!</v>
      </c>
      <c r="BU327" s="159" t="e">
        <f t="shared" ca="1" si="53"/>
        <v>#DIV/0!</v>
      </c>
      <c r="BV327" s="159" t="e">
        <f t="shared" ca="1" si="53"/>
        <v>#DIV/0!</v>
      </c>
      <c r="BW327" s="159" t="e">
        <f t="shared" ca="1" si="53"/>
        <v>#DIV/0!</v>
      </c>
      <c r="BX327" s="159" t="e">
        <f t="shared" ca="1" si="53"/>
        <v>#DIV/0!</v>
      </c>
      <c r="BY327" s="159" t="e">
        <f t="shared" ref="BY327:BY374" ca="1" si="54">IF(BY565=3,"`",IF(BY565=1,",",IF(BY565=2,";",IF(AND($FO$317&gt;=BY$383,$FS$317&gt;=$M327,$FS$315&lt;$M327),"*",IF(OR($FO$317&lt;=BX$383,$FS$315&lt;$M327),"","+")))))</f>
        <v>#DIV/0!</v>
      </c>
      <c r="BZ327" s="160"/>
      <c r="CA327" s="57"/>
      <c r="CB327" s="58"/>
      <c r="CC327" s="38"/>
      <c r="CD327" s="197"/>
      <c r="CE327" s="197"/>
      <c r="CF327" s="197"/>
      <c r="CG327" s="197"/>
      <c r="CH327" s="197"/>
      <c r="CI327" s="197"/>
      <c r="CJ327" s="645"/>
      <c r="CK327" s="645"/>
      <c r="CL327" s="645"/>
      <c r="CM327" s="645"/>
      <c r="CN327" s="645"/>
      <c r="CO327" s="645"/>
      <c r="CP327" s="645"/>
      <c r="CQ327" s="645"/>
      <c r="CR327" s="645"/>
      <c r="CS327" s="645"/>
      <c r="CT327" s="645"/>
      <c r="CU327" s="645"/>
      <c r="CV327" s="645"/>
      <c r="CW327" s="645"/>
      <c r="CX327" s="645"/>
      <c r="CY327" s="645"/>
      <c r="CZ327" s="645"/>
      <c r="DA327" s="645"/>
      <c r="DB327" s="645"/>
      <c r="DC327" s="645"/>
      <c r="DD327" s="645"/>
      <c r="DE327" s="645"/>
      <c r="DF327" s="645"/>
      <c r="DG327" s="645"/>
      <c r="DH327" s="645"/>
      <c r="DI327" s="645"/>
      <c r="DJ327" s="645"/>
      <c r="DK327" s="645"/>
      <c r="DL327" s="645"/>
      <c r="DM327" s="645"/>
      <c r="DN327" s="645"/>
      <c r="DO327" s="645"/>
      <c r="DP327" s="645"/>
      <c r="DQ327" s="645"/>
      <c r="DR327" s="645"/>
      <c r="DS327" s="645"/>
      <c r="DT327" s="645"/>
      <c r="DU327" s="645"/>
      <c r="DV327" s="645"/>
      <c r="DW327" s="645"/>
      <c r="DX327" s="645"/>
      <c r="DY327" s="645"/>
      <c r="DZ327" s="645"/>
      <c r="EA327" s="645"/>
      <c r="EB327" s="645"/>
      <c r="EC327" s="645"/>
      <c r="ED327" s="645"/>
      <c r="EE327" s="645"/>
      <c r="EF327" s="645"/>
      <c r="EG327" s="645"/>
      <c r="EH327" s="645"/>
      <c r="EI327" s="645"/>
      <c r="EJ327" s="645"/>
      <c r="EK327" s="645"/>
      <c r="EL327" s="645"/>
      <c r="EM327" s="645"/>
      <c r="EN327" s="645"/>
      <c r="EO327" s="645"/>
      <c r="EP327" s="645"/>
      <c r="EQ327" s="645"/>
      <c r="ER327" s="645"/>
      <c r="ES327" s="645"/>
      <c r="ET327" s="645"/>
      <c r="EU327" s="43"/>
      <c r="EV327" s="43"/>
      <c r="EW327" s="43"/>
      <c r="EX327" s="43"/>
      <c r="EY327" s="43"/>
      <c r="EZ327" s="79"/>
      <c r="FA327" s="79"/>
      <c r="FB327" s="79"/>
      <c r="FC327" s="79"/>
      <c r="FD327" s="79"/>
      <c r="FE327" s="79"/>
      <c r="FF327" s="79"/>
      <c r="FG327" s="79"/>
      <c r="FH327" s="79"/>
      <c r="FI327" s="79"/>
      <c r="FJ327" s="79"/>
      <c r="FK327" s="79"/>
      <c r="FL327" s="79"/>
      <c r="FM327" s="49"/>
      <c r="FN327" s="49"/>
      <c r="FO327" s="49"/>
      <c r="FP327" s="49"/>
      <c r="FQ327" s="49"/>
      <c r="FR327" s="49"/>
      <c r="FS327" s="49"/>
      <c r="FT327" s="49"/>
      <c r="FU327" s="49"/>
      <c r="FV327" s="48"/>
      <c r="FW327" s="48"/>
      <c r="FX327" s="48"/>
      <c r="FY327" s="48"/>
      <c r="FZ327" s="48"/>
      <c r="GA327" s="49"/>
      <c r="GB327" s="49"/>
      <c r="GC327" s="49"/>
      <c r="GD327" s="49"/>
      <c r="GE327" s="49"/>
      <c r="GF327" s="49"/>
      <c r="GG327" s="49"/>
      <c r="GH327" s="49"/>
      <c r="GI327" s="49"/>
      <c r="GJ327" s="49"/>
      <c r="GK327" s="49"/>
      <c r="GL327" s="49"/>
      <c r="GM327" s="49"/>
      <c r="GN327" s="49"/>
      <c r="GO327" s="49"/>
      <c r="GP327" s="49"/>
      <c r="GQ327" s="49"/>
      <c r="GR327" s="49"/>
      <c r="GS327" s="49"/>
      <c r="GT327" s="49"/>
      <c r="GU327" s="49"/>
      <c r="GV327" s="49"/>
      <c r="GW327" s="49"/>
      <c r="GX327" s="49"/>
      <c r="GY327" s="49"/>
      <c r="GZ327" s="49"/>
      <c r="HA327" s="49"/>
      <c r="HB327" s="49"/>
      <c r="HC327" s="49"/>
      <c r="HD327" s="49"/>
      <c r="HE327" s="49"/>
      <c r="HF327" s="49"/>
      <c r="HG327" s="49"/>
      <c r="HH327" s="49"/>
      <c r="HI327" s="49"/>
      <c r="HJ327" s="49"/>
      <c r="HK327" s="49"/>
      <c r="HL327" s="49"/>
      <c r="HM327" s="49"/>
    </row>
    <row r="328" spans="1:221" ht="3.75" customHeight="1">
      <c r="A328" s="1"/>
      <c r="B328" s="3"/>
      <c r="C328" s="3"/>
      <c r="D328" s="12"/>
      <c r="E328" s="39"/>
      <c r="F328" s="39"/>
      <c r="G328" s="39"/>
      <c r="H328" s="39"/>
      <c r="I328" s="39"/>
      <c r="J328" s="39"/>
      <c r="K328" s="197"/>
      <c r="L328" s="197"/>
      <c r="M328" s="197">
        <v>480</v>
      </c>
      <c r="N328" s="197"/>
      <c r="O328" s="197"/>
      <c r="P328" s="201"/>
      <c r="Q328" s="678"/>
      <c r="R328" s="678"/>
      <c r="S328" s="678"/>
      <c r="T328" s="678"/>
      <c r="U328" s="678"/>
      <c r="V328" s="678"/>
      <c r="W328" s="678"/>
      <c r="X328" s="678"/>
      <c r="Y328" s="678"/>
      <c r="Z328" s="43"/>
      <c r="AA328" s="156" t="str">
        <f t="shared" ca="1" si="49"/>
        <v/>
      </c>
      <c r="AB328" s="159" t="e">
        <f t="shared" ref="AB328:BG328" ca="1" si="55">IF(AB566=4,":",IF(AB566=5,"!",IF(AB566=3,",",IF(AB566=2,"^",IF(AND($FO$317&gt;=AB$383,$FS$311&gt;=$M328,$FS$317&lt;$M328),"~",IF(AND($FO$317&gt;=AB$383,$FS$311&lt;$M328,$FS$317&gt;=$M328),"*",IF(OR($FO$317&lt;AB$383,$FS$317&lt;$M328),"","+")))))))</f>
        <v>#DIV/0!</v>
      </c>
      <c r="AC328" s="159" t="e">
        <f t="shared" ca="1" si="55"/>
        <v>#DIV/0!</v>
      </c>
      <c r="AD328" s="159" t="e">
        <f t="shared" ca="1" si="55"/>
        <v>#DIV/0!</v>
      </c>
      <c r="AE328" s="159" t="e">
        <f t="shared" ca="1" si="55"/>
        <v>#DIV/0!</v>
      </c>
      <c r="AF328" s="159" t="e">
        <f t="shared" ca="1" si="55"/>
        <v>#DIV/0!</v>
      </c>
      <c r="AG328" s="159" t="e">
        <f t="shared" ca="1" si="55"/>
        <v>#DIV/0!</v>
      </c>
      <c r="AH328" s="159" t="e">
        <f t="shared" ca="1" si="55"/>
        <v>#DIV/0!</v>
      </c>
      <c r="AI328" s="159" t="e">
        <f t="shared" ca="1" si="55"/>
        <v>#DIV/0!</v>
      </c>
      <c r="AJ328" s="159" t="e">
        <f t="shared" ca="1" si="55"/>
        <v>#DIV/0!</v>
      </c>
      <c r="AK328" s="159" t="e">
        <f t="shared" ca="1" si="55"/>
        <v>#DIV/0!</v>
      </c>
      <c r="AL328" s="159" t="e">
        <f t="shared" ca="1" si="55"/>
        <v>#DIV/0!</v>
      </c>
      <c r="AM328" s="159" t="e">
        <f t="shared" ca="1" si="55"/>
        <v>#DIV/0!</v>
      </c>
      <c r="AN328" s="159" t="e">
        <f t="shared" ca="1" si="55"/>
        <v>#DIV/0!</v>
      </c>
      <c r="AO328" s="159" t="e">
        <f t="shared" ca="1" si="55"/>
        <v>#DIV/0!</v>
      </c>
      <c r="AP328" s="159" t="e">
        <f t="shared" ca="1" si="55"/>
        <v>#DIV/0!</v>
      </c>
      <c r="AQ328" s="159" t="e">
        <f t="shared" ca="1" si="55"/>
        <v>#DIV/0!</v>
      </c>
      <c r="AR328" s="159" t="e">
        <f t="shared" ca="1" si="55"/>
        <v>#DIV/0!</v>
      </c>
      <c r="AS328" s="159" t="e">
        <f t="shared" ca="1" si="55"/>
        <v>#DIV/0!</v>
      </c>
      <c r="AT328" s="159" t="e">
        <f t="shared" ca="1" si="55"/>
        <v>#DIV/0!</v>
      </c>
      <c r="AU328" s="159" t="e">
        <f t="shared" ca="1" si="55"/>
        <v>#DIV/0!</v>
      </c>
      <c r="AV328" s="159" t="e">
        <f t="shared" ca="1" si="55"/>
        <v>#DIV/0!</v>
      </c>
      <c r="AW328" s="159" t="e">
        <f t="shared" ca="1" si="55"/>
        <v>#DIV/0!</v>
      </c>
      <c r="AX328" s="159" t="e">
        <f t="shared" ca="1" si="55"/>
        <v>#DIV/0!</v>
      </c>
      <c r="AY328" s="159" t="e">
        <f t="shared" ca="1" si="55"/>
        <v>#DIV/0!</v>
      </c>
      <c r="AZ328" s="159" t="e">
        <f t="shared" ca="1" si="55"/>
        <v>#DIV/0!</v>
      </c>
      <c r="BA328" s="159" t="e">
        <f t="shared" ca="1" si="55"/>
        <v>#DIV/0!</v>
      </c>
      <c r="BB328" s="159" t="e">
        <f t="shared" ca="1" si="55"/>
        <v>#DIV/0!</v>
      </c>
      <c r="BC328" s="159" t="e">
        <f t="shared" ca="1" si="55"/>
        <v>#DIV/0!</v>
      </c>
      <c r="BD328" s="159" t="e">
        <f t="shared" ca="1" si="55"/>
        <v>#DIV/0!</v>
      </c>
      <c r="BE328" s="159" t="e">
        <f t="shared" ca="1" si="55"/>
        <v>#DIV/0!</v>
      </c>
      <c r="BF328" s="159" t="e">
        <f t="shared" ca="1" si="55"/>
        <v>#DIV/0!</v>
      </c>
      <c r="BG328" s="159" t="e">
        <f t="shared" ca="1" si="55"/>
        <v>#DIV/0!</v>
      </c>
      <c r="BH328" s="159" t="e">
        <f t="shared" ref="BH328:BX328" ca="1" si="56">IF(BH566=4,":",IF(BH566=5,"!",IF(BH566=3,",",IF(BH566=2,"^",IF(AND($FO$317&gt;=BH$383,$FS$311&gt;=$M328,$FS$317&lt;$M328),"~",IF(AND($FO$317&gt;=BH$383,$FS$311&lt;$M328,$FS$317&gt;=$M328),"*",IF(OR($FO$317&lt;BH$383,$FS$317&lt;$M328),"","+")))))))</f>
        <v>#DIV/0!</v>
      </c>
      <c r="BI328" s="159" t="e">
        <f t="shared" ca="1" si="56"/>
        <v>#DIV/0!</v>
      </c>
      <c r="BJ328" s="159" t="e">
        <f t="shared" ca="1" si="56"/>
        <v>#DIV/0!</v>
      </c>
      <c r="BK328" s="159" t="e">
        <f t="shared" ca="1" si="56"/>
        <v>#DIV/0!</v>
      </c>
      <c r="BL328" s="159" t="e">
        <f t="shared" ca="1" si="56"/>
        <v>#DIV/0!</v>
      </c>
      <c r="BM328" s="159" t="e">
        <f t="shared" ca="1" si="56"/>
        <v>#DIV/0!</v>
      </c>
      <c r="BN328" s="159" t="e">
        <f t="shared" ca="1" si="56"/>
        <v>#DIV/0!</v>
      </c>
      <c r="BO328" s="159" t="e">
        <f t="shared" ca="1" si="56"/>
        <v>#DIV/0!</v>
      </c>
      <c r="BP328" s="159" t="e">
        <f t="shared" ca="1" si="56"/>
        <v>#DIV/0!</v>
      </c>
      <c r="BQ328" s="159" t="e">
        <f t="shared" ca="1" si="56"/>
        <v>#DIV/0!</v>
      </c>
      <c r="BR328" s="159" t="e">
        <f t="shared" ca="1" si="56"/>
        <v>#DIV/0!</v>
      </c>
      <c r="BS328" s="159" t="e">
        <f t="shared" ca="1" si="56"/>
        <v>#DIV/0!</v>
      </c>
      <c r="BT328" s="159" t="e">
        <f t="shared" ca="1" si="56"/>
        <v>#DIV/0!</v>
      </c>
      <c r="BU328" s="159" t="e">
        <f t="shared" ca="1" si="56"/>
        <v>#DIV/0!</v>
      </c>
      <c r="BV328" s="159" t="e">
        <f t="shared" ca="1" si="56"/>
        <v>#DIV/0!</v>
      </c>
      <c r="BW328" s="159" t="e">
        <f t="shared" ca="1" si="56"/>
        <v>#DIV/0!</v>
      </c>
      <c r="BX328" s="159" t="e">
        <f t="shared" ca="1" si="56"/>
        <v>#DIV/0!</v>
      </c>
      <c r="BY328" s="159" t="e">
        <f t="shared" ca="1" si="54"/>
        <v>#DIV/0!</v>
      </c>
      <c r="BZ328" s="160"/>
      <c r="CA328" s="157"/>
      <c r="CB328" s="58"/>
      <c r="CC328" s="38"/>
      <c r="CD328" s="197"/>
      <c r="CE328" s="197"/>
      <c r="CF328" s="197"/>
      <c r="CG328" s="197"/>
      <c r="CH328" s="197"/>
      <c r="CI328" s="197"/>
      <c r="CJ328" s="645"/>
      <c r="CK328" s="645"/>
      <c r="CL328" s="645"/>
      <c r="CM328" s="645"/>
      <c r="CN328" s="645"/>
      <c r="CO328" s="645"/>
      <c r="CP328" s="645"/>
      <c r="CQ328" s="645"/>
      <c r="CR328" s="645"/>
      <c r="CS328" s="645"/>
      <c r="CT328" s="645"/>
      <c r="CU328" s="645"/>
      <c r="CV328" s="645"/>
      <c r="CW328" s="645"/>
      <c r="CX328" s="645"/>
      <c r="CY328" s="645"/>
      <c r="CZ328" s="645"/>
      <c r="DA328" s="645"/>
      <c r="DB328" s="645"/>
      <c r="DC328" s="645"/>
      <c r="DD328" s="645"/>
      <c r="DE328" s="645"/>
      <c r="DF328" s="645"/>
      <c r="DG328" s="645"/>
      <c r="DH328" s="645"/>
      <c r="DI328" s="645"/>
      <c r="DJ328" s="645"/>
      <c r="DK328" s="645"/>
      <c r="DL328" s="645"/>
      <c r="DM328" s="645"/>
      <c r="DN328" s="645"/>
      <c r="DO328" s="645"/>
      <c r="DP328" s="645"/>
      <c r="DQ328" s="645"/>
      <c r="DR328" s="645"/>
      <c r="DS328" s="645"/>
      <c r="DT328" s="645"/>
      <c r="DU328" s="645"/>
      <c r="DV328" s="645"/>
      <c r="DW328" s="645"/>
      <c r="DX328" s="645"/>
      <c r="DY328" s="645"/>
      <c r="DZ328" s="645"/>
      <c r="EA328" s="645"/>
      <c r="EB328" s="645"/>
      <c r="EC328" s="645"/>
      <c r="ED328" s="645"/>
      <c r="EE328" s="645"/>
      <c r="EF328" s="645"/>
      <c r="EG328" s="645"/>
      <c r="EH328" s="645"/>
      <c r="EI328" s="645"/>
      <c r="EJ328" s="645"/>
      <c r="EK328" s="645"/>
      <c r="EL328" s="645"/>
      <c r="EM328" s="645"/>
      <c r="EN328" s="645"/>
      <c r="EO328" s="645"/>
      <c r="EP328" s="645"/>
      <c r="EQ328" s="645"/>
      <c r="ER328" s="645"/>
      <c r="ES328" s="645"/>
      <c r="ET328" s="645"/>
      <c r="EU328" s="43"/>
      <c r="EV328" s="43"/>
      <c r="EW328" s="43"/>
      <c r="EX328" s="43"/>
      <c r="EY328" s="43"/>
      <c r="EZ328" s="79"/>
      <c r="FA328" s="79"/>
      <c r="FB328" s="79"/>
      <c r="FC328" s="79"/>
      <c r="FD328" s="79"/>
      <c r="FE328" s="79"/>
      <c r="FF328" s="79"/>
      <c r="FG328" s="79"/>
      <c r="FH328" s="79"/>
      <c r="FI328" s="79"/>
      <c r="FJ328" s="79"/>
      <c r="FK328" s="79"/>
      <c r="FL328" s="79"/>
      <c r="FM328" s="49"/>
      <c r="FN328" s="49"/>
      <c r="FO328" s="49"/>
      <c r="FP328" s="49"/>
      <c r="FQ328" s="49"/>
      <c r="FR328" s="49"/>
      <c r="FS328" s="49"/>
      <c r="FT328" s="49"/>
      <c r="FU328" s="49"/>
      <c r="FV328" s="48"/>
      <c r="FW328" s="48"/>
      <c r="FX328" s="48"/>
      <c r="FY328" s="48"/>
      <c r="FZ328" s="48"/>
      <c r="GA328" s="49"/>
      <c r="GB328" s="49"/>
      <c r="GC328" s="49"/>
      <c r="GD328" s="49"/>
      <c r="GE328" s="49"/>
      <c r="GF328" s="49"/>
      <c r="GG328" s="49"/>
      <c r="GH328" s="49"/>
      <c r="GI328" s="49"/>
      <c r="GJ328" s="49"/>
      <c r="GK328" s="49"/>
      <c r="GL328" s="49"/>
      <c r="GM328" s="49"/>
      <c r="GN328" s="49"/>
      <c r="GO328" s="49"/>
      <c r="GP328" s="49"/>
      <c r="GQ328" s="49"/>
      <c r="GR328" s="49"/>
      <c r="GS328" s="49"/>
      <c r="GT328" s="49"/>
      <c r="GU328" s="49"/>
      <c r="GV328" s="49"/>
      <c r="GW328" s="49"/>
      <c r="GX328" s="49"/>
      <c r="GY328" s="49"/>
      <c r="GZ328" s="49"/>
      <c r="HA328" s="49"/>
      <c r="HB328" s="49"/>
      <c r="HC328" s="49"/>
      <c r="HD328" s="49"/>
      <c r="HE328" s="49"/>
      <c r="HF328" s="49"/>
      <c r="HG328" s="49"/>
      <c r="HH328" s="49"/>
      <c r="HI328" s="49"/>
      <c r="HJ328" s="49"/>
      <c r="HK328" s="49"/>
      <c r="HL328" s="49"/>
      <c r="HM328" s="49"/>
    </row>
    <row r="329" spans="1:221" ht="3.75" customHeight="1">
      <c r="A329" s="1"/>
      <c r="B329" s="3"/>
      <c r="C329" s="3"/>
      <c r="D329" s="12"/>
      <c r="E329" s="39"/>
      <c r="F329" s="39"/>
      <c r="G329" s="39"/>
      <c r="H329" s="39"/>
      <c r="I329" s="39"/>
      <c r="J329" s="39"/>
      <c r="K329" s="197"/>
      <c r="L329" s="197"/>
      <c r="M329" s="197">
        <v>470</v>
      </c>
      <c r="N329" s="197"/>
      <c r="O329" s="197"/>
      <c r="P329" s="201"/>
      <c r="Q329" s="197"/>
      <c r="R329" s="197"/>
      <c r="S329" s="197"/>
      <c r="T329" s="197"/>
      <c r="U329" s="199"/>
      <c r="V329" s="199"/>
      <c r="W329" s="199"/>
      <c r="X329" s="199"/>
      <c r="Y329" s="197"/>
      <c r="Z329" s="43"/>
      <c r="AA329" s="156" t="str">
        <f t="shared" ca="1" si="49"/>
        <v/>
      </c>
      <c r="AB329" s="159" t="e">
        <f t="shared" ref="AB329:BG329" ca="1" si="57">IF(AB567=4,":",IF(AB567=5,"!",IF(AB567=3,",",IF(AB567=2,"^",IF(AND($FO$317&gt;=AB$383,$FS$311&gt;=$M329,$FS$317&lt;$M329),"~",IF(AND($FO$317&gt;=AB$383,$FS$311&lt;$M329,$FS$317&gt;=$M329),"*",IF(OR($FO$317&lt;AB$383,$FS$317&lt;$M329),"","+")))))))</f>
        <v>#DIV/0!</v>
      </c>
      <c r="AC329" s="159" t="e">
        <f t="shared" ca="1" si="57"/>
        <v>#DIV/0!</v>
      </c>
      <c r="AD329" s="159" t="e">
        <f t="shared" ca="1" si="57"/>
        <v>#DIV/0!</v>
      </c>
      <c r="AE329" s="159" t="e">
        <f t="shared" ca="1" si="57"/>
        <v>#DIV/0!</v>
      </c>
      <c r="AF329" s="159" t="e">
        <f t="shared" ca="1" si="57"/>
        <v>#DIV/0!</v>
      </c>
      <c r="AG329" s="159" t="e">
        <f t="shared" ca="1" si="57"/>
        <v>#DIV/0!</v>
      </c>
      <c r="AH329" s="159" t="e">
        <f t="shared" ca="1" si="57"/>
        <v>#DIV/0!</v>
      </c>
      <c r="AI329" s="159" t="e">
        <f t="shared" ca="1" si="57"/>
        <v>#DIV/0!</v>
      </c>
      <c r="AJ329" s="159" t="e">
        <f t="shared" ca="1" si="57"/>
        <v>#DIV/0!</v>
      </c>
      <c r="AK329" s="159" t="e">
        <f t="shared" ca="1" si="57"/>
        <v>#DIV/0!</v>
      </c>
      <c r="AL329" s="159" t="e">
        <f t="shared" ca="1" si="57"/>
        <v>#DIV/0!</v>
      </c>
      <c r="AM329" s="159" t="e">
        <f t="shared" ca="1" si="57"/>
        <v>#DIV/0!</v>
      </c>
      <c r="AN329" s="159" t="e">
        <f t="shared" ca="1" si="57"/>
        <v>#DIV/0!</v>
      </c>
      <c r="AO329" s="159" t="e">
        <f t="shared" ca="1" si="57"/>
        <v>#DIV/0!</v>
      </c>
      <c r="AP329" s="159" t="e">
        <f t="shared" ca="1" si="57"/>
        <v>#DIV/0!</v>
      </c>
      <c r="AQ329" s="159" t="e">
        <f t="shared" ca="1" si="57"/>
        <v>#DIV/0!</v>
      </c>
      <c r="AR329" s="159" t="e">
        <f t="shared" ca="1" si="57"/>
        <v>#DIV/0!</v>
      </c>
      <c r="AS329" s="159" t="e">
        <f t="shared" ca="1" si="57"/>
        <v>#DIV/0!</v>
      </c>
      <c r="AT329" s="159" t="e">
        <f t="shared" ca="1" si="57"/>
        <v>#DIV/0!</v>
      </c>
      <c r="AU329" s="159" t="e">
        <f t="shared" ca="1" si="57"/>
        <v>#DIV/0!</v>
      </c>
      <c r="AV329" s="159" t="e">
        <f t="shared" ca="1" si="57"/>
        <v>#DIV/0!</v>
      </c>
      <c r="AW329" s="159" t="e">
        <f t="shared" ca="1" si="57"/>
        <v>#DIV/0!</v>
      </c>
      <c r="AX329" s="159" t="e">
        <f t="shared" ca="1" si="57"/>
        <v>#DIV/0!</v>
      </c>
      <c r="AY329" s="159" t="e">
        <f t="shared" ca="1" si="57"/>
        <v>#DIV/0!</v>
      </c>
      <c r="AZ329" s="159" t="e">
        <f t="shared" ca="1" si="57"/>
        <v>#DIV/0!</v>
      </c>
      <c r="BA329" s="159" t="e">
        <f t="shared" ca="1" si="57"/>
        <v>#DIV/0!</v>
      </c>
      <c r="BB329" s="159" t="e">
        <f t="shared" ca="1" si="57"/>
        <v>#DIV/0!</v>
      </c>
      <c r="BC329" s="159" t="e">
        <f t="shared" ca="1" si="57"/>
        <v>#DIV/0!</v>
      </c>
      <c r="BD329" s="159" t="e">
        <f t="shared" ca="1" si="57"/>
        <v>#DIV/0!</v>
      </c>
      <c r="BE329" s="159" t="e">
        <f t="shared" ca="1" si="57"/>
        <v>#DIV/0!</v>
      </c>
      <c r="BF329" s="159" t="e">
        <f t="shared" ca="1" si="57"/>
        <v>#DIV/0!</v>
      </c>
      <c r="BG329" s="159" t="e">
        <f t="shared" ca="1" si="57"/>
        <v>#DIV/0!</v>
      </c>
      <c r="BH329" s="159" t="e">
        <f t="shared" ref="BH329:BX329" ca="1" si="58">IF(BH567=4,":",IF(BH567=5,"!",IF(BH567=3,",",IF(BH567=2,"^",IF(AND($FO$317&gt;=BH$383,$FS$311&gt;=$M329,$FS$317&lt;$M329),"~",IF(AND($FO$317&gt;=BH$383,$FS$311&lt;$M329,$FS$317&gt;=$M329),"*",IF(OR($FO$317&lt;BH$383,$FS$317&lt;$M329),"","+")))))))</f>
        <v>#DIV/0!</v>
      </c>
      <c r="BI329" s="159" t="e">
        <f t="shared" ca="1" si="58"/>
        <v>#DIV/0!</v>
      </c>
      <c r="BJ329" s="159" t="e">
        <f t="shared" ca="1" si="58"/>
        <v>#DIV/0!</v>
      </c>
      <c r="BK329" s="159" t="e">
        <f t="shared" ca="1" si="58"/>
        <v>#DIV/0!</v>
      </c>
      <c r="BL329" s="159" t="e">
        <f t="shared" ca="1" si="58"/>
        <v>#DIV/0!</v>
      </c>
      <c r="BM329" s="159" t="e">
        <f t="shared" ca="1" si="58"/>
        <v>#DIV/0!</v>
      </c>
      <c r="BN329" s="159" t="e">
        <f t="shared" ca="1" si="58"/>
        <v>#DIV/0!</v>
      </c>
      <c r="BO329" s="159" t="e">
        <f t="shared" ca="1" si="58"/>
        <v>#DIV/0!</v>
      </c>
      <c r="BP329" s="159" t="e">
        <f t="shared" ca="1" si="58"/>
        <v>#DIV/0!</v>
      </c>
      <c r="BQ329" s="159" t="e">
        <f t="shared" ca="1" si="58"/>
        <v>#DIV/0!</v>
      </c>
      <c r="BR329" s="159" t="e">
        <f t="shared" ca="1" si="58"/>
        <v>#DIV/0!</v>
      </c>
      <c r="BS329" s="159" t="e">
        <f t="shared" ca="1" si="58"/>
        <v>#DIV/0!</v>
      </c>
      <c r="BT329" s="159" t="e">
        <f t="shared" ca="1" si="58"/>
        <v>#DIV/0!</v>
      </c>
      <c r="BU329" s="159" t="e">
        <f t="shared" ca="1" si="58"/>
        <v>#DIV/0!</v>
      </c>
      <c r="BV329" s="159" t="e">
        <f t="shared" ca="1" si="58"/>
        <v>#DIV/0!</v>
      </c>
      <c r="BW329" s="159" t="e">
        <f t="shared" ca="1" si="58"/>
        <v>#DIV/0!</v>
      </c>
      <c r="BX329" s="159" t="e">
        <f t="shared" ca="1" si="58"/>
        <v>#DIV/0!</v>
      </c>
      <c r="BY329" s="159" t="e">
        <f t="shared" ca="1" si="54"/>
        <v>#DIV/0!</v>
      </c>
      <c r="BZ329" s="160"/>
      <c r="CA329" s="157"/>
      <c r="CB329" s="58"/>
      <c r="CC329" s="38"/>
      <c r="CD329" s="197"/>
      <c r="CE329" s="197"/>
      <c r="CF329" s="197"/>
      <c r="CG329" s="197"/>
      <c r="CH329" s="197"/>
      <c r="CI329" s="197"/>
      <c r="CJ329" s="645"/>
      <c r="CK329" s="645"/>
      <c r="CL329" s="645"/>
      <c r="CM329" s="645"/>
      <c r="CN329" s="645"/>
      <c r="CO329" s="645"/>
      <c r="CP329" s="645"/>
      <c r="CQ329" s="645"/>
      <c r="CR329" s="645"/>
      <c r="CS329" s="645"/>
      <c r="CT329" s="645"/>
      <c r="CU329" s="645"/>
      <c r="CV329" s="645"/>
      <c r="CW329" s="645"/>
      <c r="CX329" s="645"/>
      <c r="CY329" s="645"/>
      <c r="CZ329" s="645"/>
      <c r="DA329" s="645"/>
      <c r="DB329" s="645"/>
      <c r="DC329" s="645"/>
      <c r="DD329" s="645"/>
      <c r="DE329" s="645"/>
      <c r="DF329" s="645"/>
      <c r="DG329" s="645"/>
      <c r="DH329" s="645"/>
      <c r="DI329" s="645"/>
      <c r="DJ329" s="645"/>
      <c r="DK329" s="645"/>
      <c r="DL329" s="645"/>
      <c r="DM329" s="645"/>
      <c r="DN329" s="645"/>
      <c r="DO329" s="645"/>
      <c r="DP329" s="645"/>
      <c r="DQ329" s="645"/>
      <c r="DR329" s="645"/>
      <c r="DS329" s="645"/>
      <c r="DT329" s="645"/>
      <c r="DU329" s="645"/>
      <c r="DV329" s="645"/>
      <c r="DW329" s="645"/>
      <c r="DX329" s="645"/>
      <c r="DY329" s="645"/>
      <c r="DZ329" s="645"/>
      <c r="EA329" s="645"/>
      <c r="EB329" s="645"/>
      <c r="EC329" s="645"/>
      <c r="ED329" s="645"/>
      <c r="EE329" s="645"/>
      <c r="EF329" s="645"/>
      <c r="EG329" s="645"/>
      <c r="EH329" s="645"/>
      <c r="EI329" s="645"/>
      <c r="EJ329" s="645"/>
      <c r="EK329" s="645"/>
      <c r="EL329" s="645"/>
      <c r="EM329" s="645"/>
      <c r="EN329" s="645"/>
      <c r="EO329" s="645"/>
      <c r="EP329" s="645"/>
      <c r="EQ329" s="645"/>
      <c r="ER329" s="645"/>
      <c r="ES329" s="645"/>
      <c r="ET329" s="645"/>
      <c r="EU329" s="43"/>
      <c r="EV329" s="43"/>
      <c r="EW329" s="43"/>
      <c r="EX329" s="43"/>
      <c r="EY329" s="43"/>
      <c r="EZ329" s="79"/>
      <c r="FA329" s="79"/>
      <c r="FB329" s="79"/>
      <c r="FC329" s="79"/>
      <c r="FD329" s="79"/>
      <c r="FE329" s="79"/>
      <c r="FF329" s="79"/>
      <c r="FG329" s="79"/>
      <c r="FH329" s="79"/>
      <c r="FI329" s="79"/>
      <c r="FJ329" s="79"/>
      <c r="FK329" s="79"/>
      <c r="FL329" s="79"/>
      <c r="FM329" s="49"/>
      <c r="FN329" s="49" t="s">
        <v>21</v>
      </c>
      <c r="FO329" s="49"/>
      <c r="FP329" s="49"/>
      <c r="FQ329" s="49"/>
      <c r="FR329" s="49" t="s">
        <v>21</v>
      </c>
      <c r="FS329" s="49" t="s">
        <v>21</v>
      </c>
      <c r="FT329" s="49" t="s">
        <v>21</v>
      </c>
      <c r="FU329" s="49" t="s">
        <v>21</v>
      </c>
      <c r="FV329" s="48" t="s">
        <v>21</v>
      </c>
      <c r="FW329" s="48" t="s">
        <v>21</v>
      </c>
      <c r="FX329" s="48" t="s">
        <v>21</v>
      </c>
      <c r="FY329" s="48" t="s">
        <v>21</v>
      </c>
      <c r="FZ329" s="48" t="s">
        <v>21</v>
      </c>
      <c r="GA329" s="49"/>
      <c r="GB329" s="49"/>
      <c r="GC329" s="49"/>
      <c r="GD329" s="49"/>
      <c r="GE329" s="49"/>
      <c r="GF329" s="49"/>
      <c r="GG329" s="49"/>
      <c r="GH329" s="49"/>
      <c r="GI329" s="49"/>
      <c r="GJ329" s="49"/>
      <c r="GK329" s="49"/>
      <c r="GL329" s="49"/>
      <c r="GM329" s="49"/>
      <c r="GN329" s="49"/>
      <c r="GO329" s="49"/>
      <c r="GP329" s="49"/>
      <c r="GQ329" s="49"/>
      <c r="GR329" s="49"/>
      <c r="GS329" s="49"/>
      <c r="GT329" s="49"/>
      <c r="GU329" s="49"/>
      <c r="GV329" s="49"/>
      <c r="GW329" s="49"/>
      <c r="GX329" s="49"/>
      <c r="GY329" s="49"/>
      <c r="GZ329" s="49"/>
      <c r="HA329" s="49"/>
      <c r="HB329" s="49"/>
      <c r="HC329" s="49"/>
      <c r="HD329" s="49"/>
      <c r="HE329" s="49"/>
      <c r="HF329" s="49"/>
      <c r="HG329" s="49"/>
      <c r="HH329" s="49"/>
      <c r="HI329" s="49"/>
      <c r="HJ329" s="49"/>
      <c r="HK329" s="49"/>
      <c r="HL329" s="49"/>
      <c r="HM329" s="49"/>
    </row>
    <row r="330" spans="1:221" ht="3.75" customHeight="1">
      <c r="A330" s="1"/>
      <c r="B330" s="3"/>
      <c r="C330" s="3"/>
      <c r="D330" s="12"/>
      <c r="E330" s="39"/>
      <c r="F330" s="39"/>
      <c r="G330" s="39"/>
      <c r="H330" s="39"/>
      <c r="I330" s="39"/>
      <c r="J330" s="39"/>
      <c r="K330" s="197"/>
      <c r="L330" s="197"/>
      <c r="M330" s="197">
        <v>460</v>
      </c>
      <c r="N330" s="197"/>
      <c r="O330" s="197"/>
      <c r="P330" s="201"/>
      <c r="Q330" s="197"/>
      <c r="R330" s="197"/>
      <c r="S330" s="197"/>
      <c r="T330" s="197"/>
      <c r="U330" s="199"/>
      <c r="V330" s="199"/>
      <c r="W330" s="199"/>
      <c r="X330" s="199"/>
      <c r="Y330" s="197"/>
      <c r="Z330" s="43"/>
      <c r="AA330" s="156" t="str">
        <f t="shared" ca="1" si="49"/>
        <v/>
      </c>
      <c r="AB330" s="159" t="e">
        <f t="shared" ref="AB330:BG330" ca="1" si="59">IF(AB568=4,":",IF(AB568=5,"!",IF(AB568=3,",",IF(AB568=2,"^",IF(AND($FO$317&gt;=AB$383,$FS$311&gt;=$M330,$FS$317&lt;$M330),"~",IF(AND($FO$317&gt;=AB$383,$FS$311&lt;$M330,$FS$317&gt;=$M330),"*",IF(OR($FO$317&lt;AB$383,$FS$317&lt;$M330),"","+")))))))</f>
        <v>#DIV/0!</v>
      </c>
      <c r="AC330" s="159" t="e">
        <f t="shared" ca="1" si="59"/>
        <v>#DIV/0!</v>
      </c>
      <c r="AD330" s="159" t="e">
        <f t="shared" ca="1" si="59"/>
        <v>#DIV/0!</v>
      </c>
      <c r="AE330" s="159" t="e">
        <f t="shared" ca="1" si="59"/>
        <v>#DIV/0!</v>
      </c>
      <c r="AF330" s="159" t="e">
        <f t="shared" ca="1" si="59"/>
        <v>#DIV/0!</v>
      </c>
      <c r="AG330" s="159" t="e">
        <f t="shared" ca="1" si="59"/>
        <v>#DIV/0!</v>
      </c>
      <c r="AH330" s="159" t="e">
        <f t="shared" ca="1" si="59"/>
        <v>#DIV/0!</v>
      </c>
      <c r="AI330" s="159" t="e">
        <f t="shared" ca="1" si="59"/>
        <v>#DIV/0!</v>
      </c>
      <c r="AJ330" s="159" t="e">
        <f t="shared" ca="1" si="59"/>
        <v>#DIV/0!</v>
      </c>
      <c r="AK330" s="159" t="e">
        <f t="shared" ca="1" si="59"/>
        <v>#DIV/0!</v>
      </c>
      <c r="AL330" s="159" t="e">
        <f t="shared" ca="1" si="59"/>
        <v>#DIV/0!</v>
      </c>
      <c r="AM330" s="159" t="e">
        <f t="shared" ca="1" si="59"/>
        <v>#DIV/0!</v>
      </c>
      <c r="AN330" s="159" t="e">
        <f t="shared" ca="1" si="59"/>
        <v>#DIV/0!</v>
      </c>
      <c r="AO330" s="159" t="e">
        <f t="shared" ca="1" si="59"/>
        <v>#DIV/0!</v>
      </c>
      <c r="AP330" s="159" t="e">
        <f t="shared" ca="1" si="59"/>
        <v>#DIV/0!</v>
      </c>
      <c r="AQ330" s="159" t="e">
        <f t="shared" ca="1" si="59"/>
        <v>#DIV/0!</v>
      </c>
      <c r="AR330" s="159" t="e">
        <f t="shared" ca="1" si="59"/>
        <v>#DIV/0!</v>
      </c>
      <c r="AS330" s="159" t="e">
        <f t="shared" ca="1" si="59"/>
        <v>#DIV/0!</v>
      </c>
      <c r="AT330" s="159" t="e">
        <f t="shared" ca="1" si="59"/>
        <v>#DIV/0!</v>
      </c>
      <c r="AU330" s="159" t="e">
        <f t="shared" ca="1" si="59"/>
        <v>#DIV/0!</v>
      </c>
      <c r="AV330" s="159" t="e">
        <f t="shared" ca="1" si="59"/>
        <v>#DIV/0!</v>
      </c>
      <c r="AW330" s="159" t="e">
        <f t="shared" ca="1" si="59"/>
        <v>#DIV/0!</v>
      </c>
      <c r="AX330" s="159" t="e">
        <f t="shared" ca="1" si="59"/>
        <v>#DIV/0!</v>
      </c>
      <c r="AY330" s="159" t="e">
        <f t="shared" ca="1" si="59"/>
        <v>#DIV/0!</v>
      </c>
      <c r="AZ330" s="159" t="e">
        <f t="shared" ca="1" si="59"/>
        <v>#DIV/0!</v>
      </c>
      <c r="BA330" s="159" t="e">
        <f t="shared" ca="1" si="59"/>
        <v>#DIV/0!</v>
      </c>
      <c r="BB330" s="159" t="e">
        <f t="shared" ca="1" si="59"/>
        <v>#DIV/0!</v>
      </c>
      <c r="BC330" s="159" t="e">
        <f t="shared" ca="1" si="59"/>
        <v>#DIV/0!</v>
      </c>
      <c r="BD330" s="159" t="e">
        <f t="shared" ca="1" si="59"/>
        <v>#DIV/0!</v>
      </c>
      <c r="BE330" s="159" t="e">
        <f t="shared" ca="1" si="59"/>
        <v>#DIV/0!</v>
      </c>
      <c r="BF330" s="159" t="e">
        <f t="shared" ca="1" si="59"/>
        <v>#DIV/0!</v>
      </c>
      <c r="BG330" s="159" t="e">
        <f t="shared" ca="1" si="59"/>
        <v>#DIV/0!</v>
      </c>
      <c r="BH330" s="159" t="e">
        <f t="shared" ref="BH330:BX330" ca="1" si="60">IF(BH568=4,":",IF(BH568=5,"!",IF(BH568=3,",",IF(BH568=2,"^",IF(AND($FO$317&gt;=BH$383,$FS$311&gt;=$M330,$FS$317&lt;$M330),"~",IF(AND($FO$317&gt;=BH$383,$FS$311&lt;$M330,$FS$317&gt;=$M330),"*",IF(OR($FO$317&lt;BH$383,$FS$317&lt;$M330),"","+")))))))</f>
        <v>#DIV/0!</v>
      </c>
      <c r="BI330" s="159" t="e">
        <f t="shared" ca="1" si="60"/>
        <v>#DIV/0!</v>
      </c>
      <c r="BJ330" s="159" t="e">
        <f t="shared" ca="1" si="60"/>
        <v>#DIV/0!</v>
      </c>
      <c r="BK330" s="159" t="e">
        <f t="shared" ca="1" si="60"/>
        <v>#DIV/0!</v>
      </c>
      <c r="BL330" s="159" t="e">
        <f t="shared" ca="1" si="60"/>
        <v>#DIV/0!</v>
      </c>
      <c r="BM330" s="159" t="e">
        <f t="shared" ca="1" si="60"/>
        <v>#DIV/0!</v>
      </c>
      <c r="BN330" s="159" t="e">
        <f t="shared" ca="1" si="60"/>
        <v>#DIV/0!</v>
      </c>
      <c r="BO330" s="159" t="e">
        <f t="shared" ca="1" si="60"/>
        <v>#DIV/0!</v>
      </c>
      <c r="BP330" s="159" t="e">
        <f t="shared" ca="1" si="60"/>
        <v>#DIV/0!</v>
      </c>
      <c r="BQ330" s="159" t="e">
        <f t="shared" ca="1" si="60"/>
        <v>#DIV/0!</v>
      </c>
      <c r="BR330" s="159" t="e">
        <f t="shared" ca="1" si="60"/>
        <v>#DIV/0!</v>
      </c>
      <c r="BS330" s="159" t="e">
        <f t="shared" ca="1" si="60"/>
        <v>#DIV/0!</v>
      </c>
      <c r="BT330" s="159" t="e">
        <f t="shared" ca="1" si="60"/>
        <v>#DIV/0!</v>
      </c>
      <c r="BU330" s="159" t="e">
        <f t="shared" ca="1" si="60"/>
        <v>#DIV/0!</v>
      </c>
      <c r="BV330" s="159" t="e">
        <f t="shared" ca="1" si="60"/>
        <v>#DIV/0!</v>
      </c>
      <c r="BW330" s="159" t="e">
        <f t="shared" ca="1" si="60"/>
        <v>#DIV/0!</v>
      </c>
      <c r="BX330" s="159" t="e">
        <f t="shared" ca="1" si="60"/>
        <v>#DIV/0!</v>
      </c>
      <c r="BY330" s="159" t="e">
        <f t="shared" ca="1" si="54"/>
        <v>#DIV/0!</v>
      </c>
      <c r="BZ330" s="160"/>
      <c r="CA330" s="157"/>
      <c r="CB330" s="58"/>
      <c r="CC330" s="38"/>
      <c r="CD330" s="197"/>
      <c r="CE330" s="197"/>
      <c r="CF330" s="197"/>
      <c r="CG330" s="197"/>
      <c r="CH330" s="197"/>
      <c r="CI330" s="197"/>
      <c r="CJ330" s="645"/>
      <c r="CK330" s="645"/>
      <c r="CL330" s="645"/>
      <c r="CM330" s="645"/>
      <c r="CN330" s="645"/>
      <c r="CO330" s="645"/>
      <c r="CP330" s="645"/>
      <c r="CQ330" s="645"/>
      <c r="CR330" s="645"/>
      <c r="CS330" s="645"/>
      <c r="CT330" s="645"/>
      <c r="CU330" s="645"/>
      <c r="CV330" s="645"/>
      <c r="CW330" s="645"/>
      <c r="CX330" s="645"/>
      <c r="CY330" s="645"/>
      <c r="CZ330" s="645"/>
      <c r="DA330" s="645"/>
      <c r="DB330" s="645"/>
      <c r="DC330" s="645"/>
      <c r="DD330" s="645"/>
      <c r="DE330" s="645"/>
      <c r="DF330" s="645"/>
      <c r="DG330" s="645"/>
      <c r="DH330" s="645"/>
      <c r="DI330" s="645"/>
      <c r="DJ330" s="645"/>
      <c r="DK330" s="645"/>
      <c r="DL330" s="645"/>
      <c r="DM330" s="645"/>
      <c r="DN330" s="645"/>
      <c r="DO330" s="645"/>
      <c r="DP330" s="645"/>
      <c r="DQ330" s="645"/>
      <c r="DR330" s="645"/>
      <c r="DS330" s="645"/>
      <c r="DT330" s="645"/>
      <c r="DU330" s="645"/>
      <c r="DV330" s="645"/>
      <c r="DW330" s="645"/>
      <c r="DX330" s="645"/>
      <c r="DY330" s="645"/>
      <c r="DZ330" s="645"/>
      <c r="EA330" s="645"/>
      <c r="EB330" s="645"/>
      <c r="EC330" s="645"/>
      <c r="ED330" s="645"/>
      <c r="EE330" s="645"/>
      <c r="EF330" s="645"/>
      <c r="EG330" s="645"/>
      <c r="EH330" s="645"/>
      <c r="EI330" s="645"/>
      <c r="EJ330" s="645"/>
      <c r="EK330" s="645"/>
      <c r="EL330" s="645"/>
      <c r="EM330" s="645"/>
      <c r="EN330" s="645"/>
      <c r="EO330" s="645"/>
      <c r="EP330" s="645"/>
      <c r="EQ330" s="645"/>
      <c r="ER330" s="645"/>
      <c r="ES330" s="645"/>
      <c r="ET330" s="645"/>
      <c r="EU330" s="43"/>
      <c r="EV330" s="43"/>
      <c r="EW330" s="43"/>
      <c r="EX330" s="43"/>
      <c r="EY330" s="43"/>
      <c r="EZ330" s="79"/>
      <c r="FA330" s="79"/>
      <c r="FB330" s="79"/>
      <c r="FC330" s="79"/>
      <c r="FD330" s="79"/>
      <c r="FE330" s="79"/>
      <c r="FF330" s="79"/>
      <c r="FG330" s="79"/>
      <c r="FH330" s="79"/>
      <c r="FI330" s="79"/>
      <c r="FJ330" s="79"/>
      <c r="FK330" s="79"/>
      <c r="FL330" s="79"/>
      <c r="FM330" s="49"/>
      <c r="FN330" s="49" t="s">
        <v>21</v>
      </c>
      <c r="FO330" s="49"/>
      <c r="FP330" s="49"/>
      <c r="FQ330" s="49"/>
      <c r="FR330" s="49" t="s">
        <v>21</v>
      </c>
      <c r="FS330" s="49" t="s">
        <v>21</v>
      </c>
      <c r="FT330" s="49" t="s">
        <v>21</v>
      </c>
      <c r="FU330" s="49" t="s">
        <v>21</v>
      </c>
      <c r="FV330" s="48" t="s">
        <v>21</v>
      </c>
      <c r="FW330" s="48" t="s">
        <v>21</v>
      </c>
      <c r="FX330" s="48" t="s">
        <v>21</v>
      </c>
      <c r="FY330" s="48"/>
      <c r="FZ330" s="48"/>
      <c r="GA330" s="49"/>
      <c r="GB330" s="49"/>
      <c r="GC330" s="49"/>
      <c r="GD330" s="49"/>
      <c r="GE330" s="49"/>
      <c r="GF330" s="49"/>
      <c r="GG330" s="49"/>
      <c r="GH330" s="49"/>
      <c r="GI330" s="49"/>
      <c r="GJ330" s="49"/>
      <c r="GK330" s="49"/>
      <c r="GL330" s="49"/>
      <c r="GM330" s="49"/>
      <c r="GN330" s="49"/>
      <c r="GO330" s="49"/>
      <c r="GP330" s="49"/>
      <c r="GQ330" s="49"/>
      <c r="GR330" s="49"/>
      <c r="GS330" s="49"/>
      <c r="GT330" s="49"/>
      <c r="GU330" s="49"/>
      <c r="GV330" s="49"/>
      <c r="GW330" s="49"/>
      <c r="GX330" s="49"/>
      <c r="GY330" s="49"/>
      <c r="GZ330" s="49"/>
      <c r="HA330" s="49"/>
      <c r="HB330" s="49"/>
      <c r="HC330" s="49"/>
      <c r="HD330" s="49"/>
      <c r="HE330" s="49"/>
      <c r="HF330" s="49"/>
      <c r="HG330" s="49"/>
      <c r="HH330" s="49"/>
      <c r="HI330" s="49"/>
      <c r="HJ330" s="49"/>
      <c r="HK330" s="49"/>
      <c r="HL330" s="49"/>
      <c r="HM330" s="49"/>
    </row>
    <row r="331" spans="1:221" ht="3.75" customHeight="1">
      <c r="A331" s="1"/>
      <c r="B331" s="3"/>
      <c r="C331" s="3"/>
      <c r="D331" s="12"/>
      <c r="E331" s="39"/>
      <c r="F331" s="39"/>
      <c r="G331" s="39"/>
      <c r="H331" s="39"/>
      <c r="I331" s="39"/>
      <c r="J331" s="39"/>
      <c r="K331" s="197"/>
      <c r="L331" s="197"/>
      <c r="M331" s="197">
        <v>450</v>
      </c>
      <c r="N331" s="197"/>
      <c r="O331" s="197"/>
      <c r="P331" s="201"/>
      <c r="Q331" s="197"/>
      <c r="R331" s="197"/>
      <c r="S331" s="197"/>
      <c r="T331" s="197"/>
      <c r="U331" s="197"/>
      <c r="V331" s="197"/>
      <c r="W331" s="197"/>
      <c r="X331" s="197"/>
      <c r="Y331" s="197"/>
      <c r="Z331" s="43"/>
      <c r="AA331" s="156" t="str">
        <f t="shared" ca="1" si="49"/>
        <v/>
      </c>
      <c r="AB331" s="159" t="e">
        <f t="shared" ref="AB331:BG331" ca="1" si="61">IF(AB569=4,":",IF(AB569=5,"!",IF(AB569=3,",",IF(AB569=2,"^",IF(AND($FO$317&gt;=AB$383,$FS$311&gt;=$M331,$FS$317&lt;$M331),"~",IF(AND($FO$317&gt;=AB$383,$FS$311&lt;$M331,$FS$317&gt;=$M331),"*",IF(OR($FO$317&lt;AB$383,$FS$317&lt;$M331),"","+")))))))</f>
        <v>#DIV/0!</v>
      </c>
      <c r="AC331" s="159" t="e">
        <f t="shared" ca="1" si="61"/>
        <v>#DIV/0!</v>
      </c>
      <c r="AD331" s="159" t="e">
        <f t="shared" ca="1" si="61"/>
        <v>#DIV/0!</v>
      </c>
      <c r="AE331" s="159" t="e">
        <f t="shared" ca="1" si="61"/>
        <v>#DIV/0!</v>
      </c>
      <c r="AF331" s="159" t="e">
        <f t="shared" ca="1" si="61"/>
        <v>#DIV/0!</v>
      </c>
      <c r="AG331" s="159" t="e">
        <f t="shared" ca="1" si="61"/>
        <v>#DIV/0!</v>
      </c>
      <c r="AH331" s="159" t="e">
        <f t="shared" ca="1" si="61"/>
        <v>#DIV/0!</v>
      </c>
      <c r="AI331" s="159" t="e">
        <f t="shared" ca="1" si="61"/>
        <v>#DIV/0!</v>
      </c>
      <c r="AJ331" s="159" t="e">
        <f t="shared" ca="1" si="61"/>
        <v>#DIV/0!</v>
      </c>
      <c r="AK331" s="159" t="e">
        <f t="shared" ca="1" si="61"/>
        <v>#DIV/0!</v>
      </c>
      <c r="AL331" s="159" t="e">
        <f t="shared" ca="1" si="61"/>
        <v>#DIV/0!</v>
      </c>
      <c r="AM331" s="159" t="e">
        <f t="shared" ca="1" si="61"/>
        <v>#DIV/0!</v>
      </c>
      <c r="AN331" s="159" t="e">
        <f t="shared" ca="1" si="61"/>
        <v>#DIV/0!</v>
      </c>
      <c r="AO331" s="159" t="e">
        <f t="shared" ca="1" si="61"/>
        <v>#DIV/0!</v>
      </c>
      <c r="AP331" s="159" t="e">
        <f t="shared" ca="1" si="61"/>
        <v>#DIV/0!</v>
      </c>
      <c r="AQ331" s="159" t="e">
        <f t="shared" ca="1" si="61"/>
        <v>#DIV/0!</v>
      </c>
      <c r="AR331" s="159" t="e">
        <f t="shared" ca="1" si="61"/>
        <v>#DIV/0!</v>
      </c>
      <c r="AS331" s="159" t="e">
        <f t="shared" ca="1" si="61"/>
        <v>#DIV/0!</v>
      </c>
      <c r="AT331" s="159" t="e">
        <f t="shared" ca="1" si="61"/>
        <v>#DIV/0!</v>
      </c>
      <c r="AU331" s="159" t="e">
        <f t="shared" ca="1" si="61"/>
        <v>#DIV/0!</v>
      </c>
      <c r="AV331" s="159" t="e">
        <f t="shared" ca="1" si="61"/>
        <v>#DIV/0!</v>
      </c>
      <c r="AW331" s="159" t="e">
        <f t="shared" ca="1" si="61"/>
        <v>#DIV/0!</v>
      </c>
      <c r="AX331" s="159" t="e">
        <f t="shared" ca="1" si="61"/>
        <v>#DIV/0!</v>
      </c>
      <c r="AY331" s="159" t="e">
        <f t="shared" ca="1" si="61"/>
        <v>#DIV/0!</v>
      </c>
      <c r="AZ331" s="159" t="e">
        <f t="shared" ca="1" si="61"/>
        <v>#DIV/0!</v>
      </c>
      <c r="BA331" s="159" t="e">
        <f t="shared" ca="1" si="61"/>
        <v>#DIV/0!</v>
      </c>
      <c r="BB331" s="159" t="e">
        <f t="shared" ca="1" si="61"/>
        <v>#DIV/0!</v>
      </c>
      <c r="BC331" s="159" t="e">
        <f t="shared" ca="1" si="61"/>
        <v>#DIV/0!</v>
      </c>
      <c r="BD331" s="159" t="e">
        <f t="shared" ca="1" si="61"/>
        <v>#DIV/0!</v>
      </c>
      <c r="BE331" s="159" t="e">
        <f t="shared" ca="1" si="61"/>
        <v>#DIV/0!</v>
      </c>
      <c r="BF331" s="159" t="e">
        <f t="shared" ca="1" si="61"/>
        <v>#DIV/0!</v>
      </c>
      <c r="BG331" s="159" t="e">
        <f t="shared" ca="1" si="61"/>
        <v>#DIV/0!</v>
      </c>
      <c r="BH331" s="159" t="e">
        <f t="shared" ref="BH331:BX331" ca="1" si="62">IF(BH569=4,":",IF(BH569=5,"!",IF(BH569=3,",",IF(BH569=2,"^",IF(AND($FO$317&gt;=BH$383,$FS$311&gt;=$M331,$FS$317&lt;$M331),"~",IF(AND($FO$317&gt;=BH$383,$FS$311&lt;$M331,$FS$317&gt;=$M331),"*",IF(OR($FO$317&lt;BH$383,$FS$317&lt;$M331),"","+")))))))</f>
        <v>#DIV/0!</v>
      </c>
      <c r="BI331" s="159" t="e">
        <f t="shared" ca="1" si="62"/>
        <v>#DIV/0!</v>
      </c>
      <c r="BJ331" s="159" t="e">
        <f t="shared" ca="1" si="62"/>
        <v>#DIV/0!</v>
      </c>
      <c r="BK331" s="159" t="e">
        <f t="shared" ca="1" si="62"/>
        <v>#DIV/0!</v>
      </c>
      <c r="BL331" s="159" t="e">
        <f t="shared" ca="1" si="62"/>
        <v>#DIV/0!</v>
      </c>
      <c r="BM331" s="159" t="e">
        <f t="shared" ca="1" si="62"/>
        <v>#DIV/0!</v>
      </c>
      <c r="BN331" s="159" t="e">
        <f t="shared" ca="1" si="62"/>
        <v>#DIV/0!</v>
      </c>
      <c r="BO331" s="159" t="e">
        <f t="shared" ca="1" si="62"/>
        <v>#DIV/0!</v>
      </c>
      <c r="BP331" s="159" t="e">
        <f t="shared" ca="1" si="62"/>
        <v>#DIV/0!</v>
      </c>
      <c r="BQ331" s="159" t="e">
        <f t="shared" ca="1" si="62"/>
        <v>#DIV/0!</v>
      </c>
      <c r="BR331" s="159" t="e">
        <f t="shared" ca="1" si="62"/>
        <v>#DIV/0!</v>
      </c>
      <c r="BS331" s="159" t="e">
        <f t="shared" ca="1" si="62"/>
        <v>#DIV/0!</v>
      </c>
      <c r="BT331" s="159" t="e">
        <f t="shared" ca="1" si="62"/>
        <v>#DIV/0!</v>
      </c>
      <c r="BU331" s="159" t="e">
        <f t="shared" ca="1" si="62"/>
        <v>#DIV/0!</v>
      </c>
      <c r="BV331" s="159" t="e">
        <f t="shared" ca="1" si="62"/>
        <v>#DIV/0!</v>
      </c>
      <c r="BW331" s="159" t="e">
        <f t="shared" ca="1" si="62"/>
        <v>#DIV/0!</v>
      </c>
      <c r="BX331" s="159" t="e">
        <f t="shared" ca="1" si="62"/>
        <v>#DIV/0!</v>
      </c>
      <c r="BY331" s="159" t="e">
        <f t="shared" ca="1" si="54"/>
        <v>#DIV/0!</v>
      </c>
      <c r="BZ331" s="160"/>
      <c r="CA331" s="157"/>
      <c r="CB331" s="58"/>
      <c r="CC331" s="38"/>
      <c r="CD331" s="197"/>
      <c r="CE331" s="197"/>
      <c r="CF331" s="197"/>
      <c r="CG331" s="197"/>
      <c r="CH331" s="197"/>
      <c r="CI331" s="197"/>
      <c r="CJ331" s="645"/>
      <c r="CK331" s="645"/>
      <c r="CL331" s="645"/>
      <c r="CM331" s="645"/>
      <c r="CN331" s="645"/>
      <c r="CO331" s="645"/>
      <c r="CP331" s="645"/>
      <c r="CQ331" s="645"/>
      <c r="CR331" s="645"/>
      <c r="CS331" s="645"/>
      <c r="CT331" s="645"/>
      <c r="CU331" s="645"/>
      <c r="CV331" s="645"/>
      <c r="CW331" s="645"/>
      <c r="CX331" s="645"/>
      <c r="CY331" s="645"/>
      <c r="CZ331" s="645"/>
      <c r="DA331" s="645"/>
      <c r="DB331" s="645"/>
      <c r="DC331" s="645"/>
      <c r="DD331" s="645"/>
      <c r="DE331" s="645"/>
      <c r="DF331" s="645"/>
      <c r="DG331" s="645"/>
      <c r="DH331" s="645"/>
      <c r="DI331" s="645"/>
      <c r="DJ331" s="645"/>
      <c r="DK331" s="645"/>
      <c r="DL331" s="645"/>
      <c r="DM331" s="645"/>
      <c r="DN331" s="645"/>
      <c r="DO331" s="645"/>
      <c r="DP331" s="645"/>
      <c r="DQ331" s="645"/>
      <c r="DR331" s="645"/>
      <c r="DS331" s="645"/>
      <c r="DT331" s="645"/>
      <c r="DU331" s="645"/>
      <c r="DV331" s="645"/>
      <c r="DW331" s="645"/>
      <c r="DX331" s="645"/>
      <c r="DY331" s="645"/>
      <c r="DZ331" s="645"/>
      <c r="EA331" s="645"/>
      <c r="EB331" s="645"/>
      <c r="EC331" s="645"/>
      <c r="ED331" s="645"/>
      <c r="EE331" s="645"/>
      <c r="EF331" s="645"/>
      <c r="EG331" s="645"/>
      <c r="EH331" s="645"/>
      <c r="EI331" s="645"/>
      <c r="EJ331" s="645"/>
      <c r="EK331" s="645"/>
      <c r="EL331" s="645"/>
      <c r="EM331" s="645"/>
      <c r="EN331" s="645"/>
      <c r="EO331" s="645"/>
      <c r="EP331" s="645"/>
      <c r="EQ331" s="645"/>
      <c r="ER331" s="645"/>
      <c r="ES331" s="645"/>
      <c r="ET331" s="645"/>
      <c r="EU331" s="43"/>
      <c r="EV331" s="43"/>
      <c r="EW331" s="43"/>
      <c r="EX331" s="43"/>
      <c r="EY331" s="43"/>
      <c r="EZ331" s="79"/>
      <c r="FA331" s="79"/>
      <c r="FB331" s="79"/>
      <c r="FC331" s="79"/>
      <c r="FD331" s="79"/>
      <c r="FE331" s="79"/>
      <c r="FF331" s="79"/>
      <c r="FG331" s="79"/>
      <c r="FH331" s="79"/>
      <c r="FI331" s="79"/>
      <c r="FJ331" s="79"/>
      <c r="FK331" s="79"/>
      <c r="FL331" s="79"/>
      <c r="FM331" s="49"/>
      <c r="FN331" s="49" t="s">
        <v>21</v>
      </c>
      <c r="FO331" s="49"/>
      <c r="FP331" s="49"/>
      <c r="FQ331" s="49"/>
      <c r="FR331" s="49" t="s">
        <v>21</v>
      </c>
      <c r="FS331" s="49" t="s">
        <v>21</v>
      </c>
      <c r="FT331" s="49" t="s">
        <v>21</v>
      </c>
      <c r="FU331" s="49" t="s">
        <v>21</v>
      </c>
      <c r="FV331" s="48" t="s">
        <v>21</v>
      </c>
      <c r="FW331" s="48" t="s">
        <v>21</v>
      </c>
      <c r="FX331" s="48" t="s">
        <v>21</v>
      </c>
      <c r="FY331" s="48"/>
      <c r="FZ331" s="48"/>
      <c r="GA331" s="49"/>
      <c r="GB331" s="49"/>
      <c r="GC331" s="49"/>
      <c r="GD331" s="49"/>
      <c r="GE331" s="49"/>
      <c r="GF331" s="49"/>
      <c r="GG331" s="49"/>
      <c r="GH331" s="49"/>
      <c r="GI331" s="49"/>
      <c r="GJ331" s="49"/>
      <c r="GK331" s="49"/>
      <c r="GL331" s="49"/>
      <c r="GM331" s="49"/>
      <c r="GN331" s="49"/>
      <c r="GO331" s="49"/>
      <c r="GP331" s="49"/>
      <c r="GQ331" s="49"/>
      <c r="GR331" s="49"/>
      <c r="GS331" s="49"/>
      <c r="GT331" s="49"/>
      <c r="GU331" s="49"/>
      <c r="GV331" s="49"/>
      <c r="GW331" s="49"/>
      <c r="GX331" s="49"/>
      <c r="GY331" s="49"/>
      <c r="GZ331" s="49"/>
      <c r="HA331" s="49"/>
      <c r="HB331" s="49"/>
      <c r="HC331" s="49"/>
      <c r="HD331" s="49"/>
      <c r="HE331" s="49"/>
      <c r="HF331" s="49"/>
      <c r="HG331" s="49"/>
      <c r="HH331" s="49"/>
      <c r="HI331" s="49"/>
      <c r="HJ331" s="49"/>
      <c r="HK331" s="49"/>
      <c r="HL331" s="49"/>
      <c r="HM331" s="49"/>
    </row>
    <row r="332" spans="1:221" ht="3.75" customHeight="1">
      <c r="A332" s="1"/>
      <c r="B332" s="3"/>
      <c r="C332" s="3"/>
      <c r="D332" s="12"/>
      <c r="E332" s="39"/>
      <c r="F332" s="39"/>
      <c r="G332" s="39"/>
      <c r="H332" s="39"/>
      <c r="I332" s="39"/>
      <c r="J332" s="39"/>
      <c r="K332" s="197"/>
      <c r="L332" s="197"/>
      <c r="M332" s="197">
        <v>440</v>
      </c>
      <c r="N332" s="197"/>
      <c r="O332" s="197"/>
      <c r="P332" s="201"/>
      <c r="Q332" s="197"/>
      <c r="R332" s="197"/>
      <c r="S332" s="146"/>
      <c r="T332" s="146"/>
      <c r="U332" s="146"/>
      <c r="V332" s="197"/>
      <c r="W332" s="197"/>
      <c r="X332" s="197"/>
      <c r="Y332" s="197"/>
      <c r="Z332" s="43"/>
      <c r="AA332" s="156" t="str">
        <f t="shared" ca="1" si="49"/>
        <v/>
      </c>
      <c r="AB332" s="159" t="e">
        <f t="shared" ref="AB332:BG332" ca="1" si="63">IF(AB570=4,":",IF(AB570=5,"!",IF(AB570=3,",",IF(AB570=2,"^",IF(AND($FO$317&gt;=AB$383,$FS$311&gt;=$M332,$FS$317&lt;$M332),"~",IF(AND($FO$317&gt;=AB$383,$FS$311&lt;$M332,$FS$317&gt;=$M332),"*",IF(OR($FO$317&lt;AB$383,$FS$317&lt;$M332),"","+")))))))</f>
        <v>#DIV/0!</v>
      </c>
      <c r="AC332" s="159" t="e">
        <f t="shared" ca="1" si="63"/>
        <v>#DIV/0!</v>
      </c>
      <c r="AD332" s="159" t="e">
        <f t="shared" ca="1" si="63"/>
        <v>#DIV/0!</v>
      </c>
      <c r="AE332" s="159" t="e">
        <f t="shared" ca="1" si="63"/>
        <v>#DIV/0!</v>
      </c>
      <c r="AF332" s="159" t="e">
        <f t="shared" ca="1" si="63"/>
        <v>#DIV/0!</v>
      </c>
      <c r="AG332" s="159" t="e">
        <f t="shared" ca="1" si="63"/>
        <v>#DIV/0!</v>
      </c>
      <c r="AH332" s="159" t="e">
        <f t="shared" ca="1" si="63"/>
        <v>#DIV/0!</v>
      </c>
      <c r="AI332" s="159" t="e">
        <f t="shared" ca="1" si="63"/>
        <v>#DIV/0!</v>
      </c>
      <c r="AJ332" s="159" t="e">
        <f t="shared" ca="1" si="63"/>
        <v>#DIV/0!</v>
      </c>
      <c r="AK332" s="159" t="e">
        <f t="shared" ca="1" si="63"/>
        <v>#DIV/0!</v>
      </c>
      <c r="AL332" s="159" t="e">
        <f t="shared" ca="1" si="63"/>
        <v>#DIV/0!</v>
      </c>
      <c r="AM332" s="159" t="e">
        <f t="shared" ca="1" si="63"/>
        <v>#DIV/0!</v>
      </c>
      <c r="AN332" s="159" t="e">
        <f t="shared" ca="1" si="63"/>
        <v>#DIV/0!</v>
      </c>
      <c r="AO332" s="159" t="e">
        <f t="shared" ca="1" si="63"/>
        <v>#DIV/0!</v>
      </c>
      <c r="AP332" s="159" t="e">
        <f t="shared" ca="1" si="63"/>
        <v>#DIV/0!</v>
      </c>
      <c r="AQ332" s="159" t="e">
        <f t="shared" ca="1" si="63"/>
        <v>#DIV/0!</v>
      </c>
      <c r="AR332" s="159" t="e">
        <f t="shared" ca="1" si="63"/>
        <v>#DIV/0!</v>
      </c>
      <c r="AS332" s="159" t="e">
        <f t="shared" ca="1" si="63"/>
        <v>#DIV/0!</v>
      </c>
      <c r="AT332" s="159" t="e">
        <f t="shared" ca="1" si="63"/>
        <v>#DIV/0!</v>
      </c>
      <c r="AU332" s="159" t="e">
        <f t="shared" ca="1" si="63"/>
        <v>#DIV/0!</v>
      </c>
      <c r="AV332" s="159" t="e">
        <f t="shared" ca="1" si="63"/>
        <v>#DIV/0!</v>
      </c>
      <c r="AW332" s="159" t="e">
        <f t="shared" ca="1" si="63"/>
        <v>#DIV/0!</v>
      </c>
      <c r="AX332" s="159" t="e">
        <f t="shared" ca="1" si="63"/>
        <v>#DIV/0!</v>
      </c>
      <c r="AY332" s="159" t="e">
        <f t="shared" ca="1" si="63"/>
        <v>#DIV/0!</v>
      </c>
      <c r="AZ332" s="159" t="e">
        <f t="shared" ca="1" si="63"/>
        <v>#DIV/0!</v>
      </c>
      <c r="BA332" s="159" t="e">
        <f t="shared" ca="1" si="63"/>
        <v>#DIV/0!</v>
      </c>
      <c r="BB332" s="159" t="e">
        <f t="shared" ca="1" si="63"/>
        <v>#DIV/0!</v>
      </c>
      <c r="BC332" s="159" t="e">
        <f t="shared" ca="1" si="63"/>
        <v>#DIV/0!</v>
      </c>
      <c r="BD332" s="159" t="e">
        <f t="shared" ca="1" si="63"/>
        <v>#DIV/0!</v>
      </c>
      <c r="BE332" s="159" t="e">
        <f t="shared" ca="1" si="63"/>
        <v>#DIV/0!</v>
      </c>
      <c r="BF332" s="159" t="e">
        <f t="shared" ca="1" si="63"/>
        <v>#DIV/0!</v>
      </c>
      <c r="BG332" s="159" t="e">
        <f t="shared" ca="1" si="63"/>
        <v>#DIV/0!</v>
      </c>
      <c r="BH332" s="159" t="e">
        <f t="shared" ref="BH332:BX332" ca="1" si="64">IF(BH570=4,":",IF(BH570=5,"!",IF(BH570=3,",",IF(BH570=2,"^",IF(AND($FO$317&gt;=BH$383,$FS$311&gt;=$M332,$FS$317&lt;$M332),"~",IF(AND($FO$317&gt;=BH$383,$FS$311&lt;$M332,$FS$317&gt;=$M332),"*",IF(OR($FO$317&lt;BH$383,$FS$317&lt;$M332),"","+")))))))</f>
        <v>#DIV/0!</v>
      </c>
      <c r="BI332" s="159" t="e">
        <f t="shared" ca="1" si="64"/>
        <v>#DIV/0!</v>
      </c>
      <c r="BJ332" s="159" t="e">
        <f t="shared" ca="1" si="64"/>
        <v>#DIV/0!</v>
      </c>
      <c r="BK332" s="159" t="e">
        <f t="shared" ca="1" si="64"/>
        <v>#DIV/0!</v>
      </c>
      <c r="BL332" s="159" t="e">
        <f t="shared" ca="1" si="64"/>
        <v>#DIV/0!</v>
      </c>
      <c r="BM332" s="159" t="e">
        <f t="shared" ca="1" si="64"/>
        <v>#DIV/0!</v>
      </c>
      <c r="BN332" s="159" t="e">
        <f t="shared" ca="1" si="64"/>
        <v>#DIV/0!</v>
      </c>
      <c r="BO332" s="159" t="e">
        <f t="shared" ca="1" si="64"/>
        <v>#DIV/0!</v>
      </c>
      <c r="BP332" s="159" t="e">
        <f t="shared" ca="1" si="64"/>
        <v>#DIV/0!</v>
      </c>
      <c r="BQ332" s="159" t="e">
        <f t="shared" ca="1" si="64"/>
        <v>#DIV/0!</v>
      </c>
      <c r="BR332" s="159" t="e">
        <f t="shared" ca="1" si="64"/>
        <v>#DIV/0!</v>
      </c>
      <c r="BS332" s="159" t="e">
        <f t="shared" ca="1" si="64"/>
        <v>#DIV/0!</v>
      </c>
      <c r="BT332" s="159" t="e">
        <f t="shared" ca="1" si="64"/>
        <v>#DIV/0!</v>
      </c>
      <c r="BU332" s="159" t="e">
        <f t="shared" ca="1" si="64"/>
        <v>#DIV/0!</v>
      </c>
      <c r="BV332" s="159" t="e">
        <f t="shared" ca="1" si="64"/>
        <v>#DIV/0!</v>
      </c>
      <c r="BW332" s="159" t="e">
        <f t="shared" ca="1" si="64"/>
        <v>#DIV/0!</v>
      </c>
      <c r="BX332" s="159" t="e">
        <f t="shared" ca="1" si="64"/>
        <v>#DIV/0!</v>
      </c>
      <c r="BY332" s="159" t="e">
        <f t="shared" ca="1" si="54"/>
        <v>#DIV/0!</v>
      </c>
      <c r="BZ332" s="160"/>
      <c r="CA332" s="157"/>
      <c r="CB332" s="58"/>
      <c r="CC332" s="38"/>
      <c r="CD332" s="197"/>
      <c r="CE332" s="197"/>
      <c r="CF332" s="197"/>
      <c r="CG332" s="197"/>
      <c r="CH332" s="197"/>
      <c r="CI332" s="197"/>
      <c r="CJ332" s="645"/>
      <c r="CK332" s="645"/>
      <c r="CL332" s="645"/>
      <c r="CM332" s="645"/>
      <c r="CN332" s="645"/>
      <c r="CO332" s="645"/>
      <c r="CP332" s="645"/>
      <c r="CQ332" s="645"/>
      <c r="CR332" s="645"/>
      <c r="CS332" s="645"/>
      <c r="CT332" s="645"/>
      <c r="CU332" s="645"/>
      <c r="CV332" s="645"/>
      <c r="CW332" s="645"/>
      <c r="CX332" s="645"/>
      <c r="CY332" s="645"/>
      <c r="CZ332" s="645"/>
      <c r="DA332" s="645"/>
      <c r="DB332" s="645"/>
      <c r="DC332" s="645"/>
      <c r="DD332" s="645"/>
      <c r="DE332" s="645"/>
      <c r="DF332" s="645"/>
      <c r="DG332" s="645"/>
      <c r="DH332" s="645"/>
      <c r="DI332" s="645"/>
      <c r="DJ332" s="645"/>
      <c r="DK332" s="645"/>
      <c r="DL332" s="645"/>
      <c r="DM332" s="645"/>
      <c r="DN332" s="645"/>
      <c r="DO332" s="645"/>
      <c r="DP332" s="645"/>
      <c r="DQ332" s="645"/>
      <c r="DR332" s="645"/>
      <c r="DS332" s="645"/>
      <c r="DT332" s="645"/>
      <c r="DU332" s="645"/>
      <c r="DV332" s="645"/>
      <c r="DW332" s="645"/>
      <c r="DX332" s="645"/>
      <c r="DY332" s="645"/>
      <c r="DZ332" s="645"/>
      <c r="EA332" s="645"/>
      <c r="EB332" s="645"/>
      <c r="EC332" s="645"/>
      <c r="ED332" s="645"/>
      <c r="EE332" s="645"/>
      <c r="EF332" s="645"/>
      <c r="EG332" s="645"/>
      <c r="EH332" s="645"/>
      <c r="EI332" s="645"/>
      <c r="EJ332" s="645"/>
      <c r="EK332" s="645"/>
      <c r="EL332" s="645"/>
      <c r="EM332" s="645"/>
      <c r="EN332" s="645"/>
      <c r="EO332" s="645"/>
      <c r="EP332" s="645"/>
      <c r="EQ332" s="645"/>
      <c r="ER332" s="645"/>
      <c r="ES332" s="645"/>
      <c r="ET332" s="645"/>
      <c r="EU332" s="43"/>
      <c r="EV332" s="43"/>
      <c r="EW332" s="43"/>
      <c r="EX332" s="43"/>
      <c r="EY332" s="43"/>
      <c r="EZ332" s="79"/>
      <c r="FA332" s="79"/>
      <c r="FB332" s="79"/>
      <c r="FC332" s="79"/>
      <c r="FD332" s="79"/>
      <c r="FE332" s="79"/>
      <c r="FF332" s="79"/>
      <c r="FG332" s="79"/>
      <c r="FH332" s="79"/>
      <c r="FI332" s="79"/>
      <c r="FJ332" s="79"/>
      <c r="FK332" s="79"/>
      <c r="FL332" s="79"/>
      <c r="FM332" s="49"/>
      <c r="FN332" s="49"/>
      <c r="FO332" s="49"/>
      <c r="FP332" s="49"/>
      <c r="FQ332" s="49"/>
      <c r="FR332" s="49"/>
      <c r="FS332" s="49"/>
      <c r="FT332" s="49"/>
      <c r="FU332" s="49"/>
      <c r="FV332" s="48"/>
      <c r="FW332" s="48"/>
      <c r="FX332" s="48"/>
      <c r="FY332" s="48"/>
      <c r="FZ332" s="48"/>
      <c r="GA332" s="49"/>
      <c r="GB332" s="49"/>
      <c r="GC332" s="49"/>
      <c r="GD332" s="49"/>
      <c r="GE332" s="49"/>
      <c r="GF332" s="49"/>
      <c r="GG332" s="49"/>
      <c r="GH332" s="49"/>
      <c r="GI332" s="49"/>
      <c r="GJ332" s="49"/>
      <c r="GK332" s="49"/>
      <c r="GL332" s="49"/>
      <c r="GM332" s="49"/>
      <c r="GN332" s="49"/>
      <c r="GO332" s="49"/>
      <c r="GP332" s="49"/>
      <c r="GQ332" s="49"/>
      <c r="GR332" s="49"/>
      <c r="GS332" s="49"/>
      <c r="GT332" s="49"/>
      <c r="GU332" s="49"/>
      <c r="GV332" s="49"/>
      <c r="GW332" s="49"/>
      <c r="GX332" s="49"/>
      <c r="GY332" s="49"/>
      <c r="GZ332" s="49"/>
      <c r="HA332" s="49"/>
      <c r="HB332" s="49"/>
      <c r="HC332" s="49"/>
      <c r="HD332" s="49"/>
      <c r="HE332" s="49"/>
      <c r="HF332" s="49"/>
      <c r="HG332" s="49"/>
      <c r="HH332" s="49"/>
      <c r="HI332" s="49"/>
      <c r="HJ332" s="49"/>
      <c r="HK332" s="49"/>
      <c r="HL332" s="49"/>
      <c r="HM332" s="49"/>
    </row>
    <row r="333" spans="1:221" ht="3.75" customHeight="1">
      <c r="A333" s="1"/>
      <c r="B333" s="3"/>
      <c r="C333" s="3"/>
      <c r="D333" s="12"/>
      <c r="E333" s="39"/>
      <c r="F333" s="39"/>
      <c r="G333" s="39"/>
      <c r="H333" s="39"/>
      <c r="I333" s="39"/>
      <c r="J333" s="39"/>
      <c r="K333" s="197"/>
      <c r="L333" s="197"/>
      <c r="M333" s="197">
        <v>430</v>
      </c>
      <c r="N333" s="197"/>
      <c r="O333" s="197"/>
      <c r="P333" s="197"/>
      <c r="Q333" s="679" t="str">
        <f ca="1">IF($FN$305=0,"","€ 40")</f>
        <v/>
      </c>
      <c r="R333" s="645"/>
      <c r="S333" s="645"/>
      <c r="T333" s="645"/>
      <c r="U333" s="645"/>
      <c r="V333" s="645"/>
      <c r="W333" s="645"/>
      <c r="X333" s="645"/>
      <c r="Y333" s="645"/>
      <c r="Z333" s="43"/>
      <c r="AA333" s="156" t="str">
        <f t="shared" ca="1" si="49"/>
        <v/>
      </c>
      <c r="AB333" s="159" t="e">
        <f t="shared" ref="AB333:BG333" ca="1" si="65">IF(AB571=4,":",IF(AB571=5,"!",IF(AB571=3,",",IF(AB571=2,"^",IF(AND($FO$317&gt;=AB$383,$FS$311&gt;=$M333,$FS$317&lt;$M333),"~",IF(AND($FO$317&gt;=AB$383,$FS$311&lt;$M333,$FS$317&gt;=$M333),"*",IF(OR($FO$317&lt;AB$383,$FS$317&lt;$M333),"","+")))))))</f>
        <v>#DIV/0!</v>
      </c>
      <c r="AC333" s="159" t="e">
        <f t="shared" ca="1" si="65"/>
        <v>#DIV/0!</v>
      </c>
      <c r="AD333" s="159" t="e">
        <f t="shared" ca="1" si="65"/>
        <v>#DIV/0!</v>
      </c>
      <c r="AE333" s="159" t="e">
        <f t="shared" ca="1" si="65"/>
        <v>#DIV/0!</v>
      </c>
      <c r="AF333" s="159" t="e">
        <f t="shared" ca="1" si="65"/>
        <v>#DIV/0!</v>
      </c>
      <c r="AG333" s="159" t="e">
        <f t="shared" ca="1" si="65"/>
        <v>#DIV/0!</v>
      </c>
      <c r="AH333" s="159" t="e">
        <f t="shared" ca="1" si="65"/>
        <v>#DIV/0!</v>
      </c>
      <c r="AI333" s="159" t="e">
        <f t="shared" ca="1" si="65"/>
        <v>#DIV/0!</v>
      </c>
      <c r="AJ333" s="159" t="e">
        <f t="shared" ca="1" si="65"/>
        <v>#DIV/0!</v>
      </c>
      <c r="AK333" s="159" t="e">
        <f t="shared" ca="1" si="65"/>
        <v>#DIV/0!</v>
      </c>
      <c r="AL333" s="159" t="e">
        <f t="shared" ca="1" si="65"/>
        <v>#DIV/0!</v>
      </c>
      <c r="AM333" s="159" t="e">
        <f t="shared" ca="1" si="65"/>
        <v>#DIV/0!</v>
      </c>
      <c r="AN333" s="159" t="e">
        <f t="shared" ca="1" si="65"/>
        <v>#DIV/0!</v>
      </c>
      <c r="AO333" s="159" t="e">
        <f t="shared" ca="1" si="65"/>
        <v>#DIV/0!</v>
      </c>
      <c r="AP333" s="159" t="e">
        <f t="shared" ca="1" si="65"/>
        <v>#DIV/0!</v>
      </c>
      <c r="AQ333" s="159" t="e">
        <f t="shared" ca="1" si="65"/>
        <v>#DIV/0!</v>
      </c>
      <c r="AR333" s="159" t="e">
        <f t="shared" ca="1" si="65"/>
        <v>#DIV/0!</v>
      </c>
      <c r="AS333" s="159" t="e">
        <f t="shared" ca="1" si="65"/>
        <v>#DIV/0!</v>
      </c>
      <c r="AT333" s="159" t="e">
        <f t="shared" ca="1" si="65"/>
        <v>#DIV/0!</v>
      </c>
      <c r="AU333" s="159" t="e">
        <f t="shared" ca="1" si="65"/>
        <v>#DIV/0!</v>
      </c>
      <c r="AV333" s="159" t="e">
        <f t="shared" ca="1" si="65"/>
        <v>#DIV/0!</v>
      </c>
      <c r="AW333" s="159" t="e">
        <f t="shared" ca="1" si="65"/>
        <v>#DIV/0!</v>
      </c>
      <c r="AX333" s="159" t="e">
        <f t="shared" ca="1" si="65"/>
        <v>#DIV/0!</v>
      </c>
      <c r="AY333" s="159" t="e">
        <f t="shared" ca="1" si="65"/>
        <v>#DIV/0!</v>
      </c>
      <c r="AZ333" s="159" t="e">
        <f t="shared" ca="1" si="65"/>
        <v>#DIV/0!</v>
      </c>
      <c r="BA333" s="159" t="e">
        <f t="shared" ca="1" si="65"/>
        <v>#DIV/0!</v>
      </c>
      <c r="BB333" s="159" t="e">
        <f t="shared" ca="1" si="65"/>
        <v>#DIV/0!</v>
      </c>
      <c r="BC333" s="159" t="e">
        <f t="shared" ca="1" si="65"/>
        <v>#DIV/0!</v>
      </c>
      <c r="BD333" s="159" t="e">
        <f t="shared" ca="1" si="65"/>
        <v>#DIV/0!</v>
      </c>
      <c r="BE333" s="159" t="e">
        <f t="shared" ca="1" si="65"/>
        <v>#DIV/0!</v>
      </c>
      <c r="BF333" s="159" t="e">
        <f t="shared" ca="1" si="65"/>
        <v>#DIV/0!</v>
      </c>
      <c r="BG333" s="159" t="e">
        <f t="shared" ca="1" si="65"/>
        <v>#DIV/0!</v>
      </c>
      <c r="BH333" s="159" t="e">
        <f t="shared" ref="BH333:BX333" ca="1" si="66">IF(BH571=4,":",IF(BH571=5,"!",IF(BH571=3,",",IF(BH571=2,"^",IF(AND($FO$317&gt;=BH$383,$FS$311&gt;=$M333,$FS$317&lt;$M333),"~",IF(AND($FO$317&gt;=BH$383,$FS$311&lt;$M333,$FS$317&gt;=$M333),"*",IF(OR($FO$317&lt;BH$383,$FS$317&lt;$M333),"","+")))))))</f>
        <v>#DIV/0!</v>
      </c>
      <c r="BI333" s="159" t="e">
        <f t="shared" ca="1" si="66"/>
        <v>#DIV/0!</v>
      </c>
      <c r="BJ333" s="159" t="e">
        <f t="shared" ca="1" si="66"/>
        <v>#DIV/0!</v>
      </c>
      <c r="BK333" s="159" t="e">
        <f t="shared" ca="1" si="66"/>
        <v>#DIV/0!</v>
      </c>
      <c r="BL333" s="159" t="e">
        <f t="shared" ca="1" si="66"/>
        <v>#DIV/0!</v>
      </c>
      <c r="BM333" s="159" t="e">
        <f t="shared" ca="1" si="66"/>
        <v>#DIV/0!</v>
      </c>
      <c r="BN333" s="159" t="e">
        <f t="shared" ca="1" si="66"/>
        <v>#DIV/0!</v>
      </c>
      <c r="BO333" s="159" t="e">
        <f t="shared" ca="1" si="66"/>
        <v>#DIV/0!</v>
      </c>
      <c r="BP333" s="159" t="e">
        <f t="shared" ca="1" si="66"/>
        <v>#DIV/0!</v>
      </c>
      <c r="BQ333" s="159" t="e">
        <f t="shared" ca="1" si="66"/>
        <v>#DIV/0!</v>
      </c>
      <c r="BR333" s="159" t="e">
        <f t="shared" ca="1" si="66"/>
        <v>#DIV/0!</v>
      </c>
      <c r="BS333" s="159" t="e">
        <f t="shared" ca="1" si="66"/>
        <v>#DIV/0!</v>
      </c>
      <c r="BT333" s="159" t="e">
        <f t="shared" ca="1" si="66"/>
        <v>#DIV/0!</v>
      </c>
      <c r="BU333" s="159" t="e">
        <f t="shared" ca="1" si="66"/>
        <v>#DIV/0!</v>
      </c>
      <c r="BV333" s="159" t="e">
        <f t="shared" ca="1" si="66"/>
        <v>#DIV/0!</v>
      </c>
      <c r="BW333" s="159" t="e">
        <f t="shared" ca="1" si="66"/>
        <v>#DIV/0!</v>
      </c>
      <c r="BX333" s="159" t="e">
        <f t="shared" ca="1" si="66"/>
        <v>#DIV/0!</v>
      </c>
      <c r="BY333" s="159" t="e">
        <f t="shared" ca="1" si="54"/>
        <v>#DIV/0!</v>
      </c>
      <c r="BZ333" s="160"/>
      <c r="CA333" s="157"/>
      <c r="CB333" s="59"/>
      <c r="CC333" s="55"/>
      <c r="CD333" s="55"/>
      <c r="CE333" s="55"/>
      <c r="CF333" s="55"/>
      <c r="CG333" s="55"/>
      <c r="CH333" s="55"/>
      <c r="CI333" s="55"/>
      <c r="CJ333" s="645"/>
      <c r="CK333" s="645"/>
      <c r="CL333" s="645"/>
      <c r="CM333" s="645"/>
      <c r="CN333" s="645"/>
      <c r="CO333" s="645"/>
      <c r="CP333" s="645"/>
      <c r="CQ333" s="645"/>
      <c r="CR333" s="645"/>
      <c r="CS333" s="645"/>
      <c r="CT333" s="645"/>
      <c r="CU333" s="645"/>
      <c r="CV333" s="645"/>
      <c r="CW333" s="645"/>
      <c r="CX333" s="645"/>
      <c r="CY333" s="645"/>
      <c r="CZ333" s="645"/>
      <c r="DA333" s="645"/>
      <c r="DB333" s="645"/>
      <c r="DC333" s="645"/>
      <c r="DD333" s="645"/>
      <c r="DE333" s="645"/>
      <c r="DF333" s="645"/>
      <c r="DG333" s="645"/>
      <c r="DH333" s="645"/>
      <c r="DI333" s="645"/>
      <c r="DJ333" s="645"/>
      <c r="DK333" s="645"/>
      <c r="DL333" s="645"/>
      <c r="DM333" s="645"/>
      <c r="DN333" s="645"/>
      <c r="DO333" s="645"/>
      <c r="DP333" s="645"/>
      <c r="DQ333" s="645"/>
      <c r="DR333" s="645"/>
      <c r="DS333" s="645"/>
      <c r="DT333" s="645"/>
      <c r="DU333" s="645"/>
      <c r="DV333" s="645"/>
      <c r="DW333" s="645"/>
      <c r="DX333" s="645"/>
      <c r="DY333" s="645"/>
      <c r="DZ333" s="645"/>
      <c r="EA333" s="645"/>
      <c r="EB333" s="645"/>
      <c r="EC333" s="645"/>
      <c r="ED333" s="645"/>
      <c r="EE333" s="645"/>
      <c r="EF333" s="645"/>
      <c r="EG333" s="645"/>
      <c r="EH333" s="645"/>
      <c r="EI333" s="645"/>
      <c r="EJ333" s="645"/>
      <c r="EK333" s="645"/>
      <c r="EL333" s="645"/>
      <c r="EM333" s="645"/>
      <c r="EN333" s="645"/>
      <c r="EO333" s="645"/>
      <c r="EP333" s="645"/>
      <c r="EQ333" s="645"/>
      <c r="ER333" s="645"/>
      <c r="ES333" s="645"/>
      <c r="ET333" s="645"/>
      <c r="EU333" s="43"/>
      <c r="EV333" s="43"/>
      <c r="EW333" s="43"/>
      <c r="EX333" s="43"/>
      <c r="EY333" s="43"/>
      <c r="EZ333" s="79"/>
      <c r="FA333" s="79"/>
      <c r="FB333" s="79"/>
      <c r="FC333" s="79"/>
      <c r="FD333" s="79"/>
      <c r="FE333" s="79"/>
      <c r="FF333" s="79"/>
      <c r="FG333" s="79"/>
      <c r="FH333" s="79"/>
      <c r="FI333" s="79"/>
      <c r="FJ333" s="79"/>
      <c r="FK333" s="79"/>
      <c r="FL333" s="79"/>
      <c r="FM333" s="49"/>
      <c r="FN333" s="49"/>
      <c r="FO333" s="49"/>
      <c r="FP333" s="49"/>
      <c r="FQ333" s="49"/>
      <c r="FR333" s="49"/>
      <c r="FS333" s="49"/>
      <c r="FT333" s="49"/>
      <c r="FU333" s="49"/>
      <c r="FV333" s="48"/>
      <c r="FW333" s="48"/>
      <c r="FX333" s="48"/>
      <c r="FY333" s="48"/>
      <c r="FZ333" s="48"/>
      <c r="GA333" s="49"/>
      <c r="GB333" s="49"/>
      <c r="GC333" s="49"/>
      <c r="GD333" s="49"/>
      <c r="GE333" s="49"/>
      <c r="GF333" s="49"/>
      <c r="GG333" s="49"/>
      <c r="GH333" s="49"/>
      <c r="GI333" s="49"/>
      <c r="GJ333" s="49"/>
      <c r="GK333" s="49"/>
      <c r="GL333" s="49"/>
      <c r="GM333" s="49"/>
      <c r="GN333" s="49"/>
      <c r="GO333" s="49"/>
      <c r="GP333" s="49"/>
      <c r="GQ333" s="49"/>
      <c r="GR333" s="49"/>
      <c r="GS333" s="49"/>
      <c r="GT333" s="49"/>
      <c r="GU333" s="49"/>
      <c r="GV333" s="49"/>
      <c r="GW333" s="49"/>
      <c r="GX333" s="49"/>
      <c r="GY333" s="49"/>
      <c r="GZ333" s="49"/>
      <c r="HA333" s="49"/>
      <c r="HB333" s="49"/>
      <c r="HC333" s="49"/>
      <c r="HD333" s="49"/>
      <c r="HE333" s="49"/>
      <c r="HF333" s="49"/>
      <c r="HG333" s="49"/>
      <c r="HH333" s="49"/>
      <c r="HI333" s="49"/>
      <c r="HJ333" s="49"/>
      <c r="HK333" s="49"/>
      <c r="HL333" s="49"/>
      <c r="HM333" s="49"/>
    </row>
    <row r="334" spans="1:221" ht="3.75" customHeight="1">
      <c r="A334" s="1"/>
      <c r="B334" s="3"/>
      <c r="C334" s="3"/>
      <c r="D334" s="12"/>
      <c r="E334" s="39"/>
      <c r="F334" s="39"/>
      <c r="G334" s="39"/>
      <c r="H334" s="39"/>
      <c r="I334" s="39"/>
      <c r="J334" s="39"/>
      <c r="K334" s="197"/>
      <c r="L334" s="197"/>
      <c r="M334" s="197">
        <v>420</v>
      </c>
      <c r="N334" s="197"/>
      <c r="O334" s="197"/>
      <c r="P334" s="197"/>
      <c r="Q334" s="645"/>
      <c r="R334" s="645"/>
      <c r="S334" s="645"/>
      <c r="T334" s="645"/>
      <c r="U334" s="645"/>
      <c r="V334" s="645"/>
      <c r="W334" s="645"/>
      <c r="X334" s="645"/>
      <c r="Y334" s="645"/>
      <c r="Z334" s="126"/>
      <c r="AA334" s="156" t="str">
        <f t="shared" ca="1" si="49"/>
        <v/>
      </c>
      <c r="AB334" s="159" t="e">
        <f t="shared" ref="AB334:BG334" ca="1" si="67">IF(AB572=4,":",IF(AB572=5,"!",IF(AB572=3,",",IF(AB572=2,"^",IF(AND($FO$317&gt;=AB$383,$FS$311&gt;=$M334,$FS$317&lt;$M334),"~",IF(AND($FO$317&gt;=AB$383,$FS$311&lt;$M334,$FS$317&gt;=$M334),"*",IF(OR($FO$317&lt;AB$383,$FS$317&lt;$M334),"","+")))))))</f>
        <v>#DIV/0!</v>
      </c>
      <c r="AC334" s="159" t="e">
        <f t="shared" ca="1" si="67"/>
        <v>#DIV/0!</v>
      </c>
      <c r="AD334" s="159" t="e">
        <f t="shared" ca="1" si="67"/>
        <v>#DIV/0!</v>
      </c>
      <c r="AE334" s="159" t="e">
        <f t="shared" ca="1" si="67"/>
        <v>#DIV/0!</v>
      </c>
      <c r="AF334" s="159" t="e">
        <f t="shared" ca="1" si="67"/>
        <v>#DIV/0!</v>
      </c>
      <c r="AG334" s="159" t="e">
        <f t="shared" ca="1" si="67"/>
        <v>#DIV/0!</v>
      </c>
      <c r="AH334" s="159" t="e">
        <f t="shared" ca="1" si="67"/>
        <v>#DIV/0!</v>
      </c>
      <c r="AI334" s="159" t="e">
        <f t="shared" ca="1" si="67"/>
        <v>#DIV/0!</v>
      </c>
      <c r="AJ334" s="159" t="e">
        <f t="shared" ca="1" si="67"/>
        <v>#DIV/0!</v>
      </c>
      <c r="AK334" s="159" t="e">
        <f t="shared" ca="1" si="67"/>
        <v>#DIV/0!</v>
      </c>
      <c r="AL334" s="159" t="e">
        <f t="shared" ca="1" si="67"/>
        <v>#DIV/0!</v>
      </c>
      <c r="AM334" s="159" t="e">
        <f t="shared" ca="1" si="67"/>
        <v>#DIV/0!</v>
      </c>
      <c r="AN334" s="159" t="e">
        <f t="shared" ca="1" si="67"/>
        <v>#DIV/0!</v>
      </c>
      <c r="AO334" s="159" t="e">
        <f t="shared" ca="1" si="67"/>
        <v>#DIV/0!</v>
      </c>
      <c r="AP334" s="159" t="e">
        <f t="shared" ca="1" si="67"/>
        <v>#DIV/0!</v>
      </c>
      <c r="AQ334" s="159" t="e">
        <f t="shared" ca="1" si="67"/>
        <v>#DIV/0!</v>
      </c>
      <c r="AR334" s="159" t="e">
        <f t="shared" ca="1" si="67"/>
        <v>#DIV/0!</v>
      </c>
      <c r="AS334" s="159" t="e">
        <f t="shared" ca="1" si="67"/>
        <v>#DIV/0!</v>
      </c>
      <c r="AT334" s="159" t="e">
        <f t="shared" ca="1" si="67"/>
        <v>#DIV/0!</v>
      </c>
      <c r="AU334" s="159" t="e">
        <f t="shared" ca="1" si="67"/>
        <v>#DIV/0!</v>
      </c>
      <c r="AV334" s="159" t="e">
        <f t="shared" ca="1" si="67"/>
        <v>#DIV/0!</v>
      </c>
      <c r="AW334" s="159" t="e">
        <f t="shared" ca="1" si="67"/>
        <v>#DIV/0!</v>
      </c>
      <c r="AX334" s="159" t="e">
        <f t="shared" ca="1" si="67"/>
        <v>#DIV/0!</v>
      </c>
      <c r="AY334" s="159" t="e">
        <f t="shared" ca="1" si="67"/>
        <v>#DIV/0!</v>
      </c>
      <c r="AZ334" s="159" t="e">
        <f t="shared" ca="1" si="67"/>
        <v>#DIV/0!</v>
      </c>
      <c r="BA334" s="159" t="e">
        <f t="shared" ca="1" si="67"/>
        <v>#DIV/0!</v>
      </c>
      <c r="BB334" s="159" t="e">
        <f t="shared" ca="1" si="67"/>
        <v>#DIV/0!</v>
      </c>
      <c r="BC334" s="159" t="e">
        <f t="shared" ca="1" si="67"/>
        <v>#DIV/0!</v>
      </c>
      <c r="BD334" s="159" t="e">
        <f t="shared" ca="1" si="67"/>
        <v>#DIV/0!</v>
      </c>
      <c r="BE334" s="159" t="e">
        <f t="shared" ca="1" si="67"/>
        <v>#DIV/0!</v>
      </c>
      <c r="BF334" s="159" t="e">
        <f t="shared" ca="1" si="67"/>
        <v>#DIV/0!</v>
      </c>
      <c r="BG334" s="159" t="e">
        <f t="shared" ca="1" si="67"/>
        <v>#DIV/0!</v>
      </c>
      <c r="BH334" s="159" t="e">
        <f t="shared" ref="BH334:BX334" ca="1" si="68">IF(BH572=4,":",IF(BH572=5,"!",IF(BH572=3,",",IF(BH572=2,"^",IF(AND($FO$317&gt;=BH$383,$FS$311&gt;=$M334,$FS$317&lt;$M334),"~",IF(AND($FO$317&gt;=BH$383,$FS$311&lt;$M334,$FS$317&gt;=$M334),"*",IF(OR($FO$317&lt;BH$383,$FS$317&lt;$M334),"","+")))))))</f>
        <v>#DIV/0!</v>
      </c>
      <c r="BI334" s="159" t="e">
        <f t="shared" ca="1" si="68"/>
        <v>#DIV/0!</v>
      </c>
      <c r="BJ334" s="159" t="e">
        <f t="shared" ca="1" si="68"/>
        <v>#DIV/0!</v>
      </c>
      <c r="BK334" s="159" t="e">
        <f t="shared" ca="1" si="68"/>
        <v>#DIV/0!</v>
      </c>
      <c r="BL334" s="159" t="e">
        <f t="shared" ca="1" si="68"/>
        <v>#DIV/0!</v>
      </c>
      <c r="BM334" s="159" t="e">
        <f t="shared" ca="1" si="68"/>
        <v>#DIV/0!</v>
      </c>
      <c r="BN334" s="159" t="e">
        <f t="shared" ca="1" si="68"/>
        <v>#DIV/0!</v>
      </c>
      <c r="BO334" s="159" t="e">
        <f t="shared" ca="1" si="68"/>
        <v>#DIV/0!</v>
      </c>
      <c r="BP334" s="159" t="e">
        <f t="shared" ca="1" si="68"/>
        <v>#DIV/0!</v>
      </c>
      <c r="BQ334" s="159" t="e">
        <f t="shared" ca="1" si="68"/>
        <v>#DIV/0!</v>
      </c>
      <c r="BR334" s="159" t="e">
        <f t="shared" ca="1" si="68"/>
        <v>#DIV/0!</v>
      </c>
      <c r="BS334" s="159" t="e">
        <f t="shared" ca="1" si="68"/>
        <v>#DIV/0!</v>
      </c>
      <c r="BT334" s="159" t="e">
        <f t="shared" ca="1" si="68"/>
        <v>#DIV/0!</v>
      </c>
      <c r="BU334" s="159" t="e">
        <f t="shared" ca="1" si="68"/>
        <v>#DIV/0!</v>
      </c>
      <c r="BV334" s="159" t="e">
        <f t="shared" ca="1" si="68"/>
        <v>#DIV/0!</v>
      </c>
      <c r="BW334" s="159" t="e">
        <f t="shared" ca="1" si="68"/>
        <v>#DIV/0!</v>
      </c>
      <c r="BX334" s="159" t="e">
        <f t="shared" ca="1" si="68"/>
        <v>#DIV/0!</v>
      </c>
      <c r="BY334" s="159" t="e">
        <f t="shared" ca="1" si="54"/>
        <v>#DIV/0!</v>
      </c>
      <c r="BZ334" s="160"/>
      <c r="CA334" s="157"/>
      <c r="CB334" s="59"/>
      <c r="CC334" s="55"/>
      <c r="CD334" s="55"/>
      <c r="CE334" s="55"/>
      <c r="CF334" s="55"/>
      <c r="CG334" s="55"/>
      <c r="CH334" s="55"/>
      <c r="CI334" s="55"/>
      <c r="CJ334" s="645"/>
      <c r="CK334" s="645"/>
      <c r="CL334" s="645"/>
      <c r="CM334" s="645"/>
      <c r="CN334" s="645"/>
      <c r="CO334" s="645"/>
      <c r="CP334" s="645"/>
      <c r="CQ334" s="645"/>
      <c r="CR334" s="645"/>
      <c r="CS334" s="645"/>
      <c r="CT334" s="645"/>
      <c r="CU334" s="645"/>
      <c r="CV334" s="645"/>
      <c r="CW334" s="645"/>
      <c r="CX334" s="645"/>
      <c r="CY334" s="645"/>
      <c r="CZ334" s="645"/>
      <c r="DA334" s="645"/>
      <c r="DB334" s="645"/>
      <c r="DC334" s="645"/>
      <c r="DD334" s="645"/>
      <c r="DE334" s="645"/>
      <c r="DF334" s="645"/>
      <c r="DG334" s="645"/>
      <c r="DH334" s="645"/>
      <c r="DI334" s="645"/>
      <c r="DJ334" s="645"/>
      <c r="DK334" s="645"/>
      <c r="DL334" s="645"/>
      <c r="DM334" s="645"/>
      <c r="DN334" s="645"/>
      <c r="DO334" s="645"/>
      <c r="DP334" s="645"/>
      <c r="DQ334" s="645"/>
      <c r="DR334" s="645"/>
      <c r="DS334" s="645"/>
      <c r="DT334" s="645"/>
      <c r="DU334" s="645"/>
      <c r="DV334" s="645"/>
      <c r="DW334" s="645"/>
      <c r="DX334" s="645"/>
      <c r="DY334" s="645"/>
      <c r="DZ334" s="645"/>
      <c r="EA334" s="645"/>
      <c r="EB334" s="645"/>
      <c r="EC334" s="645"/>
      <c r="ED334" s="645"/>
      <c r="EE334" s="645"/>
      <c r="EF334" s="645"/>
      <c r="EG334" s="645"/>
      <c r="EH334" s="645"/>
      <c r="EI334" s="645"/>
      <c r="EJ334" s="645"/>
      <c r="EK334" s="645"/>
      <c r="EL334" s="645"/>
      <c r="EM334" s="645"/>
      <c r="EN334" s="645"/>
      <c r="EO334" s="645"/>
      <c r="EP334" s="645"/>
      <c r="EQ334" s="645"/>
      <c r="ER334" s="645"/>
      <c r="ES334" s="645"/>
      <c r="ET334" s="645"/>
      <c r="EU334" s="210"/>
      <c r="EV334" s="210"/>
      <c r="EW334" s="210"/>
      <c r="EX334" s="210"/>
      <c r="EY334" s="210"/>
      <c r="EZ334" s="79"/>
      <c r="FA334" s="79"/>
      <c r="FB334" s="79"/>
      <c r="FC334" s="79"/>
      <c r="FD334" s="79"/>
      <c r="FE334" s="79"/>
      <c r="FF334" s="79"/>
      <c r="FG334" s="79"/>
      <c r="FH334" s="79"/>
      <c r="FI334" s="79"/>
      <c r="FJ334" s="79"/>
      <c r="FK334" s="79"/>
      <c r="FL334" s="79"/>
      <c r="FM334" s="49"/>
      <c r="FN334" s="49"/>
      <c r="FO334" s="49"/>
      <c r="FP334" s="49"/>
      <c r="FQ334" s="49"/>
      <c r="FR334" s="49"/>
      <c r="FS334" s="49"/>
      <c r="FT334" s="49"/>
      <c r="FU334" s="49"/>
      <c r="FV334" s="48"/>
      <c r="FW334" s="48"/>
      <c r="FX334" s="48"/>
      <c r="FY334" s="49"/>
      <c r="FZ334" s="48"/>
      <c r="GA334" s="49"/>
      <c r="GB334" s="49"/>
      <c r="GC334" s="49"/>
      <c r="GD334" s="49"/>
      <c r="GE334" s="49"/>
      <c r="GF334" s="49"/>
      <c r="GG334" s="49"/>
      <c r="GH334" s="49"/>
      <c r="GI334" s="49"/>
      <c r="GJ334" s="49"/>
      <c r="GK334" s="49"/>
      <c r="GL334" s="49"/>
      <c r="GM334" s="49"/>
      <c r="GN334" s="49"/>
      <c r="GO334" s="49"/>
      <c r="GP334" s="49"/>
      <c r="GQ334" s="49"/>
      <c r="GR334" s="49"/>
      <c r="GS334" s="49"/>
      <c r="GT334" s="49"/>
      <c r="GU334" s="49"/>
      <c r="GV334" s="49"/>
      <c r="GW334" s="49"/>
      <c r="GX334" s="49"/>
      <c r="GY334" s="49"/>
      <c r="GZ334" s="49"/>
      <c r="HA334" s="49"/>
      <c r="HB334" s="49"/>
      <c r="HC334" s="49"/>
      <c r="HD334" s="49"/>
      <c r="HE334" s="49"/>
      <c r="HF334" s="49"/>
      <c r="HG334" s="49"/>
      <c r="HH334" s="49"/>
      <c r="HI334" s="49"/>
      <c r="HJ334" s="49"/>
      <c r="HK334" s="49"/>
      <c r="HL334" s="49"/>
      <c r="HM334" s="49"/>
    </row>
    <row r="335" spans="1:221" ht="3.75" customHeight="1" thickBot="1">
      <c r="A335" s="1"/>
      <c r="B335" s="3"/>
      <c r="C335" s="3"/>
      <c r="D335" s="12"/>
      <c r="E335" s="39"/>
      <c r="F335" s="39"/>
      <c r="G335" s="39"/>
      <c r="H335" s="39"/>
      <c r="I335" s="39"/>
      <c r="J335" s="39"/>
      <c r="K335" s="197"/>
      <c r="L335" s="197"/>
      <c r="M335" s="197">
        <v>410</v>
      </c>
      <c r="N335" s="197"/>
      <c r="O335" s="197"/>
      <c r="P335" s="197"/>
      <c r="Q335" s="645"/>
      <c r="R335" s="645"/>
      <c r="S335" s="645"/>
      <c r="T335" s="645"/>
      <c r="U335" s="645"/>
      <c r="V335" s="645"/>
      <c r="W335" s="645"/>
      <c r="X335" s="645"/>
      <c r="Y335" s="645"/>
      <c r="Z335" s="88"/>
      <c r="AA335" s="156" t="str">
        <f t="shared" ca="1" si="49"/>
        <v/>
      </c>
      <c r="AB335" s="159" t="e">
        <f t="shared" ref="AB335:BG335" ca="1" si="69">IF(AB573=4,":",IF(AB573=5,"!",IF(AB573=3,",",IF(AB573=2,"^",IF(AND($FO$317&gt;=AB$383,$FS$311&gt;=$M335,$FS$317&lt;$M335),"~",IF(AND($FO$317&gt;=AB$383,$FS$311&lt;$M335,$FS$317&gt;=$M335),"*",IF(OR($FO$317&lt;AB$383,$FS$317&lt;$M335),"","+")))))))</f>
        <v>#DIV/0!</v>
      </c>
      <c r="AC335" s="159" t="e">
        <f t="shared" ca="1" si="69"/>
        <v>#DIV/0!</v>
      </c>
      <c r="AD335" s="159" t="e">
        <f t="shared" ca="1" si="69"/>
        <v>#DIV/0!</v>
      </c>
      <c r="AE335" s="159" t="e">
        <f t="shared" ca="1" si="69"/>
        <v>#DIV/0!</v>
      </c>
      <c r="AF335" s="159" t="e">
        <f t="shared" ca="1" si="69"/>
        <v>#DIV/0!</v>
      </c>
      <c r="AG335" s="159" t="e">
        <f t="shared" ca="1" si="69"/>
        <v>#DIV/0!</v>
      </c>
      <c r="AH335" s="159" t="e">
        <f t="shared" ca="1" si="69"/>
        <v>#DIV/0!</v>
      </c>
      <c r="AI335" s="159" t="e">
        <f t="shared" ca="1" si="69"/>
        <v>#DIV/0!</v>
      </c>
      <c r="AJ335" s="159" t="e">
        <f t="shared" ca="1" si="69"/>
        <v>#DIV/0!</v>
      </c>
      <c r="AK335" s="159" t="e">
        <f t="shared" ca="1" si="69"/>
        <v>#DIV/0!</v>
      </c>
      <c r="AL335" s="159" t="e">
        <f t="shared" ca="1" si="69"/>
        <v>#DIV/0!</v>
      </c>
      <c r="AM335" s="159" t="e">
        <f t="shared" ca="1" si="69"/>
        <v>#DIV/0!</v>
      </c>
      <c r="AN335" s="159" t="e">
        <f t="shared" ca="1" si="69"/>
        <v>#DIV/0!</v>
      </c>
      <c r="AO335" s="159" t="e">
        <f t="shared" ca="1" si="69"/>
        <v>#DIV/0!</v>
      </c>
      <c r="AP335" s="159" t="e">
        <f t="shared" ca="1" si="69"/>
        <v>#DIV/0!</v>
      </c>
      <c r="AQ335" s="159" t="e">
        <f t="shared" ca="1" si="69"/>
        <v>#DIV/0!</v>
      </c>
      <c r="AR335" s="159" t="e">
        <f t="shared" ca="1" si="69"/>
        <v>#DIV/0!</v>
      </c>
      <c r="AS335" s="159" t="e">
        <f t="shared" ca="1" si="69"/>
        <v>#DIV/0!</v>
      </c>
      <c r="AT335" s="159" t="e">
        <f t="shared" ca="1" si="69"/>
        <v>#DIV/0!</v>
      </c>
      <c r="AU335" s="159" t="e">
        <f t="shared" ca="1" si="69"/>
        <v>#DIV/0!</v>
      </c>
      <c r="AV335" s="159" t="e">
        <f t="shared" ca="1" si="69"/>
        <v>#DIV/0!</v>
      </c>
      <c r="AW335" s="159" t="e">
        <f t="shared" ca="1" si="69"/>
        <v>#DIV/0!</v>
      </c>
      <c r="AX335" s="159" t="e">
        <f t="shared" ca="1" si="69"/>
        <v>#DIV/0!</v>
      </c>
      <c r="AY335" s="159" t="e">
        <f t="shared" ca="1" si="69"/>
        <v>#DIV/0!</v>
      </c>
      <c r="AZ335" s="159" t="e">
        <f t="shared" ca="1" si="69"/>
        <v>#DIV/0!</v>
      </c>
      <c r="BA335" s="159" t="e">
        <f t="shared" ca="1" si="69"/>
        <v>#DIV/0!</v>
      </c>
      <c r="BB335" s="159" t="e">
        <f t="shared" ca="1" si="69"/>
        <v>#DIV/0!</v>
      </c>
      <c r="BC335" s="159" t="e">
        <f t="shared" ca="1" si="69"/>
        <v>#DIV/0!</v>
      </c>
      <c r="BD335" s="159" t="e">
        <f t="shared" ca="1" si="69"/>
        <v>#DIV/0!</v>
      </c>
      <c r="BE335" s="159" t="e">
        <f t="shared" ca="1" si="69"/>
        <v>#DIV/0!</v>
      </c>
      <c r="BF335" s="159" t="e">
        <f t="shared" ca="1" si="69"/>
        <v>#DIV/0!</v>
      </c>
      <c r="BG335" s="159" t="e">
        <f t="shared" ca="1" si="69"/>
        <v>#DIV/0!</v>
      </c>
      <c r="BH335" s="159" t="e">
        <f t="shared" ref="BH335:BX335" ca="1" si="70">IF(BH573=4,":",IF(BH573=5,"!",IF(BH573=3,",",IF(BH573=2,"^",IF(AND($FO$317&gt;=BH$383,$FS$311&gt;=$M335,$FS$317&lt;$M335),"~",IF(AND($FO$317&gt;=BH$383,$FS$311&lt;$M335,$FS$317&gt;=$M335),"*",IF(OR($FO$317&lt;BH$383,$FS$317&lt;$M335),"","+")))))))</f>
        <v>#DIV/0!</v>
      </c>
      <c r="BI335" s="159" t="e">
        <f t="shared" ca="1" si="70"/>
        <v>#DIV/0!</v>
      </c>
      <c r="BJ335" s="159" t="e">
        <f t="shared" ca="1" si="70"/>
        <v>#DIV/0!</v>
      </c>
      <c r="BK335" s="159" t="e">
        <f t="shared" ca="1" si="70"/>
        <v>#DIV/0!</v>
      </c>
      <c r="BL335" s="159" t="e">
        <f t="shared" ca="1" si="70"/>
        <v>#DIV/0!</v>
      </c>
      <c r="BM335" s="159" t="e">
        <f t="shared" ca="1" si="70"/>
        <v>#DIV/0!</v>
      </c>
      <c r="BN335" s="159" t="e">
        <f t="shared" ca="1" si="70"/>
        <v>#DIV/0!</v>
      </c>
      <c r="BO335" s="159" t="e">
        <f t="shared" ca="1" si="70"/>
        <v>#DIV/0!</v>
      </c>
      <c r="BP335" s="159" t="e">
        <f t="shared" ca="1" si="70"/>
        <v>#DIV/0!</v>
      </c>
      <c r="BQ335" s="159" t="e">
        <f t="shared" ca="1" si="70"/>
        <v>#DIV/0!</v>
      </c>
      <c r="BR335" s="159" t="e">
        <f t="shared" ca="1" si="70"/>
        <v>#DIV/0!</v>
      </c>
      <c r="BS335" s="159" t="e">
        <f t="shared" ca="1" si="70"/>
        <v>#DIV/0!</v>
      </c>
      <c r="BT335" s="159" t="e">
        <f t="shared" ca="1" si="70"/>
        <v>#DIV/0!</v>
      </c>
      <c r="BU335" s="159" t="e">
        <f t="shared" ca="1" si="70"/>
        <v>#DIV/0!</v>
      </c>
      <c r="BV335" s="159" t="e">
        <f t="shared" ca="1" si="70"/>
        <v>#DIV/0!</v>
      </c>
      <c r="BW335" s="159" t="e">
        <f t="shared" ca="1" si="70"/>
        <v>#DIV/0!</v>
      </c>
      <c r="BX335" s="159" t="e">
        <f t="shared" ca="1" si="70"/>
        <v>#DIV/0!</v>
      </c>
      <c r="BY335" s="159" t="e">
        <f t="shared" ca="1" si="54"/>
        <v>#DIV/0!</v>
      </c>
      <c r="BZ335" s="160"/>
      <c r="CA335" s="157"/>
      <c r="CB335" s="59"/>
      <c r="CC335" s="55"/>
      <c r="CD335" s="55"/>
      <c r="CE335" s="55"/>
      <c r="CF335" s="55"/>
      <c r="CG335" s="55"/>
      <c r="CH335" s="55"/>
      <c r="CI335" s="55"/>
      <c r="CJ335" s="645"/>
      <c r="CK335" s="645"/>
      <c r="CL335" s="645"/>
      <c r="CM335" s="645"/>
      <c r="CN335" s="645"/>
      <c r="CO335" s="645"/>
      <c r="CP335" s="645"/>
      <c r="CQ335" s="645"/>
      <c r="CR335" s="645"/>
      <c r="CS335" s="645"/>
      <c r="CT335" s="645"/>
      <c r="CU335" s="645"/>
      <c r="CV335" s="645"/>
      <c r="CW335" s="645"/>
      <c r="CX335" s="645"/>
      <c r="CY335" s="645"/>
      <c r="CZ335" s="645"/>
      <c r="DA335" s="645"/>
      <c r="DB335" s="645"/>
      <c r="DC335" s="645"/>
      <c r="DD335" s="645"/>
      <c r="DE335" s="645"/>
      <c r="DF335" s="645"/>
      <c r="DG335" s="645"/>
      <c r="DH335" s="645"/>
      <c r="DI335" s="645"/>
      <c r="DJ335" s="645"/>
      <c r="DK335" s="645"/>
      <c r="DL335" s="645"/>
      <c r="DM335" s="645"/>
      <c r="DN335" s="645"/>
      <c r="DO335" s="645"/>
      <c r="DP335" s="645"/>
      <c r="DQ335" s="645"/>
      <c r="DR335" s="645"/>
      <c r="DS335" s="645"/>
      <c r="DT335" s="645"/>
      <c r="DU335" s="645"/>
      <c r="DV335" s="645"/>
      <c r="DW335" s="645"/>
      <c r="DX335" s="645"/>
      <c r="DY335" s="645"/>
      <c r="DZ335" s="645"/>
      <c r="EA335" s="645"/>
      <c r="EB335" s="645"/>
      <c r="EC335" s="645"/>
      <c r="ED335" s="645"/>
      <c r="EE335" s="645"/>
      <c r="EF335" s="645"/>
      <c r="EG335" s="645"/>
      <c r="EH335" s="645"/>
      <c r="EI335" s="645"/>
      <c r="EJ335" s="645"/>
      <c r="EK335" s="645"/>
      <c r="EL335" s="645"/>
      <c r="EM335" s="645"/>
      <c r="EN335" s="645"/>
      <c r="EO335" s="645"/>
      <c r="EP335" s="645"/>
      <c r="EQ335" s="645"/>
      <c r="ER335" s="645"/>
      <c r="ES335" s="645"/>
      <c r="ET335" s="645"/>
      <c r="EU335" s="210"/>
      <c r="EV335" s="210"/>
      <c r="EW335" s="210"/>
      <c r="EX335" s="210"/>
      <c r="EY335" s="210"/>
      <c r="EZ335" s="79"/>
      <c r="FA335" s="79"/>
      <c r="FB335" s="79"/>
      <c r="FC335" s="79"/>
      <c r="FD335" s="79"/>
      <c r="FE335" s="79"/>
      <c r="FF335" s="79"/>
      <c r="FG335" s="79"/>
      <c r="FH335" s="79"/>
      <c r="FI335" s="79"/>
      <c r="FJ335" s="79"/>
      <c r="FK335" s="79"/>
      <c r="FL335" s="79"/>
      <c r="FM335" s="49"/>
      <c r="FN335" s="49"/>
      <c r="FO335" s="49"/>
      <c r="FP335" s="49"/>
      <c r="FQ335" s="49"/>
      <c r="FR335" s="49"/>
      <c r="FS335" s="49"/>
      <c r="FT335" s="49"/>
      <c r="FU335" s="49"/>
      <c r="FV335" s="48"/>
      <c r="FW335" s="48"/>
      <c r="FX335" s="48"/>
      <c r="FY335" s="49"/>
      <c r="FZ335" s="48"/>
      <c r="GA335" s="49"/>
      <c r="GB335" s="49"/>
      <c r="GC335" s="49"/>
      <c r="GD335" s="49"/>
      <c r="GE335" s="49"/>
      <c r="GF335" s="49"/>
      <c r="GG335" s="49"/>
      <c r="GH335" s="49"/>
      <c r="GI335" s="49"/>
      <c r="GJ335" s="49"/>
      <c r="GK335" s="49"/>
      <c r="GL335" s="49"/>
      <c r="GM335" s="49"/>
      <c r="GN335" s="49"/>
      <c r="GO335" s="49"/>
      <c r="GP335" s="49"/>
      <c r="GQ335" s="49"/>
      <c r="GR335" s="49"/>
      <c r="GS335" s="49"/>
      <c r="GT335" s="49"/>
      <c r="GU335" s="49"/>
      <c r="GV335" s="49"/>
      <c r="GW335" s="49"/>
      <c r="GX335" s="49"/>
      <c r="GY335" s="49"/>
      <c r="GZ335" s="49"/>
      <c r="HA335" s="49"/>
      <c r="HB335" s="49"/>
      <c r="HC335" s="49"/>
      <c r="HD335" s="49"/>
      <c r="HE335" s="49"/>
      <c r="HF335" s="49"/>
      <c r="HG335" s="49"/>
      <c r="HH335" s="49"/>
      <c r="HI335" s="49"/>
      <c r="HJ335" s="49"/>
      <c r="HK335" s="49"/>
      <c r="HL335" s="49"/>
      <c r="HM335" s="49"/>
    </row>
    <row r="336" spans="1:221" ht="3.75" customHeight="1">
      <c r="A336" s="1"/>
      <c r="B336" s="3"/>
      <c r="C336" s="3"/>
      <c r="D336" s="12"/>
      <c r="E336" s="197"/>
      <c r="F336" s="197"/>
      <c r="G336" s="39"/>
      <c r="H336" s="39"/>
      <c r="I336" s="39"/>
      <c r="J336" s="39"/>
      <c r="K336" s="197"/>
      <c r="L336" s="197"/>
      <c r="M336" s="197">
        <v>400</v>
      </c>
      <c r="N336" s="197"/>
      <c r="O336" s="197"/>
      <c r="P336" s="197"/>
      <c r="Q336" s="645"/>
      <c r="R336" s="645"/>
      <c r="S336" s="645"/>
      <c r="T336" s="645"/>
      <c r="U336" s="645"/>
      <c r="V336" s="645"/>
      <c r="W336" s="645"/>
      <c r="X336" s="645"/>
      <c r="Y336" s="645"/>
      <c r="Z336" s="126"/>
      <c r="AA336" s="156" t="str">
        <f t="shared" ca="1" si="49"/>
        <v/>
      </c>
      <c r="AB336" s="159" t="e">
        <f t="shared" ref="AB336:BG336" ca="1" si="71">IF(AB574=4,":",IF(AB574=5,"!",IF(AB574=3,",",IF(AB574=2,"^",IF(AND($FO$317&gt;=AB$383,$FS$311&gt;=$M336,$FS$317&lt;$M336),"~",IF(AND($FO$317&gt;=AB$383,$FS$311&lt;$M336,$FS$317&gt;=$M336),"*",IF(OR($FO$317&lt;AB$383,$FS$317&lt;$M336),"","+")))))))</f>
        <v>#DIV/0!</v>
      </c>
      <c r="AC336" s="159" t="e">
        <f t="shared" ca="1" si="71"/>
        <v>#DIV/0!</v>
      </c>
      <c r="AD336" s="159" t="e">
        <f t="shared" ca="1" si="71"/>
        <v>#DIV/0!</v>
      </c>
      <c r="AE336" s="159" t="e">
        <f t="shared" ca="1" si="71"/>
        <v>#DIV/0!</v>
      </c>
      <c r="AF336" s="159" t="e">
        <f t="shared" ca="1" si="71"/>
        <v>#DIV/0!</v>
      </c>
      <c r="AG336" s="159" t="e">
        <f t="shared" ca="1" si="71"/>
        <v>#DIV/0!</v>
      </c>
      <c r="AH336" s="159" t="e">
        <f t="shared" ca="1" si="71"/>
        <v>#DIV/0!</v>
      </c>
      <c r="AI336" s="159" t="e">
        <f t="shared" ca="1" si="71"/>
        <v>#DIV/0!</v>
      </c>
      <c r="AJ336" s="159" t="e">
        <f t="shared" ca="1" si="71"/>
        <v>#DIV/0!</v>
      </c>
      <c r="AK336" s="159" t="e">
        <f t="shared" ca="1" si="71"/>
        <v>#DIV/0!</v>
      </c>
      <c r="AL336" s="159" t="e">
        <f t="shared" ca="1" si="71"/>
        <v>#DIV/0!</v>
      </c>
      <c r="AM336" s="159" t="e">
        <f t="shared" ca="1" si="71"/>
        <v>#DIV/0!</v>
      </c>
      <c r="AN336" s="159" t="e">
        <f t="shared" ca="1" si="71"/>
        <v>#DIV/0!</v>
      </c>
      <c r="AO336" s="159" t="e">
        <f t="shared" ca="1" si="71"/>
        <v>#DIV/0!</v>
      </c>
      <c r="AP336" s="159" t="e">
        <f t="shared" ca="1" si="71"/>
        <v>#DIV/0!</v>
      </c>
      <c r="AQ336" s="159" t="e">
        <f t="shared" ca="1" si="71"/>
        <v>#DIV/0!</v>
      </c>
      <c r="AR336" s="159" t="e">
        <f t="shared" ca="1" si="71"/>
        <v>#DIV/0!</v>
      </c>
      <c r="AS336" s="159" t="e">
        <f t="shared" ca="1" si="71"/>
        <v>#DIV/0!</v>
      </c>
      <c r="AT336" s="159" t="e">
        <f t="shared" ca="1" si="71"/>
        <v>#DIV/0!</v>
      </c>
      <c r="AU336" s="159" t="e">
        <f t="shared" ca="1" si="71"/>
        <v>#DIV/0!</v>
      </c>
      <c r="AV336" s="159" t="e">
        <f t="shared" ca="1" si="71"/>
        <v>#DIV/0!</v>
      </c>
      <c r="AW336" s="159" t="e">
        <f t="shared" ca="1" si="71"/>
        <v>#DIV/0!</v>
      </c>
      <c r="AX336" s="159" t="e">
        <f t="shared" ca="1" si="71"/>
        <v>#DIV/0!</v>
      </c>
      <c r="AY336" s="159" t="e">
        <f t="shared" ca="1" si="71"/>
        <v>#DIV/0!</v>
      </c>
      <c r="AZ336" s="159" t="e">
        <f t="shared" ca="1" si="71"/>
        <v>#DIV/0!</v>
      </c>
      <c r="BA336" s="159" t="e">
        <f t="shared" ca="1" si="71"/>
        <v>#DIV/0!</v>
      </c>
      <c r="BB336" s="159" t="e">
        <f t="shared" ca="1" si="71"/>
        <v>#DIV/0!</v>
      </c>
      <c r="BC336" s="159" t="e">
        <f t="shared" ca="1" si="71"/>
        <v>#DIV/0!</v>
      </c>
      <c r="BD336" s="159" t="e">
        <f t="shared" ca="1" si="71"/>
        <v>#DIV/0!</v>
      </c>
      <c r="BE336" s="159" t="e">
        <f t="shared" ca="1" si="71"/>
        <v>#DIV/0!</v>
      </c>
      <c r="BF336" s="159" t="e">
        <f t="shared" ca="1" si="71"/>
        <v>#DIV/0!</v>
      </c>
      <c r="BG336" s="159" t="e">
        <f t="shared" ca="1" si="71"/>
        <v>#DIV/0!</v>
      </c>
      <c r="BH336" s="159" t="e">
        <f t="shared" ref="BH336:BX336" ca="1" si="72">IF(BH574=4,":",IF(BH574=5,"!",IF(BH574=3,",",IF(BH574=2,"^",IF(AND($FO$317&gt;=BH$383,$FS$311&gt;=$M336,$FS$317&lt;$M336),"~",IF(AND($FO$317&gt;=BH$383,$FS$311&lt;$M336,$FS$317&gt;=$M336),"*",IF(OR($FO$317&lt;BH$383,$FS$317&lt;$M336),"","+")))))))</f>
        <v>#DIV/0!</v>
      </c>
      <c r="BI336" s="159" t="e">
        <f t="shared" ca="1" si="72"/>
        <v>#DIV/0!</v>
      </c>
      <c r="BJ336" s="159" t="e">
        <f t="shared" ca="1" si="72"/>
        <v>#DIV/0!</v>
      </c>
      <c r="BK336" s="159" t="e">
        <f t="shared" ca="1" si="72"/>
        <v>#DIV/0!</v>
      </c>
      <c r="BL336" s="159" t="e">
        <f t="shared" ca="1" si="72"/>
        <v>#DIV/0!</v>
      </c>
      <c r="BM336" s="159" t="e">
        <f t="shared" ca="1" si="72"/>
        <v>#DIV/0!</v>
      </c>
      <c r="BN336" s="159" t="e">
        <f t="shared" ca="1" si="72"/>
        <v>#DIV/0!</v>
      </c>
      <c r="BO336" s="159" t="e">
        <f t="shared" ca="1" si="72"/>
        <v>#DIV/0!</v>
      </c>
      <c r="BP336" s="159" t="e">
        <f t="shared" ca="1" si="72"/>
        <v>#DIV/0!</v>
      </c>
      <c r="BQ336" s="159" t="e">
        <f t="shared" ca="1" si="72"/>
        <v>#DIV/0!</v>
      </c>
      <c r="BR336" s="159" t="e">
        <f t="shared" ca="1" si="72"/>
        <v>#DIV/0!</v>
      </c>
      <c r="BS336" s="159" t="e">
        <f t="shared" ca="1" si="72"/>
        <v>#DIV/0!</v>
      </c>
      <c r="BT336" s="159" t="e">
        <f t="shared" ca="1" si="72"/>
        <v>#DIV/0!</v>
      </c>
      <c r="BU336" s="159" t="e">
        <f t="shared" ca="1" si="72"/>
        <v>#DIV/0!</v>
      </c>
      <c r="BV336" s="159" t="e">
        <f t="shared" ca="1" si="72"/>
        <v>#DIV/0!</v>
      </c>
      <c r="BW336" s="159" t="e">
        <f t="shared" ca="1" si="72"/>
        <v>#DIV/0!</v>
      </c>
      <c r="BX336" s="159" t="e">
        <f t="shared" ca="1" si="72"/>
        <v>#DIV/0!</v>
      </c>
      <c r="BY336" s="159" t="e">
        <f t="shared" ca="1" si="54"/>
        <v>#DIV/0!</v>
      </c>
      <c r="BZ336" s="160"/>
      <c r="CA336" s="157"/>
      <c r="CB336" s="59"/>
      <c r="CC336" s="55"/>
      <c r="CD336" s="55"/>
      <c r="CE336" s="55"/>
      <c r="CF336" s="55"/>
      <c r="CG336" s="55"/>
      <c r="CH336" s="55"/>
      <c r="CI336" s="55"/>
      <c r="CJ336" s="645"/>
      <c r="CK336" s="645"/>
      <c r="CL336" s="645"/>
      <c r="CM336" s="645"/>
      <c r="CN336" s="645"/>
      <c r="CO336" s="645"/>
      <c r="CP336" s="645"/>
      <c r="CQ336" s="645"/>
      <c r="CR336" s="645"/>
      <c r="CS336" s="645"/>
      <c r="CT336" s="645"/>
      <c r="CU336" s="645"/>
      <c r="CV336" s="645"/>
      <c r="CW336" s="645"/>
      <c r="CX336" s="645"/>
      <c r="CY336" s="645"/>
      <c r="CZ336" s="645"/>
      <c r="DA336" s="645"/>
      <c r="DB336" s="645"/>
      <c r="DC336" s="645"/>
      <c r="DD336" s="645"/>
      <c r="DE336" s="645"/>
      <c r="DF336" s="645"/>
      <c r="DG336" s="645"/>
      <c r="DH336" s="645"/>
      <c r="DI336" s="645"/>
      <c r="DJ336" s="645"/>
      <c r="DK336" s="645"/>
      <c r="DL336" s="645"/>
      <c r="DM336" s="645"/>
      <c r="DN336" s="645"/>
      <c r="DO336" s="645"/>
      <c r="DP336" s="645"/>
      <c r="DQ336" s="645"/>
      <c r="DR336" s="645"/>
      <c r="DS336" s="645"/>
      <c r="DT336" s="645"/>
      <c r="DU336" s="645"/>
      <c r="DV336" s="645"/>
      <c r="DW336" s="645"/>
      <c r="DX336" s="645"/>
      <c r="DY336" s="645"/>
      <c r="DZ336" s="645"/>
      <c r="EA336" s="645"/>
      <c r="EB336" s="645"/>
      <c r="EC336" s="645"/>
      <c r="ED336" s="645"/>
      <c r="EE336" s="645"/>
      <c r="EF336" s="645"/>
      <c r="EG336" s="645"/>
      <c r="EH336" s="645"/>
      <c r="EI336" s="645"/>
      <c r="EJ336" s="645"/>
      <c r="EK336" s="645"/>
      <c r="EL336" s="645"/>
      <c r="EM336" s="645"/>
      <c r="EN336" s="645"/>
      <c r="EO336" s="645"/>
      <c r="EP336" s="645"/>
      <c r="EQ336" s="645"/>
      <c r="ER336" s="645"/>
      <c r="ES336" s="645"/>
      <c r="ET336" s="645"/>
      <c r="EU336" s="210"/>
      <c r="EV336" s="210"/>
      <c r="EW336" s="210"/>
      <c r="EX336" s="210"/>
      <c r="EY336" s="210"/>
      <c r="EZ336" s="79"/>
      <c r="FA336" s="79"/>
      <c r="FB336" s="79"/>
      <c r="FC336" s="79"/>
      <c r="FD336" s="79"/>
      <c r="FE336" s="79"/>
      <c r="FF336" s="79"/>
      <c r="FG336" s="79"/>
      <c r="FH336" s="79"/>
      <c r="FI336" s="79"/>
      <c r="FJ336" s="79"/>
      <c r="FK336" s="79"/>
      <c r="FL336" s="79"/>
      <c r="FM336" s="49"/>
      <c r="FN336" s="49"/>
      <c r="FO336" s="49"/>
      <c r="FP336" s="49"/>
      <c r="FQ336" s="49"/>
      <c r="FR336" s="79"/>
      <c r="FS336" s="79"/>
      <c r="FT336" s="79"/>
      <c r="FU336" s="79"/>
      <c r="FV336" s="50"/>
      <c r="FW336" s="50"/>
      <c r="FX336" s="50"/>
      <c r="FY336" s="49"/>
      <c r="FZ336" s="48"/>
      <c r="GA336" s="49"/>
      <c r="GB336" s="49"/>
      <c r="GC336" s="49"/>
      <c r="GD336" s="49"/>
      <c r="GE336" s="49"/>
      <c r="GF336" s="49"/>
      <c r="GG336" s="49"/>
      <c r="GH336" s="49"/>
      <c r="GI336" s="49"/>
      <c r="GJ336" s="49"/>
      <c r="GK336" s="49"/>
      <c r="GL336" s="49"/>
      <c r="GM336" s="49"/>
      <c r="GN336" s="49"/>
      <c r="GO336" s="49"/>
      <c r="GP336" s="49"/>
      <c r="GQ336" s="49"/>
      <c r="GR336" s="49"/>
      <c r="GS336" s="49"/>
      <c r="GT336" s="49"/>
      <c r="GU336" s="49"/>
      <c r="GV336" s="49"/>
      <c r="GW336" s="49"/>
      <c r="GX336" s="49"/>
      <c r="GY336" s="49"/>
      <c r="GZ336" s="49"/>
      <c r="HA336" s="49"/>
      <c r="HB336" s="49"/>
      <c r="HC336" s="49"/>
      <c r="HD336" s="49"/>
      <c r="HE336" s="49"/>
      <c r="HF336" s="49"/>
      <c r="HG336" s="49"/>
      <c r="HH336" s="49"/>
      <c r="HI336" s="49"/>
      <c r="HJ336" s="49"/>
      <c r="HK336" s="49"/>
      <c r="HL336" s="49"/>
      <c r="HM336" s="49"/>
    </row>
    <row r="337" spans="1:221" ht="3.75" customHeight="1">
      <c r="A337" s="1"/>
      <c r="B337" s="3"/>
      <c r="C337" s="3"/>
      <c r="D337" s="12"/>
      <c r="E337" s="197"/>
      <c r="F337" s="197"/>
      <c r="G337" s="39"/>
      <c r="H337" s="39"/>
      <c r="I337" s="39"/>
      <c r="J337" s="39"/>
      <c r="K337" s="197"/>
      <c r="L337" s="197"/>
      <c r="M337" s="197">
        <v>390</v>
      </c>
      <c r="N337" s="197"/>
      <c r="O337" s="197"/>
      <c r="P337" s="197"/>
      <c r="Q337" s="645"/>
      <c r="R337" s="645"/>
      <c r="S337" s="645"/>
      <c r="T337" s="645"/>
      <c r="U337" s="645"/>
      <c r="V337" s="645"/>
      <c r="W337" s="645"/>
      <c r="X337" s="645"/>
      <c r="Y337" s="645"/>
      <c r="Z337" s="126"/>
      <c r="AA337" s="156" t="str">
        <f t="shared" ca="1" si="49"/>
        <v/>
      </c>
      <c r="AB337" s="159" t="e">
        <f t="shared" ref="AB337:BG337" ca="1" si="73">IF(AB575=4,":",IF(AB575=5,"!",IF(AB575=3,",",IF(AB575=2,"^",IF(AND($FO$317&gt;=AB$383,$FS$311&gt;=$M337,$FS$317&lt;$M337),"~",IF(AND($FO$317&gt;=AB$383,$FS$311&lt;$M337,$FS$317&gt;=$M337),"*",IF(OR($FO$317&lt;AB$383,$FS$317&lt;$M337),"","+")))))))</f>
        <v>#DIV/0!</v>
      </c>
      <c r="AC337" s="159" t="e">
        <f t="shared" ca="1" si="73"/>
        <v>#DIV/0!</v>
      </c>
      <c r="AD337" s="159" t="e">
        <f t="shared" ca="1" si="73"/>
        <v>#DIV/0!</v>
      </c>
      <c r="AE337" s="159" t="e">
        <f t="shared" ca="1" si="73"/>
        <v>#DIV/0!</v>
      </c>
      <c r="AF337" s="159" t="e">
        <f t="shared" ca="1" si="73"/>
        <v>#DIV/0!</v>
      </c>
      <c r="AG337" s="159" t="e">
        <f t="shared" ca="1" si="73"/>
        <v>#DIV/0!</v>
      </c>
      <c r="AH337" s="159" t="e">
        <f t="shared" ca="1" si="73"/>
        <v>#DIV/0!</v>
      </c>
      <c r="AI337" s="159" t="e">
        <f t="shared" ca="1" si="73"/>
        <v>#DIV/0!</v>
      </c>
      <c r="AJ337" s="159" t="e">
        <f t="shared" ca="1" si="73"/>
        <v>#DIV/0!</v>
      </c>
      <c r="AK337" s="159" t="e">
        <f t="shared" ca="1" si="73"/>
        <v>#DIV/0!</v>
      </c>
      <c r="AL337" s="159" t="e">
        <f t="shared" ca="1" si="73"/>
        <v>#DIV/0!</v>
      </c>
      <c r="AM337" s="159" t="e">
        <f t="shared" ca="1" si="73"/>
        <v>#DIV/0!</v>
      </c>
      <c r="AN337" s="159" t="e">
        <f t="shared" ca="1" si="73"/>
        <v>#DIV/0!</v>
      </c>
      <c r="AO337" s="159" t="e">
        <f t="shared" ca="1" si="73"/>
        <v>#DIV/0!</v>
      </c>
      <c r="AP337" s="159" t="e">
        <f t="shared" ca="1" si="73"/>
        <v>#DIV/0!</v>
      </c>
      <c r="AQ337" s="159" t="e">
        <f t="shared" ca="1" si="73"/>
        <v>#DIV/0!</v>
      </c>
      <c r="AR337" s="159" t="e">
        <f t="shared" ca="1" si="73"/>
        <v>#DIV/0!</v>
      </c>
      <c r="AS337" s="159" t="e">
        <f t="shared" ca="1" si="73"/>
        <v>#DIV/0!</v>
      </c>
      <c r="AT337" s="159" t="e">
        <f t="shared" ca="1" si="73"/>
        <v>#DIV/0!</v>
      </c>
      <c r="AU337" s="159" t="e">
        <f t="shared" ca="1" si="73"/>
        <v>#DIV/0!</v>
      </c>
      <c r="AV337" s="159" t="e">
        <f t="shared" ca="1" si="73"/>
        <v>#DIV/0!</v>
      </c>
      <c r="AW337" s="159" t="e">
        <f t="shared" ca="1" si="73"/>
        <v>#DIV/0!</v>
      </c>
      <c r="AX337" s="159" t="e">
        <f t="shared" ca="1" si="73"/>
        <v>#DIV/0!</v>
      </c>
      <c r="AY337" s="159" t="e">
        <f t="shared" ca="1" si="73"/>
        <v>#DIV/0!</v>
      </c>
      <c r="AZ337" s="159" t="e">
        <f t="shared" ca="1" si="73"/>
        <v>#DIV/0!</v>
      </c>
      <c r="BA337" s="159" t="e">
        <f t="shared" ca="1" si="73"/>
        <v>#DIV/0!</v>
      </c>
      <c r="BB337" s="159" t="e">
        <f t="shared" ca="1" si="73"/>
        <v>#DIV/0!</v>
      </c>
      <c r="BC337" s="159" t="e">
        <f t="shared" ca="1" si="73"/>
        <v>#DIV/0!</v>
      </c>
      <c r="BD337" s="159" t="e">
        <f t="shared" ca="1" si="73"/>
        <v>#DIV/0!</v>
      </c>
      <c r="BE337" s="159" t="e">
        <f t="shared" ca="1" si="73"/>
        <v>#DIV/0!</v>
      </c>
      <c r="BF337" s="159" t="e">
        <f t="shared" ca="1" si="73"/>
        <v>#DIV/0!</v>
      </c>
      <c r="BG337" s="159" t="e">
        <f t="shared" ca="1" si="73"/>
        <v>#DIV/0!</v>
      </c>
      <c r="BH337" s="159" t="e">
        <f t="shared" ref="BH337:BX337" ca="1" si="74">IF(BH575=4,":",IF(BH575=5,"!",IF(BH575=3,",",IF(BH575=2,"^",IF(AND($FO$317&gt;=BH$383,$FS$311&gt;=$M337,$FS$317&lt;$M337),"~",IF(AND($FO$317&gt;=BH$383,$FS$311&lt;$M337,$FS$317&gt;=$M337),"*",IF(OR($FO$317&lt;BH$383,$FS$317&lt;$M337),"","+")))))))</f>
        <v>#DIV/0!</v>
      </c>
      <c r="BI337" s="159" t="e">
        <f t="shared" ca="1" si="74"/>
        <v>#DIV/0!</v>
      </c>
      <c r="BJ337" s="159" t="e">
        <f t="shared" ca="1" si="74"/>
        <v>#DIV/0!</v>
      </c>
      <c r="BK337" s="159" t="e">
        <f t="shared" ca="1" si="74"/>
        <v>#DIV/0!</v>
      </c>
      <c r="BL337" s="159" t="e">
        <f t="shared" ca="1" si="74"/>
        <v>#DIV/0!</v>
      </c>
      <c r="BM337" s="159" t="e">
        <f t="shared" ca="1" si="74"/>
        <v>#DIV/0!</v>
      </c>
      <c r="BN337" s="159" t="e">
        <f t="shared" ca="1" si="74"/>
        <v>#DIV/0!</v>
      </c>
      <c r="BO337" s="159" t="e">
        <f t="shared" ca="1" si="74"/>
        <v>#DIV/0!</v>
      </c>
      <c r="BP337" s="159" t="e">
        <f t="shared" ca="1" si="74"/>
        <v>#DIV/0!</v>
      </c>
      <c r="BQ337" s="159" t="e">
        <f t="shared" ca="1" si="74"/>
        <v>#DIV/0!</v>
      </c>
      <c r="BR337" s="159" t="e">
        <f t="shared" ca="1" si="74"/>
        <v>#DIV/0!</v>
      </c>
      <c r="BS337" s="159" t="e">
        <f t="shared" ca="1" si="74"/>
        <v>#DIV/0!</v>
      </c>
      <c r="BT337" s="159" t="e">
        <f t="shared" ca="1" si="74"/>
        <v>#DIV/0!</v>
      </c>
      <c r="BU337" s="159" t="e">
        <f t="shared" ca="1" si="74"/>
        <v>#DIV/0!</v>
      </c>
      <c r="BV337" s="159" t="e">
        <f t="shared" ca="1" si="74"/>
        <v>#DIV/0!</v>
      </c>
      <c r="BW337" s="159" t="e">
        <f t="shared" ca="1" si="74"/>
        <v>#DIV/0!</v>
      </c>
      <c r="BX337" s="159" t="e">
        <f t="shared" ca="1" si="74"/>
        <v>#DIV/0!</v>
      </c>
      <c r="BY337" s="159" t="e">
        <f t="shared" ca="1" si="54"/>
        <v>#DIV/0!</v>
      </c>
      <c r="BZ337" s="160"/>
      <c r="CA337" s="157"/>
      <c r="CB337" s="59"/>
      <c r="CC337" s="55"/>
      <c r="CD337" s="55"/>
      <c r="CE337" s="55"/>
      <c r="CF337" s="55"/>
      <c r="CG337" s="55"/>
      <c r="CH337" s="55"/>
      <c r="CI337" s="55"/>
      <c r="CJ337" s="645"/>
      <c r="CK337" s="645"/>
      <c r="CL337" s="645"/>
      <c r="CM337" s="645"/>
      <c r="CN337" s="645"/>
      <c r="CO337" s="645"/>
      <c r="CP337" s="645"/>
      <c r="CQ337" s="645"/>
      <c r="CR337" s="645"/>
      <c r="CS337" s="645"/>
      <c r="CT337" s="645"/>
      <c r="CU337" s="645"/>
      <c r="CV337" s="645"/>
      <c r="CW337" s="645"/>
      <c r="CX337" s="645"/>
      <c r="CY337" s="645"/>
      <c r="CZ337" s="645"/>
      <c r="DA337" s="645"/>
      <c r="DB337" s="645"/>
      <c r="DC337" s="645"/>
      <c r="DD337" s="645"/>
      <c r="DE337" s="645"/>
      <c r="DF337" s="645"/>
      <c r="DG337" s="645"/>
      <c r="DH337" s="645"/>
      <c r="DI337" s="645"/>
      <c r="DJ337" s="645"/>
      <c r="DK337" s="645"/>
      <c r="DL337" s="645"/>
      <c r="DM337" s="645"/>
      <c r="DN337" s="645"/>
      <c r="DO337" s="645"/>
      <c r="DP337" s="645"/>
      <c r="DQ337" s="645"/>
      <c r="DR337" s="645"/>
      <c r="DS337" s="645"/>
      <c r="DT337" s="645"/>
      <c r="DU337" s="645"/>
      <c r="DV337" s="645"/>
      <c r="DW337" s="645"/>
      <c r="DX337" s="645"/>
      <c r="DY337" s="645"/>
      <c r="DZ337" s="645"/>
      <c r="EA337" s="645"/>
      <c r="EB337" s="645"/>
      <c r="EC337" s="645"/>
      <c r="ED337" s="645"/>
      <c r="EE337" s="645"/>
      <c r="EF337" s="645"/>
      <c r="EG337" s="645"/>
      <c r="EH337" s="645"/>
      <c r="EI337" s="645"/>
      <c r="EJ337" s="645"/>
      <c r="EK337" s="645"/>
      <c r="EL337" s="645"/>
      <c r="EM337" s="645"/>
      <c r="EN337" s="645"/>
      <c r="EO337" s="645"/>
      <c r="EP337" s="645"/>
      <c r="EQ337" s="645"/>
      <c r="ER337" s="645"/>
      <c r="ES337" s="645"/>
      <c r="ET337" s="645"/>
      <c r="EU337" s="210"/>
      <c r="EV337" s="210"/>
      <c r="EW337" s="210"/>
      <c r="EX337" s="210"/>
      <c r="EY337" s="210"/>
      <c r="EZ337" s="79"/>
      <c r="FA337" s="79"/>
      <c r="FB337" s="79"/>
      <c r="FC337" s="79"/>
      <c r="FD337" s="79"/>
      <c r="FE337" s="79"/>
      <c r="FF337" s="79"/>
      <c r="FG337" s="79"/>
      <c r="FH337" s="79"/>
      <c r="FI337" s="79"/>
      <c r="FJ337" s="79"/>
      <c r="FK337" s="79"/>
      <c r="FL337" s="79"/>
      <c r="FM337" s="49"/>
      <c r="FN337" s="49"/>
      <c r="FO337" s="49"/>
      <c r="FP337" s="49"/>
      <c r="FQ337" s="49"/>
      <c r="FR337" s="79"/>
      <c r="FS337" s="79"/>
      <c r="FT337" s="79"/>
      <c r="FU337" s="79"/>
      <c r="FV337" s="50"/>
      <c r="FW337" s="50"/>
      <c r="FX337" s="50"/>
      <c r="FY337" s="49"/>
      <c r="FZ337" s="48"/>
      <c r="GA337" s="49"/>
      <c r="GB337" s="49"/>
      <c r="GC337" s="49"/>
      <c r="GD337" s="49"/>
      <c r="GE337" s="49"/>
      <c r="GF337" s="49"/>
      <c r="GG337" s="49"/>
      <c r="GH337" s="49"/>
      <c r="GI337" s="49"/>
      <c r="GJ337" s="49"/>
      <c r="GK337" s="49"/>
      <c r="GL337" s="49"/>
      <c r="GM337" s="49"/>
      <c r="GN337" s="49"/>
      <c r="GO337" s="49"/>
      <c r="GP337" s="49"/>
      <c r="GQ337" s="49"/>
      <c r="GR337" s="49"/>
      <c r="GS337" s="49"/>
      <c r="GT337" s="49"/>
      <c r="GU337" s="49"/>
      <c r="GV337" s="49"/>
      <c r="GW337" s="49"/>
      <c r="GX337" s="49"/>
      <c r="GY337" s="49"/>
      <c r="GZ337" s="49"/>
      <c r="HA337" s="49"/>
      <c r="HB337" s="49"/>
      <c r="HC337" s="49"/>
      <c r="HD337" s="49"/>
      <c r="HE337" s="49"/>
      <c r="HF337" s="49"/>
      <c r="HG337" s="49"/>
      <c r="HH337" s="49"/>
      <c r="HI337" s="49"/>
      <c r="HJ337" s="49"/>
      <c r="HK337" s="49"/>
      <c r="HL337" s="49"/>
      <c r="HM337" s="49"/>
    </row>
    <row r="338" spans="1:221" ht="3.75" customHeight="1">
      <c r="A338" s="1"/>
      <c r="B338" s="3"/>
      <c r="C338" s="3"/>
      <c r="D338" s="12"/>
      <c r="E338" s="197"/>
      <c r="F338" s="197"/>
      <c r="G338" s="39"/>
      <c r="H338" s="39"/>
      <c r="I338" s="39"/>
      <c r="J338" s="39"/>
      <c r="K338" s="197"/>
      <c r="L338" s="197"/>
      <c r="M338" s="197">
        <v>380</v>
      </c>
      <c r="N338" s="197"/>
      <c r="O338" s="197"/>
      <c r="P338" s="197"/>
      <c r="Q338" s="645"/>
      <c r="R338" s="645"/>
      <c r="S338" s="645"/>
      <c r="T338" s="645"/>
      <c r="U338" s="645"/>
      <c r="V338" s="645"/>
      <c r="W338" s="645"/>
      <c r="X338" s="645"/>
      <c r="Y338" s="645"/>
      <c r="Z338" s="126"/>
      <c r="AA338" s="156" t="str">
        <f t="shared" ca="1" si="49"/>
        <v/>
      </c>
      <c r="AB338" s="159" t="e">
        <f t="shared" ref="AB338:BG338" ca="1" si="75">IF(AB576=4,":",IF(AB576=5,"!",IF(AB576=3,",",IF(AB576=2,"^",IF(AND($FO$317&gt;=AB$383,$FS$311&gt;=$M338,$FS$317&lt;$M338),"~",IF(AND($FO$317&gt;=AB$383,$FS$311&lt;$M338,$FS$317&gt;=$M338),"*",IF(OR($FO$317&lt;AB$383,$FS$317&lt;$M338),"","+")))))))</f>
        <v>#DIV/0!</v>
      </c>
      <c r="AC338" s="159" t="e">
        <f t="shared" ca="1" si="75"/>
        <v>#DIV/0!</v>
      </c>
      <c r="AD338" s="159" t="e">
        <f t="shared" ca="1" si="75"/>
        <v>#DIV/0!</v>
      </c>
      <c r="AE338" s="159" t="e">
        <f t="shared" ca="1" si="75"/>
        <v>#DIV/0!</v>
      </c>
      <c r="AF338" s="159" t="e">
        <f t="shared" ca="1" si="75"/>
        <v>#DIV/0!</v>
      </c>
      <c r="AG338" s="159" t="e">
        <f t="shared" ca="1" si="75"/>
        <v>#DIV/0!</v>
      </c>
      <c r="AH338" s="159" t="e">
        <f t="shared" ca="1" si="75"/>
        <v>#DIV/0!</v>
      </c>
      <c r="AI338" s="159" t="e">
        <f t="shared" ca="1" si="75"/>
        <v>#DIV/0!</v>
      </c>
      <c r="AJ338" s="159" t="e">
        <f t="shared" ca="1" si="75"/>
        <v>#DIV/0!</v>
      </c>
      <c r="AK338" s="159" t="e">
        <f t="shared" ca="1" si="75"/>
        <v>#DIV/0!</v>
      </c>
      <c r="AL338" s="159" t="e">
        <f t="shared" ca="1" si="75"/>
        <v>#DIV/0!</v>
      </c>
      <c r="AM338" s="159" t="e">
        <f t="shared" ca="1" si="75"/>
        <v>#DIV/0!</v>
      </c>
      <c r="AN338" s="159" t="e">
        <f t="shared" ca="1" si="75"/>
        <v>#DIV/0!</v>
      </c>
      <c r="AO338" s="159" t="e">
        <f t="shared" ca="1" si="75"/>
        <v>#DIV/0!</v>
      </c>
      <c r="AP338" s="159" t="e">
        <f t="shared" ca="1" si="75"/>
        <v>#DIV/0!</v>
      </c>
      <c r="AQ338" s="159" t="e">
        <f t="shared" ca="1" si="75"/>
        <v>#DIV/0!</v>
      </c>
      <c r="AR338" s="159" t="e">
        <f t="shared" ca="1" si="75"/>
        <v>#DIV/0!</v>
      </c>
      <c r="AS338" s="159" t="e">
        <f t="shared" ca="1" si="75"/>
        <v>#DIV/0!</v>
      </c>
      <c r="AT338" s="159" t="e">
        <f t="shared" ca="1" si="75"/>
        <v>#DIV/0!</v>
      </c>
      <c r="AU338" s="159" t="e">
        <f t="shared" ca="1" si="75"/>
        <v>#DIV/0!</v>
      </c>
      <c r="AV338" s="159" t="e">
        <f t="shared" ca="1" si="75"/>
        <v>#DIV/0!</v>
      </c>
      <c r="AW338" s="159" t="e">
        <f t="shared" ca="1" si="75"/>
        <v>#DIV/0!</v>
      </c>
      <c r="AX338" s="159" t="e">
        <f t="shared" ca="1" si="75"/>
        <v>#DIV/0!</v>
      </c>
      <c r="AY338" s="159" t="e">
        <f t="shared" ca="1" si="75"/>
        <v>#DIV/0!</v>
      </c>
      <c r="AZ338" s="159" t="e">
        <f t="shared" ca="1" si="75"/>
        <v>#DIV/0!</v>
      </c>
      <c r="BA338" s="159" t="e">
        <f t="shared" ca="1" si="75"/>
        <v>#DIV/0!</v>
      </c>
      <c r="BB338" s="159" t="e">
        <f t="shared" ca="1" si="75"/>
        <v>#DIV/0!</v>
      </c>
      <c r="BC338" s="159" t="e">
        <f t="shared" ca="1" si="75"/>
        <v>#DIV/0!</v>
      </c>
      <c r="BD338" s="159" t="e">
        <f t="shared" ca="1" si="75"/>
        <v>#DIV/0!</v>
      </c>
      <c r="BE338" s="159" t="e">
        <f t="shared" ca="1" si="75"/>
        <v>#DIV/0!</v>
      </c>
      <c r="BF338" s="159" t="e">
        <f t="shared" ca="1" si="75"/>
        <v>#DIV/0!</v>
      </c>
      <c r="BG338" s="159" t="e">
        <f t="shared" ca="1" si="75"/>
        <v>#DIV/0!</v>
      </c>
      <c r="BH338" s="159" t="e">
        <f t="shared" ref="BH338:BX338" ca="1" si="76">IF(BH576=4,":",IF(BH576=5,"!",IF(BH576=3,",",IF(BH576=2,"^",IF(AND($FO$317&gt;=BH$383,$FS$311&gt;=$M338,$FS$317&lt;$M338),"~",IF(AND($FO$317&gt;=BH$383,$FS$311&lt;$M338,$FS$317&gt;=$M338),"*",IF(OR($FO$317&lt;BH$383,$FS$317&lt;$M338),"","+")))))))</f>
        <v>#DIV/0!</v>
      </c>
      <c r="BI338" s="159" t="e">
        <f t="shared" ca="1" si="76"/>
        <v>#DIV/0!</v>
      </c>
      <c r="BJ338" s="159" t="e">
        <f t="shared" ca="1" si="76"/>
        <v>#DIV/0!</v>
      </c>
      <c r="BK338" s="159" t="e">
        <f t="shared" ca="1" si="76"/>
        <v>#DIV/0!</v>
      </c>
      <c r="BL338" s="159" t="e">
        <f t="shared" ca="1" si="76"/>
        <v>#DIV/0!</v>
      </c>
      <c r="BM338" s="159" t="e">
        <f t="shared" ca="1" si="76"/>
        <v>#DIV/0!</v>
      </c>
      <c r="BN338" s="159" t="e">
        <f t="shared" ca="1" si="76"/>
        <v>#DIV/0!</v>
      </c>
      <c r="BO338" s="159" t="e">
        <f t="shared" ca="1" si="76"/>
        <v>#DIV/0!</v>
      </c>
      <c r="BP338" s="159" t="e">
        <f t="shared" ca="1" si="76"/>
        <v>#DIV/0!</v>
      </c>
      <c r="BQ338" s="159" t="e">
        <f t="shared" ca="1" si="76"/>
        <v>#DIV/0!</v>
      </c>
      <c r="BR338" s="159" t="e">
        <f t="shared" ca="1" si="76"/>
        <v>#DIV/0!</v>
      </c>
      <c r="BS338" s="159" t="e">
        <f t="shared" ca="1" si="76"/>
        <v>#DIV/0!</v>
      </c>
      <c r="BT338" s="159" t="e">
        <f t="shared" ca="1" si="76"/>
        <v>#DIV/0!</v>
      </c>
      <c r="BU338" s="159" t="e">
        <f t="shared" ca="1" si="76"/>
        <v>#DIV/0!</v>
      </c>
      <c r="BV338" s="159" t="e">
        <f t="shared" ca="1" si="76"/>
        <v>#DIV/0!</v>
      </c>
      <c r="BW338" s="159" t="e">
        <f t="shared" ca="1" si="76"/>
        <v>#DIV/0!</v>
      </c>
      <c r="BX338" s="159" t="e">
        <f t="shared" ca="1" si="76"/>
        <v>#DIV/0!</v>
      </c>
      <c r="BY338" s="159" t="e">
        <f t="shared" ca="1" si="54"/>
        <v>#DIV/0!</v>
      </c>
      <c r="BZ338" s="160"/>
      <c r="CA338" s="157"/>
      <c r="CB338" s="59"/>
      <c r="CC338" s="55"/>
      <c r="CD338" s="55"/>
      <c r="CE338" s="55"/>
      <c r="CF338" s="55"/>
      <c r="CG338" s="55"/>
      <c r="CH338" s="55"/>
      <c r="CI338" s="55"/>
      <c r="CJ338" s="645"/>
      <c r="CK338" s="645"/>
      <c r="CL338" s="645"/>
      <c r="CM338" s="645"/>
      <c r="CN338" s="645"/>
      <c r="CO338" s="645"/>
      <c r="CP338" s="645"/>
      <c r="CQ338" s="645"/>
      <c r="CR338" s="645"/>
      <c r="CS338" s="645"/>
      <c r="CT338" s="645"/>
      <c r="CU338" s="645"/>
      <c r="CV338" s="645"/>
      <c r="CW338" s="645"/>
      <c r="CX338" s="645"/>
      <c r="CY338" s="645"/>
      <c r="CZ338" s="645"/>
      <c r="DA338" s="645"/>
      <c r="DB338" s="645"/>
      <c r="DC338" s="645"/>
      <c r="DD338" s="645"/>
      <c r="DE338" s="645"/>
      <c r="DF338" s="645"/>
      <c r="DG338" s="645"/>
      <c r="DH338" s="645"/>
      <c r="DI338" s="645"/>
      <c r="DJ338" s="645"/>
      <c r="DK338" s="645"/>
      <c r="DL338" s="645"/>
      <c r="DM338" s="645"/>
      <c r="DN338" s="645"/>
      <c r="DO338" s="645"/>
      <c r="DP338" s="645"/>
      <c r="DQ338" s="645"/>
      <c r="DR338" s="645"/>
      <c r="DS338" s="645"/>
      <c r="DT338" s="645"/>
      <c r="DU338" s="645"/>
      <c r="DV338" s="645"/>
      <c r="DW338" s="645"/>
      <c r="DX338" s="645"/>
      <c r="DY338" s="645"/>
      <c r="DZ338" s="645"/>
      <c r="EA338" s="645"/>
      <c r="EB338" s="645"/>
      <c r="EC338" s="645"/>
      <c r="ED338" s="645"/>
      <c r="EE338" s="645"/>
      <c r="EF338" s="645"/>
      <c r="EG338" s="645"/>
      <c r="EH338" s="645"/>
      <c r="EI338" s="645"/>
      <c r="EJ338" s="645"/>
      <c r="EK338" s="645"/>
      <c r="EL338" s="645"/>
      <c r="EM338" s="645"/>
      <c r="EN338" s="645"/>
      <c r="EO338" s="645"/>
      <c r="EP338" s="645"/>
      <c r="EQ338" s="645"/>
      <c r="ER338" s="645"/>
      <c r="ES338" s="645"/>
      <c r="ET338" s="645"/>
      <c r="EU338" s="210"/>
      <c r="EV338" s="210"/>
      <c r="EW338" s="210"/>
      <c r="EX338" s="210"/>
      <c r="EY338" s="210"/>
      <c r="EZ338" s="79"/>
      <c r="FA338" s="79"/>
      <c r="FB338" s="79"/>
      <c r="FC338" s="79"/>
      <c r="FD338" s="79"/>
      <c r="FE338" s="79"/>
      <c r="FF338" s="79"/>
      <c r="FG338" s="79"/>
      <c r="FH338" s="79"/>
      <c r="FI338" s="79"/>
      <c r="FJ338" s="79"/>
      <c r="FK338" s="79"/>
      <c r="FL338" s="79"/>
      <c r="FM338" s="49"/>
      <c r="FN338" s="49"/>
      <c r="FO338" s="49"/>
      <c r="FP338" s="49"/>
      <c r="FQ338" s="49"/>
      <c r="FR338" s="79"/>
      <c r="FS338" s="79"/>
      <c r="FT338" s="79"/>
      <c r="FU338" s="79"/>
      <c r="FV338" s="50"/>
      <c r="FW338" s="50"/>
      <c r="FX338" s="50"/>
      <c r="FY338" s="49"/>
      <c r="FZ338" s="48"/>
      <c r="GA338" s="49"/>
      <c r="GB338" s="49"/>
      <c r="GC338" s="49"/>
      <c r="GD338" s="49"/>
      <c r="GE338" s="49"/>
      <c r="GF338" s="49"/>
      <c r="GG338" s="49"/>
      <c r="GH338" s="49"/>
      <c r="GI338" s="49"/>
      <c r="GJ338" s="49"/>
      <c r="GK338" s="49"/>
      <c r="GL338" s="49"/>
      <c r="GM338" s="49"/>
      <c r="GN338" s="49"/>
      <c r="GO338" s="49"/>
      <c r="GP338" s="49"/>
      <c r="GQ338" s="49"/>
      <c r="GR338" s="49"/>
      <c r="GS338" s="49"/>
      <c r="GT338" s="49"/>
      <c r="GU338" s="49"/>
      <c r="GV338" s="49"/>
      <c r="GW338" s="49"/>
      <c r="GX338" s="49"/>
      <c r="GY338" s="49"/>
      <c r="GZ338" s="49"/>
      <c r="HA338" s="49"/>
      <c r="HB338" s="49"/>
      <c r="HC338" s="49"/>
      <c r="HD338" s="49"/>
      <c r="HE338" s="49"/>
      <c r="HF338" s="49"/>
      <c r="HG338" s="49"/>
      <c r="HH338" s="49"/>
      <c r="HI338" s="49"/>
      <c r="HJ338" s="49"/>
      <c r="HK338" s="49"/>
      <c r="HL338" s="49"/>
      <c r="HM338" s="49"/>
    </row>
    <row r="339" spans="1:221" ht="3.75" customHeight="1">
      <c r="A339" s="1"/>
      <c r="B339" s="3"/>
      <c r="C339" s="3"/>
      <c r="D339" s="12"/>
      <c r="E339" s="197"/>
      <c r="F339" s="197"/>
      <c r="G339" s="39"/>
      <c r="H339" s="39"/>
      <c r="I339" s="39"/>
      <c r="J339" s="39"/>
      <c r="K339" s="197"/>
      <c r="L339" s="197"/>
      <c r="M339" s="197">
        <v>370</v>
      </c>
      <c r="N339" s="197"/>
      <c r="O339" s="197"/>
      <c r="P339" s="197"/>
      <c r="Q339" s="126"/>
      <c r="R339" s="126"/>
      <c r="S339" s="126"/>
      <c r="T339" s="126"/>
      <c r="U339" s="126"/>
      <c r="V339" s="126"/>
      <c r="W339" s="126"/>
      <c r="X339" s="126"/>
      <c r="Y339" s="126"/>
      <c r="Z339" s="126"/>
      <c r="AA339" s="156" t="str">
        <f t="shared" ca="1" si="49"/>
        <v/>
      </c>
      <c r="AB339" s="159" t="e">
        <f t="shared" ref="AB339:BG339" ca="1" si="77">IF(AB577=4,":",IF(AB577=5,"!",IF(AB577=3,",",IF(AB577=2,"^",IF(AND($FO$317&gt;=AB$383,$FS$311&gt;=$M339,$FS$317&lt;$M339),"~",IF(AND($FO$317&gt;=AB$383,$FS$311&lt;$M339,$FS$317&gt;=$M339),"*",IF(OR($FO$317&lt;AB$383,$FS$317&lt;$M339),"","+")))))))</f>
        <v>#DIV/0!</v>
      </c>
      <c r="AC339" s="159" t="e">
        <f t="shared" ca="1" si="77"/>
        <v>#DIV/0!</v>
      </c>
      <c r="AD339" s="159" t="e">
        <f t="shared" ca="1" si="77"/>
        <v>#DIV/0!</v>
      </c>
      <c r="AE339" s="159" t="e">
        <f t="shared" ca="1" si="77"/>
        <v>#DIV/0!</v>
      </c>
      <c r="AF339" s="159" t="e">
        <f t="shared" ca="1" si="77"/>
        <v>#DIV/0!</v>
      </c>
      <c r="AG339" s="159" t="e">
        <f t="shared" ca="1" si="77"/>
        <v>#DIV/0!</v>
      </c>
      <c r="AH339" s="159" t="e">
        <f t="shared" ca="1" si="77"/>
        <v>#DIV/0!</v>
      </c>
      <c r="AI339" s="159" t="e">
        <f t="shared" ca="1" si="77"/>
        <v>#DIV/0!</v>
      </c>
      <c r="AJ339" s="159" t="e">
        <f t="shared" ca="1" si="77"/>
        <v>#DIV/0!</v>
      </c>
      <c r="AK339" s="159" t="e">
        <f t="shared" ca="1" si="77"/>
        <v>#DIV/0!</v>
      </c>
      <c r="AL339" s="159" t="e">
        <f t="shared" ca="1" si="77"/>
        <v>#DIV/0!</v>
      </c>
      <c r="AM339" s="159" t="e">
        <f t="shared" ca="1" si="77"/>
        <v>#DIV/0!</v>
      </c>
      <c r="AN339" s="159" t="e">
        <f t="shared" ca="1" si="77"/>
        <v>#DIV/0!</v>
      </c>
      <c r="AO339" s="159" t="e">
        <f t="shared" ca="1" si="77"/>
        <v>#DIV/0!</v>
      </c>
      <c r="AP339" s="159" t="e">
        <f t="shared" ca="1" si="77"/>
        <v>#DIV/0!</v>
      </c>
      <c r="AQ339" s="159" t="e">
        <f t="shared" ca="1" si="77"/>
        <v>#DIV/0!</v>
      </c>
      <c r="AR339" s="159" t="e">
        <f t="shared" ca="1" si="77"/>
        <v>#DIV/0!</v>
      </c>
      <c r="AS339" s="159" t="e">
        <f t="shared" ca="1" si="77"/>
        <v>#DIV/0!</v>
      </c>
      <c r="AT339" s="159" t="e">
        <f t="shared" ca="1" si="77"/>
        <v>#DIV/0!</v>
      </c>
      <c r="AU339" s="159" t="e">
        <f t="shared" ca="1" si="77"/>
        <v>#DIV/0!</v>
      </c>
      <c r="AV339" s="159" t="e">
        <f t="shared" ca="1" si="77"/>
        <v>#DIV/0!</v>
      </c>
      <c r="AW339" s="159" t="e">
        <f t="shared" ca="1" si="77"/>
        <v>#DIV/0!</v>
      </c>
      <c r="AX339" s="159" t="e">
        <f t="shared" ca="1" si="77"/>
        <v>#DIV/0!</v>
      </c>
      <c r="AY339" s="159" t="e">
        <f t="shared" ca="1" si="77"/>
        <v>#DIV/0!</v>
      </c>
      <c r="AZ339" s="159" t="e">
        <f t="shared" ca="1" si="77"/>
        <v>#DIV/0!</v>
      </c>
      <c r="BA339" s="159" t="e">
        <f t="shared" ca="1" si="77"/>
        <v>#DIV/0!</v>
      </c>
      <c r="BB339" s="159" t="e">
        <f t="shared" ca="1" si="77"/>
        <v>#DIV/0!</v>
      </c>
      <c r="BC339" s="159" t="e">
        <f t="shared" ca="1" si="77"/>
        <v>#DIV/0!</v>
      </c>
      <c r="BD339" s="159" t="e">
        <f t="shared" ca="1" si="77"/>
        <v>#DIV/0!</v>
      </c>
      <c r="BE339" s="159" t="e">
        <f t="shared" ca="1" si="77"/>
        <v>#DIV/0!</v>
      </c>
      <c r="BF339" s="159" t="e">
        <f t="shared" ca="1" si="77"/>
        <v>#DIV/0!</v>
      </c>
      <c r="BG339" s="159" t="e">
        <f t="shared" ca="1" si="77"/>
        <v>#DIV/0!</v>
      </c>
      <c r="BH339" s="159" t="e">
        <f t="shared" ref="BH339:BX339" ca="1" si="78">IF(BH577=4,":",IF(BH577=5,"!",IF(BH577=3,",",IF(BH577=2,"^",IF(AND($FO$317&gt;=BH$383,$FS$311&gt;=$M339,$FS$317&lt;$M339),"~",IF(AND($FO$317&gt;=BH$383,$FS$311&lt;$M339,$FS$317&gt;=$M339),"*",IF(OR($FO$317&lt;BH$383,$FS$317&lt;$M339),"","+")))))))</f>
        <v>#DIV/0!</v>
      </c>
      <c r="BI339" s="159" t="e">
        <f t="shared" ca="1" si="78"/>
        <v>#DIV/0!</v>
      </c>
      <c r="BJ339" s="159" t="e">
        <f t="shared" ca="1" si="78"/>
        <v>#DIV/0!</v>
      </c>
      <c r="BK339" s="159" t="e">
        <f t="shared" ca="1" si="78"/>
        <v>#DIV/0!</v>
      </c>
      <c r="BL339" s="159" t="e">
        <f t="shared" ca="1" si="78"/>
        <v>#DIV/0!</v>
      </c>
      <c r="BM339" s="159" t="e">
        <f t="shared" ca="1" si="78"/>
        <v>#DIV/0!</v>
      </c>
      <c r="BN339" s="159" t="e">
        <f t="shared" ca="1" si="78"/>
        <v>#DIV/0!</v>
      </c>
      <c r="BO339" s="159" t="e">
        <f t="shared" ca="1" si="78"/>
        <v>#DIV/0!</v>
      </c>
      <c r="BP339" s="159" t="e">
        <f t="shared" ca="1" si="78"/>
        <v>#DIV/0!</v>
      </c>
      <c r="BQ339" s="159" t="e">
        <f t="shared" ca="1" si="78"/>
        <v>#DIV/0!</v>
      </c>
      <c r="BR339" s="159" t="e">
        <f t="shared" ca="1" si="78"/>
        <v>#DIV/0!</v>
      </c>
      <c r="BS339" s="159" t="e">
        <f t="shared" ca="1" si="78"/>
        <v>#DIV/0!</v>
      </c>
      <c r="BT339" s="159" t="e">
        <f t="shared" ca="1" si="78"/>
        <v>#DIV/0!</v>
      </c>
      <c r="BU339" s="159" t="e">
        <f t="shared" ca="1" si="78"/>
        <v>#DIV/0!</v>
      </c>
      <c r="BV339" s="159" t="e">
        <f t="shared" ca="1" si="78"/>
        <v>#DIV/0!</v>
      </c>
      <c r="BW339" s="159" t="e">
        <f t="shared" ca="1" si="78"/>
        <v>#DIV/0!</v>
      </c>
      <c r="BX339" s="159" t="e">
        <f t="shared" ca="1" si="78"/>
        <v>#DIV/0!</v>
      </c>
      <c r="BY339" s="159" t="e">
        <f t="shared" ca="1" si="54"/>
        <v>#DIV/0!</v>
      </c>
      <c r="BZ339" s="160"/>
      <c r="CA339" s="157"/>
      <c r="CB339" s="59"/>
      <c r="CC339" s="55"/>
      <c r="CD339" s="55"/>
      <c r="CE339" s="55"/>
      <c r="CF339" s="55"/>
      <c r="CG339" s="55"/>
      <c r="CH339" s="55"/>
      <c r="CI339" s="55"/>
      <c r="CJ339" s="645"/>
      <c r="CK339" s="645"/>
      <c r="CL339" s="645"/>
      <c r="CM339" s="645"/>
      <c r="CN339" s="645"/>
      <c r="CO339" s="645"/>
      <c r="CP339" s="645"/>
      <c r="CQ339" s="645"/>
      <c r="CR339" s="645"/>
      <c r="CS339" s="645"/>
      <c r="CT339" s="645"/>
      <c r="CU339" s="645"/>
      <c r="CV339" s="645"/>
      <c r="CW339" s="645"/>
      <c r="CX339" s="645"/>
      <c r="CY339" s="645"/>
      <c r="CZ339" s="645"/>
      <c r="DA339" s="645"/>
      <c r="DB339" s="645"/>
      <c r="DC339" s="645"/>
      <c r="DD339" s="645"/>
      <c r="DE339" s="645"/>
      <c r="DF339" s="645"/>
      <c r="DG339" s="645"/>
      <c r="DH339" s="645"/>
      <c r="DI339" s="645"/>
      <c r="DJ339" s="645"/>
      <c r="DK339" s="645"/>
      <c r="DL339" s="645"/>
      <c r="DM339" s="645"/>
      <c r="DN339" s="645"/>
      <c r="DO339" s="645"/>
      <c r="DP339" s="645"/>
      <c r="DQ339" s="645"/>
      <c r="DR339" s="645"/>
      <c r="DS339" s="645"/>
      <c r="DT339" s="645"/>
      <c r="DU339" s="645"/>
      <c r="DV339" s="645"/>
      <c r="DW339" s="645"/>
      <c r="DX339" s="645"/>
      <c r="DY339" s="645"/>
      <c r="DZ339" s="645"/>
      <c r="EA339" s="645"/>
      <c r="EB339" s="645"/>
      <c r="EC339" s="645"/>
      <c r="ED339" s="645"/>
      <c r="EE339" s="645"/>
      <c r="EF339" s="645"/>
      <c r="EG339" s="645"/>
      <c r="EH339" s="645"/>
      <c r="EI339" s="645"/>
      <c r="EJ339" s="645"/>
      <c r="EK339" s="645"/>
      <c r="EL339" s="645"/>
      <c r="EM339" s="645"/>
      <c r="EN339" s="645"/>
      <c r="EO339" s="645"/>
      <c r="EP339" s="645"/>
      <c r="EQ339" s="645"/>
      <c r="ER339" s="645"/>
      <c r="ES339" s="645"/>
      <c r="ET339" s="645"/>
      <c r="EU339" s="210"/>
      <c r="EV339" s="210"/>
      <c r="EW339" s="210"/>
      <c r="EX339" s="210"/>
      <c r="EY339" s="210"/>
      <c r="EZ339" s="79"/>
      <c r="FA339" s="79"/>
      <c r="FB339" s="79"/>
      <c r="FC339" s="79"/>
      <c r="FD339" s="79"/>
      <c r="FE339" s="79"/>
      <c r="FF339" s="79"/>
      <c r="FG339" s="79"/>
      <c r="FH339" s="79"/>
      <c r="FI339" s="79"/>
      <c r="FJ339" s="79"/>
      <c r="FK339" s="79"/>
      <c r="FL339" s="79"/>
      <c r="FM339" s="49"/>
      <c r="FN339" s="49"/>
      <c r="FO339" s="49"/>
      <c r="FP339" s="49"/>
      <c r="FQ339" s="49"/>
      <c r="FR339" s="49"/>
      <c r="FS339" s="49"/>
      <c r="FT339" s="49"/>
      <c r="FU339" s="49"/>
      <c r="FV339" s="48"/>
      <c r="FW339" s="48"/>
      <c r="FX339" s="48"/>
      <c r="FY339" s="49"/>
      <c r="FZ339" s="48"/>
      <c r="GA339" s="49"/>
      <c r="GB339" s="49"/>
      <c r="GC339" s="49"/>
      <c r="GD339" s="49"/>
      <c r="GE339" s="49"/>
      <c r="GF339" s="49"/>
      <c r="GG339" s="49"/>
      <c r="GH339" s="49"/>
      <c r="GI339" s="49"/>
      <c r="GJ339" s="49"/>
      <c r="GK339" s="49"/>
      <c r="GL339" s="49"/>
      <c r="GM339" s="49"/>
      <c r="GN339" s="49"/>
      <c r="GO339" s="49"/>
      <c r="GP339" s="49"/>
      <c r="GQ339" s="49"/>
      <c r="GR339" s="49"/>
      <c r="GS339" s="49"/>
      <c r="GT339" s="49"/>
      <c r="GU339" s="49"/>
      <c r="GV339" s="49"/>
      <c r="GW339" s="49"/>
      <c r="GX339" s="49"/>
      <c r="GY339" s="49"/>
      <c r="GZ339" s="49"/>
      <c r="HA339" s="49"/>
      <c r="HB339" s="49"/>
      <c r="HC339" s="49"/>
      <c r="HD339" s="49"/>
      <c r="HE339" s="49"/>
      <c r="HF339" s="49"/>
      <c r="HG339" s="49"/>
      <c r="HH339" s="49"/>
      <c r="HI339" s="49"/>
      <c r="HJ339" s="49"/>
      <c r="HK339" s="49"/>
      <c r="HL339" s="49"/>
      <c r="HM339" s="49"/>
    </row>
    <row r="340" spans="1:221" ht="3.75" customHeight="1">
      <c r="A340" s="1"/>
      <c r="B340" s="3"/>
      <c r="C340" s="3"/>
      <c r="D340" s="12"/>
      <c r="E340" s="197"/>
      <c r="F340" s="197"/>
      <c r="G340" s="39"/>
      <c r="H340" s="39"/>
      <c r="I340" s="39"/>
      <c r="J340" s="39"/>
      <c r="K340" s="197"/>
      <c r="L340" s="197"/>
      <c r="M340" s="197">
        <v>360</v>
      </c>
      <c r="N340" s="197"/>
      <c r="O340" s="197"/>
      <c r="P340" s="197"/>
      <c r="Q340" s="197"/>
      <c r="R340" s="197"/>
      <c r="S340" s="197"/>
      <c r="T340" s="197"/>
      <c r="U340" s="197"/>
      <c r="V340" s="197"/>
      <c r="W340" s="197"/>
      <c r="X340" s="197"/>
      <c r="Y340" s="197"/>
      <c r="Z340" s="126"/>
      <c r="AA340" s="156" t="str">
        <f t="shared" ca="1" si="49"/>
        <v/>
      </c>
      <c r="AB340" s="159" t="e">
        <f t="shared" ref="AB340:BG340" ca="1" si="79">IF(AB578=4,":",IF(AB578=5,"!",IF(AB578=3,",",IF(AB578=2,"^",IF(AND($FO$317&gt;=AB$383,$FS$311&gt;=$M340,$FS$317&lt;$M340),"~",IF(AND($FO$317&gt;=AB$383,$FS$311&lt;$M340,$FS$317&gt;=$M340),"*",IF(OR($FO$317&lt;AB$383,$FS$317&lt;$M340),"","+")))))))</f>
        <v>#DIV/0!</v>
      </c>
      <c r="AC340" s="159" t="e">
        <f t="shared" ca="1" si="79"/>
        <v>#DIV/0!</v>
      </c>
      <c r="AD340" s="159" t="e">
        <f t="shared" ca="1" si="79"/>
        <v>#DIV/0!</v>
      </c>
      <c r="AE340" s="159" t="e">
        <f t="shared" ca="1" si="79"/>
        <v>#DIV/0!</v>
      </c>
      <c r="AF340" s="159" t="e">
        <f t="shared" ca="1" si="79"/>
        <v>#DIV/0!</v>
      </c>
      <c r="AG340" s="159" t="e">
        <f t="shared" ca="1" si="79"/>
        <v>#DIV/0!</v>
      </c>
      <c r="AH340" s="159" t="e">
        <f t="shared" ca="1" si="79"/>
        <v>#DIV/0!</v>
      </c>
      <c r="AI340" s="159" t="e">
        <f t="shared" ca="1" si="79"/>
        <v>#DIV/0!</v>
      </c>
      <c r="AJ340" s="159" t="e">
        <f t="shared" ca="1" si="79"/>
        <v>#DIV/0!</v>
      </c>
      <c r="AK340" s="159" t="e">
        <f t="shared" ca="1" si="79"/>
        <v>#DIV/0!</v>
      </c>
      <c r="AL340" s="159" t="e">
        <f t="shared" ca="1" si="79"/>
        <v>#DIV/0!</v>
      </c>
      <c r="AM340" s="159" t="e">
        <f t="shared" ca="1" si="79"/>
        <v>#DIV/0!</v>
      </c>
      <c r="AN340" s="159" t="e">
        <f t="shared" ca="1" si="79"/>
        <v>#DIV/0!</v>
      </c>
      <c r="AO340" s="159" t="e">
        <f t="shared" ca="1" si="79"/>
        <v>#DIV/0!</v>
      </c>
      <c r="AP340" s="159" t="e">
        <f t="shared" ca="1" si="79"/>
        <v>#DIV/0!</v>
      </c>
      <c r="AQ340" s="159" t="e">
        <f t="shared" ca="1" si="79"/>
        <v>#DIV/0!</v>
      </c>
      <c r="AR340" s="159" t="e">
        <f t="shared" ca="1" si="79"/>
        <v>#DIV/0!</v>
      </c>
      <c r="AS340" s="159" t="e">
        <f t="shared" ca="1" si="79"/>
        <v>#DIV/0!</v>
      </c>
      <c r="AT340" s="159" t="e">
        <f t="shared" ca="1" si="79"/>
        <v>#DIV/0!</v>
      </c>
      <c r="AU340" s="159" t="e">
        <f t="shared" ca="1" si="79"/>
        <v>#DIV/0!</v>
      </c>
      <c r="AV340" s="159" t="e">
        <f t="shared" ca="1" si="79"/>
        <v>#DIV/0!</v>
      </c>
      <c r="AW340" s="159" t="e">
        <f t="shared" ca="1" si="79"/>
        <v>#DIV/0!</v>
      </c>
      <c r="AX340" s="159" t="e">
        <f t="shared" ca="1" si="79"/>
        <v>#DIV/0!</v>
      </c>
      <c r="AY340" s="159" t="e">
        <f t="shared" ca="1" si="79"/>
        <v>#DIV/0!</v>
      </c>
      <c r="AZ340" s="159" t="e">
        <f t="shared" ca="1" si="79"/>
        <v>#DIV/0!</v>
      </c>
      <c r="BA340" s="159" t="e">
        <f t="shared" ca="1" si="79"/>
        <v>#DIV/0!</v>
      </c>
      <c r="BB340" s="159" t="e">
        <f t="shared" ca="1" si="79"/>
        <v>#DIV/0!</v>
      </c>
      <c r="BC340" s="159" t="e">
        <f t="shared" ca="1" si="79"/>
        <v>#DIV/0!</v>
      </c>
      <c r="BD340" s="159" t="e">
        <f t="shared" ca="1" si="79"/>
        <v>#DIV/0!</v>
      </c>
      <c r="BE340" s="159" t="e">
        <f t="shared" ca="1" si="79"/>
        <v>#DIV/0!</v>
      </c>
      <c r="BF340" s="159" t="e">
        <f t="shared" ca="1" si="79"/>
        <v>#DIV/0!</v>
      </c>
      <c r="BG340" s="159" t="e">
        <f t="shared" ca="1" si="79"/>
        <v>#DIV/0!</v>
      </c>
      <c r="BH340" s="159" t="e">
        <f t="shared" ref="BH340:BX340" ca="1" si="80">IF(BH578=4,":",IF(BH578=5,"!",IF(BH578=3,",",IF(BH578=2,"^",IF(AND($FO$317&gt;=BH$383,$FS$311&gt;=$M340,$FS$317&lt;$M340),"~",IF(AND($FO$317&gt;=BH$383,$FS$311&lt;$M340,$FS$317&gt;=$M340),"*",IF(OR($FO$317&lt;BH$383,$FS$317&lt;$M340),"","+")))))))</f>
        <v>#DIV/0!</v>
      </c>
      <c r="BI340" s="159" t="e">
        <f t="shared" ca="1" si="80"/>
        <v>#DIV/0!</v>
      </c>
      <c r="BJ340" s="159" t="e">
        <f t="shared" ca="1" si="80"/>
        <v>#DIV/0!</v>
      </c>
      <c r="BK340" s="159" t="e">
        <f t="shared" ca="1" si="80"/>
        <v>#DIV/0!</v>
      </c>
      <c r="BL340" s="159" t="e">
        <f t="shared" ca="1" si="80"/>
        <v>#DIV/0!</v>
      </c>
      <c r="BM340" s="159" t="e">
        <f t="shared" ca="1" si="80"/>
        <v>#DIV/0!</v>
      </c>
      <c r="BN340" s="159" t="e">
        <f t="shared" ca="1" si="80"/>
        <v>#DIV/0!</v>
      </c>
      <c r="BO340" s="159" t="e">
        <f t="shared" ca="1" si="80"/>
        <v>#DIV/0!</v>
      </c>
      <c r="BP340" s="159" t="e">
        <f t="shared" ca="1" si="80"/>
        <v>#DIV/0!</v>
      </c>
      <c r="BQ340" s="159" t="e">
        <f t="shared" ca="1" si="80"/>
        <v>#DIV/0!</v>
      </c>
      <c r="BR340" s="159" t="e">
        <f t="shared" ca="1" si="80"/>
        <v>#DIV/0!</v>
      </c>
      <c r="BS340" s="159" t="e">
        <f t="shared" ca="1" si="80"/>
        <v>#DIV/0!</v>
      </c>
      <c r="BT340" s="159" t="e">
        <f t="shared" ca="1" si="80"/>
        <v>#DIV/0!</v>
      </c>
      <c r="BU340" s="159" t="e">
        <f t="shared" ca="1" si="80"/>
        <v>#DIV/0!</v>
      </c>
      <c r="BV340" s="159" t="e">
        <f t="shared" ca="1" si="80"/>
        <v>#DIV/0!</v>
      </c>
      <c r="BW340" s="159" t="e">
        <f t="shared" ca="1" si="80"/>
        <v>#DIV/0!</v>
      </c>
      <c r="BX340" s="159" t="e">
        <f t="shared" ca="1" si="80"/>
        <v>#DIV/0!</v>
      </c>
      <c r="BY340" s="159" t="e">
        <f t="shared" ca="1" si="54"/>
        <v>#DIV/0!</v>
      </c>
      <c r="BZ340" s="160"/>
      <c r="CA340" s="157"/>
      <c r="CB340" s="59"/>
      <c r="CC340" s="55"/>
      <c r="CD340" s="55"/>
      <c r="CE340" s="55"/>
      <c r="CF340" s="55"/>
      <c r="CG340" s="55"/>
      <c r="CH340" s="55"/>
      <c r="CI340" s="55"/>
      <c r="CJ340" s="645"/>
      <c r="CK340" s="645"/>
      <c r="CL340" s="645"/>
      <c r="CM340" s="645"/>
      <c r="CN340" s="645"/>
      <c r="CO340" s="645"/>
      <c r="CP340" s="645"/>
      <c r="CQ340" s="645"/>
      <c r="CR340" s="645"/>
      <c r="CS340" s="645"/>
      <c r="CT340" s="645"/>
      <c r="CU340" s="645"/>
      <c r="CV340" s="645"/>
      <c r="CW340" s="645"/>
      <c r="CX340" s="645"/>
      <c r="CY340" s="645"/>
      <c r="CZ340" s="645"/>
      <c r="DA340" s="645"/>
      <c r="DB340" s="645"/>
      <c r="DC340" s="645"/>
      <c r="DD340" s="645"/>
      <c r="DE340" s="645"/>
      <c r="DF340" s="645"/>
      <c r="DG340" s="645"/>
      <c r="DH340" s="645"/>
      <c r="DI340" s="645"/>
      <c r="DJ340" s="645"/>
      <c r="DK340" s="645"/>
      <c r="DL340" s="645"/>
      <c r="DM340" s="645"/>
      <c r="DN340" s="645"/>
      <c r="DO340" s="645"/>
      <c r="DP340" s="645"/>
      <c r="DQ340" s="645"/>
      <c r="DR340" s="645"/>
      <c r="DS340" s="645"/>
      <c r="DT340" s="645"/>
      <c r="DU340" s="645"/>
      <c r="DV340" s="645"/>
      <c r="DW340" s="645"/>
      <c r="DX340" s="645"/>
      <c r="DY340" s="645"/>
      <c r="DZ340" s="645"/>
      <c r="EA340" s="645"/>
      <c r="EB340" s="645"/>
      <c r="EC340" s="645"/>
      <c r="ED340" s="645"/>
      <c r="EE340" s="645"/>
      <c r="EF340" s="645"/>
      <c r="EG340" s="645"/>
      <c r="EH340" s="645"/>
      <c r="EI340" s="645"/>
      <c r="EJ340" s="645"/>
      <c r="EK340" s="645"/>
      <c r="EL340" s="645"/>
      <c r="EM340" s="645"/>
      <c r="EN340" s="645"/>
      <c r="EO340" s="645"/>
      <c r="EP340" s="645"/>
      <c r="EQ340" s="645"/>
      <c r="ER340" s="645"/>
      <c r="ES340" s="645"/>
      <c r="ET340" s="645"/>
      <c r="EU340" s="210"/>
      <c r="EV340" s="210"/>
      <c r="EW340" s="210"/>
      <c r="EX340" s="210"/>
      <c r="EY340" s="210"/>
      <c r="EZ340" s="79"/>
      <c r="FA340" s="79"/>
      <c r="FB340" s="79"/>
      <c r="FC340" s="79"/>
      <c r="FD340" s="79"/>
      <c r="FE340" s="79"/>
      <c r="FF340" s="79"/>
      <c r="FG340" s="79"/>
      <c r="FH340" s="79"/>
      <c r="FI340" s="79"/>
      <c r="FJ340" s="79"/>
      <c r="FK340" s="79"/>
      <c r="FL340" s="79"/>
      <c r="FM340" s="49"/>
      <c r="FN340" s="49"/>
      <c r="FO340" s="49"/>
      <c r="FP340" s="49"/>
      <c r="FQ340" s="49"/>
      <c r="FR340" s="49"/>
      <c r="FS340" s="49"/>
      <c r="FT340" s="49"/>
      <c r="FU340" s="49"/>
      <c r="FV340" s="48"/>
      <c r="FW340" s="48"/>
      <c r="FX340" s="48"/>
      <c r="FY340" s="49"/>
      <c r="FZ340" s="48"/>
      <c r="GA340" s="49"/>
      <c r="GB340" s="49"/>
      <c r="GC340" s="49"/>
      <c r="GD340" s="49"/>
      <c r="GE340" s="49"/>
      <c r="GF340" s="49"/>
      <c r="GG340" s="49"/>
      <c r="GH340" s="49"/>
      <c r="GI340" s="49"/>
      <c r="GJ340" s="49"/>
      <c r="GK340" s="49"/>
      <c r="GL340" s="49"/>
      <c r="GM340" s="49"/>
      <c r="GN340" s="49"/>
      <c r="GO340" s="49"/>
      <c r="GP340" s="49"/>
      <c r="GQ340" s="49"/>
      <c r="GR340" s="49"/>
      <c r="GS340" s="49"/>
      <c r="GT340" s="49"/>
      <c r="GU340" s="49"/>
      <c r="GV340" s="49"/>
      <c r="GW340" s="49"/>
      <c r="GX340" s="49"/>
      <c r="GY340" s="49"/>
      <c r="GZ340" s="49"/>
      <c r="HA340" s="49"/>
      <c r="HB340" s="49"/>
      <c r="HC340" s="49"/>
      <c r="HD340" s="49"/>
      <c r="HE340" s="49"/>
      <c r="HF340" s="49"/>
      <c r="HG340" s="49"/>
      <c r="HH340" s="49"/>
      <c r="HI340" s="49"/>
      <c r="HJ340" s="49"/>
      <c r="HK340" s="49"/>
      <c r="HL340" s="49"/>
      <c r="HM340" s="49"/>
    </row>
    <row r="341" spans="1:221" ht="3.75" customHeight="1">
      <c r="A341" s="1"/>
      <c r="B341" s="3"/>
      <c r="C341" s="3"/>
      <c r="D341" s="12"/>
      <c r="E341" s="197"/>
      <c r="F341" s="197"/>
      <c r="G341" s="39"/>
      <c r="H341" s="39"/>
      <c r="I341" s="39"/>
      <c r="J341" s="39"/>
      <c r="K341" s="197"/>
      <c r="L341" s="197"/>
      <c r="M341" s="197">
        <v>350</v>
      </c>
      <c r="N341" s="197"/>
      <c r="O341" s="197"/>
      <c r="P341" s="197"/>
      <c r="Q341" s="197"/>
      <c r="R341" s="197"/>
      <c r="S341" s="197"/>
      <c r="T341" s="197"/>
      <c r="U341" s="197"/>
      <c r="V341" s="197"/>
      <c r="W341" s="197"/>
      <c r="X341" s="197"/>
      <c r="Y341" s="197"/>
      <c r="Z341" s="126"/>
      <c r="AA341" s="156" t="str">
        <f t="shared" ca="1" si="49"/>
        <v/>
      </c>
      <c r="AB341" s="159" t="e">
        <f t="shared" ref="AB341:BG341" ca="1" si="81">IF(AB579=4,":",IF(AB579=5,"!",IF(AB579=3,",",IF(AB579=2,"^",IF(AND($FO$317&gt;=AB$383,$FS$311&gt;=$M341,$FS$317&lt;$M341),"~",IF(AND($FO$317&gt;=AB$383,$FS$311&lt;$M341,$FS$317&gt;=$M341),"*",IF(OR($FO$317&lt;AB$383,$FS$317&lt;$M341),"","+")))))))</f>
        <v>#DIV/0!</v>
      </c>
      <c r="AC341" s="159" t="e">
        <f t="shared" ca="1" si="81"/>
        <v>#DIV/0!</v>
      </c>
      <c r="AD341" s="159" t="e">
        <f t="shared" ca="1" si="81"/>
        <v>#DIV/0!</v>
      </c>
      <c r="AE341" s="159" t="e">
        <f t="shared" ca="1" si="81"/>
        <v>#DIV/0!</v>
      </c>
      <c r="AF341" s="159" t="e">
        <f t="shared" ca="1" si="81"/>
        <v>#DIV/0!</v>
      </c>
      <c r="AG341" s="159" t="e">
        <f t="shared" ca="1" si="81"/>
        <v>#DIV/0!</v>
      </c>
      <c r="AH341" s="159" t="e">
        <f t="shared" ca="1" si="81"/>
        <v>#DIV/0!</v>
      </c>
      <c r="AI341" s="159" t="e">
        <f t="shared" ca="1" si="81"/>
        <v>#DIV/0!</v>
      </c>
      <c r="AJ341" s="159" t="e">
        <f t="shared" ca="1" si="81"/>
        <v>#DIV/0!</v>
      </c>
      <c r="AK341" s="159" t="e">
        <f t="shared" ca="1" si="81"/>
        <v>#DIV/0!</v>
      </c>
      <c r="AL341" s="159" t="e">
        <f t="shared" ca="1" si="81"/>
        <v>#DIV/0!</v>
      </c>
      <c r="AM341" s="159" t="e">
        <f t="shared" ca="1" si="81"/>
        <v>#DIV/0!</v>
      </c>
      <c r="AN341" s="159" t="e">
        <f t="shared" ca="1" si="81"/>
        <v>#DIV/0!</v>
      </c>
      <c r="AO341" s="159" t="e">
        <f t="shared" ca="1" si="81"/>
        <v>#DIV/0!</v>
      </c>
      <c r="AP341" s="159" t="e">
        <f t="shared" ca="1" si="81"/>
        <v>#DIV/0!</v>
      </c>
      <c r="AQ341" s="159" t="e">
        <f t="shared" ca="1" si="81"/>
        <v>#DIV/0!</v>
      </c>
      <c r="AR341" s="159" t="e">
        <f t="shared" ca="1" si="81"/>
        <v>#DIV/0!</v>
      </c>
      <c r="AS341" s="159" t="e">
        <f t="shared" ca="1" si="81"/>
        <v>#DIV/0!</v>
      </c>
      <c r="AT341" s="159" t="e">
        <f t="shared" ca="1" si="81"/>
        <v>#DIV/0!</v>
      </c>
      <c r="AU341" s="159" t="e">
        <f t="shared" ca="1" si="81"/>
        <v>#DIV/0!</v>
      </c>
      <c r="AV341" s="159" t="e">
        <f t="shared" ca="1" si="81"/>
        <v>#DIV/0!</v>
      </c>
      <c r="AW341" s="159" t="e">
        <f t="shared" ca="1" si="81"/>
        <v>#DIV/0!</v>
      </c>
      <c r="AX341" s="159" t="e">
        <f t="shared" ca="1" si="81"/>
        <v>#DIV/0!</v>
      </c>
      <c r="AY341" s="159" t="e">
        <f t="shared" ca="1" si="81"/>
        <v>#DIV/0!</v>
      </c>
      <c r="AZ341" s="159" t="e">
        <f t="shared" ca="1" si="81"/>
        <v>#DIV/0!</v>
      </c>
      <c r="BA341" s="159" t="e">
        <f t="shared" ca="1" si="81"/>
        <v>#DIV/0!</v>
      </c>
      <c r="BB341" s="159" t="e">
        <f t="shared" ca="1" si="81"/>
        <v>#DIV/0!</v>
      </c>
      <c r="BC341" s="159" t="e">
        <f t="shared" ca="1" si="81"/>
        <v>#DIV/0!</v>
      </c>
      <c r="BD341" s="159" t="e">
        <f t="shared" ca="1" si="81"/>
        <v>#DIV/0!</v>
      </c>
      <c r="BE341" s="159" t="e">
        <f t="shared" ca="1" si="81"/>
        <v>#DIV/0!</v>
      </c>
      <c r="BF341" s="159" t="e">
        <f t="shared" ca="1" si="81"/>
        <v>#DIV/0!</v>
      </c>
      <c r="BG341" s="159" t="e">
        <f t="shared" ca="1" si="81"/>
        <v>#DIV/0!</v>
      </c>
      <c r="BH341" s="159" t="e">
        <f t="shared" ref="BH341:BX341" ca="1" si="82">IF(BH579=4,":",IF(BH579=5,"!",IF(BH579=3,",",IF(BH579=2,"^",IF(AND($FO$317&gt;=BH$383,$FS$311&gt;=$M341,$FS$317&lt;$M341),"~",IF(AND($FO$317&gt;=BH$383,$FS$311&lt;$M341,$FS$317&gt;=$M341),"*",IF(OR($FO$317&lt;BH$383,$FS$317&lt;$M341),"","+")))))))</f>
        <v>#DIV/0!</v>
      </c>
      <c r="BI341" s="159" t="e">
        <f t="shared" ca="1" si="82"/>
        <v>#DIV/0!</v>
      </c>
      <c r="BJ341" s="159" t="e">
        <f t="shared" ca="1" si="82"/>
        <v>#DIV/0!</v>
      </c>
      <c r="BK341" s="159" t="e">
        <f t="shared" ca="1" si="82"/>
        <v>#DIV/0!</v>
      </c>
      <c r="BL341" s="159" t="e">
        <f t="shared" ca="1" si="82"/>
        <v>#DIV/0!</v>
      </c>
      <c r="BM341" s="159" t="e">
        <f t="shared" ca="1" si="82"/>
        <v>#DIV/0!</v>
      </c>
      <c r="BN341" s="159" t="e">
        <f t="shared" ca="1" si="82"/>
        <v>#DIV/0!</v>
      </c>
      <c r="BO341" s="159" t="e">
        <f t="shared" ca="1" si="82"/>
        <v>#DIV/0!</v>
      </c>
      <c r="BP341" s="159" t="e">
        <f t="shared" ca="1" si="82"/>
        <v>#DIV/0!</v>
      </c>
      <c r="BQ341" s="159" t="e">
        <f t="shared" ca="1" si="82"/>
        <v>#DIV/0!</v>
      </c>
      <c r="BR341" s="159" t="e">
        <f t="shared" ca="1" si="82"/>
        <v>#DIV/0!</v>
      </c>
      <c r="BS341" s="159" t="e">
        <f t="shared" ca="1" si="82"/>
        <v>#DIV/0!</v>
      </c>
      <c r="BT341" s="159" t="e">
        <f t="shared" ca="1" si="82"/>
        <v>#DIV/0!</v>
      </c>
      <c r="BU341" s="159" t="e">
        <f t="shared" ca="1" si="82"/>
        <v>#DIV/0!</v>
      </c>
      <c r="BV341" s="159" t="e">
        <f t="shared" ca="1" si="82"/>
        <v>#DIV/0!</v>
      </c>
      <c r="BW341" s="159" t="e">
        <f t="shared" ca="1" si="82"/>
        <v>#DIV/0!</v>
      </c>
      <c r="BX341" s="159" t="e">
        <f t="shared" ca="1" si="82"/>
        <v>#DIV/0!</v>
      </c>
      <c r="BY341" s="159" t="e">
        <f t="shared" ca="1" si="54"/>
        <v>#DIV/0!</v>
      </c>
      <c r="BZ341" s="160"/>
      <c r="CA341" s="157"/>
      <c r="CB341" s="59"/>
      <c r="CC341" s="55"/>
      <c r="CD341" s="55"/>
      <c r="CE341" s="55"/>
      <c r="CF341" s="55"/>
      <c r="CG341" s="55"/>
      <c r="CH341" s="55"/>
      <c r="CI341" s="55"/>
      <c r="CJ341" s="645"/>
      <c r="CK341" s="645"/>
      <c r="CL341" s="645"/>
      <c r="CM341" s="645"/>
      <c r="CN341" s="645"/>
      <c r="CO341" s="645"/>
      <c r="CP341" s="645"/>
      <c r="CQ341" s="645"/>
      <c r="CR341" s="645"/>
      <c r="CS341" s="645"/>
      <c r="CT341" s="645"/>
      <c r="CU341" s="645"/>
      <c r="CV341" s="645"/>
      <c r="CW341" s="645"/>
      <c r="CX341" s="645"/>
      <c r="CY341" s="645"/>
      <c r="CZ341" s="645"/>
      <c r="DA341" s="645"/>
      <c r="DB341" s="645"/>
      <c r="DC341" s="645"/>
      <c r="DD341" s="645"/>
      <c r="DE341" s="645"/>
      <c r="DF341" s="645"/>
      <c r="DG341" s="645"/>
      <c r="DH341" s="645"/>
      <c r="DI341" s="645"/>
      <c r="DJ341" s="645"/>
      <c r="DK341" s="645"/>
      <c r="DL341" s="645"/>
      <c r="DM341" s="645"/>
      <c r="DN341" s="645"/>
      <c r="DO341" s="645"/>
      <c r="DP341" s="645"/>
      <c r="DQ341" s="645"/>
      <c r="DR341" s="645"/>
      <c r="DS341" s="645"/>
      <c r="DT341" s="645"/>
      <c r="DU341" s="645"/>
      <c r="DV341" s="645"/>
      <c r="DW341" s="645"/>
      <c r="DX341" s="645"/>
      <c r="DY341" s="645"/>
      <c r="DZ341" s="645"/>
      <c r="EA341" s="645"/>
      <c r="EB341" s="645"/>
      <c r="EC341" s="645"/>
      <c r="ED341" s="645"/>
      <c r="EE341" s="645"/>
      <c r="EF341" s="645"/>
      <c r="EG341" s="645"/>
      <c r="EH341" s="645"/>
      <c r="EI341" s="645"/>
      <c r="EJ341" s="645"/>
      <c r="EK341" s="645"/>
      <c r="EL341" s="645"/>
      <c r="EM341" s="645"/>
      <c r="EN341" s="645"/>
      <c r="EO341" s="645"/>
      <c r="EP341" s="645"/>
      <c r="EQ341" s="645"/>
      <c r="ER341" s="645"/>
      <c r="ES341" s="645"/>
      <c r="ET341" s="645"/>
      <c r="EU341" s="210"/>
      <c r="EV341" s="210"/>
      <c r="EW341" s="210"/>
      <c r="EX341" s="210"/>
      <c r="EY341" s="210"/>
      <c r="EZ341" s="79"/>
      <c r="FA341" s="79"/>
      <c r="FB341" s="79"/>
      <c r="FC341" s="79"/>
      <c r="FD341" s="79"/>
      <c r="FE341" s="79"/>
      <c r="FF341" s="79"/>
      <c r="FG341" s="79"/>
      <c r="FH341" s="79"/>
      <c r="FI341" s="79"/>
      <c r="FJ341" s="79"/>
      <c r="FK341" s="79"/>
      <c r="FL341" s="79"/>
      <c r="FM341" s="49"/>
      <c r="FN341" s="49"/>
      <c r="FO341" s="49"/>
      <c r="FP341" s="49"/>
      <c r="FQ341" s="49"/>
      <c r="FR341" s="49"/>
      <c r="FS341" s="49"/>
      <c r="FT341" s="49"/>
      <c r="FU341" s="49"/>
      <c r="FV341" s="48"/>
      <c r="FW341" s="48"/>
      <c r="FX341" s="48"/>
      <c r="FY341" s="48"/>
      <c r="FZ341" s="48"/>
      <c r="GA341" s="49"/>
      <c r="GB341" s="49"/>
      <c r="GC341" s="49"/>
      <c r="GD341" s="49"/>
      <c r="GE341" s="49"/>
      <c r="GF341" s="49"/>
      <c r="GG341" s="49"/>
      <c r="GH341" s="49"/>
      <c r="GI341" s="49"/>
      <c r="GJ341" s="49"/>
      <c r="GK341" s="49"/>
      <c r="GL341" s="49"/>
      <c r="GM341" s="49"/>
      <c r="GN341" s="49"/>
      <c r="GO341" s="49"/>
      <c r="GP341" s="49"/>
      <c r="GQ341" s="49"/>
      <c r="GR341" s="49"/>
      <c r="GS341" s="49"/>
      <c r="GT341" s="49"/>
      <c r="GU341" s="49"/>
      <c r="GV341" s="49"/>
      <c r="GW341" s="49"/>
      <c r="GX341" s="49"/>
      <c r="GY341" s="49"/>
      <c r="GZ341" s="49"/>
      <c r="HA341" s="49"/>
      <c r="HB341" s="49"/>
      <c r="HC341" s="49"/>
      <c r="HD341" s="49"/>
      <c r="HE341" s="49"/>
      <c r="HF341" s="49"/>
      <c r="HG341" s="49"/>
      <c r="HH341" s="49"/>
      <c r="HI341" s="49"/>
      <c r="HJ341" s="49"/>
      <c r="HK341" s="49"/>
      <c r="HL341" s="49"/>
      <c r="HM341" s="49"/>
    </row>
    <row r="342" spans="1:221" ht="3.75" customHeight="1">
      <c r="A342" s="1"/>
      <c r="B342" s="3"/>
      <c r="C342" s="3"/>
      <c r="D342" s="12"/>
      <c r="E342" s="197"/>
      <c r="F342" s="197"/>
      <c r="G342" s="39"/>
      <c r="H342" s="39"/>
      <c r="I342" s="39"/>
      <c r="J342" s="39"/>
      <c r="K342" s="197"/>
      <c r="L342" s="197"/>
      <c r="M342" s="197">
        <v>340</v>
      </c>
      <c r="N342" s="197"/>
      <c r="O342" s="197"/>
      <c r="P342" s="197"/>
      <c r="Q342" s="197"/>
      <c r="R342" s="197"/>
      <c r="S342" s="197"/>
      <c r="T342" s="197"/>
      <c r="U342" s="197"/>
      <c r="V342" s="197"/>
      <c r="W342" s="197"/>
      <c r="X342" s="197"/>
      <c r="Y342" s="197"/>
      <c r="Z342" s="126"/>
      <c r="AA342" s="156" t="str">
        <f t="shared" ca="1" si="49"/>
        <v/>
      </c>
      <c r="AB342" s="159" t="e">
        <f t="shared" ref="AB342:BG342" ca="1" si="83">IF(AB580=4,":",IF(AB580=5,"!",IF(AB580=3,",",IF(AB580=2,"^",IF(AND($FO$317&gt;=AB$383,$FS$311&gt;=$M342,$FS$317&lt;$M342),"~",IF(AND($FO$317&gt;=AB$383,$FS$311&lt;$M342,$FS$317&gt;=$M342),"*",IF(OR($FO$317&lt;AB$383,$FS$317&lt;$M342),"","+")))))))</f>
        <v>#DIV/0!</v>
      </c>
      <c r="AC342" s="159" t="e">
        <f t="shared" ca="1" si="83"/>
        <v>#DIV/0!</v>
      </c>
      <c r="AD342" s="159" t="e">
        <f t="shared" ca="1" si="83"/>
        <v>#DIV/0!</v>
      </c>
      <c r="AE342" s="159" t="e">
        <f t="shared" ca="1" si="83"/>
        <v>#DIV/0!</v>
      </c>
      <c r="AF342" s="159" t="e">
        <f t="shared" ca="1" si="83"/>
        <v>#DIV/0!</v>
      </c>
      <c r="AG342" s="159" t="e">
        <f t="shared" ca="1" si="83"/>
        <v>#DIV/0!</v>
      </c>
      <c r="AH342" s="159" t="e">
        <f t="shared" ca="1" si="83"/>
        <v>#DIV/0!</v>
      </c>
      <c r="AI342" s="159" t="e">
        <f t="shared" ca="1" si="83"/>
        <v>#DIV/0!</v>
      </c>
      <c r="AJ342" s="159" t="e">
        <f t="shared" ca="1" si="83"/>
        <v>#DIV/0!</v>
      </c>
      <c r="AK342" s="159" t="e">
        <f t="shared" ca="1" si="83"/>
        <v>#DIV/0!</v>
      </c>
      <c r="AL342" s="159" t="e">
        <f t="shared" ca="1" si="83"/>
        <v>#DIV/0!</v>
      </c>
      <c r="AM342" s="159" t="e">
        <f t="shared" ca="1" si="83"/>
        <v>#DIV/0!</v>
      </c>
      <c r="AN342" s="159" t="e">
        <f t="shared" ca="1" si="83"/>
        <v>#DIV/0!</v>
      </c>
      <c r="AO342" s="159" t="e">
        <f t="shared" ca="1" si="83"/>
        <v>#DIV/0!</v>
      </c>
      <c r="AP342" s="159" t="e">
        <f t="shared" ca="1" si="83"/>
        <v>#DIV/0!</v>
      </c>
      <c r="AQ342" s="159" t="e">
        <f t="shared" ca="1" si="83"/>
        <v>#DIV/0!</v>
      </c>
      <c r="AR342" s="159" t="e">
        <f t="shared" ca="1" si="83"/>
        <v>#DIV/0!</v>
      </c>
      <c r="AS342" s="159" t="e">
        <f t="shared" ca="1" si="83"/>
        <v>#DIV/0!</v>
      </c>
      <c r="AT342" s="159" t="e">
        <f t="shared" ca="1" si="83"/>
        <v>#DIV/0!</v>
      </c>
      <c r="AU342" s="159" t="e">
        <f t="shared" ca="1" si="83"/>
        <v>#DIV/0!</v>
      </c>
      <c r="AV342" s="159" t="e">
        <f t="shared" ca="1" si="83"/>
        <v>#DIV/0!</v>
      </c>
      <c r="AW342" s="159" t="e">
        <f t="shared" ca="1" si="83"/>
        <v>#DIV/0!</v>
      </c>
      <c r="AX342" s="159" t="e">
        <f t="shared" ca="1" si="83"/>
        <v>#DIV/0!</v>
      </c>
      <c r="AY342" s="159" t="e">
        <f t="shared" ca="1" si="83"/>
        <v>#DIV/0!</v>
      </c>
      <c r="AZ342" s="159" t="e">
        <f t="shared" ca="1" si="83"/>
        <v>#DIV/0!</v>
      </c>
      <c r="BA342" s="159" t="e">
        <f t="shared" ca="1" si="83"/>
        <v>#DIV/0!</v>
      </c>
      <c r="BB342" s="159" t="e">
        <f t="shared" ca="1" si="83"/>
        <v>#DIV/0!</v>
      </c>
      <c r="BC342" s="159" t="e">
        <f t="shared" ca="1" si="83"/>
        <v>#DIV/0!</v>
      </c>
      <c r="BD342" s="159" t="e">
        <f t="shared" ca="1" si="83"/>
        <v>#DIV/0!</v>
      </c>
      <c r="BE342" s="159" t="e">
        <f t="shared" ca="1" si="83"/>
        <v>#DIV/0!</v>
      </c>
      <c r="BF342" s="159" t="e">
        <f t="shared" ca="1" si="83"/>
        <v>#DIV/0!</v>
      </c>
      <c r="BG342" s="159" t="e">
        <f t="shared" ca="1" si="83"/>
        <v>#DIV/0!</v>
      </c>
      <c r="BH342" s="159" t="e">
        <f t="shared" ref="BH342:BX342" ca="1" si="84">IF(BH580=4,":",IF(BH580=5,"!",IF(BH580=3,",",IF(BH580=2,"^",IF(AND($FO$317&gt;=BH$383,$FS$311&gt;=$M342,$FS$317&lt;$M342),"~",IF(AND($FO$317&gt;=BH$383,$FS$311&lt;$M342,$FS$317&gt;=$M342),"*",IF(OR($FO$317&lt;BH$383,$FS$317&lt;$M342),"","+")))))))</f>
        <v>#DIV/0!</v>
      </c>
      <c r="BI342" s="159" t="e">
        <f t="shared" ca="1" si="84"/>
        <v>#DIV/0!</v>
      </c>
      <c r="BJ342" s="159" t="e">
        <f t="shared" ca="1" si="84"/>
        <v>#DIV/0!</v>
      </c>
      <c r="BK342" s="159" t="e">
        <f t="shared" ca="1" si="84"/>
        <v>#DIV/0!</v>
      </c>
      <c r="BL342" s="159" t="e">
        <f t="shared" ca="1" si="84"/>
        <v>#DIV/0!</v>
      </c>
      <c r="BM342" s="159" t="e">
        <f t="shared" ca="1" si="84"/>
        <v>#DIV/0!</v>
      </c>
      <c r="BN342" s="159" t="e">
        <f t="shared" ca="1" si="84"/>
        <v>#DIV/0!</v>
      </c>
      <c r="BO342" s="159" t="e">
        <f t="shared" ca="1" si="84"/>
        <v>#DIV/0!</v>
      </c>
      <c r="BP342" s="159" t="e">
        <f t="shared" ca="1" si="84"/>
        <v>#DIV/0!</v>
      </c>
      <c r="BQ342" s="159" t="e">
        <f t="shared" ca="1" si="84"/>
        <v>#DIV/0!</v>
      </c>
      <c r="BR342" s="159" t="e">
        <f t="shared" ca="1" si="84"/>
        <v>#DIV/0!</v>
      </c>
      <c r="BS342" s="159" t="e">
        <f t="shared" ca="1" si="84"/>
        <v>#DIV/0!</v>
      </c>
      <c r="BT342" s="159" t="e">
        <f t="shared" ca="1" si="84"/>
        <v>#DIV/0!</v>
      </c>
      <c r="BU342" s="159" t="e">
        <f t="shared" ca="1" si="84"/>
        <v>#DIV/0!</v>
      </c>
      <c r="BV342" s="159" t="e">
        <f t="shared" ca="1" si="84"/>
        <v>#DIV/0!</v>
      </c>
      <c r="BW342" s="159" t="e">
        <f t="shared" ca="1" si="84"/>
        <v>#DIV/0!</v>
      </c>
      <c r="BX342" s="159" t="e">
        <f t="shared" ca="1" si="84"/>
        <v>#DIV/0!</v>
      </c>
      <c r="BY342" s="159" t="e">
        <f t="shared" ca="1" si="54"/>
        <v>#DIV/0!</v>
      </c>
      <c r="BZ342" s="160"/>
      <c r="CA342" s="157"/>
      <c r="CB342" s="59"/>
      <c r="CC342" s="55"/>
      <c r="CD342" s="55"/>
      <c r="CE342" s="55"/>
      <c r="CF342" s="55"/>
      <c r="CG342" s="55"/>
      <c r="CH342" s="55"/>
      <c r="CI342" s="55"/>
      <c r="CJ342" s="645"/>
      <c r="CK342" s="645"/>
      <c r="CL342" s="645"/>
      <c r="CM342" s="645"/>
      <c r="CN342" s="645"/>
      <c r="CO342" s="645"/>
      <c r="CP342" s="645"/>
      <c r="CQ342" s="645"/>
      <c r="CR342" s="645"/>
      <c r="CS342" s="645"/>
      <c r="CT342" s="645"/>
      <c r="CU342" s="645"/>
      <c r="CV342" s="645"/>
      <c r="CW342" s="645"/>
      <c r="CX342" s="645"/>
      <c r="CY342" s="645"/>
      <c r="CZ342" s="645"/>
      <c r="DA342" s="645"/>
      <c r="DB342" s="645"/>
      <c r="DC342" s="645"/>
      <c r="DD342" s="645"/>
      <c r="DE342" s="645"/>
      <c r="DF342" s="645"/>
      <c r="DG342" s="645"/>
      <c r="DH342" s="645"/>
      <c r="DI342" s="645"/>
      <c r="DJ342" s="645"/>
      <c r="DK342" s="645"/>
      <c r="DL342" s="645"/>
      <c r="DM342" s="645"/>
      <c r="DN342" s="645"/>
      <c r="DO342" s="645"/>
      <c r="DP342" s="645"/>
      <c r="DQ342" s="645"/>
      <c r="DR342" s="645"/>
      <c r="DS342" s="645"/>
      <c r="DT342" s="645"/>
      <c r="DU342" s="645"/>
      <c r="DV342" s="645"/>
      <c r="DW342" s="645"/>
      <c r="DX342" s="645"/>
      <c r="DY342" s="645"/>
      <c r="DZ342" s="645"/>
      <c r="EA342" s="645"/>
      <c r="EB342" s="645"/>
      <c r="EC342" s="645"/>
      <c r="ED342" s="645"/>
      <c r="EE342" s="645"/>
      <c r="EF342" s="645"/>
      <c r="EG342" s="645"/>
      <c r="EH342" s="645"/>
      <c r="EI342" s="645"/>
      <c r="EJ342" s="645"/>
      <c r="EK342" s="645"/>
      <c r="EL342" s="645"/>
      <c r="EM342" s="645"/>
      <c r="EN342" s="645"/>
      <c r="EO342" s="645"/>
      <c r="EP342" s="645"/>
      <c r="EQ342" s="645"/>
      <c r="ER342" s="645"/>
      <c r="ES342" s="645"/>
      <c r="ET342" s="645"/>
      <c r="EU342" s="210"/>
      <c r="EV342" s="210"/>
      <c r="EW342" s="210"/>
      <c r="EX342" s="210"/>
      <c r="EY342" s="210"/>
      <c r="EZ342" s="79"/>
      <c r="FA342" s="79"/>
      <c r="FB342" s="79"/>
      <c r="FC342" s="79"/>
      <c r="FD342" s="79"/>
      <c r="FE342" s="79"/>
      <c r="FF342" s="79"/>
      <c r="FG342" s="79"/>
      <c r="FH342" s="79"/>
      <c r="FI342" s="79"/>
      <c r="FJ342" s="79"/>
      <c r="FK342" s="79"/>
      <c r="FL342" s="79"/>
      <c r="FM342" s="49"/>
      <c r="FN342" s="49"/>
      <c r="FO342" s="49"/>
      <c r="FP342" s="49"/>
      <c r="FQ342" s="49"/>
      <c r="FR342" s="49"/>
      <c r="FS342" s="49"/>
      <c r="FT342" s="49"/>
      <c r="FU342" s="49"/>
      <c r="FV342" s="48"/>
      <c r="FW342" s="48"/>
      <c r="FX342" s="48"/>
      <c r="FY342" s="48"/>
      <c r="FZ342" s="48"/>
      <c r="GA342" s="49"/>
      <c r="GB342" s="49"/>
      <c r="GC342" s="49"/>
      <c r="GD342" s="49"/>
      <c r="GE342" s="49"/>
      <c r="GF342" s="49"/>
      <c r="GG342" s="49"/>
      <c r="GH342" s="49"/>
      <c r="GI342" s="49"/>
      <c r="GJ342" s="49"/>
      <c r="GK342" s="49"/>
      <c r="GL342" s="49"/>
      <c r="GM342" s="49"/>
      <c r="GN342" s="49"/>
      <c r="GO342" s="49"/>
      <c r="GP342" s="49"/>
      <c r="GQ342" s="49"/>
      <c r="GR342" s="49"/>
      <c r="GS342" s="49"/>
      <c r="GT342" s="49"/>
      <c r="GU342" s="49"/>
      <c r="GV342" s="49"/>
      <c r="GW342" s="49"/>
      <c r="GX342" s="49"/>
      <c r="GY342" s="49"/>
      <c r="GZ342" s="49"/>
      <c r="HA342" s="49"/>
      <c r="HB342" s="49"/>
      <c r="HC342" s="49"/>
      <c r="HD342" s="49"/>
      <c r="HE342" s="49"/>
      <c r="HF342" s="49"/>
      <c r="HG342" s="49"/>
      <c r="HH342" s="49"/>
      <c r="HI342" s="49"/>
      <c r="HJ342" s="49"/>
      <c r="HK342" s="49"/>
      <c r="HL342" s="49"/>
      <c r="HM342" s="49"/>
    </row>
    <row r="343" spans="1:221" ht="3.75" customHeight="1">
      <c r="A343" s="1"/>
      <c r="B343" s="3"/>
      <c r="C343" s="3"/>
      <c r="D343" s="12"/>
      <c r="E343" s="197"/>
      <c r="F343" s="197"/>
      <c r="G343" s="39"/>
      <c r="H343" s="39"/>
      <c r="I343" s="39"/>
      <c r="J343" s="39"/>
      <c r="K343" s="197"/>
      <c r="L343" s="197"/>
      <c r="M343" s="197">
        <v>330</v>
      </c>
      <c r="N343" s="197"/>
      <c r="O343" s="197"/>
      <c r="P343" s="197"/>
      <c r="Q343" s="679" t="str">
        <f ca="1">IF($FN$305=0,"","€ 30")</f>
        <v/>
      </c>
      <c r="R343" s="645"/>
      <c r="S343" s="645"/>
      <c r="T343" s="645"/>
      <c r="U343" s="645"/>
      <c r="V343" s="645"/>
      <c r="W343" s="645"/>
      <c r="X343" s="645"/>
      <c r="Y343" s="645"/>
      <c r="Z343" s="126"/>
      <c r="AA343" s="156" t="str">
        <f t="shared" ca="1" si="49"/>
        <v/>
      </c>
      <c r="AB343" s="159" t="e">
        <f t="shared" ref="AB343:BG343" ca="1" si="85">IF(AB581=4,":",IF(AB581=5,"!",IF(AB581=3,",",IF(AB581=2,"^",IF(AND($FO$317&gt;=AB$383,$FS$311&gt;=$M343,$FS$317&lt;$M343),"~",IF(AND($FO$317&gt;=AB$383,$FS$311&lt;$M343,$FS$317&gt;=$M343),"*",IF(OR($FO$317&lt;AB$383,$FS$317&lt;$M343),"","+")))))))</f>
        <v>#DIV/0!</v>
      </c>
      <c r="AC343" s="159" t="e">
        <f t="shared" ca="1" si="85"/>
        <v>#DIV/0!</v>
      </c>
      <c r="AD343" s="159" t="e">
        <f t="shared" ca="1" si="85"/>
        <v>#DIV/0!</v>
      </c>
      <c r="AE343" s="159" t="e">
        <f t="shared" ca="1" si="85"/>
        <v>#DIV/0!</v>
      </c>
      <c r="AF343" s="159" t="e">
        <f t="shared" ca="1" si="85"/>
        <v>#DIV/0!</v>
      </c>
      <c r="AG343" s="159" t="e">
        <f t="shared" ca="1" si="85"/>
        <v>#DIV/0!</v>
      </c>
      <c r="AH343" s="159" t="e">
        <f t="shared" ca="1" si="85"/>
        <v>#DIV/0!</v>
      </c>
      <c r="AI343" s="159" t="e">
        <f t="shared" ca="1" si="85"/>
        <v>#DIV/0!</v>
      </c>
      <c r="AJ343" s="159" t="e">
        <f t="shared" ca="1" si="85"/>
        <v>#DIV/0!</v>
      </c>
      <c r="AK343" s="159" t="e">
        <f t="shared" ca="1" si="85"/>
        <v>#DIV/0!</v>
      </c>
      <c r="AL343" s="159" t="e">
        <f t="shared" ca="1" si="85"/>
        <v>#DIV/0!</v>
      </c>
      <c r="AM343" s="159" t="e">
        <f t="shared" ca="1" si="85"/>
        <v>#DIV/0!</v>
      </c>
      <c r="AN343" s="159" t="e">
        <f t="shared" ca="1" si="85"/>
        <v>#DIV/0!</v>
      </c>
      <c r="AO343" s="159" t="e">
        <f t="shared" ca="1" si="85"/>
        <v>#DIV/0!</v>
      </c>
      <c r="AP343" s="159" t="e">
        <f t="shared" ca="1" si="85"/>
        <v>#DIV/0!</v>
      </c>
      <c r="AQ343" s="159" t="e">
        <f t="shared" ca="1" si="85"/>
        <v>#DIV/0!</v>
      </c>
      <c r="AR343" s="159" t="e">
        <f t="shared" ca="1" si="85"/>
        <v>#DIV/0!</v>
      </c>
      <c r="AS343" s="159" t="e">
        <f t="shared" ca="1" si="85"/>
        <v>#DIV/0!</v>
      </c>
      <c r="AT343" s="159" t="e">
        <f t="shared" ca="1" si="85"/>
        <v>#DIV/0!</v>
      </c>
      <c r="AU343" s="159" t="e">
        <f t="shared" ca="1" si="85"/>
        <v>#DIV/0!</v>
      </c>
      <c r="AV343" s="159" t="e">
        <f t="shared" ca="1" si="85"/>
        <v>#DIV/0!</v>
      </c>
      <c r="AW343" s="159" t="e">
        <f t="shared" ca="1" si="85"/>
        <v>#DIV/0!</v>
      </c>
      <c r="AX343" s="159" t="e">
        <f t="shared" ca="1" si="85"/>
        <v>#DIV/0!</v>
      </c>
      <c r="AY343" s="159" t="e">
        <f t="shared" ca="1" si="85"/>
        <v>#DIV/0!</v>
      </c>
      <c r="AZ343" s="159" t="e">
        <f t="shared" ca="1" si="85"/>
        <v>#DIV/0!</v>
      </c>
      <c r="BA343" s="159" t="e">
        <f t="shared" ca="1" si="85"/>
        <v>#DIV/0!</v>
      </c>
      <c r="BB343" s="159" t="e">
        <f t="shared" ca="1" si="85"/>
        <v>#DIV/0!</v>
      </c>
      <c r="BC343" s="159" t="e">
        <f t="shared" ca="1" si="85"/>
        <v>#DIV/0!</v>
      </c>
      <c r="BD343" s="159" t="e">
        <f t="shared" ca="1" si="85"/>
        <v>#DIV/0!</v>
      </c>
      <c r="BE343" s="159" t="e">
        <f t="shared" ca="1" si="85"/>
        <v>#DIV/0!</v>
      </c>
      <c r="BF343" s="159" t="e">
        <f t="shared" ca="1" si="85"/>
        <v>#DIV/0!</v>
      </c>
      <c r="BG343" s="159" t="e">
        <f t="shared" ca="1" si="85"/>
        <v>#DIV/0!</v>
      </c>
      <c r="BH343" s="159" t="e">
        <f t="shared" ref="BH343:BX343" ca="1" si="86">IF(BH581=4,":",IF(BH581=5,"!",IF(BH581=3,",",IF(BH581=2,"^",IF(AND($FO$317&gt;=BH$383,$FS$311&gt;=$M343,$FS$317&lt;$M343),"~",IF(AND($FO$317&gt;=BH$383,$FS$311&lt;$M343,$FS$317&gt;=$M343),"*",IF(OR($FO$317&lt;BH$383,$FS$317&lt;$M343),"","+")))))))</f>
        <v>#DIV/0!</v>
      </c>
      <c r="BI343" s="159" t="e">
        <f t="shared" ca="1" si="86"/>
        <v>#DIV/0!</v>
      </c>
      <c r="BJ343" s="159" t="e">
        <f t="shared" ca="1" si="86"/>
        <v>#DIV/0!</v>
      </c>
      <c r="BK343" s="159" t="e">
        <f t="shared" ca="1" si="86"/>
        <v>#DIV/0!</v>
      </c>
      <c r="BL343" s="159" t="e">
        <f t="shared" ca="1" si="86"/>
        <v>#DIV/0!</v>
      </c>
      <c r="BM343" s="159" t="e">
        <f t="shared" ca="1" si="86"/>
        <v>#DIV/0!</v>
      </c>
      <c r="BN343" s="159" t="e">
        <f t="shared" ca="1" si="86"/>
        <v>#DIV/0!</v>
      </c>
      <c r="BO343" s="159" t="e">
        <f t="shared" ca="1" si="86"/>
        <v>#DIV/0!</v>
      </c>
      <c r="BP343" s="159" t="e">
        <f t="shared" ca="1" si="86"/>
        <v>#DIV/0!</v>
      </c>
      <c r="BQ343" s="159" t="e">
        <f t="shared" ca="1" si="86"/>
        <v>#DIV/0!</v>
      </c>
      <c r="BR343" s="159" t="e">
        <f t="shared" ca="1" si="86"/>
        <v>#DIV/0!</v>
      </c>
      <c r="BS343" s="159" t="e">
        <f t="shared" ca="1" si="86"/>
        <v>#DIV/0!</v>
      </c>
      <c r="BT343" s="159" t="e">
        <f t="shared" ca="1" si="86"/>
        <v>#DIV/0!</v>
      </c>
      <c r="BU343" s="159" t="e">
        <f t="shared" ca="1" si="86"/>
        <v>#DIV/0!</v>
      </c>
      <c r="BV343" s="159" t="e">
        <f t="shared" ca="1" si="86"/>
        <v>#DIV/0!</v>
      </c>
      <c r="BW343" s="159" t="e">
        <f t="shared" ca="1" si="86"/>
        <v>#DIV/0!</v>
      </c>
      <c r="BX343" s="159" t="e">
        <f t="shared" ca="1" si="86"/>
        <v>#DIV/0!</v>
      </c>
      <c r="BY343" s="159" t="e">
        <f t="shared" ca="1" si="54"/>
        <v>#DIV/0!</v>
      </c>
      <c r="BZ343" s="160"/>
      <c r="CA343" s="157"/>
      <c r="CB343" s="59"/>
      <c r="CC343" s="55"/>
      <c r="CD343" s="55"/>
      <c r="CE343" s="55"/>
      <c r="CF343" s="55"/>
      <c r="CG343" s="55"/>
      <c r="CH343" s="55"/>
      <c r="CI343" s="55"/>
      <c r="CJ343" s="645"/>
      <c r="CK343" s="645"/>
      <c r="CL343" s="645"/>
      <c r="CM343" s="645"/>
      <c r="CN343" s="645"/>
      <c r="CO343" s="645"/>
      <c r="CP343" s="645"/>
      <c r="CQ343" s="645"/>
      <c r="CR343" s="645"/>
      <c r="CS343" s="645"/>
      <c r="CT343" s="645"/>
      <c r="CU343" s="645"/>
      <c r="CV343" s="645"/>
      <c r="CW343" s="645"/>
      <c r="CX343" s="645"/>
      <c r="CY343" s="645"/>
      <c r="CZ343" s="645"/>
      <c r="DA343" s="645"/>
      <c r="DB343" s="645"/>
      <c r="DC343" s="645"/>
      <c r="DD343" s="645"/>
      <c r="DE343" s="645"/>
      <c r="DF343" s="645"/>
      <c r="DG343" s="645"/>
      <c r="DH343" s="645"/>
      <c r="DI343" s="645"/>
      <c r="DJ343" s="645"/>
      <c r="DK343" s="645"/>
      <c r="DL343" s="645"/>
      <c r="DM343" s="645"/>
      <c r="DN343" s="645"/>
      <c r="DO343" s="645"/>
      <c r="DP343" s="645"/>
      <c r="DQ343" s="645"/>
      <c r="DR343" s="645"/>
      <c r="DS343" s="645"/>
      <c r="DT343" s="645"/>
      <c r="DU343" s="645"/>
      <c r="DV343" s="645"/>
      <c r="DW343" s="645"/>
      <c r="DX343" s="645"/>
      <c r="DY343" s="645"/>
      <c r="DZ343" s="645"/>
      <c r="EA343" s="645"/>
      <c r="EB343" s="645"/>
      <c r="EC343" s="645"/>
      <c r="ED343" s="645"/>
      <c r="EE343" s="645"/>
      <c r="EF343" s="645"/>
      <c r="EG343" s="645"/>
      <c r="EH343" s="645"/>
      <c r="EI343" s="645"/>
      <c r="EJ343" s="645"/>
      <c r="EK343" s="645"/>
      <c r="EL343" s="645"/>
      <c r="EM343" s="645"/>
      <c r="EN343" s="645"/>
      <c r="EO343" s="645"/>
      <c r="EP343" s="645"/>
      <c r="EQ343" s="645"/>
      <c r="ER343" s="645"/>
      <c r="ES343" s="645"/>
      <c r="ET343" s="645"/>
      <c r="EU343" s="210"/>
      <c r="EV343" s="210"/>
      <c r="EW343" s="210"/>
      <c r="EX343" s="210"/>
      <c r="EY343" s="210"/>
      <c r="EZ343" s="79"/>
      <c r="FA343" s="79"/>
      <c r="FB343" s="79"/>
      <c r="FC343" s="79"/>
      <c r="FD343" s="79"/>
      <c r="FE343" s="79"/>
      <c r="FF343" s="79"/>
      <c r="FG343" s="79"/>
      <c r="FH343" s="79"/>
      <c r="FI343" s="79"/>
      <c r="FJ343" s="79"/>
      <c r="FK343" s="79"/>
      <c r="FL343" s="79"/>
      <c r="FM343" s="49"/>
      <c r="FN343" s="49"/>
      <c r="FO343" s="49"/>
      <c r="FP343" s="49"/>
      <c r="FQ343" s="49"/>
      <c r="FR343" s="49"/>
      <c r="FS343" s="49"/>
      <c r="FT343" s="49"/>
      <c r="FU343" s="49"/>
      <c r="FV343" s="48"/>
      <c r="FW343" s="48"/>
      <c r="FX343" s="48"/>
      <c r="FY343" s="48"/>
      <c r="FZ343" s="48"/>
      <c r="GA343" s="49"/>
      <c r="GB343" s="49"/>
      <c r="GC343" s="49"/>
      <c r="GD343" s="49"/>
      <c r="GE343" s="49"/>
      <c r="GF343" s="49"/>
      <c r="GG343" s="49"/>
      <c r="GH343" s="49"/>
      <c r="GI343" s="49"/>
      <c r="GJ343" s="49"/>
      <c r="GK343" s="49"/>
      <c r="GL343" s="49"/>
      <c r="GM343" s="49"/>
      <c r="GN343" s="49"/>
      <c r="GO343" s="49"/>
      <c r="GP343" s="49"/>
      <c r="GQ343" s="49"/>
      <c r="GR343" s="49"/>
      <c r="GS343" s="49"/>
      <c r="GT343" s="49"/>
      <c r="GU343" s="49"/>
      <c r="GV343" s="49"/>
      <c r="GW343" s="49"/>
      <c r="GX343" s="49"/>
      <c r="GY343" s="49"/>
      <c r="GZ343" s="49"/>
      <c r="HA343" s="49"/>
      <c r="HB343" s="49"/>
      <c r="HC343" s="49"/>
      <c r="HD343" s="49"/>
      <c r="HE343" s="49"/>
      <c r="HF343" s="49"/>
      <c r="HG343" s="49"/>
      <c r="HH343" s="49"/>
      <c r="HI343" s="49"/>
      <c r="HJ343" s="49"/>
      <c r="HK343" s="49"/>
      <c r="HL343" s="49"/>
      <c r="HM343" s="49"/>
    </row>
    <row r="344" spans="1:221" ht="3.75" customHeight="1">
      <c r="A344" s="1"/>
      <c r="B344" s="3"/>
      <c r="C344" s="3"/>
      <c r="D344" s="12"/>
      <c r="E344" s="197"/>
      <c r="F344" s="197"/>
      <c r="G344" s="39"/>
      <c r="H344" s="39"/>
      <c r="I344" s="39"/>
      <c r="J344" s="39"/>
      <c r="K344" s="197"/>
      <c r="L344" s="197"/>
      <c r="M344" s="197">
        <v>320</v>
      </c>
      <c r="N344" s="197"/>
      <c r="O344" s="197"/>
      <c r="P344" s="197"/>
      <c r="Q344" s="645"/>
      <c r="R344" s="645"/>
      <c r="S344" s="645"/>
      <c r="T344" s="645"/>
      <c r="U344" s="645"/>
      <c r="V344" s="645"/>
      <c r="W344" s="645"/>
      <c r="X344" s="645"/>
      <c r="Y344" s="645"/>
      <c r="Z344" s="126"/>
      <c r="AA344" s="156" t="str">
        <f t="shared" ca="1" si="49"/>
        <v/>
      </c>
      <c r="AB344" s="159" t="e">
        <f t="shared" ref="AB344:BG344" ca="1" si="87">IF(AB582=4,":",IF(AB582=5,"!",IF(AB582=3,",",IF(AB582=2,"^",IF(AND($FO$317&gt;=AB$383,$FS$311&gt;=$M344,$FS$317&lt;$M344),"~",IF(AND($FO$317&gt;=AB$383,$FS$311&lt;$M344,$FS$317&gt;=$M344),"*",IF(OR($FO$317&lt;AB$383,$FS$317&lt;$M344),"","+")))))))</f>
        <v>#DIV/0!</v>
      </c>
      <c r="AC344" s="159" t="e">
        <f t="shared" ca="1" si="87"/>
        <v>#DIV/0!</v>
      </c>
      <c r="AD344" s="159" t="e">
        <f t="shared" ca="1" si="87"/>
        <v>#DIV/0!</v>
      </c>
      <c r="AE344" s="159" t="e">
        <f t="shared" ca="1" si="87"/>
        <v>#DIV/0!</v>
      </c>
      <c r="AF344" s="159" t="e">
        <f t="shared" ca="1" si="87"/>
        <v>#DIV/0!</v>
      </c>
      <c r="AG344" s="159" t="e">
        <f t="shared" ca="1" si="87"/>
        <v>#DIV/0!</v>
      </c>
      <c r="AH344" s="159" t="e">
        <f t="shared" ca="1" si="87"/>
        <v>#DIV/0!</v>
      </c>
      <c r="AI344" s="159" t="e">
        <f t="shared" ca="1" si="87"/>
        <v>#DIV/0!</v>
      </c>
      <c r="AJ344" s="159" t="e">
        <f t="shared" ca="1" si="87"/>
        <v>#DIV/0!</v>
      </c>
      <c r="AK344" s="159" t="e">
        <f t="shared" ca="1" si="87"/>
        <v>#DIV/0!</v>
      </c>
      <c r="AL344" s="159" t="e">
        <f t="shared" ca="1" si="87"/>
        <v>#DIV/0!</v>
      </c>
      <c r="AM344" s="159" t="e">
        <f t="shared" ca="1" si="87"/>
        <v>#DIV/0!</v>
      </c>
      <c r="AN344" s="159" t="e">
        <f t="shared" ca="1" si="87"/>
        <v>#DIV/0!</v>
      </c>
      <c r="AO344" s="159" t="e">
        <f t="shared" ca="1" si="87"/>
        <v>#DIV/0!</v>
      </c>
      <c r="AP344" s="159" t="e">
        <f t="shared" ca="1" si="87"/>
        <v>#DIV/0!</v>
      </c>
      <c r="AQ344" s="159" t="e">
        <f t="shared" ca="1" si="87"/>
        <v>#DIV/0!</v>
      </c>
      <c r="AR344" s="159" t="e">
        <f t="shared" ca="1" si="87"/>
        <v>#DIV/0!</v>
      </c>
      <c r="AS344" s="159" t="e">
        <f t="shared" ca="1" si="87"/>
        <v>#DIV/0!</v>
      </c>
      <c r="AT344" s="159" t="e">
        <f t="shared" ca="1" si="87"/>
        <v>#DIV/0!</v>
      </c>
      <c r="AU344" s="159" t="e">
        <f t="shared" ca="1" si="87"/>
        <v>#DIV/0!</v>
      </c>
      <c r="AV344" s="159" t="e">
        <f t="shared" ca="1" si="87"/>
        <v>#DIV/0!</v>
      </c>
      <c r="AW344" s="159" t="e">
        <f t="shared" ca="1" si="87"/>
        <v>#DIV/0!</v>
      </c>
      <c r="AX344" s="159" t="e">
        <f t="shared" ca="1" si="87"/>
        <v>#DIV/0!</v>
      </c>
      <c r="AY344" s="159" t="e">
        <f t="shared" ca="1" si="87"/>
        <v>#DIV/0!</v>
      </c>
      <c r="AZ344" s="159" t="e">
        <f t="shared" ca="1" si="87"/>
        <v>#DIV/0!</v>
      </c>
      <c r="BA344" s="159" t="e">
        <f t="shared" ca="1" si="87"/>
        <v>#DIV/0!</v>
      </c>
      <c r="BB344" s="159" t="e">
        <f t="shared" ca="1" si="87"/>
        <v>#DIV/0!</v>
      </c>
      <c r="BC344" s="159" t="e">
        <f t="shared" ca="1" si="87"/>
        <v>#DIV/0!</v>
      </c>
      <c r="BD344" s="159" t="e">
        <f t="shared" ca="1" si="87"/>
        <v>#DIV/0!</v>
      </c>
      <c r="BE344" s="159" t="e">
        <f t="shared" ca="1" si="87"/>
        <v>#DIV/0!</v>
      </c>
      <c r="BF344" s="159" t="e">
        <f t="shared" ca="1" si="87"/>
        <v>#DIV/0!</v>
      </c>
      <c r="BG344" s="159" t="e">
        <f t="shared" ca="1" si="87"/>
        <v>#DIV/0!</v>
      </c>
      <c r="BH344" s="159" t="e">
        <f t="shared" ref="BH344:BX344" ca="1" si="88">IF(BH582=4,":",IF(BH582=5,"!",IF(BH582=3,",",IF(BH582=2,"^",IF(AND($FO$317&gt;=BH$383,$FS$311&gt;=$M344,$FS$317&lt;$M344),"~",IF(AND($FO$317&gt;=BH$383,$FS$311&lt;$M344,$FS$317&gt;=$M344),"*",IF(OR($FO$317&lt;BH$383,$FS$317&lt;$M344),"","+")))))))</f>
        <v>#DIV/0!</v>
      </c>
      <c r="BI344" s="159" t="e">
        <f t="shared" ca="1" si="88"/>
        <v>#DIV/0!</v>
      </c>
      <c r="BJ344" s="159" t="e">
        <f t="shared" ca="1" si="88"/>
        <v>#DIV/0!</v>
      </c>
      <c r="BK344" s="159" t="e">
        <f t="shared" ca="1" si="88"/>
        <v>#DIV/0!</v>
      </c>
      <c r="BL344" s="159" t="e">
        <f t="shared" ca="1" si="88"/>
        <v>#DIV/0!</v>
      </c>
      <c r="BM344" s="159" t="e">
        <f t="shared" ca="1" si="88"/>
        <v>#DIV/0!</v>
      </c>
      <c r="BN344" s="159" t="e">
        <f t="shared" ca="1" si="88"/>
        <v>#DIV/0!</v>
      </c>
      <c r="BO344" s="159" t="e">
        <f t="shared" ca="1" si="88"/>
        <v>#DIV/0!</v>
      </c>
      <c r="BP344" s="159" t="e">
        <f t="shared" ca="1" si="88"/>
        <v>#DIV/0!</v>
      </c>
      <c r="BQ344" s="159" t="e">
        <f t="shared" ca="1" si="88"/>
        <v>#DIV/0!</v>
      </c>
      <c r="BR344" s="159" t="e">
        <f t="shared" ca="1" si="88"/>
        <v>#DIV/0!</v>
      </c>
      <c r="BS344" s="159" t="e">
        <f t="shared" ca="1" si="88"/>
        <v>#DIV/0!</v>
      </c>
      <c r="BT344" s="159" t="e">
        <f t="shared" ca="1" si="88"/>
        <v>#DIV/0!</v>
      </c>
      <c r="BU344" s="159" t="e">
        <f t="shared" ca="1" si="88"/>
        <v>#DIV/0!</v>
      </c>
      <c r="BV344" s="159" t="e">
        <f t="shared" ca="1" si="88"/>
        <v>#DIV/0!</v>
      </c>
      <c r="BW344" s="159" t="e">
        <f t="shared" ca="1" si="88"/>
        <v>#DIV/0!</v>
      </c>
      <c r="BX344" s="159" t="e">
        <f t="shared" ca="1" si="88"/>
        <v>#DIV/0!</v>
      </c>
      <c r="BY344" s="159" t="e">
        <f t="shared" ca="1" si="54"/>
        <v>#DIV/0!</v>
      </c>
      <c r="BZ344" s="160"/>
      <c r="CA344" s="157"/>
      <c r="CB344" s="59"/>
      <c r="CC344" s="55"/>
      <c r="CD344" s="55"/>
      <c r="CE344" s="55"/>
      <c r="CF344" s="55"/>
      <c r="CG344" s="55"/>
      <c r="CH344" s="55"/>
      <c r="CI344" s="55"/>
      <c r="CJ344" s="645"/>
      <c r="CK344" s="645"/>
      <c r="CL344" s="645"/>
      <c r="CM344" s="645"/>
      <c r="CN344" s="645"/>
      <c r="CO344" s="645"/>
      <c r="CP344" s="645"/>
      <c r="CQ344" s="645"/>
      <c r="CR344" s="645"/>
      <c r="CS344" s="645"/>
      <c r="CT344" s="645"/>
      <c r="CU344" s="645"/>
      <c r="CV344" s="645"/>
      <c r="CW344" s="645"/>
      <c r="CX344" s="645"/>
      <c r="CY344" s="645"/>
      <c r="CZ344" s="645"/>
      <c r="DA344" s="645"/>
      <c r="DB344" s="645"/>
      <c r="DC344" s="645"/>
      <c r="DD344" s="645"/>
      <c r="DE344" s="645"/>
      <c r="DF344" s="645"/>
      <c r="DG344" s="645"/>
      <c r="DH344" s="645"/>
      <c r="DI344" s="645"/>
      <c r="DJ344" s="645"/>
      <c r="DK344" s="645"/>
      <c r="DL344" s="645"/>
      <c r="DM344" s="645"/>
      <c r="DN344" s="645"/>
      <c r="DO344" s="645"/>
      <c r="DP344" s="645"/>
      <c r="DQ344" s="645"/>
      <c r="DR344" s="645"/>
      <c r="DS344" s="645"/>
      <c r="DT344" s="645"/>
      <c r="DU344" s="645"/>
      <c r="DV344" s="645"/>
      <c r="DW344" s="645"/>
      <c r="DX344" s="645"/>
      <c r="DY344" s="645"/>
      <c r="DZ344" s="645"/>
      <c r="EA344" s="645"/>
      <c r="EB344" s="645"/>
      <c r="EC344" s="645"/>
      <c r="ED344" s="645"/>
      <c r="EE344" s="645"/>
      <c r="EF344" s="645"/>
      <c r="EG344" s="645"/>
      <c r="EH344" s="645"/>
      <c r="EI344" s="645"/>
      <c r="EJ344" s="645"/>
      <c r="EK344" s="645"/>
      <c r="EL344" s="645"/>
      <c r="EM344" s="645"/>
      <c r="EN344" s="645"/>
      <c r="EO344" s="645"/>
      <c r="EP344" s="645"/>
      <c r="EQ344" s="645"/>
      <c r="ER344" s="645"/>
      <c r="ES344" s="645"/>
      <c r="ET344" s="645"/>
      <c r="EU344" s="210"/>
      <c r="EV344" s="210"/>
      <c r="EW344" s="210"/>
      <c r="EX344" s="210"/>
      <c r="EY344" s="210"/>
      <c r="EZ344" s="79"/>
      <c r="FA344" s="79"/>
      <c r="FB344" s="79"/>
      <c r="FC344" s="79"/>
      <c r="FD344" s="79"/>
      <c r="FE344" s="79"/>
      <c r="FF344" s="79"/>
      <c r="FG344" s="79"/>
      <c r="FH344" s="79"/>
      <c r="FI344" s="79"/>
      <c r="FJ344" s="79"/>
      <c r="FK344" s="79"/>
      <c r="FL344" s="79"/>
      <c r="FM344" s="49"/>
      <c r="FN344" s="49"/>
      <c r="FO344" s="49"/>
      <c r="FP344" s="49"/>
      <c r="FQ344" s="49"/>
      <c r="FR344" s="49"/>
      <c r="FS344" s="49"/>
      <c r="FT344" s="49"/>
      <c r="FU344" s="49"/>
      <c r="FV344" s="48"/>
      <c r="FW344" s="48"/>
      <c r="FX344" s="48"/>
      <c r="FY344" s="48"/>
      <c r="FZ344" s="48"/>
      <c r="GA344" s="49"/>
      <c r="GB344" s="49"/>
      <c r="GC344" s="49"/>
      <c r="GD344" s="49"/>
      <c r="GE344" s="49"/>
      <c r="GF344" s="49"/>
      <c r="GG344" s="49"/>
      <c r="GH344" s="49"/>
      <c r="GI344" s="49"/>
      <c r="GJ344" s="49"/>
      <c r="GK344" s="49"/>
      <c r="GL344" s="49"/>
      <c r="GM344" s="49"/>
      <c r="GN344" s="49"/>
      <c r="GO344" s="49"/>
      <c r="GP344" s="49"/>
      <c r="GQ344" s="49"/>
      <c r="GR344" s="49"/>
      <c r="GS344" s="49"/>
      <c r="GT344" s="49"/>
      <c r="GU344" s="49"/>
      <c r="GV344" s="49"/>
      <c r="GW344" s="49"/>
      <c r="GX344" s="49"/>
      <c r="GY344" s="49"/>
      <c r="GZ344" s="49"/>
      <c r="HA344" s="49"/>
      <c r="HB344" s="49"/>
      <c r="HC344" s="49"/>
      <c r="HD344" s="49"/>
      <c r="HE344" s="49"/>
      <c r="HF344" s="49"/>
      <c r="HG344" s="49"/>
      <c r="HH344" s="49"/>
      <c r="HI344" s="49"/>
      <c r="HJ344" s="49"/>
      <c r="HK344" s="49"/>
      <c r="HL344" s="49"/>
      <c r="HM344" s="49"/>
    </row>
    <row r="345" spans="1:221" ht="3.75" customHeight="1" thickBot="1">
      <c r="A345" s="1"/>
      <c r="B345" s="3"/>
      <c r="C345" s="3"/>
      <c r="D345" s="12"/>
      <c r="E345" s="197"/>
      <c r="F345" s="197"/>
      <c r="G345" s="39"/>
      <c r="H345" s="39"/>
      <c r="I345" s="39"/>
      <c r="J345" s="39"/>
      <c r="K345" s="197"/>
      <c r="L345" s="197"/>
      <c r="M345" s="197">
        <v>310</v>
      </c>
      <c r="N345" s="197"/>
      <c r="O345" s="197"/>
      <c r="P345" s="197"/>
      <c r="Q345" s="645"/>
      <c r="R345" s="645"/>
      <c r="S345" s="645"/>
      <c r="T345" s="645"/>
      <c r="U345" s="645"/>
      <c r="V345" s="645"/>
      <c r="W345" s="645"/>
      <c r="X345" s="645"/>
      <c r="Y345" s="645"/>
      <c r="Z345" s="88"/>
      <c r="AA345" s="156" t="str">
        <f t="shared" ca="1" si="49"/>
        <v/>
      </c>
      <c r="AB345" s="159" t="e">
        <f t="shared" ref="AB345:BG345" ca="1" si="89">IF(AB583=4,":",IF(AB583=5,"!",IF(AB583=3,",",IF(AB583=2,"^",IF(AND($FO$317&gt;=AB$383,$FS$311&gt;=$M345,$FS$317&lt;$M345),"~",IF(AND($FO$317&gt;=AB$383,$FS$311&lt;$M345,$FS$317&gt;=$M345),"*",IF(OR($FO$317&lt;AB$383,$FS$317&lt;$M345),"","+")))))))</f>
        <v>#DIV/0!</v>
      </c>
      <c r="AC345" s="159" t="e">
        <f t="shared" ca="1" si="89"/>
        <v>#DIV/0!</v>
      </c>
      <c r="AD345" s="159" t="e">
        <f t="shared" ca="1" si="89"/>
        <v>#DIV/0!</v>
      </c>
      <c r="AE345" s="159" t="e">
        <f t="shared" ca="1" si="89"/>
        <v>#DIV/0!</v>
      </c>
      <c r="AF345" s="159" t="e">
        <f t="shared" ca="1" si="89"/>
        <v>#DIV/0!</v>
      </c>
      <c r="AG345" s="159" t="e">
        <f t="shared" ca="1" si="89"/>
        <v>#DIV/0!</v>
      </c>
      <c r="AH345" s="159" t="e">
        <f t="shared" ca="1" si="89"/>
        <v>#DIV/0!</v>
      </c>
      <c r="AI345" s="159" t="e">
        <f t="shared" ca="1" si="89"/>
        <v>#DIV/0!</v>
      </c>
      <c r="AJ345" s="159" t="e">
        <f t="shared" ca="1" si="89"/>
        <v>#DIV/0!</v>
      </c>
      <c r="AK345" s="159" t="e">
        <f t="shared" ca="1" si="89"/>
        <v>#DIV/0!</v>
      </c>
      <c r="AL345" s="159" t="e">
        <f t="shared" ca="1" si="89"/>
        <v>#DIV/0!</v>
      </c>
      <c r="AM345" s="159" t="e">
        <f t="shared" ca="1" si="89"/>
        <v>#DIV/0!</v>
      </c>
      <c r="AN345" s="159" t="e">
        <f t="shared" ca="1" si="89"/>
        <v>#DIV/0!</v>
      </c>
      <c r="AO345" s="159" t="e">
        <f t="shared" ca="1" si="89"/>
        <v>#DIV/0!</v>
      </c>
      <c r="AP345" s="159" t="e">
        <f t="shared" ca="1" si="89"/>
        <v>#DIV/0!</v>
      </c>
      <c r="AQ345" s="159" t="e">
        <f t="shared" ca="1" si="89"/>
        <v>#DIV/0!</v>
      </c>
      <c r="AR345" s="159" t="e">
        <f t="shared" ca="1" si="89"/>
        <v>#DIV/0!</v>
      </c>
      <c r="AS345" s="159" t="e">
        <f t="shared" ca="1" si="89"/>
        <v>#DIV/0!</v>
      </c>
      <c r="AT345" s="159" t="e">
        <f t="shared" ca="1" si="89"/>
        <v>#DIV/0!</v>
      </c>
      <c r="AU345" s="159" t="e">
        <f t="shared" ca="1" si="89"/>
        <v>#DIV/0!</v>
      </c>
      <c r="AV345" s="159" t="e">
        <f t="shared" ca="1" si="89"/>
        <v>#DIV/0!</v>
      </c>
      <c r="AW345" s="159" t="e">
        <f t="shared" ca="1" si="89"/>
        <v>#DIV/0!</v>
      </c>
      <c r="AX345" s="159" t="e">
        <f t="shared" ca="1" si="89"/>
        <v>#DIV/0!</v>
      </c>
      <c r="AY345" s="159" t="e">
        <f t="shared" ca="1" si="89"/>
        <v>#DIV/0!</v>
      </c>
      <c r="AZ345" s="159" t="e">
        <f t="shared" ca="1" si="89"/>
        <v>#DIV/0!</v>
      </c>
      <c r="BA345" s="159" t="e">
        <f t="shared" ca="1" si="89"/>
        <v>#DIV/0!</v>
      </c>
      <c r="BB345" s="159" t="e">
        <f t="shared" ca="1" si="89"/>
        <v>#DIV/0!</v>
      </c>
      <c r="BC345" s="159" t="e">
        <f t="shared" ca="1" si="89"/>
        <v>#DIV/0!</v>
      </c>
      <c r="BD345" s="159" t="e">
        <f t="shared" ca="1" si="89"/>
        <v>#DIV/0!</v>
      </c>
      <c r="BE345" s="159" t="e">
        <f t="shared" ca="1" si="89"/>
        <v>#DIV/0!</v>
      </c>
      <c r="BF345" s="159" t="e">
        <f t="shared" ca="1" si="89"/>
        <v>#DIV/0!</v>
      </c>
      <c r="BG345" s="159" t="e">
        <f t="shared" ca="1" si="89"/>
        <v>#DIV/0!</v>
      </c>
      <c r="BH345" s="159" t="e">
        <f t="shared" ref="BH345:BX345" ca="1" si="90">IF(BH583=4,":",IF(BH583=5,"!",IF(BH583=3,",",IF(BH583=2,"^",IF(AND($FO$317&gt;=BH$383,$FS$311&gt;=$M345,$FS$317&lt;$M345),"~",IF(AND($FO$317&gt;=BH$383,$FS$311&lt;$M345,$FS$317&gt;=$M345),"*",IF(OR($FO$317&lt;BH$383,$FS$317&lt;$M345),"","+")))))))</f>
        <v>#DIV/0!</v>
      </c>
      <c r="BI345" s="159" t="e">
        <f t="shared" ca="1" si="90"/>
        <v>#DIV/0!</v>
      </c>
      <c r="BJ345" s="159" t="e">
        <f t="shared" ca="1" si="90"/>
        <v>#DIV/0!</v>
      </c>
      <c r="BK345" s="159" t="e">
        <f t="shared" ca="1" si="90"/>
        <v>#DIV/0!</v>
      </c>
      <c r="BL345" s="159" t="e">
        <f t="shared" ca="1" si="90"/>
        <v>#DIV/0!</v>
      </c>
      <c r="BM345" s="159" t="e">
        <f t="shared" ca="1" si="90"/>
        <v>#DIV/0!</v>
      </c>
      <c r="BN345" s="159" t="e">
        <f t="shared" ca="1" si="90"/>
        <v>#DIV/0!</v>
      </c>
      <c r="BO345" s="159" t="e">
        <f t="shared" ca="1" si="90"/>
        <v>#DIV/0!</v>
      </c>
      <c r="BP345" s="159" t="e">
        <f t="shared" ca="1" si="90"/>
        <v>#DIV/0!</v>
      </c>
      <c r="BQ345" s="159" t="e">
        <f t="shared" ca="1" si="90"/>
        <v>#DIV/0!</v>
      </c>
      <c r="BR345" s="159" t="e">
        <f t="shared" ca="1" si="90"/>
        <v>#DIV/0!</v>
      </c>
      <c r="BS345" s="159" t="e">
        <f t="shared" ca="1" si="90"/>
        <v>#DIV/0!</v>
      </c>
      <c r="BT345" s="159" t="e">
        <f t="shared" ca="1" si="90"/>
        <v>#DIV/0!</v>
      </c>
      <c r="BU345" s="159" t="e">
        <f t="shared" ca="1" si="90"/>
        <v>#DIV/0!</v>
      </c>
      <c r="BV345" s="159" t="e">
        <f t="shared" ca="1" si="90"/>
        <v>#DIV/0!</v>
      </c>
      <c r="BW345" s="159" t="e">
        <f t="shared" ca="1" si="90"/>
        <v>#DIV/0!</v>
      </c>
      <c r="BX345" s="159" t="e">
        <f t="shared" ca="1" si="90"/>
        <v>#DIV/0!</v>
      </c>
      <c r="BY345" s="159" t="e">
        <f t="shared" ca="1" si="54"/>
        <v>#DIV/0!</v>
      </c>
      <c r="BZ345" s="160"/>
      <c r="CA345" s="157"/>
      <c r="CB345" s="59"/>
      <c r="CC345" s="55"/>
      <c r="CD345" s="55"/>
      <c r="CE345" s="55"/>
      <c r="CF345" s="55"/>
      <c r="CG345" s="55"/>
      <c r="CH345" s="55"/>
      <c r="CI345" s="55"/>
      <c r="CJ345" s="645"/>
      <c r="CK345" s="645"/>
      <c r="CL345" s="645"/>
      <c r="CM345" s="645"/>
      <c r="CN345" s="645"/>
      <c r="CO345" s="645"/>
      <c r="CP345" s="645"/>
      <c r="CQ345" s="645"/>
      <c r="CR345" s="645"/>
      <c r="CS345" s="645"/>
      <c r="CT345" s="645"/>
      <c r="CU345" s="645"/>
      <c r="CV345" s="645"/>
      <c r="CW345" s="645"/>
      <c r="CX345" s="645"/>
      <c r="CY345" s="645"/>
      <c r="CZ345" s="645"/>
      <c r="DA345" s="645"/>
      <c r="DB345" s="645"/>
      <c r="DC345" s="645"/>
      <c r="DD345" s="645"/>
      <c r="DE345" s="645"/>
      <c r="DF345" s="645"/>
      <c r="DG345" s="645"/>
      <c r="DH345" s="645"/>
      <c r="DI345" s="645"/>
      <c r="DJ345" s="645"/>
      <c r="DK345" s="645"/>
      <c r="DL345" s="645"/>
      <c r="DM345" s="645"/>
      <c r="DN345" s="645"/>
      <c r="DO345" s="645"/>
      <c r="DP345" s="645"/>
      <c r="DQ345" s="645"/>
      <c r="DR345" s="645"/>
      <c r="DS345" s="645"/>
      <c r="DT345" s="645"/>
      <c r="DU345" s="645"/>
      <c r="DV345" s="645"/>
      <c r="DW345" s="645"/>
      <c r="DX345" s="645"/>
      <c r="DY345" s="645"/>
      <c r="DZ345" s="645"/>
      <c r="EA345" s="645"/>
      <c r="EB345" s="645"/>
      <c r="EC345" s="645"/>
      <c r="ED345" s="645"/>
      <c r="EE345" s="645"/>
      <c r="EF345" s="645"/>
      <c r="EG345" s="645"/>
      <c r="EH345" s="645"/>
      <c r="EI345" s="645"/>
      <c r="EJ345" s="645"/>
      <c r="EK345" s="645"/>
      <c r="EL345" s="645"/>
      <c r="EM345" s="645"/>
      <c r="EN345" s="645"/>
      <c r="EO345" s="645"/>
      <c r="EP345" s="645"/>
      <c r="EQ345" s="645"/>
      <c r="ER345" s="645"/>
      <c r="ES345" s="645"/>
      <c r="ET345" s="645"/>
      <c r="EU345" s="210"/>
      <c r="EV345" s="210"/>
      <c r="EW345" s="210"/>
      <c r="EX345" s="210"/>
      <c r="EY345" s="210"/>
      <c r="EZ345" s="79"/>
      <c r="FA345" s="79"/>
      <c r="FB345" s="79"/>
      <c r="FC345" s="79"/>
      <c r="FD345" s="79"/>
      <c r="FE345" s="79"/>
      <c r="FF345" s="79"/>
      <c r="FG345" s="79"/>
      <c r="FH345" s="79"/>
      <c r="FI345" s="79"/>
      <c r="FJ345" s="79"/>
      <c r="FK345" s="79"/>
      <c r="FL345" s="79"/>
      <c r="FM345" s="49"/>
      <c r="FN345" s="49"/>
      <c r="FO345" s="49"/>
      <c r="FP345" s="49"/>
      <c r="FQ345" s="49"/>
      <c r="FR345" s="49"/>
      <c r="FS345" s="49"/>
      <c r="FT345" s="49"/>
      <c r="FU345" s="49"/>
      <c r="FV345" s="48"/>
      <c r="FW345" s="48"/>
      <c r="FX345" s="48"/>
      <c r="FY345" s="48"/>
      <c r="FZ345" s="48"/>
      <c r="GA345" s="49"/>
      <c r="GB345" s="49"/>
      <c r="GC345" s="49"/>
      <c r="GD345" s="49"/>
      <c r="GE345" s="49"/>
      <c r="GF345" s="49"/>
      <c r="GG345" s="49"/>
      <c r="GH345" s="49"/>
      <c r="GI345" s="49"/>
      <c r="GJ345" s="49"/>
      <c r="GK345" s="49"/>
      <c r="GL345" s="49"/>
      <c r="GM345" s="49"/>
      <c r="GN345" s="49"/>
      <c r="GO345" s="49"/>
      <c r="GP345" s="49"/>
      <c r="GQ345" s="49"/>
      <c r="GR345" s="49"/>
      <c r="GS345" s="49"/>
      <c r="GT345" s="49"/>
      <c r="GU345" s="49"/>
      <c r="GV345" s="49"/>
      <c r="GW345" s="49"/>
      <c r="GX345" s="49"/>
      <c r="GY345" s="49"/>
      <c r="GZ345" s="49"/>
      <c r="HA345" s="49"/>
      <c r="HB345" s="49"/>
      <c r="HC345" s="49"/>
      <c r="HD345" s="49"/>
      <c r="HE345" s="49"/>
      <c r="HF345" s="49"/>
      <c r="HG345" s="49"/>
      <c r="HH345" s="49"/>
      <c r="HI345" s="49"/>
      <c r="HJ345" s="49"/>
      <c r="HK345" s="49"/>
      <c r="HL345" s="49"/>
      <c r="HM345" s="49"/>
    </row>
    <row r="346" spans="1:221" ht="3.75" customHeight="1">
      <c r="A346" s="1"/>
      <c r="B346" s="3"/>
      <c r="C346" s="3"/>
      <c r="D346" s="12"/>
      <c r="E346" s="197"/>
      <c r="F346" s="197"/>
      <c r="G346" s="39"/>
      <c r="H346" s="39"/>
      <c r="I346" s="39"/>
      <c r="J346" s="39"/>
      <c r="K346" s="197"/>
      <c r="L346" s="197"/>
      <c r="M346" s="197">
        <v>300</v>
      </c>
      <c r="N346" s="197"/>
      <c r="O346" s="197"/>
      <c r="P346" s="197"/>
      <c r="Q346" s="645"/>
      <c r="R346" s="645"/>
      <c r="S346" s="645"/>
      <c r="T346" s="645"/>
      <c r="U346" s="645"/>
      <c r="V346" s="645"/>
      <c r="W346" s="645"/>
      <c r="X346" s="645"/>
      <c r="Y346" s="645"/>
      <c r="Z346" s="126"/>
      <c r="AA346" s="156" t="str">
        <f t="shared" ca="1" si="49"/>
        <v/>
      </c>
      <c r="AB346" s="159" t="e">
        <f t="shared" ref="AB346:BG346" ca="1" si="91">IF(AB584=4,":",IF(AB584=5,"!",IF(AB584=3,",",IF(AB584=2,"^",IF(AND($FO$317&gt;=AB$383,$FS$311&gt;=$M346,$FS$317&lt;$M346),"~",IF(AND($FO$317&gt;=AB$383,$FS$311&lt;$M346,$FS$317&gt;=$M346),"*",IF(OR($FO$317&lt;AB$383,$FS$317&lt;$M346),"","+")))))))</f>
        <v>#DIV/0!</v>
      </c>
      <c r="AC346" s="159" t="e">
        <f t="shared" ca="1" si="91"/>
        <v>#DIV/0!</v>
      </c>
      <c r="AD346" s="159" t="e">
        <f t="shared" ca="1" si="91"/>
        <v>#DIV/0!</v>
      </c>
      <c r="AE346" s="159" t="e">
        <f t="shared" ca="1" si="91"/>
        <v>#DIV/0!</v>
      </c>
      <c r="AF346" s="159" t="e">
        <f t="shared" ca="1" si="91"/>
        <v>#DIV/0!</v>
      </c>
      <c r="AG346" s="159" t="e">
        <f t="shared" ca="1" si="91"/>
        <v>#DIV/0!</v>
      </c>
      <c r="AH346" s="159" t="e">
        <f t="shared" ca="1" si="91"/>
        <v>#DIV/0!</v>
      </c>
      <c r="AI346" s="159" t="e">
        <f t="shared" ca="1" si="91"/>
        <v>#DIV/0!</v>
      </c>
      <c r="AJ346" s="159" t="e">
        <f t="shared" ca="1" si="91"/>
        <v>#DIV/0!</v>
      </c>
      <c r="AK346" s="159" t="e">
        <f t="shared" ca="1" si="91"/>
        <v>#DIV/0!</v>
      </c>
      <c r="AL346" s="159" t="e">
        <f t="shared" ca="1" si="91"/>
        <v>#DIV/0!</v>
      </c>
      <c r="AM346" s="159" t="e">
        <f t="shared" ca="1" si="91"/>
        <v>#DIV/0!</v>
      </c>
      <c r="AN346" s="159" t="e">
        <f t="shared" ca="1" si="91"/>
        <v>#DIV/0!</v>
      </c>
      <c r="AO346" s="159" t="e">
        <f t="shared" ca="1" si="91"/>
        <v>#DIV/0!</v>
      </c>
      <c r="AP346" s="159" t="e">
        <f t="shared" ca="1" si="91"/>
        <v>#DIV/0!</v>
      </c>
      <c r="AQ346" s="159" t="e">
        <f t="shared" ca="1" si="91"/>
        <v>#DIV/0!</v>
      </c>
      <c r="AR346" s="159" t="e">
        <f t="shared" ca="1" si="91"/>
        <v>#DIV/0!</v>
      </c>
      <c r="AS346" s="159" t="e">
        <f t="shared" ca="1" si="91"/>
        <v>#DIV/0!</v>
      </c>
      <c r="AT346" s="159" t="e">
        <f t="shared" ca="1" si="91"/>
        <v>#DIV/0!</v>
      </c>
      <c r="AU346" s="159" t="e">
        <f t="shared" ca="1" si="91"/>
        <v>#DIV/0!</v>
      </c>
      <c r="AV346" s="159" t="e">
        <f t="shared" ca="1" si="91"/>
        <v>#DIV/0!</v>
      </c>
      <c r="AW346" s="159" t="e">
        <f t="shared" ca="1" si="91"/>
        <v>#DIV/0!</v>
      </c>
      <c r="AX346" s="159" t="e">
        <f t="shared" ca="1" si="91"/>
        <v>#DIV/0!</v>
      </c>
      <c r="AY346" s="159" t="e">
        <f t="shared" ca="1" si="91"/>
        <v>#DIV/0!</v>
      </c>
      <c r="AZ346" s="159" t="e">
        <f t="shared" ca="1" si="91"/>
        <v>#DIV/0!</v>
      </c>
      <c r="BA346" s="159" t="e">
        <f t="shared" ca="1" si="91"/>
        <v>#DIV/0!</v>
      </c>
      <c r="BB346" s="159" t="e">
        <f t="shared" ca="1" si="91"/>
        <v>#DIV/0!</v>
      </c>
      <c r="BC346" s="159" t="e">
        <f t="shared" ca="1" si="91"/>
        <v>#DIV/0!</v>
      </c>
      <c r="BD346" s="159" t="e">
        <f t="shared" ca="1" si="91"/>
        <v>#DIV/0!</v>
      </c>
      <c r="BE346" s="159" t="e">
        <f t="shared" ca="1" si="91"/>
        <v>#DIV/0!</v>
      </c>
      <c r="BF346" s="159" t="e">
        <f t="shared" ca="1" si="91"/>
        <v>#DIV/0!</v>
      </c>
      <c r="BG346" s="159" t="e">
        <f t="shared" ca="1" si="91"/>
        <v>#DIV/0!</v>
      </c>
      <c r="BH346" s="159" t="e">
        <f t="shared" ref="BH346:BX346" ca="1" si="92">IF(BH584=4,":",IF(BH584=5,"!",IF(BH584=3,",",IF(BH584=2,"^",IF(AND($FO$317&gt;=BH$383,$FS$311&gt;=$M346,$FS$317&lt;$M346),"~",IF(AND($FO$317&gt;=BH$383,$FS$311&lt;$M346,$FS$317&gt;=$M346),"*",IF(OR($FO$317&lt;BH$383,$FS$317&lt;$M346),"","+")))))))</f>
        <v>#DIV/0!</v>
      </c>
      <c r="BI346" s="159" t="e">
        <f t="shared" ca="1" si="92"/>
        <v>#DIV/0!</v>
      </c>
      <c r="BJ346" s="159" t="e">
        <f t="shared" ca="1" si="92"/>
        <v>#DIV/0!</v>
      </c>
      <c r="BK346" s="159" t="e">
        <f t="shared" ca="1" si="92"/>
        <v>#DIV/0!</v>
      </c>
      <c r="BL346" s="159" t="e">
        <f t="shared" ca="1" si="92"/>
        <v>#DIV/0!</v>
      </c>
      <c r="BM346" s="159" t="e">
        <f t="shared" ca="1" si="92"/>
        <v>#DIV/0!</v>
      </c>
      <c r="BN346" s="159" t="e">
        <f t="shared" ca="1" si="92"/>
        <v>#DIV/0!</v>
      </c>
      <c r="BO346" s="159" t="e">
        <f t="shared" ca="1" si="92"/>
        <v>#DIV/0!</v>
      </c>
      <c r="BP346" s="159" t="e">
        <f t="shared" ca="1" si="92"/>
        <v>#DIV/0!</v>
      </c>
      <c r="BQ346" s="159" t="e">
        <f t="shared" ca="1" si="92"/>
        <v>#DIV/0!</v>
      </c>
      <c r="BR346" s="159" t="e">
        <f t="shared" ca="1" si="92"/>
        <v>#DIV/0!</v>
      </c>
      <c r="BS346" s="159" t="e">
        <f t="shared" ca="1" si="92"/>
        <v>#DIV/0!</v>
      </c>
      <c r="BT346" s="159" t="e">
        <f t="shared" ca="1" si="92"/>
        <v>#DIV/0!</v>
      </c>
      <c r="BU346" s="159" t="e">
        <f t="shared" ca="1" si="92"/>
        <v>#DIV/0!</v>
      </c>
      <c r="BV346" s="159" t="e">
        <f t="shared" ca="1" si="92"/>
        <v>#DIV/0!</v>
      </c>
      <c r="BW346" s="159" t="e">
        <f t="shared" ca="1" si="92"/>
        <v>#DIV/0!</v>
      </c>
      <c r="BX346" s="159" t="e">
        <f t="shared" ca="1" si="92"/>
        <v>#DIV/0!</v>
      </c>
      <c r="BY346" s="159" t="e">
        <f t="shared" ca="1" si="54"/>
        <v>#DIV/0!</v>
      </c>
      <c r="BZ346" s="160"/>
      <c r="CA346" s="157"/>
      <c r="CB346" s="59"/>
      <c r="CC346" s="55"/>
      <c r="CD346" s="55"/>
      <c r="CE346" s="55"/>
      <c r="CF346" s="55"/>
      <c r="CG346" s="55"/>
      <c r="CH346" s="55"/>
      <c r="CI346" s="55"/>
      <c r="CJ346" s="645"/>
      <c r="CK346" s="645"/>
      <c r="CL346" s="645"/>
      <c r="CM346" s="645"/>
      <c r="CN346" s="645"/>
      <c r="CO346" s="645"/>
      <c r="CP346" s="645"/>
      <c r="CQ346" s="645"/>
      <c r="CR346" s="645"/>
      <c r="CS346" s="645"/>
      <c r="CT346" s="645"/>
      <c r="CU346" s="645"/>
      <c r="CV346" s="645"/>
      <c r="CW346" s="645"/>
      <c r="CX346" s="645"/>
      <c r="CY346" s="645"/>
      <c r="CZ346" s="645"/>
      <c r="DA346" s="645"/>
      <c r="DB346" s="645"/>
      <c r="DC346" s="645"/>
      <c r="DD346" s="645"/>
      <c r="DE346" s="645"/>
      <c r="DF346" s="645"/>
      <c r="DG346" s="645"/>
      <c r="DH346" s="645"/>
      <c r="DI346" s="645"/>
      <c r="DJ346" s="645"/>
      <c r="DK346" s="645"/>
      <c r="DL346" s="645"/>
      <c r="DM346" s="645"/>
      <c r="DN346" s="645"/>
      <c r="DO346" s="645"/>
      <c r="DP346" s="645"/>
      <c r="DQ346" s="645"/>
      <c r="DR346" s="645"/>
      <c r="DS346" s="645"/>
      <c r="DT346" s="645"/>
      <c r="DU346" s="645"/>
      <c r="DV346" s="645"/>
      <c r="DW346" s="645"/>
      <c r="DX346" s="645"/>
      <c r="DY346" s="645"/>
      <c r="DZ346" s="645"/>
      <c r="EA346" s="645"/>
      <c r="EB346" s="645"/>
      <c r="EC346" s="645"/>
      <c r="ED346" s="645"/>
      <c r="EE346" s="645"/>
      <c r="EF346" s="645"/>
      <c r="EG346" s="645"/>
      <c r="EH346" s="645"/>
      <c r="EI346" s="645"/>
      <c r="EJ346" s="645"/>
      <c r="EK346" s="645"/>
      <c r="EL346" s="645"/>
      <c r="EM346" s="645"/>
      <c r="EN346" s="645"/>
      <c r="EO346" s="645"/>
      <c r="EP346" s="645"/>
      <c r="EQ346" s="645"/>
      <c r="ER346" s="645"/>
      <c r="ES346" s="645"/>
      <c r="ET346" s="645"/>
      <c r="EU346" s="210"/>
      <c r="EV346" s="210"/>
      <c r="EW346" s="210"/>
      <c r="EX346" s="210"/>
      <c r="EY346" s="210"/>
      <c r="EZ346" s="79"/>
      <c r="FA346" s="79"/>
      <c r="FB346" s="79"/>
      <c r="FC346" s="79"/>
      <c r="FD346" s="79"/>
      <c r="FE346" s="79"/>
      <c r="FF346" s="79"/>
      <c r="FG346" s="79"/>
      <c r="FH346" s="79"/>
      <c r="FI346" s="79"/>
      <c r="FJ346" s="79"/>
      <c r="FK346" s="79"/>
      <c r="FL346" s="79"/>
      <c r="FM346" s="49"/>
      <c r="FN346" s="49"/>
      <c r="FO346" s="49"/>
      <c r="FP346" s="49"/>
      <c r="FQ346" s="49"/>
      <c r="FR346" s="49"/>
      <c r="FS346" s="49"/>
      <c r="FT346" s="49"/>
      <c r="FU346" s="49"/>
      <c r="FV346" s="48"/>
      <c r="FW346" s="48"/>
      <c r="FX346" s="48"/>
      <c r="FY346" s="48"/>
      <c r="FZ346" s="48"/>
      <c r="GA346" s="49"/>
      <c r="GB346" s="49"/>
      <c r="GC346" s="49"/>
      <c r="GD346" s="49"/>
      <c r="GE346" s="49"/>
      <c r="GF346" s="49"/>
      <c r="GG346" s="49"/>
      <c r="GH346" s="49"/>
      <c r="GI346" s="49"/>
      <c r="GJ346" s="49"/>
      <c r="GK346" s="49"/>
      <c r="GL346" s="49"/>
      <c r="GM346" s="49"/>
      <c r="GN346" s="49"/>
      <c r="GO346" s="49"/>
      <c r="GP346" s="49"/>
      <c r="GQ346" s="49"/>
      <c r="GR346" s="49"/>
      <c r="GS346" s="49"/>
      <c r="GT346" s="49"/>
      <c r="GU346" s="49"/>
      <c r="GV346" s="49"/>
      <c r="GW346" s="49"/>
      <c r="GX346" s="49"/>
      <c r="GY346" s="49"/>
      <c r="GZ346" s="49"/>
      <c r="HA346" s="49"/>
      <c r="HB346" s="49"/>
      <c r="HC346" s="49"/>
      <c r="HD346" s="49"/>
      <c r="HE346" s="49"/>
      <c r="HF346" s="49"/>
      <c r="HG346" s="49"/>
      <c r="HH346" s="49"/>
      <c r="HI346" s="49"/>
      <c r="HJ346" s="49"/>
      <c r="HK346" s="49"/>
      <c r="HL346" s="49"/>
      <c r="HM346" s="49"/>
    </row>
    <row r="347" spans="1:221" ht="3.75" customHeight="1">
      <c r="A347" s="1"/>
      <c r="B347" s="3"/>
      <c r="C347" s="3"/>
      <c r="D347" s="12"/>
      <c r="E347" s="197"/>
      <c r="F347" s="197"/>
      <c r="G347" s="39"/>
      <c r="H347" s="39"/>
      <c r="I347" s="39"/>
      <c r="J347" s="39"/>
      <c r="K347" s="197"/>
      <c r="L347" s="45"/>
      <c r="M347" s="197">
        <v>290</v>
      </c>
      <c r="N347" s="197"/>
      <c r="O347" s="197"/>
      <c r="P347" s="197"/>
      <c r="Q347" s="645"/>
      <c r="R347" s="645"/>
      <c r="S347" s="645"/>
      <c r="T347" s="645"/>
      <c r="U347" s="645"/>
      <c r="V347" s="645"/>
      <c r="W347" s="645"/>
      <c r="X347" s="645"/>
      <c r="Y347" s="645"/>
      <c r="Z347" s="126"/>
      <c r="AA347" s="156" t="str">
        <f t="shared" ca="1" si="49"/>
        <v/>
      </c>
      <c r="AB347" s="159" t="e">
        <f t="shared" ref="AB347:BG347" ca="1" si="93">IF(AB585=4,":",IF(AB585=5,"!",IF(AB585=3,",",IF(AB585=2,"^",IF(AND($FO$317&gt;=AB$383,$FS$311&gt;=$M347,$FS$317&lt;$M347),"~",IF(AND($FO$317&gt;=AB$383,$FS$311&lt;$M347,$FS$317&gt;=$M347),"*",IF(OR($FO$317&lt;AB$383,$FS$317&lt;$M347),"","+")))))))</f>
        <v>#DIV/0!</v>
      </c>
      <c r="AC347" s="159" t="e">
        <f t="shared" ca="1" si="93"/>
        <v>#DIV/0!</v>
      </c>
      <c r="AD347" s="159" t="e">
        <f t="shared" ca="1" si="93"/>
        <v>#DIV/0!</v>
      </c>
      <c r="AE347" s="159" t="e">
        <f t="shared" ca="1" si="93"/>
        <v>#DIV/0!</v>
      </c>
      <c r="AF347" s="159" t="e">
        <f t="shared" ca="1" si="93"/>
        <v>#DIV/0!</v>
      </c>
      <c r="AG347" s="159" t="e">
        <f t="shared" ca="1" si="93"/>
        <v>#DIV/0!</v>
      </c>
      <c r="AH347" s="159" t="e">
        <f t="shared" ca="1" si="93"/>
        <v>#DIV/0!</v>
      </c>
      <c r="AI347" s="159" t="e">
        <f t="shared" ca="1" si="93"/>
        <v>#DIV/0!</v>
      </c>
      <c r="AJ347" s="159" t="e">
        <f t="shared" ca="1" si="93"/>
        <v>#DIV/0!</v>
      </c>
      <c r="AK347" s="159" t="e">
        <f t="shared" ca="1" si="93"/>
        <v>#DIV/0!</v>
      </c>
      <c r="AL347" s="159" t="e">
        <f t="shared" ca="1" si="93"/>
        <v>#DIV/0!</v>
      </c>
      <c r="AM347" s="159" t="e">
        <f t="shared" ca="1" si="93"/>
        <v>#DIV/0!</v>
      </c>
      <c r="AN347" s="159" t="e">
        <f t="shared" ca="1" si="93"/>
        <v>#DIV/0!</v>
      </c>
      <c r="AO347" s="159" t="e">
        <f t="shared" ca="1" si="93"/>
        <v>#DIV/0!</v>
      </c>
      <c r="AP347" s="159" t="e">
        <f t="shared" ca="1" si="93"/>
        <v>#DIV/0!</v>
      </c>
      <c r="AQ347" s="159" t="e">
        <f t="shared" ca="1" si="93"/>
        <v>#DIV/0!</v>
      </c>
      <c r="AR347" s="159" t="e">
        <f t="shared" ca="1" si="93"/>
        <v>#DIV/0!</v>
      </c>
      <c r="AS347" s="159" t="e">
        <f t="shared" ca="1" si="93"/>
        <v>#DIV/0!</v>
      </c>
      <c r="AT347" s="159" t="e">
        <f t="shared" ca="1" si="93"/>
        <v>#DIV/0!</v>
      </c>
      <c r="AU347" s="159" t="e">
        <f t="shared" ca="1" si="93"/>
        <v>#DIV/0!</v>
      </c>
      <c r="AV347" s="159" t="e">
        <f t="shared" ca="1" si="93"/>
        <v>#DIV/0!</v>
      </c>
      <c r="AW347" s="159" t="e">
        <f t="shared" ca="1" si="93"/>
        <v>#DIV/0!</v>
      </c>
      <c r="AX347" s="159" t="e">
        <f t="shared" ca="1" si="93"/>
        <v>#DIV/0!</v>
      </c>
      <c r="AY347" s="159" t="e">
        <f t="shared" ca="1" si="93"/>
        <v>#DIV/0!</v>
      </c>
      <c r="AZ347" s="159" t="e">
        <f t="shared" ca="1" si="93"/>
        <v>#DIV/0!</v>
      </c>
      <c r="BA347" s="159" t="e">
        <f t="shared" ca="1" si="93"/>
        <v>#DIV/0!</v>
      </c>
      <c r="BB347" s="159" t="e">
        <f t="shared" ca="1" si="93"/>
        <v>#DIV/0!</v>
      </c>
      <c r="BC347" s="159" t="e">
        <f t="shared" ca="1" si="93"/>
        <v>#DIV/0!</v>
      </c>
      <c r="BD347" s="159" t="e">
        <f t="shared" ca="1" si="93"/>
        <v>#DIV/0!</v>
      </c>
      <c r="BE347" s="159" t="e">
        <f t="shared" ca="1" si="93"/>
        <v>#DIV/0!</v>
      </c>
      <c r="BF347" s="159" t="e">
        <f t="shared" ca="1" si="93"/>
        <v>#DIV/0!</v>
      </c>
      <c r="BG347" s="159" t="e">
        <f t="shared" ca="1" si="93"/>
        <v>#DIV/0!</v>
      </c>
      <c r="BH347" s="159" t="e">
        <f t="shared" ref="BH347:BX347" ca="1" si="94">IF(BH585=4,":",IF(BH585=5,"!",IF(BH585=3,",",IF(BH585=2,"^",IF(AND($FO$317&gt;=BH$383,$FS$311&gt;=$M347,$FS$317&lt;$M347),"~",IF(AND($FO$317&gt;=BH$383,$FS$311&lt;$M347,$FS$317&gt;=$M347),"*",IF(OR($FO$317&lt;BH$383,$FS$317&lt;$M347),"","+")))))))</f>
        <v>#DIV/0!</v>
      </c>
      <c r="BI347" s="159" t="e">
        <f t="shared" ca="1" si="94"/>
        <v>#DIV/0!</v>
      </c>
      <c r="BJ347" s="159" t="e">
        <f t="shared" ca="1" si="94"/>
        <v>#DIV/0!</v>
      </c>
      <c r="BK347" s="159" t="e">
        <f t="shared" ca="1" si="94"/>
        <v>#DIV/0!</v>
      </c>
      <c r="BL347" s="159" t="e">
        <f t="shared" ca="1" si="94"/>
        <v>#DIV/0!</v>
      </c>
      <c r="BM347" s="159" t="e">
        <f t="shared" ca="1" si="94"/>
        <v>#DIV/0!</v>
      </c>
      <c r="BN347" s="159" t="e">
        <f t="shared" ca="1" si="94"/>
        <v>#DIV/0!</v>
      </c>
      <c r="BO347" s="159" t="e">
        <f t="shared" ca="1" si="94"/>
        <v>#DIV/0!</v>
      </c>
      <c r="BP347" s="159" t="e">
        <f t="shared" ca="1" si="94"/>
        <v>#DIV/0!</v>
      </c>
      <c r="BQ347" s="159" t="e">
        <f t="shared" ca="1" si="94"/>
        <v>#DIV/0!</v>
      </c>
      <c r="BR347" s="159" t="e">
        <f t="shared" ca="1" si="94"/>
        <v>#DIV/0!</v>
      </c>
      <c r="BS347" s="159" t="e">
        <f t="shared" ca="1" si="94"/>
        <v>#DIV/0!</v>
      </c>
      <c r="BT347" s="159" t="e">
        <f t="shared" ca="1" si="94"/>
        <v>#DIV/0!</v>
      </c>
      <c r="BU347" s="159" t="e">
        <f t="shared" ca="1" si="94"/>
        <v>#DIV/0!</v>
      </c>
      <c r="BV347" s="159" t="e">
        <f t="shared" ca="1" si="94"/>
        <v>#DIV/0!</v>
      </c>
      <c r="BW347" s="159" t="e">
        <f t="shared" ca="1" si="94"/>
        <v>#DIV/0!</v>
      </c>
      <c r="BX347" s="159" t="e">
        <f t="shared" ca="1" si="94"/>
        <v>#DIV/0!</v>
      </c>
      <c r="BY347" s="159" t="e">
        <f t="shared" ca="1" si="54"/>
        <v>#DIV/0!</v>
      </c>
      <c r="BZ347" s="160"/>
      <c r="CA347" s="157"/>
      <c r="CB347" s="59"/>
      <c r="CC347" s="55"/>
      <c r="CD347" s="55"/>
      <c r="CE347" s="55"/>
      <c r="CF347" s="55"/>
      <c r="CG347" s="55"/>
      <c r="CH347" s="55"/>
      <c r="CI347" s="55"/>
      <c r="CJ347" s="645"/>
      <c r="CK347" s="645"/>
      <c r="CL347" s="645"/>
      <c r="CM347" s="645"/>
      <c r="CN347" s="645"/>
      <c r="CO347" s="645"/>
      <c r="CP347" s="645"/>
      <c r="CQ347" s="645"/>
      <c r="CR347" s="645"/>
      <c r="CS347" s="645"/>
      <c r="CT347" s="645"/>
      <c r="CU347" s="645"/>
      <c r="CV347" s="645"/>
      <c r="CW347" s="645"/>
      <c r="CX347" s="645"/>
      <c r="CY347" s="645"/>
      <c r="CZ347" s="645"/>
      <c r="DA347" s="645"/>
      <c r="DB347" s="645"/>
      <c r="DC347" s="645"/>
      <c r="DD347" s="645"/>
      <c r="DE347" s="645"/>
      <c r="DF347" s="645"/>
      <c r="DG347" s="645"/>
      <c r="DH347" s="645"/>
      <c r="DI347" s="645"/>
      <c r="DJ347" s="645"/>
      <c r="DK347" s="645"/>
      <c r="DL347" s="645"/>
      <c r="DM347" s="645"/>
      <c r="DN347" s="645"/>
      <c r="DO347" s="645"/>
      <c r="DP347" s="645"/>
      <c r="DQ347" s="645"/>
      <c r="DR347" s="645"/>
      <c r="DS347" s="645"/>
      <c r="DT347" s="645"/>
      <c r="DU347" s="645"/>
      <c r="DV347" s="645"/>
      <c r="DW347" s="645"/>
      <c r="DX347" s="645"/>
      <c r="DY347" s="645"/>
      <c r="DZ347" s="645"/>
      <c r="EA347" s="645"/>
      <c r="EB347" s="645"/>
      <c r="EC347" s="645"/>
      <c r="ED347" s="645"/>
      <c r="EE347" s="645"/>
      <c r="EF347" s="645"/>
      <c r="EG347" s="645"/>
      <c r="EH347" s="645"/>
      <c r="EI347" s="645"/>
      <c r="EJ347" s="645"/>
      <c r="EK347" s="645"/>
      <c r="EL347" s="645"/>
      <c r="EM347" s="645"/>
      <c r="EN347" s="645"/>
      <c r="EO347" s="645"/>
      <c r="EP347" s="645"/>
      <c r="EQ347" s="645"/>
      <c r="ER347" s="645"/>
      <c r="ES347" s="645"/>
      <c r="ET347" s="645"/>
      <c r="EU347" s="210"/>
      <c r="EV347" s="210"/>
      <c r="EW347" s="210"/>
      <c r="EX347" s="210"/>
      <c r="EY347" s="210"/>
      <c r="EZ347" s="79"/>
      <c r="FA347" s="79"/>
      <c r="FB347" s="79"/>
      <c r="FC347" s="79"/>
      <c r="FD347" s="79"/>
      <c r="FE347" s="79"/>
      <c r="FF347" s="79"/>
      <c r="FG347" s="79"/>
      <c r="FH347" s="79"/>
      <c r="FI347" s="79"/>
      <c r="FJ347" s="79"/>
      <c r="FK347" s="79"/>
      <c r="FL347" s="79"/>
      <c r="FM347" s="49"/>
      <c r="FN347" s="49"/>
      <c r="FO347" s="49"/>
      <c r="FP347" s="49"/>
      <c r="FQ347" s="49"/>
      <c r="FR347" s="49"/>
      <c r="FS347" s="49"/>
      <c r="FT347" s="49"/>
      <c r="FU347" s="49"/>
      <c r="FV347" s="48"/>
      <c r="FW347" s="48"/>
      <c r="FX347" s="48"/>
      <c r="FY347" s="48"/>
      <c r="FZ347" s="48"/>
      <c r="GA347" s="49"/>
      <c r="GB347" s="49"/>
      <c r="GC347" s="49"/>
      <c r="GD347" s="49"/>
      <c r="GE347" s="49"/>
      <c r="GF347" s="49"/>
      <c r="GG347" s="49"/>
      <c r="GH347" s="49"/>
      <c r="GI347" s="49"/>
      <c r="GJ347" s="49"/>
      <c r="GK347" s="49"/>
      <c r="GL347" s="49"/>
      <c r="GM347" s="49"/>
      <c r="GN347" s="49"/>
      <c r="GO347" s="49"/>
      <c r="GP347" s="49"/>
      <c r="GQ347" s="49"/>
      <c r="GR347" s="49"/>
      <c r="GS347" s="49"/>
      <c r="GT347" s="49"/>
      <c r="GU347" s="49"/>
      <c r="GV347" s="49"/>
      <c r="GW347" s="49"/>
      <c r="GX347" s="49"/>
      <c r="GY347" s="49"/>
      <c r="GZ347" s="49"/>
      <c r="HA347" s="49"/>
      <c r="HB347" s="49"/>
      <c r="HC347" s="49"/>
      <c r="HD347" s="49"/>
      <c r="HE347" s="49"/>
      <c r="HF347" s="49"/>
      <c r="HG347" s="49"/>
      <c r="HH347" s="49"/>
      <c r="HI347" s="49"/>
      <c r="HJ347" s="49"/>
      <c r="HK347" s="49"/>
      <c r="HL347" s="49"/>
      <c r="HM347" s="49"/>
    </row>
    <row r="348" spans="1:221" ht="3.75" customHeight="1">
      <c r="A348" s="1"/>
      <c r="B348" s="3"/>
      <c r="C348" s="3"/>
      <c r="D348" s="12"/>
      <c r="E348" s="197"/>
      <c r="F348" s="197"/>
      <c r="G348" s="39"/>
      <c r="H348" s="39"/>
      <c r="I348" s="39"/>
      <c r="J348" s="39"/>
      <c r="K348" s="197"/>
      <c r="L348" s="197"/>
      <c r="M348" s="197">
        <v>280</v>
      </c>
      <c r="N348" s="197"/>
      <c r="O348" s="197"/>
      <c r="P348" s="197"/>
      <c r="Q348" s="645"/>
      <c r="R348" s="645"/>
      <c r="S348" s="645"/>
      <c r="T348" s="645"/>
      <c r="U348" s="645"/>
      <c r="V348" s="645"/>
      <c r="W348" s="645"/>
      <c r="X348" s="645"/>
      <c r="Y348" s="645"/>
      <c r="Z348" s="126"/>
      <c r="AA348" s="156" t="str">
        <f t="shared" ca="1" si="49"/>
        <v/>
      </c>
      <c r="AB348" s="159" t="e">
        <f t="shared" ref="AB348:BG348" ca="1" si="95">IF(AB586=4,":",IF(AB586=5,"!",IF(AB586=3,",",IF(AB586=2,"^",IF(AND($FO$317&gt;=AB$383,$FS$311&gt;=$M348,$FS$317&lt;$M348),"~",IF(AND($FO$317&gt;=AB$383,$FS$311&lt;$M348,$FS$317&gt;=$M348),"*",IF(OR($FO$317&lt;AB$383,$FS$317&lt;$M348),"","+")))))))</f>
        <v>#DIV/0!</v>
      </c>
      <c r="AC348" s="159" t="e">
        <f t="shared" ca="1" si="95"/>
        <v>#DIV/0!</v>
      </c>
      <c r="AD348" s="159" t="e">
        <f t="shared" ca="1" si="95"/>
        <v>#DIV/0!</v>
      </c>
      <c r="AE348" s="159" t="e">
        <f t="shared" ca="1" si="95"/>
        <v>#DIV/0!</v>
      </c>
      <c r="AF348" s="159" t="e">
        <f t="shared" ca="1" si="95"/>
        <v>#DIV/0!</v>
      </c>
      <c r="AG348" s="159" t="e">
        <f t="shared" ca="1" si="95"/>
        <v>#DIV/0!</v>
      </c>
      <c r="AH348" s="159" t="e">
        <f t="shared" ca="1" si="95"/>
        <v>#DIV/0!</v>
      </c>
      <c r="AI348" s="159" t="e">
        <f t="shared" ca="1" si="95"/>
        <v>#DIV/0!</v>
      </c>
      <c r="AJ348" s="159" t="e">
        <f t="shared" ca="1" si="95"/>
        <v>#DIV/0!</v>
      </c>
      <c r="AK348" s="159" t="e">
        <f t="shared" ca="1" si="95"/>
        <v>#DIV/0!</v>
      </c>
      <c r="AL348" s="159" t="e">
        <f t="shared" ca="1" si="95"/>
        <v>#DIV/0!</v>
      </c>
      <c r="AM348" s="159" t="e">
        <f t="shared" ca="1" si="95"/>
        <v>#DIV/0!</v>
      </c>
      <c r="AN348" s="159" t="e">
        <f t="shared" ca="1" si="95"/>
        <v>#DIV/0!</v>
      </c>
      <c r="AO348" s="159" t="e">
        <f t="shared" ca="1" si="95"/>
        <v>#DIV/0!</v>
      </c>
      <c r="AP348" s="159" t="e">
        <f t="shared" ca="1" si="95"/>
        <v>#DIV/0!</v>
      </c>
      <c r="AQ348" s="159" t="e">
        <f t="shared" ca="1" si="95"/>
        <v>#DIV/0!</v>
      </c>
      <c r="AR348" s="159" t="e">
        <f t="shared" ca="1" si="95"/>
        <v>#DIV/0!</v>
      </c>
      <c r="AS348" s="159" t="e">
        <f t="shared" ca="1" si="95"/>
        <v>#DIV/0!</v>
      </c>
      <c r="AT348" s="159" t="e">
        <f t="shared" ca="1" si="95"/>
        <v>#DIV/0!</v>
      </c>
      <c r="AU348" s="159" t="e">
        <f t="shared" ca="1" si="95"/>
        <v>#DIV/0!</v>
      </c>
      <c r="AV348" s="159" t="e">
        <f t="shared" ca="1" si="95"/>
        <v>#DIV/0!</v>
      </c>
      <c r="AW348" s="159" t="e">
        <f t="shared" ca="1" si="95"/>
        <v>#DIV/0!</v>
      </c>
      <c r="AX348" s="159" t="e">
        <f t="shared" ca="1" si="95"/>
        <v>#DIV/0!</v>
      </c>
      <c r="AY348" s="159" t="e">
        <f t="shared" ca="1" si="95"/>
        <v>#DIV/0!</v>
      </c>
      <c r="AZ348" s="159" t="e">
        <f t="shared" ca="1" si="95"/>
        <v>#DIV/0!</v>
      </c>
      <c r="BA348" s="159" t="e">
        <f t="shared" ca="1" si="95"/>
        <v>#DIV/0!</v>
      </c>
      <c r="BB348" s="159" t="e">
        <f t="shared" ca="1" si="95"/>
        <v>#DIV/0!</v>
      </c>
      <c r="BC348" s="159" t="e">
        <f t="shared" ca="1" si="95"/>
        <v>#DIV/0!</v>
      </c>
      <c r="BD348" s="159" t="e">
        <f t="shared" ca="1" si="95"/>
        <v>#DIV/0!</v>
      </c>
      <c r="BE348" s="159" t="e">
        <f t="shared" ca="1" si="95"/>
        <v>#DIV/0!</v>
      </c>
      <c r="BF348" s="159" t="e">
        <f t="shared" ca="1" si="95"/>
        <v>#DIV/0!</v>
      </c>
      <c r="BG348" s="159" t="e">
        <f t="shared" ca="1" si="95"/>
        <v>#DIV/0!</v>
      </c>
      <c r="BH348" s="159" t="e">
        <f t="shared" ref="BH348:BX348" ca="1" si="96">IF(BH586=4,":",IF(BH586=5,"!",IF(BH586=3,",",IF(BH586=2,"^",IF(AND($FO$317&gt;=BH$383,$FS$311&gt;=$M348,$FS$317&lt;$M348),"~",IF(AND($FO$317&gt;=BH$383,$FS$311&lt;$M348,$FS$317&gt;=$M348),"*",IF(OR($FO$317&lt;BH$383,$FS$317&lt;$M348),"","+")))))))</f>
        <v>#DIV/0!</v>
      </c>
      <c r="BI348" s="159" t="e">
        <f t="shared" ca="1" si="96"/>
        <v>#DIV/0!</v>
      </c>
      <c r="BJ348" s="159" t="e">
        <f t="shared" ca="1" si="96"/>
        <v>#DIV/0!</v>
      </c>
      <c r="BK348" s="159" t="e">
        <f t="shared" ca="1" si="96"/>
        <v>#DIV/0!</v>
      </c>
      <c r="BL348" s="159" t="e">
        <f t="shared" ca="1" si="96"/>
        <v>#DIV/0!</v>
      </c>
      <c r="BM348" s="159" t="e">
        <f t="shared" ca="1" si="96"/>
        <v>#DIV/0!</v>
      </c>
      <c r="BN348" s="159" t="e">
        <f t="shared" ca="1" si="96"/>
        <v>#DIV/0!</v>
      </c>
      <c r="BO348" s="159" t="e">
        <f t="shared" ca="1" si="96"/>
        <v>#DIV/0!</v>
      </c>
      <c r="BP348" s="159" t="e">
        <f t="shared" ca="1" si="96"/>
        <v>#DIV/0!</v>
      </c>
      <c r="BQ348" s="159" t="e">
        <f t="shared" ca="1" si="96"/>
        <v>#DIV/0!</v>
      </c>
      <c r="BR348" s="159" t="e">
        <f t="shared" ca="1" si="96"/>
        <v>#DIV/0!</v>
      </c>
      <c r="BS348" s="159" t="e">
        <f t="shared" ca="1" si="96"/>
        <v>#DIV/0!</v>
      </c>
      <c r="BT348" s="159" t="e">
        <f t="shared" ca="1" si="96"/>
        <v>#DIV/0!</v>
      </c>
      <c r="BU348" s="159" t="e">
        <f t="shared" ca="1" si="96"/>
        <v>#DIV/0!</v>
      </c>
      <c r="BV348" s="159" t="e">
        <f t="shared" ca="1" si="96"/>
        <v>#DIV/0!</v>
      </c>
      <c r="BW348" s="159" t="e">
        <f t="shared" ca="1" si="96"/>
        <v>#DIV/0!</v>
      </c>
      <c r="BX348" s="159" t="e">
        <f t="shared" ca="1" si="96"/>
        <v>#DIV/0!</v>
      </c>
      <c r="BY348" s="159" t="e">
        <f t="shared" ca="1" si="54"/>
        <v>#DIV/0!</v>
      </c>
      <c r="BZ348" s="160"/>
      <c r="CA348" s="157"/>
      <c r="CB348" s="59"/>
      <c r="CC348" s="55"/>
      <c r="CD348" s="55"/>
      <c r="CE348" s="55"/>
      <c r="CF348" s="55"/>
      <c r="CG348" s="55"/>
      <c r="CH348" s="55"/>
      <c r="CI348" s="55"/>
      <c r="CJ348" s="645"/>
      <c r="CK348" s="645"/>
      <c r="CL348" s="645"/>
      <c r="CM348" s="645"/>
      <c r="CN348" s="645"/>
      <c r="CO348" s="645"/>
      <c r="CP348" s="645"/>
      <c r="CQ348" s="645"/>
      <c r="CR348" s="645"/>
      <c r="CS348" s="645"/>
      <c r="CT348" s="645"/>
      <c r="CU348" s="645"/>
      <c r="CV348" s="645"/>
      <c r="CW348" s="645"/>
      <c r="CX348" s="645"/>
      <c r="CY348" s="645"/>
      <c r="CZ348" s="645"/>
      <c r="DA348" s="645"/>
      <c r="DB348" s="645"/>
      <c r="DC348" s="645"/>
      <c r="DD348" s="645"/>
      <c r="DE348" s="645"/>
      <c r="DF348" s="645"/>
      <c r="DG348" s="645"/>
      <c r="DH348" s="645"/>
      <c r="DI348" s="645"/>
      <c r="DJ348" s="645"/>
      <c r="DK348" s="645"/>
      <c r="DL348" s="645"/>
      <c r="DM348" s="645"/>
      <c r="DN348" s="645"/>
      <c r="DO348" s="645"/>
      <c r="DP348" s="645"/>
      <c r="DQ348" s="645"/>
      <c r="DR348" s="645"/>
      <c r="DS348" s="645"/>
      <c r="DT348" s="645"/>
      <c r="DU348" s="645"/>
      <c r="DV348" s="645"/>
      <c r="DW348" s="645"/>
      <c r="DX348" s="645"/>
      <c r="DY348" s="645"/>
      <c r="DZ348" s="645"/>
      <c r="EA348" s="645"/>
      <c r="EB348" s="645"/>
      <c r="EC348" s="645"/>
      <c r="ED348" s="645"/>
      <c r="EE348" s="645"/>
      <c r="EF348" s="645"/>
      <c r="EG348" s="645"/>
      <c r="EH348" s="645"/>
      <c r="EI348" s="645"/>
      <c r="EJ348" s="645"/>
      <c r="EK348" s="645"/>
      <c r="EL348" s="645"/>
      <c r="EM348" s="645"/>
      <c r="EN348" s="645"/>
      <c r="EO348" s="645"/>
      <c r="EP348" s="645"/>
      <c r="EQ348" s="645"/>
      <c r="ER348" s="645"/>
      <c r="ES348" s="645"/>
      <c r="ET348" s="645"/>
      <c r="EU348" s="210"/>
      <c r="EV348" s="210"/>
      <c r="EW348" s="210"/>
      <c r="EX348" s="210"/>
      <c r="EY348" s="210"/>
      <c r="EZ348" s="79"/>
      <c r="FA348" s="79"/>
      <c r="FB348" s="79"/>
      <c r="FC348" s="79"/>
      <c r="FD348" s="79"/>
      <c r="FE348" s="79"/>
      <c r="FF348" s="79"/>
      <c r="FG348" s="79"/>
      <c r="FH348" s="79"/>
      <c r="FI348" s="79"/>
      <c r="FJ348" s="79"/>
      <c r="FK348" s="79"/>
      <c r="FL348" s="79"/>
      <c r="FM348" s="49"/>
      <c r="FN348" s="49"/>
      <c r="FO348" s="49"/>
      <c r="FP348" s="49"/>
      <c r="FQ348" s="49"/>
      <c r="FR348" s="49"/>
      <c r="FS348" s="49"/>
      <c r="FT348" s="49"/>
      <c r="FU348" s="49"/>
      <c r="FV348" s="48"/>
      <c r="FW348" s="48"/>
      <c r="FX348" s="48"/>
      <c r="FY348" s="48"/>
      <c r="FZ348" s="48"/>
      <c r="GA348" s="49"/>
      <c r="GB348" s="49"/>
      <c r="GC348" s="49"/>
      <c r="GD348" s="49"/>
      <c r="GE348" s="49"/>
      <c r="GF348" s="49"/>
      <c r="GG348" s="49"/>
      <c r="GH348" s="49"/>
      <c r="GI348" s="49"/>
      <c r="GJ348" s="49"/>
      <c r="GK348" s="49"/>
      <c r="GL348" s="49"/>
      <c r="GM348" s="49"/>
      <c r="GN348" s="49"/>
      <c r="GO348" s="49"/>
      <c r="GP348" s="49"/>
      <c r="GQ348" s="49"/>
      <c r="GR348" s="49"/>
      <c r="GS348" s="49"/>
      <c r="GT348" s="49"/>
      <c r="GU348" s="49"/>
      <c r="GV348" s="49"/>
      <c r="GW348" s="49"/>
      <c r="GX348" s="49"/>
      <c r="GY348" s="49"/>
      <c r="GZ348" s="49"/>
      <c r="HA348" s="49"/>
      <c r="HB348" s="49"/>
      <c r="HC348" s="49"/>
      <c r="HD348" s="49"/>
      <c r="HE348" s="49"/>
      <c r="HF348" s="49"/>
      <c r="HG348" s="49"/>
      <c r="HH348" s="49"/>
      <c r="HI348" s="49"/>
      <c r="HJ348" s="49"/>
      <c r="HK348" s="49"/>
      <c r="HL348" s="49"/>
      <c r="HM348" s="49"/>
    </row>
    <row r="349" spans="1:221" ht="3.75" customHeight="1">
      <c r="A349" s="1"/>
      <c r="B349" s="3"/>
      <c r="C349" s="3"/>
      <c r="D349" s="12"/>
      <c r="E349" s="197"/>
      <c r="F349" s="197"/>
      <c r="G349" s="39"/>
      <c r="H349" s="39"/>
      <c r="I349" s="39"/>
      <c r="J349" s="39"/>
      <c r="K349" s="197"/>
      <c r="L349" s="197"/>
      <c r="M349" s="197">
        <v>270</v>
      </c>
      <c r="N349" s="197"/>
      <c r="O349" s="197"/>
      <c r="P349" s="197"/>
      <c r="Q349" s="197"/>
      <c r="R349" s="197"/>
      <c r="S349" s="197"/>
      <c r="T349" s="197"/>
      <c r="U349" s="197"/>
      <c r="V349" s="197"/>
      <c r="W349" s="197"/>
      <c r="X349" s="197"/>
      <c r="Y349" s="197"/>
      <c r="Z349" s="126"/>
      <c r="AA349" s="156" t="str">
        <f t="shared" ca="1" si="49"/>
        <v/>
      </c>
      <c r="AB349" s="159" t="e">
        <f t="shared" ref="AB349:BG349" ca="1" si="97">IF(AB587=4,":",IF(AB587=5,"!",IF(AB587=3,",",IF(AB587=2,"^",IF(AND($FO$317&gt;=AB$383,$FS$311&gt;=$M349,$FS$317&lt;$M349),"~",IF(AND($FO$317&gt;=AB$383,$FS$311&lt;$M349,$FS$317&gt;=$M349),"*",IF(OR($FO$317&lt;AB$383,$FS$317&lt;$M349),"","+")))))))</f>
        <v>#DIV/0!</v>
      </c>
      <c r="AC349" s="159" t="e">
        <f t="shared" ca="1" si="97"/>
        <v>#DIV/0!</v>
      </c>
      <c r="AD349" s="159" t="e">
        <f t="shared" ca="1" si="97"/>
        <v>#DIV/0!</v>
      </c>
      <c r="AE349" s="159" t="e">
        <f t="shared" ca="1" si="97"/>
        <v>#DIV/0!</v>
      </c>
      <c r="AF349" s="159" t="e">
        <f t="shared" ca="1" si="97"/>
        <v>#DIV/0!</v>
      </c>
      <c r="AG349" s="159" t="e">
        <f t="shared" ca="1" si="97"/>
        <v>#DIV/0!</v>
      </c>
      <c r="AH349" s="159" t="e">
        <f t="shared" ca="1" si="97"/>
        <v>#DIV/0!</v>
      </c>
      <c r="AI349" s="159" t="e">
        <f t="shared" ca="1" si="97"/>
        <v>#DIV/0!</v>
      </c>
      <c r="AJ349" s="159" t="e">
        <f t="shared" ca="1" si="97"/>
        <v>#DIV/0!</v>
      </c>
      <c r="AK349" s="159" t="e">
        <f t="shared" ca="1" si="97"/>
        <v>#DIV/0!</v>
      </c>
      <c r="AL349" s="159" t="e">
        <f t="shared" ca="1" si="97"/>
        <v>#DIV/0!</v>
      </c>
      <c r="AM349" s="159" t="e">
        <f t="shared" ca="1" si="97"/>
        <v>#DIV/0!</v>
      </c>
      <c r="AN349" s="159" t="e">
        <f t="shared" ca="1" si="97"/>
        <v>#DIV/0!</v>
      </c>
      <c r="AO349" s="159" t="e">
        <f t="shared" ca="1" si="97"/>
        <v>#DIV/0!</v>
      </c>
      <c r="AP349" s="159" t="e">
        <f t="shared" ca="1" si="97"/>
        <v>#DIV/0!</v>
      </c>
      <c r="AQ349" s="159" t="e">
        <f t="shared" ca="1" si="97"/>
        <v>#DIV/0!</v>
      </c>
      <c r="AR349" s="159" t="e">
        <f t="shared" ca="1" si="97"/>
        <v>#DIV/0!</v>
      </c>
      <c r="AS349" s="159" t="e">
        <f t="shared" ca="1" si="97"/>
        <v>#DIV/0!</v>
      </c>
      <c r="AT349" s="159" t="e">
        <f t="shared" ca="1" si="97"/>
        <v>#DIV/0!</v>
      </c>
      <c r="AU349" s="159" t="e">
        <f t="shared" ca="1" si="97"/>
        <v>#DIV/0!</v>
      </c>
      <c r="AV349" s="159" t="e">
        <f t="shared" ca="1" si="97"/>
        <v>#DIV/0!</v>
      </c>
      <c r="AW349" s="159" t="e">
        <f t="shared" ca="1" si="97"/>
        <v>#DIV/0!</v>
      </c>
      <c r="AX349" s="159" t="e">
        <f t="shared" ca="1" si="97"/>
        <v>#DIV/0!</v>
      </c>
      <c r="AY349" s="159" t="e">
        <f t="shared" ca="1" si="97"/>
        <v>#DIV/0!</v>
      </c>
      <c r="AZ349" s="159" t="e">
        <f t="shared" ca="1" si="97"/>
        <v>#DIV/0!</v>
      </c>
      <c r="BA349" s="159" t="e">
        <f t="shared" ca="1" si="97"/>
        <v>#DIV/0!</v>
      </c>
      <c r="BB349" s="159" t="e">
        <f t="shared" ca="1" si="97"/>
        <v>#DIV/0!</v>
      </c>
      <c r="BC349" s="159" t="e">
        <f t="shared" ca="1" si="97"/>
        <v>#DIV/0!</v>
      </c>
      <c r="BD349" s="159" t="e">
        <f t="shared" ca="1" si="97"/>
        <v>#DIV/0!</v>
      </c>
      <c r="BE349" s="159" t="e">
        <f t="shared" ca="1" si="97"/>
        <v>#DIV/0!</v>
      </c>
      <c r="BF349" s="159" t="e">
        <f t="shared" ca="1" si="97"/>
        <v>#DIV/0!</v>
      </c>
      <c r="BG349" s="159" t="e">
        <f t="shared" ca="1" si="97"/>
        <v>#DIV/0!</v>
      </c>
      <c r="BH349" s="159" t="e">
        <f t="shared" ref="BH349:BX349" ca="1" si="98">IF(BH587=4,":",IF(BH587=5,"!",IF(BH587=3,",",IF(BH587=2,"^",IF(AND($FO$317&gt;=BH$383,$FS$311&gt;=$M349,$FS$317&lt;$M349),"~",IF(AND($FO$317&gt;=BH$383,$FS$311&lt;$M349,$FS$317&gt;=$M349),"*",IF(OR($FO$317&lt;BH$383,$FS$317&lt;$M349),"","+")))))))</f>
        <v>#DIV/0!</v>
      </c>
      <c r="BI349" s="159" t="e">
        <f t="shared" ca="1" si="98"/>
        <v>#DIV/0!</v>
      </c>
      <c r="BJ349" s="159" t="e">
        <f t="shared" ca="1" si="98"/>
        <v>#DIV/0!</v>
      </c>
      <c r="BK349" s="159" t="e">
        <f t="shared" ca="1" si="98"/>
        <v>#DIV/0!</v>
      </c>
      <c r="BL349" s="159" t="e">
        <f t="shared" ca="1" si="98"/>
        <v>#DIV/0!</v>
      </c>
      <c r="BM349" s="159" t="e">
        <f t="shared" ca="1" si="98"/>
        <v>#DIV/0!</v>
      </c>
      <c r="BN349" s="159" t="e">
        <f t="shared" ca="1" si="98"/>
        <v>#DIV/0!</v>
      </c>
      <c r="BO349" s="159" t="e">
        <f t="shared" ca="1" si="98"/>
        <v>#DIV/0!</v>
      </c>
      <c r="BP349" s="159" t="e">
        <f t="shared" ca="1" si="98"/>
        <v>#DIV/0!</v>
      </c>
      <c r="BQ349" s="159" t="e">
        <f t="shared" ca="1" si="98"/>
        <v>#DIV/0!</v>
      </c>
      <c r="BR349" s="159" t="e">
        <f t="shared" ca="1" si="98"/>
        <v>#DIV/0!</v>
      </c>
      <c r="BS349" s="159" t="e">
        <f t="shared" ca="1" si="98"/>
        <v>#DIV/0!</v>
      </c>
      <c r="BT349" s="159" t="e">
        <f t="shared" ca="1" si="98"/>
        <v>#DIV/0!</v>
      </c>
      <c r="BU349" s="159" t="e">
        <f t="shared" ca="1" si="98"/>
        <v>#DIV/0!</v>
      </c>
      <c r="BV349" s="159" t="e">
        <f t="shared" ca="1" si="98"/>
        <v>#DIV/0!</v>
      </c>
      <c r="BW349" s="159" t="e">
        <f t="shared" ca="1" si="98"/>
        <v>#DIV/0!</v>
      </c>
      <c r="BX349" s="159" t="e">
        <f t="shared" ca="1" si="98"/>
        <v>#DIV/0!</v>
      </c>
      <c r="BY349" s="159" t="e">
        <f t="shared" ca="1" si="54"/>
        <v>#DIV/0!</v>
      </c>
      <c r="BZ349" s="160"/>
      <c r="CA349" s="157"/>
      <c r="CB349" s="59"/>
      <c r="CC349" s="55"/>
      <c r="CD349" s="55"/>
      <c r="CE349" s="55"/>
      <c r="CF349" s="55"/>
      <c r="CG349" s="55"/>
      <c r="CH349" s="55"/>
      <c r="CI349" s="55"/>
      <c r="CJ349" s="683" t="str">
        <f ca="1">IF(OR(FN312=0,FN305=0,FO317=0),"",IF(AND(FO317&gt;0,(FT311-FT317)*FO317&gt;0),"De totale winst is "&amp;FO317&amp;" x € "&amp;FT311-FT317&amp;" per stuk =  € "&amp;(FT311-FT317)*FO317&amp;" (zie het roze vlak). "&amp;FS308,IF(AND(FO317&gt;0,(FT311-FT317)*FO317&lt;0),"Er wordt dus verlies gemaakt. Dat verlies bedraagt "&amp;FO317&amp;" x € "&amp;FT317-FT311&amp;" per stuk = € "&amp;(FT311-FT317)*-FO317&amp;" (zie het oranje vlak). "&amp;FS308,IF(AND(FO317&gt;0,(FT311-FT317)*FO317=0),"Bij deze afzet is de totale winst € 0 en is dus sprake van een break-even-point.",""))))</f>
        <v/>
      </c>
      <c r="CK349" s="645"/>
      <c r="CL349" s="645"/>
      <c r="CM349" s="645"/>
      <c r="CN349" s="645"/>
      <c r="CO349" s="645"/>
      <c r="CP349" s="645"/>
      <c r="CQ349" s="645"/>
      <c r="CR349" s="645"/>
      <c r="CS349" s="645"/>
      <c r="CT349" s="645"/>
      <c r="CU349" s="645"/>
      <c r="CV349" s="645"/>
      <c r="CW349" s="645"/>
      <c r="CX349" s="645"/>
      <c r="CY349" s="645"/>
      <c r="CZ349" s="645"/>
      <c r="DA349" s="645"/>
      <c r="DB349" s="645"/>
      <c r="DC349" s="645"/>
      <c r="DD349" s="645"/>
      <c r="DE349" s="645"/>
      <c r="DF349" s="645"/>
      <c r="DG349" s="645"/>
      <c r="DH349" s="645"/>
      <c r="DI349" s="645"/>
      <c r="DJ349" s="645"/>
      <c r="DK349" s="645"/>
      <c r="DL349" s="645"/>
      <c r="DM349" s="645"/>
      <c r="DN349" s="645"/>
      <c r="DO349" s="645"/>
      <c r="DP349" s="645"/>
      <c r="DQ349" s="645"/>
      <c r="DR349" s="645"/>
      <c r="DS349" s="645"/>
      <c r="DT349" s="645"/>
      <c r="DU349" s="645"/>
      <c r="DV349" s="645"/>
      <c r="DW349" s="645"/>
      <c r="DX349" s="645"/>
      <c r="DY349" s="645"/>
      <c r="DZ349" s="645"/>
      <c r="EA349" s="645"/>
      <c r="EB349" s="645"/>
      <c r="EC349" s="645"/>
      <c r="ED349" s="645"/>
      <c r="EE349" s="645"/>
      <c r="EF349" s="645"/>
      <c r="EG349" s="645"/>
      <c r="EH349" s="645"/>
      <c r="EI349" s="645"/>
      <c r="EJ349" s="645"/>
      <c r="EK349" s="645"/>
      <c r="EL349" s="645"/>
      <c r="EM349" s="645"/>
      <c r="EN349" s="645"/>
      <c r="EO349" s="645"/>
      <c r="EP349" s="645"/>
      <c r="EQ349" s="645"/>
      <c r="ER349" s="645"/>
      <c r="ES349" s="645"/>
      <c r="ET349" s="645"/>
      <c r="EU349" s="645"/>
      <c r="EV349" s="645"/>
      <c r="EW349" s="210"/>
      <c r="EX349" s="210"/>
      <c r="EY349" s="210"/>
      <c r="EZ349" s="79"/>
      <c r="FA349" s="79"/>
      <c r="FB349" s="79"/>
      <c r="FC349" s="79"/>
      <c r="FD349" s="79"/>
      <c r="FE349" s="79"/>
      <c r="FF349" s="79"/>
      <c r="FG349" s="79"/>
      <c r="FH349" s="79"/>
      <c r="FI349" s="79"/>
      <c r="FJ349" s="79"/>
      <c r="FK349" s="79"/>
      <c r="FL349" s="79"/>
      <c r="FM349" s="49"/>
      <c r="FN349" s="49"/>
      <c r="FO349" s="49"/>
      <c r="FP349" s="49"/>
      <c r="FQ349" s="49"/>
      <c r="FR349" s="49"/>
      <c r="FS349" s="49"/>
      <c r="FT349" s="49"/>
      <c r="FU349" s="49"/>
      <c r="FV349" s="48"/>
      <c r="FW349" s="48"/>
      <c r="FX349" s="48"/>
      <c r="FY349" s="48"/>
      <c r="FZ349" s="48"/>
      <c r="GA349" s="49"/>
      <c r="GB349" s="49"/>
      <c r="GC349" s="49"/>
      <c r="GD349" s="49"/>
      <c r="GE349" s="49"/>
      <c r="GF349" s="49"/>
      <c r="GG349" s="49"/>
      <c r="GH349" s="49"/>
      <c r="GI349" s="49"/>
      <c r="GJ349" s="49"/>
      <c r="GK349" s="49"/>
      <c r="GL349" s="49"/>
      <c r="GM349" s="49"/>
      <c r="GN349" s="49"/>
      <c r="GO349" s="49"/>
      <c r="GP349" s="49"/>
      <c r="GQ349" s="49"/>
      <c r="GR349" s="49"/>
      <c r="GS349" s="49"/>
      <c r="GT349" s="49"/>
      <c r="GU349" s="49"/>
      <c r="GV349" s="49"/>
      <c r="GW349" s="49"/>
      <c r="GX349" s="49"/>
      <c r="GY349" s="49"/>
      <c r="GZ349" s="49"/>
      <c r="HA349" s="49"/>
      <c r="HB349" s="49"/>
      <c r="HC349" s="49"/>
      <c r="HD349" s="49"/>
      <c r="HE349" s="49"/>
      <c r="HF349" s="49"/>
      <c r="HG349" s="49"/>
      <c r="HH349" s="49"/>
      <c r="HI349" s="49"/>
      <c r="HJ349" s="49"/>
      <c r="HK349" s="49"/>
      <c r="HL349" s="49"/>
      <c r="HM349" s="49"/>
    </row>
    <row r="350" spans="1:221" ht="3.75" customHeight="1">
      <c r="A350" s="1"/>
      <c r="B350" s="3"/>
      <c r="C350" s="3"/>
      <c r="D350" s="12"/>
      <c r="E350" s="197"/>
      <c r="F350" s="197"/>
      <c r="G350" s="39"/>
      <c r="H350" s="39"/>
      <c r="I350" s="39"/>
      <c r="J350" s="39"/>
      <c r="K350" s="197"/>
      <c r="L350" s="197"/>
      <c r="M350" s="197">
        <v>260</v>
      </c>
      <c r="N350" s="197"/>
      <c r="O350" s="197"/>
      <c r="P350" s="197"/>
      <c r="Q350" s="197"/>
      <c r="R350" s="197"/>
      <c r="S350" s="197"/>
      <c r="T350" s="197"/>
      <c r="U350" s="197"/>
      <c r="V350" s="197"/>
      <c r="W350" s="197"/>
      <c r="X350" s="197"/>
      <c r="Y350" s="197"/>
      <c r="Z350" s="126"/>
      <c r="AA350" s="156" t="str">
        <f t="shared" ca="1" si="49"/>
        <v/>
      </c>
      <c r="AB350" s="159" t="e">
        <f t="shared" ref="AB350:BG350" ca="1" si="99">IF(AB588=4,":",IF(AB588=5,"!",IF(AB588=3,",",IF(AB588=2,"^",IF(AND($FO$317&gt;=AB$383,$FS$311&gt;=$M350,$FS$317&lt;$M350),"~",IF(AND($FO$317&gt;=AB$383,$FS$311&lt;$M350,$FS$317&gt;=$M350),"*",IF(OR($FO$317&lt;AB$383,$FS$317&lt;$M350),"","+")))))))</f>
        <v>#DIV/0!</v>
      </c>
      <c r="AC350" s="159" t="e">
        <f t="shared" ca="1" si="99"/>
        <v>#DIV/0!</v>
      </c>
      <c r="AD350" s="159" t="e">
        <f t="shared" ca="1" si="99"/>
        <v>#DIV/0!</v>
      </c>
      <c r="AE350" s="159" t="e">
        <f t="shared" ca="1" si="99"/>
        <v>#DIV/0!</v>
      </c>
      <c r="AF350" s="159" t="e">
        <f t="shared" ca="1" si="99"/>
        <v>#DIV/0!</v>
      </c>
      <c r="AG350" s="159" t="e">
        <f t="shared" ca="1" si="99"/>
        <v>#DIV/0!</v>
      </c>
      <c r="AH350" s="159" t="e">
        <f t="shared" ca="1" si="99"/>
        <v>#DIV/0!</v>
      </c>
      <c r="AI350" s="159" t="e">
        <f t="shared" ca="1" si="99"/>
        <v>#DIV/0!</v>
      </c>
      <c r="AJ350" s="159" t="e">
        <f t="shared" ca="1" si="99"/>
        <v>#DIV/0!</v>
      </c>
      <c r="AK350" s="159" t="e">
        <f t="shared" ca="1" si="99"/>
        <v>#DIV/0!</v>
      </c>
      <c r="AL350" s="159" t="e">
        <f t="shared" ca="1" si="99"/>
        <v>#DIV/0!</v>
      </c>
      <c r="AM350" s="159" t="e">
        <f t="shared" ca="1" si="99"/>
        <v>#DIV/0!</v>
      </c>
      <c r="AN350" s="159" t="e">
        <f t="shared" ca="1" si="99"/>
        <v>#DIV/0!</v>
      </c>
      <c r="AO350" s="159" t="e">
        <f t="shared" ca="1" si="99"/>
        <v>#DIV/0!</v>
      </c>
      <c r="AP350" s="159" t="e">
        <f t="shared" ca="1" si="99"/>
        <v>#DIV/0!</v>
      </c>
      <c r="AQ350" s="159" t="e">
        <f t="shared" ca="1" si="99"/>
        <v>#DIV/0!</v>
      </c>
      <c r="AR350" s="159" t="e">
        <f t="shared" ca="1" si="99"/>
        <v>#DIV/0!</v>
      </c>
      <c r="AS350" s="159" t="e">
        <f t="shared" ca="1" si="99"/>
        <v>#DIV/0!</v>
      </c>
      <c r="AT350" s="159" t="e">
        <f t="shared" ca="1" si="99"/>
        <v>#DIV/0!</v>
      </c>
      <c r="AU350" s="159" t="e">
        <f t="shared" ca="1" si="99"/>
        <v>#DIV/0!</v>
      </c>
      <c r="AV350" s="159" t="e">
        <f t="shared" ca="1" si="99"/>
        <v>#DIV/0!</v>
      </c>
      <c r="AW350" s="159" t="e">
        <f t="shared" ca="1" si="99"/>
        <v>#DIV/0!</v>
      </c>
      <c r="AX350" s="159" t="e">
        <f t="shared" ca="1" si="99"/>
        <v>#DIV/0!</v>
      </c>
      <c r="AY350" s="159" t="e">
        <f t="shared" ca="1" si="99"/>
        <v>#DIV/0!</v>
      </c>
      <c r="AZ350" s="159" t="e">
        <f t="shared" ca="1" si="99"/>
        <v>#DIV/0!</v>
      </c>
      <c r="BA350" s="159" t="e">
        <f t="shared" ca="1" si="99"/>
        <v>#DIV/0!</v>
      </c>
      <c r="BB350" s="159" t="e">
        <f t="shared" ca="1" si="99"/>
        <v>#DIV/0!</v>
      </c>
      <c r="BC350" s="159" t="e">
        <f t="shared" ca="1" si="99"/>
        <v>#DIV/0!</v>
      </c>
      <c r="BD350" s="159" t="e">
        <f t="shared" ca="1" si="99"/>
        <v>#DIV/0!</v>
      </c>
      <c r="BE350" s="159" t="e">
        <f t="shared" ca="1" si="99"/>
        <v>#DIV/0!</v>
      </c>
      <c r="BF350" s="159" t="e">
        <f t="shared" ca="1" si="99"/>
        <v>#DIV/0!</v>
      </c>
      <c r="BG350" s="159" t="e">
        <f t="shared" ca="1" si="99"/>
        <v>#DIV/0!</v>
      </c>
      <c r="BH350" s="159" t="e">
        <f t="shared" ref="BH350:BX350" ca="1" si="100">IF(BH588=4,":",IF(BH588=5,"!",IF(BH588=3,",",IF(BH588=2,"^",IF(AND($FO$317&gt;=BH$383,$FS$311&gt;=$M350,$FS$317&lt;$M350),"~",IF(AND($FO$317&gt;=BH$383,$FS$311&lt;$M350,$FS$317&gt;=$M350),"*",IF(OR($FO$317&lt;BH$383,$FS$317&lt;$M350),"","+")))))))</f>
        <v>#DIV/0!</v>
      </c>
      <c r="BI350" s="159" t="e">
        <f t="shared" ca="1" si="100"/>
        <v>#DIV/0!</v>
      </c>
      <c r="BJ350" s="159" t="e">
        <f t="shared" ca="1" si="100"/>
        <v>#DIV/0!</v>
      </c>
      <c r="BK350" s="159" t="e">
        <f t="shared" ca="1" si="100"/>
        <v>#DIV/0!</v>
      </c>
      <c r="BL350" s="159" t="e">
        <f t="shared" ca="1" si="100"/>
        <v>#DIV/0!</v>
      </c>
      <c r="BM350" s="159" t="e">
        <f t="shared" ca="1" si="100"/>
        <v>#DIV/0!</v>
      </c>
      <c r="BN350" s="159" t="e">
        <f t="shared" ca="1" si="100"/>
        <v>#DIV/0!</v>
      </c>
      <c r="BO350" s="159" t="e">
        <f t="shared" ca="1" si="100"/>
        <v>#DIV/0!</v>
      </c>
      <c r="BP350" s="159" t="e">
        <f t="shared" ca="1" si="100"/>
        <v>#DIV/0!</v>
      </c>
      <c r="BQ350" s="159" t="e">
        <f t="shared" ca="1" si="100"/>
        <v>#DIV/0!</v>
      </c>
      <c r="BR350" s="159" t="e">
        <f t="shared" ca="1" si="100"/>
        <v>#DIV/0!</v>
      </c>
      <c r="BS350" s="159" t="e">
        <f t="shared" ca="1" si="100"/>
        <v>#DIV/0!</v>
      </c>
      <c r="BT350" s="159" t="e">
        <f t="shared" ca="1" si="100"/>
        <v>#DIV/0!</v>
      </c>
      <c r="BU350" s="159" t="e">
        <f t="shared" ca="1" si="100"/>
        <v>#DIV/0!</v>
      </c>
      <c r="BV350" s="159" t="e">
        <f t="shared" ca="1" si="100"/>
        <v>#DIV/0!</v>
      </c>
      <c r="BW350" s="159" t="e">
        <f t="shared" ca="1" si="100"/>
        <v>#DIV/0!</v>
      </c>
      <c r="BX350" s="159" t="e">
        <f t="shared" ca="1" si="100"/>
        <v>#DIV/0!</v>
      </c>
      <c r="BY350" s="159" t="e">
        <f t="shared" ca="1" si="54"/>
        <v>#DIV/0!</v>
      </c>
      <c r="BZ350" s="160"/>
      <c r="CA350" s="157"/>
      <c r="CB350" s="59"/>
      <c r="CC350" s="55"/>
      <c r="CD350" s="55"/>
      <c r="CE350" s="55"/>
      <c r="CF350" s="55"/>
      <c r="CG350" s="55"/>
      <c r="CH350" s="55"/>
      <c r="CI350" s="55"/>
      <c r="CJ350" s="645"/>
      <c r="CK350" s="645"/>
      <c r="CL350" s="645"/>
      <c r="CM350" s="645"/>
      <c r="CN350" s="645"/>
      <c r="CO350" s="645"/>
      <c r="CP350" s="645"/>
      <c r="CQ350" s="645"/>
      <c r="CR350" s="645"/>
      <c r="CS350" s="645"/>
      <c r="CT350" s="645"/>
      <c r="CU350" s="645"/>
      <c r="CV350" s="645"/>
      <c r="CW350" s="645"/>
      <c r="CX350" s="645"/>
      <c r="CY350" s="645"/>
      <c r="CZ350" s="645"/>
      <c r="DA350" s="645"/>
      <c r="DB350" s="645"/>
      <c r="DC350" s="645"/>
      <c r="DD350" s="645"/>
      <c r="DE350" s="645"/>
      <c r="DF350" s="645"/>
      <c r="DG350" s="645"/>
      <c r="DH350" s="645"/>
      <c r="DI350" s="645"/>
      <c r="DJ350" s="645"/>
      <c r="DK350" s="645"/>
      <c r="DL350" s="645"/>
      <c r="DM350" s="645"/>
      <c r="DN350" s="645"/>
      <c r="DO350" s="645"/>
      <c r="DP350" s="645"/>
      <c r="DQ350" s="645"/>
      <c r="DR350" s="645"/>
      <c r="DS350" s="645"/>
      <c r="DT350" s="645"/>
      <c r="DU350" s="645"/>
      <c r="DV350" s="645"/>
      <c r="DW350" s="645"/>
      <c r="DX350" s="645"/>
      <c r="DY350" s="645"/>
      <c r="DZ350" s="645"/>
      <c r="EA350" s="645"/>
      <c r="EB350" s="645"/>
      <c r="EC350" s="645"/>
      <c r="ED350" s="645"/>
      <c r="EE350" s="645"/>
      <c r="EF350" s="645"/>
      <c r="EG350" s="645"/>
      <c r="EH350" s="645"/>
      <c r="EI350" s="645"/>
      <c r="EJ350" s="645"/>
      <c r="EK350" s="645"/>
      <c r="EL350" s="645"/>
      <c r="EM350" s="645"/>
      <c r="EN350" s="645"/>
      <c r="EO350" s="645"/>
      <c r="EP350" s="645"/>
      <c r="EQ350" s="645"/>
      <c r="ER350" s="645"/>
      <c r="ES350" s="645"/>
      <c r="ET350" s="645"/>
      <c r="EU350" s="645"/>
      <c r="EV350" s="645"/>
      <c r="EW350" s="210"/>
      <c r="EX350" s="210"/>
      <c r="EY350" s="210"/>
      <c r="EZ350" s="79"/>
      <c r="FA350" s="79"/>
      <c r="FB350" s="79"/>
      <c r="FC350" s="79"/>
      <c r="FD350" s="79"/>
      <c r="FE350" s="79"/>
      <c r="FF350" s="79"/>
      <c r="FG350" s="79"/>
      <c r="FH350" s="79"/>
      <c r="FI350" s="79"/>
      <c r="FJ350" s="79"/>
      <c r="FK350" s="79"/>
      <c r="FL350" s="79"/>
      <c r="FM350" s="49"/>
      <c r="FN350" s="49"/>
      <c r="FO350" s="49"/>
      <c r="FP350" s="49"/>
      <c r="FQ350" s="49"/>
      <c r="FR350" s="49"/>
      <c r="FS350" s="49"/>
      <c r="FT350" s="49"/>
      <c r="FU350" s="49"/>
      <c r="FV350" s="48"/>
      <c r="FW350" s="48"/>
      <c r="FX350" s="48"/>
      <c r="FY350" s="48"/>
      <c r="FZ350" s="48"/>
      <c r="GA350" s="49"/>
      <c r="GB350" s="49"/>
      <c r="GC350" s="49"/>
      <c r="GD350" s="49"/>
      <c r="GE350" s="49"/>
      <c r="GF350" s="49"/>
      <c r="GG350" s="49"/>
      <c r="GH350" s="49"/>
      <c r="GI350" s="49"/>
      <c r="GJ350" s="49"/>
      <c r="GK350" s="49"/>
      <c r="GL350" s="49"/>
      <c r="GM350" s="49"/>
      <c r="GN350" s="49"/>
      <c r="GO350" s="49"/>
      <c r="GP350" s="49"/>
      <c r="GQ350" s="49"/>
      <c r="GR350" s="49"/>
      <c r="GS350" s="49"/>
      <c r="GT350" s="49"/>
      <c r="GU350" s="49"/>
      <c r="GV350" s="49"/>
      <c r="GW350" s="49"/>
      <c r="GX350" s="49"/>
      <c r="GY350" s="49"/>
      <c r="GZ350" s="49"/>
      <c r="HA350" s="49"/>
      <c r="HB350" s="49"/>
      <c r="HC350" s="49"/>
      <c r="HD350" s="49"/>
      <c r="HE350" s="49"/>
      <c r="HF350" s="49"/>
      <c r="HG350" s="49"/>
      <c r="HH350" s="49"/>
      <c r="HI350" s="49"/>
      <c r="HJ350" s="49"/>
      <c r="HK350" s="49"/>
      <c r="HL350" s="49"/>
      <c r="HM350" s="49"/>
    </row>
    <row r="351" spans="1:221" ht="3.75" customHeight="1">
      <c r="A351" s="1"/>
      <c r="B351" s="3"/>
      <c r="C351" s="3"/>
      <c r="D351" s="12"/>
      <c r="E351" s="197"/>
      <c r="F351" s="197"/>
      <c r="G351" s="39"/>
      <c r="H351" s="39"/>
      <c r="I351" s="39"/>
      <c r="J351" s="39"/>
      <c r="K351" s="197"/>
      <c r="L351" s="197"/>
      <c r="M351" s="197">
        <v>250</v>
      </c>
      <c r="N351" s="197"/>
      <c r="O351" s="197"/>
      <c r="P351" s="197"/>
      <c r="Q351" s="197"/>
      <c r="R351" s="197"/>
      <c r="S351" s="197"/>
      <c r="T351" s="197"/>
      <c r="U351" s="197"/>
      <c r="V351" s="197"/>
      <c r="W351" s="197"/>
      <c r="X351" s="197"/>
      <c r="Y351" s="197"/>
      <c r="Z351" s="126"/>
      <c r="AA351" s="156" t="str">
        <f t="shared" ca="1" si="49"/>
        <v/>
      </c>
      <c r="AB351" s="159" t="e">
        <f t="shared" ref="AB351:BG351" ca="1" si="101">IF(AB589=4,":",IF(AB589=5,"!",IF(AB589=3,",",IF(AB589=2,"^",IF(AND($FO$317&gt;=AB$383,$FS$311&gt;=$M351,$FS$317&lt;$M351),"~",IF(AND($FO$317&gt;=AB$383,$FS$311&lt;$M351,$FS$317&gt;=$M351),"*",IF(OR($FO$317&lt;AB$383,$FS$317&lt;$M351),"","+")))))))</f>
        <v>#DIV/0!</v>
      </c>
      <c r="AC351" s="159" t="e">
        <f t="shared" ca="1" si="101"/>
        <v>#DIV/0!</v>
      </c>
      <c r="AD351" s="159" t="e">
        <f t="shared" ca="1" si="101"/>
        <v>#DIV/0!</v>
      </c>
      <c r="AE351" s="159" t="e">
        <f t="shared" ca="1" si="101"/>
        <v>#DIV/0!</v>
      </c>
      <c r="AF351" s="159" t="e">
        <f t="shared" ca="1" si="101"/>
        <v>#DIV/0!</v>
      </c>
      <c r="AG351" s="159" t="e">
        <f t="shared" ca="1" si="101"/>
        <v>#DIV/0!</v>
      </c>
      <c r="AH351" s="159" t="e">
        <f t="shared" ca="1" si="101"/>
        <v>#DIV/0!</v>
      </c>
      <c r="AI351" s="159" t="e">
        <f t="shared" ca="1" si="101"/>
        <v>#DIV/0!</v>
      </c>
      <c r="AJ351" s="159" t="e">
        <f t="shared" ca="1" si="101"/>
        <v>#DIV/0!</v>
      </c>
      <c r="AK351" s="159" t="e">
        <f t="shared" ca="1" si="101"/>
        <v>#DIV/0!</v>
      </c>
      <c r="AL351" s="159" t="e">
        <f t="shared" ca="1" si="101"/>
        <v>#DIV/0!</v>
      </c>
      <c r="AM351" s="159" t="e">
        <f t="shared" ca="1" si="101"/>
        <v>#DIV/0!</v>
      </c>
      <c r="AN351" s="159" t="e">
        <f t="shared" ca="1" si="101"/>
        <v>#DIV/0!</v>
      </c>
      <c r="AO351" s="159" t="e">
        <f t="shared" ca="1" si="101"/>
        <v>#DIV/0!</v>
      </c>
      <c r="AP351" s="159" t="e">
        <f t="shared" ca="1" si="101"/>
        <v>#DIV/0!</v>
      </c>
      <c r="AQ351" s="159" t="e">
        <f t="shared" ca="1" si="101"/>
        <v>#DIV/0!</v>
      </c>
      <c r="AR351" s="159" t="e">
        <f t="shared" ca="1" si="101"/>
        <v>#DIV/0!</v>
      </c>
      <c r="AS351" s="159" t="e">
        <f t="shared" ca="1" si="101"/>
        <v>#DIV/0!</v>
      </c>
      <c r="AT351" s="159" t="e">
        <f t="shared" ca="1" si="101"/>
        <v>#DIV/0!</v>
      </c>
      <c r="AU351" s="159" t="e">
        <f t="shared" ca="1" si="101"/>
        <v>#DIV/0!</v>
      </c>
      <c r="AV351" s="159" t="e">
        <f t="shared" ca="1" si="101"/>
        <v>#DIV/0!</v>
      </c>
      <c r="AW351" s="159" t="e">
        <f t="shared" ca="1" si="101"/>
        <v>#DIV/0!</v>
      </c>
      <c r="AX351" s="159" t="e">
        <f t="shared" ca="1" si="101"/>
        <v>#DIV/0!</v>
      </c>
      <c r="AY351" s="159" t="e">
        <f t="shared" ca="1" si="101"/>
        <v>#DIV/0!</v>
      </c>
      <c r="AZ351" s="159" t="e">
        <f t="shared" ca="1" si="101"/>
        <v>#DIV/0!</v>
      </c>
      <c r="BA351" s="159" t="e">
        <f t="shared" ca="1" si="101"/>
        <v>#DIV/0!</v>
      </c>
      <c r="BB351" s="159" t="e">
        <f t="shared" ca="1" si="101"/>
        <v>#DIV/0!</v>
      </c>
      <c r="BC351" s="159" t="e">
        <f t="shared" ca="1" si="101"/>
        <v>#DIV/0!</v>
      </c>
      <c r="BD351" s="159" t="e">
        <f t="shared" ca="1" si="101"/>
        <v>#DIV/0!</v>
      </c>
      <c r="BE351" s="159" t="e">
        <f t="shared" ca="1" si="101"/>
        <v>#DIV/0!</v>
      </c>
      <c r="BF351" s="159" t="e">
        <f t="shared" ca="1" si="101"/>
        <v>#DIV/0!</v>
      </c>
      <c r="BG351" s="159" t="e">
        <f t="shared" ca="1" si="101"/>
        <v>#DIV/0!</v>
      </c>
      <c r="BH351" s="159" t="e">
        <f t="shared" ref="BH351:BX351" ca="1" si="102">IF(BH589=4,":",IF(BH589=5,"!",IF(BH589=3,",",IF(BH589=2,"^",IF(AND($FO$317&gt;=BH$383,$FS$311&gt;=$M351,$FS$317&lt;$M351),"~",IF(AND($FO$317&gt;=BH$383,$FS$311&lt;$M351,$FS$317&gt;=$M351),"*",IF(OR($FO$317&lt;BH$383,$FS$317&lt;$M351),"","+")))))))</f>
        <v>#DIV/0!</v>
      </c>
      <c r="BI351" s="159" t="e">
        <f t="shared" ca="1" si="102"/>
        <v>#DIV/0!</v>
      </c>
      <c r="BJ351" s="159" t="e">
        <f t="shared" ca="1" si="102"/>
        <v>#DIV/0!</v>
      </c>
      <c r="BK351" s="159" t="e">
        <f t="shared" ca="1" si="102"/>
        <v>#DIV/0!</v>
      </c>
      <c r="BL351" s="159" t="e">
        <f t="shared" ca="1" si="102"/>
        <v>#DIV/0!</v>
      </c>
      <c r="BM351" s="159" t="e">
        <f t="shared" ca="1" si="102"/>
        <v>#DIV/0!</v>
      </c>
      <c r="BN351" s="159" t="e">
        <f t="shared" ca="1" si="102"/>
        <v>#DIV/0!</v>
      </c>
      <c r="BO351" s="159" t="e">
        <f t="shared" ca="1" si="102"/>
        <v>#DIV/0!</v>
      </c>
      <c r="BP351" s="159" t="e">
        <f t="shared" ca="1" si="102"/>
        <v>#DIV/0!</v>
      </c>
      <c r="BQ351" s="159" t="e">
        <f t="shared" ca="1" si="102"/>
        <v>#DIV/0!</v>
      </c>
      <c r="BR351" s="159" t="e">
        <f t="shared" ca="1" si="102"/>
        <v>#DIV/0!</v>
      </c>
      <c r="BS351" s="159" t="e">
        <f t="shared" ca="1" si="102"/>
        <v>#DIV/0!</v>
      </c>
      <c r="BT351" s="159" t="e">
        <f t="shared" ca="1" si="102"/>
        <v>#DIV/0!</v>
      </c>
      <c r="BU351" s="159" t="e">
        <f t="shared" ca="1" si="102"/>
        <v>#DIV/0!</v>
      </c>
      <c r="BV351" s="159" t="e">
        <f t="shared" ca="1" si="102"/>
        <v>#DIV/0!</v>
      </c>
      <c r="BW351" s="159" t="e">
        <f t="shared" ca="1" si="102"/>
        <v>#DIV/0!</v>
      </c>
      <c r="BX351" s="159" t="e">
        <f t="shared" ca="1" si="102"/>
        <v>#DIV/0!</v>
      </c>
      <c r="BY351" s="159" t="e">
        <f t="shared" ca="1" si="54"/>
        <v>#DIV/0!</v>
      </c>
      <c r="BZ351" s="160"/>
      <c r="CA351" s="157"/>
      <c r="CB351" s="59"/>
      <c r="CC351" s="55"/>
      <c r="CD351" s="55"/>
      <c r="CE351" s="55"/>
      <c r="CF351" s="55"/>
      <c r="CG351" s="55"/>
      <c r="CH351" s="55"/>
      <c r="CI351" s="55"/>
      <c r="CJ351" s="645"/>
      <c r="CK351" s="645"/>
      <c r="CL351" s="645"/>
      <c r="CM351" s="645"/>
      <c r="CN351" s="645"/>
      <c r="CO351" s="645"/>
      <c r="CP351" s="645"/>
      <c r="CQ351" s="645"/>
      <c r="CR351" s="645"/>
      <c r="CS351" s="645"/>
      <c r="CT351" s="645"/>
      <c r="CU351" s="645"/>
      <c r="CV351" s="645"/>
      <c r="CW351" s="645"/>
      <c r="CX351" s="645"/>
      <c r="CY351" s="645"/>
      <c r="CZ351" s="645"/>
      <c r="DA351" s="645"/>
      <c r="DB351" s="645"/>
      <c r="DC351" s="645"/>
      <c r="DD351" s="645"/>
      <c r="DE351" s="645"/>
      <c r="DF351" s="645"/>
      <c r="DG351" s="645"/>
      <c r="DH351" s="645"/>
      <c r="DI351" s="645"/>
      <c r="DJ351" s="645"/>
      <c r="DK351" s="645"/>
      <c r="DL351" s="645"/>
      <c r="DM351" s="645"/>
      <c r="DN351" s="645"/>
      <c r="DO351" s="645"/>
      <c r="DP351" s="645"/>
      <c r="DQ351" s="645"/>
      <c r="DR351" s="645"/>
      <c r="DS351" s="645"/>
      <c r="DT351" s="645"/>
      <c r="DU351" s="645"/>
      <c r="DV351" s="645"/>
      <c r="DW351" s="645"/>
      <c r="DX351" s="645"/>
      <c r="DY351" s="645"/>
      <c r="DZ351" s="645"/>
      <c r="EA351" s="645"/>
      <c r="EB351" s="645"/>
      <c r="EC351" s="645"/>
      <c r="ED351" s="645"/>
      <c r="EE351" s="645"/>
      <c r="EF351" s="645"/>
      <c r="EG351" s="645"/>
      <c r="EH351" s="645"/>
      <c r="EI351" s="645"/>
      <c r="EJ351" s="645"/>
      <c r="EK351" s="645"/>
      <c r="EL351" s="645"/>
      <c r="EM351" s="645"/>
      <c r="EN351" s="645"/>
      <c r="EO351" s="645"/>
      <c r="EP351" s="645"/>
      <c r="EQ351" s="645"/>
      <c r="ER351" s="645"/>
      <c r="ES351" s="645"/>
      <c r="ET351" s="645"/>
      <c r="EU351" s="645"/>
      <c r="EV351" s="645"/>
      <c r="EW351" s="210"/>
      <c r="EX351" s="210"/>
      <c r="EY351" s="210"/>
      <c r="EZ351" s="79"/>
      <c r="FA351" s="79"/>
      <c r="FB351" s="79"/>
      <c r="FC351" s="79"/>
      <c r="FD351" s="79"/>
      <c r="FE351" s="79"/>
      <c r="FF351" s="79"/>
      <c r="FG351" s="79"/>
      <c r="FH351" s="79"/>
      <c r="FI351" s="79"/>
      <c r="FJ351" s="79"/>
      <c r="FK351" s="79"/>
      <c r="FL351" s="79"/>
      <c r="FM351" s="49"/>
      <c r="FN351" s="49"/>
      <c r="FO351" s="49"/>
      <c r="FP351" s="49"/>
      <c r="FQ351" s="49"/>
      <c r="FR351" s="49"/>
      <c r="FS351" s="49"/>
      <c r="FT351" s="49"/>
      <c r="FU351" s="49"/>
      <c r="FV351" s="48"/>
      <c r="FW351" s="48"/>
      <c r="FX351" s="48"/>
      <c r="FY351" s="48"/>
      <c r="FZ351" s="48"/>
      <c r="GA351" s="49"/>
      <c r="GB351" s="49"/>
      <c r="GC351" s="49"/>
      <c r="GD351" s="49"/>
      <c r="GE351" s="49"/>
      <c r="GF351" s="49"/>
      <c r="GG351" s="49"/>
      <c r="GH351" s="49"/>
      <c r="GI351" s="49"/>
      <c r="GJ351" s="49"/>
      <c r="GK351" s="49"/>
      <c r="GL351" s="49"/>
      <c r="GM351" s="49"/>
      <c r="GN351" s="49"/>
      <c r="GO351" s="49"/>
      <c r="GP351" s="49"/>
      <c r="GQ351" s="49"/>
      <c r="GR351" s="49"/>
      <c r="GS351" s="49"/>
      <c r="GT351" s="49"/>
      <c r="GU351" s="49"/>
      <c r="GV351" s="49"/>
      <c r="GW351" s="49"/>
      <c r="GX351" s="49"/>
      <c r="GY351" s="49"/>
      <c r="GZ351" s="49"/>
      <c r="HA351" s="49"/>
      <c r="HB351" s="49"/>
      <c r="HC351" s="49"/>
      <c r="HD351" s="49"/>
      <c r="HE351" s="49"/>
      <c r="HF351" s="49"/>
      <c r="HG351" s="49"/>
      <c r="HH351" s="49"/>
      <c r="HI351" s="49"/>
      <c r="HJ351" s="49"/>
      <c r="HK351" s="49"/>
      <c r="HL351" s="49"/>
      <c r="HM351" s="49"/>
    </row>
    <row r="352" spans="1:221" ht="3.75" customHeight="1">
      <c r="A352" s="1"/>
      <c r="B352" s="3"/>
      <c r="C352" s="3"/>
      <c r="D352" s="12"/>
      <c r="E352" s="197"/>
      <c r="F352" s="197"/>
      <c r="G352" s="39"/>
      <c r="H352" s="39"/>
      <c r="I352" s="39"/>
      <c r="J352" s="39"/>
      <c r="K352" s="197"/>
      <c r="L352" s="197"/>
      <c r="M352" s="197">
        <v>240</v>
      </c>
      <c r="N352" s="197"/>
      <c r="O352" s="197"/>
      <c r="P352" s="197"/>
      <c r="Q352" s="197"/>
      <c r="R352" s="197"/>
      <c r="S352" s="197"/>
      <c r="T352" s="197"/>
      <c r="U352" s="197"/>
      <c r="V352" s="197"/>
      <c r="W352" s="197"/>
      <c r="X352" s="197"/>
      <c r="Y352" s="197"/>
      <c r="Z352" s="126"/>
      <c r="AA352" s="156" t="str">
        <f t="shared" ca="1" si="49"/>
        <v/>
      </c>
      <c r="AB352" s="159" t="e">
        <f t="shared" ref="AB352:BG352" ca="1" si="103">IF(AB590=4,":",IF(AB590=5,"!",IF(AB590=3,",",IF(AB590=2,"^",IF(AND($FO$317&gt;=AB$383,$FS$311&gt;=$M352,$FS$317&lt;$M352),"~",IF(AND($FO$317&gt;=AB$383,$FS$311&lt;$M352,$FS$317&gt;=$M352),"*",IF(OR($FO$317&lt;AB$383,$FS$317&lt;$M352),"","+")))))))</f>
        <v>#DIV/0!</v>
      </c>
      <c r="AC352" s="159" t="e">
        <f t="shared" ca="1" si="103"/>
        <v>#DIV/0!</v>
      </c>
      <c r="AD352" s="159" t="e">
        <f t="shared" ca="1" si="103"/>
        <v>#DIV/0!</v>
      </c>
      <c r="AE352" s="159" t="e">
        <f t="shared" ca="1" si="103"/>
        <v>#DIV/0!</v>
      </c>
      <c r="AF352" s="159" t="e">
        <f t="shared" ca="1" si="103"/>
        <v>#DIV/0!</v>
      </c>
      <c r="AG352" s="159" t="e">
        <f t="shared" ca="1" si="103"/>
        <v>#DIV/0!</v>
      </c>
      <c r="AH352" s="159" t="e">
        <f t="shared" ca="1" si="103"/>
        <v>#DIV/0!</v>
      </c>
      <c r="AI352" s="159" t="e">
        <f t="shared" ca="1" si="103"/>
        <v>#DIV/0!</v>
      </c>
      <c r="AJ352" s="159" t="e">
        <f t="shared" ca="1" si="103"/>
        <v>#DIV/0!</v>
      </c>
      <c r="AK352" s="159" t="e">
        <f t="shared" ca="1" si="103"/>
        <v>#DIV/0!</v>
      </c>
      <c r="AL352" s="159" t="e">
        <f t="shared" ca="1" si="103"/>
        <v>#DIV/0!</v>
      </c>
      <c r="AM352" s="159" t="e">
        <f t="shared" ca="1" si="103"/>
        <v>#DIV/0!</v>
      </c>
      <c r="AN352" s="159" t="e">
        <f t="shared" ca="1" si="103"/>
        <v>#DIV/0!</v>
      </c>
      <c r="AO352" s="159" t="e">
        <f t="shared" ca="1" si="103"/>
        <v>#DIV/0!</v>
      </c>
      <c r="AP352" s="159" t="e">
        <f t="shared" ca="1" si="103"/>
        <v>#DIV/0!</v>
      </c>
      <c r="AQ352" s="159" t="e">
        <f t="shared" ca="1" si="103"/>
        <v>#DIV/0!</v>
      </c>
      <c r="AR352" s="159" t="e">
        <f t="shared" ca="1" si="103"/>
        <v>#DIV/0!</v>
      </c>
      <c r="AS352" s="159" t="e">
        <f t="shared" ca="1" si="103"/>
        <v>#DIV/0!</v>
      </c>
      <c r="AT352" s="159" t="e">
        <f t="shared" ca="1" si="103"/>
        <v>#DIV/0!</v>
      </c>
      <c r="AU352" s="159" t="e">
        <f t="shared" ca="1" si="103"/>
        <v>#DIV/0!</v>
      </c>
      <c r="AV352" s="159" t="e">
        <f t="shared" ca="1" si="103"/>
        <v>#DIV/0!</v>
      </c>
      <c r="AW352" s="159" t="e">
        <f t="shared" ca="1" si="103"/>
        <v>#DIV/0!</v>
      </c>
      <c r="AX352" s="159" t="e">
        <f t="shared" ca="1" si="103"/>
        <v>#DIV/0!</v>
      </c>
      <c r="AY352" s="159" t="e">
        <f t="shared" ca="1" si="103"/>
        <v>#DIV/0!</v>
      </c>
      <c r="AZ352" s="159" t="e">
        <f t="shared" ca="1" si="103"/>
        <v>#DIV/0!</v>
      </c>
      <c r="BA352" s="159" t="e">
        <f t="shared" ca="1" si="103"/>
        <v>#DIV/0!</v>
      </c>
      <c r="BB352" s="159" t="e">
        <f t="shared" ca="1" si="103"/>
        <v>#DIV/0!</v>
      </c>
      <c r="BC352" s="159" t="e">
        <f t="shared" ca="1" si="103"/>
        <v>#DIV/0!</v>
      </c>
      <c r="BD352" s="159" t="e">
        <f t="shared" ca="1" si="103"/>
        <v>#DIV/0!</v>
      </c>
      <c r="BE352" s="159" t="e">
        <f t="shared" ca="1" si="103"/>
        <v>#DIV/0!</v>
      </c>
      <c r="BF352" s="159" t="e">
        <f t="shared" ca="1" si="103"/>
        <v>#DIV/0!</v>
      </c>
      <c r="BG352" s="159" t="e">
        <f t="shared" ca="1" si="103"/>
        <v>#DIV/0!</v>
      </c>
      <c r="BH352" s="159" t="e">
        <f t="shared" ref="BH352:BX352" ca="1" si="104">IF(BH590=4,":",IF(BH590=5,"!",IF(BH590=3,",",IF(BH590=2,"^",IF(AND($FO$317&gt;=BH$383,$FS$311&gt;=$M352,$FS$317&lt;$M352),"~",IF(AND($FO$317&gt;=BH$383,$FS$311&lt;$M352,$FS$317&gt;=$M352),"*",IF(OR($FO$317&lt;BH$383,$FS$317&lt;$M352),"","+")))))))</f>
        <v>#DIV/0!</v>
      </c>
      <c r="BI352" s="159" t="e">
        <f t="shared" ca="1" si="104"/>
        <v>#DIV/0!</v>
      </c>
      <c r="BJ352" s="159" t="e">
        <f t="shared" ca="1" si="104"/>
        <v>#DIV/0!</v>
      </c>
      <c r="BK352" s="159" t="e">
        <f t="shared" ca="1" si="104"/>
        <v>#DIV/0!</v>
      </c>
      <c r="BL352" s="159" t="e">
        <f t="shared" ca="1" si="104"/>
        <v>#DIV/0!</v>
      </c>
      <c r="BM352" s="159" t="e">
        <f t="shared" ca="1" si="104"/>
        <v>#DIV/0!</v>
      </c>
      <c r="BN352" s="159" t="e">
        <f t="shared" ca="1" si="104"/>
        <v>#DIV/0!</v>
      </c>
      <c r="BO352" s="159" t="e">
        <f t="shared" ca="1" si="104"/>
        <v>#DIV/0!</v>
      </c>
      <c r="BP352" s="159" t="e">
        <f t="shared" ca="1" si="104"/>
        <v>#DIV/0!</v>
      </c>
      <c r="BQ352" s="159" t="e">
        <f t="shared" ca="1" si="104"/>
        <v>#DIV/0!</v>
      </c>
      <c r="BR352" s="159" t="e">
        <f t="shared" ca="1" si="104"/>
        <v>#DIV/0!</v>
      </c>
      <c r="BS352" s="159" t="e">
        <f t="shared" ca="1" si="104"/>
        <v>#DIV/0!</v>
      </c>
      <c r="BT352" s="159" t="e">
        <f t="shared" ca="1" si="104"/>
        <v>#DIV/0!</v>
      </c>
      <c r="BU352" s="159" t="e">
        <f t="shared" ca="1" si="104"/>
        <v>#DIV/0!</v>
      </c>
      <c r="BV352" s="159" t="e">
        <f t="shared" ca="1" si="104"/>
        <v>#DIV/0!</v>
      </c>
      <c r="BW352" s="159" t="e">
        <f t="shared" ca="1" si="104"/>
        <v>#DIV/0!</v>
      </c>
      <c r="BX352" s="159" t="e">
        <f t="shared" ca="1" si="104"/>
        <v>#DIV/0!</v>
      </c>
      <c r="BY352" s="159" t="e">
        <f t="shared" ca="1" si="54"/>
        <v>#DIV/0!</v>
      </c>
      <c r="BZ352" s="160"/>
      <c r="CA352" s="157"/>
      <c r="CB352" s="59"/>
      <c r="CC352" s="55"/>
      <c r="CD352" s="55"/>
      <c r="CE352" s="55"/>
      <c r="CF352" s="55"/>
      <c r="CG352" s="55"/>
      <c r="CH352" s="55"/>
      <c r="CI352" s="55"/>
      <c r="CJ352" s="645"/>
      <c r="CK352" s="645"/>
      <c r="CL352" s="645"/>
      <c r="CM352" s="645"/>
      <c r="CN352" s="645"/>
      <c r="CO352" s="645"/>
      <c r="CP352" s="645"/>
      <c r="CQ352" s="645"/>
      <c r="CR352" s="645"/>
      <c r="CS352" s="645"/>
      <c r="CT352" s="645"/>
      <c r="CU352" s="645"/>
      <c r="CV352" s="645"/>
      <c r="CW352" s="645"/>
      <c r="CX352" s="645"/>
      <c r="CY352" s="645"/>
      <c r="CZ352" s="645"/>
      <c r="DA352" s="645"/>
      <c r="DB352" s="645"/>
      <c r="DC352" s="645"/>
      <c r="DD352" s="645"/>
      <c r="DE352" s="645"/>
      <c r="DF352" s="645"/>
      <c r="DG352" s="645"/>
      <c r="DH352" s="645"/>
      <c r="DI352" s="645"/>
      <c r="DJ352" s="645"/>
      <c r="DK352" s="645"/>
      <c r="DL352" s="645"/>
      <c r="DM352" s="645"/>
      <c r="DN352" s="645"/>
      <c r="DO352" s="645"/>
      <c r="DP352" s="645"/>
      <c r="DQ352" s="645"/>
      <c r="DR352" s="645"/>
      <c r="DS352" s="645"/>
      <c r="DT352" s="645"/>
      <c r="DU352" s="645"/>
      <c r="DV352" s="645"/>
      <c r="DW352" s="645"/>
      <c r="DX352" s="645"/>
      <c r="DY352" s="645"/>
      <c r="DZ352" s="645"/>
      <c r="EA352" s="645"/>
      <c r="EB352" s="645"/>
      <c r="EC352" s="645"/>
      <c r="ED352" s="645"/>
      <c r="EE352" s="645"/>
      <c r="EF352" s="645"/>
      <c r="EG352" s="645"/>
      <c r="EH352" s="645"/>
      <c r="EI352" s="645"/>
      <c r="EJ352" s="645"/>
      <c r="EK352" s="645"/>
      <c r="EL352" s="645"/>
      <c r="EM352" s="645"/>
      <c r="EN352" s="645"/>
      <c r="EO352" s="645"/>
      <c r="EP352" s="645"/>
      <c r="EQ352" s="645"/>
      <c r="ER352" s="645"/>
      <c r="ES352" s="645"/>
      <c r="ET352" s="645"/>
      <c r="EU352" s="645"/>
      <c r="EV352" s="645"/>
      <c r="EW352" s="210"/>
      <c r="EX352" s="210"/>
      <c r="EY352" s="210"/>
      <c r="EZ352" s="79"/>
      <c r="FA352" s="79"/>
      <c r="FB352" s="79"/>
      <c r="FC352" s="79"/>
      <c r="FD352" s="79"/>
      <c r="FE352" s="79"/>
      <c r="FF352" s="79"/>
      <c r="FG352" s="79"/>
      <c r="FH352" s="79"/>
      <c r="FI352" s="79"/>
      <c r="FJ352" s="79"/>
      <c r="FK352" s="79"/>
      <c r="FL352" s="79"/>
      <c r="FM352" s="49"/>
      <c r="FN352" s="49"/>
      <c r="FO352" s="49"/>
      <c r="FP352" s="49"/>
      <c r="FQ352" s="49"/>
      <c r="FR352" s="49"/>
      <c r="FS352" s="49"/>
      <c r="FT352" s="49"/>
      <c r="FU352" s="49"/>
      <c r="FV352" s="48"/>
      <c r="FW352" s="48"/>
      <c r="FX352" s="48"/>
      <c r="FY352" s="48"/>
      <c r="FZ352" s="48"/>
      <c r="GA352" s="49"/>
      <c r="GB352" s="49"/>
      <c r="GC352" s="49"/>
      <c r="GD352" s="49"/>
      <c r="GE352" s="49"/>
      <c r="GF352" s="49"/>
      <c r="GG352" s="49"/>
      <c r="GH352" s="49"/>
      <c r="GI352" s="49"/>
      <c r="GJ352" s="49"/>
      <c r="GK352" s="49"/>
      <c r="GL352" s="49"/>
      <c r="GM352" s="49"/>
      <c r="GN352" s="49"/>
      <c r="GO352" s="49"/>
      <c r="GP352" s="49"/>
      <c r="GQ352" s="49"/>
      <c r="GR352" s="49"/>
      <c r="GS352" s="49"/>
      <c r="GT352" s="49"/>
      <c r="GU352" s="49"/>
      <c r="GV352" s="49"/>
      <c r="GW352" s="49"/>
      <c r="GX352" s="49"/>
      <c r="GY352" s="49"/>
      <c r="GZ352" s="49"/>
      <c r="HA352" s="49"/>
      <c r="HB352" s="49"/>
      <c r="HC352" s="49"/>
      <c r="HD352" s="49"/>
      <c r="HE352" s="49"/>
      <c r="HF352" s="49"/>
      <c r="HG352" s="49"/>
      <c r="HH352" s="49"/>
      <c r="HI352" s="49"/>
      <c r="HJ352" s="49"/>
      <c r="HK352" s="49"/>
      <c r="HL352" s="49"/>
      <c r="HM352" s="49"/>
    </row>
    <row r="353" spans="1:221" ht="3.75" customHeight="1">
      <c r="A353" s="1"/>
      <c r="B353" s="3"/>
      <c r="C353" s="3"/>
      <c r="D353" s="12"/>
      <c r="E353" s="197"/>
      <c r="F353" s="197"/>
      <c r="G353" s="39"/>
      <c r="H353" s="39"/>
      <c r="I353" s="39"/>
      <c r="J353" s="39"/>
      <c r="K353" s="197"/>
      <c r="L353" s="197"/>
      <c r="M353" s="197">
        <v>230</v>
      </c>
      <c r="N353" s="197"/>
      <c r="O353" s="197"/>
      <c r="P353" s="197"/>
      <c r="Q353" s="679" t="str">
        <f ca="1">IF($FN$305=0,"","€ 20")</f>
        <v/>
      </c>
      <c r="R353" s="645"/>
      <c r="S353" s="645"/>
      <c r="T353" s="645"/>
      <c r="U353" s="645"/>
      <c r="V353" s="645"/>
      <c r="W353" s="645"/>
      <c r="X353" s="645"/>
      <c r="Y353" s="645"/>
      <c r="Z353" s="126"/>
      <c r="AA353" s="156" t="str">
        <f t="shared" ca="1" si="49"/>
        <v/>
      </c>
      <c r="AB353" s="159" t="e">
        <f t="shared" ref="AB353:BG353" ca="1" si="105">IF(AB591=4,":",IF(AB591=5,"!",IF(AB591=3,",",IF(AB591=2,"^",IF(AND($FO$317&gt;=AB$383,$FS$311&gt;=$M353,$FS$317&lt;$M353),"~",IF(AND($FO$317&gt;=AB$383,$FS$311&lt;$M353,$FS$317&gt;=$M353),"*",IF(OR($FO$317&lt;AB$383,$FS$317&lt;$M353),"","+")))))))</f>
        <v>#DIV/0!</v>
      </c>
      <c r="AC353" s="159" t="e">
        <f t="shared" ca="1" si="105"/>
        <v>#DIV/0!</v>
      </c>
      <c r="AD353" s="159" t="e">
        <f t="shared" ca="1" si="105"/>
        <v>#DIV/0!</v>
      </c>
      <c r="AE353" s="159" t="e">
        <f t="shared" ca="1" si="105"/>
        <v>#DIV/0!</v>
      </c>
      <c r="AF353" s="159" t="e">
        <f t="shared" ca="1" si="105"/>
        <v>#DIV/0!</v>
      </c>
      <c r="AG353" s="159" t="e">
        <f t="shared" ca="1" si="105"/>
        <v>#DIV/0!</v>
      </c>
      <c r="AH353" s="159" t="e">
        <f t="shared" ca="1" si="105"/>
        <v>#DIV/0!</v>
      </c>
      <c r="AI353" s="159" t="e">
        <f t="shared" ca="1" si="105"/>
        <v>#DIV/0!</v>
      </c>
      <c r="AJ353" s="159" t="e">
        <f t="shared" ca="1" si="105"/>
        <v>#DIV/0!</v>
      </c>
      <c r="AK353" s="159" t="e">
        <f t="shared" ca="1" si="105"/>
        <v>#DIV/0!</v>
      </c>
      <c r="AL353" s="159" t="e">
        <f t="shared" ca="1" si="105"/>
        <v>#DIV/0!</v>
      </c>
      <c r="AM353" s="159" t="e">
        <f t="shared" ca="1" si="105"/>
        <v>#DIV/0!</v>
      </c>
      <c r="AN353" s="159" t="e">
        <f t="shared" ca="1" si="105"/>
        <v>#DIV/0!</v>
      </c>
      <c r="AO353" s="159" t="e">
        <f t="shared" ca="1" si="105"/>
        <v>#DIV/0!</v>
      </c>
      <c r="AP353" s="159" t="e">
        <f t="shared" ca="1" si="105"/>
        <v>#DIV/0!</v>
      </c>
      <c r="AQ353" s="159" t="e">
        <f t="shared" ca="1" si="105"/>
        <v>#DIV/0!</v>
      </c>
      <c r="AR353" s="159" t="e">
        <f t="shared" ca="1" si="105"/>
        <v>#DIV/0!</v>
      </c>
      <c r="AS353" s="159" t="e">
        <f t="shared" ca="1" si="105"/>
        <v>#DIV/0!</v>
      </c>
      <c r="AT353" s="159" t="e">
        <f t="shared" ca="1" si="105"/>
        <v>#DIV/0!</v>
      </c>
      <c r="AU353" s="159" t="e">
        <f t="shared" ca="1" si="105"/>
        <v>#DIV/0!</v>
      </c>
      <c r="AV353" s="159" t="e">
        <f t="shared" ca="1" si="105"/>
        <v>#DIV/0!</v>
      </c>
      <c r="AW353" s="159" t="e">
        <f t="shared" ca="1" si="105"/>
        <v>#DIV/0!</v>
      </c>
      <c r="AX353" s="159" t="e">
        <f t="shared" ca="1" si="105"/>
        <v>#DIV/0!</v>
      </c>
      <c r="AY353" s="159" t="e">
        <f t="shared" ca="1" si="105"/>
        <v>#DIV/0!</v>
      </c>
      <c r="AZ353" s="159" t="e">
        <f t="shared" ca="1" si="105"/>
        <v>#DIV/0!</v>
      </c>
      <c r="BA353" s="159" t="e">
        <f t="shared" ca="1" si="105"/>
        <v>#DIV/0!</v>
      </c>
      <c r="BB353" s="159" t="e">
        <f t="shared" ca="1" si="105"/>
        <v>#DIV/0!</v>
      </c>
      <c r="BC353" s="159" t="e">
        <f t="shared" ca="1" si="105"/>
        <v>#DIV/0!</v>
      </c>
      <c r="BD353" s="159" t="e">
        <f t="shared" ca="1" si="105"/>
        <v>#DIV/0!</v>
      </c>
      <c r="BE353" s="159" t="e">
        <f t="shared" ca="1" si="105"/>
        <v>#DIV/0!</v>
      </c>
      <c r="BF353" s="159" t="e">
        <f t="shared" ca="1" si="105"/>
        <v>#DIV/0!</v>
      </c>
      <c r="BG353" s="159" t="e">
        <f t="shared" ca="1" si="105"/>
        <v>#DIV/0!</v>
      </c>
      <c r="BH353" s="159" t="e">
        <f t="shared" ref="BH353:BX353" ca="1" si="106">IF(BH591=4,":",IF(BH591=5,"!",IF(BH591=3,",",IF(BH591=2,"^",IF(AND($FO$317&gt;=BH$383,$FS$311&gt;=$M353,$FS$317&lt;$M353),"~",IF(AND($FO$317&gt;=BH$383,$FS$311&lt;$M353,$FS$317&gt;=$M353),"*",IF(OR($FO$317&lt;BH$383,$FS$317&lt;$M353),"","+")))))))</f>
        <v>#DIV/0!</v>
      </c>
      <c r="BI353" s="159" t="e">
        <f t="shared" ca="1" si="106"/>
        <v>#DIV/0!</v>
      </c>
      <c r="BJ353" s="159" t="e">
        <f t="shared" ca="1" si="106"/>
        <v>#DIV/0!</v>
      </c>
      <c r="BK353" s="159" t="e">
        <f t="shared" ca="1" si="106"/>
        <v>#DIV/0!</v>
      </c>
      <c r="BL353" s="159" t="e">
        <f t="shared" ca="1" si="106"/>
        <v>#DIV/0!</v>
      </c>
      <c r="BM353" s="159" t="e">
        <f t="shared" ca="1" si="106"/>
        <v>#DIV/0!</v>
      </c>
      <c r="BN353" s="159" t="e">
        <f t="shared" ca="1" si="106"/>
        <v>#DIV/0!</v>
      </c>
      <c r="BO353" s="159" t="e">
        <f t="shared" ca="1" si="106"/>
        <v>#DIV/0!</v>
      </c>
      <c r="BP353" s="159" t="e">
        <f t="shared" ca="1" si="106"/>
        <v>#DIV/0!</v>
      </c>
      <c r="BQ353" s="159" t="e">
        <f t="shared" ca="1" si="106"/>
        <v>#DIV/0!</v>
      </c>
      <c r="BR353" s="159" t="e">
        <f t="shared" ca="1" si="106"/>
        <v>#DIV/0!</v>
      </c>
      <c r="BS353" s="159" t="e">
        <f t="shared" ca="1" si="106"/>
        <v>#DIV/0!</v>
      </c>
      <c r="BT353" s="159" t="e">
        <f t="shared" ca="1" si="106"/>
        <v>#DIV/0!</v>
      </c>
      <c r="BU353" s="159" t="e">
        <f t="shared" ca="1" si="106"/>
        <v>#DIV/0!</v>
      </c>
      <c r="BV353" s="159" t="e">
        <f t="shared" ca="1" si="106"/>
        <v>#DIV/0!</v>
      </c>
      <c r="BW353" s="159" t="e">
        <f t="shared" ca="1" si="106"/>
        <v>#DIV/0!</v>
      </c>
      <c r="BX353" s="159" t="e">
        <f t="shared" ca="1" si="106"/>
        <v>#DIV/0!</v>
      </c>
      <c r="BY353" s="159" t="e">
        <f t="shared" ca="1" si="54"/>
        <v>#DIV/0!</v>
      </c>
      <c r="BZ353" s="160"/>
      <c r="CA353" s="157"/>
      <c r="CB353" s="58"/>
      <c r="CC353" s="38"/>
      <c r="CD353" s="55"/>
      <c r="CE353" s="55"/>
      <c r="CF353" s="55"/>
      <c r="CG353" s="55"/>
      <c r="CH353" s="55"/>
      <c r="CI353" s="55"/>
      <c r="CJ353" s="645"/>
      <c r="CK353" s="645"/>
      <c r="CL353" s="645"/>
      <c r="CM353" s="645"/>
      <c r="CN353" s="645"/>
      <c r="CO353" s="645"/>
      <c r="CP353" s="645"/>
      <c r="CQ353" s="645"/>
      <c r="CR353" s="645"/>
      <c r="CS353" s="645"/>
      <c r="CT353" s="645"/>
      <c r="CU353" s="645"/>
      <c r="CV353" s="645"/>
      <c r="CW353" s="645"/>
      <c r="CX353" s="645"/>
      <c r="CY353" s="645"/>
      <c r="CZ353" s="645"/>
      <c r="DA353" s="645"/>
      <c r="DB353" s="645"/>
      <c r="DC353" s="645"/>
      <c r="DD353" s="645"/>
      <c r="DE353" s="645"/>
      <c r="DF353" s="645"/>
      <c r="DG353" s="645"/>
      <c r="DH353" s="645"/>
      <c r="DI353" s="645"/>
      <c r="DJ353" s="645"/>
      <c r="DK353" s="645"/>
      <c r="DL353" s="645"/>
      <c r="DM353" s="645"/>
      <c r="DN353" s="645"/>
      <c r="DO353" s="645"/>
      <c r="DP353" s="645"/>
      <c r="DQ353" s="645"/>
      <c r="DR353" s="645"/>
      <c r="DS353" s="645"/>
      <c r="DT353" s="645"/>
      <c r="DU353" s="645"/>
      <c r="DV353" s="645"/>
      <c r="DW353" s="645"/>
      <c r="DX353" s="645"/>
      <c r="DY353" s="645"/>
      <c r="DZ353" s="645"/>
      <c r="EA353" s="645"/>
      <c r="EB353" s="645"/>
      <c r="EC353" s="645"/>
      <c r="ED353" s="645"/>
      <c r="EE353" s="645"/>
      <c r="EF353" s="645"/>
      <c r="EG353" s="645"/>
      <c r="EH353" s="645"/>
      <c r="EI353" s="645"/>
      <c r="EJ353" s="645"/>
      <c r="EK353" s="645"/>
      <c r="EL353" s="645"/>
      <c r="EM353" s="645"/>
      <c r="EN353" s="645"/>
      <c r="EO353" s="645"/>
      <c r="EP353" s="645"/>
      <c r="EQ353" s="645"/>
      <c r="ER353" s="645"/>
      <c r="ES353" s="645"/>
      <c r="ET353" s="645"/>
      <c r="EU353" s="645"/>
      <c r="EV353" s="645"/>
      <c r="EW353" s="210"/>
      <c r="EX353" s="210"/>
      <c r="EY353" s="210"/>
      <c r="EZ353" s="79"/>
      <c r="FA353" s="79"/>
      <c r="FB353" s="79"/>
      <c r="FC353" s="79"/>
      <c r="FD353" s="79"/>
      <c r="FE353" s="79"/>
      <c r="FF353" s="79"/>
      <c r="FG353" s="79"/>
      <c r="FH353" s="79"/>
      <c r="FI353" s="79"/>
      <c r="FJ353" s="79"/>
      <c r="FK353" s="79"/>
      <c r="FL353" s="79"/>
      <c r="FM353" s="49"/>
      <c r="FN353" s="49"/>
      <c r="FO353" s="49"/>
      <c r="FP353" s="49"/>
      <c r="FQ353" s="49"/>
      <c r="FR353" s="49"/>
      <c r="FS353" s="49"/>
      <c r="FT353" s="49"/>
      <c r="FU353" s="49"/>
      <c r="FV353" s="48"/>
      <c r="FW353" s="48"/>
      <c r="FX353" s="48"/>
      <c r="FY353" s="48"/>
      <c r="FZ353" s="48"/>
      <c r="GA353" s="49"/>
      <c r="GB353" s="49"/>
      <c r="GC353" s="49"/>
      <c r="GD353" s="49"/>
      <c r="GE353" s="49"/>
      <c r="GF353" s="49"/>
      <c r="GG353" s="49"/>
      <c r="GH353" s="49"/>
      <c r="GI353" s="49"/>
      <c r="GJ353" s="49"/>
      <c r="GK353" s="49"/>
      <c r="GL353" s="49"/>
      <c r="GM353" s="49"/>
      <c r="GN353" s="49"/>
      <c r="GO353" s="49"/>
      <c r="GP353" s="49"/>
      <c r="GQ353" s="49"/>
      <c r="GR353" s="49"/>
      <c r="GS353" s="49"/>
      <c r="GT353" s="49"/>
      <c r="GU353" s="49"/>
      <c r="GV353" s="49"/>
      <c r="GW353" s="49"/>
      <c r="GX353" s="49"/>
      <c r="GY353" s="49"/>
      <c r="GZ353" s="49"/>
      <c r="HA353" s="49"/>
      <c r="HB353" s="49"/>
      <c r="HC353" s="49"/>
      <c r="HD353" s="49"/>
      <c r="HE353" s="49"/>
      <c r="HF353" s="49"/>
      <c r="HG353" s="49"/>
      <c r="HH353" s="49"/>
      <c r="HI353" s="49"/>
      <c r="HJ353" s="49"/>
      <c r="HK353" s="49"/>
      <c r="HL353" s="49"/>
      <c r="HM353" s="49"/>
    </row>
    <row r="354" spans="1:221" ht="3.75" customHeight="1">
      <c r="A354" s="1"/>
      <c r="B354" s="3"/>
      <c r="C354" s="3"/>
      <c r="D354" s="12"/>
      <c r="E354" s="197"/>
      <c r="F354" s="197"/>
      <c r="G354" s="39"/>
      <c r="H354" s="39"/>
      <c r="I354" s="39"/>
      <c r="J354" s="39"/>
      <c r="K354" s="197"/>
      <c r="L354" s="197"/>
      <c r="M354" s="197">
        <v>220</v>
      </c>
      <c r="N354" s="197"/>
      <c r="O354" s="197"/>
      <c r="P354" s="197"/>
      <c r="Q354" s="645"/>
      <c r="R354" s="645"/>
      <c r="S354" s="645"/>
      <c r="T354" s="645"/>
      <c r="U354" s="645"/>
      <c r="V354" s="645"/>
      <c r="W354" s="645"/>
      <c r="X354" s="645"/>
      <c r="Y354" s="645"/>
      <c r="Z354" s="126"/>
      <c r="AA354" s="156" t="str">
        <f t="shared" ca="1" si="49"/>
        <v/>
      </c>
      <c r="AB354" s="159" t="e">
        <f t="shared" ref="AB354:BG354" ca="1" si="107">IF(AB592=4,":",IF(AB592=5,"!",IF(AB592=3,",",IF(AB592=2,"^",IF(AND($FO$317&gt;=AB$383,$FS$311&gt;=$M354,$FS$317&lt;$M354),"~",IF(AND($FO$317&gt;=AB$383,$FS$311&lt;$M354,$FS$317&gt;=$M354),"*",IF(OR($FO$317&lt;AB$383,$FS$317&lt;$M354),"","+")))))))</f>
        <v>#DIV/0!</v>
      </c>
      <c r="AC354" s="159" t="e">
        <f t="shared" ca="1" si="107"/>
        <v>#DIV/0!</v>
      </c>
      <c r="AD354" s="159" t="e">
        <f t="shared" ca="1" si="107"/>
        <v>#DIV/0!</v>
      </c>
      <c r="AE354" s="159" t="e">
        <f t="shared" ca="1" si="107"/>
        <v>#DIV/0!</v>
      </c>
      <c r="AF354" s="159" t="e">
        <f t="shared" ca="1" si="107"/>
        <v>#DIV/0!</v>
      </c>
      <c r="AG354" s="159" t="e">
        <f t="shared" ca="1" si="107"/>
        <v>#DIV/0!</v>
      </c>
      <c r="AH354" s="159" t="e">
        <f t="shared" ca="1" si="107"/>
        <v>#DIV/0!</v>
      </c>
      <c r="AI354" s="159" t="e">
        <f t="shared" ca="1" si="107"/>
        <v>#DIV/0!</v>
      </c>
      <c r="AJ354" s="159" t="e">
        <f t="shared" ca="1" si="107"/>
        <v>#DIV/0!</v>
      </c>
      <c r="AK354" s="159" t="e">
        <f t="shared" ca="1" si="107"/>
        <v>#DIV/0!</v>
      </c>
      <c r="AL354" s="159" t="e">
        <f t="shared" ca="1" si="107"/>
        <v>#DIV/0!</v>
      </c>
      <c r="AM354" s="159" t="e">
        <f t="shared" ca="1" si="107"/>
        <v>#DIV/0!</v>
      </c>
      <c r="AN354" s="159" t="e">
        <f t="shared" ca="1" si="107"/>
        <v>#DIV/0!</v>
      </c>
      <c r="AO354" s="159" t="e">
        <f t="shared" ca="1" si="107"/>
        <v>#DIV/0!</v>
      </c>
      <c r="AP354" s="159" t="e">
        <f t="shared" ca="1" si="107"/>
        <v>#DIV/0!</v>
      </c>
      <c r="AQ354" s="159" t="e">
        <f t="shared" ca="1" si="107"/>
        <v>#DIV/0!</v>
      </c>
      <c r="AR354" s="159" t="e">
        <f t="shared" ca="1" si="107"/>
        <v>#DIV/0!</v>
      </c>
      <c r="AS354" s="159" t="e">
        <f t="shared" ca="1" si="107"/>
        <v>#DIV/0!</v>
      </c>
      <c r="AT354" s="159" t="e">
        <f t="shared" ca="1" si="107"/>
        <v>#DIV/0!</v>
      </c>
      <c r="AU354" s="159" t="e">
        <f t="shared" ca="1" si="107"/>
        <v>#DIV/0!</v>
      </c>
      <c r="AV354" s="159" t="e">
        <f t="shared" ca="1" si="107"/>
        <v>#DIV/0!</v>
      </c>
      <c r="AW354" s="159" t="e">
        <f t="shared" ca="1" si="107"/>
        <v>#DIV/0!</v>
      </c>
      <c r="AX354" s="159" t="e">
        <f t="shared" ca="1" si="107"/>
        <v>#DIV/0!</v>
      </c>
      <c r="AY354" s="159" t="e">
        <f t="shared" ca="1" si="107"/>
        <v>#DIV/0!</v>
      </c>
      <c r="AZ354" s="159" t="e">
        <f t="shared" ca="1" si="107"/>
        <v>#DIV/0!</v>
      </c>
      <c r="BA354" s="159" t="e">
        <f t="shared" ca="1" si="107"/>
        <v>#DIV/0!</v>
      </c>
      <c r="BB354" s="159" t="e">
        <f t="shared" ca="1" si="107"/>
        <v>#DIV/0!</v>
      </c>
      <c r="BC354" s="159" t="e">
        <f t="shared" ca="1" si="107"/>
        <v>#DIV/0!</v>
      </c>
      <c r="BD354" s="159" t="e">
        <f t="shared" ca="1" si="107"/>
        <v>#DIV/0!</v>
      </c>
      <c r="BE354" s="159" t="e">
        <f t="shared" ca="1" si="107"/>
        <v>#DIV/0!</v>
      </c>
      <c r="BF354" s="159" t="e">
        <f t="shared" ca="1" si="107"/>
        <v>#DIV/0!</v>
      </c>
      <c r="BG354" s="159" t="e">
        <f t="shared" ca="1" si="107"/>
        <v>#DIV/0!</v>
      </c>
      <c r="BH354" s="159" t="e">
        <f t="shared" ref="BH354:BX354" ca="1" si="108">IF(BH592=4,":",IF(BH592=5,"!",IF(BH592=3,",",IF(BH592=2,"^",IF(AND($FO$317&gt;=BH$383,$FS$311&gt;=$M354,$FS$317&lt;$M354),"~",IF(AND($FO$317&gt;=BH$383,$FS$311&lt;$M354,$FS$317&gt;=$M354),"*",IF(OR($FO$317&lt;BH$383,$FS$317&lt;$M354),"","+")))))))</f>
        <v>#DIV/0!</v>
      </c>
      <c r="BI354" s="159" t="e">
        <f t="shared" ca="1" si="108"/>
        <v>#DIV/0!</v>
      </c>
      <c r="BJ354" s="159" t="e">
        <f t="shared" ca="1" si="108"/>
        <v>#DIV/0!</v>
      </c>
      <c r="BK354" s="159" t="e">
        <f t="shared" ca="1" si="108"/>
        <v>#DIV/0!</v>
      </c>
      <c r="BL354" s="159" t="e">
        <f t="shared" ca="1" si="108"/>
        <v>#DIV/0!</v>
      </c>
      <c r="BM354" s="159" t="e">
        <f t="shared" ca="1" si="108"/>
        <v>#DIV/0!</v>
      </c>
      <c r="BN354" s="159" t="e">
        <f t="shared" ca="1" si="108"/>
        <v>#DIV/0!</v>
      </c>
      <c r="BO354" s="159" t="e">
        <f t="shared" ca="1" si="108"/>
        <v>#DIV/0!</v>
      </c>
      <c r="BP354" s="159" t="e">
        <f t="shared" ca="1" si="108"/>
        <v>#DIV/0!</v>
      </c>
      <c r="BQ354" s="159" t="e">
        <f t="shared" ca="1" si="108"/>
        <v>#DIV/0!</v>
      </c>
      <c r="BR354" s="159" t="e">
        <f t="shared" ca="1" si="108"/>
        <v>#DIV/0!</v>
      </c>
      <c r="BS354" s="159" t="e">
        <f t="shared" ca="1" si="108"/>
        <v>#DIV/0!</v>
      </c>
      <c r="BT354" s="159" t="e">
        <f t="shared" ca="1" si="108"/>
        <v>#DIV/0!</v>
      </c>
      <c r="BU354" s="159" t="e">
        <f t="shared" ca="1" si="108"/>
        <v>#DIV/0!</v>
      </c>
      <c r="BV354" s="159" t="e">
        <f t="shared" ca="1" si="108"/>
        <v>#DIV/0!</v>
      </c>
      <c r="BW354" s="159" t="e">
        <f t="shared" ca="1" si="108"/>
        <v>#DIV/0!</v>
      </c>
      <c r="BX354" s="159" t="e">
        <f t="shared" ca="1" si="108"/>
        <v>#DIV/0!</v>
      </c>
      <c r="BY354" s="159" t="e">
        <f t="shared" ca="1" si="54"/>
        <v>#DIV/0!</v>
      </c>
      <c r="BZ354" s="160"/>
      <c r="CA354" s="157"/>
      <c r="CB354" s="58"/>
      <c r="CC354" s="38"/>
      <c r="CD354" s="55"/>
      <c r="CE354" s="55"/>
      <c r="CF354" s="55"/>
      <c r="CG354" s="55"/>
      <c r="CH354" s="55"/>
      <c r="CI354" s="55"/>
      <c r="CJ354" s="645"/>
      <c r="CK354" s="645"/>
      <c r="CL354" s="645"/>
      <c r="CM354" s="645"/>
      <c r="CN354" s="645"/>
      <c r="CO354" s="645"/>
      <c r="CP354" s="645"/>
      <c r="CQ354" s="645"/>
      <c r="CR354" s="645"/>
      <c r="CS354" s="645"/>
      <c r="CT354" s="645"/>
      <c r="CU354" s="645"/>
      <c r="CV354" s="645"/>
      <c r="CW354" s="645"/>
      <c r="CX354" s="645"/>
      <c r="CY354" s="645"/>
      <c r="CZ354" s="645"/>
      <c r="DA354" s="645"/>
      <c r="DB354" s="645"/>
      <c r="DC354" s="645"/>
      <c r="DD354" s="645"/>
      <c r="DE354" s="645"/>
      <c r="DF354" s="645"/>
      <c r="DG354" s="645"/>
      <c r="DH354" s="645"/>
      <c r="DI354" s="645"/>
      <c r="DJ354" s="645"/>
      <c r="DK354" s="645"/>
      <c r="DL354" s="645"/>
      <c r="DM354" s="645"/>
      <c r="DN354" s="645"/>
      <c r="DO354" s="645"/>
      <c r="DP354" s="645"/>
      <c r="DQ354" s="645"/>
      <c r="DR354" s="645"/>
      <c r="DS354" s="645"/>
      <c r="DT354" s="645"/>
      <c r="DU354" s="645"/>
      <c r="DV354" s="645"/>
      <c r="DW354" s="645"/>
      <c r="DX354" s="645"/>
      <c r="DY354" s="645"/>
      <c r="DZ354" s="645"/>
      <c r="EA354" s="645"/>
      <c r="EB354" s="645"/>
      <c r="EC354" s="645"/>
      <c r="ED354" s="645"/>
      <c r="EE354" s="645"/>
      <c r="EF354" s="645"/>
      <c r="EG354" s="645"/>
      <c r="EH354" s="645"/>
      <c r="EI354" s="645"/>
      <c r="EJ354" s="645"/>
      <c r="EK354" s="645"/>
      <c r="EL354" s="645"/>
      <c r="EM354" s="645"/>
      <c r="EN354" s="645"/>
      <c r="EO354" s="645"/>
      <c r="EP354" s="645"/>
      <c r="EQ354" s="645"/>
      <c r="ER354" s="645"/>
      <c r="ES354" s="645"/>
      <c r="ET354" s="645"/>
      <c r="EU354" s="645"/>
      <c r="EV354" s="645"/>
      <c r="EW354" s="210"/>
      <c r="EX354" s="210"/>
      <c r="EY354" s="210"/>
      <c r="EZ354" s="79"/>
      <c r="FA354" s="79"/>
      <c r="FB354" s="79"/>
      <c r="FC354" s="79"/>
      <c r="FD354" s="79"/>
      <c r="FE354" s="79"/>
      <c r="FF354" s="79"/>
      <c r="FG354" s="79"/>
      <c r="FH354" s="79"/>
      <c r="FI354" s="79"/>
      <c r="FJ354" s="79"/>
      <c r="FK354" s="79"/>
      <c r="FL354" s="79"/>
      <c r="FM354" s="49"/>
      <c r="FN354" s="49"/>
      <c r="FO354" s="49"/>
      <c r="FP354" s="49"/>
      <c r="FQ354" s="49"/>
      <c r="FR354" s="49"/>
      <c r="FS354" s="49"/>
      <c r="FT354" s="49"/>
      <c r="FU354" s="49"/>
      <c r="FV354" s="48"/>
      <c r="FW354" s="48"/>
      <c r="FX354" s="48"/>
      <c r="FY354" s="48"/>
      <c r="FZ354" s="48"/>
      <c r="GA354" s="49"/>
      <c r="GB354" s="49"/>
      <c r="GC354" s="49"/>
      <c r="GD354" s="49"/>
      <c r="GE354" s="49"/>
      <c r="GF354" s="49"/>
      <c r="GG354" s="49"/>
      <c r="GH354" s="49"/>
      <c r="GI354" s="49"/>
      <c r="GJ354" s="49"/>
      <c r="GK354" s="49"/>
      <c r="GL354" s="49"/>
      <c r="GM354" s="49"/>
      <c r="GN354" s="49"/>
      <c r="GO354" s="49"/>
      <c r="GP354" s="49"/>
      <c r="GQ354" s="49"/>
      <c r="GR354" s="49"/>
      <c r="GS354" s="49"/>
      <c r="GT354" s="49"/>
      <c r="GU354" s="49"/>
      <c r="GV354" s="49"/>
      <c r="GW354" s="49"/>
      <c r="GX354" s="49"/>
      <c r="GY354" s="49"/>
      <c r="GZ354" s="49"/>
      <c r="HA354" s="49"/>
      <c r="HB354" s="49"/>
      <c r="HC354" s="49"/>
      <c r="HD354" s="49"/>
      <c r="HE354" s="49"/>
      <c r="HF354" s="49"/>
      <c r="HG354" s="49"/>
      <c r="HH354" s="49"/>
      <c r="HI354" s="49"/>
      <c r="HJ354" s="49"/>
      <c r="HK354" s="49"/>
      <c r="HL354" s="49"/>
      <c r="HM354" s="49"/>
    </row>
    <row r="355" spans="1:221" ht="3.75" customHeight="1" thickBot="1">
      <c r="A355" s="1"/>
      <c r="B355" s="3"/>
      <c r="C355" s="3"/>
      <c r="D355" s="12"/>
      <c r="E355" s="197"/>
      <c r="F355" s="197"/>
      <c r="G355" s="39"/>
      <c r="H355" s="39"/>
      <c r="I355" s="39"/>
      <c r="J355" s="39"/>
      <c r="K355" s="197"/>
      <c r="L355" s="197"/>
      <c r="M355" s="197">
        <v>210</v>
      </c>
      <c r="N355" s="197"/>
      <c r="O355" s="197"/>
      <c r="P355" s="197"/>
      <c r="Q355" s="645"/>
      <c r="R355" s="645"/>
      <c r="S355" s="645"/>
      <c r="T355" s="645"/>
      <c r="U355" s="645"/>
      <c r="V355" s="645"/>
      <c r="W355" s="645"/>
      <c r="X355" s="645"/>
      <c r="Y355" s="645"/>
      <c r="Z355" s="161"/>
      <c r="AA355" s="156" t="str">
        <f t="shared" ca="1" si="49"/>
        <v/>
      </c>
      <c r="AB355" s="159" t="e">
        <f t="shared" ref="AB355:BG355" ca="1" si="109">IF(AB593=4,":",IF(AB593=5,"!",IF(AB593=3,",",IF(AB593=2,"^",IF(AND($FO$317&gt;=AB$383,$FS$311&gt;=$M355,$FS$317&lt;$M355),"~",IF(AND($FO$317&gt;=AB$383,$FS$311&lt;$M355,$FS$317&gt;=$M355),"*",IF(OR($FO$317&lt;AB$383,$FS$317&lt;$M355),"","+")))))))</f>
        <v>#DIV/0!</v>
      </c>
      <c r="AC355" s="159" t="e">
        <f t="shared" ca="1" si="109"/>
        <v>#DIV/0!</v>
      </c>
      <c r="AD355" s="159" t="e">
        <f t="shared" ca="1" si="109"/>
        <v>#DIV/0!</v>
      </c>
      <c r="AE355" s="159" t="e">
        <f t="shared" ca="1" si="109"/>
        <v>#DIV/0!</v>
      </c>
      <c r="AF355" s="159" t="e">
        <f t="shared" ca="1" si="109"/>
        <v>#DIV/0!</v>
      </c>
      <c r="AG355" s="159" t="e">
        <f t="shared" ca="1" si="109"/>
        <v>#DIV/0!</v>
      </c>
      <c r="AH355" s="159" t="e">
        <f t="shared" ca="1" si="109"/>
        <v>#DIV/0!</v>
      </c>
      <c r="AI355" s="159" t="e">
        <f t="shared" ca="1" si="109"/>
        <v>#DIV/0!</v>
      </c>
      <c r="AJ355" s="159" t="e">
        <f t="shared" ca="1" si="109"/>
        <v>#DIV/0!</v>
      </c>
      <c r="AK355" s="159" t="e">
        <f t="shared" ca="1" si="109"/>
        <v>#DIV/0!</v>
      </c>
      <c r="AL355" s="159" t="e">
        <f t="shared" ca="1" si="109"/>
        <v>#DIV/0!</v>
      </c>
      <c r="AM355" s="159" t="e">
        <f t="shared" ca="1" si="109"/>
        <v>#DIV/0!</v>
      </c>
      <c r="AN355" s="159" t="e">
        <f t="shared" ca="1" si="109"/>
        <v>#DIV/0!</v>
      </c>
      <c r="AO355" s="159" t="e">
        <f t="shared" ca="1" si="109"/>
        <v>#DIV/0!</v>
      </c>
      <c r="AP355" s="159" t="e">
        <f t="shared" ca="1" si="109"/>
        <v>#DIV/0!</v>
      </c>
      <c r="AQ355" s="159" t="e">
        <f t="shared" ca="1" si="109"/>
        <v>#DIV/0!</v>
      </c>
      <c r="AR355" s="159" t="e">
        <f t="shared" ca="1" si="109"/>
        <v>#DIV/0!</v>
      </c>
      <c r="AS355" s="159" t="e">
        <f t="shared" ca="1" si="109"/>
        <v>#DIV/0!</v>
      </c>
      <c r="AT355" s="159" t="e">
        <f t="shared" ca="1" si="109"/>
        <v>#DIV/0!</v>
      </c>
      <c r="AU355" s="159" t="e">
        <f t="shared" ca="1" si="109"/>
        <v>#DIV/0!</v>
      </c>
      <c r="AV355" s="159" t="e">
        <f t="shared" ca="1" si="109"/>
        <v>#DIV/0!</v>
      </c>
      <c r="AW355" s="159" t="e">
        <f t="shared" ca="1" si="109"/>
        <v>#DIV/0!</v>
      </c>
      <c r="AX355" s="159" t="e">
        <f t="shared" ca="1" si="109"/>
        <v>#DIV/0!</v>
      </c>
      <c r="AY355" s="159" t="e">
        <f t="shared" ca="1" si="109"/>
        <v>#DIV/0!</v>
      </c>
      <c r="AZ355" s="159" t="e">
        <f t="shared" ca="1" si="109"/>
        <v>#DIV/0!</v>
      </c>
      <c r="BA355" s="159" t="e">
        <f t="shared" ca="1" si="109"/>
        <v>#DIV/0!</v>
      </c>
      <c r="BB355" s="159" t="e">
        <f t="shared" ca="1" si="109"/>
        <v>#DIV/0!</v>
      </c>
      <c r="BC355" s="159" t="e">
        <f t="shared" ca="1" si="109"/>
        <v>#DIV/0!</v>
      </c>
      <c r="BD355" s="159" t="e">
        <f t="shared" ca="1" si="109"/>
        <v>#DIV/0!</v>
      </c>
      <c r="BE355" s="159" t="e">
        <f t="shared" ca="1" si="109"/>
        <v>#DIV/0!</v>
      </c>
      <c r="BF355" s="159" t="e">
        <f t="shared" ca="1" si="109"/>
        <v>#DIV/0!</v>
      </c>
      <c r="BG355" s="159" t="e">
        <f t="shared" ca="1" si="109"/>
        <v>#DIV/0!</v>
      </c>
      <c r="BH355" s="159" t="e">
        <f t="shared" ref="BH355:BX355" ca="1" si="110">IF(BH593=4,":",IF(BH593=5,"!",IF(BH593=3,",",IF(BH593=2,"^",IF(AND($FO$317&gt;=BH$383,$FS$311&gt;=$M355,$FS$317&lt;$M355),"~",IF(AND($FO$317&gt;=BH$383,$FS$311&lt;$M355,$FS$317&gt;=$M355),"*",IF(OR($FO$317&lt;BH$383,$FS$317&lt;$M355),"","+")))))))</f>
        <v>#DIV/0!</v>
      </c>
      <c r="BI355" s="159" t="e">
        <f t="shared" ca="1" si="110"/>
        <v>#DIV/0!</v>
      </c>
      <c r="BJ355" s="159" t="e">
        <f t="shared" ca="1" si="110"/>
        <v>#DIV/0!</v>
      </c>
      <c r="BK355" s="159" t="e">
        <f t="shared" ca="1" si="110"/>
        <v>#DIV/0!</v>
      </c>
      <c r="BL355" s="159" t="e">
        <f t="shared" ca="1" si="110"/>
        <v>#DIV/0!</v>
      </c>
      <c r="BM355" s="159" t="e">
        <f t="shared" ca="1" si="110"/>
        <v>#DIV/0!</v>
      </c>
      <c r="BN355" s="159" t="e">
        <f t="shared" ca="1" si="110"/>
        <v>#DIV/0!</v>
      </c>
      <c r="BO355" s="159" t="e">
        <f t="shared" ca="1" si="110"/>
        <v>#DIV/0!</v>
      </c>
      <c r="BP355" s="159" t="e">
        <f t="shared" ca="1" si="110"/>
        <v>#DIV/0!</v>
      </c>
      <c r="BQ355" s="159" t="e">
        <f t="shared" ca="1" si="110"/>
        <v>#DIV/0!</v>
      </c>
      <c r="BR355" s="159" t="e">
        <f t="shared" ca="1" si="110"/>
        <v>#DIV/0!</v>
      </c>
      <c r="BS355" s="159" t="e">
        <f t="shared" ca="1" si="110"/>
        <v>#DIV/0!</v>
      </c>
      <c r="BT355" s="159" t="e">
        <f t="shared" ca="1" si="110"/>
        <v>#DIV/0!</v>
      </c>
      <c r="BU355" s="159" t="e">
        <f t="shared" ca="1" si="110"/>
        <v>#DIV/0!</v>
      </c>
      <c r="BV355" s="159" t="e">
        <f t="shared" ca="1" si="110"/>
        <v>#DIV/0!</v>
      </c>
      <c r="BW355" s="159" t="e">
        <f t="shared" ca="1" si="110"/>
        <v>#DIV/0!</v>
      </c>
      <c r="BX355" s="159" t="e">
        <f t="shared" ca="1" si="110"/>
        <v>#DIV/0!</v>
      </c>
      <c r="BY355" s="159" t="e">
        <f t="shared" ca="1" si="54"/>
        <v>#DIV/0!</v>
      </c>
      <c r="BZ355" s="160"/>
      <c r="CA355" s="157"/>
      <c r="CB355" s="58"/>
      <c r="CC355" s="38"/>
      <c r="CD355" s="55"/>
      <c r="CE355" s="55"/>
      <c r="CF355" s="55"/>
      <c r="CG355" s="55"/>
      <c r="CH355" s="55"/>
      <c r="CI355" s="55"/>
      <c r="CJ355" s="645"/>
      <c r="CK355" s="645"/>
      <c r="CL355" s="645"/>
      <c r="CM355" s="645"/>
      <c r="CN355" s="645"/>
      <c r="CO355" s="645"/>
      <c r="CP355" s="645"/>
      <c r="CQ355" s="645"/>
      <c r="CR355" s="645"/>
      <c r="CS355" s="645"/>
      <c r="CT355" s="645"/>
      <c r="CU355" s="645"/>
      <c r="CV355" s="645"/>
      <c r="CW355" s="645"/>
      <c r="CX355" s="645"/>
      <c r="CY355" s="645"/>
      <c r="CZ355" s="645"/>
      <c r="DA355" s="645"/>
      <c r="DB355" s="645"/>
      <c r="DC355" s="645"/>
      <c r="DD355" s="645"/>
      <c r="DE355" s="645"/>
      <c r="DF355" s="645"/>
      <c r="DG355" s="645"/>
      <c r="DH355" s="645"/>
      <c r="DI355" s="645"/>
      <c r="DJ355" s="645"/>
      <c r="DK355" s="645"/>
      <c r="DL355" s="645"/>
      <c r="DM355" s="645"/>
      <c r="DN355" s="645"/>
      <c r="DO355" s="645"/>
      <c r="DP355" s="645"/>
      <c r="DQ355" s="645"/>
      <c r="DR355" s="645"/>
      <c r="DS355" s="645"/>
      <c r="DT355" s="645"/>
      <c r="DU355" s="645"/>
      <c r="DV355" s="645"/>
      <c r="DW355" s="645"/>
      <c r="DX355" s="645"/>
      <c r="DY355" s="645"/>
      <c r="DZ355" s="645"/>
      <c r="EA355" s="645"/>
      <c r="EB355" s="645"/>
      <c r="EC355" s="645"/>
      <c r="ED355" s="645"/>
      <c r="EE355" s="645"/>
      <c r="EF355" s="645"/>
      <c r="EG355" s="645"/>
      <c r="EH355" s="645"/>
      <c r="EI355" s="645"/>
      <c r="EJ355" s="645"/>
      <c r="EK355" s="645"/>
      <c r="EL355" s="645"/>
      <c r="EM355" s="645"/>
      <c r="EN355" s="645"/>
      <c r="EO355" s="645"/>
      <c r="EP355" s="645"/>
      <c r="EQ355" s="645"/>
      <c r="ER355" s="645"/>
      <c r="ES355" s="645"/>
      <c r="ET355" s="645"/>
      <c r="EU355" s="645"/>
      <c r="EV355" s="645"/>
      <c r="EW355" s="210"/>
      <c r="EX355" s="210"/>
      <c r="EY355" s="210"/>
      <c r="EZ355" s="79"/>
      <c r="FA355" s="79"/>
      <c r="FB355" s="79"/>
      <c r="FC355" s="79"/>
      <c r="FD355" s="79"/>
      <c r="FE355" s="79"/>
      <c r="FF355" s="79"/>
      <c r="FG355" s="79"/>
      <c r="FH355" s="79"/>
      <c r="FI355" s="79"/>
      <c r="FJ355" s="79"/>
      <c r="FK355" s="79"/>
      <c r="FL355" s="79"/>
      <c r="FM355" s="49"/>
      <c r="FN355" s="49"/>
      <c r="FO355" s="49"/>
      <c r="FP355" s="49"/>
      <c r="FQ355" s="49"/>
      <c r="FR355" s="49"/>
      <c r="FS355" s="49"/>
      <c r="FT355" s="49"/>
      <c r="FU355" s="49"/>
      <c r="FV355" s="48"/>
      <c r="FW355" s="48"/>
      <c r="FX355" s="48"/>
      <c r="FY355" s="48"/>
      <c r="FZ355" s="48"/>
      <c r="GA355" s="49"/>
      <c r="GB355" s="49"/>
      <c r="GC355" s="49"/>
      <c r="GD355" s="49"/>
      <c r="GE355" s="49"/>
      <c r="GF355" s="49"/>
      <c r="GG355" s="49"/>
      <c r="GH355" s="49"/>
      <c r="GI355" s="49"/>
      <c r="GJ355" s="49"/>
      <c r="GK355" s="49"/>
      <c r="GL355" s="49"/>
      <c r="GM355" s="49"/>
      <c r="GN355" s="49"/>
      <c r="GO355" s="49"/>
      <c r="GP355" s="49"/>
      <c r="GQ355" s="49"/>
      <c r="GR355" s="49"/>
      <c r="GS355" s="49"/>
      <c r="GT355" s="49"/>
      <c r="GU355" s="49"/>
      <c r="GV355" s="49"/>
      <c r="GW355" s="49"/>
      <c r="GX355" s="49"/>
      <c r="GY355" s="49"/>
      <c r="GZ355" s="49"/>
      <c r="HA355" s="49"/>
      <c r="HB355" s="49"/>
      <c r="HC355" s="49"/>
      <c r="HD355" s="49"/>
      <c r="HE355" s="49"/>
      <c r="HF355" s="49"/>
      <c r="HG355" s="49"/>
      <c r="HH355" s="49"/>
      <c r="HI355" s="49"/>
      <c r="HJ355" s="49"/>
      <c r="HK355" s="49"/>
      <c r="HL355" s="49"/>
      <c r="HM355" s="49"/>
    </row>
    <row r="356" spans="1:221" ht="3.75" customHeight="1">
      <c r="A356" s="1"/>
      <c r="B356" s="3"/>
      <c r="C356" s="3"/>
      <c r="D356" s="12"/>
      <c r="E356" s="197"/>
      <c r="F356" s="197"/>
      <c r="G356" s="39"/>
      <c r="H356" s="39"/>
      <c r="I356" s="39"/>
      <c r="J356" s="39"/>
      <c r="K356" s="197"/>
      <c r="L356" s="197"/>
      <c r="M356" s="197">
        <v>200</v>
      </c>
      <c r="N356" s="197"/>
      <c r="O356" s="197"/>
      <c r="P356" s="197"/>
      <c r="Q356" s="645"/>
      <c r="R356" s="645"/>
      <c r="S356" s="645"/>
      <c r="T356" s="645"/>
      <c r="U356" s="645"/>
      <c r="V356" s="645"/>
      <c r="W356" s="645"/>
      <c r="X356" s="645"/>
      <c r="Y356" s="645"/>
      <c r="Z356" s="213"/>
      <c r="AA356" s="156" t="str">
        <f t="shared" ref="AA356:AA376" ca="1" si="111">IF($FN$305=0,"","`")</f>
        <v/>
      </c>
      <c r="AB356" s="159" t="e">
        <f t="shared" ref="AB356:BG356" ca="1" si="112">IF(AB594=4,":",IF(AB594=5,"!",IF(AB594=3,",",IF(AB594=2,"^",IF(AND($FO$317&gt;=AB$383,$FS$311&gt;=$M356,$FS$317&lt;$M356),"~",IF(AND($FO$317&gt;=AB$383,$FS$311&lt;$M356,$FS$317&gt;=$M356),"*",IF(OR($FO$317&lt;AB$383,$FS$317&lt;$M356),"","+")))))))</f>
        <v>#DIV/0!</v>
      </c>
      <c r="AC356" s="159" t="e">
        <f t="shared" ca="1" si="112"/>
        <v>#DIV/0!</v>
      </c>
      <c r="AD356" s="159" t="e">
        <f t="shared" ca="1" si="112"/>
        <v>#DIV/0!</v>
      </c>
      <c r="AE356" s="159" t="e">
        <f t="shared" ca="1" si="112"/>
        <v>#DIV/0!</v>
      </c>
      <c r="AF356" s="159" t="e">
        <f t="shared" ca="1" si="112"/>
        <v>#DIV/0!</v>
      </c>
      <c r="AG356" s="159" t="e">
        <f t="shared" ca="1" si="112"/>
        <v>#DIV/0!</v>
      </c>
      <c r="AH356" s="159" t="e">
        <f t="shared" ca="1" si="112"/>
        <v>#DIV/0!</v>
      </c>
      <c r="AI356" s="159" t="e">
        <f t="shared" ca="1" si="112"/>
        <v>#DIV/0!</v>
      </c>
      <c r="AJ356" s="159" t="e">
        <f t="shared" ca="1" si="112"/>
        <v>#DIV/0!</v>
      </c>
      <c r="AK356" s="159" t="e">
        <f t="shared" ca="1" si="112"/>
        <v>#DIV/0!</v>
      </c>
      <c r="AL356" s="159" t="e">
        <f t="shared" ca="1" si="112"/>
        <v>#DIV/0!</v>
      </c>
      <c r="AM356" s="159" t="e">
        <f t="shared" ca="1" si="112"/>
        <v>#DIV/0!</v>
      </c>
      <c r="AN356" s="159" t="e">
        <f t="shared" ca="1" si="112"/>
        <v>#DIV/0!</v>
      </c>
      <c r="AO356" s="159" t="e">
        <f t="shared" ca="1" si="112"/>
        <v>#DIV/0!</v>
      </c>
      <c r="AP356" s="159" t="e">
        <f t="shared" ca="1" si="112"/>
        <v>#DIV/0!</v>
      </c>
      <c r="AQ356" s="159" t="e">
        <f t="shared" ca="1" si="112"/>
        <v>#DIV/0!</v>
      </c>
      <c r="AR356" s="159" t="e">
        <f t="shared" ca="1" si="112"/>
        <v>#DIV/0!</v>
      </c>
      <c r="AS356" s="159" t="e">
        <f t="shared" ca="1" si="112"/>
        <v>#DIV/0!</v>
      </c>
      <c r="AT356" s="159" t="e">
        <f t="shared" ca="1" si="112"/>
        <v>#DIV/0!</v>
      </c>
      <c r="AU356" s="159" t="e">
        <f t="shared" ca="1" si="112"/>
        <v>#DIV/0!</v>
      </c>
      <c r="AV356" s="159" t="e">
        <f t="shared" ca="1" si="112"/>
        <v>#DIV/0!</v>
      </c>
      <c r="AW356" s="159" t="e">
        <f t="shared" ca="1" si="112"/>
        <v>#DIV/0!</v>
      </c>
      <c r="AX356" s="159" t="e">
        <f t="shared" ca="1" si="112"/>
        <v>#DIV/0!</v>
      </c>
      <c r="AY356" s="159" t="e">
        <f t="shared" ca="1" si="112"/>
        <v>#DIV/0!</v>
      </c>
      <c r="AZ356" s="159" t="e">
        <f t="shared" ca="1" si="112"/>
        <v>#DIV/0!</v>
      </c>
      <c r="BA356" s="159" t="e">
        <f t="shared" ca="1" si="112"/>
        <v>#DIV/0!</v>
      </c>
      <c r="BB356" s="159" t="e">
        <f t="shared" ca="1" si="112"/>
        <v>#DIV/0!</v>
      </c>
      <c r="BC356" s="159" t="e">
        <f t="shared" ca="1" si="112"/>
        <v>#DIV/0!</v>
      </c>
      <c r="BD356" s="159" t="e">
        <f t="shared" ca="1" si="112"/>
        <v>#DIV/0!</v>
      </c>
      <c r="BE356" s="159" t="e">
        <f t="shared" ca="1" si="112"/>
        <v>#DIV/0!</v>
      </c>
      <c r="BF356" s="159" t="e">
        <f t="shared" ca="1" si="112"/>
        <v>#DIV/0!</v>
      </c>
      <c r="BG356" s="159" t="e">
        <f t="shared" ca="1" si="112"/>
        <v>#DIV/0!</v>
      </c>
      <c r="BH356" s="159" t="e">
        <f t="shared" ref="BH356:BX356" ca="1" si="113">IF(BH594=4,":",IF(BH594=5,"!",IF(BH594=3,",",IF(BH594=2,"^",IF(AND($FO$317&gt;=BH$383,$FS$311&gt;=$M356,$FS$317&lt;$M356),"~",IF(AND($FO$317&gt;=BH$383,$FS$311&lt;$M356,$FS$317&gt;=$M356),"*",IF(OR($FO$317&lt;BH$383,$FS$317&lt;$M356),"","+")))))))</f>
        <v>#DIV/0!</v>
      </c>
      <c r="BI356" s="159" t="e">
        <f t="shared" ca="1" si="113"/>
        <v>#DIV/0!</v>
      </c>
      <c r="BJ356" s="159" t="e">
        <f t="shared" ca="1" si="113"/>
        <v>#DIV/0!</v>
      </c>
      <c r="BK356" s="159" t="e">
        <f t="shared" ca="1" si="113"/>
        <v>#DIV/0!</v>
      </c>
      <c r="BL356" s="159" t="e">
        <f t="shared" ca="1" si="113"/>
        <v>#DIV/0!</v>
      </c>
      <c r="BM356" s="159" t="e">
        <f t="shared" ca="1" si="113"/>
        <v>#DIV/0!</v>
      </c>
      <c r="BN356" s="159" t="e">
        <f t="shared" ca="1" si="113"/>
        <v>#DIV/0!</v>
      </c>
      <c r="BO356" s="159" t="e">
        <f t="shared" ca="1" si="113"/>
        <v>#DIV/0!</v>
      </c>
      <c r="BP356" s="159" t="e">
        <f t="shared" ca="1" si="113"/>
        <v>#DIV/0!</v>
      </c>
      <c r="BQ356" s="159" t="e">
        <f t="shared" ca="1" si="113"/>
        <v>#DIV/0!</v>
      </c>
      <c r="BR356" s="159" t="e">
        <f t="shared" ca="1" si="113"/>
        <v>#DIV/0!</v>
      </c>
      <c r="BS356" s="159" t="e">
        <f t="shared" ca="1" si="113"/>
        <v>#DIV/0!</v>
      </c>
      <c r="BT356" s="159" t="e">
        <f t="shared" ca="1" si="113"/>
        <v>#DIV/0!</v>
      </c>
      <c r="BU356" s="159" t="e">
        <f t="shared" ca="1" si="113"/>
        <v>#DIV/0!</v>
      </c>
      <c r="BV356" s="159" t="e">
        <f t="shared" ca="1" si="113"/>
        <v>#DIV/0!</v>
      </c>
      <c r="BW356" s="159" t="e">
        <f t="shared" ca="1" si="113"/>
        <v>#DIV/0!</v>
      </c>
      <c r="BX356" s="159" t="e">
        <f t="shared" ca="1" si="113"/>
        <v>#DIV/0!</v>
      </c>
      <c r="BY356" s="159" t="e">
        <f t="shared" ca="1" si="54"/>
        <v>#DIV/0!</v>
      </c>
      <c r="BZ356" s="160"/>
      <c r="CA356" s="157"/>
      <c r="CB356" s="58"/>
      <c r="CC356" s="38"/>
      <c r="CD356" s="55"/>
      <c r="CE356" s="55"/>
      <c r="CF356" s="55"/>
      <c r="CG356" s="55"/>
      <c r="CH356" s="55"/>
      <c r="CI356" s="55"/>
      <c r="CJ356" s="645"/>
      <c r="CK356" s="645"/>
      <c r="CL356" s="645"/>
      <c r="CM356" s="645"/>
      <c r="CN356" s="645"/>
      <c r="CO356" s="645"/>
      <c r="CP356" s="645"/>
      <c r="CQ356" s="645"/>
      <c r="CR356" s="645"/>
      <c r="CS356" s="645"/>
      <c r="CT356" s="645"/>
      <c r="CU356" s="645"/>
      <c r="CV356" s="645"/>
      <c r="CW356" s="645"/>
      <c r="CX356" s="645"/>
      <c r="CY356" s="645"/>
      <c r="CZ356" s="645"/>
      <c r="DA356" s="645"/>
      <c r="DB356" s="645"/>
      <c r="DC356" s="645"/>
      <c r="DD356" s="645"/>
      <c r="DE356" s="645"/>
      <c r="DF356" s="645"/>
      <c r="DG356" s="645"/>
      <c r="DH356" s="645"/>
      <c r="DI356" s="645"/>
      <c r="DJ356" s="645"/>
      <c r="DK356" s="645"/>
      <c r="DL356" s="645"/>
      <c r="DM356" s="645"/>
      <c r="DN356" s="645"/>
      <c r="DO356" s="645"/>
      <c r="DP356" s="645"/>
      <c r="DQ356" s="645"/>
      <c r="DR356" s="645"/>
      <c r="DS356" s="645"/>
      <c r="DT356" s="645"/>
      <c r="DU356" s="645"/>
      <c r="DV356" s="645"/>
      <c r="DW356" s="645"/>
      <c r="DX356" s="645"/>
      <c r="DY356" s="645"/>
      <c r="DZ356" s="645"/>
      <c r="EA356" s="645"/>
      <c r="EB356" s="645"/>
      <c r="EC356" s="645"/>
      <c r="ED356" s="645"/>
      <c r="EE356" s="645"/>
      <c r="EF356" s="645"/>
      <c r="EG356" s="645"/>
      <c r="EH356" s="645"/>
      <c r="EI356" s="645"/>
      <c r="EJ356" s="645"/>
      <c r="EK356" s="645"/>
      <c r="EL356" s="645"/>
      <c r="EM356" s="645"/>
      <c r="EN356" s="645"/>
      <c r="EO356" s="645"/>
      <c r="EP356" s="645"/>
      <c r="EQ356" s="645"/>
      <c r="ER356" s="645"/>
      <c r="ES356" s="645"/>
      <c r="ET356" s="645"/>
      <c r="EU356" s="645"/>
      <c r="EV356" s="645"/>
      <c r="EW356" s="210"/>
      <c r="EX356" s="210"/>
      <c r="EY356" s="210"/>
      <c r="EZ356" s="79"/>
      <c r="FA356" s="79"/>
      <c r="FB356" s="79"/>
      <c r="FC356" s="79"/>
      <c r="FD356" s="79"/>
      <c r="FE356" s="79"/>
      <c r="FF356" s="79"/>
      <c r="FG356" s="79"/>
      <c r="FH356" s="79"/>
      <c r="FI356" s="79"/>
      <c r="FJ356" s="79"/>
      <c r="FK356" s="79"/>
      <c r="FL356" s="79"/>
      <c r="FM356" s="49"/>
      <c r="FN356" s="49"/>
      <c r="FO356" s="49"/>
      <c r="FP356" s="49"/>
      <c r="FQ356" s="49"/>
      <c r="FR356" s="49"/>
      <c r="FS356" s="49"/>
      <c r="FT356" s="49"/>
      <c r="FU356" s="49"/>
      <c r="FV356" s="48"/>
      <c r="FW356" s="48"/>
      <c r="FX356" s="48"/>
      <c r="FY356" s="48"/>
      <c r="FZ356" s="48"/>
      <c r="GA356" s="49"/>
      <c r="GB356" s="49"/>
      <c r="GC356" s="49"/>
      <c r="GD356" s="49"/>
      <c r="GE356" s="49"/>
      <c r="GF356" s="49"/>
      <c r="GG356" s="49"/>
      <c r="GH356" s="49"/>
      <c r="GI356" s="49"/>
      <c r="GJ356" s="49"/>
      <c r="GK356" s="49"/>
      <c r="GL356" s="49"/>
      <c r="GM356" s="49"/>
      <c r="GN356" s="49"/>
      <c r="GO356" s="49"/>
      <c r="GP356" s="49"/>
      <c r="GQ356" s="49"/>
      <c r="GR356" s="49"/>
      <c r="GS356" s="49"/>
      <c r="GT356" s="49"/>
      <c r="GU356" s="49"/>
      <c r="GV356" s="49"/>
      <c r="GW356" s="49"/>
      <c r="GX356" s="49"/>
      <c r="GY356" s="49"/>
      <c r="GZ356" s="49"/>
      <c r="HA356" s="49"/>
      <c r="HB356" s="49"/>
      <c r="HC356" s="49"/>
      <c r="HD356" s="49"/>
      <c r="HE356" s="49"/>
      <c r="HF356" s="49"/>
      <c r="HG356" s="49"/>
      <c r="HH356" s="49"/>
      <c r="HI356" s="49"/>
      <c r="HJ356" s="49"/>
      <c r="HK356" s="49"/>
      <c r="HL356" s="49"/>
      <c r="HM356" s="49"/>
    </row>
    <row r="357" spans="1:221" ht="3.75" customHeight="1">
      <c r="A357" s="1"/>
      <c r="B357" s="3"/>
      <c r="C357" s="3"/>
      <c r="D357" s="12"/>
      <c r="E357" s="197"/>
      <c r="F357" s="197"/>
      <c r="G357" s="39"/>
      <c r="H357" s="39"/>
      <c r="I357" s="39"/>
      <c r="J357" s="39"/>
      <c r="K357" s="197"/>
      <c r="L357" s="197"/>
      <c r="M357" s="197">
        <v>190</v>
      </c>
      <c r="N357" s="197"/>
      <c r="O357" s="197"/>
      <c r="P357" s="197"/>
      <c r="Q357" s="645"/>
      <c r="R357" s="645"/>
      <c r="S357" s="645"/>
      <c r="T357" s="645"/>
      <c r="U357" s="645"/>
      <c r="V357" s="645"/>
      <c r="W357" s="645"/>
      <c r="X357" s="645"/>
      <c r="Y357" s="645"/>
      <c r="Z357" s="213"/>
      <c r="AA357" s="156" t="str">
        <f t="shared" ca="1" si="111"/>
        <v/>
      </c>
      <c r="AB357" s="159" t="e">
        <f t="shared" ref="AB357:BG357" ca="1" si="114">IF(AB595=4,":",IF(AB595=5,"!",IF(AB595=3,",",IF(AB595=2,"^",IF(AND($FO$317&gt;=AB$383,$FS$311&gt;=$M357,$FS$317&lt;$M357),"~",IF(AND($FO$317&gt;=AB$383,$FS$311&lt;$M357,$FS$317&gt;=$M357),"*",IF(OR($FO$317&lt;AB$383,$FS$317&lt;$M357),"","+")))))))</f>
        <v>#DIV/0!</v>
      </c>
      <c r="AC357" s="159" t="e">
        <f t="shared" ca="1" si="114"/>
        <v>#DIV/0!</v>
      </c>
      <c r="AD357" s="159" t="e">
        <f t="shared" ca="1" si="114"/>
        <v>#DIV/0!</v>
      </c>
      <c r="AE357" s="159" t="e">
        <f t="shared" ca="1" si="114"/>
        <v>#DIV/0!</v>
      </c>
      <c r="AF357" s="159" t="e">
        <f t="shared" ca="1" si="114"/>
        <v>#DIV/0!</v>
      </c>
      <c r="AG357" s="159" t="e">
        <f t="shared" ca="1" si="114"/>
        <v>#DIV/0!</v>
      </c>
      <c r="AH357" s="159" t="e">
        <f t="shared" ca="1" si="114"/>
        <v>#DIV/0!</v>
      </c>
      <c r="AI357" s="159" t="e">
        <f t="shared" ca="1" si="114"/>
        <v>#DIV/0!</v>
      </c>
      <c r="AJ357" s="159" t="e">
        <f t="shared" ca="1" si="114"/>
        <v>#DIV/0!</v>
      </c>
      <c r="AK357" s="159" t="e">
        <f t="shared" ca="1" si="114"/>
        <v>#DIV/0!</v>
      </c>
      <c r="AL357" s="159" t="e">
        <f t="shared" ca="1" si="114"/>
        <v>#DIV/0!</v>
      </c>
      <c r="AM357" s="159" t="e">
        <f t="shared" ca="1" si="114"/>
        <v>#DIV/0!</v>
      </c>
      <c r="AN357" s="159" t="e">
        <f t="shared" ca="1" si="114"/>
        <v>#DIV/0!</v>
      </c>
      <c r="AO357" s="159" t="e">
        <f t="shared" ca="1" si="114"/>
        <v>#DIV/0!</v>
      </c>
      <c r="AP357" s="159" t="e">
        <f t="shared" ca="1" si="114"/>
        <v>#DIV/0!</v>
      </c>
      <c r="AQ357" s="159" t="e">
        <f t="shared" ca="1" si="114"/>
        <v>#DIV/0!</v>
      </c>
      <c r="AR357" s="159" t="e">
        <f t="shared" ca="1" si="114"/>
        <v>#DIV/0!</v>
      </c>
      <c r="AS357" s="159" t="e">
        <f t="shared" ca="1" si="114"/>
        <v>#DIV/0!</v>
      </c>
      <c r="AT357" s="159" t="e">
        <f t="shared" ca="1" si="114"/>
        <v>#DIV/0!</v>
      </c>
      <c r="AU357" s="159" t="e">
        <f t="shared" ca="1" si="114"/>
        <v>#DIV/0!</v>
      </c>
      <c r="AV357" s="159" t="e">
        <f t="shared" ca="1" si="114"/>
        <v>#DIV/0!</v>
      </c>
      <c r="AW357" s="159" t="e">
        <f t="shared" ca="1" si="114"/>
        <v>#DIV/0!</v>
      </c>
      <c r="AX357" s="159" t="e">
        <f t="shared" ca="1" si="114"/>
        <v>#DIV/0!</v>
      </c>
      <c r="AY357" s="159" t="e">
        <f t="shared" ca="1" si="114"/>
        <v>#DIV/0!</v>
      </c>
      <c r="AZ357" s="159" t="e">
        <f t="shared" ca="1" si="114"/>
        <v>#DIV/0!</v>
      </c>
      <c r="BA357" s="159" t="e">
        <f t="shared" ca="1" si="114"/>
        <v>#DIV/0!</v>
      </c>
      <c r="BB357" s="159" t="e">
        <f t="shared" ca="1" si="114"/>
        <v>#DIV/0!</v>
      </c>
      <c r="BC357" s="159" t="e">
        <f t="shared" ca="1" si="114"/>
        <v>#DIV/0!</v>
      </c>
      <c r="BD357" s="159" t="e">
        <f t="shared" ca="1" si="114"/>
        <v>#DIV/0!</v>
      </c>
      <c r="BE357" s="159" t="e">
        <f t="shared" ca="1" si="114"/>
        <v>#DIV/0!</v>
      </c>
      <c r="BF357" s="159" t="e">
        <f t="shared" ca="1" si="114"/>
        <v>#DIV/0!</v>
      </c>
      <c r="BG357" s="159" t="e">
        <f t="shared" ca="1" si="114"/>
        <v>#DIV/0!</v>
      </c>
      <c r="BH357" s="159" t="e">
        <f t="shared" ref="BH357:BX357" ca="1" si="115">IF(BH595=4,":",IF(BH595=5,"!",IF(BH595=3,",",IF(BH595=2,"^",IF(AND($FO$317&gt;=BH$383,$FS$311&gt;=$M357,$FS$317&lt;$M357),"~",IF(AND($FO$317&gt;=BH$383,$FS$311&lt;$M357,$FS$317&gt;=$M357),"*",IF(OR($FO$317&lt;BH$383,$FS$317&lt;$M357),"","+")))))))</f>
        <v>#DIV/0!</v>
      </c>
      <c r="BI357" s="159" t="e">
        <f t="shared" ca="1" si="115"/>
        <v>#DIV/0!</v>
      </c>
      <c r="BJ357" s="159" t="e">
        <f t="shared" ca="1" si="115"/>
        <v>#DIV/0!</v>
      </c>
      <c r="BK357" s="159" t="e">
        <f t="shared" ca="1" si="115"/>
        <v>#DIV/0!</v>
      </c>
      <c r="BL357" s="159" t="e">
        <f t="shared" ca="1" si="115"/>
        <v>#DIV/0!</v>
      </c>
      <c r="BM357" s="159" t="e">
        <f t="shared" ca="1" si="115"/>
        <v>#DIV/0!</v>
      </c>
      <c r="BN357" s="159" t="e">
        <f t="shared" ca="1" si="115"/>
        <v>#DIV/0!</v>
      </c>
      <c r="BO357" s="159" t="e">
        <f t="shared" ca="1" si="115"/>
        <v>#DIV/0!</v>
      </c>
      <c r="BP357" s="159" t="e">
        <f t="shared" ca="1" si="115"/>
        <v>#DIV/0!</v>
      </c>
      <c r="BQ357" s="159" t="e">
        <f t="shared" ca="1" si="115"/>
        <v>#DIV/0!</v>
      </c>
      <c r="BR357" s="159" t="e">
        <f t="shared" ca="1" si="115"/>
        <v>#DIV/0!</v>
      </c>
      <c r="BS357" s="159" t="e">
        <f t="shared" ca="1" si="115"/>
        <v>#DIV/0!</v>
      </c>
      <c r="BT357" s="159" t="e">
        <f t="shared" ca="1" si="115"/>
        <v>#DIV/0!</v>
      </c>
      <c r="BU357" s="159" t="e">
        <f t="shared" ca="1" si="115"/>
        <v>#DIV/0!</v>
      </c>
      <c r="BV357" s="159" t="e">
        <f t="shared" ca="1" si="115"/>
        <v>#DIV/0!</v>
      </c>
      <c r="BW357" s="159" t="e">
        <f t="shared" ca="1" si="115"/>
        <v>#DIV/0!</v>
      </c>
      <c r="BX357" s="159" t="e">
        <f t="shared" ca="1" si="115"/>
        <v>#DIV/0!</v>
      </c>
      <c r="BY357" s="159" t="e">
        <f t="shared" ca="1" si="54"/>
        <v>#DIV/0!</v>
      </c>
      <c r="BZ357" s="160"/>
      <c r="CA357" s="157"/>
      <c r="CB357" s="58"/>
      <c r="CC357" s="38"/>
      <c r="CD357" s="55"/>
      <c r="CE357" s="55"/>
      <c r="CF357" s="55"/>
      <c r="CG357" s="55"/>
      <c r="CH357" s="55"/>
      <c r="CI357" s="55"/>
      <c r="CJ357" s="645"/>
      <c r="CK357" s="645"/>
      <c r="CL357" s="645"/>
      <c r="CM357" s="645"/>
      <c r="CN357" s="645"/>
      <c r="CO357" s="645"/>
      <c r="CP357" s="645"/>
      <c r="CQ357" s="645"/>
      <c r="CR357" s="645"/>
      <c r="CS357" s="645"/>
      <c r="CT357" s="645"/>
      <c r="CU357" s="645"/>
      <c r="CV357" s="645"/>
      <c r="CW357" s="645"/>
      <c r="CX357" s="645"/>
      <c r="CY357" s="645"/>
      <c r="CZ357" s="645"/>
      <c r="DA357" s="645"/>
      <c r="DB357" s="645"/>
      <c r="DC357" s="645"/>
      <c r="DD357" s="645"/>
      <c r="DE357" s="645"/>
      <c r="DF357" s="645"/>
      <c r="DG357" s="645"/>
      <c r="DH357" s="645"/>
      <c r="DI357" s="645"/>
      <c r="DJ357" s="645"/>
      <c r="DK357" s="645"/>
      <c r="DL357" s="645"/>
      <c r="DM357" s="645"/>
      <c r="DN357" s="645"/>
      <c r="DO357" s="645"/>
      <c r="DP357" s="645"/>
      <c r="DQ357" s="645"/>
      <c r="DR357" s="645"/>
      <c r="DS357" s="645"/>
      <c r="DT357" s="645"/>
      <c r="DU357" s="645"/>
      <c r="DV357" s="645"/>
      <c r="DW357" s="645"/>
      <c r="DX357" s="645"/>
      <c r="DY357" s="645"/>
      <c r="DZ357" s="645"/>
      <c r="EA357" s="645"/>
      <c r="EB357" s="645"/>
      <c r="EC357" s="645"/>
      <c r="ED357" s="645"/>
      <c r="EE357" s="645"/>
      <c r="EF357" s="645"/>
      <c r="EG357" s="645"/>
      <c r="EH357" s="645"/>
      <c r="EI357" s="645"/>
      <c r="EJ357" s="645"/>
      <c r="EK357" s="645"/>
      <c r="EL357" s="645"/>
      <c r="EM357" s="645"/>
      <c r="EN357" s="645"/>
      <c r="EO357" s="645"/>
      <c r="EP357" s="645"/>
      <c r="EQ357" s="645"/>
      <c r="ER357" s="645"/>
      <c r="ES357" s="645"/>
      <c r="ET357" s="645"/>
      <c r="EU357" s="645"/>
      <c r="EV357" s="645"/>
      <c r="EW357" s="210"/>
      <c r="EX357" s="210"/>
      <c r="EY357" s="210"/>
      <c r="EZ357" s="79"/>
      <c r="FA357" s="79"/>
      <c r="FB357" s="79"/>
      <c r="FC357" s="79"/>
      <c r="FD357" s="79"/>
      <c r="FE357" s="79"/>
      <c r="FF357" s="79"/>
      <c r="FG357" s="79"/>
      <c r="FH357" s="79"/>
      <c r="FI357" s="79"/>
      <c r="FJ357" s="79"/>
      <c r="FK357" s="79"/>
      <c r="FL357" s="79"/>
      <c r="FM357" s="49"/>
      <c r="FN357" s="49"/>
      <c r="FO357" s="49"/>
      <c r="FP357" s="49"/>
      <c r="FQ357" s="49"/>
      <c r="FR357" s="49"/>
      <c r="FS357" s="49"/>
      <c r="FT357" s="49"/>
      <c r="FU357" s="49"/>
      <c r="FV357" s="48"/>
      <c r="FW357" s="48"/>
      <c r="FX357" s="48"/>
      <c r="FY357" s="48"/>
      <c r="FZ357" s="48"/>
      <c r="GA357" s="49"/>
      <c r="GB357" s="49"/>
      <c r="GC357" s="49"/>
      <c r="GD357" s="49"/>
      <c r="GE357" s="49"/>
      <c r="GF357" s="49"/>
      <c r="GG357" s="49"/>
      <c r="GH357" s="49"/>
      <c r="GI357" s="49"/>
      <c r="GJ357" s="49"/>
      <c r="GK357" s="49"/>
      <c r="GL357" s="49"/>
      <c r="GM357" s="49"/>
      <c r="GN357" s="49"/>
      <c r="GO357" s="49"/>
      <c r="GP357" s="49"/>
      <c r="GQ357" s="49"/>
      <c r="GR357" s="49"/>
      <c r="GS357" s="49"/>
      <c r="GT357" s="49"/>
      <c r="GU357" s="49"/>
      <c r="GV357" s="49"/>
      <c r="GW357" s="49"/>
      <c r="GX357" s="49"/>
      <c r="GY357" s="49"/>
      <c r="GZ357" s="49"/>
      <c r="HA357" s="49"/>
      <c r="HB357" s="49"/>
      <c r="HC357" s="49"/>
      <c r="HD357" s="49"/>
      <c r="HE357" s="49"/>
      <c r="HF357" s="49"/>
      <c r="HG357" s="49"/>
      <c r="HH357" s="49"/>
      <c r="HI357" s="49"/>
      <c r="HJ357" s="49"/>
      <c r="HK357" s="49"/>
      <c r="HL357" s="49"/>
      <c r="HM357" s="49"/>
    </row>
    <row r="358" spans="1:221" ht="3.75" customHeight="1">
      <c r="A358" s="1"/>
      <c r="B358" s="3"/>
      <c r="C358" s="3"/>
      <c r="D358" s="12"/>
      <c r="E358" s="197"/>
      <c r="F358" s="197"/>
      <c r="G358" s="39"/>
      <c r="H358" s="39"/>
      <c r="I358" s="39"/>
      <c r="J358" s="39"/>
      <c r="K358" s="197"/>
      <c r="L358" s="197"/>
      <c r="M358" s="197">
        <v>180</v>
      </c>
      <c r="N358" s="197"/>
      <c r="O358" s="197"/>
      <c r="P358" s="197"/>
      <c r="Q358" s="645"/>
      <c r="R358" s="645"/>
      <c r="S358" s="645"/>
      <c r="T358" s="645"/>
      <c r="U358" s="645"/>
      <c r="V358" s="645"/>
      <c r="W358" s="645"/>
      <c r="X358" s="645"/>
      <c r="Y358" s="645"/>
      <c r="Z358" s="213"/>
      <c r="AA358" s="156" t="str">
        <f t="shared" ca="1" si="111"/>
        <v/>
      </c>
      <c r="AB358" s="159" t="e">
        <f t="shared" ref="AB358:BG358" ca="1" si="116">IF(AB596=4,":",IF(AB596=5,"!",IF(AB596=3,",",IF(AB596=2,"^",IF(AND($FO$317&gt;=AB$383,$FS$311&gt;=$M358,$FS$317&lt;$M358),"~",IF(AND($FO$317&gt;=AB$383,$FS$311&lt;$M358,$FS$317&gt;=$M358),"*",IF(OR($FO$317&lt;AB$383,$FS$317&lt;$M358),"","+")))))))</f>
        <v>#DIV/0!</v>
      </c>
      <c r="AC358" s="159" t="e">
        <f t="shared" ca="1" si="116"/>
        <v>#DIV/0!</v>
      </c>
      <c r="AD358" s="159" t="e">
        <f t="shared" ca="1" si="116"/>
        <v>#DIV/0!</v>
      </c>
      <c r="AE358" s="159" t="e">
        <f t="shared" ca="1" si="116"/>
        <v>#DIV/0!</v>
      </c>
      <c r="AF358" s="159" t="e">
        <f t="shared" ca="1" si="116"/>
        <v>#DIV/0!</v>
      </c>
      <c r="AG358" s="159" t="e">
        <f t="shared" ca="1" si="116"/>
        <v>#DIV/0!</v>
      </c>
      <c r="AH358" s="159" t="e">
        <f t="shared" ca="1" si="116"/>
        <v>#DIV/0!</v>
      </c>
      <c r="AI358" s="159" t="e">
        <f t="shared" ca="1" si="116"/>
        <v>#DIV/0!</v>
      </c>
      <c r="AJ358" s="159" t="e">
        <f t="shared" ca="1" si="116"/>
        <v>#DIV/0!</v>
      </c>
      <c r="AK358" s="159" t="e">
        <f t="shared" ca="1" si="116"/>
        <v>#DIV/0!</v>
      </c>
      <c r="AL358" s="159" t="e">
        <f t="shared" ca="1" si="116"/>
        <v>#DIV/0!</v>
      </c>
      <c r="AM358" s="159" t="e">
        <f t="shared" ca="1" si="116"/>
        <v>#DIV/0!</v>
      </c>
      <c r="AN358" s="159" t="e">
        <f t="shared" ca="1" si="116"/>
        <v>#DIV/0!</v>
      </c>
      <c r="AO358" s="159" t="e">
        <f t="shared" ca="1" si="116"/>
        <v>#DIV/0!</v>
      </c>
      <c r="AP358" s="159" t="e">
        <f t="shared" ca="1" si="116"/>
        <v>#DIV/0!</v>
      </c>
      <c r="AQ358" s="159" t="e">
        <f t="shared" ca="1" si="116"/>
        <v>#DIV/0!</v>
      </c>
      <c r="AR358" s="159" t="e">
        <f t="shared" ca="1" si="116"/>
        <v>#DIV/0!</v>
      </c>
      <c r="AS358" s="159" t="e">
        <f t="shared" ca="1" si="116"/>
        <v>#DIV/0!</v>
      </c>
      <c r="AT358" s="159" t="e">
        <f t="shared" ca="1" si="116"/>
        <v>#DIV/0!</v>
      </c>
      <c r="AU358" s="159" t="e">
        <f t="shared" ca="1" si="116"/>
        <v>#DIV/0!</v>
      </c>
      <c r="AV358" s="159" t="e">
        <f t="shared" ca="1" si="116"/>
        <v>#DIV/0!</v>
      </c>
      <c r="AW358" s="159" t="e">
        <f t="shared" ca="1" si="116"/>
        <v>#DIV/0!</v>
      </c>
      <c r="AX358" s="159" t="e">
        <f t="shared" ca="1" si="116"/>
        <v>#DIV/0!</v>
      </c>
      <c r="AY358" s="159" t="e">
        <f t="shared" ca="1" si="116"/>
        <v>#DIV/0!</v>
      </c>
      <c r="AZ358" s="159" t="e">
        <f t="shared" ca="1" si="116"/>
        <v>#DIV/0!</v>
      </c>
      <c r="BA358" s="159" t="e">
        <f t="shared" ca="1" si="116"/>
        <v>#DIV/0!</v>
      </c>
      <c r="BB358" s="159" t="e">
        <f t="shared" ca="1" si="116"/>
        <v>#DIV/0!</v>
      </c>
      <c r="BC358" s="159" t="e">
        <f t="shared" ca="1" si="116"/>
        <v>#DIV/0!</v>
      </c>
      <c r="BD358" s="159" t="e">
        <f t="shared" ca="1" si="116"/>
        <v>#DIV/0!</v>
      </c>
      <c r="BE358" s="159" t="e">
        <f t="shared" ca="1" si="116"/>
        <v>#DIV/0!</v>
      </c>
      <c r="BF358" s="159" t="e">
        <f t="shared" ca="1" si="116"/>
        <v>#DIV/0!</v>
      </c>
      <c r="BG358" s="159" t="e">
        <f t="shared" ca="1" si="116"/>
        <v>#DIV/0!</v>
      </c>
      <c r="BH358" s="159" t="e">
        <f t="shared" ref="BH358:BX358" ca="1" si="117">IF(BH596=4,":",IF(BH596=5,"!",IF(BH596=3,",",IF(BH596=2,"^",IF(AND($FO$317&gt;=BH$383,$FS$311&gt;=$M358,$FS$317&lt;$M358),"~",IF(AND($FO$317&gt;=BH$383,$FS$311&lt;$M358,$FS$317&gt;=$M358),"*",IF(OR($FO$317&lt;BH$383,$FS$317&lt;$M358),"","+")))))))</f>
        <v>#DIV/0!</v>
      </c>
      <c r="BI358" s="159" t="e">
        <f t="shared" ca="1" si="117"/>
        <v>#DIV/0!</v>
      </c>
      <c r="BJ358" s="159" t="e">
        <f t="shared" ca="1" si="117"/>
        <v>#DIV/0!</v>
      </c>
      <c r="BK358" s="159" t="e">
        <f t="shared" ca="1" si="117"/>
        <v>#DIV/0!</v>
      </c>
      <c r="BL358" s="159" t="e">
        <f t="shared" ca="1" si="117"/>
        <v>#DIV/0!</v>
      </c>
      <c r="BM358" s="159" t="e">
        <f t="shared" ca="1" si="117"/>
        <v>#DIV/0!</v>
      </c>
      <c r="BN358" s="159" t="e">
        <f t="shared" ca="1" si="117"/>
        <v>#DIV/0!</v>
      </c>
      <c r="BO358" s="159" t="e">
        <f t="shared" ca="1" si="117"/>
        <v>#DIV/0!</v>
      </c>
      <c r="BP358" s="159" t="e">
        <f t="shared" ca="1" si="117"/>
        <v>#DIV/0!</v>
      </c>
      <c r="BQ358" s="159" t="e">
        <f t="shared" ca="1" si="117"/>
        <v>#DIV/0!</v>
      </c>
      <c r="BR358" s="159" t="e">
        <f t="shared" ca="1" si="117"/>
        <v>#DIV/0!</v>
      </c>
      <c r="BS358" s="159" t="e">
        <f t="shared" ca="1" si="117"/>
        <v>#DIV/0!</v>
      </c>
      <c r="BT358" s="159" t="e">
        <f t="shared" ca="1" si="117"/>
        <v>#DIV/0!</v>
      </c>
      <c r="BU358" s="159" t="e">
        <f t="shared" ca="1" si="117"/>
        <v>#DIV/0!</v>
      </c>
      <c r="BV358" s="159" t="e">
        <f t="shared" ca="1" si="117"/>
        <v>#DIV/0!</v>
      </c>
      <c r="BW358" s="159" t="e">
        <f t="shared" ca="1" si="117"/>
        <v>#DIV/0!</v>
      </c>
      <c r="BX358" s="159" t="e">
        <f t="shared" ca="1" si="117"/>
        <v>#DIV/0!</v>
      </c>
      <c r="BY358" s="159" t="e">
        <f t="shared" ca="1" si="54"/>
        <v>#DIV/0!</v>
      </c>
      <c r="BZ358" s="160"/>
      <c r="CA358" s="157"/>
      <c r="CB358" s="59"/>
      <c r="CC358" s="55"/>
      <c r="CD358" s="55"/>
      <c r="CE358" s="55"/>
      <c r="CF358" s="55"/>
      <c r="CG358" s="55"/>
      <c r="CH358" s="55"/>
      <c r="CI358" s="55"/>
      <c r="CJ358" s="645"/>
      <c r="CK358" s="645"/>
      <c r="CL358" s="645"/>
      <c r="CM358" s="645"/>
      <c r="CN358" s="645"/>
      <c r="CO358" s="645"/>
      <c r="CP358" s="645"/>
      <c r="CQ358" s="645"/>
      <c r="CR358" s="645"/>
      <c r="CS358" s="645"/>
      <c r="CT358" s="645"/>
      <c r="CU358" s="645"/>
      <c r="CV358" s="645"/>
      <c r="CW358" s="645"/>
      <c r="CX358" s="645"/>
      <c r="CY358" s="645"/>
      <c r="CZ358" s="645"/>
      <c r="DA358" s="645"/>
      <c r="DB358" s="645"/>
      <c r="DC358" s="645"/>
      <c r="DD358" s="645"/>
      <c r="DE358" s="645"/>
      <c r="DF358" s="645"/>
      <c r="DG358" s="645"/>
      <c r="DH358" s="645"/>
      <c r="DI358" s="645"/>
      <c r="DJ358" s="645"/>
      <c r="DK358" s="645"/>
      <c r="DL358" s="645"/>
      <c r="DM358" s="645"/>
      <c r="DN358" s="645"/>
      <c r="DO358" s="645"/>
      <c r="DP358" s="645"/>
      <c r="DQ358" s="645"/>
      <c r="DR358" s="645"/>
      <c r="DS358" s="645"/>
      <c r="DT358" s="645"/>
      <c r="DU358" s="645"/>
      <c r="DV358" s="645"/>
      <c r="DW358" s="645"/>
      <c r="DX358" s="645"/>
      <c r="DY358" s="645"/>
      <c r="DZ358" s="645"/>
      <c r="EA358" s="645"/>
      <c r="EB358" s="645"/>
      <c r="EC358" s="645"/>
      <c r="ED358" s="645"/>
      <c r="EE358" s="645"/>
      <c r="EF358" s="645"/>
      <c r="EG358" s="645"/>
      <c r="EH358" s="645"/>
      <c r="EI358" s="645"/>
      <c r="EJ358" s="645"/>
      <c r="EK358" s="645"/>
      <c r="EL358" s="645"/>
      <c r="EM358" s="645"/>
      <c r="EN358" s="645"/>
      <c r="EO358" s="645"/>
      <c r="EP358" s="645"/>
      <c r="EQ358" s="645"/>
      <c r="ER358" s="645"/>
      <c r="ES358" s="645"/>
      <c r="ET358" s="645"/>
      <c r="EU358" s="645"/>
      <c r="EV358" s="645"/>
      <c r="EW358" s="210"/>
      <c r="EX358" s="210"/>
      <c r="EY358" s="210"/>
      <c r="EZ358" s="79"/>
      <c r="FA358" s="79"/>
      <c r="FB358" s="79"/>
      <c r="FC358" s="79"/>
      <c r="FD358" s="79"/>
      <c r="FE358" s="79"/>
      <c r="FF358" s="79"/>
      <c r="FG358" s="79"/>
      <c r="FH358" s="79"/>
      <c r="FI358" s="79"/>
      <c r="FJ358" s="79"/>
      <c r="FK358" s="79"/>
      <c r="FL358" s="79"/>
      <c r="FM358" s="49"/>
      <c r="FN358" s="49"/>
      <c r="FO358" s="49"/>
      <c r="FP358" s="49"/>
      <c r="FQ358" s="49"/>
      <c r="FR358" s="49"/>
      <c r="FS358" s="49"/>
      <c r="FT358" s="49"/>
      <c r="FU358" s="49"/>
      <c r="FV358" s="48"/>
      <c r="FW358" s="48"/>
      <c r="FX358" s="48"/>
      <c r="FY358" s="48"/>
      <c r="FZ358" s="48"/>
      <c r="GA358" s="49"/>
      <c r="GB358" s="49"/>
      <c r="GC358" s="49"/>
      <c r="GD358" s="49"/>
      <c r="GE358" s="49"/>
      <c r="GF358" s="49"/>
      <c r="GG358" s="49"/>
      <c r="GH358" s="49"/>
      <c r="GI358" s="49"/>
      <c r="GJ358" s="49"/>
      <c r="GK358" s="49"/>
      <c r="GL358" s="49"/>
      <c r="GM358" s="49"/>
      <c r="GN358" s="49"/>
      <c r="GO358" s="49"/>
      <c r="GP358" s="49"/>
      <c r="GQ358" s="49"/>
      <c r="GR358" s="49"/>
      <c r="GS358" s="49"/>
      <c r="GT358" s="49"/>
      <c r="GU358" s="49"/>
      <c r="GV358" s="49"/>
      <c r="GW358" s="49"/>
      <c r="GX358" s="49"/>
      <c r="GY358" s="49"/>
      <c r="GZ358" s="49"/>
      <c r="HA358" s="49"/>
      <c r="HB358" s="49"/>
      <c r="HC358" s="49"/>
      <c r="HD358" s="49"/>
      <c r="HE358" s="49"/>
      <c r="HF358" s="49"/>
      <c r="HG358" s="49"/>
      <c r="HH358" s="49"/>
      <c r="HI358" s="49"/>
      <c r="HJ358" s="49"/>
      <c r="HK358" s="49"/>
      <c r="HL358" s="49"/>
      <c r="HM358" s="49"/>
    </row>
    <row r="359" spans="1:221" ht="3.75" customHeight="1">
      <c r="A359" s="1"/>
      <c r="B359" s="3"/>
      <c r="C359" s="3"/>
      <c r="D359" s="12"/>
      <c r="E359" s="197"/>
      <c r="F359" s="197"/>
      <c r="G359" s="39"/>
      <c r="H359" s="39"/>
      <c r="I359" s="39"/>
      <c r="J359" s="39"/>
      <c r="K359" s="197"/>
      <c r="L359" s="197"/>
      <c r="M359" s="197">
        <v>170</v>
      </c>
      <c r="N359" s="197"/>
      <c r="O359" s="197"/>
      <c r="P359" s="197"/>
      <c r="Q359" s="197"/>
      <c r="R359" s="197"/>
      <c r="S359" s="197"/>
      <c r="T359" s="197"/>
      <c r="U359" s="197"/>
      <c r="V359" s="197"/>
      <c r="W359" s="197"/>
      <c r="X359" s="197"/>
      <c r="Y359" s="197"/>
      <c r="Z359" s="213"/>
      <c r="AA359" s="156" t="str">
        <f t="shared" ca="1" si="111"/>
        <v/>
      </c>
      <c r="AB359" s="159" t="e">
        <f t="shared" ref="AB359:BG359" ca="1" si="118">IF(AB597=4,":",IF(AB597=5,"!",IF(AB597=3,",",IF(AB597=2,"^",IF(AND($FO$317&gt;=AB$383,$FS$311&gt;=$M359,$FS$317&lt;$M359),"~",IF(AND($FO$317&gt;=AB$383,$FS$311&lt;$M359,$FS$317&gt;=$M359),"*",IF(OR($FO$317&lt;AB$383,$FS$317&lt;$M359),"","+")))))))</f>
        <v>#DIV/0!</v>
      </c>
      <c r="AC359" s="159" t="e">
        <f t="shared" ca="1" si="118"/>
        <v>#DIV/0!</v>
      </c>
      <c r="AD359" s="159" t="e">
        <f t="shared" ca="1" si="118"/>
        <v>#DIV/0!</v>
      </c>
      <c r="AE359" s="159" t="e">
        <f t="shared" ca="1" si="118"/>
        <v>#DIV/0!</v>
      </c>
      <c r="AF359" s="159" t="e">
        <f t="shared" ca="1" si="118"/>
        <v>#DIV/0!</v>
      </c>
      <c r="AG359" s="159" t="e">
        <f t="shared" ca="1" si="118"/>
        <v>#DIV/0!</v>
      </c>
      <c r="AH359" s="159" t="e">
        <f t="shared" ca="1" si="118"/>
        <v>#DIV/0!</v>
      </c>
      <c r="AI359" s="159" t="e">
        <f t="shared" ca="1" si="118"/>
        <v>#DIV/0!</v>
      </c>
      <c r="AJ359" s="159" t="e">
        <f t="shared" ca="1" si="118"/>
        <v>#DIV/0!</v>
      </c>
      <c r="AK359" s="159" t="e">
        <f t="shared" ca="1" si="118"/>
        <v>#DIV/0!</v>
      </c>
      <c r="AL359" s="159" t="e">
        <f t="shared" ca="1" si="118"/>
        <v>#DIV/0!</v>
      </c>
      <c r="AM359" s="159" t="e">
        <f t="shared" ca="1" si="118"/>
        <v>#DIV/0!</v>
      </c>
      <c r="AN359" s="159" t="e">
        <f t="shared" ca="1" si="118"/>
        <v>#DIV/0!</v>
      </c>
      <c r="AO359" s="159" t="e">
        <f t="shared" ca="1" si="118"/>
        <v>#DIV/0!</v>
      </c>
      <c r="AP359" s="159" t="e">
        <f t="shared" ca="1" si="118"/>
        <v>#DIV/0!</v>
      </c>
      <c r="AQ359" s="159" t="e">
        <f t="shared" ca="1" si="118"/>
        <v>#DIV/0!</v>
      </c>
      <c r="AR359" s="159" t="e">
        <f t="shared" ca="1" si="118"/>
        <v>#DIV/0!</v>
      </c>
      <c r="AS359" s="159" t="e">
        <f t="shared" ca="1" si="118"/>
        <v>#DIV/0!</v>
      </c>
      <c r="AT359" s="159" t="e">
        <f t="shared" ca="1" si="118"/>
        <v>#DIV/0!</v>
      </c>
      <c r="AU359" s="159" t="e">
        <f t="shared" ca="1" si="118"/>
        <v>#DIV/0!</v>
      </c>
      <c r="AV359" s="159" t="e">
        <f t="shared" ca="1" si="118"/>
        <v>#DIV/0!</v>
      </c>
      <c r="AW359" s="159" t="e">
        <f t="shared" ca="1" si="118"/>
        <v>#DIV/0!</v>
      </c>
      <c r="AX359" s="159" t="e">
        <f t="shared" ca="1" si="118"/>
        <v>#DIV/0!</v>
      </c>
      <c r="AY359" s="159" t="e">
        <f t="shared" ca="1" si="118"/>
        <v>#DIV/0!</v>
      </c>
      <c r="AZ359" s="159" t="e">
        <f t="shared" ca="1" si="118"/>
        <v>#DIV/0!</v>
      </c>
      <c r="BA359" s="159" t="e">
        <f t="shared" ca="1" si="118"/>
        <v>#DIV/0!</v>
      </c>
      <c r="BB359" s="159" t="e">
        <f t="shared" ca="1" si="118"/>
        <v>#DIV/0!</v>
      </c>
      <c r="BC359" s="159" t="e">
        <f t="shared" ca="1" si="118"/>
        <v>#DIV/0!</v>
      </c>
      <c r="BD359" s="159" t="e">
        <f t="shared" ca="1" si="118"/>
        <v>#DIV/0!</v>
      </c>
      <c r="BE359" s="159" t="e">
        <f t="shared" ca="1" si="118"/>
        <v>#DIV/0!</v>
      </c>
      <c r="BF359" s="159" t="e">
        <f t="shared" ca="1" si="118"/>
        <v>#DIV/0!</v>
      </c>
      <c r="BG359" s="159" t="e">
        <f t="shared" ca="1" si="118"/>
        <v>#DIV/0!</v>
      </c>
      <c r="BH359" s="159" t="e">
        <f t="shared" ref="BH359:BX359" ca="1" si="119">IF(BH597=4,":",IF(BH597=5,"!",IF(BH597=3,",",IF(BH597=2,"^",IF(AND($FO$317&gt;=BH$383,$FS$311&gt;=$M359,$FS$317&lt;$M359),"~",IF(AND($FO$317&gt;=BH$383,$FS$311&lt;$M359,$FS$317&gt;=$M359),"*",IF(OR($FO$317&lt;BH$383,$FS$317&lt;$M359),"","+")))))))</f>
        <v>#DIV/0!</v>
      </c>
      <c r="BI359" s="159" t="e">
        <f t="shared" ca="1" si="119"/>
        <v>#DIV/0!</v>
      </c>
      <c r="BJ359" s="159" t="e">
        <f t="shared" ca="1" si="119"/>
        <v>#DIV/0!</v>
      </c>
      <c r="BK359" s="159" t="e">
        <f t="shared" ca="1" si="119"/>
        <v>#DIV/0!</v>
      </c>
      <c r="BL359" s="159" t="e">
        <f t="shared" ca="1" si="119"/>
        <v>#DIV/0!</v>
      </c>
      <c r="BM359" s="159" t="e">
        <f t="shared" ca="1" si="119"/>
        <v>#DIV/0!</v>
      </c>
      <c r="BN359" s="159" t="e">
        <f t="shared" ca="1" si="119"/>
        <v>#DIV/0!</v>
      </c>
      <c r="BO359" s="159" t="e">
        <f t="shared" ca="1" si="119"/>
        <v>#DIV/0!</v>
      </c>
      <c r="BP359" s="159" t="e">
        <f t="shared" ca="1" si="119"/>
        <v>#DIV/0!</v>
      </c>
      <c r="BQ359" s="159" t="e">
        <f t="shared" ca="1" si="119"/>
        <v>#DIV/0!</v>
      </c>
      <c r="BR359" s="159" t="e">
        <f t="shared" ca="1" si="119"/>
        <v>#DIV/0!</v>
      </c>
      <c r="BS359" s="159" t="e">
        <f t="shared" ca="1" si="119"/>
        <v>#DIV/0!</v>
      </c>
      <c r="BT359" s="159" t="e">
        <f t="shared" ca="1" si="119"/>
        <v>#DIV/0!</v>
      </c>
      <c r="BU359" s="159" t="e">
        <f t="shared" ca="1" si="119"/>
        <v>#DIV/0!</v>
      </c>
      <c r="BV359" s="159" t="e">
        <f t="shared" ca="1" si="119"/>
        <v>#DIV/0!</v>
      </c>
      <c r="BW359" s="159" t="e">
        <f t="shared" ca="1" si="119"/>
        <v>#DIV/0!</v>
      </c>
      <c r="BX359" s="159" t="e">
        <f t="shared" ca="1" si="119"/>
        <v>#DIV/0!</v>
      </c>
      <c r="BY359" s="159" t="e">
        <f t="shared" ca="1" si="54"/>
        <v>#DIV/0!</v>
      </c>
      <c r="BZ359" s="160"/>
      <c r="CA359" s="157"/>
      <c r="CB359" s="59"/>
      <c r="CC359" s="55"/>
      <c r="CD359" s="45"/>
      <c r="CE359" s="45"/>
      <c r="CF359" s="45"/>
      <c r="CG359" s="45"/>
      <c r="CH359" s="45"/>
      <c r="CI359" s="45"/>
      <c r="CJ359" s="645"/>
      <c r="CK359" s="645"/>
      <c r="CL359" s="645"/>
      <c r="CM359" s="645"/>
      <c r="CN359" s="645"/>
      <c r="CO359" s="645"/>
      <c r="CP359" s="645"/>
      <c r="CQ359" s="645"/>
      <c r="CR359" s="645"/>
      <c r="CS359" s="645"/>
      <c r="CT359" s="645"/>
      <c r="CU359" s="645"/>
      <c r="CV359" s="645"/>
      <c r="CW359" s="645"/>
      <c r="CX359" s="645"/>
      <c r="CY359" s="645"/>
      <c r="CZ359" s="645"/>
      <c r="DA359" s="645"/>
      <c r="DB359" s="645"/>
      <c r="DC359" s="645"/>
      <c r="DD359" s="645"/>
      <c r="DE359" s="645"/>
      <c r="DF359" s="645"/>
      <c r="DG359" s="645"/>
      <c r="DH359" s="645"/>
      <c r="DI359" s="645"/>
      <c r="DJ359" s="645"/>
      <c r="DK359" s="645"/>
      <c r="DL359" s="645"/>
      <c r="DM359" s="645"/>
      <c r="DN359" s="645"/>
      <c r="DO359" s="645"/>
      <c r="DP359" s="645"/>
      <c r="DQ359" s="645"/>
      <c r="DR359" s="645"/>
      <c r="DS359" s="645"/>
      <c r="DT359" s="645"/>
      <c r="DU359" s="645"/>
      <c r="DV359" s="645"/>
      <c r="DW359" s="645"/>
      <c r="DX359" s="645"/>
      <c r="DY359" s="645"/>
      <c r="DZ359" s="645"/>
      <c r="EA359" s="645"/>
      <c r="EB359" s="645"/>
      <c r="EC359" s="645"/>
      <c r="ED359" s="645"/>
      <c r="EE359" s="645"/>
      <c r="EF359" s="645"/>
      <c r="EG359" s="645"/>
      <c r="EH359" s="645"/>
      <c r="EI359" s="645"/>
      <c r="EJ359" s="645"/>
      <c r="EK359" s="645"/>
      <c r="EL359" s="645"/>
      <c r="EM359" s="645"/>
      <c r="EN359" s="645"/>
      <c r="EO359" s="645"/>
      <c r="EP359" s="645"/>
      <c r="EQ359" s="645"/>
      <c r="ER359" s="645"/>
      <c r="ES359" s="645"/>
      <c r="ET359" s="645"/>
      <c r="EU359" s="645"/>
      <c r="EV359" s="645"/>
      <c r="EW359" s="210"/>
      <c r="EX359" s="210"/>
      <c r="EY359" s="210"/>
      <c r="EZ359" s="79"/>
      <c r="FA359" s="79"/>
      <c r="FB359" s="79"/>
      <c r="FC359" s="79"/>
      <c r="FD359" s="79"/>
      <c r="FE359" s="79"/>
      <c r="FF359" s="79"/>
      <c r="FG359" s="79"/>
      <c r="FH359" s="79"/>
      <c r="FI359" s="79"/>
      <c r="FJ359" s="79"/>
      <c r="FK359" s="79"/>
      <c r="FL359" s="79"/>
      <c r="FM359" s="49"/>
      <c r="FN359" s="49"/>
      <c r="FO359" s="49"/>
      <c r="FP359" s="49"/>
      <c r="FQ359" s="49"/>
      <c r="FR359" s="49"/>
      <c r="FS359" s="49"/>
      <c r="FT359" s="49"/>
      <c r="FU359" s="49"/>
      <c r="FV359" s="48"/>
      <c r="FW359" s="48"/>
      <c r="FX359" s="48"/>
      <c r="FY359" s="48"/>
      <c r="FZ359" s="48"/>
      <c r="GA359" s="49"/>
      <c r="GB359" s="49"/>
      <c r="GC359" s="49"/>
      <c r="GD359" s="49"/>
      <c r="GE359" s="49"/>
      <c r="GF359" s="49"/>
      <c r="GG359" s="49"/>
      <c r="GH359" s="49"/>
      <c r="GI359" s="49"/>
      <c r="GJ359" s="49"/>
      <c r="GK359" s="49"/>
      <c r="GL359" s="49"/>
      <c r="GM359" s="49"/>
      <c r="GN359" s="49"/>
      <c r="GO359" s="49"/>
      <c r="GP359" s="49"/>
      <c r="GQ359" s="49"/>
      <c r="GR359" s="49"/>
      <c r="GS359" s="49"/>
      <c r="GT359" s="49"/>
      <c r="GU359" s="49"/>
      <c r="GV359" s="49"/>
      <c r="GW359" s="49"/>
      <c r="GX359" s="49"/>
      <c r="GY359" s="49"/>
      <c r="GZ359" s="49"/>
      <c r="HA359" s="49"/>
      <c r="HB359" s="49"/>
      <c r="HC359" s="49"/>
      <c r="HD359" s="49"/>
      <c r="HE359" s="49"/>
      <c r="HF359" s="49"/>
      <c r="HG359" s="49"/>
      <c r="HH359" s="49"/>
      <c r="HI359" s="49"/>
      <c r="HJ359" s="49"/>
      <c r="HK359" s="49"/>
      <c r="HL359" s="49"/>
      <c r="HM359" s="49"/>
    </row>
    <row r="360" spans="1:221" ht="3.75" customHeight="1">
      <c r="A360" s="1"/>
      <c r="B360" s="3"/>
      <c r="C360" s="3"/>
      <c r="D360" s="12"/>
      <c r="E360" s="197"/>
      <c r="F360" s="197"/>
      <c r="G360" s="39"/>
      <c r="H360" s="39"/>
      <c r="I360" s="39"/>
      <c r="J360" s="39"/>
      <c r="K360" s="197"/>
      <c r="L360" s="197"/>
      <c r="M360" s="197">
        <v>160</v>
      </c>
      <c r="N360" s="197"/>
      <c r="O360" s="197"/>
      <c r="P360" s="197"/>
      <c r="Q360" s="197"/>
      <c r="R360" s="197"/>
      <c r="S360" s="197"/>
      <c r="T360" s="197"/>
      <c r="U360" s="197"/>
      <c r="V360" s="197"/>
      <c r="W360" s="197"/>
      <c r="X360" s="197"/>
      <c r="Y360" s="197"/>
      <c r="Z360" s="126"/>
      <c r="AA360" s="156" t="str">
        <f t="shared" ca="1" si="111"/>
        <v/>
      </c>
      <c r="AB360" s="159" t="e">
        <f t="shared" ref="AB360:BG360" ca="1" si="120">IF(AB598=4,":",IF(AB598=5,"!",IF(AB598=3,",",IF(AB598=2,"^",IF(AND($FO$317&gt;=AB$383,$FS$311&gt;=$M360,$FS$317&lt;$M360),"~",IF(AND($FO$317&gt;=AB$383,$FS$311&lt;$M360,$FS$317&gt;=$M360),"*",IF(OR($FO$317&lt;AB$383,$FS$317&lt;$M360),"","+")))))))</f>
        <v>#DIV/0!</v>
      </c>
      <c r="AC360" s="159" t="e">
        <f t="shared" ca="1" si="120"/>
        <v>#DIV/0!</v>
      </c>
      <c r="AD360" s="159" t="e">
        <f t="shared" ca="1" si="120"/>
        <v>#DIV/0!</v>
      </c>
      <c r="AE360" s="159" t="e">
        <f t="shared" ca="1" si="120"/>
        <v>#DIV/0!</v>
      </c>
      <c r="AF360" s="159" t="e">
        <f t="shared" ca="1" si="120"/>
        <v>#DIV/0!</v>
      </c>
      <c r="AG360" s="159" t="e">
        <f t="shared" ca="1" si="120"/>
        <v>#DIV/0!</v>
      </c>
      <c r="AH360" s="159" t="e">
        <f t="shared" ca="1" si="120"/>
        <v>#DIV/0!</v>
      </c>
      <c r="AI360" s="159" t="e">
        <f t="shared" ca="1" si="120"/>
        <v>#DIV/0!</v>
      </c>
      <c r="AJ360" s="159" t="e">
        <f t="shared" ca="1" si="120"/>
        <v>#DIV/0!</v>
      </c>
      <c r="AK360" s="159" t="e">
        <f t="shared" ca="1" si="120"/>
        <v>#DIV/0!</v>
      </c>
      <c r="AL360" s="159" t="e">
        <f t="shared" ca="1" si="120"/>
        <v>#DIV/0!</v>
      </c>
      <c r="AM360" s="159" t="e">
        <f t="shared" ca="1" si="120"/>
        <v>#DIV/0!</v>
      </c>
      <c r="AN360" s="159" t="e">
        <f t="shared" ca="1" si="120"/>
        <v>#DIV/0!</v>
      </c>
      <c r="AO360" s="159" t="e">
        <f t="shared" ca="1" si="120"/>
        <v>#DIV/0!</v>
      </c>
      <c r="AP360" s="159" t="e">
        <f t="shared" ca="1" si="120"/>
        <v>#DIV/0!</v>
      </c>
      <c r="AQ360" s="159" t="e">
        <f t="shared" ca="1" si="120"/>
        <v>#DIV/0!</v>
      </c>
      <c r="AR360" s="159" t="e">
        <f t="shared" ca="1" si="120"/>
        <v>#DIV/0!</v>
      </c>
      <c r="AS360" s="159" t="e">
        <f t="shared" ca="1" si="120"/>
        <v>#DIV/0!</v>
      </c>
      <c r="AT360" s="159" t="e">
        <f t="shared" ca="1" si="120"/>
        <v>#DIV/0!</v>
      </c>
      <c r="AU360" s="159" t="e">
        <f t="shared" ca="1" si="120"/>
        <v>#DIV/0!</v>
      </c>
      <c r="AV360" s="159" t="e">
        <f t="shared" ca="1" si="120"/>
        <v>#DIV/0!</v>
      </c>
      <c r="AW360" s="159" t="e">
        <f t="shared" ca="1" si="120"/>
        <v>#DIV/0!</v>
      </c>
      <c r="AX360" s="159" t="e">
        <f t="shared" ca="1" si="120"/>
        <v>#DIV/0!</v>
      </c>
      <c r="AY360" s="159" t="e">
        <f t="shared" ca="1" si="120"/>
        <v>#DIV/0!</v>
      </c>
      <c r="AZ360" s="159" t="e">
        <f t="shared" ca="1" si="120"/>
        <v>#DIV/0!</v>
      </c>
      <c r="BA360" s="159" t="e">
        <f t="shared" ca="1" si="120"/>
        <v>#DIV/0!</v>
      </c>
      <c r="BB360" s="159" t="e">
        <f t="shared" ca="1" si="120"/>
        <v>#DIV/0!</v>
      </c>
      <c r="BC360" s="159" t="e">
        <f t="shared" ca="1" si="120"/>
        <v>#DIV/0!</v>
      </c>
      <c r="BD360" s="159" t="e">
        <f t="shared" ca="1" si="120"/>
        <v>#DIV/0!</v>
      </c>
      <c r="BE360" s="159" t="e">
        <f t="shared" ca="1" si="120"/>
        <v>#DIV/0!</v>
      </c>
      <c r="BF360" s="159" t="e">
        <f t="shared" ca="1" si="120"/>
        <v>#DIV/0!</v>
      </c>
      <c r="BG360" s="159" t="e">
        <f t="shared" ca="1" si="120"/>
        <v>#DIV/0!</v>
      </c>
      <c r="BH360" s="159" t="e">
        <f t="shared" ref="BH360:BX360" ca="1" si="121">IF(BH598=4,":",IF(BH598=5,"!",IF(BH598=3,",",IF(BH598=2,"^",IF(AND($FO$317&gt;=BH$383,$FS$311&gt;=$M360,$FS$317&lt;$M360),"~",IF(AND($FO$317&gt;=BH$383,$FS$311&lt;$M360,$FS$317&gt;=$M360),"*",IF(OR($FO$317&lt;BH$383,$FS$317&lt;$M360),"","+")))))))</f>
        <v>#DIV/0!</v>
      </c>
      <c r="BI360" s="159" t="e">
        <f t="shared" ca="1" si="121"/>
        <v>#DIV/0!</v>
      </c>
      <c r="BJ360" s="159" t="e">
        <f t="shared" ca="1" si="121"/>
        <v>#DIV/0!</v>
      </c>
      <c r="BK360" s="159" t="e">
        <f t="shared" ca="1" si="121"/>
        <v>#DIV/0!</v>
      </c>
      <c r="BL360" s="159" t="e">
        <f t="shared" ca="1" si="121"/>
        <v>#DIV/0!</v>
      </c>
      <c r="BM360" s="159" t="e">
        <f t="shared" ca="1" si="121"/>
        <v>#DIV/0!</v>
      </c>
      <c r="BN360" s="159" t="e">
        <f t="shared" ca="1" si="121"/>
        <v>#DIV/0!</v>
      </c>
      <c r="BO360" s="159" t="e">
        <f t="shared" ca="1" si="121"/>
        <v>#DIV/0!</v>
      </c>
      <c r="BP360" s="159" t="e">
        <f t="shared" ca="1" si="121"/>
        <v>#DIV/0!</v>
      </c>
      <c r="BQ360" s="159" t="e">
        <f t="shared" ca="1" si="121"/>
        <v>#DIV/0!</v>
      </c>
      <c r="BR360" s="159" t="e">
        <f t="shared" ca="1" si="121"/>
        <v>#DIV/0!</v>
      </c>
      <c r="BS360" s="159" t="e">
        <f t="shared" ca="1" si="121"/>
        <v>#DIV/0!</v>
      </c>
      <c r="BT360" s="159" t="e">
        <f t="shared" ca="1" si="121"/>
        <v>#DIV/0!</v>
      </c>
      <c r="BU360" s="159" t="e">
        <f t="shared" ca="1" si="121"/>
        <v>#DIV/0!</v>
      </c>
      <c r="BV360" s="159" t="e">
        <f t="shared" ca="1" si="121"/>
        <v>#DIV/0!</v>
      </c>
      <c r="BW360" s="159" t="e">
        <f t="shared" ca="1" si="121"/>
        <v>#DIV/0!</v>
      </c>
      <c r="BX360" s="159" t="e">
        <f t="shared" ca="1" si="121"/>
        <v>#DIV/0!</v>
      </c>
      <c r="BY360" s="159" t="e">
        <f t="shared" ca="1" si="54"/>
        <v>#DIV/0!</v>
      </c>
      <c r="BZ360" s="160"/>
      <c r="CA360" s="157"/>
      <c r="CB360" s="45"/>
      <c r="CC360" s="45"/>
      <c r="CD360" s="45"/>
      <c r="CE360" s="45"/>
      <c r="CF360" s="45"/>
      <c r="CG360" s="45"/>
      <c r="CH360" s="45"/>
      <c r="CI360" s="45"/>
      <c r="CJ360" s="645"/>
      <c r="CK360" s="645"/>
      <c r="CL360" s="645"/>
      <c r="CM360" s="645"/>
      <c r="CN360" s="645"/>
      <c r="CO360" s="645"/>
      <c r="CP360" s="645"/>
      <c r="CQ360" s="645"/>
      <c r="CR360" s="645"/>
      <c r="CS360" s="645"/>
      <c r="CT360" s="645"/>
      <c r="CU360" s="645"/>
      <c r="CV360" s="645"/>
      <c r="CW360" s="645"/>
      <c r="CX360" s="645"/>
      <c r="CY360" s="645"/>
      <c r="CZ360" s="645"/>
      <c r="DA360" s="645"/>
      <c r="DB360" s="645"/>
      <c r="DC360" s="645"/>
      <c r="DD360" s="645"/>
      <c r="DE360" s="645"/>
      <c r="DF360" s="645"/>
      <c r="DG360" s="645"/>
      <c r="DH360" s="645"/>
      <c r="DI360" s="645"/>
      <c r="DJ360" s="645"/>
      <c r="DK360" s="645"/>
      <c r="DL360" s="645"/>
      <c r="DM360" s="645"/>
      <c r="DN360" s="645"/>
      <c r="DO360" s="645"/>
      <c r="DP360" s="645"/>
      <c r="DQ360" s="645"/>
      <c r="DR360" s="645"/>
      <c r="DS360" s="645"/>
      <c r="DT360" s="645"/>
      <c r="DU360" s="645"/>
      <c r="DV360" s="645"/>
      <c r="DW360" s="645"/>
      <c r="DX360" s="645"/>
      <c r="DY360" s="645"/>
      <c r="DZ360" s="645"/>
      <c r="EA360" s="645"/>
      <c r="EB360" s="645"/>
      <c r="EC360" s="645"/>
      <c r="ED360" s="645"/>
      <c r="EE360" s="645"/>
      <c r="EF360" s="645"/>
      <c r="EG360" s="645"/>
      <c r="EH360" s="645"/>
      <c r="EI360" s="645"/>
      <c r="EJ360" s="645"/>
      <c r="EK360" s="645"/>
      <c r="EL360" s="645"/>
      <c r="EM360" s="645"/>
      <c r="EN360" s="645"/>
      <c r="EO360" s="645"/>
      <c r="EP360" s="645"/>
      <c r="EQ360" s="645"/>
      <c r="ER360" s="645"/>
      <c r="ES360" s="645"/>
      <c r="ET360" s="645"/>
      <c r="EU360" s="645"/>
      <c r="EV360" s="645"/>
      <c r="EW360" s="210"/>
      <c r="EX360" s="210"/>
      <c r="EY360" s="210"/>
      <c r="EZ360" s="79"/>
      <c r="FA360" s="79"/>
      <c r="FB360" s="79"/>
      <c r="FC360" s="79"/>
      <c r="FD360" s="79"/>
      <c r="FE360" s="79"/>
      <c r="FF360" s="79"/>
      <c r="FG360" s="79"/>
      <c r="FH360" s="79"/>
      <c r="FI360" s="79"/>
      <c r="FJ360" s="79"/>
      <c r="FK360" s="79"/>
      <c r="FL360" s="79"/>
      <c r="FM360" s="49"/>
      <c r="FN360" s="49"/>
      <c r="FO360" s="49"/>
      <c r="FP360" s="49"/>
      <c r="FQ360" s="49"/>
      <c r="FR360" s="49"/>
      <c r="FS360" s="49"/>
      <c r="FT360" s="49"/>
      <c r="FU360" s="49"/>
      <c r="FV360" s="48"/>
      <c r="FW360" s="48"/>
      <c r="FX360" s="48"/>
      <c r="FY360" s="48"/>
      <c r="FZ360" s="48"/>
      <c r="GA360" s="49"/>
      <c r="GB360" s="49"/>
      <c r="GC360" s="49"/>
      <c r="GD360" s="49"/>
      <c r="GE360" s="49"/>
      <c r="GF360" s="49"/>
      <c r="GG360" s="49"/>
      <c r="GH360" s="49"/>
      <c r="GI360" s="49"/>
      <c r="GJ360" s="49"/>
      <c r="GK360" s="49"/>
      <c r="GL360" s="49"/>
      <c r="GM360" s="49"/>
      <c r="GN360" s="49"/>
      <c r="GO360" s="49"/>
      <c r="GP360" s="49"/>
      <c r="GQ360" s="49"/>
      <c r="GR360" s="49"/>
      <c r="GS360" s="49"/>
      <c r="GT360" s="49"/>
      <c r="GU360" s="49"/>
      <c r="GV360" s="49"/>
      <c r="GW360" s="49"/>
      <c r="GX360" s="49"/>
      <c r="GY360" s="49"/>
      <c r="GZ360" s="49"/>
      <c r="HA360" s="49"/>
      <c r="HB360" s="49"/>
      <c r="HC360" s="49"/>
      <c r="HD360" s="49"/>
      <c r="HE360" s="49"/>
      <c r="HF360" s="49"/>
      <c r="HG360" s="49"/>
      <c r="HH360" s="49"/>
      <c r="HI360" s="49"/>
      <c r="HJ360" s="49"/>
      <c r="HK360" s="49"/>
      <c r="HL360" s="49"/>
      <c r="HM360" s="49"/>
    </row>
    <row r="361" spans="1:221" ht="3.75" customHeight="1">
      <c r="A361" s="1"/>
      <c r="B361" s="3"/>
      <c r="C361" s="3"/>
      <c r="D361" s="12"/>
      <c r="E361" s="197"/>
      <c r="F361" s="197"/>
      <c r="G361" s="39"/>
      <c r="H361" s="39"/>
      <c r="I361" s="39"/>
      <c r="J361" s="39"/>
      <c r="K361" s="197"/>
      <c r="L361" s="197"/>
      <c r="M361" s="197">
        <v>150</v>
      </c>
      <c r="N361" s="197"/>
      <c r="O361" s="197"/>
      <c r="P361" s="197"/>
      <c r="Q361" s="197"/>
      <c r="R361" s="197"/>
      <c r="S361" s="197"/>
      <c r="T361" s="197"/>
      <c r="U361" s="197"/>
      <c r="V361" s="197"/>
      <c r="W361" s="197"/>
      <c r="X361" s="197"/>
      <c r="Y361" s="197"/>
      <c r="Z361" s="126"/>
      <c r="AA361" s="156" t="str">
        <f t="shared" ca="1" si="111"/>
        <v/>
      </c>
      <c r="AB361" s="159" t="e">
        <f t="shared" ref="AB361:BG361" ca="1" si="122">IF(AB599=4,":",IF(AB599=5,"!",IF(AB599=3,",",IF(AB599=2,"^",IF(AND($FO$317&gt;=AB$383,$FS$311&gt;=$M361,$FS$317&lt;$M361),"~",IF(AND($FO$317&gt;=AB$383,$FS$311&lt;$M361,$FS$317&gt;=$M361),"*",IF(OR($FO$317&lt;AB$383,$FS$317&lt;$M361),"","+")))))))</f>
        <v>#DIV/0!</v>
      </c>
      <c r="AC361" s="159" t="e">
        <f t="shared" ca="1" si="122"/>
        <v>#DIV/0!</v>
      </c>
      <c r="AD361" s="159" t="e">
        <f t="shared" ca="1" si="122"/>
        <v>#DIV/0!</v>
      </c>
      <c r="AE361" s="159" t="e">
        <f t="shared" ca="1" si="122"/>
        <v>#DIV/0!</v>
      </c>
      <c r="AF361" s="159" t="e">
        <f t="shared" ca="1" si="122"/>
        <v>#DIV/0!</v>
      </c>
      <c r="AG361" s="159" t="e">
        <f t="shared" ca="1" si="122"/>
        <v>#DIV/0!</v>
      </c>
      <c r="AH361" s="159" t="e">
        <f t="shared" ca="1" si="122"/>
        <v>#DIV/0!</v>
      </c>
      <c r="AI361" s="159" t="e">
        <f t="shared" ca="1" si="122"/>
        <v>#DIV/0!</v>
      </c>
      <c r="AJ361" s="159" t="e">
        <f t="shared" ca="1" si="122"/>
        <v>#DIV/0!</v>
      </c>
      <c r="AK361" s="159" t="e">
        <f t="shared" ca="1" si="122"/>
        <v>#DIV/0!</v>
      </c>
      <c r="AL361" s="159" t="e">
        <f t="shared" ca="1" si="122"/>
        <v>#DIV/0!</v>
      </c>
      <c r="AM361" s="159" t="e">
        <f t="shared" ca="1" si="122"/>
        <v>#DIV/0!</v>
      </c>
      <c r="AN361" s="159" t="e">
        <f t="shared" ca="1" si="122"/>
        <v>#DIV/0!</v>
      </c>
      <c r="AO361" s="159" t="e">
        <f t="shared" ca="1" si="122"/>
        <v>#DIV/0!</v>
      </c>
      <c r="AP361" s="159" t="e">
        <f t="shared" ca="1" si="122"/>
        <v>#DIV/0!</v>
      </c>
      <c r="AQ361" s="159" t="e">
        <f t="shared" ca="1" si="122"/>
        <v>#DIV/0!</v>
      </c>
      <c r="AR361" s="159" t="e">
        <f t="shared" ca="1" si="122"/>
        <v>#DIV/0!</v>
      </c>
      <c r="AS361" s="159" t="e">
        <f t="shared" ca="1" si="122"/>
        <v>#DIV/0!</v>
      </c>
      <c r="AT361" s="159" t="e">
        <f t="shared" ca="1" si="122"/>
        <v>#DIV/0!</v>
      </c>
      <c r="AU361" s="159" t="e">
        <f t="shared" ca="1" si="122"/>
        <v>#DIV/0!</v>
      </c>
      <c r="AV361" s="159" t="e">
        <f t="shared" ca="1" si="122"/>
        <v>#DIV/0!</v>
      </c>
      <c r="AW361" s="159" t="e">
        <f t="shared" ca="1" si="122"/>
        <v>#DIV/0!</v>
      </c>
      <c r="AX361" s="159" t="e">
        <f t="shared" ca="1" si="122"/>
        <v>#DIV/0!</v>
      </c>
      <c r="AY361" s="159" t="e">
        <f t="shared" ca="1" si="122"/>
        <v>#DIV/0!</v>
      </c>
      <c r="AZ361" s="159" t="e">
        <f t="shared" ca="1" si="122"/>
        <v>#DIV/0!</v>
      </c>
      <c r="BA361" s="159" t="e">
        <f t="shared" ca="1" si="122"/>
        <v>#DIV/0!</v>
      </c>
      <c r="BB361" s="159" t="e">
        <f t="shared" ca="1" si="122"/>
        <v>#DIV/0!</v>
      </c>
      <c r="BC361" s="159" t="e">
        <f t="shared" ca="1" si="122"/>
        <v>#DIV/0!</v>
      </c>
      <c r="BD361" s="159" t="e">
        <f t="shared" ca="1" si="122"/>
        <v>#DIV/0!</v>
      </c>
      <c r="BE361" s="159" t="e">
        <f t="shared" ca="1" si="122"/>
        <v>#DIV/0!</v>
      </c>
      <c r="BF361" s="159" t="e">
        <f t="shared" ca="1" si="122"/>
        <v>#DIV/0!</v>
      </c>
      <c r="BG361" s="159" t="e">
        <f t="shared" ca="1" si="122"/>
        <v>#DIV/0!</v>
      </c>
      <c r="BH361" s="159" t="e">
        <f t="shared" ref="BH361:BX361" ca="1" si="123">IF(BH599=4,":",IF(BH599=5,"!",IF(BH599=3,",",IF(BH599=2,"^",IF(AND($FO$317&gt;=BH$383,$FS$311&gt;=$M361,$FS$317&lt;$M361),"~",IF(AND($FO$317&gt;=BH$383,$FS$311&lt;$M361,$FS$317&gt;=$M361),"*",IF(OR($FO$317&lt;BH$383,$FS$317&lt;$M361),"","+")))))))</f>
        <v>#DIV/0!</v>
      </c>
      <c r="BI361" s="159" t="e">
        <f t="shared" ca="1" si="123"/>
        <v>#DIV/0!</v>
      </c>
      <c r="BJ361" s="159" t="e">
        <f t="shared" ca="1" si="123"/>
        <v>#DIV/0!</v>
      </c>
      <c r="BK361" s="159" t="e">
        <f t="shared" ca="1" si="123"/>
        <v>#DIV/0!</v>
      </c>
      <c r="BL361" s="159" t="e">
        <f t="shared" ca="1" si="123"/>
        <v>#DIV/0!</v>
      </c>
      <c r="BM361" s="159" t="e">
        <f t="shared" ca="1" si="123"/>
        <v>#DIV/0!</v>
      </c>
      <c r="BN361" s="159" t="e">
        <f t="shared" ca="1" si="123"/>
        <v>#DIV/0!</v>
      </c>
      <c r="BO361" s="159" t="e">
        <f t="shared" ca="1" si="123"/>
        <v>#DIV/0!</v>
      </c>
      <c r="BP361" s="159" t="e">
        <f t="shared" ca="1" si="123"/>
        <v>#DIV/0!</v>
      </c>
      <c r="BQ361" s="159" t="e">
        <f t="shared" ca="1" si="123"/>
        <v>#DIV/0!</v>
      </c>
      <c r="BR361" s="159" t="e">
        <f t="shared" ca="1" si="123"/>
        <v>#DIV/0!</v>
      </c>
      <c r="BS361" s="159" t="e">
        <f t="shared" ca="1" si="123"/>
        <v>#DIV/0!</v>
      </c>
      <c r="BT361" s="159" t="e">
        <f t="shared" ca="1" si="123"/>
        <v>#DIV/0!</v>
      </c>
      <c r="BU361" s="159" t="e">
        <f t="shared" ca="1" si="123"/>
        <v>#DIV/0!</v>
      </c>
      <c r="BV361" s="159" t="e">
        <f t="shared" ca="1" si="123"/>
        <v>#DIV/0!</v>
      </c>
      <c r="BW361" s="159" t="e">
        <f t="shared" ca="1" si="123"/>
        <v>#DIV/0!</v>
      </c>
      <c r="BX361" s="159" t="e">
        <f t="shared" ca="1" si="123"/>
        <v>#DIV/0!</v>
      </c>
      <c r="BY361" s="159" t="e">
        <f t="shared" ca="1" si="54"/>
        <v>#DIV/0!</v>
      </c>
      <c r="BZ361" s="160"/>
      <c r="CA361" s="157"/>
      <c r="CB361" s="45"/>
      <c r="CC361" s="45"/>
      <c r="CD361" s="45"/>
      <c r="CE361" s="45"/>
      <c r="CF361" s="45"/>
      <c r="CG361" s="45"/>
      <c r="CH361" s="45"/>
      <c r="CI361" s="45"/>
      <c r="CJ361" s="645"/>
      <c r="CK361" s="645"/>
      <c r="CL361" s="645"/>
      <c r="CM361" s="645"/>
      <c r="CN361" s="645"/>
      <c r="CO361" s="645"/>
      <c r="CP361" s="645"/>
      <c r="CQ361" s="645"/>
      <c r="CR361" s="645"/>
      <c r="CS361" s="645"/>
      <c r="CT361" s="645"/>
      <c r="CU361" s="645"/>
      <c r="CV361" s="645"/>
      <c r="CW361" s="645"/>
      <c r="CX361" s="645"/>
      <c r="CY361" s="645"/>
      <c r="CZ361" s="645"/>
      <c r="DA361" s="645"/>
      <c r="DB361" s="645"/>
      <c r="DC361" s="645"/>
      <c r="DD361" s="645"/>
      <c r="DE361" s="645"/>
      <c r="DF361" s="645"/>
      <c r="DG361" s="645"/>
      <c r="DH361" s="645"/>
      <c r="DI361" s="645"/>
      <c r="DJ361" s="645"/>
      <c r="DK361" s="645"/>
      <c r="DL361" s="645"/>
      <c r="DM361" s="645"/>
      <c r="DN361" s="645"/>
      <c r="DO361" s="645"/>
      <c r="DP361" s="645"/>
      <c r="DQ361" s="645"/>
      <c r="DR361" s="645"/>
      <c r="DS361" s="645"/>
      <c r="DT361" s="645"/>
      <c r="DU361" s="645"/>
      <c r="DV361" s="645"/>
      <c r="DW361" s="645"/>
      <c r="DX361" s="645"/>
      <c r="DY361" s="645"/>
      <c r="DZ361" s="645"/>
      <c r="EA361" s="645"/>
      <c r="EB361" s="645"/>
      <c r="EC361" s="645"/>
      <c r="ED361" s="645"/>
      <c r="EE361" s="645"/>
      <c r="EF361" s="645"/>
      <c r="EG361" s="645"/>
      <c r="EH361" s="645"/>
      <c r="EI361" s="645"/>
      <c r="EJ361" s="645"/>
      <c r="EK361" s="645"/>
      <c r="EL361" s="645"/>
      <c r="EM361" s="645"/>
      <c r="EN361" s="645"/>
      <c r="EO361" s="645"/>
      <c r="EP361" s="645"/>
      <c r="EQ361" s="645"/>
      <c r="ER361" s="645"/>
      <c r="ES361" s="645"/>
      <c r="ET361" s="645"/>
      <c r="EU361" s="645"/>
      <c r="EV361" s="645"/>
      <c r="EW361" s="210"/>
      <c r="EX361" s="210"/>
      <c r="EY361" s="210"/>
      <c r="EZ361" s="79"/>
      <c r="FA361" s="79"/>
      <c r="FB361" s="79"/>
      <c r="FC361" s="79"/>
      <c r="FD361" s="79"/>
      <c r="FE361" s="79"/>
      <c r="FF361" s="79"/>
      <c r="FG361" s="79"/>
      <c r="FH361" s="79"/>
      <c r="FI361" s="79"/>
      <c r="FJ361" s="79"/>
      <c r="FK361" s="79"/>
      <c r="FL361" s="79"/>
      <c r="FM361" s="49"/>
      <c r="FN361" s="49"/>
      <c r="FO361" s="49"/>
      <c r="FP361" s="49"/>
      <c r="FQ361" s="49"/>
      <c r="FR361" s="49"/>
      <c r="FS361" s="49"/>
      <c r="FT361" s="49"/>
      <c r="FU361" s="49"/>
      <c r="FV361" s="48"/>
      <c r="FW361" s="48"/>
      <c r="FX361" s="48"/>
      <c r="FY361" s="48"/>
      <c r="FZ361" s="48"/>
      <c r="GA361" s="49"/>
      <c r="GB361" s="49"/>
      <c r="GC361" s="49"/>
      <c r="GD361" s="49"/>
      <c r="GE361" s="49"/>
      <c r="GF361" s="49"/>
      <c r="GG361" s="49"/>
      <c r="GH361" s="49"/>
      <c r="GI361" s="49"/>
      <c r="GJ361" s="49"/>
      <c r="GK361" s="49"/>
      <c r="GL361" s="49"/>
      <c r="GM361" s="49"/>
      <c r="GN361" s="49"/>
      <c r="GO361" s="49"/>
      <c r="GP361" s="49"/>
      <c r="GQ361" s="49"/>
      <c r="GR361" s="49"/>
      <c r="GS361" s="49"/>
      <c r="GT361" s="49"/>
      <c r="GU361" s="49"/>
      <c r="GV361" s="49"/>
      <c r="GW361" s="49"/>
      <c r="GX361" s="49"/>
      <c r="GY361" s="49"/>
      <c r="GZ361" s="49"/>
      <c r="HA361" s="49"/>
      <c r="HB361" s="49"/>
      <c r="HC361" s="49"/>
      <c r="HD361" s="49"/>
      <c r="HE361" s="49"/>
      <c r="HF361" s="49"/>
      <c r="HG361" s="49"/>
      <c r="HH361" s="49"/>
      <c r="HI361" s="49"/>
      <c r="HJ361" s="49"/>
      <c r="HK361" s="49"/>
      <c r="HL361" s="49"/>
      <c r="HM361" s="49"/>
    </row>
    <row r="362" spans="1:221" ht="3.75" customHeight="1">
      <c r="A362" s="1"/>
      <c r="B362" s="3"/>
      <c r="C362" s="3"/>
      <c r="D362" s="12"/>
      <c r="E362" s="197"/>
      <c r="F362" s="197"/>
      <c r="G362" s="39"/>
      <c r="H362" s="39"/>
      <c r="I362" s="39"/>
      <c r="J362" s="39"/>
      <c r="K362" s="197"/>
      <c r="L362" s="197"/>
      <c r="M362" s="197">
        <v>140</v>
      </c>
      <c r="N362" s="197"/>
      <c r="O362" s="197"/>
      <c r="P362" s="197"/>
      <c r="Q362" s="197"/>
      <c r="R362" s="197"/>
      <c r="S362" s="197"/>
      <c r="T362" s="197"/>
      <c r="U362" s="197"/>
      <c r="V362" s="197"/>
      <c r="W362" s="197"/>
      <c r="X362" s="197"/>
      <c r="Y362" s="197"/>
      <c r="Z362" s="126"/>
      <c r="AA362" s="156" t="str">
        <f t="shared" ca="1" si="111"/>
        <v/>
      </c>
      <c r="AB362" s="159" t="e">
        <f t="shared" ref="AB362:BG362" ca="1" si="124">IF(AB600=4,":",IF(AB600=5,"!",IF(AB600=3,",",IF(AB600=2,"^",IF(AND($FO$317&gt;=AB$383,$FS$311&gt;=$M362,$FS$317&lt;$M362),"~",IF(AND($FO$317&gt;=AB$383,$FS$311&lt;$M362,$FS$317&gt;=$M362),"*",IF(OR($FO$317&lt;AB$383,$FS$317&lt;$M362),"","+")))))))</f>
        <v>#DIV/0!</v>
      </c>
      <c r="AC362" s="159" t="e">
        <f t="shared" ca="1" si="124"/>
        <v>#DIV/0!</v>
      </c>
      <c r="AD362" s="159" t="e">
        <f t="shared" ca="1" si="124"/>
        <v>#DIV/0!</v>
      </c>
      <c r="AE362" s="159" t="e">
        <f t="shared" ca="1" si="124"/>
        <v>#DIV/0!</v>
      </c>
      <c r="AF362" s="159" t="e">
        <f t="shared" ca="1" si="124"/>
        <v>#DIV/0!</v>
      </c>
      <c r="AG362" s="159" t="e">
        <f t="shared" ca="1" si="124"/>
        <v>#DIV/0!</v>
      </c>
      <c r="AH362" s="159" t="e">
        <f t="shared" ca="1" si="124"/>
        <v>#DIV/0!</v>
      </c>
      <c r="AI362" s="159" t="e">
        <f t="shared" ca="1" si="124"/>
        <v>#DIV/0!</v>
      </c>
      <c r="AJ362" s="159" t="e">
        <f t="shared" ca="1" si="124"/>
        <v>#DIV/0!</v>
      </c>
      <c r="AK362" s="159" t="e">
        <f t="shared" ca="1" si="124"/>
        <v>#DIV/0!</v>
      </c>
      <c r="AL362" s="159" t="e">
        <f t="shared" ca="1" si="124"/>
        <v>#DIV/0!</v>
      </c>
      <c r="AM362" s="159" t="e">
        <f t="shared" ca="1" si="124"/>
        <v>#DIV/0!</v>
      </c>
      <c r="AN362" s="159" t="e">
        <f t="shared" ca="1" si="124"/>
        <v>#DIV/0!</v>
      </c>
      <c r="AO362" s="159" t="e">
        <f t="shared" ca="1" si="124"/>
        <v>#DIV/0!</v>
      </c>
      <c r="AP362" s="159" t="e">
        <f t="shared" ca="1" si="124"/>
        <v>#DIV/0!</v>
      </c>
      <c r="AQ362" s="159" t="e">
        <f t="shared" ca="1" si="124"/>
        <v>#DIV/0!</v>
      </c>
      <c r="AR362" s="159" t="e">
        <f t="shared" ca="1" si="124"/>
        <v>#DIV/0!</v>
      </c>
      <c r="AS362" s="159" t="e">
        <f t="shared" ca="1" si="124"/>
        <v>#DIV/0!</v>
      </c>
      <c r="AT362" s="159" t="e">
        <f t="shared" ca="1" si="124"/>
        <v>#DIV/0!</v>
      </c>
      <c r="AU362" s="159" t="e">
        <f t="shared" ca="1" si="124"/>
        <v>#DIV/0!</v>
      </c>
      <c r="AV362" s="159" t="e">
        <f t="shared" ca="1" si="124"/>
        <v>#DIV/0!</v>
      </c>
      <c r="AW362" s="159" t="e">
        <f t="shared" ca="1" si="124"/>
        <v>#DIV/0!</v>
      </c>
      <c r="AX362" s="159" t="e">
        <f t="shared" ca="1" si="124"/>
        <v>#DIV/0!</v>
      </c>
      <c r="AY362" s="159" t="e">
        <f t="shared" ca="1" si="124"/>
        <v>#DIV/0!</v>
      </c>
      <c r="AZ362" s="159" t="e">
        <f t="shared" ca="1" si="124"/>
        <v>#DIV/0!</v>
      </c>
      <c r="BA362" s="159" t="e">
        <f t="shared" ca="1" si="124"/>
        <v>#DIV/0!</v>
      </c>
      <c r="BB362" s="159" t="e">
        <f t="shared" ca="1" si="124"/>
        <v>#DIV/0!</v>
      </c>
      <c r="BC362" s="159" t="e">
        <f t="shared" ca="1" si="124"/>
        <v>#DIV/0!</v>
      </c>
      <c r="BD362" s="159" t="e">
        <f t="shared" ca="1" si="124"/>
        <v>#DIV/0!</v>
      </c>
      <c r="BE362" s="159" t="e">
        <f t="shared" ca="1" si="124"/>
        <v>#DIV/0!</v>
      </c>
      <c r="BF362" s="159" t="e">
        <f t="shared" ca="1" si="124"/>
        <v>#DIV/0!</v>
      </c>
      <c r="BG362" s="159" t="e">
        <f t="shared" ca="1" si="124"/>
        <v>#DIV/0!</v>
      </c>
      <c r="BH362" s="159" t="e">
        <f t="shared" ref="BH362:BX362" ca="1" si="125">IF(BH600=4,":",IF(BH600=5,"!",IF(BH600=3,",",IF(BH600=2,"^",IF(AND($FO$317&gt;=BH$383,$FS$311&gt;=$M362,$FS$317&lt;$M362),"~",IF(AND($FO$317&gt;=BH$383,$FS$311&lt;$M362,$FS$317&gt;=$M362),"*",IF(OR($FO$317&lt;BH$383,$FS$317&lt;$M362),"","+")))))))</f>
        <v>#DIV/0!</v>
      </c>
      <c r="BI362" s="159" t="e">
        <f t="shared" ca="1" si="125"/>
        <v>#DIV/0!</v>
      </c>
      <c r="BJ362" s="159" t="e">
        <f t="shared" ca="1" si="125"/>
        <v>#DIV/0!</v>
      </c>
      <c r="BK362" s="159" t="e">
        <f t="shared" ca="1" si="125"/>
        <v>#DIV/0!</v>
      </c>
      <c r="BL362" s="159" t="e">
        <f t="shared" ca="1" si="125"/>
        <v>#DIV/0!</v>
      </c>
      <c r="BM362" s="159" t="e">
        <f t="shared" ca="1" si="125"/>
        <v>#DIV/0!</v>
      </c>
      <c r="BN362" s="159" t="e">
        <f t="shared" ca="1" si="125"/>
        <v>#DIV/0!</v>
      </c>
      <c r="BO362" s="159" t="e">
        <f t="shared" ca="1" si="125"/>
        <v>#DIV/0!</v>
      </c>
      <c r="BP362" s="159" t="e">
        <f t="shared" ca="1" si="125"/>
        <v>#DIV/0!</v>
      </c>
      <c r="BQ362" s="159" t="e">
        <f t="shared" ca="1" si="125"/>
        <v>#DIV/0!</v>
      </c>
      <c r="BR362" s="159" t="e">
        <f t="shared" ca="1" si="125"/>
        <v>#DIV/0!</v>
      </c>
      <c r="BS362" s="159" t="e">
        <f t="shared" ca="1" si="125"/>
        <v>#DIV/0!</v>
      </c>
      <c r="BT362" s="159" t="e">
        <f t="shared" ca="1" si="125"/>
        <v>#DIV/0!</v>
      </c>
      <c r="BU362" s="159" t="e">
        <f t="shared" ca="1" si="125"/>
        <v>#DIV/0!</v>
      </c>
      <c r="BV362" s="159" t="e">
        <f t="shared" ca="1" si="125"/>
        <v>#DIV/0!</v>
      </c>
      <c r="BW362" s="159" t="e">
        <f t="shared" ca="1" si="125"/>
        <v>#DIV/0!</v>
      </c>
      <c r="BX362" s="159" t="e">
        <f t="shared" ca="1" si="125"/>
        <v>#DIV/0!</v>
      </c>
      <c r="BY362" s="159" t="e">
        <f t="shared" ca="1" si="54"/>
        <v>#DIV/0!</v>
      </c>
      <c r="BZ362" s="160"/>
      <c r="CA362" s="157"/>
      <c r="CB362" s="45"/>
      <c r="CC362" s="45"/>
      <c r="CD362" s="45"/>
      <c r="CE362" s="45"/>
      <c r="CF362" s="45"/>
      <c r="CG362" s="45"/>
      <c r="CH362" s="45"/>
      <c r="CI362" s="45"/>
      <c r="CJ362" s="645"/>
      <c r="CK362" s="645"/>
      <c r="CL362" s="645"/>
      <c r="CM362" s="645"/>
      <c r="CN362" s="645"/>
      <c r="CO362" s="645"/>
      <c r="CP362" s="645"/>
      <c r="CQ362" s="645"/>
      <c r="CR362" s="645"/>
      <c r="CS362" s="645"/>
      <c r="CT362" s="645"/>
      <c r="CU362" s="645"/>
      <c r="CV362" s="645"/>
      <c r="CW362" s="645"/>
      <c r="CX362" s="645"/>
      <c r="CY362" s="645"/>
      <c r="CZ362" s="645"/>
      <c r="DA362" s="645"/>
      <c r="DB362" s="645"/>
      <c r="DC362" s="645"/>
      <c r="DD362" s="645"/>
      <c r="DE362" s="645"/>
      <c r="DF362" s="645"/>
      <c r="DG362" s="645"/>
      <c r="DH362" s="645"/>
      <c r="DI362" s="645"/>
      <c r="DJ362" s="645"/>
      <c r="DK362" s="645"/>
      <c r="DL362" s="645"/>
      <c r="DM362" s="645"/>
      <c r="DN362" s="645"/>
      <c r="DO362" s="645"/>
      <c r="DP362" s="645"/>
      <c r="DQ362" s="645"/>
      <c r="DR362" s="645"/>
      <c r="DS362" s="645"/>
      <c r="DT362" s="645"/>
      <c r="DU362" s="645"/>
      <c r="DV362" s="645"/>
      <c r="DW362" s="645"/>
      <c r="DX362" s="645"/>
      <c r="DY362" s="645"/>
      <c r="DZ362" s="645"/>
      <c r="EA362" s="645"/>
      <c r="EB362" s="645"/>
      <c r="EC362" s="645"/>
      <c r="ED362" s="645"/>
      <c r="EE362" s="645"/>
      <c r="EF362" s="645"/>
      <c r="EG362" s="645"/>
      <c r="EH362" s="645"/>
      <c r="EI362" s="645"/>
      <c r="EJ362" s="645"/>
      <c r="EK362" s="645"/>
      <c r="EL362" s="645"/>
      <c r="EM362" s="645"/>
      <c r="EN362" s="645"/>
      <c r="EO362" s="645"/>
      <c r="EP362" s="645"/>
      <c r="EQ362" s="645"/>
      <c r="ER362" s="645"/>
      <c r="ES362" s="645"/>
      <c r="ET362" s="645"/>
      <c r="EU362" s="645"/>
      <c r="EV362" s="645"/>
      <c r="EW362" s="43"/>
      <c r="EX362" s="43"/>
      <c r="EY362" s="43"/>
      <c r="EZ362" s="79"/>
      <c r="FA362" s="79"/>
      <c r="FB362" s="79"/>
      <c r="FC362" s="79"/>
      <c r="FD362" s="79"/>
      <c r="FE362" s="79"/>
      <c r="FF362" s="79"/>
      <c r="FG362" s="79"/>
      <c r="FH362" s="79"/>
      <c r="FI362" s="79"/>
      <c r="FJ362" s="79"/>
      <c r="FK362" s="79"/>
      <c r="FL362" s="79"/>
      <c r="FM362" s="49"/>
      <c r="FN362" s="49"/>
      <c r="FO362" s="49"/>
      <c r="FP362" s="49"/>
      <c r="FQ362" s="49"/>
      <c r="FR362" s="49"/>
      <c r="FS362" s="49"/>
      <c r="FT362" s="49"/>
      <c r="FU362" s="49"/>
      <c r="FV362" s="48"/>
      <c r="FW362" s="48"/>
      <c r="FX362" s="48"/>
      <c r="FY362" s="48"/>
      <c r="FZ362" s="48"/>
      <c r="GA362" s="49"/>
      <c r="GB362" s="49"/>
      <c r="GC362" s="49"/>
      <c r="GD362" s="49"/>
      <c r="GE362" s="49"/>
      <c r="GF362" s="49"/>
      <c r="GG362" s="49"/>
      <c r="GH362" s="49"/>
      <c r="GI362" s="49"/>
      <c r="GJ362" s="49"/>
      <c r="GK362" s="49"/>
      <c r="GL362" s="49"/>
      <c r="GM362" s="49"/>
      <c r="GN362" s="49"/>
      <c r="GO362" s="49"/>
      <c r="GP362" s="49"/>
      <c r="GQ362" s="49"/>
      <c r="GR362" s="49"/>
      <c r="GS362" s="49"/>
      <c r="GT362" s="49"/>
      <c r="GU362" s="49"/>
      <c r="GV362" s="49"/>
      <c r="GW362" s="49"/>
      <c r="GX362" s="49"/>
      <c r="GY362" s="49"/>
      <c r="GZ362" s="49"/>
      <c r="HA362" s="49"/>
      <c r="HB362" s="49"/>
      <c r="HC362" s="49"/>
      <c r="HD362" s="49"/>
      <c r="HE362" s="49"/>
      <c r="HF362" s="49"/>
      <c r="HG362" s="49"/>
      <c r="HH362" s="49"/>
      <c r="HI362" s="49"/>
      <c r="HJ362" s="49"/>
      <c r="HK362" s="49"/>
      <c r="HL362" s="49"/>
      <c r="HM362" s="49"/>
    </row>
    <row r="363" spans="1:221" ht="3.75" customHeight="1">
      <c r="A363" s="1"/>
      <c r="B363" s="3"/>
      <c r="C363" s="3"/>
      <c r="D363" s="12"/>
      <c r="E363" s="197"/>
      <c r="F363" s="197"/>
      <c r="G363" s="39"/>
      <c r="H363" s="39"/>
      <c r="I363" s="39"/>
      <c r="J363" s="39"/>
      <c r="K363" s="197"/>
      <c r="L363" s="197"/>
      <c r="M363" s="197">
        <v>130</v>
      </c>
      <c r="N363" s="197"/>
      <c r="O363" s="197"/>
      <c r="P363" s="197"/>
      <c r="Q363" s="679" t="str">
        <f ca="1">IF($FN$305=0,"","€ 10")</f>
        <v/>
      </c>
      <c r="R363" s="645"/>
      <c r="S363" s="645"/>
      <c r="T363" s="645"/>
      <c r="U363" s="645"/>
      <c r="V363" s="645"/>
      <c r="W363" s="645"/>
      <c r="X363" s="645"/>
      <c r="Y363" s="645"/>
      <c r="Z363" s="126"/>
      <c r="AA363" s="156" t="str">
        <f t="shared" ca="1" si="111"/>
        <v/>
      </c>
      <c r="AB363" s="159" t="e">
        <f t="shared" ref="AB363:BG363" ca="1" si="126">IF(AB601=4,":",IF(AB601=5,"!",IF(AB601=3,",",IF(AB601=2,"^",IF(AND($FO$317&gt;=AB$383,$FS$311&gt;=$M363,$FS$317&lt;$M363),"~",IF(AND($FO$317&gt;=AB$383,$FS$311&lt;$M363,$FS$317&gt;=$M363),"*",IF(OR($FO$317&lt;AB$383,$FS$317&lt;$M363),"","+")))))))</f>
        <v>#DIV/0!</v>
      </c>
      <c r="AC363" s="159" t="e">
        <f t="shared" ca="1" si="126"/>
        <v>#DIV/0!</v>
      </c>
      <c r="AD363" s="159" t="e">
        <f t="shared" ca="1" si="126"/>
        <v>#DIV/0!</v>
      </c>
      <c r="AE363" s="159" t="e">
        <f t="shared" ca="1" si="126"/>
        <v>#DIV/0!</v>
      </c>
      <c r="AF363" s="159" t="e">
        <f t="shared" ca="1" si="126"/>
        <v>#DIV/0!</v>
      </c>
      <c r="AG363" s="159" t="e">
        <f t="shared" ca="1" si="126"/>
        <v>#DIV/0!</v>
      </c>
      <c r="AH363" s="159" t="e">
        <f t="shared" ca="1" si="126"/>
        <v>#DIV/0!</v>
      </c>
      <c r="AI363" s="159" t="e">
        <f t="shared" ca="1" si="126"/>
        <v>#DIV/0!</v>
      </c>
      <c r="AJ363" s="159" t="e">
        <f t="shared" ca="1" si="126"/>
        <v>#DIV/0!</v>
      </c>
      <c r="AK363" s="159" t="e">
        <f t="shared" ca="1" si="126"/>
        <v>#DIV/0!</v>
      </c>
      <c r="AL363" s="159" t="e">
        <f t="shared" ca="1" si="126"/>
        <v>#DIV/0!</v>
      </c>
      <c r="AM363" s="159" t="e">
        <f t="shared" ca="1" si="126"/>
        <v>#DIV/0!</v>
      </c>
      <c r="AN363" s="159" t="e">
        <f t="shared" ca="1" si="126"/>
        <v>#DIV/0!</v>
      </c>
      <c r="AO363" s="159" t="e">
        <f t="shared" ca="1" si="126"/>
        <v>#DIV/0!</v>
      </c>
      <c r="AP363" s="159" t="e">
        <f t="shared" ca="1" si="126"/>
        <v>#DIV/0!</v>
      </c>
      <c r="AQ363" s="159" t="e">
        <f t="shared" ca="1" si="126"/>
        <v>#DIV/0!</v>
      </c>
      <c r="AR363" s="159" t="e">
        <f t="shared" ca="1" si="126"/>
        <v>#DIV/0!</v>
      </c>
      <c r="AS363" s="159" t="e">
        <f t="shared" ca="1" si="126"/>
        <v>#DIV/0!</v>
      </c>
      <c r="AT363" s="159" t="e">
        <f t="shared" ca="1" si="126"/>
        <v>#DIV/0!</v>
      </c>
      <c r="AU363" s="159" t="e">
        <f t="shared" ca="1" si="126"/>
        <v>#DIV/0!</v>
      </c>
      <c r="AV363" s="159" t="e">
        <f t="shared" ca="1" si="126"/>
        <v>#DIV/0!</v>
      </c>
      <c r="AW363" s="159" t="e">
        <f t="shared" ca="1" si="126"/>
        <v>#DIV/0!</v>
      </c>
      <c r="AX363" s="159" t="e">
        <f t="shared" ca="1" si="126"/>
        <v>#DIV/0!</v>
      </c>
      <c r="AY363" s="159" t="e">
        <f t="shared" ca="1" si="126"/>
        <v>#DIV/0!</v>
      </c>
      <c r="AZ363" s="159" t="e">
        <f t="shared" ca="1" si="126"/>
        <v>#DIV/0!</v>
      </c>
      <c r="BA363" s="159" t="e">
        <f t="shared" ca="1" si="126"/>
        <v>#DIV/0!</v>
      </c>
      <c r="BB363" s="159" t="e">
        <f t="shared" ca="1" si="126"/>
        <v>#DIV/0!</v>
      </c>
      <c r="BC363" s="159" t="e">
        <f t="shared" ca="1" si="126"/>
        <v>#DIV/0!</v>
      </c>
      <c r="BD363" s="159" t="e">
        <f t="shared" ca="1" si="126"/>
        <v>#DIV/0!</v>
      </c>
      <c r="BE363" s="159" t="e">
        <f t="shared" ca="1" si="126"/>
        <v>#DIV/0!</v>
      </c>
      <c r="BF363" s="159" t="e">
        <f t="shared" ca="1" si="126"/>
        <v>#DIV/0!</v>
      </c>
      <c r="BG363" s="159" t="e">
        <f t="shared" ca="1" si="126"/>
        <v>#DIV/0!</v>
      </c>
      <c r="BH363" s="159" t="e">
        <f t="shared" ref="BH363:BX363" ca="1" si="127">IF(BH601=4,":",IF(BH601=5,"!",IF(BH601=3,",",IF(BH601=2,"^",IF(AND($FO$317&gt;=BH$383,$FS$311&gt;=$M363,$FS$317&lt;$M363),"~",IF(AND($FO$317&gt;=BH$383,$FS$311&lt;$M363,$FS$317&gt;=$M363),"*",IF(OR($FO$317&lt;BH$383,$FS$317&lt;$M363),"","+")))))))</f>
        <v>#DIV/0!</v>
      </c>
      <c r="BI363" s="159" t="e">
        <f t="shared" ca="1" si="127"/>
        <v>#DIV/0!</v>
      </c>
      <c r="BJ363" s="159" t="e">
        <f t="shared" ca="1" si="127"/>
        <v>#DIV/0!</v>
      </c>
      <c r="BK363" s="159" t="e">
        <f t="shared" ca="1" si="127"/>
        <v>#DIV/0!</v>
      </c>
      <c r="BL363" s="159" t="e">
        <f t="shared" ca="1" si="127"/>
        <v>#DIV/0!</v>
      </c>
      <c r="BM363" s="159" t="e">
        <f t="shared" ca="1" si="127"/>
        <v>#DIV/0!</v>
      </c>
      <c r="BN363" s="159" t="e">
        <f t="shared" ca="1" si="127"/>
        <v>#DIV/0!</v>
      </c>
      <c r="BO363" s="159" t="e">
        <f t="shared" ca="1" si="127"/>
        <v>#DIV/0!</v>
      </c>
      <c r="BP363" s="159" t="e">
        <f t="shared" ca="1" si="127"/>
        <v>#DIV/0!</v>
      </c>
      <c r="BQ363" s="159" t="e">
        <f t="shared" ca="1" si="127"/>
        <v>#DIV/0!</v>
      </c>
      <c r="BR363" s="159" t="e">
        <f t="shared" ca="1" si="127"/>
        <v>#DIV/0!</v>
      </c>
      <c r="BS363" s="159" t="e">
        <f t="shared" ca="1" si="127"/>
        <v>#DIV/0!</v>
      </c>
      <c r="BT363" s="159" t="e">
        <f t="shared" ca="1" si="127"/>
        <v>#DIV/0!</v>
      </c>
      <c r="BU363" s="159" t="e">
        <f t="shared" ca="1" si="127"/>
        <v>#DIV/0!</v>
      </c>
      <c r="BV363" s="159" t="e">
        <f t="shared" ca="1" si="127"/>
        <v>#DIV/0!</v>
      </c>
      <c r="BW363" s="159" t="e">
        <f t="shared" ca="1" si="127"/>
        <v>#DIV/0!</v>
      </c>
      <c r="BX363" s="159" t="e">
        <f t="shared" ca="1" si="127"/>
        <v>#DIV/0!</v>
      </c>
      <c r="BY363" s="159" t="e">
        <f t="shared" ca="1" si="54"/>
        <v>#DIV/0!</v>
      </c>
      <c r="BZ363" s="160"/>
      <c r="CA363" s="157"/>
      <c r="CB363" s="45"/>
      <c r="CC363" s="45"/>
      <c r="CD363" s="45"/>
      <c r="CE363" s="45"/>
      <c r="CF363" s="45"/>
      <c r="CG363" s="45"/>
      <c r="CH363" s="45"/>
      <c r="CI363" s="45"/>
      <c r="CJ363" s="645"/>
      <c r="CK363" s="645"/>
      <c r="CL363" s="645"/>
      <c r="CM363" s="645"/>
      <c r="CN363" s="645"/>
      <c r="CO363" s="645"/>
      <c r="CP363" s="645"/>
      <c r="CQ363" s="645"/>
      <c r="CR363" s="645"/>
      <c r="CS363" s="645"/>
      <c r="CT363" s="645"/>
      <c r="CU363" s="645"/>
      <c r="CV363" s="645"/>
      <c r="CW363" s="645"/>
      <c r="CX363" s="645"/>
      <c r="CY363" s="645"/>
      <c r="CZ363" s="645"/>
      <c r="DA363" s="645"/>
      <c r="DB363" s="645"/>
      <c r="DC363" s="645"/>
      <c r="DD363" s="645"/>
      <c r="DE363" s="645"/>
      <c r="DF363" s="645"/>
      <c r="DG363" s="645"/>
      <c r="DH363" s="645"/>
      <c r="DI363" s="645"/>
      <c r="DJ363" s="645"/>
      <c r="DK363" s="645"/>
      <c r="DL363" s="645"/>
      <c r="DM363" s="645"/>
      <c r="DN363" s="645"/>
      <c r="DO363" s="645"/>
      <c r="DP363" s="645"/>
      <c r="DQ363" s="645"/>
      <c r="DR363" s="645"/>
      <c r="DS363" s="645"/>
      <c r="DT363" s="645"/>
      <c r="DU363" s="645"/>
      <c r="DV363" s="645"/>
      <c r="DW363" s="645"/>
      <c r="DX363" s="645"/>
      <c r="DY363" s="645"/>
      <c r="DZ363" s="645"/>
      <c r="EA363" s="645"/>
      <c r="EB363" s="645"/>
      <c r="EC363" s="645"/>
      <c r="ED363" s="645"/>
      <c r="EE363" s="645"/>
      <c r="EF363" s="645"/>
      <c r="EG363" s="645"/>
      <c r="EH363" s="645"/>
      <c r="EI363" s="645"/>
      <c r="EJ363" s="645"/>
      <c r="EK363" s="645"/>
      <c r="EL363" s="645"/>
      <c r="EM363" s="645"/>
      <c r="EN363" s="645"/>
      <c r="EO363" s="645"/>
      <c r="EP363" s="645"/>
      <c r="EQ363" s="645"/>
      <c r="ER363" s="645"/>
      <c r="ES363" s="645"/>
      <c r="ET363" s="645"/>
      <c r="EU363" s="645"/>
      <c r="EV363" s="645"/>
      <c r="EW363" s="43"/>
      <c r="EX363" s="43"/>
      <c r="EY363" s="43"/>
      <c r="EZ363" s="79"/>
      <c r="FA363" s="79"/>
      <c r="FB363" s="79"/>
      <c r="FC363" s="79"/>
      <c r="FD363" s="79"/>
      <c r="FE363" s="79"/>
      <c r="FF363" s="79"/>
      <c r="FG363" s="79"/>
      <c r="FH363" s="79"/>
      <c r="FI363" s="79"/>
      <c r="FJ363" s="79"/>
      <c r="FK363" s="79"/>
      <c r="FL363" s="79"/>
      <c r="FM363" s="49"/>
      <c r="FN363" s="49"/>
      <c r="FO363" s="49"/>
      <c r="FP363" s="49"/>
      <c r="FQ363" s="49"/>
      <c r="FR363" s="49"/>
      <c r="FS363" s="49"/>
      <c r="FT363" s="49"/>
      <c r="FU363" s="49"/>
      <c r="FV363" s="48"/>
      <c r="FW363" s="48"/>
      <c r="FX363" s="48"/>
      <c r="FY363" s="48"/>
      <c r="FZ363" s="48"/>
      <c r="GA363" s="49"/>
      <c r="GB363" s="49"/>
      <c r="GC363" s="49"/>
      <c r="GD363" s="49"/>
      <c r="GE363" s="49"/>
      <c r="GF363" s="49"/>
      <c r="GG363" s="49"/>
      <c r="GH363" s="49"/>
      <c r="GI363" s="49"/>
      <c r="GJ363" s="49"/>
      <c r="GK363" s="49"/>
      <c r="GL363" s="49"/>
      <c r="GM363" s="49"/>
      <c r="GN363" s="49"/>
      <c r="GO363" s="49"/>
      <c r="GP363" s="49"/>
      <c r="GQ363" s="49"/>
      <c r="GR363" s="49"/>
      <c r="GS363" s="49"/>
      <c r="GT363" s="49"/>
      <c r="GU363" s="49"/>
      <c r="GV363" s="49"/>
      <c r="GW363" s="49"/>
      <c r="GX363" s="49"/>
      <c r="GY363" s="49"/>
      <c r="GZ363" s="49"/>
      <c r="HA363" s="49"/>
      <c r="HB363" s="49"/>
      <c r="HC363" s="49"/>
      <c r="HD363" s="49"/>
      <c r="HE363" s="49"/>
      <c r="HF363" s="49"/>
      <c r="HG363" s="49"/>
      <c r="HH363" s="49"/>
      <c r="HI363" s="49"/>
      <c r="HJ363" s="49"/>
      <c r="HK363" s="49"/>
      <c r="HL363" s="49"/>
      <c r="HM363" s="49"/>
    </row>
    <row r="364" spans="1:221" ht="3.75" customHeight="1">
      <c r="A364" s="1"/>
      <c r="B364" s="3"/>
      <c r="C364" s="3"/>
      <c r="D364" s="12"/>
      <c r="E364" s="197"/>
      <c r="F364" s="197"/>
      <c r="G364" s="39"/>
      <c r="H364" s="39"/>
      <c r="I364" s="39"/>
      <c r="J364" s="39"/>
      <c r="K364" s="197"/>
      <c r="L364" s="197"/>
      <c r="M364" s="197">
        <v>120</v>
      </c>
      <c r="N364" s="197"/>
      <c r="O364" s="197"/>
      <c r="P364" s="197"/>
      <c r="Q364" s="645"/>
      <c r="R364" s="645"/>
      <c r="S364" s="645"/>
      <c r="T364" s="645"/>
      <c r="U364" s="645"/>
      <c r="V364" s="645"/>
      <c r="W364" s="645"/>
      <c r="X364" s="645"/>
      <c r="Y364" s="645"/>
      <c r="Z364" s="126"/>
      <c r="AA364" s="156" t="str">
        <f t="shared" ca="1" si="111"/>
        <v/>
      </c>
      <c r="AB364" s="159" t="e">
        <f t="shared" ref="AB364:BG364" ca="1" si="128">IF(AB602=4,":",IF(AB602=5,"!",IF(AB602=3,",",IF(AB602=2,"^",IF(AND($FO$317&gt;=AB$383,$FS$311&gt;=$M364,$FS$317&lt;$M364),"~",IF(AND($FO$317&gt;=AB$383,$FS$311&lt;$M364,$FS$317&gt;=$M364),"*",IF(OR($FO$317&lt;AB$383,$FS$317&lt;$M364),"","+")))))))</f>
        <v>#DIV/0!</v>
      </c>
      <c r="AC364" s="159" t="e">
        <f t="shared" ca="1" si="128"/>
        <v>#DIV/0!</v>
      </c>
      <c r="AD364" s="159" t="e">
        <f t="shared" ca="1" si="128"/>
        <v>#DIV/0!</v>
      </c>
      <c r="AE364" s="159" t="e">
        <f t="shared" ca="1" si="128"/>
        <v>#DIV/0!</v>
      </c>
      <c r="AF364" s="159" t="e">
        <f t="shared" ca="1" si="128"/>
        <v>#DIV/0!</v>
      </c>
      <c r="AG364" s="159" t="e">
        <f t="shared" ca="1" si="128"/>
        <v>#DIV/0!</v>
      </c>
      <c r="AH364" s="159" t="e">
        <f t="shared" ca="1" si="128"/>
        <v>#DIV/0!</v>
      </c>
      <c r="AI364" s="159" t="e">
        <f t="shared" ca="1" si="128"/>
        <v>#DIV/0!</v>
      </c>
      <c r="AJ364" s="159" t="e">
        <f t="shared" ca="1" si="128"/>
        <v>#DIV/0!</v>
      </c>
      <c r="AK364" s="159" t="e">
        <f t="shared" ca="1" si="128"/>
        <v>#DIV/0!</v>
      </c>
      <c r="AL364" s="159" t="e">
        <f t="shared" ca="1" si="128"/>
        <v>#DIV/0!</v>
      </c>
      <c r="AM364" s="159" t="e">
        <f t="shared" ca="1" si="128"/>
        <v>#DIV/0!</v>
      </c>
      <c r="AN364" s="159" t="e">
        <f t="shared" ca="1" si="128"/>
        <v>#DIV/0!</v>
      </c>
      <c r="AO364" s="159" t="e">
        <f t="shared" ca="1" si="128"/>
        <v>#DIV/0!</v>
      </c>
      <c r="AP364" s="159" t="e">
        <f t="shared" ca="1" si="128"/>
        <v>#DIV/0!</v>
      </c>
      <c r="AQ364" s="159" t="e">
        <f t="shared" ca="1" si="128"/>
        <v>#DIV/0!</v>
      </c>
      <c r="AR364" s="159" t="e">
        <f t="shared" ca="1" si="128"/>
        <v>#DIV/0!</v>
      </c>
      <c r="AS364" s="159" t="e">
        <f t="shared" ca="1" si="128"/>
        <v>#DIV/0!</v>
      </c>
      <c r="AT364" s="159" t="e">
        <f t="shared" ca="1" si="128"/>
        <v>#DIV/0!</v>
      </c>
      <c r="AU364" s="159" t="e">
        <f t="shared" ca="1" si="128"/>
        <v>#DIV/0!</v>
      </c>
      <c r="AV364" s="159" t="e">
        <f t="shared" ca="1" si="128"/>
        <v>#DIV/0!</v>
      </c>
      <c r="AW364" s="159" t="e">
        <f t="shared" ca="1" si="128"/>
        <v>#DIV/0!</v>
      </c>
      <c r="AX364" s="159" t="e">
        <f t="shared" ca="1" si="128"/>
        <v>#DIV/0!</v>
      </c>
      <c r="AY364" s="159" t="e">
        <f t="shared" ca="1" si="128"/>
        <v>#DIV/0!</v>
      </c>
      <c r="AZ364" s="159" t="e">
        <f t="shared" ca="1" si="128"/>
        <v>#DIV/0!</v>
      </c>
      <c r="BA364" s="159" t="e">
        <f t="shared" ca="1" si="128"/>
        <v>#DIV/0!</v>
      </c>
      <c r="BB364" s="159" t="e">
        <f t="shared" ca="1" si="128"/>
        <v>#DIV/0!</v>
      </c>
      <c r="BC364" s="159" t="e">
        <f t="shared" ca="1" si="128"/>
        <v>#DIV/0!</v>
      </c>
      <c r="BD364" s="159" t="e">
        <f t="shared" ca="1" si="128"/>
        <v>#DIV/0!</v>
      </c>
      <c r="BE364" s="159" t="e">
        <f t="shared" ca="1" si="128"/>
        <v>#DIV/0!</v>
      </c>
      <c r="BF364" s="159" t="e">
        <f t="shared" ca="1" si="128"/>
        <v>#DIV/0!</v>
      </c>
      <c r="BG364" s="159" t="e">
        <f t="shared" ca="1" si="128"/>
        <v>#DIV/0!</v>
      </c>
      <c r="BH364" s="159" t="e">
        <f t="shared" ref="BH364:BX364" ca="1" si="129">IF(BH602=4,":",IF(BH602=5,"!",IF(BH602=3,",",IF(BH602=2,"^",IF(AND($FO$317&gt;=BH$383,$FS$311&gt;=$M364,$FS$317&lt;$M364),"~",IF(AND($FO$317&gt;=BH$383,$FS$311&lt;$M364,$FS$317&gt;=$M364),"*",IF(OR($FO$317&lt;BH$383,$FS$317&lt;$M364),"","+")))))))</f>
        <v>#DIV/0!</v>
      </c>
      <c r="BI364" s="159" t="e">
        <f t="shared" ca="1" si="129"/>
        <v>#DIV/0!</v>
      </c>
      <c r="BJ364" s="159" t="e">
        <f t="shared" ca="1" si="129"/>
        <v>#DIV/0!</v>
      </c>
      <c r="BK364" s="159" t="e">
        <f t="shared" ca="1" si="129"/>
        <v>#DIV/0!</v>
      </c>
      <c r="BL364" s="159" t="e">
        <f t="shared" ca="1" si="129"/>
        <v>#DIV/0!</v>
      </c>
      <c r="BM364" s="159" t="e">
        <f t="shared" ca="1" si="129"/>
        <v>#DIV/0!</v>
      </c>
      <c r="BN364" s="159" t="e">
        <f t="shared" ca="1" si="129"/>
        <v>#DIV/0!</v>
      </c>
      <c r="BO364" s="159" t="e">
        <f t="shared" ca="1" si="129"/>
        <v>#DIV/0!</v>
      </c>
      <c r="BP364" s="159" t="e">
        <f t="shared" ca="1" si="129"/>
        <v>#DIV/0!</v>
      </c>
      <c r="BQ364" s="159" t="e">
        <f t="shared" ca="1" si="129"/>
        <v>#DIV/0!</v>
      </c>
      <c r="BR364" s="159" t="e">
        <f t="shared" ca="1" si="129"/>
        <v>#DIV/0!</v>
      </c>
      <c r="BS364" s="159" t="e">
        <f t="shared" ca="1" si="129"/>
        <v>#DIV/0!</v>
      </c>
      <c r="BT364" s="159" t="e">
        <f t="shared" ca="1" si="129"/>
        <v>#DIV/0!</v>
      </c>
      <c r="BU364" s="159" t="e">
        <f t="shared" ca="1" si="129"/>
        <v>#DIV/0!</v>
      </c>
      <c r="BV364" s="159" t="e">
        <f t="shared" ca="1" si="129"/>
        <v>#DIV/0!</v>
      </c>
      <c r="BW364" s="159" t="e">
        <f t="shared" ca="1" si="129"/>
        <v>#DIV/0!</v>
      </c>
      <c r="BX364" s="159" t="e">
        <f t="shared" ca="1" si="129"/>
        <v>#DIV/0!</v>
      </c>
      <c r="BY364" s="159" t="e">
        <f t="shared" ca="1" si="54"/>
        <v>#DIV/0!</v>
      </c>
      <c r="BZ364" s="160"/>
      <c r="CA364" s="157"/>
      <c r="CB364" s="45"/>
      <c r="CC364" s="45"/>
      <c r="CD364" s="45"/>
      <c r="CE364" s="45"/>
      <c r="CF364" s="45"/>
      <c r="CG364" s="45"/>
      <c r="CH364" s="45"/>
      <c r="CI364" s="45"/>
      <c r="CJ364" s="645"/>
      <c r="CK364" s="645"/>
      <c r="CL364" s="645"/>
      <c r="CM364" s="645"/>
      <c r="CN364" s="645"/>
      <c r="CO364" s="645"/>
      <c r="CP364" s="645"/>
      <c r="CQ364" s="645"/>
      <c r="CR364" s="645"/>
      <c r="CS364" s="645"/>
      <c r="CT364" s="645"/>
      <c r="CU364" s="645"/>
      <c r="CV364" s="645"/>
      <c r="CW364" s="645"/>
      <c r="CX364" s="645"/>
      <c r="CY364" s="645"/>
      <c r="CZ364" s="645"/>
      <c r="DA364" s="645"/>
      <c r="DB364" s="645"/>
      <c r="DC364" s="645"/>
      <c r="DD364" s="645"/>
      <c r="DE364" s="645"/>
      <c r="DF364" s="645"/>
      <c r="DG364" s="645"/>
      <c r="DH364" s="645"/>
      <c r="DI364" s="645"/>
      <c r="DJ364" s="645"/>
      <c r="DK364" s="645"/>
      <c r="DL364" s="645"/>
      <c r="DM364" s="645"/>
      <c r="DN364" s="645"/>
      <c r="DO364" s="645"/>
      <c r="DP364" s="645"/>
      <c r="DQ364" s="645"/>
      <c r="DR364" s="645"/>
      <c r="DS364" s="645"/>
      <c r="DT364" s="645"/>
      <c r="DU364" s="645"/>
      <c r="DV364" s="645"/>
      <c r="DW364" s="645"/>
      <c r="DX364" s="645"/>
      <c r="DY364" s="645"/>
      <c r="DZ364" s="645"/>
      <c r="EA364" s="645"/>
      <c r="EB364" s="645"/>
      <c r="EC364" s="645"/>
      <c r="ED364" s="645"/>
      <c r="EE364" s="645"/>
      <c r="EF364" s="645"/>
      <c r="EG364" s="645"/>
      <c r="EH364" s="645"/>
      <c r="EI364" s="645"/>
      <c r="EJ364" s="645"/>
      <c r="EK364" s="645"/>
      <c r="EL364" s="645"/>
      <c r="EM364" s="645"/>
      <c r="EN364" s="645"/>
      <c r="EO364" s="645"/>
      <c r="EP364" s="645"/>
      <c r="EQ364" s="645"/>
      <c r="ER364" s="645"/>
      <c r="ES364" s="645"/>
      <c r="ET364" s="645"/>
      <c r="EU364" s="645"/>
      <c r="EV364" s="645"/>
      <c r="EW364" s="43"/>
      <c r="EX364" s="43"/>
      <c r="EY364" s="43"/>
      <c r="EZ364" s="79"/>
      <c r="FA364" s="79"/>
      <c r="FB364" s="79"/>
      <c r="FC364" s="79"/>
      <c r="FD364" s="79"/>
      <c r="FE364" s="79"/>
      <c r="FF364" s="79"/>
      <c r="FG364" s="79"/>
      <c r="FH364" s="79"/>
      <c r="FI364" s="79"/>
      <c r="FJ364" s="79"/>
      <c r="FK364" s="79"/>
      <c r="FL364" s="79"/>
      <c r="FM364" s="49"/>
      <c r="FN364" s="49"/>
      <c r="FO364" s="49"/>
      <c r="FP364" s="49"/>
      <c r="FQ364" s="49"/>
      <c r="FR364" s="49"/>
      <c r="FS364" s="49"/>
      <c r="FT364" s="49"/>
      <c r="FU364" s="49"/>
      <c r="FV364" s="48"/>
      <c r="FW364" s="48"/>
      <c r="FX364" s="48"/>
      <c r="FY364" s="48"/>
      <c r="FZ364" s="48"/>
      <c r="GA364" s="49"/>
      <c r="GB364" s="49"/>
      <c r="GC364" s="49"/>
      <c r="GD364" s="49"/>
      <c r="GE364" s="49"/>
      <c r="GF364" s="49"/>
      <c r="GG364" s="49"/>
      <c r="GH364" s="49"/>
      <c r="GI364" s="49"/>
      <c r="GJ364" s="49"/>
      <c r="GK364" s="49"/>
      <c r="GL364" s="49"/>
      <c r="GM364" s="49"/>
      <c r="GN364" s="49"/>
      <c r="GO364" s="49"/>
      <c r="GP364" s="49"/>
      <c r="GQ364" s="49"/>
      <c r="GR364" s="49"/>
      <c r="GS364" s="49"/>
      <c r="GT364" s="49"/>
      <c r="GU364" s="49"/>
      <c r="GV364" s="49"/>
      <c r="GW364" s="49"/>
      <c r="GX364" s="49"/>
      <c r="GY364" s="49"/>
      <c r="GZ364" s="49"/>
      <c r="HA364" s="49"/>
      <c r="HB364" s="49"/>
      <c r="HC364" s="49"/>
      <c r="HD364" s="49"/>
      <c r="HE364" s="49"/>
      <c r="HF364" s="49"/>
      <c r="HG364" s="49"/>
      <c r="HH364" s="49"/>
      <c r="HI364" s="49"/>
      <c r="HJ364" s="49"/>
      <c r="HK364" s="49"/>
      <c r="HL364" s="49"/>
      <c r="HM364" s="49"/>
    </row>
    <row r="365" spans="1:221" ht="3.75" customHeight="1" thickBot="1">
      <c r="A365" s="1"/>
      <c r="B365" s="3"/>
      <c r="C365" s="3"/>
      <c r="D365" s="12"/>
      <c r="E365" s="197"/>
      <c r="F365" s="197"/>
      <c r="G365" s="39"/>
      <c r="H365" s="39"/>
      <c r="I365" s="39"/>
      <c r="J365" s="39"/>
      <c r="K365" s="197"/>
      <c r="L365" s="197"/>
      <c r="M365" s="197">
        <v>110</v>
      </c>
      <c r="N365" s="197"/>
      <c r="O365" s="197"/>
      <c r="P365" s="197"/>
      <c r="Q365" s="645"/>
      <c r="R365" s="645"/>
      <c r="S365" s="645"/>
      <c r="T365" s="645"/>
      <c r="U365" s="645"/>
      <c r="V365" s="645"/>
      <c r="W365" s="645"/>
      <c r="X365" s="645"/>
      <c r="Y365" s="645"/>
      <c r="Z365" s="88"/>
      <c r="AA365" s="156" t="str">
        <f t="shared" ca="1" si="111"/>
        <v/>
      </c>
      <c r="AB365" s="159" t="e">
        <f t="shared" ref="AB365:BG365" ca="1" si="130">IF(AB603=4,":",IF(AB603=5,"!",IF(AB603=3,",",IF(AB603=2,"^",IF(AND($FO$317&gt;=AB$383,$FS$311&gt;=$M365,$FS$317&lt;$M365),"~",IF(AND($FO$317&gt;=AB$383,$FS$311&lt;$M365,$FS$317&gt;=$M365),"*",IF(OR($FO$317&lt;AB$383,$FS$317&lt;$M365),"","+")))))))</f>
        <v>#DIV/0!</v>
      </c>
      <c r="AC365" s="159" t="e">
        <f t="shared" ca="1" si="130"/>
        <v>#DIV/0!</v>
      </c>
      <c r="AD365" s="159" t="e">
        <f t="shared" ca="1" si="130"/>
        <v>#DIV/0!</v>
      </c>
      <c r="AE365" s="159" t="e">
        <f t="shared" ca="1" si="130"/>
        <v>#DIV/0!</v>
      </c>
      <c r="AF365" s="159" t="e">
        <f t="shared" ca="1" si="130"/>
        <v>#DIV/0!</v>
      </c>
      <c r="AG365" s="159" t="e">
        <f t="shared" ca="1" si="130"/>
        <v>#DIV/0!</v>
      </c>
      <c r="AH365" s="159" t="e">
        <f t="shared" ca="1" si="130"/>
        <v>#DIV/0!</v>
      </c>
      <c r="AI365" s="159" t="e">
        <f t="shared" ca="1" si="130"/>
        <v>#DIV/0!</v>
      </c>
      <c r="AJ365" s="159" t="e">
        <f t="shared" ca="1" si="130"/>
        <v>#DIV/0!</v>
      </c>
      <c r="AK365" s="159" t="e">
        <f t="shared" ca="1" si="130"/>
        <v>#DIV/0!</v>
      </c>
      <c r="AL365" s="159" t="e">
        <f t="shared" ca="1" si="130"/>
        <v>#DIV/0!</v>
      </c>
      <c r="AM365" s="159" t="e">
        <f t="shared" ca="1" si="130"/>
        <v>#DIV/0!</v>
      </c>
      <c r="AN365" s="159" t="e">
        <f t="shared" ca="1" si="130"/>
        <v>#DIV/0!</v>
      </c>
      <c r="AO365" s="159" t="e">
        <f t="shared" ca="1" si="130"/>
        <v>#DIV/0!</v>
      </c>
      <c r="AP365" s="159" t="e">
        <f t="shared" ca="1" si="130"/>
        <v>#DIV/0!</v>
      </c>
      <c r="AQ365" s="159" t="e">
        <f t="shared" ca="1" si="130"/>
        <v>#DIV/0!</v>
      </c>
      <c r="AR365" s="159" t="e">
        <f t="shared" ca="1" si="130"/>
        <v>#DIV/0!</v>
      </c>
      <c r="AS365" s="159" t="e">
        <f t="shared" ca="1" si="130"/>
        <v>#DIV/0!</v>
      </c>
      <c r="AT365" s="159" t="e">
        <f t="shared" ca="1" si="130"/>
        <v>#DIV/0!</v>
      </c>
      <c r="AU365" s="159" t="e">
        <f t="shared" ca="1" si="130"/>
        <v>#DIV/0!</v>
      </c>
      <c r="AV365" s="159" t="e">
        <f t="shared" ca="1" si="130"/>
        <v>#DIV/0!</v>
      </c>
      <c r="AW365" s="159" t="e">
        <f t="shared" ca="1" si="130"/>
        <v>#DIV/0!</v>
      </c>
      <c r="AX365" s="159" t="e">
        <f t="shared" ca="1" si="130"/>
        <v>#DIV/0!</v>
      </c>
      <c r="AY365" s="159" t="e">
        <f t="shared" ca="1" si="130"/>
        <v>#DIV/0!</v>
      </c>
      <c r="AZ365" s="159" t="e">
        <f t="shared" ca="1" si="130"/>
        <v>#DIV/0!</v>
      </c>
      <c r="BA365" s="159" t="e">
        <f t="shared" ca="1" si="130"/>
        <v>#DIV/0!</v>
      </c>
      <c r="BB365" s="159" t="e">
        <f t="shared" ca="1" si="130"/>
        <v>#DIV/0!</v>
      </c>
      <c r="BC365" s="159" t="e">
        <f t="shared" ca="1" si="130"/>
        <v>#DIV/0!</v>
      </c>
      <c r="BD365" s="159" t="e">
        <f t="shared" ca="1" si="130"/>
        <v>#DIV/0!</v>
      </c>
      <c r="BE365" s="159" t="e">
        <f t="shared" ca="1" si="130"/>
        <v>#DIV/0!</v>
      </c>
      <c r="BF365" s="159" t="e">
        <f t="shared" ca="1" si="130"/>
        <v>#DIV/0!</v>
      </c>
      <c r="BG365" s="159" t="e">
        <f t="shared" ca="1" si="130"/>
        <v>#DIV/0!</v>
      </c>
      <c r="BH365" s="159" t="e">
        <f t="shared" ref="BH365:BX365" ca="1" si="131">IF(BH603=4,":",IF(BH603=5,"!",IF(BH603=3,",",IF(BH603=2,"^",IF(AND($FO$317&gt;=BH$383,$FS$311&gt;=$M365,$FS$317&lt;$M365),"~",IF(AND($FO$317&gt;=BH$383,$FS$311&lt;$M365,$FS$317&gt;=$M365),"*",IF(OR($FO$317&lt;BH$383,$FS$317&lt;$M365),"","+")))))))</f>
        <v>#DIV/0!</v>
      </c>
      <c r="BI365" s="159" t="e">
        <f t="shared" ca="1" si="131"/>
        <v>#DIV/0!</v>
      </c>
      <c r="BJ365" s="159" t="e">
        <f t="shared" ca="1" si="131"/>
        <v>#DIV/0!</v>
      </c>
      <c r="BK365" s="159" t="e">
        <f t="shared" ca="1" si="131"/>
        <v>#DIV/0!</v>
      </c>
      <c r="BL365" s="159" t="e">
        <f t="shared" ca="1" si="131"/>
        <v>#DIV/0!</v>
      </c>
      <c r="BM365" s="159" t="e">
        <f t="shared" ca="1" si="131"/>
        <v>#DIV/0!</v>
      </c>
      <c r="BN365" s="159" t="e">
        <f t="shared" ca="1" si="131"/>
        <v>#DIV/0!</v>
      </c>
      <c r="BO365" s="159" t="e">
        <f t="shared" ca="1" si="131"/>
        <v>#DIV/0!</v>
      </c>
      <c r="BP365" s="159" t="e">
        <f t="shared" ca="1" si="131"/>
        <v>#DIV/0!</v>
      </c>
      <c r="BQ365" s="159" t="e">
        <f t="shared" ca="1" si="131"/>
        <v>#DIV/0!</v>
      </c>
      <c r="BR365" s="159" t="e">
        <f t="shared" ca="1" si="131"/>
        <v>#DIV/0!</v>
      </c>
      <c r="BS365" s="159" t="e">
        <f t="shared" ca="1" si="131"/>
        <v>#DIV/0!</v>
      </c>
      <c r="BT365" s="159" t="e">
        <f t="shared" ca="1" si="131"/>
        <v>#DIV/0!</v>
      </c>
      <c r="BU365" s="159" t="e">
        <f t="shared" ca="1" si="131"/>
        <v>#DIV/0!</v>
      </c>
      <c r="BV365" s="159" t="e">
        <f t="shared" ca="1" si="131"/>
        <v>#DIV/0!</v>
      </c>
      <c r="BW365" s="159" t="e">
        <f t="shared" ca="1" si="131"/>
        <v>#DIV/0!</v>
      </c>
      <c r="BX365" s="159" t="e">
        <f t="shared" ca="1" si="131"/>
        <v>#DIV/0!</v>
      </c>
      <c r="BY365" s="159" t="e">
        <f t="shared" ca="1" si="54"/>
        <v>#DIV/0!</v>
      </c>
      <c r="BZ365" s="160"/>
      <c r="CA365" s="157"/>
      <c r="CB365" s="57"/>
      <c r="CC365" s="45"/>
      <c r="CD365" s="45"/>
      <c r="CE365" s="197"/>
      <c r="CF365" s="45"/>
      <c r="CG365" s="45"/>
      <c r="CH365" s="45"/>
      <c r="CI365" s="45"/>
      <c r="CJ365" s="645"/>
      <c r="CK365" s="645"/>
      <c r="CL365" s="645"/>
      <c r="CM365" s="645"/>
      <c r="CN365" s="645"/>
      <c r="CO365" s="645"/>
      <c r="CP365" s="645"/>
      <c r="CQ365" s="645"/>
      <c r="CR365" s="645"/>
      <c r="CS365" s="645"/>
      <c r="CT365" s="645"/>
      <c r="CU365" s="645"/>
      <c r="CV365" s="645"/>
      <c r="CW365" s="645"/>
      <c r="CX365" s="645"/>
      <c r="CY365" s="645"/>
      <c r="CZ365" s="645"/>
      <c r="DA365" s="645"/>
      <c r="DB365" s="645"/>
      <c r="DC365" s="645"/>
      <c r="DD365" s="645"/>
      <c r="DE365" s="645"/>
      <c r="DF365" s="645"/>
      <c r="DG365" s="645"/>
      <c r="DH365" s="645"/>
      <c r="DI365" s="645"/>
      <c r="DJ365" s="645"/>
      <c r="DK365" s="645"/>
      <c r="DL365" s="645"/>
      <c r="DM365" s="645"/>
      <c r="DN365" s="645"/>
      <c r="DO365" s="645"/>
      <c r="DP365" s="645"/>
      <c r="DQ365" s="645"/>
      <c r="DR365" s="645"/>
      <c r="DS365" s="645"/>
      <c r="DT365" s="645"/>
      <c r="DU365" s="645"/>
      <c r="DV365" s="645"/>
      <c r="DW365" s="645"/>
      <c r="DX365" s="645"/>
      <c r="DY365" s="645"/>
      <c r="DZ365" s="645"/>
      <c r="EA365" s="645"/>
      <c r="EB365" s="645"/>
      <c r="EC365" s="645"/>
      <c r="ED365" s="645"/>
      <c r="EE365" s="645"/>
      <c r="EF365" s="645"/>
      <c r="EG365" s="645"/>
      <c r="EH365" s="645"/>
      <c r="EI365" s="645"/>
      <c r="EJ365" s="645"/>
      <c r="EK365" s="645"/>
      <c r="EL365" s="645"/>
      <c r="EM365" s="645"/>
      <c r="EN365" s="645"/>
      <c r="EO365" s="645"/>
      <c r="EP365" s="645"/>
      <c r="EQ365" s="645"/>
      <c r="ER365" s="645"/>
      <c r="ES365" s="645"/>
      <c r="ET365" s="645"/>
      <c r="EU365" s="645"/>
      <c r="EV365" s="645"/>
      <c r="EW365" s="43"/>
      <c r="EX365" s="43"/>
      <c r="EY365" s="43"/>
      <c r="EZ365" s="79"/>
      <c r="FA365" s="79"/>
      <c r="FB365" s="79"/>
      <c r="FC365" s="79"/>
      <c r="FD365" s="79"/>
      <c r="FE365" s="79"/>
      <c r="FF365" s="79"/>
      <c r="FG365" s="79"/>
      <c r="FH365" s="79"/>
      <c r="FI365" s="79"/>
      <c r="FJ365" s="79"/>
      <c r="FK365" s="79"/>
      <c r="FL365" s="79"/>
      <c r="FM365" s="49"/>
      <c r="FN365" s="49"/>
      <c r="FO365" s="49"/>
      <c r="FP365" s="49"/>
      <c r="FQ365" s="49"/>
      <c r="FR365" s="49"/>
      <c r="FS365" s="49"/>
      <c r="FT365" s="49"/>
      <c r="FU365" s="49"/>
      <c r="FV365" s="48"/>
      <c r="FW365" s="48"/>
      <c r="FX365" s="48"/>
      <c r="FY365" s="48"/>
      <c r="FZ365" s="48"/>
      <c r="GA365" s="49"/>
      <c r="GB365" s="49"/>
      <c r="GC365" s="49"/>
      <c r="GD365" s="49"/>
      <c r="GE365" s="49"/>
      <c r="GF365" s="49"/>
      <c r="GG365" s="49"/>
      <c r="GH365" s="49"/>
      <c r="GI365" s="49"/>
      <c r="GJ365" s="49"/>
      <c r="GK365" s="49"/>
      <c r="GL365" s="49"/>
      <c r="GM365" s="49"/>
      <c r="GN365" s="49"/>
      <c r="GO365" s="49"/>
      <c r="GP365" s="49"/>
      <c r="GQ365" s="49"/>
      <c r="GR365" s="49"/>
      <c r="GS365" s="49"/>
      <c r="GT365" s="49"/>
      <c r="GU365" s="49"/>
      <c r="GV365" s="49"/>
      <c r="GW365" s="49"/>
      <c r="GX365" s="49"/>
      <c r="GY365" s="49"/>
      <c r="GZ365" s="49"/>
      <c r="HA365" s="49"/>
      <c r="HB365" s="49"/>
      <c r="HC365" s="49"/>
      <c r="HD365" s="49"/>
      <c r="HE365" s="49"/>
      <c r="HF365" s="49"/>
      <c r="HG365" s="49"/>
      <c r="HH365" s="49"/>
      <c r="HI365" s="49"/>
      <c r="HJ365" s="49"/>
      <c r="HK365" s="49"/>
      <c r="HL365" s="49"/>
      <c r="HM365" s="49"/>
    </row>
    <row r="366" spans="1:221" ht="3.75" customHeight="1">
      <c r="A366" s="1"/>
      <c r="B366" s="3"/>
      <c r="C366" s="3"/>
      <c r="D366" s="12"/>
      <c r="E366" s="197"/>
      <c r="F366" s="197"/>
      <c r="G366" s="39"/>
      <c r="H366" s="39"/>
      <c r="I366" s="39"/>
      <c r="J366" s="39"/>
      <c r="K366" s="197"/>
      <c r="L366" s="197"/>
      <c r="M366" s="197">
        <v>100</v>
      </c>
      <c r="N366" s="197"/>
      <c r="O366" s="197"/>
      <c r="P366" s="197"/>
      <c r="Q366" s="645"/>
      <c r="R366" s="645"/>
      <c r="S366" s="645"/>
      <c r="T366" s="645"/>
      <c r="U366" s="645"/>
      <c r="V366" s="645"/>
      <c r="W366" s="645"/>
      <c r="X366" s="645"/>
      <c r="Y366" s="645"/>
      <c r="Z366" s="126"/>
      <c r="AA366" s="156" t="str">
        <f t="shared" ca="1" si="111"/>
        <v/>
      </c>
      <c r="AB366" s="159" t="e">
        <f t="shared" ref="AB366:BG366" ca="1" si="132">IF(AB604=4,":",IF(AB604=5,"!",IF(AB604=3,",",IF(AB604=2,"^",IF(AND($FO$317&gt;=AB$383,$FS$311&gt;=$M366,$FS$317&lt;$M366),"~",IF(AND($FO$317&gt;=AB$383,$FS$311&lt;$M366,$FS$317&gt;=$M366),"*",IF(OR($FO$317&lt;AB$383,$FS$317&lt;$M366),"","+")))))))</f>
        <v>#DIV/0!</v>
      </c>
      <c r="AC366" s="159" t="e">
        <f t="shared" ca="1" si="132"/>
        <v>#DIV/0!</v>
      </c>
      <c r="AD366" s="159" t="e">
        <f t="shared" ca="1" si="132"/>
        <v>#DIV/0!</v>
      </c>
      <c r="AE366" s="159" t="e">
        <f t="shared" ca="1" si="132"/>
        <v>#DIV/0!</v>
      </c>
      <c r="AF366" s="159" t="e">
        <f t="shared" ca="1" si="132"/>
        <v>#DIV/0!</v>
      </c>
      <c r="AG366" s="159" t="e">
        <f t="shared" ca="1" si="132"/>
        <v>#DIV/0!</v>
      </c>
      <c r="AH366" s="159" t="e">
        <f t="shared" ca="1" si="132"/>
        <v>#DIV/0!</v>
      </c>
      <c r="AI366" s="159" t="e">
        <f t="shared" ca="1" si="132"/>
        <v>#DIV/0!</v>
      </c>
      <c r="AJ366" s="159" t="e">
        <f t="shared" ca="1" si="132"/>
        <v>#DIV/0!</v>
      </c>
      <c r="AK366" s="159" t="e">
        <f t="shared" ca="1" si="132"/>
        <v>#DIV/0!</v>
      </c>
      <c r="AL366" s="159" t="e">
        <f t="shared" ca="1" si="132"/>
        <v>#DIV/0!</v>
      </c>
      <c r="AM366" s="159" t="e">
        <f t="shared" ca="1" si="132"/>
        <v>#DIV/0!</v>
      </c>
      <c r="AN366" s="159" t="e">
        <f t="shared" ca="1" si="132"/>
        <v>#DIV/0!</v>
      </c>
      <c r="AO366" s="159" t="e">
        <f t="shared" ca="1" si="132"/>
        <v>#DIV/0!</v>
      </c>
      <c r="AP366" s="159" t="e">
        <f t="shared" ca="1" si="132"/>
        <v>#DIV/0!</v>
      </c>
      <c r="AQ366" s="159" t="e">
        <f t="shared" ca="1" si="132"/>
        <v>#DIV/0!</v>
      </c>
      <c r="AR366" s="159" t="e">
        <f t="shared" ca="1" si="132"/>
        <v>#DIV/0!</v>
      </c>
      <c r="AS366" s="159" t="e">
        <f t="shared" ca="1" si="132"/>
        <v>#DIV/0!</v>
      </c>
      <c r="AT366" s="159" t="e">
        <f t="shared" ca="1" si="132"/>
        <v>#DIV/0!</v>
      </c>
      <c r="AU366" s="159" t="e">
        <f t="shared" ca="1" si="132"/>
        <v>#DIV/0!</v>
      </c>
      <c r="AV366" s="159" t="e">
        <f t="shared" ca="1" si="132"/>
        <v>#DIV/0!</v>
      </c>
      <c r="AW366" s="159" t="e">
        <f t="shared" ca="1" si="132"/>
        <v>#DIV/0!</v>
      </c>
      <c r="AX366" s="159" t="e">
        <f t="shared" ca="1" si="132"/>
        <v>#DIV/0!</v>
      </c>
      <c r="AY366" s="159" t="e">
        <f t="shared" ca="1" si="132"/>
        <v>#DIV/0!</v>
      </c>
      <c r="AZ366" s="159" t="e">
        <f t="shared" ca="1" si="132"/>
        <v>#DIV/0!</v>
      </c>
      <c r="BA366" s="159" t="e">
        <f t="shared" ca="1" si="132"/>
        <v>#DIV/0!</v>
      </c>
      <c r="BB366" s="159" t="e">
        <f t="shared" ca="1" si="132"/>
        <v>#DIV/0!</v>
      </c>
      <c r="BC366" s="159" t="e">
        <f t="shared" ca="1" si="132"/>
        <v>#DIV/0!</v>
      </c>
      <c r="BD366" s="159" t="e">
        <f t="shared" ca="1" si="132"/>
        <v>#DIV/0!</v>
      </c>
      <c r="BE366" s="159" t="e">
        <f t="shared" ca="1" si="132"/>
        <v>#DIV/0!</v>
      </c>
      <c r="BF366" s="159" t="e">
        <f t="shared" ca="1" si="132"/>
        <v>#DIV/0!</v>
      </c>
      <c r="BG366" s="159" t="e">
        <f t="shared" ca="1" si="132"/>
        <v>#DIV/0!</v>
      </c>
      <c r="BH366" s="159" t="e">
        <f t="shared" ref="BH366:BX366" ca="1" si="133">IF(BH604=4,":",IF(BH604=5,"!",IF(BH604=3,",",IF(BH604=2,"^",IF(AND($FO$317&gt;=BH$383,$FS$311&gt;=$M366,$FS$317&lt;$M366),"~",IF(AND($FO$317&gt;=BH$383,$FS$311&lt;$M366,$FS$317&gt;=$M366),"*",IF(OR($FO$317&lt;BH$383,$FS$317&lt;$M366),"","+")))))))</f>
        <v>#DIV/0!</v>
      </c>
      <c r="BI366" s="159" t="e">
        <f t="shared" ca="1" si="133"/>
        <v>#DIV/0!</v>
      </c>
      <c r="BJ366" s="159" t="e">
        <f t="shared" ca="1" si="133"/>
        <v>#DIV/0!</v>
      </c>
      <c r="BK366" s="159" t="e">
        <f t="shared" ca="1" si="133"/>
        <v>#DIV/0!</v>
      </c>
      <c r="BL366" s="159" t="e">
        <f t="shared" ca="1" si="133"/>
        <v>#DIV/0!</v>
      </c>
      <c r="BM366" s="159" t="e">
        <f t="shared" ca="1" si="133"/>
        <v>#DIV/0!</v>
      </c>
      <c r="BN366" s="159" t="e">
        <f t="shared" ca="1" si="133"/>
        <v>#DIV/0!</v>
      </c>
      <c r="BO366" s="159" t="e">
        <f t="shared" ca="1" si="133"/>
        <v>#DIV/0!</v>
      </c>
      <c r="BP366" s="159" t="e">
        <f t="shared" ca="1" si="133"/>
        <v>#DIV/0!</v>
      </c>
      <c r="BQ366" s="159" t="e">
        <f t="shared" ca="1" si="133"/>
        <v>#DIV/0!</v>
      </c>
      <c r="BR366" s="159" t="e">
        <f t="shared" ca="1" si="133"/>
        <v>#DIV/0!</v>
      </c>
      <c r="BS366" s="159" t="e">
        <f t="shared" ca="1" si="133"/>
        <v>#DIV/0!</v>
      </c>
      <c r="BT366" s="159" t="e">
        <f t="shared" ca="1" si="133"/>
        <v>#DIV/0!</v>
      </c>
      <c r="BU366" s="159" t="e">
        <f t="shared" ca="1" si="133"/>
        <v>#DIV/0!</v>
      </c>
      <c r="BV366" s="159" t="e">
        <f t="shared" ca="1" si="133"/>
        <v>#DIV/0!</v>
      </c>
      <c r="BW366" s="159" t="e">
        <f t="shared" ca="1" si="133"/>
        <v>#DIV/0!</v>
      </c>
      <c r="BX366" s="159" t="e">
        <f t="shared" ca="1" si="133"/>
        <v>#DIV/0!</v>
      </c>
      <c r="BY366" s="159" t="e">
        <f t="shared" ca="1" si="54"/>
        <v>#DIV/0!</v>
      </c>
      <c r="BZ366" s="160"/>
      <c r="CA366" s="157"/>
      <c r="CB366" s="57"/>
      <c r="CC366" s="45"/>
      <c r="CD366" s="197"/>
      <c r="CE366" s="45"/>
      <c r="CF366" s="45"/>
      <c r="CG366" s="45"/>
      <c r="CH366" s="45"/>
      <c r="CI366" s="45"/>
      <c r="CJ366" s="645"/>
      <c r="CK366" s="645"/>
      <c r="CL366" s="645"/>
      <c r="CM366" s="645"/>
      <c r="CN366" s="645"/>
      <c r="CO366" s="645"/>
      <c r="CP366" s="645"/>
      <c r="CQ366" s="645"/>
      <c r="CR366" s="645"/>
      <c r="CS366" s="645"/>
      <c r="CT366" s="645"/>
      <c r="CU366" s="645"/>
      <c r="CV366" s="645"/>
      <c r="CW366" s="645"/>
      <c r="CX366" s="645"/>
      <c r="CY366" s="645"/>
      <c r="CZ366" s="645"/>
      <c r="DA366" s="645"/>
      <c r="DB366" s="645"/>
      <c r="DC366" s="645"/>
      <c r="DD366" s="645"/>
      <c r="DE366" s="645"/>
      <c r="DF366" s="645"/>
      <c r="DG366" s="645"/>
      <c r="DH366" s="645"/>
      <c r="DI366" s="645"/>
      <c r="DJ366" s="645"/>
      <c r="DK366" s="645"/>
      <c r="DL366" s="645"/>
      <c r="DM366" s="645"/>
      <c r="DN366" s="645"/>
      <c r="DO366" s="645"/>
      <c r="DP366" s="645"/>
      <c r="DQ366" s="645"/>
      <c r="DR366" s="645"/>
      <c r="DS366" s="645"/>
      <c r="DT366" s="645"/>
      <c r="DU366" s="645"/>
      <c r="DV366" s="645"/>
      <c r="DW366" s="645"/>
      <c r="DX366" s="645"/>
      <c r="DY366" s="645"/>
      <c r="DZ366" s="645"/>
      <c r="EA366" s="645"/>
      <c r="EB366" s="645"/>
      <c r="EC366" s="645"/>
      <c r="ED366" s="645"/>
      <c r="EE366" s="645"/>
      <c r="EF366" s="645"/>
      <c r="EG366" s="645"/>
      <c r="EH366" s="645"/>
      <c r="EI366" s="645"/>
      <c r="EJ366" s="645"/>
      <c r="EK366" s="645"/>
      <c r="EL366" s="645"/>
      <c r="EM366" s="645"/>
      <c r="EN366" s="645"/>
      <c r="EO366" s="645"/>
      <c r="EP366" s="645"/>
      <c r="EQ366" s="645"/>
      <c r="ER366" s="645"/>
      <c r="ES366" s="645"/>
      <c r="ET366" s="645"/>
      <c r="EU366" s="645"/>
      <c r="EV366" s="645"/>
      <c r="EW366" s="43"/>
      <c r="EX366" s="43"/>
      <c r="EY366" s="43"/>
      <c r="EZ366" s="79"/>
      <c r="FA366" s="79"/>
      <c r="FB366" s="79"/>
      <c r="FC366" s="79"/>
      <c r="FD366" s="79"/>
      <c r="FE366" s="79"/>
      <c r="FF366" s="79"/>
      <c r="FG366" s="79"/>
      <c r="FH366" s="79"/>
      <c r="FI366" s="79"/>
      <c r="FJ366" s="79"/>
      <c r="FK366" s="79"/>
      <c r="FL366" s="79"/>
      <c r="FM366" s="49"/>
      <c r="FN366" s="49"/>
      <c r="FO366" s="49"/>
      <c r="FP366" s="49"/>
      <c r="FQ366" s="49"/>
      <c r="FR366" s="49"/>
      <c r="FS366" s="49"/>
      <c r="FT366" s="49"/>
      <c r="FU366" s="49"/>
      <c r="FV366" s="48"/>
      <c r="FW366" s="48"/>
      <c r="FX366" s="48"/>
      <c r="FY366" s="48"/>
      <c r="FZ366" s="48"/>
      <c r="GA366" s="49"/>
      <c r="GB366" s="49"/>
      <c r="GC366" s="49"/>
      <c r="GD366" s="49"/>
      <c r="GE366" s="49"/>
      <c r="GF366" s="49"/>
      <c r="GG366" s="49"/>
      <c r="GH366" s="49"/>
      <c r="GI366" s="49"/>
      <c r="GJ366" s="49"/>
      <c r="GK366" s="49"/>
      <c r="GL366" s="49"/>
      <c r="GM366" s="49"/>
      <c r="GN366" s="49"/>
      <c r="GO366" s="49"/>
      <c r="GP366" s="49"/>
      <c r="GQ366" s="49"/>
      <c r="GR366" s="49"/>
      <c r="GS366" s="49"/>
      <c r="GT366" s="49"/>
      <c r="GU366" s="49"/>
      <c r="GV366" s="49"/>
      <c r="GW366" s="49"/>
      <c r="GX366" s="49"/>
      <c r="GY366" s="49"/>
      <c r="GZ366" s="49"/>
      <c r="HA366" s="49"/>
      <c r="HB366" s="49"/>
      <c r="HC366" s="49"/>
      <c r="HD366" s="49"/>
      <c r="HE366" s="49"/>
      <c r="HF366" s="49"/>
      <c r="HG366" s="49"/>
      <c r="HH366" s="49"/>
      <c r="HI366" s="49"/>
      <c r="HJ366" s="49"/>
      <c r="HK366" s="49"/>
      <c r="HL366" s="49"/>
      <c r="HM366" s="49"/>
    </row>
    <row r="367" spans="1:221" ht="3.75" customHeight="1">
      <c r="A367" s="1"/>
      <c r="B367" s="3"/>
      <c r="C367" s="3"/>
      <c r="D367" s="12"/>
      <c r="E367" s="197"/>
      <c r="F367" s="197"/>
      <c r="G367" s="39"/>
      <c r="H367" s="39"/>
      <c r="I367" s="39"/>
      <c r="J367" s="39"/>
      <c r="K367" s="197"/>
      <c r="L367" s="197"/>
      <c r="M367" s="197">
        <v>90</v>
      </c>
      <c r="N367" s="197"/>
      <c r="O367" s="197"/>
      <c r="P367" s="197"/>
      <c r="Q367" s="645"/>
      <c r="R367" s="645"/>
      <c r="S367" s="645"/>
      <c r="T367" s="645"/>
      <c r="U367" s="645"/>
      <c r="V367" s="645"/>
      <c r="W367" s="645"/>
      <c r="X367" s="645"/>
      <c r="Y367" s="645"/>
      <c r="Z367" s="126"/>
      <c r="AA367" s="156" t="str">
        <f t="shared" ca="1" si="111"/>
        <v/>
      </c>
      <c r="AB367" s="159" t="e">
        <f t="shared" ref="AB367:BG367" ca="1" si="134">IF(AB605=4,":",IF(AB605=5,"!",IF(AB605=3,",",IF(AB605=2,"^",IF(AND($FO$317&gt;=AB$383,$FS$311&gt;=$M367,$FS$317&lt;$M367),"~",IF(AND($FO$317&gt;=AB$383,$FS$311&lt;$M367,$FS$317&gt;=$M367),"*",IF(OR($FO$317&lt;AB$383,$FS$317&lt;$M367),"","+")))))))</f>
        <v>#DIV/0!</v>
      </c>
      <c r="AC367" s="159" t="e">
        <f t="shared" ca="1" si="134"/>
        <v>#DIV/0!</v>
      </c>
      <c r="AD367" s="159" t="e">
        <f t="shared" ca="1" si="134"/>
        <v>#DIV/0!</v>
      </c>
      <c r="AE367" s="159" t="e">
        <f t="shared" ca="1" si="134"/>
        <v>#DIV/0!</v>
      </c>
      <c r="AF367" s="159" t="e">
        <f t="shared" ca="1" si="134"/>
        <v>#DIV/0!</v>
      </c>
      <c r="AG367" s="159" t="e">
        <f t="shared" ca="1" si="134"/>
        <v>#DIV/0!</v>
      </c>
      <c r="AH367" s="159" t="e">
        <f t="shared" ca="1" si="134"/>
        <v>#DIV/0!</v>
      </c>
      <c r="AI367" s="159" t="e">
        <f t="shared" ca="1" si="134"/>
        <v>#DIV/0!</v>
      </c>
      <c r="AJ367" s="159" t="e">
        <f t="shared" ca="1" si="134"/>
        <v>#DIV/0!</v>
      </c>
      <c r="AK367" s="159" t="e">
        <f t="shared" ca="1" si="134"/>
        <v>#DIV/0!</v>
      </c>
      <c r="AL367" s="159" t="e">
        <f t="shared" ca="1" si="134"/>
        <v>#DIV/0!</v>
      </c>
      <c r="AM367" s="159" t="e">
        <f t="shared" ca="1" si="134"/>
        <v>#DIV/0!</v>
      </c>
      <c r="AN367" s="159" t="e">
        <f t="shared" ca="1" si="134"/>
        <v>#DIV/0!</v>
      </c>
      <c r="AO367" s="159" t="e">
        <f t="shared" ca="1" si="134"/>
        <v>#DIV/0!</v>
      </c>
      <c r="AP367" s="159" t="e">
        <f t="shared" ca="1" si="134"/>
        <v>#DIV/0!</v>
      </c>
      <c r="AQ367" s="159" t="e">
        <f t="shared" ca="1" si="134"/>
        <v>#DIV/0!</v>
      </c>
      <c r="AR367" s="159" t="e">
        <f t="shared" ca="1" si="134"/>
        <v>#DIV/0!</v>
      </c>
      <c r="AS367" s="159" t="e">
        <f t="shared" ca="1" si="134"/>
        <v>#DIV/0!</v>
      </c>
      <c r="AT367" s="159" t="e">
        <f t="shared" ca="1" si="134"/>
        <v>#DIV/0!</v>
      </c>
      <c r="AU367" s="159" t="e">
        <f t="shared" ca="1" si="134"/>
        <v>#DIV/0!</v>
      </c>
      <c r="AV367" s="159" t="e">
        <f t="shared" ca="1" si="134"/>
        <v>#DIV/0!</v>
      </c>
      <c r="AW367" s="159" t="e">
        <f t="shared" ca="1" si="134"/>
        <v>#DIV/0!</v>
      </c>
      <c r="AX367" s="159" t="e">
        <f t="shared" ca="1" si="134"/>
        <v>#DIV/0!</v>
      </c>
      <c r="AY367" s="159" t="e">
        <f t="shared" ca="1" si="134"/>
        <v>#DIV/0!</v>
      </c>
      <c r="AZ367" s="159" t="e">
        <f t="shared" ca="1" si="134"/>
        <v>#DIV/0!</v>
      </c>
      <c r="BA367" s="159" t="e">
        <f t="shared" ca="1" si="134"/>
        <v>#DIV/0!</v>
      </c>
      <c r="BB367" s="159" t="e">
        <f t="shared" ca="1" si="134"/>
        <v>#DIV/0!</v>
      </c>
      <c r="BC367" s="159" t="e">
        <f t="shared" ca="1" si="134"/>
        <v>#DIV/0!</v>
      </c>
      <c r="BD367" s="159" t="e">
        <f t="shared" ca="1" si="134"/>
        <v>#DIV/0!</v>
      </c>
      <c r="BE367" s="159" t="e">
        <f t="shared" ca="1" si="134"/>
        <v>#DIV/0!</v>
      </c>
      <c r="BF367" s="159" t="e">
        <f t="shared" ca="1" si="134"/>
        <v>#DIV/0!</v>
      </c>
      <c r="BG367" s="159" t="e">
        <f t="shared" ca="1" si="134"/>
        <v>#DIV/0!</v>
      </c>
      <c r="BH367" s="159" t="e">
        <f t="shared" ref="BH367:BX367" ca="1" si="135">IF(BH605=4,":",IF(BH605=5,"!",IF(BH605=3,",",IF(BH605=2,"^",IF(AND($FO$317&gt;=BH$383,$FS$311&gt;=$M367,$FS$317&lt;$M367),"~",IF(AND($FO$317&gt;=BH$383,$FS$311&lt;$M367,$FS$317&gt;=$M367),"*",IF(OR($FO$317&lt;BH$383,$FS$317&lt;$M367),"","+")))))))</f>
        <v>#DIV/0!</v>
      </c>
      <c r="BI367" s="159" t="e">
        <f t="shared" ca="1" si="135"/>
        <v>#DIV/0!</v>
      </c>
      <c r="BJ367" s="159" t="e">
        <f t="shared" ca="1" si="135"/>
        <v>#DIV/0!</v>
      </c>
      <c r="BK367" s="159" t="e">
        <f t="shared" ca="1" si="135"/>
        <v>#DIV/0!</v>
      </c>
      <c r="BL367" s="159" t="e">
        <f t="shared" ca="1" si="135"/>
        <v>#DIV/0!</v>
      </c>
      <c r="BM367" s="159" t="e">
        <f t="shared" ca="1" si="135"/>
        <v>#DIV/0!</v>
      </c>
      <c r="BN367" s="159" t="e">
        <f t="shared" ca="1" si="135"/>
        <v>#DIV/0!</v>
      </c>
      <c r="BO367" s="159" t="e">
        <f t="shared" ca="1" si="135"/>
        <v>#DIV/0!</v>
      </c>
      <c r="BP367" s="159" t="e">
        <f t="shared" ca="1" si="135"/>
        <v>#DIV/0!</v>
      </c>
      <c r="BQ367" s="159" t="e">
        <f t="shared" ca="1" si="135"/>
        <v>#DIV/0!</v>
      </c>
      <c r="BR367" s="159" t="e">
        <f t="shared" ca="1" si="135"/>
        <v>#DIV/0!</v>
      </c>
      <c r="BS367" s="159" t="e">
        <f t="shared" ca="1" si="135"/>
        <v>#DIV/0!</v>
      </c>
      <c r="BT367" s="159" t="e">
        <f t="shared" ca="1" si="135"/>
        <v>#DIV/0!</v>
      </c>
      <c r="BU367" s="159" t="e">
        <f t="shared" ca="1" si="135"/>
        <v>#DIV/0!</v>
      </c>
      <c r="BV367" s="159" t="e">
        <f t="shared" ca="1" si="135"/>
        <v>#DIV/0!</v>
      </c>
      <c r="BW367" s="159" t="e">
        <f t="shared" ca="1" si="135"/>
        <v>#DIV/0!</v>
      </c>
      <c r="BX367" s="159" t="e">
        <f t="shared" ca="1" si="135"/>
        <v>#DIV/0!</v>
      </c>
      <c r="BY367" s="159" t="e">
        <f t="shared" ca="1" si="54"/>
        <v>#DIV/0!</v>
      </c>
      <c r="BZ367" s="160"/>
      <c r="CA367" s="157"/>
      <c r="CB367" s="57"/>
      <c r="CC367" s="197"/>
      <c r="CD367" s="45"/>
      <c r="CE367" s="45"/>
      <c r="CF367" s="45"/>
      <c r="CG367" s="197"/>
      <c r="CH367" s="197"/>
      <c r="CI367" s="197"/>
      <c r="CJ367" s="645"/>
      <c r="CK367" s="645"/>
      <c r="CL367" s="645"/>
      <c r="CM367" s="645"/>
      <c r="CN367" s="645"/>
      <c r="CO367" s="645"/>
      <c r="CP367" s="645"/>
      <c r="CQ367" s="645"/>
      <c r="CR367" s="645"/>
      <c r="CS367" s="645"/>
      <c r="CT367" s="645"/>
      <c r="CU367" s="645"/>
      <c r="CV367" s="645"/>
      <c r="CW367" s="645"/>
      <c r="CX367" s="645"/>
      <c r="CY367" s="645"/>
      <c r="CZ367" s="645"/>
      <c r="DA367" s="645"/>
      <c r="DB367" s="645"/>
      <c r="DC367" s="645"/>
      <c r="DD367" s="645"/>
      <c r="DE367" s="645"/>
      <c r="DF367" s="645"/>
      <c r="DG367" s="645"/>
      <c r="DH367" s="645"/>
      <c r="DI367" s="645"/>
      <c r="DJ367" s="645"/>
      <c r="DK367" s="645"/>
      <c r="DL367" s="645"/>
      <c r="DM367" s="645"/>
      <c r="DN367" s="645"/>
      <c r="DO367" s="645"/>
      <c r="DP367" s="645"/>
      <c r="DQ367" s="645"/>
      <c r="DR367" s="645"/>
      <c r="DS367" s="645"/>
      <c r="DT367" s="645"/>
      <c r="DU367" s="645"/>
      <c r="DV367" s="645"/>
      <c r="DW367" s="645"/>
      <c r="DX367" s="645"/>
      <c r="DY367" s="645"/>
      <c r="DZ367" s="645"/>
      <c r="EA367" s="645"/>
      <c r="EB367" s="645"/>
      <c r="EC367" s="645"/>
      <c r="ED367" s="645"/>
      <c r="EE367" s="645"/>
      <c r="EF367" s="645"/>
      <c r="EG367" s="645"/>
      <c r="EH367" s="645"/>
      <c r="EI367" s="645"/>
      <c r="EJ367" s="645"/>
      <c r="EK367" s="645"/>
      <c r="EL367" s="645"/>
      <c r="EM367" s="645"/>
      <c r="EN367" s="645"/>
      <c r="EO367" s="645"/>
      <c r="EP367" s="645"/>
      <c r="EQ367" s="645"/>
      <c r="ER367" s="645"/>
      <c r="ES367" s="645"/>
      <c r="ET367" s="645"/>
      <c r="EU367" s="645"/>
      <c r="EV367" s="645"/>
      <c r="EW367" s="43"/>
      <c r="EX367" s="43"/>
      <c r="EY367" s="43"/>
      <c r="EZ367" s="79"/>
      <c r="FA367" s="79"/>
      <c r="FB367" s="79"/>
      <c r="FC367" s="79"/>
      <c r="FD367" s="79"/>
      <c r="FE367" s="79"/>
      <c r="FF367" s="79"/>
      <c r="FG367" s="79"/>
      <c r="FH367" s="79"/>
      <c r="FI367" s="79"/>
      <c r="FJ367" s="79"/>
      <c r="FK367" s="79"/>
      <c r="FL367" s="79"/>
      <c r="FM367" s="49"/>
      <c r="FN367" s="49"/>
      <c r="FO367" s="49"/>
      <c r="FP367" s="49"/>
      <c r="FQ367" s="49"/>
      <c r="FR367" s="49"/>
      <c r="FS367" s="49"/>
      <c r="FT367" s="49"/>
      <c r="FU367" s="49"/>
      <c r="FV367" s="48"/>
      <c r="FW367" s="48"/>
      <c r="FX367" s="48"/>
      <c r="FY367" s="48"/>
      <c r="FZ367" s="48"/>
      <c r="GA367" s="49"/>
      <c r="GB367" s="49"/>
      <c r="GC367" s="49"/>
      <c r="GD367" s="49"/>
      <c r="GE367" s="49"/>
      <c r="GF367" s="49"/>
      <c r="GG367" s="49"/>
      <c r="GH367" s="49"/>
      <c r="GI367" s="49"/>
      <c r="GJ367" s="49"/>
      <c r="GK367" s="49"/>
      <c r="GL367" s="49"/>
      <c r="GM367" s="49"/>
      <c r="GN367" s="49"/>
      <c r="GO367" s="49"/>
      <c r="GP367" s="49"/>
      <c r="GQ367" s="49"/>
      <c r="GR367" s="49"/>
      <c r="GS367" s="49"/>
      <c r="GT367" s="49"/>
      <c r="GU367" s="49"/>
      <c r="GV367" s="49"/>
      <c r="GW367" s="49"/>
      <c r="GX367" s="49"/>
      <c r="GY367" s="49"/>
      <c r="GZ367" s="49"/>
      <c r="HA367" s="49"/>
      <c r="HB367" s="49"/>
      <c r="HC367" s="49"/>
      <c r="HD367" s="49"/>
      <c r="HE367" s="49"/>
      <c r="HF367" s="49"/>
      <c r="HG367" s="49"/>
      <c r="HH367" s="49"/>
      <c r="HI367" s="49"/>
      <c r="HJ367" s="49"/>
      <c r="HK367" s="49"/>
      <c r="HL367" s="49"/>
      <c r="HM367" s="49"/>
    </row>
    <row r="368" spans="1:221" ht="3.75" customHeight="1">
      <c r="A368" s="1"/>
      <c r="B368" s="3"/>
      <c r="C368" s="3"/>
      <c r="D368" s="12"/>
      <c r="E368" s="197"/>
      <c r="F368" s="197"/>
      <c r="G368" s="39"/>
      <c r="H368" s="39"/>
      <c r="I368" s="39"/>
      <c r="J368" s="39"/>
      <c r="K368" s="197"/>
      <c r="L368" s="197"/>
      <c r="M368" s="197">
        <v>80</v>
      </c>
      <c r="N368" s="197"/>
      <c r="O368" s="197"/>
      <c r="P368" s="197"/>
      <c r="Q368" s="645"/>
      <c r="R368" s="645"/>
      <c r="S368" s="645"/>
      <c r="T368" s="645"/>
      <c r="U368" s="645"/>
      <c r="V368" s="645"/>
      <c r="W368" s="645"/>
      <c r="X368" s="645"/>
      <c r="Y368" s="645"/>
      <c r="Z368" s="126"/>
      <c r="AA368" s="156" t="str">
        <f t="shared" ca="1" si="111"/>
        <v/>
      </c>
      <c r="AB368" s="159" t="e">
        <f t="shared" ref="AB368:BG368" ca="1" si="136">IF(AB606=4,":",IF(AB606=5,"!",IF(AB606=3,",",IF(AB606=2,"^",IF(AND($FO$317&gt;=AB$383,$FS$311&gt;=$M368,$FS$317&lt;$M368),"~",IF(AND($FO$317&gt;=AB$383,$FS$311&lt;$M368,$FS$317&gt;=$M368),"*",IF(OR($FO$317&lt;AB$383,$FS$317&lt;$M368),"","+")))))))</f>
        <v>#DIV/0!</v>
      </c>
      <c r="AC368" s="159" t="e">
        <f t="shared" ca="1" si="136"/>
        <v>#DIV/0!</v>
      </c>
      <c r="AD368" s="159" t="e">
        <f t="shared" ca="1" si="136"/>
        <v>#DIV/0!</v>
      </c>
      <c r="AE368" s="159" t="e">
        <f t="shared" ca="1" si="136"/>
        <v>#DIV/0!</v>
      </c>
      <c r="AF368" s="159" t="e">
        <f t="shared" ca="1" si="136"/>
        <v>#DIV/0!</v>
      </c>
      <c r="AG368" s="159" t="e">
        <f t="shared" ca="1" si="136"/>
        <v>#DIV/0!</v>
      </c>
      <c r="AH368" s="159" t="e">
        <f t="shared" ca="1" si="136"/>
        <v>#DIV/0!</v>
      </c>
      <c r="AI368" s="159" t="e">
        <f t="shared" ca="1" si="136"/>
        <v>#DIV/0!</v>
      </c>
      <c r="AJ368" s="159" t="e">
        <f t="shared" ca="1" si="136"/>
        <v>#DIV/0!</v>
      </c>
      <c r="AK368" s="159" t="e">
        <f t="shared" ca="1" si="136"/>
        <v>#DIV/0!</v>
      </c>
      <c r="AL368" s="159" t="e">
        <f t="shared" ca="1" si="136"/>
        <v>#DIV/0!</v>
      </c>
      <c r="AM368" s="159" t="e">
        <f t="shared" ca="1" si="136"/>
        <v>#DIV/0!</v>
      </c>
      <c r="AN368" s="159" t="e">
        <f t="shared" ca="1" si="136"/>
        <v>#DIV/0!</v>
      </c>
      <c r="AO368" s="159" t="e">
        <f t="shared" ca="1" si="136"/>
        <v>#DIV/0!</v>
      </c>
      <c r="AP368" s="159" t="e">
        <f t="shared" ca="1" si="136"/>
        <v>#DIV/0!</v>
      </c>
      <c r="AQ368" s="159" t="e">
        <f t="shared" ca="1" si="136"/>
        <v>#DIV/0!</v>
      </c>
      <c r="AR368" s="159" t="e">
        <f t="shared" ca="1" si="136"/>
        <v>#DIV/0!</v>
      </c>
      <c r="AS368" s="159" t="e">
        <f t="shared" ca="1" si="136"/>
        <v>#DIV/0!</v>
      </c>
      <c r="AT368" s="159" t="e">
        <f t="shared" ca="1" si="136"/>
        <v>#DIV/0!</v>
      </c>
      <c r="AU368" s="159" t="e">
        <f t="shared" ca="1" si="136"/>
        <v>#DIV/0!</v>
      </c>
      <c r="AV368" s="159" t="e">
        <f t="shared" ca="1" si="136"/>
        <v>#DIV/0!</v>
      </c>
      <c r="AW368" s="159" t="e">
        <f t="shared" ca="1" si="136"/>
        <v>#DIV/0!</v>
      </c>
      <c r="AX368" s="159" t="e">
        <f t="shared" ca="1" si="136"/>
        <v>#DIV/0!</v>
      </c>
      <c r="AY368" s="159" t="e">
        <f t="shared" ca="1" si="136"/>
        <v>#DIV/0!</v>
      </c>
      <c r="AZ368" s="159" t="e">
        <f t="shared" ca="1" si="136"/>
        <v>#DIV/0!</v>
      </c>
      <c r="BA368" s="159" t="e">
        <f t="shared" ca="1" si="136"/>
        <v>#DIV/0!</v>
      </c>
      <c r="BB368" s="159" t="e">
        <f t="shared" ca="1" si="136"/>
        <v>#DIV/0!</v>
      </c>
      <c r="BC368" s="159" t="e">
        <f t="shared" ca="1" si="136"/>
        <v>#DIV/0!</v>
      </c>
      <c r="BD368" s="159" t="e">
        <f t="shared" ca="1" si="136"/>
        <v>#DIV/0!</v>
      </c>
      <c r="BE368" s="159" t="e">
        <f t="shared" ca="1" si="136"/>
        <v>#DIV/0!</v>
      </c>
      <c r="BF368" s="159" t="e">
        <f t="shared" ca="1" si="136"/>
        <v>#DIV/0!</v>
      </c>
      <c r="BG368" s="159" t="e">
        <f t="shared" ca="1" si="136"/>
        <v>#DIV/0!</v>
      </c>
      <c r="BH368" s="159" t="e">
        <f t="shared" ref="BH368:BX368" ca="1" si="137">IF(BH606=4,":",IF(BH606=5,"!",IF(BH606=3,",",IF(BH606=2,"^",IF(AND($FO$317&gt;=BH$383,$FS$311&gt;=$M368,$FS$317&lt;$M368),"~",IF(AND($FO$317&gt;=BH$383,$FS$311&lt;$M368,$FS$317&gt;=$M368),"*",IF(OR($FO$317&lt;BH$383,$FS$317&lt;$M368),"","+")))))))</f>
        <v>#DIV/0!</v>
      </c>
      <c r="BI368" s="159" t="e">
        <f t="shared" ca="1" si="137"/>
        <v>#DIV/0!</v>
      </c>
      <c r="BJ368" s="159" t="e">
        <f t="shared" ca="1" si="137"/>
        <v>#DIV/0!</v>
      </c>
      <c r="BK368" s="159" t="e">
        <f t="shared" ca="1" si="137"/>
        <v>#DIV/0!</v>
      </c>
      <c r="BL368" s="159" t="e">
        <f t="shared" ca="1" si="137"/>
        <v>#DIV/0!</v>
      </c>
      <c r="BM368" s="159" t="e">
        <f t="shared" ca="1" si="137"/>
        <v>#DIV/0!</v>
      </c>
      <c r="BN368" s="159" t="e">
        <f t="shared" ca="1" si="137"/>
        <v>#DIV/0!</v>
      </c>
      <c r="BO368" s="159" t="e">
        <f t="shared" ca="1" si="137"/>
        <v>#DIV/0!</v>
      </c>
      <c r="BP368" s="159" t="e">
        <f t="shared" ca="1" si="137"/>
        <v>#DIV/0!</v>
      </c>
      <c r="BQ368" s="159" t="e">
        <f t="shared" ca="1" si="137"/>
        <v>#DIV/0!</v>
      </c>
      <c r="BR368" s="159" t="e">
        <f t="shared" ca="1" si="137"/>
        <v>#DIV/0!</v>
      </c>
      <c r="BS368" s="159" t="e">
        <f t="shared" ca="1" si="137"/>
        <v>#DIV/0!</v>
      </c>
      <c r="BT368" s="159" t="e">
        <f t="shared" ca="1" si="137"/>
        <v>#DIV/0!</v>
      </c>
      <c r="BU368" s="159" t="e">
        <f t="shared" ca="1" si="137"/>
        <v>#DIV/0!</v>
      </c>
      <c r="BV368" s="159" t="e">
        <f t="shared" ca="1" si="137"/>
        <v>#DIV/0!</v>
      </c>
      <c r="BW368" s="159" t="e">
        <f t="shared" ca="1" si="137"/>
        <v>#DIV/0!</v>
      </c>
      <c r="BX368" s="159" t="e">
        <f t="shared" ca="1" si="137"/>
        <v>#DIV/0!</v>
      </c>
      <c r="BY368" s="159" t="e">
        <f t="shared" ca="1" si="54"/>
        <v>#DIV/0!</v>
      </c>
      <c r="BZ368" s="160"/>
      <c r="CA368" s="157"/>
      <c r="CB368" s="57"/>
      <c r="CC368" s="45"/>
      <c r="CD368" s="197"/>
      <c r="CE368" s="45"/>
      <c r="CF368" s="45"/>
      <c r="CG368" s="45"/>
      <c r="CH368" s="45"/>
      <c r="CI368" s="45"/>
      <c r="CJ368" s="645"/>
      <c r="CK368" s="645"/>
      <c r="CL368" s="645"/>
      <c r="CM368" s="645"/>
      <c r="CN368" s="645"/>
      <c r="CO368" s="645"/>
      <c r="CP368" s="645"/>
      <c r="CQ368" s="645"/>
      <c r="CR368" s="645"/>
      <c r="CS368" s="645"/>
      <c r="CT368" s="645"/>
      <c r="CU368" s="645"/>
      <c r="CV368" s="645"/>
      <c r="CW368" s="645"/>
      <c r="CX368" s="645"/>
      <c r="CY368" s="645"/>
      <c r="CZ368" s="645"/>
      <c r="DA368" s="645"/>
      <c r="DB368" s="645"/>
      <c r="DC368" s="645"/>
      <c r="DD368" s="645"/>
      <c r="DE368" s="645"/>
      <c r="DF368" s="645"/>
      <c r="DG368" s="645"/>
      <c r="DH368" s="645"/>
      <c r="DI368" s="645"/>
      <c r="DJ368" s="645"/>
      <c r="DK368" s="645"/>
      <c r="DL368" s="645"/>
      <c r="DM368" s="645"/>
      <c r="DN368" s="645"/>
      <c r="DO368" s="645"/>
      <c r="DP368" s="645"/>
      <c r="DQ368" s="645"/>
      <c r="DR368" s="645"/>
      <c r="DS368" s="645"/>
      <c r="DT368" s="645"/>
      <c r="DU368" s="645"/>
      <c r="DV368" s="645"/>
      <c r="DW368" s="645"/>
      <c r="DX368" s="645"/>
      <c r="DY368" s="645"/>
      <c r="DZ368" s="645"/>
      <c r="EA368" s="645"/>
      <c r="EB368" s="645"/>
      <c r="EC368" s="645"/>
      <c r="ED368" s="645"/>
      <c r="EE368" s="645"/>
      <c r="EF368" s="645"/>
      <c r="EG368" s="645"/>
      <c r="EH368" s="645"/>
      <c r="EI368" s="645"/>
      <c r="EJ368" s="645"/>
      <c r="EK368" s="645"/>
      <c r="EL368" s="645"/>
      <c r="EM368" s="645"/>
      <c r="EN368" s="645"/>
      <c r="EO368" s="645"/>
      <c r="EP368" s="645"/>
      <c r="EQ368" s="645"/>
      <c r="ER368" s="645"/>
      <c r="ES368" s="645"/>
      <c r="ET368" s="645"/>
      <c r="EU368" s="645"/>
      <c r="EV368" s="645"/>
      <c r="EW368" s="43"/>
      <c r="EX368" s="43"/>
      <c r="EY368" s="43"/>
      <c r="EZ368" s="79"/>
      <c r="FA368" s="79"/>
      <c r="FB368" s="79"/>
      <c r="FC368" s="79"/>
      <c r="FD368" s="79"/>
      <c r="FE368" s="79"/>
      <c r="FF368" s="79"/>
      <c r="FG368" s="79"/>
      <c r="FH368" s="79"/>
      <c r="FI368" s="79"/>
      <c r="FJ368" s="79"/>
      <c r="FK368" s="79"/>
      <c r="FL368" s="79"/>
      <c r="FM368" s="48"/>
      <c r="FN368" s="48"/>
      <c r="FO368" s="48"/>
      <c r="FP368" s="48"/>
      <c r="FQ368" s="48"/>
      <c r="FR368" s="49"/>
      <c r="FS368" s="49"/>
      <c r="FT368" s="49"/>
      <c r="FU368" s="49"/>
      <c r="FV368" s="48"/>
      <c r="FW368" s="48"/>
      <c r="FX368" s="48"/>
      <c r="FY368" s="48"/>
      <c r="FZ368" s="48"/>
      <c r="GA368" s="49"/>
      <c r="GB368" s="49"/>
      <c r="GC368" s="49"/>
      <c r="GD368" s="49"/>
      <c r="GE368" s="49"/>
      <c r="GF368" s="49"/>
      <c r="GG368" s="49"/>
      <c r="GH368" s="49"/>
      <c r="GI368" s="49"/>
      <c r="GJ368" s="49"/>
      <c r="GK368" s="49"/>
      <c r="GL368" s="49"/>
      <c r="GM368" s="49"/>
      <c r="GN368" s="49"/>
      <c r="GO368" s="49"/>
      <c r="GP368" s="49"/>
      <c r="GQ368" s="49"/>
      <c r="GR368" s="49"/>
      <c r="GS368" s="49"/>
      <c r="GT368" s="49"/>
      <c r="GU368" s="49"/>
      <c r="GV368" s="49"/>
      <c r="GW368" s="49"/>
      <c r="GX368" s="49"/>
      <c r="GY368" s="49"/>
      <c r="GZ368" s="49"/>
      <c r="HA368" s="49"/>
      <c r="HB368" s="49"/>
      <c r="HC368" s="49"/>
      <c r="HD368" s="49"/>
      <c r="HE368" s="49"/>
      <c r="HF368" s="49"/>
      <c r="HG368" s="49"/>
      <c r="HH368" s="49"/>
      <c r="HI368" s="49"/>
      <c r="HJ368" s="49"/>
      <c r="HK368" s="49"/>
      <c r="HL368" s="49"/>
      <c r="HM368" s="49"/>
    </row>
    <row r="369" spans="1:221" ht="3.75" customHeight="1">
      <c r="A369" s="1"/>
      <c r="B369" s="3"/>
      <c r="C369" s="3"/>
      <c r="D369" s="12"/>
      <c r="E369" s="197"/>
      <c r="F369" s="197"/>
      <c r="G369" s="39"/>
      <c r="H369" s="39"/>
      <c r="I369" s="39"/>
      <c r="J369" s="39"/>
      <c r="K369" s="197"/>
      <c r="L369" s="197"/>
      <c r="M369" s="197">
        <v>70</v>
      </c>
      <c r="N369" s="197"/>
      <c r="O369" s="197"/>
      <c r="P369" s="197"/>
      <c r="Q369" s="197"/>
      <c r="R369" s="197"/>
      <c r="S369" s="197"/>
      <c r="T369" s="197"/>
      <c r="U369" s="197"/>
      <c r="V369" s="197"/>
      <c r="W369" s="197"/>
      <c r="X369" s="197"/>
      <c r="Y369" s="197"/>
      <c r="Z369" s="126"/>
      <c r="AA369" s="156" t="str">
        <f t="shared" ca="1" si="111"/>
        <v/>
      </c>
      <c r="AB369" s="159" t="e">
        <f t="shared" ref="AB369:BG369" ca="1" si="138">IF(AB607=4,":",IF(AB607=5,"!",IF(AB607=3,",",IF(AB607=2,"^",IF(AND($FO$317&gt;=AB$383,$FS$311&gt;=$M369,$FS$317&lt;$M369),"~",IF(AND($FO$317&gt;=AB$383,$FS$311&lt;$M369,$FS$317&gt;=$M369),"*",IF(OR($FO$317&lt;AB$383,$FS$317&lt;$M369),"","+")))))))</f>
        <v>#DIV/0!</v>
      </c>
      <c r="AC369" s="159" t="e">
        <f t="shared" ca="1" si="138"/>
        <v>#DIV/0!</v>
      </c>
      <c r="AD369" s="159" t="e">
        <f t="shared" ca="1" si="138"/>
        <v>#DIV/0!</v>
      </c>
      <c r="AE369" s="159" t="e">
        <f t="shared" ca="1" si="138"/>
        <v>#DIV/0!</v>
      </c>
      <c r="AF369" s="159" t="e">
        <f t="shared" ca="1" si="138"/>
        <v>#DIV/0!</v>
      </c>
      <c r="AG369" s="159" t="e">
        <f t="shared" ca="1" si="138"/>
        <v>#DIV/0!</v>
      </c>
      <c r="AH369" s="159" t="e">
        <f t="shared" ca="1" si="138"/>
        <v>#DIV/0!</v>
      </c>
      <c r="AI369" s="159" t="e">
        <f t="shared" ca="1" si="138"/>
        <v>#DIV/0!</v>
      </c>
      <c r="AJ369" s="159" t="e">
        <f t="shared" ca="1" si="138"/>
        <v>#DIV/0!</v>
      </c>
      <c r="AK369" s="159" t="e">
        <f t="shared" ca="1" si="138"/>
        <v>#DIV/0!</v>
      </c>
      <c r="AL369" s="159" t="e">
        <f t="shared" ca="1" si="138"/>
        <v>#DIV/0!</v>
      </c>
      <c r="AM369" s="159" t="e">
        <f t="shared" ca="1" si="138"/>
        <v>#DIV/0!</v>
      </c>
      <c r="AN369" s="159" t="e">
        <f t="shared" ca="1" si="138"/>
        <v>#DIV/0!</v>
      </c>
      <c r="AO369" s="159" t="e">
        <f t="shared" ca="1" si="138"/>
        <v>#DIV/0!</v>
      </c>
      <c r="AP369" s="159" t="e">
        <f t="shared" ca="1" si="138"/>
        <v>#DIV/0!</v>
      </c>
      <c r="AQ369" s="159" t="e">
        <f t="shared" ca="1" si="138"/>
        <v>#DIV/0!</v>
      </c>
      <c r="AR369" s="159" t="e">
        <f t="shared" ca="1" si="138"/>
        <v>#DIV/0!</v>
      </c>
      <c r="AS369" s="159" t="e">
        <f t="shared" ca="1" si="138"/>
        <v>#DIV/0!</v>
      </c>
      <c r="AT369" s="159" t="e">
        <f t="shared" ca="1" si="138"/>
        <v>#DIV/0!</v>
      </c>
      <c r="AU369" s="159" t="e">
        <f t="shared" ca="1" si="138"/>
        <v>#DIV/0!</v>
      </c>
      <c r="AV369" s="159" t="e">
        <f t="shared" ca="1" si="138"/>
        <v>#DIV/0!</v>
      </c>
      <c r="AW369" s="159" t="e">
        <f t="shared" ca="1" si="138"/>
        <v>#DIV/0!</v>
      </c>
      <c r="AX369" s="159" t="e">
        <f t="shared" ca="1" si="138"/>
        <v>#DIV/0!</v>
      </c>
      <c r="AY369" s="159" t="e">
        <f t="shared" ca="1" si="138"/>
        <v>#DIV/0!</v>
      </c>
      <c r="AZ369" s="159" t="e">
        <f t="shared" ca="1" si="138"/>
        <v>#DIV/0!</v>
      </c>
      <c r="BA369" s="159" t="e">
        <f t="shared" ca="1" si="138"/>
        <v>#DIV/0!</v>
      </c>
      <c r="BB369" s="159" t="e">
        <f t="shared" ca="1" si="138"/>
        <v>#DIV/0!</v>
      </c>
      <c r="BC369" s="159" t="e">
        <f t="shared" ca="1" si="138"/>
        <v>#DIV/0!</v>
      </c>
      <c r="BD369" s="159" t="e">
        <f t="shared" ca="1" si="138"/>
        <v>#DIV/0!</v>
      </c>
      <c r="BE369" s="159" t="e">
        <f t="shared" ca="1" si="138"/>
        <v>#DIV/0!</v>
      </c>
      <c r="BF369" s="159" t="e">
        <f t="shared" ca="1" si="138"/>
        <v>#DIV/0!</v>
      </c>
      <c r="BG369" s="159" t="e">
        <f t="shared" ca="1" si="138"/>
        <v>#DIV/0!</v>
      </c>
      <c r="BH369" s="159" t="e">
        <f t="shared" ref="BH369:BX369" ca="1" si="139">IF(BH607=4,":",IF(BH607=5,"!",IF(BH607=3,",",IF(BH607=2,"^",IF(AND($FO$317&gt;=BH$383,$FS$311&gt;=$M369,$FS$317&lt;$M369),"~",IF(AND($FO$317&gt;=BH$383,$FS$311&lt;$M369,$FS$317&gt;=$M369),"*",IF(OR($FO$317&lt;BH$383,$FS$317&lt;$M369),"","+")))))))</f>
        <v>#DIV/0!</v>
      </c>
      <c r="BI369" s="159" t="e">
        <f t="shared" ca="1" si="139"/>
        <v>#DIV/0!</v>
      </c>
      <c r="BJ369" s="159" t="e">
        <f t="shared" ca="1" si="139"/>
        <v>#DIV/0!</v>
      </c>
      <c r="BK369" s="159" t="e">
        <f t="shared" ca="1" si="139"/>
        <v>#DIV/0!</v>
      </c>
      <c r="BL369" s="159" t="e">
        <f t="shared" ca="1" si="139"/>
        <v>#DIV/0!</v>
      </c>
      <c r="BM369" s="159" t="e">
        <f t="shared" ca="1" si="139"/>
        <v>#DIV/0!</v>
      </c>
      <c r="BN369" s="159" t="e">
        <f t="shared" ca="1" si="139"/>
        <v>#DIV/0!</v>
      </c>
      <c r="BO369" s="159" t="e">
        <f t="shared" ca="1" si="139"/>
        <v>#DIV/0!</v>
      </c>
      <c r="BP369" s="159" t="e">
        <f t="shared" ca="1" si="139"/>
        <v>#DIV/0!</v>
      </c>
      <c r="BQ369" s="159" t="e">
        <f t="shared" ca="1" si="139"/>
        <v>#DIV/0!</v>
      </c>
      <c r="BR369" s="159" t="e">
        <f t="shared" ca="1" si="139"/>
        <v>#DIV/0!</v>
      </c>
      <c r="BS369" s="159" t="e">
        <f t="shared" ca="1" si="139"/>
        <v>#DIV/0!</v>
      </c>
      <c r="BT369" s="159" t="e">
        <f t="shared" ca="1" si="139"/>
        <v>#DIV/0!</v>
      </c>
      <c r="BU369" s="159" t="e">
        <f t="shared" ca="1" si="139"/>
        <v>#DIV/0!</v>
      </c>
      <c r="BV369" s="159" t="e">
        <f t="shared" ca="1" si="139"/>
        <v>#DIV/0!</v>
      </c>
      <c r="BW369" s="159" t="e">
        <f t="shared" ca="1" si="139"/>
        <v>#DIV/0!</v>
      </c>
      <c r="BX369" s="159" t="e">
        <f t="shared" ca="1" si="139"/>
        <v>#DIV/0!</v>
      </c>
      <c r="BY369" s="159" t="e">
        <f t="shared" ca="1" si="54"/>
        <v>#DIV/0!</v>
      </c>
      <c r="BZ369" s="160"/>
      <c r="CA369" s="157"/>
      <c r="CB369" s="57"/>
      <c r="CC369" s="45"/>
      <c r="CD369" s="45"/>
      <c r="CE369" s="197"/>
      <c r="CF369" s="45"/>
      <c r="CG369" s="197">
        <v>50</v>
      </c>
      <c r="CH369" s="197"/>
      <c r="CI369" s="197"/>
      <c r="CJ369" s="645"/>
      <c r="CK369" s="645"/>
      <c r="CL369" s="645"/>
      <c r="CM369" s="645"/>
      <c r="CN369" s="645"/>
      <c r="CO369" s="645"/>
      <c r="CP369" s="645"/>
      <c r="CQ369" s="645"/>
      <c r="CR369" s="645"/>
      <c r="CS369" s="645"/>
      <c r="CT369" s="645"/>
      <c r="CU369" s="645"/>
      <c r="CV369" s="645"/>
      <c r="CW369" s="645"/>
      <c r="CX369" s="645"/>
      <c r="CY369" s="645"/>
      <c r="CZ369" s="645"/>
      <c r="DA369" s="645"/>
      <c r="DB369" s="645"/>
      <c r="DC369" s="645"/>
      <c r="DD369" s="645"/>
      <c r="DE369" s="645"/>
      <c r="DF369" s="645"/>
      <c r="DG369" s="645"/>
      <c r="DH369" s="645"/>
      <c r="DI369" s="645"/>
      <c r="DJ369" s="645"/>
      <c r="DK369" s="645"/>
      <c r="DL369" s="645"/>
      <c r="DM369" s="645"/>
      <c r="DN369" s="645"/>
      <c r="DO369" s="645"/>
      <c r="DP369" s="645"/>
      <c r="DQ369" s="645"/>
      <c r="DR369" s="645"/>
      <c r="DS369" s="645"/>
      <c r="DT369" s="645"/>
      <c r="DU369" s="645"/>
      <c r="DV369" s="645"/>
      <c r="DW369" s="645"/>
      <c r="DX369" s="645"/>
      <c r="DY369" s="645"/>
      <c r="DZ369" s="645"/>
      <c r="EA369" s="645"/>
      <c r="EB369" s="645"/>
      <c r="EC369" s="645"/>
      <c r="ED369" s="645"/>
      <c r="EE369" s="645"/>
      <c r="EF369" s="645"/>
      <c r="EG369" s="645"/>
      <c r="EH369" s="645"/>
      <c r="EI369" s="645"/>
      <c r="EJ369" s="645"/>
      <c r="EK369" s="645"/>
      <c r="EL369" s="645"/>
      <c r="EM369" s="645"/>
      <c r="EN369" s="645"/>
      <c r="EO369" s="645"/>
      <c r="EP369" s="645"/>
      <c r="EQ369" s="645"/>
      <c r="ER369" s="645"/>
      <c r="ES369" s="645"/>
      <c r="ET369" s="645"/>
      <c r="EU369" s="645"/>
      <c r="EV369" s="645"/>
      <c r="EW369" s="43"/>
      <c r="EX369" s="43"/>
      <c r="EY369" s="43"/>
      <c r="EZ369" s="79"/>
      <c r="FA369" s="79"/>
      <c r="FB369" s="79"/>
      <c r="FC369" s="79"/>
      <c r="FD369" s="79"/>
      <c r="FE369" s="79"/>
      <c r="FF369" s="79"/>
      <c r="FG369" s="79"/>
      <c r="FH369" s="79"/>
      <c r="FI369" s="79"/>
      <c r="FJ369" s="79"/>
      <c r="FK369" s="79"/>
      <c r="FL369" s="79"/>
      <c r="FM369" s="48"/>
      <c r="FN369" s="48"/>
      <c r="FO369" s="48"/>
      <c r="FP369" s="48"/>
      <c r="FQ369" s="48"/>
      <c r="FR369" s="49"/>
      <c r="FS369" s="49"/>
      <c r="FT369" s="49"/>
      <c r="FU369" s="49"/>
      <c r="FV369" s="48"/>
      <c r="FW369" s="48"/>
      <c r="FX369" s="48"/>
      <c r="FY369" s="48"/>
      <c r="FZ369" s="48"/>
      <c r="GA369" s="49"/>
      <c r="GB369" s="49"/>
      <c r="GC369" s="49"/>
      <c r="GD369" s="49"/>
      <c r="GE369" s="49"/>
      <c r="GF369" s="49"/>
      <c r="GG369" s="49"/>
      <c r="GH369" s="49"/>
      <c r="GI369" s="49"/>
      <c r="GJ369" s="49"/>
      <c r="GK369" s="49"/>
      <c r="GL369" s="49"/>
      <c r="GM369" s="49"/>
      <c r="GN369" s="49"/>
      <c r="GO369" s="49"/>
      <c r="GP369" s="49"/>
      <c r="GQ369" s="49"/>
      <c r="GR369" s="49"/>
      <c r="GS369" s="49"/>
      <c r="GT369" s="49"/>
      <c r="GU369" s="49"/>
      <c r="GV369" s="49"/>
      <c r="GW369" s="49"/>
      <c r="GX369" s="49"/>
      <c r="GY369" s="49"/>
      <c r="GZ369" s="49"/>
      <c r="HA369" s="49"/>
      <c r="HB369" s="49"/>
      <c r="HC369" s="49"/>
      <c r="HD369" s="49"/>
      <c r="HE369" s="49"/>
      <c r="HF369" s="49"/>
      <c r="HG369" s="49"/>
      <c r="HH369" s="49"/>
      <c r="HI369" s="49"/>
      <c r="HJ369" s="49"/>
      <c r="HK369" s="49"/>
      <c r="HL369" s="49"/>
      <c r="HM369" s="49"/>
    </row>
    <row r="370" spans="1:221" ht="3.75" customHeight="1">
      <c r="A370" s="1"/>
      <c r="B370" s="3"/>
      <c r="C370" s="3"/>
      <c r="D370" s="12"/>
      <c r="E370" s="197"/>
      <c r="F370" s="197"/>
      <c r="G370" s="39"/>
      <c r="H370" s="39"/>
      <c r="I370" s="39"/>
      <c r="J370" s="39"/>
      <c r="K370" s="197"/>
      <c r="L370" s="197"/>
      <c r="M370" s="197">
        <v>60</v>
      </c>
      <c r="N370" s="197"/>
      <c r="O370" s="197"/>
      <c r="P370" s="197"/>
      <c r="Q370" s="197"/>
      <c r="R370" s="197"/>
      <c r="S370" s="197"/>
      <c r="T370" s="197"/>
      <c r="U370" s="197"/>
      <c r="V370" s="197"/>
      <c r="W370" s="197"/>
      <c r="X370" s="197"/>
      <c r="Y370" s="197"/>
      <c r="Z370" s="126"/>
      <c r="AA370" s="156" t="str">
        <f t="shared" ca="1" si="111"/>
        <v/>
      </c>
      <c r="AB370" s="159" t="e">
        <f t="shared" ref="AB370:BG370" ca="1" si="140">IF(AB608=4,":",IF(AB608=5,"!",IF(AB608=3,",",IF(AB608=2,"^",IF(AND($FO$317&gt;=AB$383,$FS$311&gt;=$M370,$FS$317&lt;$M370),"~",IF(AND($FO$317&gt;=AB$383,$FS$311&lt;$M370,$FS$317&gt;=$M370),"*",IF(OR($FO$317&lt;AB$383,$FS$317&lt;$M370),"","+")))))))</f>
        <v>#DIV/0!</v>
      </c>
      <c r="AC370" s="159" t="e">
        <f t="shared" ca="1" si="140"/>
        <v>#DIV/0!</v>
      </c>
      <c r="AD370" s="159" t="e">
        <f t="shared" ca="1" si="140"/>
        <v>#DIV/0!</v>
      </c>
      <c r="AE370" s="159" t="e">
        <f t="shared" ca="1" si="140"/>
        <v>#DIV/0!</v>
      </c>
      <c r="AF370" s="159" t="e">
        <f t="shared" ca="1" si="140"/>
        <v>#DIV/0!</v>
      </c>
      <c r="AG370" s="159" t="e">
        <f t="shared" ca="1" si="140"/>
        <v>#DIV/0!</v>
      </c>
      <c r="AH370" s="159" t="e">
        <f t="shared" ca="1" si="140"/>
        <v>#DIV/0!</v>
      </c>
      <c r="AI370" s="159" t="e">
        <f t="shared" ca="1" si="140"/>
        <v>#DIV/0!</v>
      </c>
      <c r="AJ370" s="159" t="e">
        <f t="shared" ca="1" si="140"/>
        <v>#DIV/0!</v>
      </c>
      <c r="AK370" s="159" t="e">
        <f t="shared" ca="1" si="140"/>
        <v>#DIV/0!</v>
      </c>
      <c r="AL370" s="159" t="e">
        <f t="shared" ca="1" si="140"/>
        <v>#DIV/0!</v>
      </c>
      <c r="AM370" s="159" t="e">
        <f t="shared" ca="1" si="140"/>
        <v>#DIV/0!</v>
      </c>
      <c r="AN370" s="159" t="e">
        <f t="shared" ca="1" si="140"/>
        <v>#DIV/0!</v>
      </c>
      <c r="AO370" s="159" t="e">
        <f t="shared" ca="1" si="140"/>
        <v>#DIV/0!</v>
      </c>
      <c r="AP370" s="159" t="e">
        <f t="shared" ca="1" si="140"/>
        <v>#DIV/0!</v>
      </c>
      <c r="AQ370" s="159" t="e">
        <f t="shared" ca="1" si="140"/>
        <v>#DIV/0!</v>
      </c>
      <c r="AR370" s="159" t="e">
        <f t="shared" ca="1" si="140"/>
        <v>#DIV/0!</v>
      </c>
      <c r="AS370" s="159" t="e">
        <f t="shared" ca="1" si="140"/>
        <v>#DIV/0!</v>
      </c>
      <c r="AT370" s="159" t="e">
        <f t="shared" ca="1" si="140"/>
        <v>#DIV/0!</v>
      </c>
      <c r="AU370" s="159" t="e">
        <f t="shared" ca="1" si="140"/>
        <v>#DIV/0!</v>
      </c>
      <c r="AV370" s="159" t="e">
        <f t="shared" ca="1" si="140"/>
        <v>#DIV/0!</v>
      </c>
      <c r="AW370" s="159" t="e">
        <f t="shared" ca="1" si="140"/>
        <v>#DIV/0!</v>
      </c>
      <c r="AX370" s="159" t="e">
        <f t="shared" ca="1" si="140"/>
        <v>#DIV/0!</v>
      </c>
      <c r="AY370" s="159" t="e">
        <f t="shared" ca="1" si="140"/>
        <v>#DIV/0!</v>
      </c>
      <c r="AZ370" s="159" t="e">
        <f t="shared" ca="1" si="140"/>
        <v>#DIV/0!</v>
      </c>
      <c r="BA370" s="159" t="e">
        <f t="shared" ca="1" si="140"/>
        <v>#DIV/0!</v>
      </c>
      <c r="BB370" s="159" t="e">
        <f t="shared" ca="1" si="140"/>
        <v>#DIV/0!</v>
      </c>
      <c r="BC370" s="159" t="e">
        <f t="shared" ca="1" si="140"/>
        <v>#DIV/0!</v>
      </c>
      <c r="BD370" s="159" t="e">
        <f t="shared" ca="1" si="140"/>
        <v>#DIV/0!</v>
      </c>
      <c r="BE370" s="159" t="e">
        <f t="shared" ca="1" si="140"/>
        <v>#DIV/0!</v>
      </c>
      <c r="BF370" s="159" t="e">
        <f t="shared" ca="1" si="140"/>
        <v>#DIV/0!</v>
      </c>
      <c r="BG370" s="159" t="e">
        <f t="shared" ca="1" si="140"/>
        <v>#DIV/0!</v>
      </c>
      <c r="BH370" s="159" t="e">
        <f t="shared" ref="BH370:BX370" ca="1" si="141">IF(BH608=4,":",IF(BH608=5,"!",IF(BH608=3,",",IF(BH608=2,"^",IF(AND($FO$317&gt;=BH$383,$FS$311&gt;=$M370,$FS$317&lt;$M370),"~",IF(AND($FO$317&gt;=BH$383,$FS$311&lt;$M370,$FS$317&gt;=$M370),"*",IF(OR($FO$317&lt;BH$383,$FS$317&lt;$M370),"","+")))))))</f>
        <v>#DIV/0!</v>
      </c>
      <c r="BI370" s="159" t="e">
        <f t="shared" ca="1" si="141"/>
        <v>#DIV/0!</v>
      </c>
      <c r="BJ370" s="159" t="e">
        <f t="shared" ca="1" si="141"/>
        <v>#DIV/0!</v>
      </c>
      <c r="BK370" s="159" t="e">
        <f t="shared" ca="1" si="141"/>
        <v>#DIV/0!</v>
      </c>
      <c r="BL370" s="159" t="e">
        <f t="shared" ca="1" si="141"/>
        <v>#DIV/0!</v>
      </c>
      <c r="BM370" s="159" t="e">
        <f t="shared" ca="1" si="141"/>
        <v>#DIV/0!</v>
      </c>
      <c r="BN370" s="159" t="e">
        <f t="shared" ca="1" si="141"/>
        <v>#DIV/0!</v>
      </c>
      <c r="BO370" s="159" t="e">
        <f t="shared" ca="1" si="141"/>
        <v>#DIV/0!</v>
      </c>
      <c r="BP370" s="159" t="e">
        <f t="shared" ca="1" si="141"/>
        <v>#DIV/0!</v>
      </c>
      <c r="BQ370" s="159" t="e">
        <f t="shared" ca="1" si="141"/>
        <v>#DIV/0!</v>
      </c>
      <c r="BR370" s="159" t="e">
        <f t="shared" ca="1" si="141"/>
        <v>#DIV/0!</v>
      </c>
      <c r="BS370" s="159" t="e">
        <f t="shared" ca="1" si="141"/>
        <v>#DIV/0!</v>
      </c>
      <c r="BT370" s="159" t="e">
        <f t="shared" ca="1" si="141"/>
        <v>#DIV/0!</v>
      </c>
      <c r="BU370" s="159" t="e">
        <f t="shared" ca="1" si="141"/>
        <v>#DIV/0!</v>
      </c>
      <c r="BV370" s="159" t="e">
        <f t="shared" ca="1" si="141"/>
        <v>#DIV/0!</v>
      </c>
      <c r="BW370" s="159" t="e">
        <f t="shared" ca="1" si="141"/>
        <v>#DIV/0!</v>
      </c>
      <c r="BX370" s="159" t="e">
        <f t="shared" ca="1" si="141"/>
        <v>#DIV/0!</v>
      </c>
      <c r="BY370" s="159" t="e">
        <f t="shared" ca="1" si="54"/>
        <v>#DIV/0!</v>
      </c>
      <c r="BZ370" s="160"/>
      <c r="CA370" s="157"/>
      <c r="CB370" s="57"/>
      <c r="CC370" s="197"/>
      <c r="CD370" s="197"/>
      <c r="CE370" s="197"/>
      <c r="CF370" s="197"/>
      <c r="CG370" s="197"/>
      <c r="CH370" s="197"/>
      <c r="CI370" s="197"/>
      <c r="CJ370" s="645"/>
      <c r="CK370" s="645"/>
      <c r="CL370" s="645"/>
      <c r="CM370" s="645"/>
      <c r="CN370" s="645"/>
      <c r="CO370" s="645"/>
      <c r="CP370" s="645"/>
      <c r="CQ370" s="645"/>
      <c r="CR370" s="645"/>
      <c r="CS370" s="645"/>
      <c r="CT370" s="645"/>
      <c r="CU370" s="645"/>
      <c r="CV370" s="645"/>
      <c r="CW370" s="645"/>
      <c r="CX370" s="645"/>
      <c r="CY370" s="645"/>
      <c r="CZ370" s="645"/>
      <c r="DA370" s="645"/>
      <c r="DB370" s="645"/>
      <c r="DC370" s="645"/>
      <c r="DD370" s="645"/>
      <c r="DE370" s="645"/>
      <c r="DF370" s="645"/>
      <c r="DG370" s="645"/>
      <c r="DH370" s="645"/>
      <c r="DI370" s="645"/>
      <c r="DJ370" s="645"/>
      <c r="DK370" s="645"/>
      <c r="DL370" s="645"/>
      <c r="DM370" s="645"/>
      <c r="DN370" s="645"/>
      <c r="DO370" s="645"/>
      <c r="DP370" s="645"/>
      <c r="DQ370" s="645"/>
      <c r="DR370" s="645"/>
      <c r="DS370" s="645"/>
      <c r="DT370" s="645"/>
      <c r="DU370" s="645"/>
      <c r="DV370" s="645"/>
      <c r="DW370" s="645"/>
      <c r="DX370" s="645"/>
      <c r="DY370" s="645"/>
      <c r="DZ370" s="645"/>
      <c r="EA370" s="645"/>
      <c r="EB370" s="645"/>
      <c r="EC370" s="645"/>
      <c r="ED370" s="645"/>
      <c r="EE370" s="645"/>
      <c r="EF370" s="645"/>
      <c r="EG370" s="645"/>
      <c r="EH370" s="645"/>
      <c r="EI370" s="645"/>
      <c r="EJ370" s="645"/>
      <c r="EK370" s="645"/>
      <c r="EL370" s="645"/>
      <c r="EM370" s="645"/>
      <c r="EN370" s="645"/>
      <c r="EO370" s="645"/>
      <c r="EP370" s="645"/>
      <c r="EQ370" s="645"/>
      <c r="ER370" s="645"/>
      <c r="ES370" s="645"/>
      <c r="ET370" s="645"/>
      <c r="EU370" s="645"/>
      <c r="EV370" s="645"/>
      <c r="EW370" s="43"/>
      <c r="EX370" s="43"/>
      <c r="EY370" s="43"/>
      <c r="EZ370" s="79"/>
      <c r="FA370" s="79"/>
      <c r="FB370" s="79"/>
      <c r="FC370" s="79"/>
      <c r="FD370" s="79"/>
      <c r="FE370" s="79"/>
      <c r="FF370" s="79"/>
      <c r="FG370" s="79"/>
      <c r="FH370" s="79"/>
      <c r="FI370" s="79"/>
      <c r="FJ370" s="79"/>
      <c r="FK370" s="79"/>
      <c r="FL370" s="79"/>
      <c r="FM370" s="48"/>
      <c r="FN370" s="48"/>
      <c r="FO370" s="48"/>
      <c r="FP370" s="48"/>
      <c r="FQ370" s="48"/>
      <c r="FR370" s="49"/>
      <c r="FS370" s="49"/>
      <c r="FT370" s="49"/>
      <c r="FU370" s="49"/>
      <c r="FV370" s="48"/>
      <c r="FW370" s="48"/>
      <c r="FX370" s="48"/>
      <c r="FY370" s="48"/>
      <c r="FZ370" s="48"/>
      <c r="GA370" s="49"/>
      <c r="GB370" s="49"/>
      <c r="GC370" s="49"/>
      <c r="GD370" s="49"/>
      <c r="GE370" s="49"/>
      <c r="GF370" s="49"/>
      <c r="GG370" s="49"/>
      <c r="GH370" s="49"/>
      <c r="GI370" s="49"/>
      <c r="GJ370" s="49"/>
      <c r="GK370" s="49"/>
      <c r="GL370" s="49"/>
      <c r="GM370" s="49"/>
      <c r="GN370" s="49"/>
      <c r="GO370" s="49"/>
      <c r="GP370" s="49"/>
      <c r="GQ370" s="49"/>
      <c r="GR370" s="49"/>
      <c r="GS370" s="49"/>
      <c r="GT370" s="49"/>
      <c r="GU370" s="49"/>
      <c r="GV370" s="49"/>
      <c r="GW370" s="49"/>
      <c r="GX370" s="49"/>
      <c r="GY370" s="49"/>
      <c r="GZ370" s="49"/>
      <c r="HA370" s="49"/>
      <c r="HB370" s="49"/>
      <c r="HC370" s="49"/>
      <c r="HD370" s="49"/>
      <c r="HE370" s="49"/>
      <c r="HF370" s="49"/>
      <c r="HG370" s="49"/>
      <c r="HH370" s="49"/>
      <c r="HI370" s="49"/>
      <c r="HJ370" s="49"/>
      <c r="HK370" s="49"/>
      <c r="HL370" s="49"/>
      <c r="HM370" s="49"/>
    </row>
    <row r="371" spans="1:221" ht="3.75" customHeight="1">
      <c r="A371" s="1"/>
      <c r="B371" s="3"/>
      <c r="C371" s="3"/>
      <c r="D371" s="12"/>
      <c r="E371" s="197"/>
      <c r="F371" s="197"/>
      <c r="G371" s="39"/>
      <c r="H371" s="39"/>
      <c r="I371" s="39"/>
      <c r="J371" s="39"/>
      <c r="K371" s="197"/>
      <c r="L371" s="197"/>
      <c r="M371" s="197">
        <v>50</v>
      </c>
      <c r="N371" s="197"/>
      <c r="O371" s="197"/>
      <c r="P371" s="197"/>
      <c r="Q371" s="197"/>
      <c r="R371" s="197"/>
      <c r="S371" s="197"/>
      <c r="T371" s="197"/>
      <c r="U371" s="197"/>
      <c r="V371" s="197"/>
      <c r="W371" s="197"/>
      <c r="X371" s="197"/>
      <c r="Y371" s="197"/>
      <c r="Z371" s="126"/>
      <c r="AA371" s="156" t="str">
        <f t="shared" ca="1" si="111"/>
        <v/>
      </c>
      <c r="AB371" s="159" t="e">
        <f t="shared" ref="AB371:BG371" ca="1" si="142">IF(AB609=4,":",IF(AB609=5,"!",IF(AB609=3,",",IF(AB609=2,"^",IF(AND($FO$317&gt;=AB$383,$FS$311&gt;=$M371,$FS$317&lt;$M371),"~",IF(AND($FO$317&gt;=AB$383,$FS$311&lt;$M371,$FS$317&gt;=$M371),"*",IF(OR($FO$317&lt;AB$383,$FS$317&lt;$M371),"","+")))))))</f>
        <v>#DIV/0!</v>
      </c>
      <c r="AC371" s="159" t="e">
        <f t="shared" ca="1" si="142"/>
        <v>#DIV/0!</v>
      </c>
      <c r="AD371" s="159" t="e">
        <f t="shared" ca="1" si="142"/>
        <v>#DIV/0!</v>
      </c>
      <c r="AE371" s="159" t="e">
        <f t="shared" ca="1" si="142"/>
        <v>#DIV/0!</v>
      </c>
      <c r="AF371" s="159" t="e">
        <f t="shared" ca="1" si="142"/>
        <v>#DIV/0!</v>
      </c>
      <c r="AG371" s="159" t="e">
        <f t="shared" ca="1" si="142"/>
        <v>#DIV/0!</v>
      </c>
      <c r="AH371" s="159" t="e">
        <f t="shared" ca="1" si="142"/>
        <v>#DIV/0!</v>
      </c>
      <c r="AI371" s="159" t="e">
        <f t="shared" ca="1" si="142"/>
        <v>#DIV/0!</v>
      </c>
      <c r="AJ371" s="159" t="e">
        <f t="shared" ca="1" si="142"/>
        <v>#DIV/0!</v>
      </c>
      <c r="AK371" s="159" t="e">
        <f t="shared" ca="1" si="142"/>
        <v>#DIV/0!</v>
      </c>
      <c r="AL371" s="159" t="e">
        <f t="shared" ca="1" si="142"/>
        <v>#DIV/0!</v>
      </c>
      <c r="AM371" s="159" t="e">
        <f t="shared" ca="1" si="142"/>
        <v>#DIV/0!</v>
      </c>
      <c r="AN371" s="159" t="e">
        <f t="shared" ca="1" si="142"/>
        <v>#DIV/0!</v>
      </c>
      <c r="AO371" s="159" t="e">
        <f t="shared" ca="1" si="142"/>
        <v>#DIV/0!</v>
      </c>
      <c r="AP371" s="159" t="e">
        <f t="shared" ca="1" si="142"/>
        <v>#DIV/0!</v>
      </c>
      <c r="AQ371" s="159" t="e">
        <f t="shared" ca="1" si="142"/>
        <v>#DIV/0!</v>
      </c>
      <c r="AR371" s="159" t="e">
        <f t="shared" ca="1" si="142"/>
        <v>#DIV/0!</v>
      </c>
      <c r="AS371" s="159" t="e">
        <f t="shared" ca="1" si="142"/>
        <v>#DIV/0!</v>
      </c>
      <c r="AT371" s="159" t="e">
        <f t="shared" ca="1" si="142"/>
        <v>#DIV/0!</v>
      </c>
      <c r="AU371" s="159" t="e">
        <f t="shared" ca="1" si="142"/>
        <v>#DIV/0!</v>
      </c>
      <c r="AV371" s="159" t="e">
        <f t="shared" ca="1" si="142"/>
        <v>#DIV/0!</v>
      </c>
      <c r="AW371" s="159" t="e">
        <f t="shared" ca="1" si="142"/>
        <v>#DIV/0!</v>
      </c>
      <c r="AX371" s="159" t="e">
        <f t="shared" ca="1" si="142"/>
        <v>#DIV/0!</v>
      </c>
      <c r="AY371" s="159" t="e">
        <f t="shared" ca="1" si="142"/>
        <v>#DIV/0!</v>
      </c>
      <c r="AZ371" s="159" t="e">
        <f t="shared" ca="1" si="142"/>
        <v>#DIV/0!</v>
      </c>
      <c r="BA371" s="159" t="e">
        <f t="shared" ca="1" si="142"/>
        <v>#DIV/0!</v>
      </c>
      <c r="BB371" s="159" t="e">
        <f t="shared" ca="1" si="142"/>
        <v>#DIV/0!</v>
      </c>
      <c r="BC371" s="159" t="e">
        <f t="shared" ca="1" si="142"/>
        <v>#DIV/0!</v>
      </c>
      <c r="BD371" s="159" t="e">
        <f t="shared" ca="1" si="142"/>
        <v>#DIV/0!</v>
      </c>
      <c r="BE371" s="159" t="e">
        <f t="shared" ca="1" si="142"/>
        <v>#DIV/0!</v>
      </c>
      <c r="BF371" s="159" t="e">
        <f t="shared" ca="1" si="142"/>
        <v>#DIV/0!</v>
      </c>
      <c r="BG371" s="159" t="e">
        <f t="shared" ca="1" si="142"/>
        <v>#DIV/0!</v>
      </c>
      <c r="BH371" s="159" t="e">
        <f t="shared" ref="BH371:BX371" ca="1" si="143">IF(BH609=4,":",IF(BH609=5,"!",IF(BH609=3,",",IF(BH609=2,"^",IF(AND($FO$317&gt;=BH$383,$FS$311&gt;=$M371,$FS$317&lt;$M371),"~",IF(AND($FO$317&gt;=BH$383,$FS$311&lt;$M371,$FS$317&gt;=$M371),"*",IF(OR($FO$317&lt;BH$383,$FS$317&lt;$M371),"","+")))))))</f>
        <v>#DIV/0!</v>
      </c>
      <c r="BI371" s="159" t="e">
        <f t="shared" ca="1" si="143"/>
        <v>#DIV/0!</v>
      </c>
      <c r="BJ371" s="159" t="e">
        <f t="shared" ca="1" si="143"/>
        <v>#DIV/0!</v>
      </c>
      <c r="BK371" s="159" t="e">
        <f t="shared" ca="1" si="143"/>
        <v>#DIV/0!</v>
      </c>
      <c r="BL371" s="159" t="e">
        <f t="shared" ca="1" si="143"/>
        <v>#DIV/0!</v>
      </c>
      <c r="BM371" s="159" t="e">
        <f t="shared" ca="1" si="143"/>
        <v>#DIV/0!</v>
      </c>
      <c r="BN371" s="159" t="e">
        <f t="shared" ca="1" si="143"/>
        <v>#DIV/0!</v>
      </c>
      <c r="BO371" s="159" t="e">
        <f t="shared" ca="1" si="143"/>
        <v>#DIV/0!</v>
      </c>
      <c r="BP371" s="159" t="e">
        <f t="shared" ca="1" si="143"/>
        <v>#DIV/0!</v>
      </c>
      <c r="BQ371" s="159" t="e">
        <f t="shared" ca="1" si="143"/>
        <v>#DIV/0!</v>
      </c>
      <c r="BR371" s="159" t="e">
        <f t="shared" ca="1" si="143"/>
        <v>#DIV/0!</v>
      </c>
      <c r="BS371" s="159" t="e">
        <f t="shared" ca="1" si="143"/>
        <v>#DIV/0!</v>
      </c>
      <c r="BT371" s="159" t="e">
        <f t="shared" ca="1" si="143"/>
        <v>#DIV/0!</v>
      </c>
      <c r="BU371" s="159" t="e">
        <f t="shared" ca="1" si="143"/>
        <v>#DIV/0!</v>
      </c>
      <c r="BV371" s="159" t="e">
        <f t="shared" ca="1" si="143"/>
        <v>#DIV/0!</v>
      </c>
      <c r="BW371" s="159" t="e">
        <f t="shared" ca="1" si="143"/>
        <v>#DIV/0!</v>
      </c>
      <c r="BX371" s="159" t="e">
        <f t="shared" ca="1" si="143"/>
        <v>#DIV/0!</v>
      </c>
      <c r="BY371" s="159" t="e">
        <f t="shared" ca="1" si="54"/>
        <v>#DIV/0!</v>
      </c>
      <c r="BZ371" s="160"/>
      <c r="CA371" s="157"/>
      <c r="CB371" s="45"/>
      <c r="CC371" s="45"/>
      <c r="CD371" s="45"/>
      <c r="CE371" s="45"/>
      <c r="CF371" s="45"/>
      <c r="CG371" s="45"/>
      <c r="CH371" s="45"/>
      <c r="CI371" s="45"/>
      <c r="CJ371" s="645"/>
      <c r="CK371" s="645"/>
      <c r="CL371" s="645"/>
      <c r="CM371" s="645"/>
      <c r="CN371" s="645"/>
      <c r="CO371" s="645"/>
      <c r="CP371" s="645"/>
      <c r="CQ371" s="645"/>
      <c r="CR371" s="645"/>
      <c r="CS371" s="645"/>
      <c r="CT371" s="645"/>
      <c r="CU371" s="645"/>
      <c r="CV371" s="645"/>
      <c r="CW371" s="645"/>
      <c r="CX371" s="645"/>
      <c r="CY371" s="645"/>
      <c r="CZ371" s="645"/>
      <c r="DA371" s="645"/>
      <c r="DB371" s="645"/>
      <c r="DC371" s="645"/>
      <c r="DD371" s="645"/>
      <c r="DE371" s="645"/>
      <c r="DF371" s="645"/>
      <c r="DG371" s="645"/>
      <c r="DH371" s="645"/>
      <c r="DI371" s="645"/>
      <c r="DJ371" s="645"/>
      <c r="DK371" s="645"/>
      <c r="DL371" s="645"/>
      <c r="DM371" s="645"/>
      <c r="DN371" s="645"/>
      <c r="DO371" s="645"/>
      <c r="DP371" s="645"/>
      <c r="DQ371" s="645"/>
      <c r="DR371" s="645"/>
      <c r="DS371" s="645"/>
      <c r="DT371" s="645"/>
      <c r="DU371" s="645"/>
      <c r="DV371" s="645"/>
      <c r="DW371" s="645"/>
      <c r="DX371" s="645"/>
      <c r="DY371" s="645"/>
      <c r="DZ371" s="645"/>
      <c r="EA371" s="645"/>
      <c r="EB371" s="645"/>
      <c r="EC371" s="645"/>
      <c r="ED371" s="645"/>
      <c r="EE371" s="645"/>
      <c r="EF371" s="645"/>
      <c r="EG371" s="645"/>
      <c r="EH371" s="645"/>
      <c r="EI371" s="645"/>
      <c r="EJ371" s="645"/>
      <c r="EK371" s="645"/>
      <c r="EL371" s="645"/>
      <c r="EM371" s="645"/>
      <c r="EN371" s="645"/>
      <c r="EO371" s="645"/>
      <c r="EP371" s="645"/>
      <c r="EQ371" s="645"/>
      <c r="ER371" s="645"/>
      <c r="ES371" s="645"/>
      <c r="ET371" s="645"/>
      <c r="EU371" s="645"/>
      <c r="EV371" s="645"/>
      <c r="EW371" s="43"/>
      <c r="EX371" s="43"/>
      <c r="EY371" s="43"/>
      <c r="EZ371" s="79"/>
      <c r="FA371" s="79"/>
      <c r="FB371" s="79"/>
      <c r="FC371" s="79"/>
      <c r="FD371" s="79"/>
      <c r="FE371" s="79"/>
      <c r="FF371" s="79"/>
      <c r="FG371" s="79"/>
      <c r="FH371" s="79"/>
      <c r="FI371" s="79"/>
      <c r="FJ371" s="79"/>
      <c r="FK371" s="79"/>
      <c r="FL371" s="79"/>
      <c r="FM371" s="48"/>
      <c r="FN371" s="48"/>
      <c r="FO371" s="48"/>
      <c r="FP371" s="48"/>
      <c r="FQ371" s="48"/>
      <c r="FR371" s="49"/>
      <c r="FS371" s="49"/>
      <c r="FT371" s="49"/>
      <c r="FU371" s="49"/>
      <c r="FV371" s="48"/>
      <c r="FW371" s="48"/>
      <c r="FX371" s="48"/>
      <c r="FY371" s="48"/>
      <c r="FZ371" s="48"/>
      <c r="GA371" s="49"/>
      <c r="GB371" s="49"/>
      <c r="GC371" s="49"/>
      <c r="GD371" s="49"/>
      <c r="GE371" s="49"/>
      <c r="GF371" s="49"/>
      <c r="GG371" s="49"/>
      <c r="GH371" s="49"/>
      <c r="GI371" s="49"/>
      <c r="GJ371" s="49"/>
      <c r="GK371" s="49"/>
      <c r="GL371" s="49"/>
      <c r="GM371" s="49"/>
      <c r="GN371" s="49"/>
      <c r="GO371" s="49"/>
      <c r="GP371" s="49"/>
      <c r="GQ371" s="49"/>
      <c r="GR371" s="49"/>
      <c r="GS371" s="49"/>
      <c r="GT371" s="49"/>
      <c r="GU371" s="49"/>
      <c r="GV371" s="49"/>
      <c r="GW371" s="49"/>
      <c r="GX371" s="49"/>
      <c r="GY371" s="49"/>
      <c r="GZ371" s="49"/>
      <c r="HA371" s="49"/>
      <c r="HB371" s="49"/>
      <c r="HC371" s="49"/>
      <c r="HD371" s="49"/>
      <c r="HE371" s="49"/>
      <c r="HF371" s="49"/>
      <c r="HG371" s="49"/>
      <c r="HH371" s="49"/>
      <c r="HI371" s="49"/>
      <c r="HJ371" s="49"/>
      <c r="HK371" s="49"/>
      <c r="HL371" s="49"/>
      <c r="HM371" s="49"/>
    </row>
    <row r="372" spans="1:221" ht="3.75" customHeight="1">
      <c r="A372" s="1"/>
      <c r="B372" s="3"/>
      <c r="C372" s="3"/>
      <c r="D372" s="12"/>
      <c r="E372" s="197"/>
      <c r="F372" s="197"/>
      <c r="G372" s="39"/>
      <c r="H372" s="39"/>
      <c r="I372" s="39"/>
      <c r="J372" s="39"/>
      <c r="K372" s="197"/>
      <c r="L372" s="197"/>
      <c r="M372" s="197">
        <v>40</v>
      </c>
      <c r="N372" s="197"/>
      <c r="O372" s="197"/>
      <c r="P372" s="197"/>
      <c r="Q372" s="197"/>
      <c r="R372" s="197"/>
      <c r="S372" s="197"/>
      <c r="T372" s="197"/>
      <c r="U372" s="197"/>
      <c r="V372" s="197"/>
      <c r="W372" s="197"/>
      <c r="X372" s="197"/>
      <c r="Y372" s="197"/>
      <c r="Z372" s="126"/>
      <c r="AA372" s="156" t="str">
        <f t="shared" ca="1" si="111"/>
        <v/>
      </c>
      <c r="AB372" s="159" t="e">
        <f t="shared" ref="AB372:BG372" ca="1" si="144">IF(AB610=4,":",IF(AB610=5,"!",IF(AB610=3,",",IF(AB610=2,"^",IF(AND($FO$317&gt;=AB$383,$FS$311&gt;=$M372,$FS$317&lt;$M372),"~",IF(AND($FO$317&gt;=AB$383,$FS$311&lt;$M372,$FS$317&gt;=$M372),"*",IF(OR($FO$317&lt;AB$383,$FS$317&lt;$M372),"","+")))))))</f>
        <v>#DIV/0!</v>
      </c>
      <c r="AC372" s="159" t="e">
        <f t="shared" ca="1" si="144"/>
        <v>#DIV/0!</v>
      </c>
      <c r="AD372" s="159" t="e">
        <f t="shared" ca="1" si="144"/>
        <v>#DIV/0!</v>
      </c>
      <c r="AE372" s="159" t="e">
        <f t="shared" ca="1" si="144"/>
        <v>#DIV/0!</v>
      </c>
      <c r="AF372" s="159" t="e">
        <f t="shared" ca="1" si="144"/>
        <v>#DIV/0!</v>
      </c>
      <c r="AG372" s="159" t="e">
        <f t="shared" ca="1" si="144"/>
        <v>#DIV/0!</v>
      </c>
      <c r="AH372" s="159" t="e">
        <f t="shared" ca="1" si="144"/>
        <v>#DIV/0!</v>
      </c>
      <c r="AI372" s="159" t="e">
        <f t="shared" ca="1" si="144"/>
        <v>#DIV/0!</v>
      </c>
      <c r="AJ372" s="159" t="e">
        <f t="shared" ca="1" si="144"/>
        <v>#DIV/0!</v>
      </c>
      <c r="AK372" s="159" t="e">
        <f t="shared" ca="1" si="144"/>
        <v>#DIV/0!</v>
      </c>
      <c r="AL372" s="159" t="e">
        <f t="shared" ca="1" si="144"/>
        <v>#DIV/0!</v>
      </c>
      <c r="AM372" s="159" t="e">
        <f t="shared" ca="1" si="144"/>
        <v>#DIV/0!</v>
      </c>
      <c r="AN372" s="159" t="e">
        <f t="shared" ca="1" si="144"/>
        <v>#DIV/0!</v>
      </c>
      <c r="AO372" s="159" t="e">
        <f t="shared" ca="1" si="144"/>
        <v>#DIV/0!</v>
      </c>
      <c r="AP372" s="159" t="e">
        <f t="shared" ca="1" si="144"/>
        <v>#DIV/0!</v>
      </c>
      <c r="AQ372" s="159" t="e">
        <f t="shared" ca="1" si="144"/>
        <v>#DIV/0!</v>
      </c>
      <c r="AR372" s="159" t="e">
        <f t="shared" ca="1" si="144"/>
        <v>#DIV/0!</v>
      </c>
      <c r="AS372" s="159" t="e">
        <f t="shared" ca="1" si="144"/>
        <v>#DIV/0!</v>
      </c>
      <c r="AT372" s="159" t="e">
        <f t="shared" ca="1" si="144"/>
        <v>#DIV/0!</v>
      </c>
      <c r="AU372" s="159" t="e">
        <f t="shared" ca="1" si="144"/>
        <v>#DIV/0!</v>
      </c>
      <c r="AV372" s="159" t="e">
        <f t="shared" ca="1" si="144"/>
        <v>#DIV/0!</v>
      </c>
      <c r="AW372" s="159" t="e">
        <f t="shared" ca="1" si="144"/>
        <v>#DIV/0!</v>
      </c>
      <c r="AX372" s="159" t="e">
        <f t="shared" ca="1" si="144"/>
        <v>#DIV/0!</v>
      </c>
      <c r="AY372" s="159" t="e">
        <f t="shared" ca="1" si="144"/>
        <v>#DIV/0!</v>
      </c>
      <c r="AZ372" s="159" t="e">
        <f t="shared" ca="1" si="144"/>
        <v>#DIV/0!</v>
      </c>
      <c r="BA372" s="159" t="e">
        <f t="shared" ca="1" si="144"/>
        <v>#DIV/0!</v>
      </c>
      <c r="BB372" s="159" t="e">
        <f t="shared" ca="1" si="144"/>
        <v>#DIV/0!</v>
      </c>
      <c r="BC372" s="159" t="e">
        <f t="shared" ca="1" si="144"/>
        <v>#DIV/0!</v>
      </c>
      <c r="BD372" s="159" t="e">
        <f t="shared" ca="1" si="144"/>
        <v>#DIV/0!</v>
      </c>
      <c r="BE372" s="159" t="e">
        <f t="shared" ca="1" si="144"/>
        <v>#DIV/0!</v>
      </c>
      <c r="BF372" s="159" t="e">
        <f t="shared" ca="1" si="144"/>
        <v>#DIV/0!</v>
      </c>
      <c r="BG372" s="159" t="e">
        <f t="shared" ca="1" si="144"/>
        <v>#DIV/0!</v>
      </c>
      <c r="BH372" s="159" t="e">
        <f t="shared" ref="BH372:BX372" ca="1" si="145">IF(BH610=4,":",IF(BH610=5,"!",IF(BH610=3,",",IF(BH610=2,"^",IF(AND($FO$317&gt;=BH$383,$FS$311&gt;=$M372,$FS$317&lt;$M372),"~",IF(AND($FO$317&gt;=BH$383,$FS$311&lt;$M372,$FS$317&gt;=$M372),"*",IF(OR($FO$317&lt;BH$383,$FS$317&lt;$M372),"","+")))))))</f>
        <v>#DIV/0!</v>
      </c>
      <c r="BI372" s="159" t="e">
        <f t="shared" ca="1" si="145"/>
        <v>#DIV/0!</v>
      </c>
      <c r="BJ372" s="159" t="e">
        <f t="shared" ca="1" si="145"/>
        <v>#DIV/0!</v>
      </c>
      <c r="BK372" s="159" t="e">
        <f t="shared" ca="1" si="145"/>
        <v>#DIV/0!</v>
      </c>
      <c r="BL372" s="159" t="e">
        <f t="shared" ca="1" si="145"/>
        <v>#DIV/0!</v>
      </c>
      <c r="BM372" s="159" t="e">
        <f t="shared" ca="1" si="145"/>
        <v>#DIV/0!</v>
      </c>
      <c r="BN372" s="159" t="e">
        <f t="shared" ca="1" si="145"/>
        <v>#DIV/0!</v>
      </c>
      <c r="BO372" s="159" t="e">
        <f t="shared" ca="1" si="145"/>
        <v>#DIV/0!</v>
      </c>
      <c r="BP372" s="159" t="e">
        <f t="shared" ca="1" si="145"/>
        <v>#DIV/0!</v>
      </c>
      <c r="BQ372" s="159" t="e">
        <f t="shared" ca="1" si="145"/>
        <v>#DIV/0!</v>
      </c>
      <c r="BR372" s="159" t="e">
        <f t="shared" ca="1" si="145"/>
        <v>#DIV/0!</v>
      </c>
      <c r="BS372" s="159" t="e">
        <f t="shared" ca="1" si="145"/>
        <v>#DIV/0!</v>
      </c>
      <c r="BT372" s="159" t="e">
        <f t="shared" ca="1" si="145"/>
        <v>#DIV/0!</v>
      </c>
      <c r="BU372" s="159" t="e">
        <f t="shared" ca="1" si="145"/>
        <v>#DIV/0!</v>
      </c>
      <c r="BV372" s="159" t="e">
        <f t="shared" ca="1" si="145"/>
        <v>#DIV/0!</v>
      </c>
      <c r="BW372" s="159" t="e">
        <f t="shared" ca="1" si="145"/>
        <v>#DIV/0!</v>
      </c>
      <c r="BX372" s="159" t="e">
        <f t="shared" ca="1" si="145"/>
        <v>#DIV/0!</v>
      </c>
      <c r="BY372" s="159" t="e">
        <f t="shared" ca="1" si="54"/>
        <v>#DIV/0!</v>
      </c>
      <c r="BZ372" s="160"/>
      <c r="CA372" s="157"/>
      <c r="CB372" s="45"/>
      <c r="CC372" s="45"/>
      <c r="CD372" s="45"/>
      <c r="CE372" s="45"/>
      <c r="CF372" s="45"/>
      <c r="CG372" s="45"/>
      <c r="CH372" s="45"/>
      <c r="CI372" s="45"/>
      <c r="CJ372" s="645"/>
      <c r="CK372" s="645"/>
      <c r="CL372" s="645"/>
      <c r="CM372" s="645"/>
      <c r="CN372" s="645"/>
      <c r="CO372" s="645"/>
      <c r="CP372" s="645"/>
      <c r="CQ372" s="645"/>
      <c r="CR372" s="645"/>
      <c r="CS372" s="645"/>
      <c r="CT372" s="645"/>
      <c r="CU372" s="645"/>
      <c r="CV372" s="645"/>
      <c r="CW372" s="645"/>
      <c r="CX372" s="645"/>
      <c r="CY372" s="645"/>
      <c r="CZ372" s="645"/>
      <c r="DA372" s="645"/>
      <c r="DB372" s="645"/>
      <c r="DC372" s="645"/>
      <c r="DD372" s="645"/>
      <c r="DE372" s="645"/>
      <c r="DF372" s="645"/>
      <c r="DG372" s="645"/>
      <c r="DH372" s="645"/>
      <c r="DI372" s="645"/>
      <c r="DJ372" s="645"/>
      <c r="DK372" s="645"/>
      <c r="DL372" s="645"/>
      <c r="DM372" s="645"/>
      <c r="DN372" s="645"/>
      <c r="DO372" s="645"/>
      <c r="DP372" s="645"/>
      <c r="DQ372" s="645"/>
      <c r="DR372" s="645"/>
      <c r="DS372" s="645"/>
      <c r="DT372" s="645"/>
      <c r="DU372" s="645"/>
      <c r="DV372" s="645"/>
      <c r="DW372" s="645"/>
      <c r="DX372" s="645"/>
      <c r="DY372" s="645"/>
      <c r="DZ372" s="645"/>
      <c r="EA372" s="645"/>
      <c r="EB372" s="645"/>
      <c r="EC372" s="645"/>
      <c r="ED372" s="645"/>
      <c r="EE372" s="645"/>
      <c r="EF372" s="645"/>
      <c r="EG372" s="645"/>
      <c r="EH372" s="645"/>
      <c r="EI372" s="645"/>
      <c r="EJ372" s="645"/>
      <c r="EK372" s="645"/>
      <c r="EL372" s="645"/>
      <c r="EM372" s="645"/>
      <c r="EN372" s="645"/>
      <c r="EO372" s="645"/>
      <c r="EP372" s="645"/>
      <c r="EQ372" s="645"/>
      <c r="ER372" s="645"/>
      <c r="ES372" s="645"/>
      <c r="ET372" s="645"/>
      <c r="EU372" s="645"/>
      <c r="EV372" s="645"/>
      <c r="EW372" s="43"/>
      <c r="EX372" s="43"/>
      <c r="EY372" s="43"/>
      <c r="EZ372" s="79"/>
      <c r="FA372" s="79"/>
      <c r="FB372" s="79"/>
      <c r="FC372" s="79"/>
      <c r="FD372" s="79"/>
      <c r="FE372" s="79"/>
      <c r="FF372" s="79"/>
      <c r="FG372" s="79"/>
      <c r="FH372" s="79"/>
      <c r="FI372" s="79"/>
      <c r="FJ372" s="79"/>
      <c r="FK372" s="79"/>
      <c r="FL372" s="79"/>
      <c r="FM372" s="48"/>
      <c r="FN372" s="48"/>
      <c r="FO372" s="48"/>
      <c r="FP372" s="48"/>
      <c r="FQ372" s="48"/>
      <c r="FR372" s="49"/>
      <c r="FS372" s="49"/>
      <c r="FT372" s="49"/>
      <c r="FU372" s="49"/>
      <c r="FV372" s="48"/>
      <c r="FW372" s="48"/>
      <c r="FX372" s="48"/>
      <c r="FY372" s="48"/>
      <c r="FZ372" s="48"/>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c r="GY372" s="49"/>
      <c r="GZ372" s="49"/>
      <c r="HA372" s="49"/>
      <c r="HB372" s="49"/>
      <c r="HC372" s="49"/>
      <c r="HD372" s="49"/>
      <c r="HE372" s="49"/>
      <c r="HF372" s="49"/>
      <c r="HG372" s="49"/>
      <c r="HH372" s="49"/>
      <c r="HI372" s="49"/>
      <c r="HJ372" s="49"/>
      <c r="HK372" s="49"/>
      <c r="HL372" s="49"/>
      <c r="HM372" s="49"/>
    </row>
    <row r="373" spans="1:221" ht="3.75" customHeight="1">
      <c r="A373" s="1"/>
      <c r="B373" s="3"/>
      <c r="C373" s="3"/>
      <c r="D373" s="12"/>
      <c r="E373" s="197"/>
      <c r="F373" s="197"/>
      <c r="G373" s="39"/>
      <c r="H373" s="39"/>
      <c r="I373" s="39"/>
      <c r="J373" s="39"/>
      <c r="K373" s="197"/>
      <c r="L373" s="197"/>
      <c r="M373" s="197">
        <v>30</v>
      </c>
      <c r="N373" s="197"/>
      <c r="O373" s="197"/>
      <c r="P373" s="197"/>
      <c r="Q373" s="197"/>
      <c r="R373" s="197"/>
      <c r="S373" s="197"/>
      <c r="T373" s="197"/>
      <c r="U373" s="197"/>
      <c r="V373" s="197"/>
      <c r="W373" s="197"/>
      <c r="X373" s="197"/>
      <c r="Y373" s="197"/>
      <c r="Z373" s="126"/>
      <c r="AA373" s="156" t="str">
        <f t="shared" ca="1" si="111"/>
        <v/>
      </c>
      <c r="AB373" s="159" t="e">
        <f t="shared" ref="AB373:BG373" ca="1" si="146">IF(AB611=4,":",IF(AB611=5,"!",IF(AB611=3,",",IF(AB611=2,"^",IF(AND($FO$317&gt;=AB$383,$FS$311&gt;=$M373,$FS$317&lt;$M373),"~",IF(AND($FO$317&gt;=AB$383,$FS$311&lt;$M373,$FS$317&gt;=$M373),"*",IF(OR($FO$317&lt;AB$383,$FS$317&lt;$M373),"","+")))))))</f>
        <v>#DIV/0!</v>
      </c>
      <c r="AC373" s="159" t="e">
        <f t="shared" ca="1" si="146"/>
        <v>#DIV/0!</v>
      </c>
      <c r="AD373" s="159" t="e">
        <f t="shared" ca="1" si="146"/>
        <v>#DIV/0!</v>
      </c>
      <c r="AE373" s="159" t="e">
        <f t="shared" ca="1" si="146"/>
        <v>#DIV/0!</v>
      </c>
      <c r="AF373" s="159" t="e">
        <f t="shared" ca="1" si="146"/>
        <v>#DIV/0!</v>
      </c>
      <c r="AG373" s="159" t="e">
        <f t="shared" ca="1" si="146"/>
        <v>#DIV/0!</v>
      </c>
      <c r="AH373" s="159" t="e">
        <f t="shared" ca="1" si="146"/>
        <v>#DIV/0!</v>
      </c>
      <c r="AI373" s="159" t="e">
        <f t="shared" ca="1" si="146"/>
        <v>#DIV/0!</v>
      </c>
      <c r="AJ373" s="159" t="e">
        <f t="shared" ca="1" si="146"/>
        <v>#DIV/0!</v>
      </c>
      <c r="AK373" s="159" t="e">
        <f t="shared" ca="1" si="146"/>
        <v>#DIV/0!</v>
      </c>
      <c r="AL373" s="159" t="e">
        <f t="shared" ca="1" si="146"/>
        <v>#DIV/0!</v>
      </c>
      <c r="AM373" s="159" t="e">
        <f t="shared" ca="1" si="146"/>
        <v>#DIV/0!</v>
      </c>
      <c r="AN373" s="159" t="e">
        <f t="shared" ca="1" si="146"/>
        <v>#DIV/0!</v>
      </c>
      <c r="AO373" s="159" t="e">
        <f t="shared" ca="1" si="146"/>
        <v>#DIV/0!</v>
      </c>
      <c r="AP373" s="159" t="e">
        <f t="shared" ca="1" si="146"/>
        <v>#DIV/0!</v>
      </c>
      <c r="AQ373" s="159" t="e">
        <f t="shared" ca="1" si="146"/>
        <v>#DIV/0!</v>
      </c>
      <c r="AR373" s="159" t="e">
        <f t="shared" ca="1" si="146"/>
        <v>#DIV/0!</v>
      </c>
      <c r="AS373" s="159" t="e">
        <f t="shared" ca="1" si="146"/>
        <v>#DIV/0!</v>
      </c>
      <c r="AT373" s="159" t="e">
        <f t="shared" ca="1" si="146"/>
        <v>#DIV/0!</v>
      </c>
      <c r="AU373" s="159" t="e">
        <f t="shared" ca="1" si="146"/>
        <v>#DIV/0!</v>
      </c>
      <c r="AV373" s="159" t="e">
        <f t="shared" ca="1" si="146"/>
        <v>#DIV/0!</v>
      </c>
      <c r="AW373" s="159" t="e">
        <f t="shared" ca="1" si="146"/>
        <v>#DIV/0!</v>
      </c>
      <c r="AX373" s="159" t="e">
        <f t="shared" ca="1" si="146"/>
        <v>#DIV/0!</v>
      </c>
      <c r="AY373" s="159" t="e">
        <f t="shared" ca="1" si="146"/>
        <v>#DIV/0!</v>
      </c>
      <c r="AZ373" s="159" t="e">
        <f t="shared" ca="1" si="146"/>
        <v>#DIV/0!</v>
      </c>
      <c r="BA373" s="159" t="e">
        <f t="shared" ca="1" si="146"/>
        <v>#DIV/0!</v>
      </c>
      <c r="BB373" s="159" t="e">
        <f t="shared" ca="1" si="146"/>
        <v>#DIV/0!</v>
      </c>
      <c r="BC373" s="159" t="e">
        <f t="shared" ca="1" si="146"/>
        <v>#DIV/0!</v>
      </c>
      <c r="BD373" s="159" t="e">
        <f t="shared" ca="1" si="146"/>
        <v>#DIV/0!</v>
      </c>
      <c r="BE373" s="159" t="e">
        <f t="shared" ca="1" si="146"/>
        <v>#DIV/0!</v>
      </c>
      <c r="BF373" s="159" t="e">
        <f t="shared" ca="1" si="146"/>
        <v>#DIV/0!</v>
      </c>
      <c r="BG373" s="159" t="e">
        <f t="shared" ca="1" si="146"/>
        <v>#DIV/0!</v>
      </c>
      <c r="BH373" s="159" t="e">
        <f t="shared" ref="BH373:BX373" ca="1" si="147">IF(BH611=4,":",IF(BH611=5,"!",IF(BH611=3,",",IF(BH611=2,"^",IF(AND($FO$317&gt;=BH$383,$FS$311&gt;=$M373,$FS$317&lt;$M373),"~",IF(AND($FO$317&gt;=BH$383,$FS$311&lt;$M373,$FS$317&gt;=$M373),"*",IF(OR($FO$317&lt;BH$383,$FS$317&lt;$M373),"","+")))))))</f>
        <v>#DIV/0!</v>
      </c>
      <c r="BI373" s="159" t="e">
        <f t="shared" ca="1" si="147"/>
        <v>#DIV/0!</v>
      </c>
      <c r="BJ373" s="159" t="e">
        <f t="shared" ca="1" si="147"/>
        <v>#DIV/0!</v>
      </c>
      <c r="BK373" s="159" t="e">
        <f t="shared" ca="1" si="147"/>
        <v>#DIV/0!</v>
      </c>
      <c r="BL373" s="159" t="e">
        <f t="shared" ca="1" si="147"/>
        <v>#DIV/0!</v>
      </c>
      <c r="BM373" s="159" t="e">
        <f t="shared" ca="1" si="147"/>
        <v>#DIV/0!</v>
      </c>
      <c r="BN373" s="159" t="e">
        <f t="shared" ca="1" si="147"/>
        <v>#DIV/0!</v>
      </c>
      <c r="BO373" s="159" t="e">
        <f t="shared" ca="1" si="147"/>
        <v>#DIV/0!</v>
      </c>
      <c r="BP373" s="159" t="e">
        <f t="shared" ca="1" si="147"/>
        <v>#DIV/0!</v>
      </c>
      <c r="BQ373" s="159" t="e">
        <f t="shared" ca="1" si="147"/>
        <v>#DIV/0!</v>
      </c>
      <c r="BR373" s="159" t="e">
        <f t="shared" ca="1" si="147"/>
        <v>#DIV/0!</v>
      </c>
      <c r="BS373" s="159" t="e">
        <f t="shared" ca="1" si="147"/>
        <v>#DIV/0!</v>
      </c>
      <c r="BT373" s="159" t="e">
        <f t="shared" ca="1" si="147"/>
        <v>#DIV/0!</v>
      </c>
      <c r="BU373" s="159" t="e">
        <f t="shared" ca="1" si="147"/>
        <v>#DIV/0!</v>
      </c>
      <c r="BV373" s="159" t="e">
        <f t="shared" ca="1" si="147"/>
        <v>#DIV/0!</v>
      </c>
      <c r="BW373" s="159" t="e">
        <f t="shared" ca="1" si="147"/>
        <v>#DIV/0!</v>
      </c>
      <c r="BX373" s="159" t="e">
        <f t="shared" ca="1" si="147"/>
        <v>#DIV/0!</v>
      </c>
      <c r="BY373" s="159" t="e">
        <f t="shared" ca="1" si="54"/>
        <v>#DIV/0!</v>
      </c>
      <c r="BZ373" s="160"/>
      <c r="CA373" s="157"/>
      <c r="CB373" s="45"/>
      <c r="CC373" s="45"/>
      <c r="CD373" s="45"/>
      <c r="CE373" s="45"/>
      <c r="CF373" s="45"/>
      <c r="CG373" s="45"/>
      <c r="CH373" s="45"/>
      <c r="CI373" s="45"/>
      <c r="CJ373" s="645"/>
      <c r="CK373" s="645"/>
      <c r="CL373" s="645"/>
      <c r="CM373" s="645"/>
      <c r="CN373" s="645"/>
      <c r="CO373" s="645"/>
      <c r="CP373" s="645"/>
      <c r="CQ373" s="645"/>
      <c r="CR373" s="645"/>
      <c r="CS373" s="645"/>
      <c r="CT373" s="645"/>
      <c r="CU373" s="645"/>
      <c r="CV373" s="645"/>
      <c r="CW373" s="645"/>
      <c r="CX373" s="645"/>
      <c r="CY373" s="645"/>
      <c r="CZ373" s="645"/>
      <c r="DA373" s="645"/>
      <c r="DB373" s="645"/>
      <c r="DC373" s="645"/>
      <c r="DD373" s="645"/>
      <c r="DE373" s="645"/>
      <c r="DF373" s="645"/>
      <c r="DG373" s="645"/>
      <c r="DH373" s="645"/>
      <c r="DI373" s="645"/>
      <c r="DJ373" s="645"/>
      <c r="DK373" s="645"/>
      <c r="DL373" s="645"/>
      <c r="DM373" s="645"/>
      <c r="DN373" s="645"/>
      <c r="DO373" s="645"/>
      <c r="DP373" s="645"/>
      <c r="DQ373" s="645"/>
      <c r="DR373" s="645"/>
      <c r="DS373" s="645"/>
      <c r="DT373" s="645"/>
      <c r="DU373" s="645"/>
      <c r="DV373" s="645"/>
      <c r="DW373" s="645"/>
      <c r="DX373" s="645"/>
      <c r="DY373" s="645"/>
      <c r="DZ373" s="645"/>
      <c r="EA373" s="645"/>
      <c r="EB373" s="645"/>
      <c r="EC373" s="645"/>
      <c r="ED373" s="645"/>
      <c r="EE373" s="645"/>
      <c r="EF373" s="645"/>
      <c r="EG373" s="645"/>
      <c r="EH373" s="645"/>
      <c r="EI373" s="645"/>
      <c r="EJ373" s="645"/>
      <c r="EK373" s="645"/>
      <c r="EL373" s="645"/>
      <c r="EM373" s="645"/>
      <c r="EN373" s="645"/>
      <c r="EO373" s="645"/>
      <c r="EP373" s="645"/>
      <c r="EQ373" s="645"/>
      <c r="ER373" s="645"/>
      <c r="ES373" s="645"/>
      <c r="ET373" s="645"/>
      <c r="EU373" s="645"/>
      <c r="EV373" s="645"/>
      <c r="EW373" s="43"/>
      <c r="EX373" s="43"/>
      <c r="EY373" s="43"/>
      <c r="EZ373" s="79"/>
      <c r="FA373" s="79"/>
      <c r="FB373" s="79"/>
      <c r="FC373" s="79"/>
      <c r="FD373" s="79"/>
      <c r="FE373" s="79"/>
      <c r="FF373" s="79"/>
      <c r="FG373" s="79"/>
      <c r="FH373" s="79"/>
      <c r="FI373" s="79"/>
      <c r="FJ373" s="79"/>
      <c r="FK373" s="79"/>
      <c r="FL373" s="79"/>
      <c r="FM373" s="48"/>
      <c r="FN373" s="48"/>
      <c r="FO373" s="48"/>
      <c r="FP373" s="48"/>
      <c r="FQ373" s="48"/>
      <c r="FR373" s="49"/>
      <c r="FS373" s="49"/>
      <c r="FT373" s="49"/>
      <c r="FU373" s="49"/>
      <c r="FV373" s="48"/>
      <c r="FW373" s="48"/>
      <c r="FX373" s="48"/>
      <c r="FY373" s="48"/>
      <c r="FZ373" s="48"/>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c r="GY373" s="49"/>
      <c r="GZ373" s="49"/>
      <c r="HA373" s="49"/>
      <c r="HB373" s="49"/>
      <c r="HC373" s="49"/>
      <c r="HD373" s="49"/>
      <c r="HE373" s="49"/>
      <c r="HF373" s="49"/>
      <c r="HG373" s="49"/>
      <c r="HH373" s="49"/>
      <c r="HI373" s="49"/>
      <c r="HJ373" s="49"/>
      <c r="HK373" s="49"/>
      <c r="HL373" s="49"/>
      <c r="HM373" s="49"/>
    </row>
    <row r="374" spans="1:221" ht="3.75" customHeight="1">
      <c r="A374" s="1"/>
      <c r="B374" s="3"/>
      <c r="C374" s="3"/>
      <c r="D374" s="12"/>
      <c r="E374" s="197"/>
      <c r="F374" s="197"/>
      <c r="G374" s="39"/>
      <c r="H374" s="39"/>
      <c r="I374" s="39"/>
      <c r="J374" s="39"/>
      <c r="K374" s="197"/>
      <c r="L374" s="197"/>
      <c r="M374" s="197">
        <v>20</v>
      </c>
      <c r="N374" s="197"/>
      <c r="O374" s="197"/>
      <c r="P374" s="197"/>
      <c r="Q374" s="197"/>
      <c r="R374" s="197"/>
      <c r="S374" s="197"/>
      <c r="T374" s="197"/>
      <c r="U374" s="197"/>
      <c r="V374" s="197"/>
      <c r="W374" s="197"/>
      <c r="X374" s="197"/>
      <c r="Y374" s="197"/>
      <c r="Z374" s="126"/>
      <c r="AA374" s="156" t="str">
        <f t="shared" ca="1" si="111"/>
        <v/>
      </c>
      <c r="AB374" s="159" t="e">
        <f t="shared" ref="AB374:BG374" ca="1" si="148">IF(AB612=4,":",IF(AB612=5,"!",IF(AB612=3,",",IF(AB612=2,"^",IF(AND($FO$317&gt;=AB$383,$FS$311&gt;=$M374,$FS$317&lt;$M374),"~",IF(AND($FO$317&gt;=AB$383,$FS$311&lt;$M374,$FS$317&gt;=$M374),"*",IF(OR($FO$317&lt;AB$383,$FS$317&lt;$M374),"","+")))))))</f>
        <v>#DIV/0!</v>
      </c>
      <c r="AC374" s="159" t="e">
        <f t="shared" ca="1" si="148"/>
        <v>#DIV/0!</v>
      </c>
      <c r="AD374" s="159" t="e">
        <f t="shared" ca="1" si="148"/>
        <v>#DIV/0!</v>
      </c>
      <c r="AE374" s="159" t="e">
        <f t="shared" ca="1" si="148"/>
        <v>#DIV/0!</v>
      </c>
      <c r="AF374" s="159" t="e">
        <f t="shared" ca="1" si="148"/>
        <v>#DIV/0!</v>
      </c>
      <c r="AG374" s="159" t="e">
        <f t="shared" ca="1" si="148"/>
        <v>#DIV/0!</v>
      </c>
      <c r="AH374" s="159" t="e">
        <f t="shared" ca="1" si="148"/>
        <v>#DIV/0!</v>
      </c>
      <c r="AI374" s="159" t="e">
        <f t="shared" ca="1" si="148"/>
        <v>#DIV/0!</v>
      </c>
      <c r="AJ374" s="159" t="e">
        <f t="shared" ca="1" si="148"/>
        <v>#DIV/0!</v>
      </c>
      <c r="AK374" s="159" t="e">
        <f t="shared" ca="1" si="148"/>
        <v>#DIV/0!</v>
      </c>
      <c r="AL374" s="159" t="e">
        <f t="shared" ca="1" si="148"/>
        <v>#DIV/0!</v>
      </c>
      <c r="AM374" s="159" t="e">
        <f t="shared" ca="1" si="148"/>
        <v>#DIV/0!</v>
      </c>
      <c r="AN374" s="159" t="e">
        <f t="shared" ca="1" si="148"/>
        <v>#DIV/0!</v>
      </c>
      <c r="AO374" s="159" t="e">
        <f t="shared" ca="1" si="148"/>
        <v>#DIV/0!</v>
      </c>
      <c r="AP374" s="159" t="e">
        <f t="shared" ca="1" si="148"/>
        <v>#DIV/0!</v>
      </c>
      <c r="AQ374" s="159" t="e">
        <f t="shared" ca="1" si="148"/>
        <v>#DIV/0!</v>
      </c>
      <c r="AR374" s="159" t="e">
        <f t="shared" ca="1" si="148"/>
        <v>#DIV/0!</v>
      </c>
      <c r="AS374" s="159" t="e">
        <f t="shared" ca="1" si="148"/>
        <v>#DIV/0!</v>
      </c>
      <c r="AT374" s="159" t="e">
        <f t="shared" ca="1" si="148"/>
        <v>#DIV/0!</v>
      </c>
      <c r="AU374" s="159" t="e">
        <f t="shared" ca="1" si="148"/>
        <v>#DIV/0!</v>
      </c>
      <c r="AV374" s="159" t="e">
        <f t="shared" ca="1" si="148"/>
        <v>#DIV/0!</v>
      </c>
      <c r="AW374" s="159" t="e">
        <f t="shared" ca="1" si="148"/>
        <v>#DIV/0!</v>
      </c>
      <c r="AX374" s="159" t="e">
        <f t="shared" ca="1" si="148"/>
        <v>#DIV/0!</v>
      </c>
      <c r="AY374" s="159" t="e">
        <f t="shared" ca="1" si="148"/>
        <v>#DIV/0!</v>
      </c>
      <c r="AZ374" s="159" t="e">
        <f t="shared" ca="1" si="148"/>
        <v>#DIV/0!</v>
      </c>
      <c r="BA374" s="159" t="e">
        <f t="shared" ca="1" si="148"/>
        <v>#DIV/0!</v>
      </c>
      <c r="BB374" s="159" t="e">
        <f t="shared" ca="1" si="148"/>
        <v>#DIV/0!</v>
      </c>
      <c r="BC374" s="159" t="e">
        <f t="shared" ca="1" si="148"/>
        <v>#DIV/0!</v>
      </c>
      <c r="BD374" s="159" t="e">
        <f t="shared" ca="1" si="148"/>
        <v>#DIV/0!</v>
      </c>
      <c r="BE374" s="159" t="e">
        <f t="shared" ca="1" si="148"/>
        <v>#DIV/0!</v>
      </c>
      <c r="BF374" s="159" t="e">
        <f t="shared" ca="1" si="148"/>
        <v>#DIV/0!</v>
      </c>
      <c r="BG374" s="159" t="e">
        <f t="shared" ca="1" si="148"/>
        <v>#DIV/0!</v>
      </c>
      <c r="BH374" s="159" t="e">
        <f t="shared" ref="BH374:BX374" ca="1" si="149">IF(BH612=4,":",IF(BH612=5,"!",IF(BH612=3,",",IF(BH612=2,"^",IF(AND($FO$317&gt;=BH$383,$FS$311&gt;=$M374,$FS$317&lt;$M374),"~",IF(AND($FO$317&gt;=BH$383,$FS$311&lt;$M374,$FS$317&gt;=$M374),"*",IF(OR($FO$317&lt;BH$383,$FS$317&lt;$M374),"","+")))))))</f>
        <v>#DIV/0!</v>
      </c>
      <c r="BI374" s="159" t="e">
        <f t="shared" ca="1" si="149"/>
        <v>#DIV/0!</v>
      </c>
      <c r="BJ374" s="159" t="e">
        <f t="shared" ca="1" si="149"/>
        <v>#DIV/0!</v>
      </c>
      <c r="BK374" s="159" t="e">
        <f t="shared" ca="1" si="149"/>
        <v>#DIV/0!</v>
      </c>
      <c r="BL374" s="159" t="e">
        <f t="shared" ca="1" si="149"/>
        <v>#DIV/0!</v>
      </c>
      <c r="BM374" s="159" t="e">
        <f t="shared" ca="1" si="149"/>
        <v>#DIV/0!</v>
      </c>
      <c r="BN374" s="159" t="e">
        <f t="shared" ca="1" si="149"/>
        <v>#DIV/0!</v>
      </c>
      <c r="BO374" s="159" t="e">
        <f t="shared" ca="1" si="149"/>
        <v>#DIV/0!</v>
      </c>
      <c r="BP374" s="159" t="e">
        <f t="shared" ca="1" si="149"/>
        <v>#DIV/0!</v>
      </c>
      <c r="BQ374" s="159" t="e">
        <f t="shared" ca="1" si="149"/>
        <v>#DIV/0!</v>
      </c>
      <c r="BR374" s="159" t="e">
        <f t="shared" ca="1" si="149"/>
        <v>#DIV/0!</v>
      </c>
      <c r="BS374" s="159" t="e">
        <f t="shared" ca="1" si="149"/>
        <v>#DIV/0!</v>
      </c>
      <c r="BT374" s="159" t="e">
        <f t="shared" ca="1" si="149"/>
        <v>#DIV/0!</v>
      </c>
      <c r="BU374" s="159" t="e">
        <f t="shared" ca="1" si="149"/>
        <v>#DIV/0!</v>
      </c>
      <c r="BV374" s="159" t="e">
        <f t="shared" ca="1" si="149"/>
        <v>#DIV/0!</v>
      </c>
      <c r="BW374" s="159" t="e">
        <f t="shared" ca="1" si="149"/>
        <v>#DIV/0!</v>
      </c>
      <c r="BX374" s="159" t="e">
        <f t="shared" ca="1" si="149"/>
        <v>#DIV/0!</v>
      </c>
      <c r="BY374" s="159" t="e">
        <f t="shared" ca="1" si="54"/>
        <v>#DIV/0!</v>
      </c>
      <c r="BZ374" s="160"/>
      <c r="CA374" s="157"/>
      <c r="CB374" s="57"/>
      <c r="CC374" s="197"/>
      <c r="CD374" s="43"/>
      <c r="CE374" s="43"/>
      <c r="CF374" s="43"/>
      <c r="CG374" s="43"/>
      <c r="CH374" s="43"/>
      <c r="CI374" s="43"/>
      <c r="CJ374" s="645"/>
      <c r="CK374" s="645"/>
      <c r="CL374" s="645"/>
      <c r="CM374" s="645"/>
      <c r="CN374" s="645"/>
      <c r="CO374" s="645"/>
      <c r="CP374" s="645"/>
      <c r="CQ374" s="645"/>
      <c r="CR374" s="645"/>
      <c r="CS374" s="645"/>
      <c r="CT374" s="645"/>
      <c r="CU374" s="645"/>
      <c r="CV374" s="645"/>
      <c r="CW374" s="645"/>
      <c r="CX374" s="645"/>
      <c r="CY374" s="645"/>
      <c r="CZ374" s="645"/>
      <c r="DA374" s="645"/>
      <c r="DB374" s="645"/>
      <c r="DC374" s="645"/>
      <c r="DD374" s="645"/>
      <c r="DE374" s="645"/>
      <c r="DF374" s="645"/>
      <c r="DG374" s="645"/>
      <c r="DH374" s="645"/>
      <c r="DI374" s="645"/>
      <c r="DJ374" s="645"/>
      <c r="DK374" s="645"/>
      <c r="DL374" s="645"/>
      <c r="DM374" s="645"/>
      <c r="DN374" s="645"/>
      <c r="DO374" s="645"/>
      <c r="DP374" s="645"/>
      <c r="DQ374" s="645"/>
      <c r="DR374" s="645"/>
      <c r="DS374" s="645"/>
      <c r="DT374" s="645"/>
      <c r="DU374" s="645"/>
      <c r="DV374" s="645"/>
      <c r="DW374" s="645"/>
      <c r="DX374" s="645"/>
      <c r="DY374" s="645"/>
      <c r="DZ374" s="645"/>
      <c r="EA374" s="645"/>
      <c r="EB374" s="645"/>
      <c r="EC374" s="645"/>
      <c r="ED374" s="645"/>
      <c r="EE374" s="645"/>
      <c r="EF374" s="645"/>
      <c r="EG374" s="645"/>
      <c r="EH374" s="645"/>
      <c r="EI374" s="645"/>
      <c r="EJ374" s="645"/>
      <c r="EK374" s="645"/>
      <c r="EL374" s="645"/>
      <c r="EM374" s="645"/>
      <c r="EN374" s="645"/>
      <c r="EO374" s="645"/>
      <c r="EP374" s="645"/>
      <c r="EQ374" s="645"/>
      <c r="ER374" s="645"/>
      <c r="ES374" s="645"/>
      <c r="ET374" s="645"/>
      <c r="EU374" s="645"/>
      <c r="EV374" s="645"/>
      <c r="EW374" s="43"/>
      <c r="EX374" s="43"/>
      <c r="EY374" s="43"/>
      <c r="EZ374" s="79"/>
      <c r="FA374" s="79"/>
      <c r="FB374" s="79"/>
      <c r="FC374" s="79"/>
      <c r="FD374" s="79"/>
      <c r="FE374" s="79"/>
      <c r="FF374" s="79"/>
      <c r="FG374" s="79"/>
      <c r="FH374" s="79"/>
      <c r="FI374" s="79"/>
      <c r="FJ374" s="79"/>
      <c r="FK374" s="79"/>
      <c r="FL374" s="79"/>
      <c r="FM374" s="48"/>
      <c r="FN374" s="48"/>
      <c r="FO374" s="48"/>
      <c r="FP374" s="48"/>
      <c r="FQ374" s="48"/>
      <c r="FR374" s="49"/>
      <c r="FS374" s="49"/>
      <c r="FT374" s="49"/>
      <c r="FU374" s="49"/>
      <c r="FV374" s="48"/>
      <c r="FW374" s="48"/>
      <c r="FX374" s="48"/>
      <c r="FY374" s="48"/>
      <c r="FZ374" s="48"/>
      <c r="GA374" s="49"/>
      <c r="GB374" s="49"/>
      <c r="GC374" s="49"/>
      <c r="GD374" s="49"/>
      <c r="GE374" s="49"/>
      <c r="GF374" s="49"/>
      <c r="GG374" s="49"/>
      <c r="GH374" s="49"/>
      <c r="GI374" s="49"/>
      <c r="GJ374" s="49"/>
      <c r="GK374" s="49"/>
      <c r="GL374" s="49"/>
      <c r="GM374" s="49"/>
      <c r="GN374" s="49"/>
      <c r="GO374" s="49"/>
      <c r="GP374" s="49"/>
      <c r="GQ374" s="49"/>
      <c r="GR374" s="49"/>
      <c r="GS374" s="49"/>
      <c r="GT374" s="49"/>
      <c r="GU374" s="49"/>
      <c r="GV374" s="49"/>
      <c r="GW374" s="49"/>
      <c r="GX374" s="49"/>
      <c r="GY374" s="49"/>
      <c r="GZ374" s="49"/>
      <c r="HA374" s="49"/>
      <c r="HB374" s="49"/>
      <c r="HC374" s="49"/>
      <c r="HD374" s="49"/>
      <c r="HE374" s="49"/>
      <c r="HF374" s="49"/>
      <c r="HG374" s="49"/>
      <c r="HH374" s="49"/>
      <c r="HI374" s="49"/>
      <c r="HJ374" s="49"/>
      <c r="HK374" s="49"/>
      <c r="HL374" s="49"/>
      <c r="HM374" s="49"/>
    </row>
    <row r="375" spans="1:221" ht="3.75" customHeight="1">
      <c r="A375" s="1"/>
      <c r="B375" s="3"/>
      <c r="C375" s="3"/>
      <c r="D375" s="12"/>
      <c r="E375" s="197"/>
      <c r="F375" s="197"/>
      <c r="G375" s="39"/>
      <c r="H375" s="39"/>
      <c r="I375" s="39"/>
      <c r="J375" s="39"/>
      <c r="K375" s="197"/>
      <c r="L375" s="197"/>
      <c r="M375" s="197">
        <v>10</v>
      </c>
      <c r="N375" s="197"/>
      <c r="O375" s="197"/>
      <c r="P375" s="197"/>
      <c r="Q375" s="197"/>
      <c r="R375" s="197"/>
      <c r="S375" s="197"/>
      <c r="T375" s="197"/>
      <c r="U375" s="197"/>
      <c r="V375" s="197"/>
      <c r="W375" s="197"/>
      <c r="X375" s="197"/>
      <c r="Y375" s="197"/>
      <c r="Z375" s="126"/>
      <c r="AA375" s="156" t="str">
        <f t="shared" ca="1" si="111"/>
        <v/>
      </c>
      <c r="AB375" s="159" t="e">
        <f t="shared" ref="AB375:BG375" ca="1" si="150">IF(AB613=4,":",IF(AB613=5,"!",IF(AB613=3,",",IF(AB613=2,"^",IF(AND($FO$317&gt;=AB$383,$FS$311&gt;=$M375,$FS$317&lt;$M375),"~",IF(AND($FO$317&gt;=AB$383,$FS$311&lt;$M375,$FS$317&gt;=$M375),"*",IF(OR($FO$317&lt;AB$383,$FS$317&lt;$M375),"","+")))))))</f>
        <v>#DIV/0!</v>
      </c>
      <c r="AC375" s="159" t="e">
        <f t="shared" ca="1" si="150"/>
        <v>#DIV/0!</v>
      </c>
      <c r="AD375" s="159" t="e">
        <f t="shared" ca="1" si="150"/>
        <v>#DIV/0!</v>
      </c>
      <c r="AE375" s="159" t="e">
        <f t="shared" ca="1" si="150"/>
        <v>#DIV/0!</v>
      </c>
      <c r="AF375" s="159" t="e">
        <f t="shared" ca="1" si="150"/>
        <v>#DIV/0!</v>
      </c>
      <c r="AG375" s="159" t="e">
        <f t="shared" ca="1" si="150"/>
        <v>#DIV/0!</v>
      </c>
      <c r="AH375" s="159" t="e">
        <f t="shared" ca="1" si="150"/>
        <v>#DIV/0!</v>
      </c>
      <c r="AI375" s="159" t="e">
        <f t="shared" ca="1" si="150"/>
        <v>#DIV/0!</v>
      </c>
      <c r="AJ375" s="159" t="e">
        <f t="shared" ca="1" si="150"/>
        <v>#DIV/0!</v>
      </c>
      <c r="AK375" s="159" t="e">
        <f t="shared" ca="1" si="150"/>
        <v>#DIV/0!</v>
      </c>
      <c r="AL375" s="159" t="e">
        <f t="shared" ca="1" si="150"/>
        <v>#DIV/0!</v>
      </c>
      <c r="AM375" s="159" t="e">
        <f t="shared" ca="1" si="150"/>
        <v>#DIV/0!</v>
      </c>
      <c r="AN375" s="159" t="e">
        <f t="shared" ca="1" si="150"/>
        <v>#DIV/0!</v>
      </c>
      <c r="AO375" s="159" t="e">
        <f t="shared" ca="1" si="150"/>
        <v>#DIV/0!</v>
      </c>
      <c r="AP375" s="159" t="e">
        <f t="shared" ca="1" si="150"/>
        <v>#DIV/0!</v>
      </c>
      <c r="AQ375" s="159" t="e">
        <f t="shared" ca="1" si="150"/>
        <v>#DIV/0!</v>
      </c>
      <c r="AR375" s="159" t="e">
        <f t="shared" ca="1" si="150"/>
        <v>#DIV/0!</v>
      </c>
      <c r="AS375" s="159" t="e">
        <f t="shared" ca="1" si="150"/>
        <v>#DIV/0!</v>
      </c>
      <c r="AT375" s="159" t="e">
        <f t="shared" ca="1" si="150"/>
        <v>#DIV/0!</v>
      </c>
      <c r="AU375" s="159" t="e">
        <f t="shared" ca="1" si="150"/>
        <v>#DIV/0!</v>
      </c>
      <c r="AV375" s="159" t="e">
        <f t="shared" ca="1" si="150"/>
        <v>#DIV/0!</v>
      </c>
      <c r="AW375" s="159" t="e">
        <f t="shared" ca="1" si="150"/>
        <v>#DIV/0!</v>
      </c>
      <c r="AX375" s="159" t="e">
        <f t="shared" ca="1" si="150"/>
        <v>#DIV/0!</v>
      </c>
      <c r="AY375" s="159" t="e">
        <f t="shared" ca="1" si="150"/>
        <v>#DIV/0!</v>
      </c>
      <c r="AZ375" s="159" t="e">
        <f t="shared" ca="1" si="150"/>
        <v>#DIV/0!</v>
      </c>
      <c r="BA375" s="159" t="e">
        <f t="shared" ca="1" si="150"/>
        <v>#DIV/0!</v>
      </c>
      <c r="BB375" s="159" t="e">
        <f t="shared" ca="1" si="150"/>
        <v>#DIV/0!</v>
      </c>
      <c r="BC375" s="159" t="e">
        <f t="shared" ca="1" si="150"/>
        <v>#DIV/0!</v>
      </c>
      <c r="BD375" s="159" t="e">
        <f t="shared" ca="1" si="150"/>
        <v>#DIV/0!</v>
      </c>
      <c r="BE375" s="159" t="e">
        <f t="shared" ca="1" si="150"/>
        <v>#DIV/0!</v>
      </c>
      <c r="BF375" s="159" t="e">
        <f t="shared" ca="1" si="150"/>
        <v>#DIV/0!</v>
      </c>
      <c r="BG375" s="159" t="e">
        <f t="shared" ca="1" si="150"/>
        <v>#DIV/0!</v>
      </c>
      <c r="BH375" s="159" t="e">
        <f t="shared" ref="BH375:BX375" ca="1" si="151">IF(BH613=4,":",IF(BH613=5,"!",IF(BH613=3,",",IF(BH613=2,"^",IF(AND($FO$317&gt;=BH$383,$FS$311&gt;=$M375,$FS$317&lt;$M375),"~",IF(AND($FO$317&gt;=BH$383,$FS$311&lt;$M375,$FS$317&gt;=$M375),"*",IF(OR($FO$317&lt;BH$383,$FS$317&lt;$M375),"","+")))))))</f>
        <v>#DIV/0!</v>
      </c>
      <c r="BI375" s="159" t="e">
        <f t="shared" ca="1" si="151"/>
        <v>#DIV/0!</v>
      </c>
      <c r="BJ375" s="159" t="e">
        <f t="shared" ca="1" si="151"/>
        <v>#DIV/0!</v>
      </c>
      <c r="BK375" s="159" t="e">
        <f t="shared" ca="1" si="151"/>
        <v>#DIV/0!</v>
      </c>
      <c r="BL375" s="159" t="e">
        <f t="shared" ca="1" si="151"/>
        <v>#DIV/0!</v>
      </c>
      <c r="BM375" s="159" t="e">
        <f t="shared" ca="1" si="151"/>
        <v>#DIV/0!</v>
      </c>
      <c r="BN375" s="159" t="e">
        <f t="shared" ca="1" si="151"/>
        <v>#DIV/0!</v>
      </c>
      <c r="BO375" s="159" t="e">
        <f t="shared" ca="1" si="151"/>
        <v>#DIV/0!</v>
      </c>
      <c r="BP375" s="159" t="e">
        <f t="shared" ca="1" si="151"/>
        <v>#DIV/0!</v>
      </c>
      <c r="BQ375" s="159" t="e">
        <f t="shared" ca="1" si="151"/>
        <v>#DIV/0!</v>
      </c>
      <c r="BR375" s="159" t="e">
        <f t="shared" ca="1" si="151"/>
        <v>#DIV/0!</v>
      </c>
      <c r="BS375" s="159" t="e">
        <f t="shared" ca="1" si="151"/>
        <v>#DIV/0!</v>
      </c>
      <c r="BT375" s="159" t="e">
        <f t="shared" ca="1" si="151"/>
        <v>#DIV/0!</v>
      </c>
      <c r="BU375" s="159" t="e">
        <f t="shared" ca="1" si="151"/>
        <v>#DIV/0!</v>
      </c>
      <c r="BV375" s="159" t="e">
        <f t="shared" ca="1" si="151"/>
        <v>#DIV/0!</v>
      </c>
      <c r="BW375" s="159" t="e">
        <f t="shared" ca="1" si="151"/>
        <v>#DIV/0!</v>
      </c>
      <c r="BX375" s="159" t="e">
        <f t="shared" ca="1" si="151"/>
        <v>#DIV/0!</v>
      </c>
      <c r="BY375" s="159" t="e">
        <f ca="1">IF(BX612=4,":",IF(BY613=3,"`",IF(BY613=1,",",IF(BY613=2,";",IF(AND($FO$317&gt;=BY$383,$FS$317&gt;=$M375,$FS$315&lt;$M375),"*",IF(OR($FO$317&lt;=BX$383,$FS$315&lt;$M375),"","+"))))))</f>
        <v>#DIV/0!</v>
      </c>
      <c r="BZ375" s="160"/>
      <c r="CA375" s="157"/>
      <c r="CB375" s="57"/>
      <c r="CC375" s="197"/>
      <c r="CD375" s="43"/>
      <c r="CE375" s="43"/>
      <c r="CF375" s="43"/>
      <c r="CG375" s="43"/>
      <c r="CH375" s="43"/>
      <c r="CI375" s="43"/>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c r="EO375" s="79"/>
      <c r="EP375" s="79"/>
      <c r="EQ375" s="79"/>
      <c r="ER375" s="79"/>
      <c r="ES375" s="79"/>
      <c r="ET375" s="79"/>
      <c r="EU375" s="43"/>
      <c r="EV375" s="43"/>
      <c r="EW375" s="43"/>
      <c r="EX375" s="43"/>
      <c r="EY375" s="43"/>
      <c r="EZ375" s="79"/>
      <c r="FA375" s="79"/>
      <c r="FB375" s="79"/>
      <c r="FC375" s="79"/>
      <c r="FD375" s="79"/>
      <c r="FE375" s="79"/>
      <c r="FF375" s="79"/>
      <c r="FG375" s="79"/>
      <c r="FH375" s="79"/>
      <c r="FI375" s="79"/>
      <c r="FJ375" s="79"/>
      <c r="FK375" s="79"/>
      <c r="FL375" s="79"/>
      <c r="FM375" s="48"/>
      <c r="FN375" s="48"/>
      <c r="FO375" s="48"/>
      <c r="FP375" s="48"/>
      <c r="FQ375" s="48"/>
      <c r="FR375" s="49"/>
      <c r="FS375" s="49"/>
      <c r="FT375" s="49"/>
      <c r="FU375" s="49"/>
      <c r="FV375" s="48"/>
      <c r="FW375" s="48"/>
      <c r="FX375" s="48"/>
      <c r="FY375" s="48"/>
      <c r="FZ375" s="48"/>
      <c r="GA375" s="49"/>
      <c r="GB375" s="49"/>
      <c r="GC375" s="49"/>
      <c r="GD375" s="49"/>
      <c r="GE375" s="49"/>
      <c r="GF375" s="49"/>
      <c r="GG375" s="49"/>
      <c r="GH375" s="49"/>
      <c r="GI375" s="49"/>
      <c r="GJ375" s="49"/>
      <c r="GK375" s="49"/>
      <c r="GL375" s="49"/>
      <c r="GM375" s="49"/>
      <c r="GN375" s="49"/>
      <c r="GO375" s="49"/>
      <c r="GP375" s="49"/>
      <c r="GQ375" s="49"/>
      <c r="GR375" s="49"/>
      <c r="GS375" s="49"/>
      <c r="GT375" s="49"/>
      <c r="GU375" s="49"/>
      <c r="GV375" s="49"/>
      <c r="GW375" s="49"/>
      <c r="GX375" s="49"/>
      <c r="GY375" s="49"/>
      <c r="GZ375" s="49"/>
      <c r="HA375" s="49"/>
      <c r="HB375" s="49"/>
      <c r="HC375" s="49"/>
      <c r="HD375" s="49"/>
      <c r="HE375" s="49"/>
      <c r="HF375" s="49"/>
      <c r="HG375" s="49"/>
      <c r="HH375" s="49"/>
      <c r="HI375" s="49"/>
      <c r="HJ375" s="49"/>
      <c r="HK375" s="49"/>
      <c r="HL375" s="49"/>
      <c r="HM375" s="49"/>
    </row>
    <row r="376" spans="1:221" ht="3.75" customHeight="1">
      <c r="A376" s="1"/>
      <c r="B376" s="3"/>
      <c r="C376" s="3"/>
      <c r="D376" s="12"/>
      <c r="E376" s="197"/>
      <c r="F376" s="197"/>
      <c r="G376" s="39"/>
      <c r="H376" s="39"/>
      <c r="I376" s="39"/>
      <c r="J376" s="39"/>
      <c r="K376" s="197"/>
      <c r="L376" s="197"/>
      <c r="M376" s="197">
        <v>0</v>
      </c>
      <c r="N376" s="197"/>
      <c r="O376" s="197"/>
      <c r="P376" s="197"/>
      <c r="Q376" s="197"/>
      <c r="R376" s="197"/>
      <c r="S376" s="197"/>
      <c r="T376" s="197"/>
      <c r="U376" s="197"/>
      <c r="V376" s="197"/>
      <c r="W376" s="197"/>
      <c r="X376" s="197"/>
      <c r="Y376" s="197"/>
      <c r="Z376" s="126"/>
      <c r="AA376" s="156" t="str">
        <f t="shared" ca="1" si="111"/>
        <v/>
      </c>
      <c r="AB376" s="156" t="str">
        <f t="shared" ref="AB376:AP376" ca="1" si="152">IF($FN$305=0,"","`")</f>
        <v/>
      </c>
      <c r="AC376" s="156" t="str">
        <f t="shared" ca="1" si="152"/>
        <v/>
      </c>
      <c r="AD376" s="156" t="str">
        <f t="shared" ca="1" si="152"/>
        <v/>
      </c>
      <c r="AE376" s="156" t="str">
        <f t="shared" ca="1" si="152"/>
        <v/>
      </c>
      <c r="AF376" s="156" t="str">
        <f t="shared" ca="1" si="152"/>
        <v/>
      </c>
      <c r="AG376" s="156" t="str">
        <f t="shared" ca="1" si="152"/>
        <v/>
      </c>
      <c r="AH376" s="156" t="str">
        <f t="shared" ca="1" si="152"/>
        <v/>
      </c>
      <c r="AI376" s="156" t="str">
        <f t="shared" ca="1" si="152"/>
        <v/>
      </c>
      <c r="AJ376" s="156" t="str">
        <f t="shared" ca="1" si="152"/>
        <v/>
      </c>
      <c r="AK376" s="156" t="str">
        <f t="shared" ca="1" si="152"/>
        <v/>
      </c>
      <c r="AL376" s="156" t="str">
        <f t="shared" ca="1" si="152"/>
        <v/>
      </c>
      <c r="AM376" s="156" t="str">
        <f t="shared" ca="1" si="152"/>
        <v/>
      </c>
      <c r="AN376" s="156" t="str">
        <f t="shared" ca="1" si="152"/>
        <v/>
      </c>
      <c r="AO376" s="156" t="str">
        <f t="shared" ca="1" si="152"/>
        <v/>
      </c>
      <c r="AP376" s="156" t="str">
        <f t="shared" ca="1" si="152"/>
        <v/>
      </c>
      <c r="AQ376" s="156" t="str">
        <f t="shared" ref="AQ376:CA376" ca="1" si="153">IF($FN$305=0,"","`")</f>
        <v/>
      </c>
      <c r="AR376" s="156" t="str">
        <f t="shared" ca="1" si="153"/>
        <v/>
      </c>
      <c r="AS376" s="156" t="str">
        <f t="shared" ca="1" si="153"/>
        <v/>
      </c>
      <c r="AT376" s="156" t="str">
        <f t="shared" ca="1" si="153"/>
        <v/>
      </c>
      <c r="AU376" s="156" t="str">
        <f t="shared" ca="1" si="153"/>
        <v/>
      </c>
      <c r="AV376" s="156" t="str">
        <f t="shared" ca="1" si="153"/>
        <v/>
      </c>
      <c r="AW376" s="156" t="str">
        <f t="shared" ca="1" si="153"/>
        <v/>
      </c>
      <c r="AX376" s="156" t="str">
        <f t="shared" ca="1" si="153"/>
        <v/>
      </c>
      <c r="AY376" s="156" t="str">
        <f t="shared" ca="1" si="153"/>
        <v/>
      </c>
      <c r="AZ376" s="156" t="str">
        <f t="shared" ca="1" si="153"/>
        <v/>
      </c>
      <c r="BA376" s="156" t="str">
        <f t="shared" ca="1" si="153"/>
        <v/>
      </c>
      <c r="BB376" s="156" t="str">
        <f t="shared" ca="1" si="153"/>
        <v/>
      </c>
      <c r="BC376" s="156" t="str">
        <f t="shared" ca="1" si="153"/>
        <v/>
      </c>
      <c r="BD376" s="156" t="str">
        <f t="shared" ca="1" si="153"/>
        <v/>
      </c>
      <c r="BE376" s="156" t="str">
        <f t="shared" ca="1" si="153"/>
        <v/>
      </c>
      <c r="BF376" s="156" t="str">
        <f t="shared" ca="1" si="153"/>
        <v/>
      </c>
      <c r="BG376" s="156" t="str">
        <f t="shared" ca="1" si="153"/>
        <v/>
      </c>
      <c r="BH376" s="156" t="str">
        <f t="shared" ca="1" si="153"/>
        <v/>
      </c>
      <c r="BI376" s="156" t="str">
        <f t="shared" ca="1" si="153"/>
        <v/>
      </c>
      <c r="BJ376" s="156" t="str">
        <f t="shared" ca="1" si="153"/>
        <v/>
      </c>
      <c r="BK376" s="156" t="str">
        <f t="shared" ca="1" si="153"/>
        <v/>
      </c>
      <c r="BL376" s="156" t="str">
        <f t="shared" ca="1" si="153"/>
        <v/>
      </c>
      <c r="BM376" s="156" t="str">
        <f t="shared" ca="1" si="153"/>
        <v/>
      </c>
      <c r="BN376" s="156" t="str">
        <f t="shared" ca="1" si="153"/>
        <v/>
      </c>
      <c r="BO376" s="156" t="str">
        <f t="shared" ca="1" si="153"/>
        <v/>
      </c>
      <c r="BP376" s="156" t="str">
        <f t="shared" ca="1" si="153"/>
        <v/>
      </c>
      <c r="BQ376" s="156" t="str">
        <f t="shared" ca="1" si="153"/>
        <v/>
      </c>
      <c r="BR376" s="156" t="str">
        <f t="shared" ca="1" si="153"/>
        <v/>
      </c>
      <c r="BS376" s="156" t="str">
        <f t="shared" ca="1" si="153"/>
        <v/>
      </c>
      <c r="BT376" s="156" t="str">
        <f t="shared" ca="1" si="153"/>
        <v/>
      </c>
      <c r="BU376" s="156" t="str">
        <f t="shared" ca="1" si="153"/>
        <v/>
      </c>
      <c r="BV376" s="156" t="str">
        <f t="shared" ca="1" si="153"/>
        <v/>
      </c>
      <c r="BW376" s="156" t="str">
        <f t="shared" ca="1" si="153"/>
        <v/>
      </c>
      <c r="BX376" s="156" t="str">
        <f t="shared" ca="1" si="153"/>
        <v/>
      </c>
      <c r="BY376" s="156" t="str">
        <f t="shared" ca="1" si="153"/>
        <v/>
      </c>
      <c r="BZ376" s="156" t="str">
        <f t="shared" ca="1" si="153"/>
        <v/>
      </c>
      <c r="CA376" s="156" t="str">
        <f t="shared" ca="1" si="153"/>
        <v/>
      </c>
      <c r="CB376" s="57"/>
      <c r="CC376" s="197"/>
      <c r="CD376" s="43"/>
      <c r="CE376" s="43"/>
      <c r="CF376" s="43"/>
      <c r="CG376" s="43"/>
      <c r="CH376" s="43"/>
      <c r="CI376" s="43"/>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c r="EO376" s="79"/>
      <c r="EP376" s="79"/>
      <c r="EQ376" s="79"/>
      <c r="ER376" s="79"/>
      <c r="ES376" s="79"/>
      <c r="ET376" s="79"/>
      <c r="EU376" s="43"/>
      <c r="EV376" s="43"/>
      <c r="EW376" s="43"/>
      <c r="EX376" s="43"/>
      <c r="EY376" s="43"/>
      <c r="EZ376" s="79"/>
      <c r="FA376" s="79"/>
      <c r="FB376" s="79"/>
      <c r="FC376" s="79"/>
      <c r="FD376" s="79"/>
      <c r="FE376" s="79"/>
      <c r="FF376" s="79"/>
      <c r="FG376" s="79"/>
      <c r="FH376" s="79"/>
      <c r="FI376" s="79"/>
      <c r="FJ376" s="79"/>
      <c r="FK376" s="79"/>
      <c r="FL376" s="79"/>
      <c r="FM376" s="48"/>
      <c r="FN376" s="48"/>
      <c r="FO376" s="48"/>
      <c r="FP376" s="48"/>
      <c r="FQ376" s="48"/>
      <c r="FR376" s="49"/>
      <c r="FS376" s="49"/>
      <c r="FT376" s="49"/>
      <c r="FU376" s="49"/>
      <c r="FV376" s="48"/>
      <c r="FW376" s="48"/>
      <c r="FX376" s="48"/>
      <c r="FY376" s="48"/>
      <c r="FZ376" s="48"/>
      <c r="GA376" s="49"/>
      <c r="GB376" s="49"/>
      <c r="GC376" s="49"/>
      <c r="GD376" s="49"/>
      <c r="GE376" s="49"/>
      <c r="GF376" s="49"/>
      <c r="GG376" s="49"/>
      <c r="GH376" s="49"/>
      <c r="GI376" s="49"/>
      <c r="GJ376" s="49"/>
      <c r="GK376" s="49"/>
      <c r="GL376" s="49"/>
      <c r="GM376" s="49"/>
      <c r="GN376" s="49"/>
      <c r="GO376" s="49"/>
      <c r="GP376" s="49"/>
      <c r="GQ376" s="49"/>
      <c r="GR376" s="49"/>
      <c r="GS376" s="49"/>
      <c r="GT376" s="49"/>
      <c r="GU376" s="49"/>
      <c r="GV376" s="49"/>
      <c r="GW376" s="49"/>
      <c r="GX376" s="49"/>
      <c r="GY376" s="49"/>
      <c r="GZ376" s="49"/>
      <c r="HA376" s="49"/>
      <c r="HB376" s="49"/>
      <c r="HC376" s="49"/>
      <c r="HD376" s="49"/>
      <c r="HE376" s="49"/>
      <c r="HF376" s="49"/>
      <c r="HG376" s="49"/>
      <c r="HH376" s="49"/>
      <c r="HI376" s="49"/>
      <c r="HJ376" s="49"/>
      <c r="HK376" s="49"/>
      <c r="HL376" s="49"/>
      <c r="HM376" s="49"/>
    </row>
    <row r="377" spans="1:221" ht="3.75" customHeight="1">
      <c r="A377" s="1"/>
      <c r="B377" s="3"/>
      <c r="C377" s="3"/>
      <c r="D377" s="12"/>
      <c r="E377" s="197"/>
      <c r="F377" s="197"/>
      <c r="G377" s="39"/>
      <c r="H377" s="39"/>
      <c r="I377" s="39"/>
      <c r="J377" s="39"/>
      <c r="K377" s="197"/>
      <c r="L377" s="197"/>
      <c r="M377" s="197"/>
      <c r="N377" s="197"/>
      <c r="O377" s="197"/>
      <c r="P377" s="197"/>
      <c r="Q377" s="197"/>
      <c r="R377" s="197"/>
      <c r="S377" s="197"/>
      <c r="T377" s="197"/>
      <c r="U377" s="197"/>
      <c r="V377" s="197"/>
      <c r="W377" s="197"/>
      <c r="X377" s="197"/>
      <c r="Y377" s="197"/>
      <c r="Z377" s="126"/>
      <c r="AA377" s="156"/>
      <c r="AB377" s="156"/>
      <c r="AC377" s="156"/>
      <c r="AD377" s="156"/>
      <c r="AE377" s="156"/>
      <c r="AF377" s="156"/>
      <c r="AG377" s="156"/>
      <c r="AH377" s="156"/>
      <c r="AI377" s="156"/>
      <c r="AJ377" s="156"/>
      <c r="AK377" s="156"/>
      <c r="AL377" s="160"/>
      <c r="AM377" s="156"/>
      <c r="AN377" s="156"/>
      <c r="AO377" s="156"/>
      <c r="AP377" s="156"/>
      <c r="AQ377" s="156"/>
      <c r="AR377" s="156"/>
      <c r="AS377" s="156"/>
      <c r="AT377" s="156"/>
      <c r="AU377" s="156"/>
      <c r="AV377" s="160"/>
      <c r="AW377" s="156"/>
      <c r="AX377" s="156"/>
      <c r="AY377" s="156"/>
      <c r="AZ377" s="156"/>
      <c r="BA377" s="156"/>
      <c r="BB377" s="156"/>
      <c r="BC377" s="156"/>
      <c r="BD377" s="156"/>
      <c r="BE377" s="156"/>
      <c r="BF377" s="160"/>
      <c r="BG377" s="156"/>
      <c r="BH377" s="156"/>
      <c r="BI377" s="156"/>
      <c r="BJ377" s="156"/>
      <c r="BK377" s="156"/>
      <c r="BL377" s="156"/>
      <c r="BM377" s="156"/>
      <c r="BN377" s="156"/>
      <c r="BO377" s="156"/>
      <c r="BP377" s="160"/>
      <c r="BQ377" s="156"/>
      <c r="BR377" s="156"/>
      <c r="BS377" s="156"/>
      <c r="BT377" s="156"/>
      <c r="BU377" s="156"/>
      <c r="BV377" s="156"/>
      <c r="BW377" s="156"/>
      <c r="BX377" s="156"/>
      <c r="BY377" s="156"/>
      <c r="BZ377" s="160"/>
      <c r="CA377" s="156"/>
      <c r="CB377" s="57"/>
      <c r="CC377" s="197"/>
      <c r="CD377" s="43"/>
      <c r="CE377" s="43"/>
      <c r="CF377" s="43"/>
      <c r="CG377" s="43"/>
      <c r="CH377" s="43"/>
      <c r="CI377" s="43"/>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c r="EO377" s="79"/>
      <c r="EP377" s="79"/>
      <c r="EQ377" s="79"/>
      <c r="ER377" s="79"/>
      <c r="ES377" s="79"/>
      <c r="ET377" s="79"/>
      <c r="EU377" s="43"/>
      <c r="EV377" s="43"/>
      <c r="EW377" s="43"/>
      <c r="EX377" s="43"/>
      <c r="EY377" s="43"/>
      <c r="EZ377" s="79"/>
      <c r="FA377" s="79"/>
      <c r="FB377" s="79"/>
      <c r="FC377" s="79"/>
      <c r="FD377" s="79"/>
      <c r="FE377" s="79"/>
      <c r="FF377" s="79"/>
      <c r="FG377" s="79"/>
      <c r="FH377" s="79"/>
      <c r="FI377" s="79"/>
      <c r="FJ377" s="79"/>
      <c r="FK377" s="79"/>
      <c r="FL377" s="79"/>
      <c r="FM377" s="48"/>
      <c r="FN377" s="48"/>
      <c r="FO377" s="48"/>
      <c r="FP377" s="48"/>
      <c r="FQ377" s="48"/>
      <c r="FR377" s="49"/>
      <c r="FS377" s="49"/>
      <c r="FT377" s="49"/>
      <c r="FU377" s="49"/>
      <c r="FV377" s="48"/>
      <c r="FW377" s="48"/>
      <c r="FX377" s="48"/>
      <c r="FY377" s="48"/>
      <c r="FZ377" s="48"/>
      <c r="GA377" s="49"/>
      <c r="GB377" s="49"/>
      <c r="GC377" s="49"/>
      <c r="GD377" s="49"/>
      <c r="GE377" s="49"/>
      <c r="GF377" s="49"/>
      <c r="GG377" s="49"/>
      <c r="GH377" s="49"/>
      <c r="GI377" s="49"/>
      <c r="GJ377" s="49"/>
      <c r="GK377" s="49"/>
      <c r="GL377" s="49"/>
      <c r="GM377" s="49"/>
      <c r="GN377" s="49"/>
      <c r="GO377" s="49"/>
      <c r="GP377" s="49"/>
      <c r="GQ377" s="49"/>
      <c r="GR377" s="49"/>
      <c r="GS377" s="49"/>
      <c r="GT377" s="49"/>
      <c r="GU377" s="49"/>
      <c r="GV377" s="49"/>
      <c r="GW377" s="49"/>
      <c r="GX377" s="49"/>
      <c r="GY377" s="49"/>
      <c r="GZ377" s="49"/>
      <c r="HA377" s="49"/>
      <c r="HB377" s="49"/>
      <c r="HC377" s="49"/>
      <c r="HD377" s="49"/>
      <c r="HE377" s="49"/>
      <c r="HF377" s="49"/>
      <c r="HG377" s="49"/>
      <c r="HH377" s="49"/>
      <c r="HI377" s="49"/>
      <c r="HJ377" s="49"/>
      <c r="HK377" s="49"/>
      <c r="HL377" s="49"/>
      <c r="HM377" s="49"/>
    </row>
    <row r="378" spans="1:221" ht="3.75" customHeight="1">
      <c r="A378" s="1"/>
      <c r="B378" s="3"/>
      <c r="C378" s="3"/>
      <c r="D378" s="12"/>
      <c r="E378" s="197"/>
      <c r="F378" s="197"/>
      <c r="G378" s="39"/>
      <c r="H378" s="39"/>
      <c r="I378" s="39"/>
      <c r="J378" s="39"/>
      <c r="K378" s="197"/>
      <c r="L378" s="197"/>
      <c r="M378" s="197"/>
      <c r="N378" s="197"/>
      <c r="O378" s="197"/>
      <c r="P378" s="197"/>
      <c r="Q378" s="126"/>
      <c r="R378" s="126"/>
      <c r="S378" s="126"/>
      <c r="T378" s="126"/>
      <c r="U378" s="126"/>
      <c r="V378" s="126"/>
      <c r="W378" s="653" t="str">
        <f ca="1">IF($FN$305=0,"","0")</f>
        <v/>
      </c>
      <c r="X378" s="645"/>
      <c r="Y378" s="645"/>
      <c r="Z378" s="645"/>
      <c r="AA378" s="645"/>
      <c r="AB378" s="645"/>
      <c r="AC378" s="645"/>
      <c r="AD378" s="645"/>
      <c r="AE378" s="197"/>
      <c r="AF378" s="197"/>
      <c r="AG378" s="197"/>
      <c r="AH378" s="654" t="str">
        <f ca="1">IF($FN$305=0,"","10")</f>
        <v/>
      </c>
      <c r="AI378" s="645"/>
      <c r="AJ378" s="645"/>
      <c r="AK378" s="645"/>
      <c r="AL378" s="645"/>
      <c r="AM378" s="645"/>
      <c r="AN378" s="645"/>
      <c r="AO378" s="645"/>
      <c r="AP378" s="150"/>
      <c r="AQ378" s="150"/>
      <c r="AR378" s="654" t="str">
        <f ca="1">IF($FN$305=0,"","20")</f>
        <v/>
      </c>
      <c r="AS378" s="645"/>
      <c r="AT378" s="645"/>
      <c r="AU378" s="645"/>
      <c r="AV378" s="645"/>
      <c r="AW378" s="645"/>
      <c r="AX378" s="645"/>
      <c r="AY378" s="645"/>
      <c r="AZ378" s="150"/>
      <c r="BA378" s="150"/>
      <c r="BB378" s="654" t="str">
        <f ca="1">IF($FN$305=0,"","30")</f>
        <v/>
      </c>
      <c r="BC378" s="645"/>
      <c r="BD378" s="645"/>
      <c r="BE378" s="645"/>
      <c r="BF378" s="645"/>
      <c r="BG378" s="645"/>
      <c r="BH378" s="645"/>
      <c r="BI378" s="645"/>
      <c r="BJ378" s="146"/>
      <c r="BK378" s="146"/>
      <c r="BL378" s="654" t="str">
        <f ca="1">IF($FN$305=0,"","40")</f>
        <v/>
      </c>
      <c r="BM378" s="645"/>
      <c r="BN378" s="645"/>
      <c r="BO378" s="645"/>
      <c r="BP378" s="645"/>
      <c r="BQ378" s="645"/>
      <c r="BR378" s="645"/>
      <c r="BS378" s="645"/>
      <c r="BT378" s="197"/>
      <c r="BU378" s="197"/>
      <c r="BV378" s="654" t="str">
        <f ca="1">IF($FN$305=0,"","50")</f>
        <v/>
      </c>
      <c r="BW378" s="645"/>
      <c r="BX378" s="645"/>
      <c r="BY378" s="645"/>
      <c r="BZ378" s="645"/>
      <c r="CA378" s="645"/>
      <c r="CB378" s="645"/>
      <c r="CC378" s="645"/>
      <c r="CD378" s="43"/>
      <c r="CE378" s="652" t="str">
        <f ca="1">IF($FN$305=0,"","Q")</f>
        <v/>
      </c>
      <c r="CF378" s="645"/>
      <c r="CG378" s="645"/>
      <c r="CH378" s="645"/>
      <c r="CI378" s="43"/>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c r="EO378" s="79"/>
      <c r="EP378" s="79"/>
      <c r="EQ378" s="79"/>
      <c r="ER378" s="79"/>
      <c r="ES378" s="79"/>
      <c r="ET378" s="79"/>
      <c r="EU378" s="43"/>
      <c r="EV378" s="43"/>
      <c r="EW378" s="43"/>
      <c r="EX378" s="43"/>
      <c r="EY378" s="43"/>
      <c r="EZ378" s="79"/>
      <c r="FA378" s="79"/>
      <c r="FB378" s="79"/>
      <c r="FC378" s="79"/>
      <c r="FD378" s="79"/>
      <c r="FE378" s="79"/>
      <c r="FF378" s="79"/>
      <c r="FG378" s="79"/>
      <c r="FH378" s="79"/>
      <c r="FI378" s="79"/>
      <c r="FJ378" s="79"/>
      <c r="FK378" s="79"/>
      <c r="FL378" s="79"/>
      <c r="FM378" s="48"/>
      <c r="FN378" s="48"/>
      <c r="FO378" s="48"/>
      <c r="FP378" s="48"/>
      <c r="FQ378" s="48"/>
      <c r="FR378" s="49"/>
      <c r="FS378" s="49"/>
      <c r="FT378" s="49"/>
      <c r="FU378" s="49"/>
      <c r="FV378" s="48"/>
      <c r="FW378" s="48"/>
      <c r="FX378" s="48"/>
      <c r="FY378" s="48"/>
      <c r="FZ378" s="48"/>
      <c r="GA378" s="49"/>
      <c r="GB378" s="49"/>
      <c r="GC378" s="49"/>
      <c r="GD378" s="49"/>
      <c r="GE378" s="49"/>
      <c r="GF378" s="49"/>
      <c r="GG378" s="49"/>
      <c r="GH378" s="49"/>
      <c r="GI378" s="49"/>
      <c r="GJ378" s="49"/>
      <c r="GK378" s="49"/>
      <c r="GL378" s="49"/>
      <c r="GM378" s="49"/>
      <c r="GN378" s="49"/>
      <c r="GO378" s="49"/>
      <c r="GP378" s="49"/>
      <c r="GQ378" s="49"/>
      <c r="GR378" s="49"/>
      <c r="GS378" s="49"/>
      <c r="GT378" s="49"/>
      <c r="GU378" s="49"/>
      <c r="GV378" s="49"/>
      <c r="GW378" s="49"/>
      <c r="GX378" s="49"/>
      <c r="GY378" s="49"/>
      <c r="GZ378" s="49"/>
      <c r="HA378" s="49"/>
      <c r="HB378" s="49"/>
      <c r="HC378" s="49"/>
      <c r="HD378" s="49"/>
      <c r="HE378" s="49"/>
      <c r="HF378" s="49"/>
      <c r="HG378" s="49"/>
      <c r="HH378" s="49"/>
      <c r="HI378" s="49"/>
      <c r="HJ378" s="49"/>
      <c r="HK378" s="49"/>
      <c r="HL378" s="49"/>
      <c r="HM378" s="49"/>
    </row>
    <row r="379" spans="1:221" ht="3.75" customHeight="1">
      <c r="A379" s="1"/>
      <c r="B379" s="3"/>
      <c r="C379" s="3"/>
      <c r="D379" s="12"/>
      <c r="E379" s="197"/>
      <c r="F379" s="197"/>
      <c r="G379" s="39"/>
      <c r="H379" s="39"/>
      <c r="I379" s="39"/>
      <c r="J379" s="39"/>
      <c r="K379" s="197"/>
      <c r="L379" s="197"/>
      <c r="M379" s="197"/>
      <c r="N379" s="197"/>
      <c r="O379" s="39"/>
      <c r="P379" s="39"/>
      <c r="Q379" s="126"/>
      <c r="R379" s="126"/>
      <c r="S379" s="126"/>
      <c r="T379" s="126"/>
      <c r="U379" s="126"/>
      <c r="V379" s="122"/>
      <c r="W379" s="645"/>
      <c r="X379" s="645"/>
      <c r="Y379" s="645"/>
      <c r="Z379" s="645"/>
      <c r="AA379" s="645"/>
      <c r="AB379" s="645"/>
      <c r="AC379" s="645"/>
      <c r="AD379" s="645"/>
      <c r="AE379" s="197"/>
      <c r="AF379" s="197"/>
      <c r="AG379" s="197"/>
      <c r="AH379" s="645"/>
      <c r="AI379" s="645"/>
      <c r="AJ379" s="645"/>
      <c r="AK379" s="645"/>
      <c r="AL379" s="645"/>
      <c r="AM379" s="645"/>
      <c r="AN379" s="645"/>
      <c r="AO379" s="645"/>
      <c r="AP379" s="197"/>
      <c r="AQ379" s="43"/>
      <c r="AR379" s="645"/>
      <c r="AS379" s="645"/>
      <c r="AT379" s="645"/>
      <c r="AU379" s="645"/>
      <c r="AV379" s="645"/>
      <c r="AW379" s="645"/>
      <c r="AX379" s="645"/>
      <c r="AY379" s="645"/>
      <c r="AZ379" s="197"/>
      <c r="BA379" s="197"/>
      <c r="BB379" s="645"/>
      <c r="BC379" s="645"/>
      <c r="BD379" s="645"/>
      <c r="BE379" s="645"/>
      <c r="BF379" s="645"/>
      <c r="BG379" s="645"/>
      <c r="BH379" s="645"/>
      <c r="BI379" s="645"/>
      <c r="BJ379" s="197"/>
      <c r="BK379" s="197"/>
      <c r="BL379" s="645"/>
      <c r="BM379" s="645"/>
      <c r="BN379" s="645"/>
      <c r="BO379" s="645"/>
      <c r="BP379" s="645"/>
      <c r="BQ379" s="645"/>
      <c r="BR379" s="645"/>
      <c r="BS379" s="645"/>
      <c r="BT379" s="197"/>
      <c r="BU379" s="197"/>
      <c r="BV379" s="645"/>
      <c r="BW379" s="645"/>
      <c r="BX379" s="645"/>
      <c r="BY379" s="645"/>
      <c r="BZ379" s="645"/>
      <c r="CA379" s="645"/>
      <c r="CB379" s="645"/>
      <c r="CC379" s="645"/>
      <c r="CD379" s="43"/>
      <c r="CE379" s="645"/>
      <c r="CF379" s="645"/>
      <c r="CG379" s="645"/>
      <c r="CH379" s="645"/>
      <c r="CI379" s="43"/>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c r="EO379" s="79"/>
      <c r="EP379" s="79"/>
      <c r="EQ379" s="79"/>
      <c r="ER379" s="79"/>
      <c r="ES379" s="79"/>
      <c r="ET379" s="79"/>
      <c r="EU379" s="43"/>
      <c r="EV379" s="43"/>
      <c r="EW379" s="43"/>
      <c r="EX379" s="43"/>
      <c r="EY379" s="43"/>
      <c r="EZ379" s="79"/>
      <c r="FA379" s="79"/>
      <c r="FB379" s="79"/>
      <c r="FC379" s="79"/>
      <c r="FD379" s="79"/>
      <c r="FE379" s="79"/>
      <c r="FF379" s="79"/>
      <c r="FG379" s="79"/>
      <c r="FH379" s="79"/>
      <c r="FI379" s="79"/>
      <c r="FJ379" s="79"/>
      <c r="FK379" s="79"/>
      <c r="FL379" s="79"/>
      <c r="FM379" s="48"/>
      <c r="FN379" s="48"/>
      <c r="FO379" s="48"/>
      <c r="FP379" s="48"/>
      <c r="FQ379" s="48"/>
      <c r="FR379" s="49"/>
      <c r="FS379" s="49"/>
      <c r="FT379" s="49"/>
      <c r="FU379" s="49"/>
      <c r="FV379" s="48"/>
      <c r="FW379" s="48"/>
      <c r="FX379" s="48"/>
      <c r="FY379" s="48"/>
      <c r="FZ379" s="48"/>
      <c r="GA379" s="49"/>
      <c r="GB379" s="49"/>
      <c r="GC379" s="49"/>
      <c r="GD379" s="49"/>
      <c r="GE379" s="49"/>
      <c r="GF379" s="49"/>
      <c r="GG379" s="49"/>
      <c r="GH379" s="49"/>
      <c r="GI379" s="49"/>
      <c r="GJ379" s="49"/>
      <c r="GK379" s="49"/>
      <c r="GL379" s="49"/>
      <c r="GM379" s="49"/>
      <c r="GN379" s="49"/>
      <c r="GO379" s="49"/>
      <c r="GP379" s="49"/>
      <c r="GQ379" s="49"/>
      <c r="GR379" s="49"/>
      <c r="GS379" s="49"/>
      <c r="GT379" s="49"/>
      <c r="GU379" s="49"/>
      <c r="GV379" s="49"/>
      <c r="GW379" s="49"/>
      <c r="GX379" s="49"/>
      <c r="GY379" s="49"/>
      <c r="GZ379" s="49"/>
      <c r="HA379" s="49"/>
      <c r="HB379" s="49"/>
      <c r="HC379" s="49"/>
      <c r="HD379" s="49"/>
      <c r="HE379" s="49"/>
      <c r="HF379" s="49"/>
      <c r="HG379" s="49"/>
      <c r="HH379" s="49"/>
      <c r="HI379" s="49"/>
      <c r="HJ379" s="49"/>
      <c r="HK379" s="49"/>
      <c r="HL379" s="49"/>
      <c r="HM379" s="49"/>
    </row>
    <row r="380" spans="1:221" ht="3.75" customHeight="1">
      <c r="A380" s="1"/>
      <c r="B380" s="3"/>
      <c r="C380" s="3"/>
      <c r="D380" s="12"/>
      <c r="E380" s="197"/>
      <c r="F380" s="197"/>
      <c r="G380" s="39"/>
      <c r="H380" s="39"/>
      <c r="I380" s="39"/>
      <c r="J380" s="39"/>
      <c r="K380" s="197"/>
      <c r="L380" s="197"/>
      <c r="M380" s="197"/>
      <c r="N380" s="197"/>
      <c r="O380" s="39"/>
      <c r="P380" s="39"/>
      <c r="Q380" s="126"/>
      <c r="R380" s="126"/>
      <c r="S380" s="126"/>
      <c r="T380" s="126"/>
      <c r="U380" s="126"/>
      <c r="V380" s="199"/>
      <c r="W380" s="645"/>
      <c r="X380" s="645"/>
      <c r="Y380" s="645"/>
      <c r="Z380" s="645"/>
      <c r="AA380" s="645"/>
      <c r="AB380" s="645"/>
      <c r="AC380" s="645"/>
      <c r="AD380" s="645"/>
      <c r="AE380" s="197"/>
      <c r="AF380" s="197"/>
      <c r="AG380" s="197"/>
      <c r="AH380" s="645"/>
      <c r="AI380" s="645"/>
      <c r="AJ380" s="645"/>
      <c r="AK380" s="645"/>
      <c r="AL380" s="645"/>
      <c r="AM380" s="645"/>
      <c r="AN380" s="645"/>
      <c r="AO380" s="645"/>
      <c r="AP380" s="43"/>
      <c r="AQ380" s="43"/>
      <c r="AR380" s="645"/>
      <c r="AS380" s="645"/>
      <c r="AT380" s="645"/>
      <c r="AU380" s="645"/>
      <c r="AV380" s="645"/>
      <c r="AW380" s="645"/>
      <c r="AX380" s="645"/>
      <c r="AY380" s="645"/>
      <c r="AZ380" s="197"/>
      <c r="BA380" s="197"/>
      <c r="BB380" s="645"/>
      <c r="BC380" s="645"/>
      <c r="BD380" s="645"/>
      <c r="BE380" s="645"/>
      <c r="BF380" s="645"/>
      <c r="BG380" s="645"/>
      <c r="BH380" s="645"/>
      <c r="BI380" s="645"/>
      <c r="BJ380" s="197"/>
      <c r="BK380" s="203"/>
      <c r="BL380" s="645"/>
      <c r="BM380" s="645"/>
      <c r="BN380" s="645"/>
      <c r="BO380" s="645"/>
      <c r="BP380" s="645"/>
      <c r="BQ380" s="645"/>
      <c r="BR380" s="645"/>
      <c r="BS380" s="645"/>
      <c r="BT380" s="203"/>
      <c r="BU380" s="197"/>
      <c r="BV380" s="645"/>
      <c r="BW380" s="645"/>
      <c r="BX380" s="645"/>
      <c r="BY380" s="645"/>
      <c r="BZ380" s="645"/>
      <c r="CA380" s="645"/>
      <c r="CB380" s="645"/>
      <c r="CC380" s="645"/>
      <c r="CD380" s="43"/>
      <c r="CE380" s="645"/>
      <c r="CF380" s="645"/>
      <c r="CG380" s="645"/>
      <c r="CH380" s="645"/>
      <c r="CI380" s="43"/>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c r="EO380" s="79"/>
      <c r="EP380" s="79"/>
      <c r="EQ380" s="79"/>
      <c r="ER380" s="79"/>
      <c r="ES380" s="79"/>
      <c r="ET380" s="79"/>
      <c r="EU380" s="43"/>
      <c r="EV380" s="43"/>
      <c r="EW380" s="43"/>
      <c r="EX380" s="43"/>
      <c r="EY380" s="43"/>
      <c r="EZ380" s="79"/>
      <c r="FA380" s="79"/>
      <c r="FB380" s="79"/>
      <c r="FC380" s="79"/>
      <c r="FD380" s="79"/>
      <c r="FE380" s="79"/>
      <c r="FF380" s="79"/>
      <c r="FG380" s="79"/>
      <c r="FH380" s="79"/>
      <c r="FI380" s="79"/>
      <c r="FJ380" s="79"/>
      <c r="FK380" s="79"/>
      <c r="FL380" s="79"/>
      <c r="FM380" s="48"/>
      <c r="FN380" s="48"/>
      <c r="FO380" s="48"/>
      <c r="FP380" s="48"/>
      <c r="FQ380" s="48"/>
      <c r="FR380" s="49"/>
      <c r="FS380" s="49"/>
      <c r="FT380" s="49"/>
      <c r="FU380" s="49"/>
      <c r="FV380" s="48"/>
      <c r="FW380" s="48"/>
      <c r="FX380" s="48"/>
      <c r="FY380" s="48"/>
      <c r="FZ380" s="48"/>
      <c r="GA380" s="49"/>
      <c r="GB380" s="49"/>
      <c r="GC380" s="49"/>
      <c r="GD380" s="49"/>
      <c r="GE380" s="49"/>
      <c r="GF380" s="49"/>
      <c r="GG380" s="49"/>
      <c r="GH380" s="49"/>
      <c r="GI380" s="49"/>
      <c r="GJ380" s="49"/>
      <c r="GK380" s="49"/>
      <c r="GL380" s="49"/>
      <c r="GM380" s="49"/>
      <c r="GN380" s="49"/>
      <c r="GO380" s="49"/>
      <c r="GP380" s="49"/>
      <c r="GQ380" s="49"/>
      <c r="GR380" s="49"/>
      <c r="GS380" s="49"/>
      <c r="GT380" s="49"/>
      <c r="GU380" s="49"/>
      <c r="GV380" s="49"/>
      <c r="GW380" s="49"/>
      <c r="GX380" s="49"/>
      <c r="GY380" s="49"/>
      <c r="GZ380" s="49"/>
      <c r="HA380" s="49"/>
      <c r="HB380" s="49"/>
      <c r="HC380" s="49"/>
      <c r="HD380" s="49"/>
      <c r="HE380" s="49"/>
      <c r="HF380" s="49"/>
      <c r="HG380" s="49"/>
      <c r="HH380" s="49"/>
      <c r="HI380" s="49"/>
      <c r="HJ380" s="49"/>
      <c r="HK380" s="49"/>
      <c r="HL380" s="49"/>
      <c r="HM380" s="49"/>
    </row>
    <row r="381" spans="1:221" ht="3.75" customHeight="1">
      <c r="A381" s="1"/>
      <c r="B381" s="3"/>
      <c r="C381" s="3"/>
      <c r="D381" s="12"/>
      <c r="E381" s="197"/>
      <c r="F381" s="197"/>
      <c r="G381" s="39"/>
      <c r="H381" s="39"/>
      <c r="I381" s="39"/>
      <c r="J381" s="39"/>
      <c r="K381" s="197"/>
      <c r="L381" s="197"/>
      <c r="M381" s="197"/>
      <c r="N381" s="197"/>
      <c r="O381" s="39"/>
      <c r="P381" s="39"/>
      <c r="Q381" s="126"/>
      <c r="R381" s="126"/>
      <c r="S381" s="126"/>
      <c r="T381" s="126"/>
      <c r="U381" s="126"/>
      <c r="V381" s="199"/>
      <c r="W381" s="645"/>
      <c r="X381" s="645"/>
      <c r="Y381" s="645"/>
      <c r="Z381" s="645"/>
      <c r="AA381" s="645"/>
      <c r="AB381" s="645"/>
      <c r="AC381" s="645"/>
      <c r="AD381" s="645"/>
      <c r="AE381" s="197"/>
      <c r="AF381" s="197"/>
      <c r="AG381" s="197"/>
      <c r="AH381" s="645"/>
      <c r="AI381" s="645"/>
      <c r="AJ381" s="645"/>
      <c r="AK381" s="645"/>
      <c r="AL381" s="645"/>
      <c r="AM381" s="645"/>
      <c r="AN381" s="645"/>
      <c r="AO381" s="645"/>
      <c r="AP381" s="43"/>
      <c r="AQ381" s="43"/>
      <c r="AR381" s="645"/>
      <c r="AS381" s="645"/>
      <c r="AT381" s="645"/>
      <c r="AU381" s="645"/>
      <c r="AV381" s="645"/>
      <c r="AW381" s="645"/>
      <c r="AX381" s="645"/>
      <c r="AY381" s="645"/>
      <c r="AZ381" s="197"/>
      <c r="BA381" s="197"/>
      <c r="BB381" s="645"/>
      <c r="BC381" s="645"/>
      <c r="BD381" s="645"/>
      <c r="BE381" s="645"/>
      <c r="BF381" s="645"/>
      <c r="BG381" s="645"/>
      <c r="BH381" s="645"/>
      <c r="BI381" s="645"/>
      <c r="BJ381" s="197"/>
      <c r="BK381" s="203"/>
      <c r="BL381" s="645"/>
      <c r="BM381" s="645"/>
      <c r="BN381" s="645"/>
      <c r="BO381" s="645"/>
      <c r="BP381" s="645"/>
      <c r="BQ381" s="645"/>
      <c r="BR381" s="645"/>
      <c r="BS381" s="645"/>
      <c r="BT381" s="203"/>
      <c r="BU381" s="197"/>
      <c r="BV381" s="645"/>
      <c r="BW381" s="645"/>
      <c r="BX381" s="645"/>
      <c r="BY381" s="645"/>
      <c r="BZ381" s="645"/>
      <c r="CA381" s="645"/>
      <c r="CB381" s="645"/>
      <c r="CC381" s="645"/>
      <c r="CD381" s="43"/>
      <c r="CE381" s="645"/>
      <c r="CF381" s="645"/>
      <c r="CG381" s="645"/>
      <c r="CH381" s="645"/>
      <c r="CI381" s="43"/>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c r="EO381" s="79"/>
      <c r="EP381" s="79"/>
      <c r="EQ381" s="79"/>
      <c r="ER381" s="79"/>
      <c r="ES381" s="79"/>
      <c r="ET381" s="79"/>
      <c r="EU381" s="43"/>
      <c r="EV381" s="43"/>
      <c r="EW381" s="43"/>
      <c r="EX381" s="43"/>
      <c r="EY381" s="43"/>
      <c r="EZ381" s="79"/>
      <c r="FA381" s="79"/>
      <c r="FB381" s="79"/>
      <c r="FC381" s="79"/>
      <c r="FD381" s="79"/>
      <c r="FE381" s="79"/>
      <c r="FF381" s="79"/>
      <c r="FG381" s="79"/>
      <c r="FH381" s="79"/>
      <c r="FI381" s="79"/>
      <c r="FJ381" s="79"/>
      <c r="FK381" s="79"/>
      <c r="FL381" s="79"/>
      <c r="FM381" s="48"/>
      <c r="FN381" s="48"/>
      <c r="FO381" s="48"/>
      <c r="FP381" s="48"/>
      <c r="FQ381" s="48"/>
      <c r="FR381" s="49"/>
      <c r="FS381" s="49"/>
      <c r="FT381" s="49"/>
      <c r="FU381" s="49"/>
      <c r="FV381" s="48"/>
      <c r="FW381" s="48"/>
      <c r="FX381" s="48"/>
      <c r="FY381" s="48"/>
      <c r="FZ381" s="48"/>
      <c r="GA381" s="49"/>
      <c r="GB381" s="49"/>
      <c r="GC381" s="49"/>
      <c r="GD381" s="49"/>
      <c r="GE381" s="49"/>
      <c r="GF381" s="49"/>
      <c r="GG381" s="49"/>
      <c r="GH381" s="49"/>
      <c r="GI381" s="49"/>
      <c r="GJ381" s="49"/>
      <c r="GK381" s="49"/>
      <c r="GL381" s="49"/>
      <c r="GM381" s="49"/>
      <c r="GN381" s="49"/>
      <c r="GO381" s="49"/>
      <c r="GP381" s="49"/>
      <c r="GQ381" s="49"/>
      <c r="GR381" s="49"/>
      <c r="GS381" s="49"/>
      <c r="GT381" s="49"/>
      <c r="GU381" s="49"/>
      <c r="GV381" s="49"/>
      <c r="GW381" s="49"/>
      <c r="GX381" s="49"/>
      <c r="GY381" s="49"/>
      <c r="GZ381" s="49"/>
      <c r="HA381" s="49"/>
      <c r="HB381" s="49"/>
      <c r="HC381" s="49"/>
      <c r="HD381" s="49"/>
      <c r="HE381" s="49"/>
      <c r="HF381" s="49"/>
      <c r="HG381" s="49"/>
      <c r="HH381" s="49"/>
      <c r="HI381" s="49"/>
      <c r="HJ381" s="49"/>
      <c r="HK381" s="49"/>
      <c r="HL381" s="49"/>
      <c r="HM381" s="49"/>
    </row>
    <row r="382" spans="1:221" ht="3.75" customHeight="1">
      <c r="A382" s="1"/>
      <c r="B382" s="3"/>
      <c r="C382" s="3"/>
      <c r="D382" s="12"/>
      <c r="E382" s="43"/>
      <c r="F382" s="43"/>
      <c r="G382" s="79"/>
      <c r="H382" s="79"/>
      <c r="I382" s="79"/>
      <c r="J382" s="79"/>
      <c r="K382" s="43"/>
      <c r="L382" s="43"/>
      <c r="M382" s="43"/>
      <c r="N382" s="43"/>
      <c r="O382" s="79"/>
      <c r="P382" s="79"/>
      <c r="Q382" s="43"/>
      <c r="R382" s="43"/>
      <c r="S382" s="43"/>
      <c r="T382" s="43"/>
      <c r="U382" s="43"/>
      <c r="V382" s="43"/>
      <c r="W382" s="197"/>
      <c r="X382" s="197"/>
      <c r="Y382" s="38"/>
      <c r="Z382" s="38"/>
      <c r="AA382" s="203"/>
      <c r="AB382" s="203">
        <f t="shared" ref="AB382:BZ382" ca="1" si="154">IF($FO$388=1,ROUND($FP$307*AB383^2-$FQ$307*AB383+$FR$307,-1),IF($FO$388=2,ROUND($FQ$308*AB383+$FR$308,-1),IF($FO$388=3,ROUND(-$FQ$309*AB383+$FR$309,-1),IF($FO$388=4,ROUND($FR$310,-1),0))))</f>
        <v>0</v>
      </c>
      <c r="AC382" s="203">
        <f t="shared" ca="1" si="154"/>
        <v>0</v>
      </c>
      <c r="AD382" s="203">
        <f t="shared" ca="1" si="154"/>
        <v>0</v>
      </c>
      <c r="AE382" s="203">
        <f t="shared" ca="1" si="154"/>
        <v>0</v>
      </c>
      <c r="AF382" s="203">
        <f t="shared" ca="1" si="154"/>
        <v>0</v>
      </c>
      <c r="AG382" s="203">
        <f t="shared" ca="1" si="154"/>
        <v>0</v>
      </c>
      <c r="AH382" s="203">
        <f t="shared" ca="1" si="154"/>
        <v>0</v>
      </c>
      <c r="AI382" s="203">
        <f t="shared" ca="1" si="154"/>
        <v>0</v>
      </c>
      <c r="AJ382" s="203">
        <f t="shared" ca="1" si="154"/>
        <v>0</v>
      </c>
      <c r="AK382" s="203">
        <f t="shared" ca="1" si="154"/>
        <v>0</v>
      </c>
      <c r="AL382" s="203">
        <f t="shared" ca="1" si="154"/>
        <v>0</v>
      </c>
      <c r="AM382" s="203">
        <f t="shared" ca="1" si="154"/>
        <v>0</v>
      </c>
      <c r="AN382" s="203">
        <f t="shared" ca="1" si="154"/>
        <v>0</v>
      </c>
      <c r="AO382" s="203">
        <f t="shared" ca="1" si="154"/>
        <v>0</v>
      </c>
      <c r="AP382" s="203">
        <f t="shared" ca="1" si="154"/>
        <v>0</v>
      </c>
      <c r="AQ382" s="203">
        <f t="shared" ca="1" si="154"/>
        <v>0</v>
      </c>
      <c r="AR382" s="203">
        <f t="shared" ca="1" si="154"/>
        <v>0</v>
      </c>
      <c r="AS382" s="203">
        <f t="shared" ca="1" si="154"/>
        <v>0</v>
      </c>
      <c r="AT382" s="203">
        <f t="shared" ca="1" si="154"/>
        <v>0</v>
      </c>
      <c r="AU382" s="203">
        <f t="shared" ca="1" si="154"/>
        <v>0</v>
      </c>
      <c r="AV382" s="203">
        <f t="shared" ca="1" si="154"/>
        <v>0</v>
      </c>
      <c r="AW382" s="203">
        <f t="shared" ca="1" si="154"/>
        <v>0</v>
      </c>
      <c r="AX382" s="203">
        <f t="shared" ca="1" si="154"/>
        <v>0</v>
      </c>
      <c r="AY382" s="203">
        <f t="shared" ca="1" si="154"/>
        <v>0</v>
      </c>
      <c r="AZ382" s="203">
        <f t="shared" ca="1" si="154"/>
        <v>0</v>
      </c>
      <c r="BA382" s="203">
        <f t="shared" ca="1" si="154"/>
        <v>0</v>
      </c>
      <c r="BB382" s="203">
        <f t="shared" ca="1" si="154"/>
        <v>0</v>
      </c>
      <c r="BC382" s="203">
        <f t="shared" ca="1" si="154"/>
        <v>0</v>
      </c>
      <c r="BD382" s="203">
        <f t="shared" ca="1" si="154"/>
        <v>0</v>
      </c>
      <c r="BE382" s="203">
        <f t="shared" ca="1" si="154"/>
        <v>0</v>
      </c>
      <c r="BF382" s="203">
        <f t="shared" ca="1" si="154"/>
        <v>0</v>
      </c>
      <c r="BG382" s="203">
        <f t="shared" ca="1" si="154"/>
        <v>0</v>
      </c>
      <c r="BH382" s="203">
        <f t="shared" ca="1" si="154"/>
        <v>0</v>
      </c>
      <c r="BI382" s="203">
        <f t="shared" ca="1" si="154"/>
        <v>0</v>
      </c>
      <c r="BJ382" s="203">
        <f t="shared" ca="1" si="154"/>
        <v>0</v>
      </c>
      <c r="BK382" s="203">
        <f t="shared" ca="1" si="154"/>
        <v>0</v>
      </c>
      <c r="BL382" s="203">
        <f t="shared" ca="1" si="154"/>
        <v>0</v>
      </c>
      <c r="BM382" s="203">
        <f t="shared" ca="1" si="154"/>
        <v>0</v>
      </c>
      <c r="BN382" s="203">
        <f t="shared" ca="1" si="154"/>
        <v>0</v>
      </c>
      <c r="BO382" s="203">
        <f t="shared" ca="1" si="154"/>
        <v>0</v>
      </c>
      <c r="BP382" s="203">
        <f t="shared" ca="1" si="154"/>
        <v>0</v>
      </c>
      <c r="BQ382" s="203">
        <f t="shared" ca="1" si="154"/>
        <v>0</v>
      </c>
      <c r="BR382" s="203">
        <f t="shared" ca="1" si="154"/>
        <v>0</v>
      </c>
      <c r="BS382" s="203">
        <f t="shared" ca="1" si="154"/>
        <v>0</v>
      </c>
      <c r="BT382" s="203">
        <f t="shared" ca="1" si="154"/>
        <v>0</v>
      </c>
      <c r="BU382" s="203">
        <f t="shared" ca="1" si="154"/>
        <v>0</v>
      </c>
      <c r="BV382" s="203">
        <f t="shared" ca="1" si="154"/>
        <v>0</v>
      </c>
      <c r="BW382" s="203">
        <f t="shared" ca="1" si="154"/>
        <v>0</v>
      </c>
      <c r="BX382" s="203">
        <f t="shared" ca="1" si="154"/>
        <v>0</v>
      </c>
      <c r="BY382" s="203">
        <f t="shared" ca="1" si="154"/>
        <v>0</v>
      </c>
      <c r="BZ382" s="203">
        <f t="shared" ca="1" si="154"/>
        <v>0</v>
      </c>
      <c r="CA382" s="203"/>
      <c r="CB382" s="203"/>
      <c r="CC382" s="203"/>
      <c r="CD382" s="203"/>
      <c r="CE382" s="645"/>
      <c r="CF382" s="645"/>
      <c r="CG382" s="645"/>
      <c r="CH382" s="645"/>
      <c r="CI382" s="197"/>
      <c r="CJ382" s="197"/>
      <c r="CK382" s="197"/>
      <c r="CL382" s="197"/>
      <c r="CM382" s="79"/>
      <c r="CN382" s="79"/>
      <c r="CO382" s="79"/>
      <c r="CP382" s="79"/>
      <c r="CQ382" s="43"/>
      <c r="CR382" s="43"/>
      <c r="CS382" s="43"/>
      <c r="CT382" s="43"/>
      <c r="CU382" s="43"/>
      <c r="CV382" s="43"/>
      <c r="CW382" s="43"/>
      <c r="CX382" s="43"/>
      <c r="CY382" s="43"/>
      <c r="CZ382" s="43"/>
      <c r="DA382" s="43"/>
      <c r="DB382" s="43"/>
      <c r="DC382" s="43"/>
      <c r="DD382" s="43"/>
      <c r="DE382" s="43"/>
      <c r="DF382" s="43"/>
      <c r="DG382" s="43"/>
      <c r="DH382" s="43"/>
      <c r="DI382" s="43"/>
      <c r="DJ382" s="43"/>
      <c r="DK382" s="43"/>
      <c r="DL382" s="43"/>
      <c r="DM382" s="43"/>
      <c r="DN382" s="43"/>
      <c r="DO382" s="43"/>
      <c r="DP382" s="43"/>
      <c r="DQ382" s="43"/>
      <c r="DR382" s="43"/>
      <c r="DS382" s="43"/>
      <c r="DT382" s="43"/>
      <c r="DU382" s="43"/>
      <c r="DV382" s="43"/>
      <c r="DW382" s="43"/>
      <c r="DX382" s="43"/>
      <c r="DY382" s="43"/>
      <c r="DZ382" s="43"/>
      <c r="EA382" s="43"/>
      <c r="EB382" s="43"/>
      <c r="EC382" s="43"/>
      <c r="ED382" s="43"/>
      <c r="EE382" s="43"/>
      <c r="EF382" s="43"/>
      <c r="EG382" s="43"/>
      <c r="EH382" s="43"/>
      <c r="EI382" s="43"/>
      <c r="EJ382" s="43"/>
      <c r="EK382" s="79"/>
      <c r="EL382" s="79"/>
      <c r="EM382" s="79"/>
      <c r="EN382" s="79"/>
      <c r="EO382" s="79"/>
      <c r="EP382" s="79"/>
      <c r="EQ382" s="79"/>
      <c r="ER382" s="79"/>
      <c r="ES382" s="79"/>
      <c r="ET382" s="79"/>
      <c r="EU382" s="79"/>
      <c r="EV382" s="79"/>
      <c r="EW382" s="79"/>
      <c r="EX382" s="10"/>
      <c r="EY382" s="10"/>
      <c r="EZ382" s="10"/>
      <c r="FA382" s="10"/>
      <c r="FB382" s="10"/>
      <c r="FC382" s="10"/>
      <c r="FD382" s="10"/>
      <c r="FE382" s="10"/>
      <c r="FF382" s="10"/>
      <c r="FG382" s="10"/>
      <c r="FH382" s="79"/>
      <c r="FI382" s="79"/>
      <c r="FJ382" s="79"/>
      <c r="FK382" s="79"/>
      <c r="FL382" s="79"/>
      <c r="FM382" s="48"/>
      <c r="FN382" s="48"/>
      <c r="FO382" s="48"/>
      <c r="FP382" s="48"/>
      <c r="FQ382" s="48"/>
      <c r="FR382" s="49"/>
      <c r="FS382" s="49"/>
      <c r="FT382" s="49"/>
      <c r="FU382" s="49"/>
      <c r="FV382" s="48"/>
      <c r="FW382" s="48"/>
      <c r="FX382" s="48"/>
      <c r="FY382" s="48"/>
      <c r="FZ382" s="48"/>
      <c r="GA382" s="49"/>
      <c r="GB382" s="49"/>
      <c r="GC382" s="49"/>
      <c r="GD382" s="49"/>
      <c r="GE382" s="49"/>
      <c r="GF382" s="49"/>
      <c r="GG382" s="49"/>
      <c r="GH382" s="49"/>
      <c r="GI382" s="49"/>
      <c r="GJ382" s="49"/>
      <c r="GK382" s="49"/>
      <c r="GL382" s="49"/>
      <c r="GM382" s="49"/>
      <c r="GN382" s="49"/>
      <c r="GO382" s="49"/>
      <c r="GP382" s="49"/>
      <c r="GQ382" s="49"/>
      <c r="GR382" s="49"/>
      <c r="GS382" s="49"/>
      <c r="GT382" s="49"/>
      <c r="GU382" s="49"/>
      <c r="GV382" s="49"/>
      <c r="GW382" s="49"/>
      <c r="GX382" s="49"/>
      <c r="GY382" s="49"/>
      <c r="GZ382" s="49"/>
      <c r="HA382" s="49"/>
      <c r="HB382" s="49"/>
      <c r="HC382" s="49"/>
      <c r="HD382" s="49"/>
      <c r="HE382" s="49"/>
      <c r="HF382" s="49"/>
      <c r="HG382" s="49"/>
      <c r="HH382" s="49"/>
      <c r="HI382" s="49"/>
      <c r="HJ382" s="49"/>
      <c r="HK382" s="49"/>
      <c r="HL382" s="49"/>
      <c r="HM382" s="49"/>
    </row>
    <row r="383" spans="1:221" ht="3.75" customHeight="1">
      <c r="A383" s="1"/>
      <c r="B383" s="3"/>
      <c r="C383" s="3"/>
      <c r="D383" s="12"/>
      <c r="E383" s="10"/>
      <c r="F383" s="10"/>
      <c r="G383" s="10"/>
      <c r="H383" s="10"/>
      <c r="I383" s="10"/>
      <c r="J383" s="10"/>
      <c r="K383" s="10"/>
      <c r="L383" s="10"/>
      <c r="M383" s="10"/>
      <c r="N383" s="10"/>
      <c r="O383" s="10"/>
      <c r="P383" s="10"/>
      <c r="Q383" s="10"/>
      <c r="R383" s="10"/>
      <c r="S383" s="10"/>
      <c r="T383" s="10"/>
      <c r="U383" s="10"/>
      <c r="V383" s="10"/>
      <c r="W383" s="10"/>
      <c r="X383" s="10"/>
      <c r="Y383" s="10"/>
      <c r="Z383" s="10"/>
      <c r="AA383" s="126">
        <v>0</v>
      </c>
      <c r="AB383" s="44">
        <v>1</v>
      </c>
      <c r="AC383" s="44">
        <v>2</v>
      </c>
      <c r="AD383" s="44">
        <v>3</v>
      </c>
      <c r="AE383" s="44">
        <v>4</v>
      </c>
      <c r="AF383" s="44">
        <v>5</v>
      </c>
      <c r="AG383" s="44">
        <v>6</v>
      </c>
      <c r="AH383" s="44">
        <v>7</v>
      </c>
      <c r="AI383" s="44">
        <v>8</v>
      </c>
      <c r="AJ383" s="44">
        <v>9</v>
      </c>
      <c r="AK383" s="44">
        <v>10</v>
      </c>
      <c r="AL383" s="44">
        <v>11</v>
      </c>
      <c r="AM383" s="44">
        <v>12</v>
      </c>
      <c r="AN383" s="44">
        <v>13</v>
      </c>
      <c r="AO383" s="44">
        <v>14</v>
      </c>
      <c r="AP383" s="44">
        <v>15</v>
      </c>
      <c r="AQ383" s="44">
        <v>16</v>
      </c>
      <c r="AR383" s="44">
        <v>17</v>
      </c>
      <c r="AS383" s="44">
        <v>18</v>
      </c>
      <c r="AT383" s="44">
        <v>19</v>
      </c>
      <c r="AU383" s="44">
        <v>20</v>
      </c>
      <c r="AV383" s="44">
        <v>21</v>
      </c>
      <c r="AW383" s="44">
        <v>22</v>
      </c>
      <c r="AX383" s="44">
        <v>23</v>
      </c>
      <c r="AY383" s="44">
        <v>24</v>
      </c>
      <c r="AZ383" s="44">
        <v>25</v>
      </c>
      <c r="BA383" s="44">
        <v>26</v>
      </c>
      <c r="BB383" s="44">
        <v>27</v>
      </c>
      <c r="BC383" s="44">
        <v>28</v>
      </c>
      <c r="BD383" s="44">
        <v>29</v>
      </c>
      <c r="BE383" s="44">
        <v>30</v>
      </c>
      <c r="BF383" s="44">
        <v>31</v>
      </c>
      <c r="BG383" s="44">
        <v>32</v>
      </c>
      <c r="BH383" s="44">
        <v>33</v>
      </c>
      <c r="BI383" s="44">
        <v>34</v>
      </c>
      <c r="BJ383" s="44">
        <v>35</v>
      </c>
      <c r="BK383" s="44">
        <v>36</v>
      </c>
      <c r="BL383" s="44">
        <v>37</v>
      </c>
      <c r="BM383" s="44">
        <v>38</v>
      </c>
      <c r="BN383" s="44">
        <v>39</v>
      </c>
      <c r="BO383" s="44">
        <v>40</v>
      </c>
      <c r="BP383" s="44">
        <v>41</v>
      </c>
      <c r="BQ383" s="44">
        <v>42</v>
      </c>
      <c r="BR383" s="44">
        <v>43</v>
      </c>
      <c r="BS383" s="44">
        <v>44</v>
      </c>
      <c r="BT383" s="44">
        <v>45</v>
      </c>
      <c r="BU383" s="44">
        <v>46</v>
      </c>
      <c r="BV383" s="44">
        <v>47</v>
      </c>
      <c r="BW383" s="44">
        <v>48</v>
      </c>
      <c r="BX383" s="44">
        <v>49</v>
      </c>
      <c r="BY383" s="126">
        <v>50</v>
      </c>
      <c r="BZ383" s="126"/>
      <c r="CA383" s="126"/>
      <c r="CB383" s="10"/>
      <c r="CC383" s="10"/>
      <c r="CD383" s="10"/>
      <c r="CE383" s="79"/>
      <c r="CF383" s="79"/>
      <c r="CG383" s="79"/>
      <c r="CH383" s="79"/>
      <c r="CI383" s="79"/>
      <c r="CJ383" s="79"/>
      <c r="CK383" s="79"/>
      <c r="CL383" s="79"/>
      <c r="CM383" s="79"/>
      <c r="CN383" s="79"/>
      <c r="CO383" s="79"/>
      <c r="CP383" s="79"/>
      <c r="CQ383" s="79"/>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25"/>
      <c r="FG383" s="26"/>
      <c r="FH383" s="79"/>
      <c r="FI383" s="79"/>
      <c r="FJ383" s="79"/>
      <c r="FK383" s="79"/>
      <c r="FL383" s="79"/>
      <c r="FM383" s="468"/>
      <c r="FN383" s="206"/>
      <c r="FO383" s="206"/>
      <c r="FP383" s="206"/>
      <c r="FQ383" s="206"/>
      <c r="FR383" s="116"/>
      <c r="FS383" s="116"/>
      <c r="FT383" s="116"/>
      <c r="FU383" s="116"/>
      <c r="FV383" s="93"/>
      <c r="FW383" s="93"/>
      <c r="FX383" s="93"/>
      <c r="FY383" s="93"/>
      <c r="FZ383" s="93"/>
      <c r="GA383" s="49"/>
      <c r="GB383" s="78"/>
      <c r="GC383" s="78"/>
      <c r="GD383" s="49"/>
      <c r="GE383" s="49"/>
      <c r="GF383" s="49"/>
      <c r="GG383" s="49"/>
      <c r="GH383" s="49"/>
      <c r="GI383" s="49"/>
      <c r="GJ383" s="49"/>
      <c r="GK383" s="49"/>
      <c r="GL383" s="49"/>
      <c r="GM383" s="49"/>
      <c r="GN383" s="49"/>
      <c r="GO383" s="49"/>
      <c r="GP383" s="49"/>
      <c r="GQ383" s="49"/>
      <c r="GR383" s="49"/>
      <c r="GS383" s="49"/>
      <c r="GT383" s="49"/>
      <c r="GU383" s="49"/>
      <c r="GV383" s="49"/>
      <c r="GW383" s="49"/>
      <c r="GX383" s="49"/>
      <c r="GY383" s="49"/>
      <c r="GZ383" s="49"/>
      <c r="HA383" s="49"/>
      <c r="HB383" s="49"/>
      <c r="HC383" s="49"/>
      <c r="HD383" s="49"/>
      <c r="HE383" s="49"/>
      <c r="HF383" s="49"/>
      <c r="HG383" s="49"/>
      <c r="HH383" s="49"/>
      <c r="HI383" s="49"/>
      <c r="HJ383" s="49"/>
      <c r="HK383" s="49"/>
      <c r="HL383" s="49"/>
      <c r="HM383" s="49"/>
    </row>
    <row r="384" spans="1:221" ht="3.75" customHeight="1">
      <c r="A384" s="1"/>
      <c r="B384" s="3"/>
      <c r="C384" s="3"/>
      <c r="D384" s="12"/>
      <c r="E384" s="10"/>
      <c r="F384" s="10"/>
      <c r="G384" s="10"/>
      <c r="H384" s="10"/>
      <c r="I384" s="10"/>
      <c r="J384" s="10"/>
      <c r="K384" s="10"/>
      <c r="L384" s="10"/>
      <c r="M384" s="10"/>
      <c r="N384" s="10"/>
      <c r="O384" s="10"/>
      <c r="P384" s="10"/>
      <c r="Q384" s="10"/>
      <c r="R384" s="10"/>
      <c r="S384" s="10"/>
      <c r="T384" s="10"/>
      <c r="U384" s="10"/>
      <c r="V384" s="10"/>
      <c r="W384" s="10"/>
      <c r="X384" s="10"/>
      <c r="Y384" s="10"/>
      <c r="Z384" s="10"/>
      <c r="AA384" s="79"/>
      <c r="AB384" s="79">
        <f t="shared" ref="AB384:BZ384" ca="1" si="155">IF($FO$388=1,ROUND(3*$FP$307*AB383^2-2*$FQ$307*AB383+$FR$307,-1),IF($FO$388=2,ROUND(2*$FQ$308*AB383+$FR$308,-1),IF($FO$388=3,ROUND(-2*$FQ$309*AB383+$FR$309,-1),IF($FO$388=4,ROUND($FR$310,-1),0))))</f>
        <v>0</v>
      </c>
      <c r="AC384" s="79">
        <f t="shared" ca="1" si="155"/>
        <v>0</v>
      </c>
      <c r="AD384" s="79">
        <f t="shared" ca="1" si="155"/>
        <v>0</v>
      </c>
      <c r="AE384" s="79">
        <f t="shared" ca="1" si="155"/>
        <v>0</v>
      </c>
      <c r="AF384" s="79">
        <f t="shared" ca="1" si="155"/>
        <v>0</v>
      </c>
      <c r="AG384" s="79">
        <f t="shared" ca="1" si="155"/>
        <v>0</v>
      </c>
      <c r="AH384" s="79">
        <f t="shared" ca="1" si="155"/>
        <v>0</v>
      </c>
      <c r="AI384" s="79">
        <f t="shared" ca="1" si="155"/>
        <v>0</v>
      </c>
      <c r="AJ384" s="79">
        <f t="shared" ca="1" si="155"/>
        <v>0</v>
      </c>
      <c r="AK384" s="79">
        <f t="shared" ca="1" si="155"/>
        <v>0</v>
      </c>
      <c r="AL384" s="79">
        <f t="shared" ca="1" si="155"/>
        <v>0</v>
      </c>
      <c r="AM384" s="79">
        <f t="shared" ca="1" si="155"/>
        <v>0</v>
      </c>
      <c r="AN384" s="79">
        <f t="shared" ca="1" si="155"/>
        <v>0</v>
      </c>
      <c r="AO384" s="79">
        <f t="shared" ca="1" si="155"/>
        <v>0</v>
      </c>
      <c r="AP384" s="79">
        <f t="shared" ca="1" si="155"/>
        <v>0</v>
      </c>
      <c r="AQ384" s="79">
        <f t="shared" ca="1" si="155"/>
        <v>0</v>
      </c>
      <c r="AR384" s="79">
        <f t="shared" ca="1" si="155"/>
        <v>0</v>
      </c>
      <c r="AS384" s="79">
        <f t="shared" ca="1" si="155"/>
        <v>0</v>
      </c>
      <c r="AT384" s="79">
        <f t="shared" ca="1" si="155"/>
        <v>0</v>
      </c>
      <c r="AU384" s="79">
        <f t="shared" ca="1" si="155"/>
        <v>0</v>
      </c>
      <c r="AV384" s="79">
        <f t="shared" ca="1" si="155"/>
        <v>0</v>
      </c>
      <c r="AW384" s="79">
        <f t="shared" ca="1" si="155"/>
        <v>0</v>
      </c>
      <c r="AX384" s="79">
        <f t="shared" ca="1" si="155"/>
        <v>0</v>
      </c>
      <c r="AY384" s="79">
        <f t="shared" ca="1" si="155"/>
        <v>0</v>
      </c>
      <c r="AZ384" s="79">
        <f t="shared" ca="1" si="155"/>
        <v>0</v>
      </c>
      <c r="BA384" s="79">
        <f t="shared" ca="1" si="155"/>
        <v>0</v>
      </c>
      <c r="BB384" s="79">
        <f t="shared" ca="1" si="155"/>
        <v>0</v>
      </c>
      <c r="BC384" s="79">
        <f t="shared" ca="1" si="155"/>
        <v>0</v>
      </c>
      <c r="BD384" s="79">
        <f t="shared" ca="1" si="155"/>
        <v>0</v>
      </c>
      <c r="BE384" s="79">
        <f t="shared" ca="1" si="155"/>
        <v>0</v>
      </c>
      <c r="BF384" s="79">
        <f t="shared" ca="1" si="155"/>
        <v>0</v>
      </c>
      <c r="BG384" s="79">
        <f t="shared" ca="1" si="155"/>
        <v>0</v>
      </c>
      <c r="BH384" s="79">
        <f t="shared" ca="1" si="155"/>
        <v>0</v>
      </c>
      <c r="BI384" s="79">
        <f t="shared" ca="1" si="155"/>
        <v>0</v>
      </c>
      <c r="BJ384" s="79">
        <f t="shared" ca="1" si="155"/>
        <v>0</v>
      </c>
      <c r="BK384" s="79">
        <f t="shared" ca="1" si="155"/>
        <v>0</v>
      </c>
      <c r="BL384" s="79">
        <f t="shared" ca="1" si="155"/>
        <v>0</v>
      </c>
      <c r="BM384" s="79">
        <f t="shared" ca="1" si="155"/>
        <v>0</v>
      </c>
      <c r="BN384" s="79">
        <f t="shared" ca="1" si="155"/>
        <v>0</v>
      </c>
      <c r="BO384" s="79">
        <f t="shared" ca="1" si="155"/>
        <v>0</v>
      </c>
      <c r="BP384" s="79">
        <f t="shared" ca="1" si="155"/>
        <v>0</v>
      </c>
      <c r="BQ384" s="79">
        <f t="shared" ca="1" si="155"/>
        <v>0</v>
      </c>
      <c r="BR384" s="79">
        <f t="shared" ca="1" si="155"/>
        <v>0</v>
      </c>
      <c r="BS384" s="79">
        <f t="shared" ca="1" si="155"/>
        <v>0</v>
      </c>
      <c r="BT384" s="79">
        <f t="shared" ca="1" si="155"/>
        <v>0</v>
      </c>
      <c r="BU384" s="79">
        <f t="shared" ca="1" si="155"/>
        <v>0</v>
      </c>
      <c r="BV384" s="79">
        <f t="shared" ca="1" si="155"/>
        <v>0</v>
      </c>
      <c r="BW384" s="79">
        <f t="shared" ca="1" si="155"/>
        <v>0</v>
      </c>
      <c r="BX384" s="79">
        <f t="shared" ca="1" si="155"/>
        <v>0</v>
      </c>
      <c r="BY384" s="79">
        <f t="shared" ca="1" si="155"/>
        <v>0</v>
      </c>
      <c r="BZ384" s="79">
        <f t="shared" ca="1" si="155"/>
        <v>0</v>
      </c>
      <c r="CA384" s="79"/>
      <c r="CB384" s="79"/>
      <c r="CC384" s="79"/>
      <c r="CD384" s="79"/>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25"/>
      <c r="FG384" s="26"/>
      <c r="FH384" s="79"/>
      <c r="FI384" s="79"/>
      <c r="FJ384" s="79"/>
      <c r="FK384" s="79"/>
      <c r="FL384" s="79"/>
      <c r="FM384" s="468"/>
      <c r="FN384" s="206"/>
      <c r="FO384" s="206"/>
      <c r="FP384" s="206"/>
      <c r="FQ384" s="206"/>
      <c r="FR384" s="116"/>
      <c r="FS384" s="116"/>
      <c r="FT384" s="116"/>
      <c r="FU384" s="116"/>
      <c r="FV384" s="93"/>
      <c r="FW384" s="93"/>
      <c r="FX384" s="93"/>
      <c r="FY384" s="93"/>
      <c r="FZ384" s="93"/>
      <c r="GA384" s="49"/>
      <c r="GB384" s="78"/>
      <c r="GC384" s="78"/>
      <c r="GD384" s="49"/>
      <c r="GE384" s="49"/>
      <c r="GF384" s="49"/>
      <c r="GG384" s="49"/>
      <c r="GH384" s="49"/>
      <c r="GI384" s="49"/>
      <c r="GJ384" s="49"/>
      <c r="GK384" s="49"/>
      <c r="GL384" s="49"/>
      <c r="GM384" s="49"/>
      <c r="GN384" s="49"/>
      <c r="GO384" s="49"/>
      <c r="GP384" s="49"/>
      <c r="GQ384" s="49"/>
      <c r="GR384" s="49"/>
      <c r="GS384" s="49"/>
      <c r="GT384" s="49"/>
      <c r="GU384" s="49"/>
      <c r="GV384" s="49"/>
      <c r="GW384" s="49"/>
      <c r="GX384" s="49"/>
      <c r="GY384" s="49"/>
      <c r="GZ384" s="49"/>
      <c r="HA384" s="49"/>
      <c r="HB384" s="49"/>
      <c r="HC384" s="49"/>
      <c r="HD384" s="49"/>
      <c r="HE384" s="49"/>
      <c r="HF384" s="49"/>
      <c r="HG384" s="49"/>
      <c r="HH384" s="49"/>
      <c r="HI384" s="49"/>
      <c r="HJ384" s="49"/>
      <c r="HK384" s="49"/>
      <c r="HL384" s="49"/>
      <c r="HM384" s="49"/>
    </row>
    <row r="385" spans="1:221" ht="3.75" customHeight="1">
      <c r="A385" s="1"/>
      <c r="B385" s="3"/>
      <c r="C385" s="3"/>
      <c r="D385" s="12"/>
      <c r="E385" s="10"/>
      <c r="F385" s="10"/>
      <c r="G385" s="10"/>
      <c r="H385" s="10"/>
      <c r="I385" s="10"/>
      <c r="J385" s="10"/>
      <c r="K385" s="10"/>
      <c r="L385" s="10"/>
      <c r="M385" s="10"/>
      <c r="N385" s="10"/>
      <c r="O385" s="10"/>
      <c r="P385" s="10"/>
      <c r="Q385" s="10"/>
      <c r="R385" s="10"/>
      <c r="S385" s="10"/>
      <c r="T385" s="10"/>
      <c r="U385" s="10"/>
      <c r="V385" s="10"/>
      <c r="W385" s="10"/>
      <c r="X385" s="10"/>
      <c r="Y385" s="10"/>
      <c r="Z385" s="126"/>
      <c r="AA385" s="43"/>
      <c r="AB385" s="43">
        <f t="shared" ref="AB385:BZ385" ca="1" si="156">IF($FO$388=1,ROUND($FP$307*AB383^2-$FQ$307*AB383+$FR$307+$FO$307/AB383,-1),IF($FO$388=2,ROUND($FQ$308*AB383+$FR$308+$FO$307/AB383,-1),IF($FO$388=3,ROUND(-$FQ$309*AB383+$FR$309+$FO$307/AB383,-1),IF($FO$388=4,ROUND($FR$310+$FO$307/AB383,-1),0))))</f>
        <v>0</v>
      </c>
      <c r="AC385" s="43">
        <f t="shared" ca="1" si="156"/>
        <v>0</v>
      </c>
      <c r="AD385" s="43">
        <f t="shared" ca="1" si="156"/>
        <v>0</v>
      </c>
      <c r="AE385" s="43">
        <f t="shared" ca="1" si="156"/>
        <v>0</v>
      </c>
      <c r="AF385" s="43">
        <f t="shared" ca="1" si="156"/>
        <v>0</v>
      </c>
      <c r="AG385" s="43">
        <f t="shared" ca="1" si="156"/>
        <v>0</v>
      </c>
      <c r="AH385" s="43">
        <f t="shared" ca="1" si="156"/>
        <v>0</v>
      </c>
      <c r="AI385" s="43">
        <f t="shared" ca="1" si="156"/>
        <v>0</v>
      </c>
      <c r="AJ385" s="43">
        <f t="shared" ca="1" si="156"/>
        <v>0</v>
      </c>
      <c r="AK385" s="43">
        <f t="shared" ca="1" si="156"/>
        <v>0</v>
      </c>
      <c r="AL385" s="43">
        <f t="shared" ca="1" si="156"/>
        <v>0</v>
      </c>
      <c r="AM385" s="43">
        <f t="shared" ca="1" si="156"/>
        <v>0</v>
      </c>
      <c r="AN385" s="43">
        <f t="shared" ca="1" si="156"/>
        <v>0</v>
      </c>
      <c r="AO385" s="43">
        <f t="shared" ca="1" si="156"/>
        <v>0</v>
      </c>
      <c r="AP385" s="43">
        <f t="shared" ca="1" si="156"/>
        <v>0</v>
      </c>
      <c r="AQ385" s="43">
        <f t="shared" ca="1" si="156"/>
        <v>0</v>
      </c>
      <c r="AR385" s="43">
        <f t="shared" ca="1" si="156"/>
        <v>0</v>
      </c>
      <c r="AS385" s="43">
        <f t="shared" ca="1" si="156"/>
        <v>0</v>
      </c>
      <c r="AT385" s="43">
        <f t="shared" ca="1" si="156"/>
        <v>0</v>
      </c>
      <c r="AU385" s="43">
        <f t="shared" ca="1" si="156"/>
        <v>0</v>
      </c>
      <c r="AV385" s="43">
        <f t="shared" ca="1" si="156"/>
        <v>0</v>
      </c>
      <c r="AW385" s="43">
        <f t="shared" ca="1" si="156"/>
        <v>0</v>
      </c>
      <c r="AX385" s="43">
        <f t="shared" ca="1" si="156"/>
        <v>0</v>
      </c>
      <c r="AY385" s="43">
        <f t="shared" ca="1" si="156"/>
        <v>0</v>
      </c>
      <c r="AZ385" s="43">
        <f t="shared" ca="1" si="156"/>
        <v>0</v>
      </c>
      <c r="BA385" s="43">
        <f t="shared" ca="1" si="156"/>
        <v>0</v>
      </c>
      <c r="BB385" s="43">
        <f t="shared" ca="1" si="156"/>
        <v>0</v>
      </c>
      <c r="BC385" s="43">
        <f t="shared" ca="1" si="156"/>
        <v>0</v>
      </c>
      <c r="BD385" s="43">
        <f t="shared" ca="1" si="156"/>
        <v>0</v>
      </c>
      <c r="BE385" s="43">
        <f t="shared" ca="1" si="156"/>
        <v>0</v>
      </c>
      <c r="BF385" s="43">
        <f t="shared" ca="1" si="156"/>
        <v>0</v>
      </c>
      <c r="BG385" s="43">
        <f t="shared" ca="1" si="156"/>
        <v>0</v>
      </c>
      <c r="BH385" s="43">
        <f t="shared" ca="1" si="156"/>
        <v>0</v>
      </c>
      <c r="BI385" s="43">
        <f t="shared" ca="1" si="156"/>
        <v>0</v>
      </c>
      <c r="BJ385" s="43">
        <f t="shared" ca="1" si="156"/>
        <v>0</v>
      </c>
      <c r="BK385" s="43">
        <f t="shared" ca="1" si="156"/>
        <v>0</v>
      </c>
      <c r="BL385" s="43">
        <f t="shared" ca="1" si="156"/>
        <v>0</v>
      </c>
      <c r="BM385" s="43">
        <f t="shared" ca="1" si="156"/>
        <v>0</v>
      </c>
      <c r="BN385" s="43">
        <f t="shared" ca="1" si="156"/>
        <v>0</v>
      </c>
      <c r="BO385" s="43">
        <f t="shared" ca="1" si="156"/>
        <v>0</v>
      </c>
      <c r="BP385" s="43">
        <f t="shared" ca="1" si="156"/>
        <v>0</v>
      </c>
      <c r="BQ385" s="43">
        <f t="shared" ca="1" si="156"/>
        <v>0</v>
      </c>
      <c r="BR385" s="43">
        <f t="shared" ca="1" si="156"/>
        <v>0</v>
      </c>
      <c r="BS385" s="43">
        <f t="shared" ca="1" si="156"/>
        <v>0</v>
      </c>
      <c r="BT385" s="43">
        <f t="shared" ca="1" si="156"/>
        <v>0</v>
      </c>
      <c r="BU385" s="43">
        <f t="shared" ca="1" si="156"/>
        <v>0</v>
      </c>
      <c r="BV385" s="43">
        <f t="shared" ca="1" si="156"/>
        <v>0</v>
      </c>
      <c r="BW385" s="43">
        <f t="shared" ca="1" si="156"/>
        <v>0</v>
      </c>
      <c r="BX385" s="43">
        <f t="shared" ca="1" si="156"/>
        <v>0</v>
      </c>
      <c r="BY385" s="43">
        <f t="shared" ca="1" si="156"/>
        <v>0</v>
      </c>
      <c r="BZ385" s="43">
        <f t="shared" ca="1" si="156"/>
        <v>0</v>
      </c>
      <c r="CA385" s="43"/>
      <c r="CB385" s="43"/>
      <c r="CC385" s="43"/>
      <c r="CD385" s="79"/>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25"/>
      <c r="FG385" s="26"/>
      <c r="FH385" s="79"/>
      <c r="FI385" s="79"/>
      <c r="FJ385" s="79"/>
      <c r="FK385" s="79"/>
      <c r="FL385" s="79"/>
      <c r="FM385" s="468"/>
      <c r="FN385" s="206"/>
      <c r="FO385" s="206"/>
      <c r="FP385" s="206"/>
      <c r="FQ385" s="206"/>
      <c r="FR385" s="116"/>
      <c r="FS385" s="116"/>
      <c r="FT385" s="116"/>
      <c r="FU385" s="116"/>
      <c r="FV385" s="93"/>
      <c r="FW385" s="93"/>
      <c r="FX385" s="93"/>
      <c r="FY385" s="93"/>
      <c r="FZ385" s="93"/>
      <c r="GA385" s="49"/>
      <c r="GB385" s="78"/>
      <c r="GC385" s="78"/>
      <c r="GD385" s="49"/>
      <c r="GE385" s="49"/>
      <c r="GF385" s="49"/>
      <c r="GG385" s="49"/>
      <c r="GH385" s="49"/>
      <c r="GI385" s="49"/>
      <c r="GJ385" s="49"/>
      <c r="GK385" s="49"/>
      <c r="GL385" s="49"/>
      <c r="GM385" s="49"/>
      <c r="GN385" s="49"/>
      <c r="GO385" s="49"/>
      <c r="GP385" s="49"/>
      <c r="GQ385" s="49"/>
      <c r="GR385" s="49"/>
      <c r="GS385" s="49"/>
      <c r="GT385" s="49"/>
      <c r="GU385" s="49"/>
      <c r="GV385" s="49"/>
      <c r="GW385" s="49"/>
      <c r="GX385" s="49"/>
      <c r="GY385" s="49"/>
      <c r="GZ385" s="49"/>
      <c r="HA385" s="49"/>
      <c r="HB385" s="49"/>
      <c r="HC385" s="49"/>
      <c r="HD385" s="49"/>
      <c r="HE385" s="49"/>
      <c r="HF385" s="49"/>
      <c r="HG385" s="49"/>
      <c r="HH385" s="49"/>
      <c r="HI385" s="49"/>
      <c r="HJ385" s="49"/>
      <c r="HK385" s="49"/>
      <c r="HL385" s="49"/>
      <c r="HM385" s="49"/>
    </row>
    <row r="386" spans="1:221" ht="3.75" customHeight="1">
      <c r="A386" s="1"/>
      <c r="B386" s="3"/>
      <c r="C386" s="3"/>
      <c r="D386" s="12"/>
      <c r="E386" s="10"/>
      <c r="F386" s="10"/>
      <c r="G386" s="10"/>
      <c r="H386" s="10"/>
      <c r="I386" s="10"/>
      <c r="J386" s="10"/>
      <c r="K386" s="10"/>
      <c r="L386" s="10"/>
      <c r="M386" s="10"/>
      <c r="N386" s="10"/>
      <c r="O386" s="10"/>
      <c r="P386" s="10"/>
      <c r="Q386" s="10"/>
      <c r="R386" s="10"/>
      <c r="S386" s="10"/>
      <c r="T386" s="10"/>
      <c r="U386" s="10"/>
      <c r="V386" s="10"/>
      <c r="W386" s="10"/>
      <c r="X386" s="10"/>
      <c r="Y386" s="10"/>
      <c r="Z386" s="126"/>
      <c r="AA386" s="43"/>
      <c r="AB386" s="43">
        <f t="shared" ref="AB386:BY386" ca="1" si="157">IF($FN$311=1,ROUND($FQ$311*AB383+$FR$311,-1),0)</f>
        <v>0</v>
      </c>
      <c r="AC386" s="43">
        <f t="shared" ca="1" si="157"/>
        <v>0</v>
      </c>
      <c r="AD386" s="43">
        <f t="shared" ca="1" si="157"/>
        <v>0</v>
      </c>
      <c r="AE386" s="43">
        <f t="shared" ca="1" si="157"/>
        <v>0</v>
      </c>
      <c r="AF386" s="43">
        <f t="shared" ca="1" si="157"/>
        <v>0</v>
      </c>
      <c r="AG386" s="43">
        <f t="shared" ca="1" si="157"/>
        <v>0</v>
      </c>
      <c r="AH386" s="43">
        <f t="shared" ca="1" si="157"/>
        <v>0</v>
      </c>
      <c r="AI386" s="43">
        <f t="shared" ca="1" si="157"/>
        <v>0</v>
      </c>
      <c r="AJ386" s="43">
        <f t="shared" ca="1" si="157"/>
        <v>0</v>
      </c>
      <c r="AK386" s="43">
        <f t="shared" ca="1" si="157"/>
        <v>0</v>
      </c>
      <c r="AL386" s="43">
        <f t="shared" ca="1" si="157"/>
        <v>0</v>
      </c>
      <c r="AM386" s="43">
        <f t="shared" ca="1" si="157"/>
        <v>0</v>
      </c>
      <c r="AN386" s="43">
        <f t="shared" ca="1" si="157"/>
        <v>0</v>
      </c>
      <c r="AO386" s="43">
        <f t="shared" ca="1" si="157"/>
        <v>0</v>
      </c>
      <c r="AP386" s="43">
        <f t="shared" ca="1" si="157"/>
        <v>0</v>
      </c>
      <c r="AQ386" s="43">
        <f t="shared" ca="1" si="157"/>
        <v>0</v>
      </c>
      <c r="AR386" s="43">
        <f t="shared" ca="1" si="157"/>
        <v>0</v>
      </c>
      <c r="AS386" s="43">
        <f t="shared" ca="1" si="157"/>
        <v>0</v>
      </c>
      <c r="AT386" s="43">
        <f t="shared" ca="1" si="157"/>
        <v>0</v>
      </c>
      <c r="AU386" s="43">
        <f t="shared" ca="1" si="157"/>
        <v>0</v>
      </c>
      <c r="AV386" s="43">
        <f t="shared" ca="1" si="157"/>
        <v>0</v>
      </c>
      <c r="AW386" s="43">
        <f t="shared" ca="1" si="157"/>
        <v>0</v>
      </c>
      <c r="AX386" s="43">
        <f t="shared" ca="1" si="157"/>
        <v>0</v>
      </c>
      <c r="AY386" s="43">
        <f t="shared" ca="1" si="157"/>
        <v>0</v>
      </c>
      <c r="AZ386" s="43">
        <f t="shared" ca="1" si="157"/>
        <v>0</v>
      </c>
      <c r="BA386" s="43">
        <f t="shared" ca="1" si="157"/>
        <v>0</v>
      </c>
      <c r="BB386" s="43">
        <f t="shared" ca="1" si="157"/>
        <v>0</v>
      </c>
      <c r="BC386" s="43">
        <f t="shared" ca="1" si="157"/>
        <v>0</v>
      </c>
      <c r="BD386" s="43">
        <f t="shared" ca="1" si="157"/>
        <v>0</v>
      </c>
      <c r="BE386" s="43">
        <f t="shared" ca="1" si="157"/>
        <v>0</v>
      </c>
      <c r="BF386" s="43">
        <f t="shared" ca="1" si="157"/>
        <v>0</v>
      </c>
      <c r="BG386" s="43">
        <f t="shared" ca="1" si="157"/>
        <v>0</v>
      </c>
      <c r="BH386" s="43">
        <f t="shared" ca="1" si="157"/>
        <v>0</v>
      </c>
      <c r="BI386" s="43">
        <f t="shared" ca="1" si="157"/>
        <v>0</v>
      </c>
      <c r="BJ386" s="43">
        <f t="shared" ca="1" si="157"/>
        <v>0</v>
      </c>
      <c r="BK386" s="43">
        <f t="shared" ca="1" si="157"/>
        <v>0</v>
      </c>
      <c r="BL386" s="43">
        <f t="shared" ca="1" si="157"/>
        <v>0</v>
      </c>
      <c r="BM386" s="43">
        <f t="shared" ca="1" si="157"/>
        <v>0</v>
      </c>
      <c r="BN386" s="43">
        <f t="shared" ca="1" si="157"/>
        <v>0</v>
      </c>
      <c r="BO386" s="43">
        <f t="shared" ca="1" si="157"/>
        <v>0</v>
      </c>
      <c r="BP386" s="43">
        <f t="shared" ca="1" si="157"/>
        <v>0</v>
      </c>
      <c r="BQ386" s="43">
        <f t="shared" ca="1" si="157"/>
        <v>0</v>
      </c>
      <c r="BR386" s="43">
        <f t="shared" ca="1" si="157"/>
        <v>0</v>
      </c>
      <c r="BS386" s="43">
        <f t="shared" ca="1" si="157"/>
        <v>0</v>
      </c>
      <c r="BT386" s="43">
        <f t="shared" ca="1" si="157"/>
        <v>0</v>
      </c>
      <c r="BU386" s="43">
        <f t="shared" ca="1" si="157"/>
        <v>0</v>
      </c>
      <c r="BV386" s="43">
        <f t="shared" ca="1" si="157"/>
        <v>0</v>
      </c>
      <c r="BW386" s="43">
        <f t="shared" ca="1" si="157"/>
        <v>0</v>
      </c>
      <c r="BX386" s="43">
        <f t="shared" ca="1" si="157"/>
        <v>0</v>
      </c>
      <c r="BY386" s="43">
        <f t="shared" ca="1" si="157"/>
        <v>0</v>
      </c>
      <c r="BZ386" s="43"/>
      <c r="CA386" s="43"/>
      <c r="CB386" s="43"/>
      <c r="CC386" s="43"/>
      <c r="CD386" s="79"/>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25"/>
      <c r="FG386" s="26"/>
      <c r="FH386" s="79"/>
      <c r="FI386" s="79"/>
      <c r="FJ386" s="79"/>
      <c r="FK386" s="79"/>
      <c r="FL386" s="79"/>
      <c r="FM386" s="468"/>
      <c r="FN386" s="206"/>
      <c r="FO386" s="206"/>
      <c r="FP386" s="206"/>
      <c r="FQ386" s="206"/>
      <c r="FR386" s="116"/>
      <c r="FS386" s="116"/>
      <c r="FT386" s="116"/>
      <c r="FU386" s="116"/>
      <c r="FV386" s="93"/>
      <c r="FW386" s="93"/>
      <c r="FX386" s="93"/>
      <c r="FY386" s="93"/>
      <c r="FZ386" s="93"/>
      <c r="GA386" s="49"/>
      <c r="GB386" s="78"/>
      <c r="GC386" s="78"/>
      <c r="GD386" s="49"/>
      <c r="GE386" s="49"/>
      <c r="GF386" s="49"/>
      <c r="GG386" s="49"/>
      <c r="GH386" s="49"/>
      <c r="GI386" s="49"/>
      <c r="GJ386" s="49"/>
      <c r="GK386" s="49"/>
      <c r="GL386" s="49"/>
      <c r="GM386" s="49"/>
      <c r="GN386" s="49"/>
      <c r="GO386" s="49"/>
      <c r="GP386" s="49"/>
      <c r="GQ386" s="49"/>
      <c r="GR386" s="49"/>
      <c r="GS386" s="49"/>
      <c r="GT386" s="49"/>
      <c r="GU386" s="49"/>
      <c r="GV386" s="49"/>
      <c r="GW386" s="49"/>
      <c r="GX386" s="49"/>
      <c r="GY386" s="49"/>
      <c r="GZ386" s="49"/>
      <c r="HA386" s="49"/>
      <c r="HB386" s="49"/>
      <c r="HC386" s="49"/>
      <c r="HD386" s="49"/>
      <c r="HE386" s="49"/>
      <c r="HF386" s="49"/>
      <c r="HG386" s="49"/>
      <c r="HH386" s="49"/>
      <c r="HI386" s="49"/>
      <c r="HJ386" s="49"/>
      <c r="HK386" s="49"/>
      <c r="HL386" s="49"/>
      <c r="HM386" s="49"/>
    </row>
    <row r="387" spans="1:221" ht="3.75" customHeight="1">
      <c r="A387" s="1"/>
      <c r="B387" s="3"/>
      <c r="C387" s="3"/>
      <c r="D387" s="12"/>
      <c r="E387" s="10"/>
      <c r="F387" s="10"/>
      <c r="G387" s="10"/>
      <c r="H387" s="10"/>
      <c r="I387" s="10"/>
      <c r="J387" s="10"/>
      <c r="K387" s="10"/>
      <c r="L387" s="10"/>
      <c r="M387" s="10"/>
      <c r="N387" s="10"/>
      <c r="O387" s="10"/>
      <c r="P387" s="10"/>
      <c r="Q387" s="10"/>
      <c r="R387" s="10"/>
      <c r="S387" s="10"/>
      <c r="T387" s="10"/>
      <c r="U387" s="10"/>
      <c r="V387" s="10"/>
      <c r="W387" s="10"/>
      <c r="X387" s="10"/>
      <c r="Y387" s="10"/>
      <c r="Z387" s="126"/>
      <c r="AA387" s="43"/>
      <c r="AB387" s="43">
        <f t="shared" ref="AB387:AZ387" ca="1" si="158">IF($FN$311=1,ROUND(2*$FQ$311*AB383+$FR$311,-1),0)</f>
        <v>0</v>
      </c>
      <c r="AC387" s="43">
        <f t="shared" ca="1" si="158"/>
        <v>0</v>
      </c>
      <c r="AD387" s="43">
        <f t="shared" ca="1" si="158"/>
        <v>0</v>
      </c>
      <c r="AE387" s="43">
        <f t="shared" ca="1" si="158"/>
        <v>0</v>
      </c>
      <c r="AF387" s="43">
        <f t="shared" ca="1" si="158"/>
        <v>0</v>
      </c>
      <c r="AG387" s="43">
        <f t="shared" ca="1" si="158"/>
        <v>0</v>
      </c>
      <c r="AH387" s="43">
        <f t="shared" ca="1" si="158"/>
        <v>0</v>
      </c>
      <c r="AI387" s="43">
        <f t="shared" ca="1" si="158"/>
        <v>0</v>
      </c>
      <c r="AJ387" s="43">
        <f t="shared" ca="1" si="158"/>
        <v>0</v>
      </c>
      <c r="AK387" s="43">
        <f t="shared" ca="1" si="158"/>
        <v>0</v>
      </c>
      <c r="AL387" s="43">
        <f t="shared" ca="1" si="158"/>
        <v>0</v>
      </c>
      <c r="AM387" s="43">
        <f t="shared" ca="1" si="158"/>
        <v>0</v>
      </c>
      <c r="AN387" s="43">
        <f t="shared" ca="1" si="158"/>
        <v>0</v>
      </c>
      <c r="AO387" s="43">
        <f t="shared" ca="1" si="158"/>
        <v>0</v>
      </c>
      <c r="AP387" s="43">
        <f t="shared" ca="1" si="158"/>
        <v>0</v>
      </c>
      <c r="AQ387" s="43">
        <f t="shared" ca="1" si="158"/>
        <v>0</v>
      </c>
      <c r="AR387" s="43">
        <f t="shared" ca="1" si="158"/>
        <v>0</v>
      </c>
      <c r="AS387" s="43">
        <f t="shared" ca="1" si="158"/>
        <v>0</v>
      </c>
      <c r="AT387" s="43">
        <f t="shared" ca="1" si="158"/>
        <v>0</v>
      </c>
      <c r="AU387" s="43">
        <f t="shared" ca="1" si="158"/>
        <v>0</v>
      </c>
      <c r="AV387" s="43">
        <f t="shared" ca="1" si="158"/>
        <v>0</v>
      </c>
      <c r="AW387" s="43">
        <f t="shared" ca="1" si="158"/>
        <v>0</v>
      </c>
      <c r="AX387" s="43">
        <f t="shared" ca="1" si="158"/>
        <v>0</v>
      </c>
      <c r="AY387" s="43">
        <f t="shared" ca="1" si="158"/>
        <v>0</v>
      </c>
      <c r="AZ387" s="43">
        <f t="shared" ca="1" si="158"/>
        <v>0</v>
      </c>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79"/>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25"/>
      <c r="FG387" s="26"/>
      <c r="FH387" s="79"/>
      <c r="FI387" s="79"/>
      <c r="FJ387" s="79"/>
      <c r="FK387" s="79"/>
      <c r="FL387" s="79"/>
      <c r="FM387" s="468"/>
      <c r="FN387" s="206"/>
      <c r="FO387" s="206"/>
      <c r="FP387" s="206"/>
      <c r="FQ387" s="206"/>
      <c r="FR387" s="116"/>
      <c r="FS387" s="116"/>
      <c r="FT387" s="116"/>
      <c r="FU387" s="116"/>
      <c r="FV387" s="93"/>
      <c r="FW387" s="93"/>
      <c r="FX387" s="93"/>
      <c r="FY387" s="93"/>
      <c r="FZ387" s="93"/>
      <c r="GA387" s="49"/>
      <c r="GB387" s="78"/>
      <c r="GC387" s="78"/>
      <c r="GD387" s="49"/>
      <c r="GE387" s="49"/>
      <c r="GF387" s="49"/>
      <c r="GG387" s="49"/>
      <c r="GH387" s="49"/>
      <c r="GI387" s="49"/>
      <c r="GJ387" s="49"/>
      <c r="GK387" s="49"/>
      <c r="GL387" s="49"/>
      <c r="GM387" s="49"/>
      <c r="GN387" s="49"/>
      <c r="GO387" s="49"/>
      <c r="GP387" s="49"/>
      <c r="GQ387" s="49"/>
      <c r="GR387" s="49"/>
      <c r="GS387" s="49"/>
      <c r="GT387" s="49"/>
      <c r="GU387" s="49"/>
      <c r="GV387" s="49"/>
      <c r="GW387" s="49"/>
      <c r="GX387" s="49"/>
      <c r="GY387" s="49"/>
      <c r="GZ387" s="49"/>
      <c r="HA387" s="49"/>
      <c r="HB387" s="49"/>
      <c r="HC387" s="49"/>
      <c r="HD387" s="49"/>
      <c r="HE387" s="49"/>
      <c r="HF387" s="49"/>
      <c r="HG387" s="49"/>
      <c r="HH387" s="49"/>
      <c r="HI387" s="49"/>
      <c r="HJ387" s="49"/>
      <c r="HK387" s="49"/>
      <c r="HL387" s="49"/>
      <c r="HM387" s="49"/>
    </row>
    <row r="388" spans="1:221" ht="16.95" customHeight="1">
      <c r="A388" s="1"/>
      <c r="B388" s="3"/>
      <c r="C388" s="3"/>
      <c r="D388" s="12" t="str">
        <f ca="1">IF(FN388=0,"","Kies ook eens voor een andere hoeveelheid en een ander soort variabele kosten.")</f>
        <v/>
      </c>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25"/>
      <c r="FG388" s="26"/>
      <c r="FH388" s="79"/>
      <c r="FI388" s="79"/>
      <c r="FJ388" s="79"/>
      <c r="FK388" s="79"/>
      <c r="FL388" s="79"/>
      <c r="FM388" s="468"/>
      <c r="FN388" s="206">
        <f ca="1">IF(programma!B1="X",1,IF(FN312=0,0,IF(FO317&gt;0,1,0)))</f>
        <v>0</v>
      </c>
      <c r="FO388" s="206">
        <f ca="1">IF(FN307=1,1,IF(FN308=1,2,IF(FN309=1,3,IF(FN310=1,4,0))))</f>
        <v>0</v>
      </c>
      <c r="FP388" s="206"/>
      <c r="FQ388" s="206"/>
      <c r="FR388" s="116"/>
      <c r="FS388" s="116"/>
      <c r="FT388" s="116"/>
      <c r="FU388" s="116"/>
      <c r="FV388" s="93"/>
      <c r="FW388" s="93"/>
      <c r="FX388" s="93"/>
      <c r="FY388" s="93"/>
      <c r="FZ388" s="93"/>
      <c r="GA388" s="49"/>
      <c r="GB388" s="78"/>
      <c r="GC388" s="78"/>
      <c r="GD388" s="49"/>
      <c r="GE388" s="49"/>
      <c r="GF388" s="49"/>
      <c r="GG388" s="49"/>
      <c r="GH388" s="49"/>
      <c r="GI388" s="49"/>
      <c r="GJ388" s="49"/>
      <c r="GK388" s="49"/>
      <c r="GL388" s="49"/>
      <c r="GM388" s="49"/>
      <c r="GN388" s="49"/>
      <c r="GO388" s="49"/>
      <c r="GP388" s="49"/>
      <c r="GQ388" s="49"/>
      <c r="GR388" s="49"/>
      <c r="GS388" s="49"/>
      <c r="GT388" s="49"/>
      <c r="GU388" s="49"/>
      <c r="GV388" s="49"/>
      <c r="GW388" s="49"/>
      <c r="GX388" s="49"/>
      <c r="GY388" s="49"/>
      <c r="GZ388" s="49"/>
      <c r="HA388" s="49"/>
      <c r="HB388" s="49"/>
      <c r="HC388" s="49"/>
      <c r="HD388" s="49"/>
      <c r="HE388" s="49"/>
      <c r="HF388" s="49"/>
      <c r="HG388" s="49"/>
      <c r="HH388" s="49"/>
      <c r="HI388" s="49"/>
      <c r="HJ388" s="49"/>
      <c r="HK388" s="49"/>
      <c r="HL388" s="49"/>
      <c r="HM388" s="49"/>
    </row>
    <row r="389" spans="1:221" ht="16.95" customHeight="1">
      <c r="A389" s="1"/>
      <c r="B389" s="3"/>
      <c r="C389" s="3"/>
      <c r="D389" s="12"/>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25"/>
      <c r="FG389" s="26"/>
      <c r="FH389" s="79"/>
      <c r="FI389" s="79"/>
      <c r="FJ389" s="79"/>
      <c r="FK389" s="79"/>
      <c r="FL389" s="79"/>
      <c r="FM389" s="468"/>
      <c r="FN389" s="206"/>
      <c r="FO389" s="206"/>
      <c r="FP389" s="206"/>
      <c r="FQ389" s="206"/>
      <c r="FR389" s="116"/>
      <c r="FS389" s="116"/>
      <c r="FT389" s="116"/>
      <c r="FU389" s="116"/>
      <c r="FV389" s="93"/>
      <c r="FW389" s="93"/>
      <c r="FX389" s="93"/>
      <c r="FY389" s="93"/>
      <c r="FZ389" s="93"/>
      <c r="GA389" s="49"/>
      <c r="GB389" s="78"/>
      <c r="GC389" s="78"/>
      <c r="GD389" s="49"/>
      <c r="GE389" s="49"/>
      <c r="GF389" s="49"/>
      <c r="GG389" s="49"/>
      <c r="GH389" s="49"/>
      <c r="GI389" s="49"/>
      <c r="GJ389" s="49"/>
      <c r="GK389" s="49"/>
      <c r="GL389" s="49"/>
      <c r="GM389" s="49"/>
      <c r="GN389" s="49"/>
      <c r="GO389" s="49"/>
      <c r="GP389" s="49"/>
      <c r="GQ389" s="49"/>
      <c r="GR389" s="49"/>
      <c r="GS389" s="49"/>
      <c r="GT389" s="49"/>
      <c r="GU389" s="49"/>
      <c r="GV389" s="49"/>
      <c r="GW389" s="49"/>
      <c r="GX389" s="49"/>
      <c r="GY389" s="49"/>
      <c r="GZ389" s="49"/>
      <c r="HA389" s="49"/>
      <c r="HB389" s="49"/>
      <c r="HC389" s="49"/>
      <c r="HD389" s="49"/>
      <c r="HE389" s="49"/>
      <c r="HF389" s="49"/>
      <c r="HG389" s="49"/>
      <c r="HH389" s="49"/>
      <c r="HI389" s="49"/>
      <c r="HJ389" s="49"/>
      <c r="HK389" s="49"/>
      <c r="HL389" s="49"/>
      <c r="HM389" s="49"/>
    </row>
    <row r="390" spans="1:221" ht="16.95" customHeight="1">
      <c r="A390" s="1"/>
      <c r="B390" s="3"/>
      <c r="C390" s="3"/>
      <c r="D390" s="12" t="str">
        <f ca="1">IF(FN388=0,"","Geef hieronder aan welke vier punten je passeert als je vanaf de hoeveelheid")</f>
        <v/>
      </c>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25"/>
      <c r="FG390" s="26"/>
      <c r="FH390" s="79"/>
      <c r="FI390" s="79"/>
      <c r="FJ390" s="79"/>
      <c r="FK390" s="79"/>
      <c r="FL390" s="79"/>
      <c r="FM390" s="468"/>
      <c r="FN390" s="206"/>
      <c r="FO390" s="206"/>
      <c r="FP390" s="206"/>
      <c r="FQ390" s="206"/>
      <c r="FR390" s="116"/>
      <c r="FS390" s="116"/>
      <c r="FT390" s="116"/>
      <c r="FU390" s="116"/>
      <c r="FV390" s="93"/>
      <c r="FW390" s="93"/>
      <c r="FX390" s="93"/>
      <c r="FY390" s="93"/>
      <c r="FZ390" s="93"/>
      <c r="GA390" s="49"/>
      <c r="GB390" s="78"/>
      <c r="GC390" s="78"/>
      <c r="GD390" s="49"/>
      <c r="GE390" s="49"/>
      <c r="GF390" s="49"/>
      <c r="GG390" s="49"/>
      <c r="GH390" s="49"/>
      <c r="GI390" s="49"/>
      <c r="GJ390" s="49"/>
      <c r="GK390" s="49"/>
      <c r="GL390" s="49"/>
      <c r="GM390" s="49"/>
      <c r="GN390" s="49"/>
      <c r="GO390" s="49"/>
      <c r="GP390" s="49"/>
      <c r="GQ390" s="49"/>
      <c r="GR390" s="49"/>
      <c r="GS390" s="49"/>
      <c r="GT390" s="49"/>
      <c r="GU390" s="49"/>
      <c r="GV390" s="49"/>
      <c r="GW390" s="49"/>
      <c r="GX390" s="49"/>
      <c r="GY390" s="49"/>
      <c r="GZ390" s="49"/>
      <c r="HA390" s="49"/>
      <c r="HB390" s="49"/>
      <c r="HC390" s="49"/>
      <c r="HD390" s="49"/>
      <c r="HE390" s="49"/>
      <c r="HF390" s="49"/>
      <c r="HG390" s="49"/>
      <c r="HH390" s="49"/>
      <c r="HI390" s="49"/>
      <c r="HJ390" s="49"/>
      <c r="HK390" s="49"/>
      <c r="HL390" s="49"/>
      <c r="HM390" s="49"/>
    </row>
    <row r="391" spans="1:221" ht="16.95" customHeight="1">
      <c r="A391" s="1"/>
      <c r="B391" s="3"/>
      <c r="C391" s="3"/>
      <c r="D391" s="12" t="str">
        <f ca="1">IF(FN388=0,"","van nul naar de maximale hoeveelheid gaat en waaraan je dit punt herkent.")</f>
        <v/>
      </c>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25"/>
      <c r="FG391" s="26"/>
      <c r="FH391" s="79"/>
      <c r="FI391" s="79"/>
      <c r="FJ391" s="79"/>
      <c r="FK391" s="79"/>
      <c r="FL391" s="79"/>
      <c r="FM391" s="468"/>
      <c r="FN391" s="206"/>
      <c r="FO391" s="206"/>
      <c r="FP391" s="206"/>
      <c r="FQ391" s="206"/>
      <c r="FR391" s="116"/>
      <c r="FS391" s="116"/>
      <c r="FT391" s="116"/>
      <c r="FU391" s="116"/>
      <c r="FV391" s="93"/>
      <c r="FW391" s="93"/>
      <c r="FX391" s="93"/>
      <c r="FY391" s="93"/>
      <c r="FZ391" s="93"/>
      <c r="GA391" s="49"/>
      <c r="GB391" s="78"/>
      <c r="GC391" s="78"/>
      <c r="GD391" s="49"/>
      <c r="GE391" s="49"/>
      <c r="GF391" s="49"/>
      <c r="GG391" s="49"/>
      <c r="GH391" s="49"/>
      <c r="GI391" s="49"/>
      <c r="GJ391" s="49"/>
      <c r="GK391" s="49"/>
      <c r="GL391" s="49"/>
      <c r="GM391" s="49"/>
      <c r="GN391" s="49"/>
      <c r="GO391" s="49"/>
      <c r="GP391" s="49"/>
      <c r="GQ391" s="49"/>
      <c r="GR391" s="49"/>
      <c r="GS391" s="49"/>
      <c r="GT391" s="49"/>
      <c r="GU391" s="49"/>
      <c r="GV391" s="49"/>
      <c r="GW391" s="49"/>
      <c r="GX391" s="49"/>
      <c r="GY391" s="49"/>
      <c r="GZ391" s="49"/>
      <c r="HA391" s="49"/>
      <c r="HB391" s="49"/>
      <c r="HC391" s="49"/>
      <c r="HD391" s="49"/>
      <c r="HE391" s="49"/>
      <c r="HF391" s="49"/>
      <c r="HG391" s="49"/>
      <c r="HH391" s="49"/>
      <c r="HI391" s="49"/>
      <c r="HJ391" s="49"/>
      <c r="HK391" s="49"/>
      <c r="HL391" s="49"/>
      <c r="HM391" s="49"/>
    </row>
    <row r="392" spans="1:221" ht="16.95" customHeight="1">
      <c r="A392" s="1"/>
      <c r="B392" s="3"/>
      <c r="C392" s="3"/>
      <c r="D392" s="12" t="str">
        <f ca="1">IF(FN388=0,"","Je krijgt pas te zien hoe je het hebt gedaan als je alles hebt ingevuld.")</f>
        <v/>
      </c>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25"/>
      <c r="FG392" s="26"/>
      <c r="FH392" s="79"/>
      <c r="FI392" s="79"/>
      <c r="FJ392" s="79"/>
      <c r="FK392" s="79"/>
      <c r="FL392" s="79"/>
      <c r="FM392" s="468"/>
      <c r="FN392" s="206"/>
      <c r="FO392" s="206"/>
      <c r="FP392" s="206"/>
      <c r="FQ392" s="206"/>
      <c r="FR392" s="116"/>
      <c r="FS392" s="116"/>
      <c r="FT392" s="116"/>
      <c r="FU392" s="116"/>
      <c r="FV392" s="93"/>
      <c r="FW392" s="93"/>
      <c r="FX392" s="93"/>
      <c r="FY392" s="93"/>
      <c r="FZ392" s="93"/>
      <c r="GA392" s="49"/>
      <c r="GB392" s="78"/>
      <c r="GC392" s="78"/>
      <c r="GD392" s="49"/>
      <c r="GE392" s="49"/>
      <c r="GF392" s="49"/>
      <c r="GG392" s="49"/>
      <c r="GH392" s="49"/>
      <c r="GI392" s="49"/>
      <c r="GJ392" s="49"/>
      <c r="GK392" s="49"/>
      <c r="GL392" s="49"/>
      <c r="GM392" s="49"/>
      <c r="GN392" s="49"/>
      <c r="GO392" s="49"/>
      <c r="GP392" s="49"/>
      <c r="GQ392" s="49"/>
      <c r="GR392" s="49"/>
      <c r="GS392" s="49"/>
      <c r="GT392" s="49"/>
      <c r="GU392" s="49"/>
      <c r="GV392" s="49"/>
      <c r="GW392" s="49"/>
      <c r="GX392" s="49"/>
      <c r="GY392" s="49"/>
      <c r="GZ392" s="49"/>
      <c r="HA392" s="49"/>
      <c r="HB392" s="49"/>
      <c r="HC392" s="49"/>
      <c r="HD392" s="49"/>
      <c r="HE392" s="49"/>
      <c r="HF392" s="49"/>
      <c r="HG392" s="49"/>
      <c r="HH392" s="49"/>
      <c r="HI392" s="49"/>
      <c r="HJ392" s="49"/>
      <c r="HK392" s="49"/>
      <c r="HL392" s="49"/>
      <c r="HM392" s="49"/>
    </row>
    <row r="393" spans="1:221" ht="10.5" customHeight="1">
      <c r="A393" s="1"/>
      <c r="B393" s="3"/>
      <c r="C393" s="3"/>
      <c r="D393" s="43"/>
      <c r="E393" s="79"/>
      <c r="F393" s="79"/>
      <c r="G393" s="79"/>
      <c r="H393" s="10"/>
      <c r="I393" s="10"/>
      <c r="J393" s="10"/>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c r="BY393" s="126"/>
      <c r="BZ393" s="126"/>
      <c r="CA393" s="126"/>
      <c r="CB393" s="126"/>
      <c r="CC393" s="126"/>
      <c r="CD393" s="126"/>
      <c r="CE393" s="126"/>
      <c r="CF393" s="126"/>
      <c r="CG393" s="126"/>
      <c r="CH393" s="126"/>
      <c r="CI393" s="126"/>
      <c r="CJ393" s="126"/>
      <c r="CK393" s="126"/>
      <c r="CL393" s="126"/>
      <c r="CM393" s="126"/>
      <c r="CN393" s="126"/>
      <c r="CO393" s="126"/>
      <c r="CP393" s="126"/>
      <c r="CQ393" s="126"/>
      <c r="CR393" s="126"/>
      <c r="CS393" s="126"/>
      <c r="CT393" s="126"/>
      <c r="CU393" s="126"/>
      <c r="CV393" s="126"/>
      <c r="CW393" s="126"/>
      <c r="CX393" s="126"/>
      <c r="CY393" s="126"/>
      <c r="CZ393" s="126"/>
      <c r="DA393" s="126"/>
      <c r="DB393" s="126"/>
      <c r="DC393" s="126"/>
      <c r="DD393" s="126"/>
      <c r="DE393" s="126"/>
      <c r="DF393" s="126"/>
      <c r="DG393" s="126"/>
      <c r="DH393" s="126"/>
      <c r="DI393" s="126"/>
      <c r="DJ393" s="126"/>
      <c r="DK393" s="126"/>
      <c r="DL393" s="126"/>
      <c r="DM393" s="126"/>
      <c r="DN393" s="126"/>
      <c r="DO393" s="126"/>
      <c r="DP393" s="126"/>
      <c r="DQ393" s="126"/>
      <c r="DR393" s="126"/>
      <c r="DS393" s="126"/>
      <c r="DT393" s="126"/>
      <c r="DU393" s="126"/>
      <c r="DV393" s="126"/>
      <c r="DW393" s="126"/>
      <c r="DX393" s="126"/>
      <c r="DY393" s="126"/>
      <c r="DZ393" s="126"/>
      <c r="EA393" s="126"/>
      <c r="EB393" s="126"/>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26"/>
      <c r="FL393" s="26"/>
      <c r="FM393" s="49"/>
      <c r="FN393" s="49"/>
      <c r="FO393" s="49"/>
      <c r="FP393" s="49"/>
      <c r="FQ393" s="49"/>
      <c r="FR393" s="49"/>
      <c r="FS393" s="49"/>
      <c r="FT393" s="49"/>
      <c r="FU393" s="47"/>
      <c r="FV393" s="47"/>
      <c r="FW393" s="47"/>
      <c r="FX393" s="47"/>
      <c r="FY393" s="47"/>
      <c r="FZ393" s="47"/>
      <c r="GA393" s="49"/>
      <c r="GB393" s="49"/>
      <c r="GC393" s="49">
        <f>GC360</f>
        <v>0</v>
      </c>
      <c r="GD393" s="49"/>
      <c r="GE393" s="49"/>
      <c r="GF393" s="49"/>
      <c r="GG393" s="49"/>
      <c r="GH393" s="49"/>
      <c r="GI393" s="49"/>
      <c r="GJ393" s="49"/>
      <c r="GK393" s="49"/>
      <c r="GL393" s="49"/>
      <c r="GM393" s="49"/>
      <c r="GN393" s="166"/>
      <c r="GO393" s="49"/>
      <c r="GP393" s="49"/>
      <c r="GQ393" s="49"/>
      <c r="GR393" s="49"/>
      <c r="GS393" s="49"/>
      <c r="GT393" s="49"/>
      <c r="GU393" s="49"/>
      <c r="GV393" s="49"/>
      <c r="GW393" s="49"/>
      <c r="GX393" s="49"/>
      <c r="GY393" s="49"/>
      <c r="GZ393" s="49"/>
      <c r="HA393" s="49"/>
      <c r="HB393" s="49"/>
      <c r="HC393" s="49"/>
      <c r="HD393" s="49"/>
      <c r="HE393" s="49"/>
      <c r="HF393" s="78"/>
      <c r="HG393" s="78"/>
      <c r="HH393" s="78"/>
      <c r="HI393" s="78"/>
      <c r="HJ393" s="78"/>
      <c r="HK393" s="78"/>
      <c r="HL393" s="78"/>
      <c r="HM393" s="78"/>
    </row>
    <row r="394" spans="1:221" ht="3.75" customHeight="1">
      <c r="A394" s="1"/>
      <c r="B394" s="3"/>
      <c r="C394" s="3"/>
      <c r="D394" s="38"/>
      <c r="E394" s="10"/>
      <c r="F394" s="10"/>
      <c r="G394" s="10"/>
      <c r="H394" s="10"/>
      <c r="I394" s="10"/>
      <c r="J394" s="10"/>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43"/>
      <c r="AT394" s="43"/>
      <c r="AU394" s="126"/>
      <c r="AV394" s="538" t="str">
        <f ca="1">IF(FN388=0,"",".")</f>
        <v/>
      </c>
      <c r="AW394" s="545"/>
      <c r="AX394" s="545"/>
      <c r="AY394" s="545"/>
      <c r="AZ394" s="545"/>
      <c r="BA394" s="545"/>
      <c r="BB394" s="545"/>
      <c r="BC394" s="545"/>
      <c r="BD394" s="545"/>
      <c r="BE394" s="545"/>
      <c r="BF394" s="545"/>
      <c r="BG394" s="545"/>
      <c r="BH394" s="545"/>
      <c r="BI394" s="545"/>
      <c r="BJ394" s="545"/>
      <c r="BK394" s="545"/>
      <c r="BL394" s="545"/>
      <c r="BM394" s="545"/>
      <c r="BN394" s="545"/>
      <c r="BO394" s="545"/>
      <c r="BP394" s="545"/>
      <c r="BQ394" s="545"/>
      <c r="BR394" s="545"/>
      <c r="BS394" s="545"/>
      <c r="BT394" s="545"/>
      <c r="BU394" s="545"/>
      <c r="BV394" s="545"/>
      <c r="BW394" s="545"/>
      <c r="BX394" s="545"/>
      <c r="BY394" s="545"/>
      <c r="BZ394" s="43"/>
      <c r="CA394" s="43"/>
      <c r="CB394" s="43"/>
      <c r="CC394" s="43"/>
      <c r="CD394" s="43"/>
      <c r="CE394" s="43"/>
      <c r="CF394" s="43"/>
      <c r="CG394" s="43"/>
      <c r="CH394" s="43"/>
      <c r="CI394" s="43"/>
      <c r="CJ394" s="43"/>
      <c r="CK394" s="43"/>
      <c r="CL394" s="43"/>
      <c r="CM394" s="43"/>
      <c r="CN394" s="43"/>
      <c r="CO394" s="43"/>
      <c r="CP394" s="43"/>
      <c r="CQ394" s="196"/>
      <c r="CR394" s="196"/>
      <c r="CS394" s="196"/>
      <c r="CT394" s="196"/>
      <c r="CU394" s="126"/>
      <c r="CV394" s="126"/>
      <c r="CW394" s="43"/>
      <c r="CX394" s="43"/>
      <c r="CY394" s="43"/>
      <c r="CZ394" s="43"/>
      <c r="DA394" s="43"/>
      <c r="DB394" s="43"/>
      <c r="DC394" s="43"/>
      <c r="DD394" s="545" t="str">
        <f ca="1">IF(FN388=0,"",".")</f>
        <v/>
      </c>
      <c r="DE394" s="545"/>
      <c r="DF394" s="545"/>
      <c r="DG394" s="545"/>
      <c r="DH394" s="545"/>
      <c r="DI394" s="545"/>
      <c r="DJ394" s="545"/>
      <c r="DK394" s="545"/>
      <c r="DL394" s="545"/>
      <c r="DM394" s="545"/>
      <c r="DN394" s="545"/>
      <c r="DO394" s="545"/>
      <c r="DP394" s="545"/>
      <c r="DQ394" s="545"/>
      <c r="DR394" s="545"/>
      <c r="DS394" s="545"/>
      <c r="DT394" s="545"/>
      <c r="DU394" s="545"/>
      <c r="DV394" s="545"/>
      <c r="DW394" s="545"/>
      <c r="DX394" s="545"/>
      <c r="DY394" s="545"/>
      <c r="DZ394" s="43"/>
      <c r="EA394" s="43"/>
      <c r="EB394" s="43"/>
      <c r="EC394" s="79"/>
      <c r="ED394" s="79"/>
      <c r="EE394" s="79"/>
      <c r="EF394" s="79"/>
      <c r="EG394" s="79"/>
      <c r="EH394" s="79"/>
      <c r="EI394" s="79"/>
      <c r="EJ394" s="79"/>
      <c r="EK394" s="79"/>
      <c r="EL394" s="43"/>
      <c r="EM394" s="43"/>
      <c r="EN394" s="43"/>
      <c r="EO394" s="43"/>
      <c r="EP394" s="43"/>
      <c r="EQ394" s="43"/>
      <c r="ER394" s="43"/>
      <c r="ES394" s="79"/>
      <c r="ET394" s="79"/>
      <c r="EU394" s="196"/>
      <c r="EV394" s="196"/>
      <c r="EW394" s="196"/>
      <c r="EX394" s="196"/>
      <c r="EY394" s="196"/>
      <c r="EZ394" s="10"/>
      <c r="FA394" s="10"/>
      <c r="FB394" s="10"/>
      <c r="FC394" s="10"/>
      <c r="FD394" s="10"/>
      <c r="FE394" s="10"/>
      <c r="FF394" s="10"/>
      <c r="FG394" s="10"/>
      <c r="FH394" s="10"/>
      <c r="FI394" s="10"/>
      <c r="FJ394" s="10"/>
      <c r="FK394" s="26"/>
      <c r="FL394" s="26"/>
      <c r="FM394" s="47"/>
      <c r="FN394" s="47"/>
      <c r="FO394" s="47"/>
      <c r="FP394" s="47"/>
      <c r="FQ394" s="47"/>
      <c r="FR394" s="47"/>
      <c r="FS394" s="49"/>
      <c r="FT394" s="49"/>
      <c r="FU394" s="49"/>
      <c r="FV394" s="49"/>
      <c r="FW394" s="49"/>
      <c r="FX394" s="49"/>
      <c r="FY394" s="47"/>
      <c r="FZ394" s="47"/>
      <c r="GA394" s="49"/>
      <c r="GB394" s="49"/>
      <c r="GC394" s="49">
        <f>GC361</f>
        <v>0</v>
      </c>
      <c r="GD394" s="49"/>
      <c r="GE394" s="49"/>
      <c r="GF394" s="49"/>
      <c r="GG394" s="49"/>
      <c r="GH394" s="49"/>
      <c r="GI394" s="49"/>
      <c r="GJ394" s="49"/>
      <c r="GK394" s="49"/>
      <c r="GL394" s="49"/>
      <c r="GM394" s="49"/>
      <c r="GN394" s="166"/>
      <c r="GO394" s="49"/>
      <c r="GP394" s="49"/>
      <c r="GQ394" s="49"/>
      <c r="GR394" s="49"/>
      <c r="GS394" s="49"/>
      <c r="GT394" s="49"/>
      <c r="GU394" s="49"/>
      <c r="GV394" s="49"/>
      <c r="GW394" s="49"/>
      <c r="GX394" s="49"/>
      <c r="GY394" s="49"/>
      <c r="GZ394" s="49"/>
      <c r="HA394" s="49"/>
      <c r="HB394" s="49"/>
      <c r="HC394" s="49"/>
      <c r="HD394" s="49"/>
      <c r="HE394" s="49"/>
      <c r="HF394" s="78"/>
      <c r="HG394" s="78"/>
      <c r="HH394" s="78"/>
      <c r="HI394" s="78"/>
      <c r="HJ394" s="78"/>
      <c r="HK394" s="78"/>
      <c r="HL394" s="78"/>
      <c r="HM394" s="78"/>
    </row>
    <row r="395" spans="1:221" ht="16.5" customHeight="1">
      <c r="A395" s="1"/>
      <c r="B395" s="3"/>
      <c r="C395" s="3"/>
      <c r="D395" s="12"/>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43"/>
      <c r="AT395" s="182" t="str">
        <f ca="1">IF(FN388=0,"","Het eerste punt is (een):")</f>
        <v/>
      </c>
      <c r="AU395" s="43"/>
      <c r="AV395" s="43" t="str">
        <f ca="1">IF(FN388=0,"",".")</f>
        <v/>
      </c>
      <c r="AW395" s="636"/>
      <c r="AX395" s="555"/>
      <c r="AY395" s="555"/>
      <c r="AZ395" s="555"/>
      <c r="BA395" s="555"/>
      <c r="BB395" s="555"/>
      <c r="BC395" s="555"/>
      <c r="BD395" s="555"/>
      <c r="BE395" s="555"/>
      <c r="BF395" s="555"/>
      <c r="BG395" s="555"/>
      <c r="BH395" s="555"/>
      <c r="BI395" s="555"/>
      <c r="BJ395" s="555"/>
      <c r="BK395" s="555"/>
      <c r="BL395" s="555"/>
      <c r="BM395" s="555"/>
      <c r="BN395" s="555"/>
      <c r="BO395" s="555"/>
      <c r="BP395" s="555"/>
      <c r="BQ395" s="555"/>
      <c r="BR395" s="555"/>
      <c r="BS395" s="555"/>
      <c r="BT395" s="555"/>
      <c r="BU395" s="555"/>
      <c r="BV395" s="555"/>
      <c r="BW395" s="555"/>
      <c r="BX395" s="555"/>
      <c r="BY395" s="228" t="str">
        <f ca="1">IF(FN388=0,"",".")</f>
        <v/>
      </c>
      <c r="BZ395" s="197"/>
      <c r="CA395" s="43"/>
      <c r="CB395" s="197"/>
      <c r="CC395" s="197"/>
      <c r="CD395" s="197"/>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182" t="str">
        <f ca="1">IF(FN388=0,"","herkenbaar aan:")</f>
        <v/>
      </c>
      <c r="DC395" s="43"/>
      <c r="DD395" s="43" t="str">
        <f ca="1">IF(FN388=0,"",".")</f>
        <v/>
      </c>
      <c r="DE395" s="636"/>
      <c r="DF395" s="643"/>
      <c r="DG395" s="643"/>
      <c r="DH395" s="643"/>
      <c r="DI395" s="643"/>
      <c r="DJ395" s="643"/>
      <c r="DK395" s="643"/>
      <c r="DL395" s="643"/>
      <c r="DM395" s="643"/>
      <c r="DN395" s="643"/>
      <c r="DO395" s="643"/>
      <c r="DP395" s="643"/>
      <c r="DQ395" s="643"/>
      <c r="DR395" s="643"/>
      <c r="DS395" s="643"/>
      <c r="DT395" s="643"/>
      <c r="DU395" s="643"/>
      <c r="DV395" s="643"/>
      <c r="DW395" s="643"/>
      <c r="DX395" s="643"/>
      <c r="DY395" s="228" t="str">
        <f ca="1">IF(FN388=0,"",".")</f>
        <v/>
      </c>
      <c r="DZ395" s="126"/>
      <c r="EA395" s="126"/>
      <c r="EB395" s="126"/>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25"/>
      <c r="FG395" s="26"/>
      <c r="FH395" s="79"/>
      <c r="FI395" s="79"/>
      <c r="FJ395" s="79"/>
      <c r="FK395" s="79"/>
      <c r="FL395" s="79"/>
      <c r="FM395" s="468"/>
      <c r="FN395" s="206">
        <f ca="1">IF(FO395+FO399+FO403+FO407+FP395+FP399+FP403+FP407=8,1,0)</f>
        <v>0</v>
      </c>
      <c r="FO395" s="206">
        <f ca="1">IF(programma!B1="X",1,IF(FN388=0,0,IF(AW395=FQ395,1,0)))</f>
        <v>0</v>
      </c>
      <c r="FP395" s="206">
        <f ca="1">IF(programma!B1="X",1,IF(FN388=0,0,IF(DE395=FU395,1,0)))</f>
        <v>0</v>
      </c>
      <c r="FQ395" s="206" t="s">
        <v>147</v>
      </c>
      <c r="FR395" s="206" t="s">
        <v>74</v>
      </c>
      <c r="FS395" s="116" t="s">
        <v>75</v>
      </c>
      <c r="FT395" s="116"/>
      <c r="FU395" s="116" t="s">
        <v>148</v>
      </c>
      <c r="FV395" s="116" t="s">
        <v>48</v>
      </c>
      <c r="FW395" s="93" t="s">
        <v>101</v>
      </c>
      <c r="FX395" s="93"/>
      <c r="FY395" s="93"/>
      <c r="FZ395" s="93"/>
      <c r="GA395" s="49"/>
      <c r="GB395" s="78"/>
      <c r="GC395" s="78">
        <f>GC362</f>
        <v>0</v>
      </c>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row>
    <row r="396" spans="1:221" ht="3.75" customHeight="1">
      <c r="A396" s="1"/>
      <c r="B396" s="3"/>
      <c r="C396" s="3"/>
      <c r="D396" s="38"/>
      <c r="E396" s="10"/>
      <c r="F396" s="10"/>
      <c r="G396" s="10"/>
      <c r="H396" s="10"/>
      <c r="I396" s="10"/>
      <c r="J396" s="10"/>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43"/>
      <c r="AT396" s="43"/>
      <c r="AU396" s="43"/>
      <c r="AV396" s="538" t="str">
        <f ca="1">IF(FN388=0,"",".")</f>
        <v/>
      </c>
      <c r="AW396" s="545"/>
      <c r="AX396" s="545"/>
      <c r="AY396" s="545"/>
      <c r="AZ396" s="545"/>
      <c r="BA396" s="545"/>
      <c r="BB396" s="545"/>
      <c r="BC396" s="545"/>
      <c r="BD396" s="545"/>
      <c r="BE396" s="545"/>
      <c r="BF396" s="545"/>
      <c r="BG396" s="545"/>
      <c r="BH396" s="545"/>
      <c r="BI396" s="545"/>
      <c r="BJ396" s="545"/>
      <c r="BK396" s="545"/>
      <c r="BL396" s="545"/>
      <c r="BM396" s="545"/>
      <c r="BN396" s="545"/>
      <c r="BO396" s="545"/>
      <c r="BP396" s="545"/>
      <c r="BQ396" s="545"/>
      <c r="BR396" s="545"/>
      <c r="BS396" s="545"/>
      <c r="BT396" s="545"/>
      <c r="BU396" s="545"/>
      <c r="BV396" s="545"/>
      <c r="BW396" s="545"/>
      <c r="BX396" s="545"/>
      <c r="BY396" s="545"/>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545" t="str">
        <f ca="1">IF(FN388=0,"",".")</f>
        <v/>
      </c>
      <c r="DE396" s="545"/>
      <c r="DF396" s="545"/>
      <c r="DG396" s="545"/>
      <c r="DH396" s="545"/>
      <c r="DI396" s="545"/>
      <c r="DJ396" s="545"/>
      <c r="DK396" s="545"/>
      <c r="DL396" s="545"/>
      <c r="DM396" s="545"/>
      <c r="DN396" s="545"/>
      <c r="DO396" s="545"/>
      <c r="DP396" s="545"/>
      <c r="DQ396" s="545"/>
      <c r="DR396" s="545"/>
      <c r="DS396" s="545"/>
      <c r="DT396" s="545"/>
      <c r="DU396" s="545"/>
      <c r="DV396" s="545"/>
      <c r="DW396" s="545"/>
      <c r="DX396" s="545"/>
      <c r="DY396" s="545"/>
      <c r="DZ396" s="43"/>
      <c r="EA396" s="43"/>
      <c r="EB396" s="43"/>
      <c r="EC396" s="79"/>
      <c r="ED396" s="196"/>
      <c r="EE396" s="196"/>
      <c r="EF396" s="196"/>
      <c r="EG396" s="196"/>
      <c r="EH396" s="196"/>
      <c r="EI396" s="196"/>
      <c r="EJ396" s="196"/>
      <c r="EK396" s="196"/>
      <c r="EL396" s="196"/>
      <c r="EM396" s="196"/>
      <c r="EN396" s="196"/>
      <c r="EO396" s="196"/>
      <c r="EP396" s="196"/>
      <c r="EQ396" s="196"/>
      <c r="ER396" s="196"/>
      <c r="ES396" s="196"/>
      <c r="ET396" s="196"/>
      <c r="EU396" s="196"/>
      <c r="EV396" s="196"/>
      <c r="EW396" s="196"/>
      <c r="EX396" s="196"/>
      <c r="EY396" s="196"/>
      <c r="EZ396" s="10"/>
      <c r="FA396" s="10"/>
      <c r="FB396" s="10"/>
      <c r="FC396" s="10"/>
      <c r="FD396" s="10"/>
      <c r="FE396" s="10"/>
      <c r="FF396" s="10"/>
      <c r="FG396" s="10"/>
      <c r="FH396" s="10"/>
      <c r="FI396" s="10"/>
      <c r="FJ396" s="10"/>
      <c r="FK396" s="26"/>
      <c r="FL396" s="26"/>
      <c r="FM396" s="47"/>
      <c r="FN396" s="47"/>
      <c r="FO396" s="47"/>
      <c r="FP396" s="47"/>
      <c r="FQ396" s="47"/>
      <c r="FR396" s="47"/>
      <c r="FS396" s="49"/>
      <c r="FT396" s="49"/>
      <c r="FU396" s="49"/>
      <c r="FV396" s="49"/>
      <c r="FW396" s="49"/>
      <c r="FX396" s="49"/>
      <c r="FY396" s="47"/>
      <c r="FZ396" s="47"/>
      <c r="GA396" s="49"/>
      <c r="GB396" s="49"/>
      <c r="GC396" s="49">
        <f>GC363</f>
        <v>0</v>
      </c>
      <c r="GD396" s="49"/>
      <c r="GE396" s="49"/>
      <c r="GF396" s="49"/>
      <c r="GG396" s="49"/>
      <c r="GH396" s="49"/>
      <c r="GI396" s="49"/>
      <c r="GJ396" s="49"/>
      <c r="GK396" s="49"/>
      <c r="GL396" s="49"/>
      <c r="GM396" s="49"/>
      <c r="GN396" s="166"/>
      <c r="GO396" s="49"/>
      <c r="GP396" s="49"/>
      <c r="GQ396" s="49"/>
      <c r="GR396" s="49"/>
      <c r="GS396" s="49"/>
      <c r="GT396" s="49"/>
      <c r="GU396" s="49"/>
      <c r="GV396" s="49"/>
      <c r="GW396" s="49"/>
      <c r="GX396" s="49"/>
      <c r="GY396" s="49"/>
      <c r="GZ396" s="49"/>
      <c r="HA396" s="49"/>
      <c r="HB396" s="49"/>
      <c r="HC396" s="49"/>
      <c r="HD396" s="49"/>
      <c r="HE396" s="49"/>
      <c r="HF396" s="78"/>
      <c r="HG396" s="78"/>
      <c r="HH396" s="78"/>
      <c r="HI396" s="78"/>
      <c r="HJ396" s="78"/>
      <c r="HK396" s="78"/>
      <c r="HL396" s="78"/>
      <c r="HM396" s="78"/>
    </row>
    <row r="397" spans="1:221" ht="5.25" customHeight="1">
      <c r="A397" s="1"/>
      <c r="B397" s="3"/>
      <c r="C397" s="3"/>
      <c r="D397" s="12"/>
      <c r="E397" s="10"/>
      <c r="F397" s="10"/>
      <c r="G397" s="10"/>
      <c r="H397" s="10"/>
      <c r="I397" s="10"/>
      <c r="J397" s="10"/>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79"/>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c r="DK397" s="43"/>
      <c r="DL397" s="43"/>
      <c r="DM397" s="43"/>
      <c r="DN397" s="43"/>
      <c r="DO397" s="43"/>
      <c r="DP397" s="43"/>
      <c r="DQ397" s="43"/>
      <c r="DR397" s="43"/>
      <c r="DS397" s="43"/>
      <c r="DT397" s="43"/>
      <c r="DU397" s="43"/>
      <c r="DV397" s="43"/>
      <c r="DW397" s="43"/>
      <c r="DX397" s="43"/>
      <c r="DY397" s="43"/>
      <c r="DZ397" s="126"/>
      <c r="EA397" s="126"/>
      <c r="EB397" s="126"/>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26"/>
      <c r="FL397" s="26"/>
      <c r="FM397" s="49"/>
      <c r="FN397" s="49"/>
      <c r="FO397" s="49"/>
      <c r="FP397" s="49"/>
      <c r="FQ397" s="49"/>
      <c r="FR397" s="49"/>
      <c r="FS397" s="49"/>
      <c r="FT397" s="49"/>
      <c r="FU397" s="47"/>
      <c r="FV397" s="47"/>
      <c r="FW397" s="47"/>
      <c r="FX397" s="47"/>
      <c r="FY397" s="47"/>
      <c r="FZ397" s="47"/>
      <c r="GA397" s="49"/>
      <c r="GB397" s="49"/>
      <c r="GC397" s="49">
        <f>GC364</f>
        <v>0</v>
      </c>
      <c r="GD397" s="49"/>
      <c r="GE397" s="49"/>
      <c r="GF397" s="49"/>
      <c r="GG397" s="49"/>
      <c r="GH397" s="49"/>
      <c r="GI397" s="49"/>
      <c r="GJ397" s="49"/>
      <c r="GK397" s="49"/>
      <c r="GL397" s="49"/>
      <c r="GM397" s="49"/>
      <c r="GN397" s="166"/>
      <c r="GO397" s="49"/>
      <c r="GP397" s="49"/>
      <c r="GQ397" s="49"/>
      <c r="GR397" s="49"/>
      <c r="GS397" s="49"/>
      <c r="GT397" s="49"/>
      <c r="GU397" s="49"/>
      <c r="GV397" s="49"/>
      <c r="GW397" s="49"/>
      <c r="GX397" s="49"/>
      <c r="GY397" s="49"/>
      <c r="GZ397" s="49"/>
      <c r="HA397" s="49"/>
      <c r="HB397" s="49"/>
      <c r="HC397" s="49"/>
      <c r="HD397" s="49"/>
      <c r="HE397" s="49"/>
      <c r="HF397" s="78"/>
      <c r="HG397" s="78"/>
      <c r="HH397" s="78"/>
      <c r="HI397" s="78"/>
      <c r="HJ397" s="78"/>
      <c r="HK397" s="78"/>
      <c r="HL397" s="78"/>
      <c r="HM397" s="78"/>
    </row>
    <row r="398" spans="1:221" ht="3.75" customHeight="1">
      <c r="A398" s="1"/>
      <c r="B398" s="3"/>
      <c r="C398" s="3"/>
      <c r="D398" s="38"/>
      <c r="E398" s="10"/>
      <c r="F398" s="10"/>
      <c r="G398" s="10"/>
      <c r="H398" s="10"/>
      <c r="I398" s="10"/>
      <c r="J398" s="10"/>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43"/>
      <c r="AT398" s="43"/>
      <c r="AU398" s="126"/>
      <c r="AV398" s="538" t="str">
        <f ca="1">IF(FN388=0,"",".")</f>
        <v/>
      </c>
      <c r="AW398" s="545"/>
      <c r="AX398" s="545"/>
      <c r="AY398" s="545"/>
      <c r="AZ398" s="545"/>
      <c r="BA398" s="545"/>
      <c r="BB398" s="545"/>
      <c r="BC398" s="545"/>
      <c r="BD398" s="545"/>
      <c r="BE398" s="545"/>
      <c r="BF398" s="545"/>
      <c r="BG398" s="545"/>
      <c r="BH398" s="545"/>
      <c r="BI398" s="545"/>
      <c r="BJ398" s="545"/>
      <c r="BK398" s="545"/>
      <c r="BL398" s="545"/>
      <c r="BM398" s="545"/>
      <c r="BN398" s="545"/>
      <c r="BO398" s="545"/>
      <c r="BP398" s="545"/>
      <c r="BQ398" s="545"/>
      <c r="BR398" s="545"/>
      <c r="BS398" s="545"/>
      <c r="BT398" s="545"/>
      <c r="BU398" s="545"/>
      <c r="BV398" s="545"/>
      <c r="BW398" s="545"/>
      <c r="BX398" s="545"/>
      <c r="BY398" s="545"/>
      <c r="BZ398" s="43"/>
      <c r="CA398" s="43"/>
      <c r="CB398" s="43"/>
      <c r="CC398" s="43"/>
      <c r="CD398" s="43"/>
      <c r="CE398" s="43"/>
      <c r="CF398" s="43"/>
      <c r="CG398" s="43"/>
      <c r="CH398" s="43"/>
      <c r="CI398" s="43"/>
      <c r="CJ398" s="43"/>
      <c r="CK398" s="43"/>
      <c r="CL398" s="43"/>
      <c r="CM398" s="43"/>
      <c r="CN398" s="43"/>
      <c r="CO398" s="43"/>
      <c r="CP398" s="43"/>
      <c r="CQ398" s="196"/>
      <c r="CR398" s="196"/>
      <c r="CS398" s="196"/>
      <c r="CT398" s="196"/>
      <c r="CU398" s="126"/>
      <c r="CV398" s="126"/>
      <c r="CW398" s="43"/>
      <c r="CX398" s="43"/>
      <c r="CY398" s="43"/>
      <c r="CZ398" s="43"/>
      <c r="DA398" s="43"/>
      <c r="DB398" s="43"/>
      <c r="DC398" s="43"/>
      <c r="DD398" s="545" t="str">
        <f ca="1">IF(FN388=0,"",".")</f>
        <v/>
      </c>
      <c r="DE398" s="545"/>
      <c r="DF398" s="545"/>
      <c r="DG398" s="545"/>
      <c r="DH398" s="545"/>
      <c r="DI398" s="545"/>
      <c r="DJ398" s="545"/>
      <c r="DK398" s="545"/>
      <c r="DL398" s="545"/>
      <c r="DM398" s="545"/>
      <c r="DN398" s="545"/>
      <c r="DO398" s="545"/>
      <c r="DP398" s="545"/>
      <c r="DQ398" s="545"/>
      <c r="DR398" s="545"/>
      <c r="DS398" s="545"/>
      <c r="DT398" s="545"/>
      <c r="DU398" s="545"/>
      <c r="DV398" s="545"/>
      <c r="DW398" s="545"/>
      <c r="DX398" s="545"/>
      <c r="DY398" s="545"/>
      <c r="DZ398" s="43"/>
      <c r="EA398" s="43"/>
      <c r="EB398" s="43"/>
      <c r="EC398" s="79"/>
      <c r="ED398" s="79"/>
      <c r="EE398" s="79"/>
      <c r="EF398" s="79"/>
      <c r="EG398" s="79"/>
      <c r="EH398" s="79"/>
      <c r="EI398" s="79"/>
      <c r="EJ398" s="79"/>
      <c r="EK398" s="79"/>
      <c r="EL398" s="43"/>
      <c r="EM398" s="43"/>
      <c r="EN398" s="43"/>
      <c r="EO398" s="43"/>
      <c r="EP398" s="43"/>
      <c r="EQ398" s="43"/>
      <c r="ER398" s="43"/>
      <c r="ES398" s="79"/>
      <c r="ET398" s="79"/>
      <c r="EU398" s="196"/>
      <c r="EV398" s="196"/>
      <c r="EW398" s="196"/>
      <c r="EX398" s="196"/>
      <c r="EY398" s="196"/>
      <c r="EZ398" s="10"/>
      <c r="FA398" s="10"/>
      <c r="FB398" s="10"/>
      <c r="FC398" s="10"/>
      <c r="FD398" s="10"/>
      <c r="FE398" s="10"/>
      <c r="FF398" s="10"/>
      <c r="FG398" s="10"/>
      <c r="FH398" s="10"/>
      <c r="FI398" s="10"/>
      <c r="FJ398" s="10"/>
      <c r="FK398" s="26"/>
      <c r="FL398" s="26"/>
      <c r="FM398" s="47"/>
      <c r="FN398" s="47"/>
      <c r="FO398" s="47"/>
      <c r="FP398" s="47"/>
      <c r="FQ398" s="47"/>
      <c r="FR398" s="47"/>
      <c r="FS398" s="49"/>
      <c r="FT398" s="49"/>
      <c r="FU398" s="49"/>
      <c r="FV398" s="49"/>
      <c r="FW398" s="49"/>
      <c r="FX398" s="49"/>
      <c r="FY398" s="47"/>
      <c r="FZ398" s="47"/>
      <c r="GA398" s="49"/>
      <c r="GB398" s="49"/>
      <c r="GC398" s="49"/>
      <c r="GD398" s="49"/>
      <c r="GE398" s="49"/>
      <c r="GF398" s="49"/>
      <c r="GG398" s="49"/>
      <c r="GH398" s="49"/>
      <c r="GI398" s="49"/>
      <c r="GJ398" s="49"/>
      <c r="GK398" s="49"/>
      <c r="GL398" s="49"/>
      <c r="GM398" s="49"/>
      <c r="GN398" s="166"/>
      <c r="GO398" s="49"/>
      <c r="GP398" s="49"/>
      <c r="GQ398" s="49"/>
      <c r="GR398" s="49"/>
      <c r="GS398" s="49"/>
      <c r="GT398" s="49"/>
      <c r="GU398" s="49"/>
      <c r="GV398" s="49"/>
      <c r="GW398" s="49"/>
      <c r="GX398" s="49"/>
      <c r="GY398" s="49"/>
      <c r="GZ398" s="49"/>
      <c r="HA398" s="49"/>
      <c r="HB398" s="49"/>
      <c r="HC398" s="49"/>
      <c r="HD398" s="49"/>
      <c r="HE398" s="49"/>
      <c r="HF398" s="78"/>
      <c r="HG398" s="78"/>
      <c r="HH398" s="78"/>
      <c r="HI398" s="78"/>
      <c r="HJ398" s="78"/>
      <c r="HK398" s="78"/>
      <c r="HL398" s="78"/>
      <c r="HM398" s="78"/>
    </row>
    <row r="399" spans="1:221" ht="16.5" customHeight="1">
      <c r="A399" s="1"/>
      <c r="B399" s="3"/>
      <c r="C399" s="3"/>
      <c r="D399" s="12"/>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43"/>
      <c r="AT399" s="182" t="str">
        <f ca="1">IF(FN388=0,"","Het tweede punt is (een):")</f>
        <v/>
      </c>
      <c r="AU399" s="43"/>
      <c r="AV399" s="43" t="str">
        <f ca="1">IF(FN388=0,"",".")</f>
        <v/>
      </c>
      <c r="AW399" s="636"/>
      <c r="AX399" s="555"/>
      <c r="AY399" s="555"/>
      <c r="AZ399" s="555"/>
      <c r="BA399" s="555"/>
      <c r="BB399" s="555"/>
      <c r="BC399" s="555"/>
      <c r="BD399" s="555"/>
      <c r="BE399" s="555"/>
      <c r="BF399" s="555"/>
      <c r="BG399" s="555"/>
      <c r="BH399" s="555"/>
      <c r="BI399" s="555"/>
      <c r="BJ399" s="555"/>
      <c r="BK399" s="555"/>
      <c r="BL399" s="555"/>
      <c r="BM399" s="555"/>
      <c r="BN399" s="555"/>
      <c r="BO399" s="555"/>
      <c r="BP399" s="555"/>
      <c r="BQ399" s="555"/>
      <c r="BR399" s="555"/>
      <c r="BS399" s="555"/>
      <c r="BT399" s="555"/>
      <c r="BU399" s="555"/>
      <c r="BV399" s="555"/>
      <c r="BW399" s="555"/>
      <c r="BX399" s="555"/>
      <c r="BY399" s="228" t="str">
        <f ca="1">IF(FN388=0,"",".")</f>
        <v/>
      </c>
      <c r="BZ399" s="197"/>
      <c r="CA399" s="43"/>
      <c r="CB399" s="197"/>
      <c r="CC399" s="197"/>
      <c r="CD399" s="197"/>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182" t="str">
        <f ca="1">IF(FN388=0,"","herkenbaar aan:")</f>
        <v/>
      </c>
      <c r="DC399" s="43"/>
      <c r="DD399" s="43" t="str">
        <f ca="1">IF(FN388=0,"",".")</f>
        <v/>
      </c>
      <c r="DE399" s="636"/>
      <c r="DF399" s="643"/>
      <c r="DG399" s="643"/>
      <c r="DH399" s="643"/>
      <c r="DI399" s="643"/>
      <c r="DJ399" s="643"/>
      <c r="DK399" s="643"/>
      <c r="DL399" s="643"/>
      <c r="DM399" s="643"/>
      <c r="DN399" s="643"/>
      <c r="DO399" s="643"/>
      <c r="DP399" s="643"/>
      <c r="DQ399" s="643"/>
      <c r="DR399" s="643"/>
      <c r="DS399" s="643"/>
      <c r="DT399" s="643"/>
      <c r="DU399" s="643"/>
      <c r="DV399" s="643"/>
      <c r="DW399" s="643"/>
      <c r="DX399" s="643"/>
      <c r="DY399" s="228" t="str">
        <f ca="1">IF(FN388=0,"",".")</f>
        <v/>
      </c>
      <c r="DZ399" s="126"/>
      <c r="EA399" s="655" t="str">
        <f ca="1">IF(FN388=0,"",IF(OR(AW395="",AW399="",AW403="",AW407="",DE395="",DE399="",DE403="",DE407=""),"",IF(FN395=1,"Goed!",IF(AND(FN399=3,FN403=4),"Je hebt er maar één fout. Dat is in de eerste rij. Verbeter het.",IF(AND(FN399=4,FN403=3),"Je hebt er maar één fout. Dat is in de tweede rij. Verbeter het.","Fout! Je hebt meerdere fouten gemaakt! Verbeter het.")))))</f>
        <v/>
      </c>
      <c r="EB399" s="656"/>
      <c r="EC399" s="656"/>
      <c r="ED399" s="656"/>
      <c r="EE399" s="656"/>
      <c r="EF399" s="656"/>
      <c r="EG399" s="656"/>
      <c r="EH399" s="656"/>
      <c r="EI399" s="656"/>
      <c r="EJ399" s="656"/>
      <c r="EK399" s="656"/>
      <c r="EL399" s="656"/>
      <c r="EM399" s="656"/>
      <c r="EN399" s="656"/>
      <c r="EO399" s="656"/>
      <c r="EP399" s="656"/>
      <c r="EQ399" s="656"/>
      <c r="ER399" s="656"/>
      <c r="ES399" s="656"/>
      <c r="ET399" s="656"/>
      <c r="EU399" s="656"/>
      <c r="EV399" s="656"/>
      <c r="EW399" s="656"/>
      <c r="EX399" s="656"/>
      <c r="EY399" s="656"/>
      <c r="EZ399" s="656"/>
      <c r="FA399" s="656"/>
      <c r="FB399" s="656"/>
      <c r="FC399" s="656"/>
      <c r="FD399" s="656"/>
      <c r="FE399" s="656"/>
      <c r="FF399" s="25"/>
      <c r="FG399" s="26"/>
      <c r="FH399" s="79"/>
      <c r="FI399" s="79"/>
      <c r="FJ399" s="79"/>
      <c r="FK399" s="79"/>
      <c r="FL399" s="79"/>
      <c r="FM399" s="468"/>
      <c r="FN399" s="206">
        <f ca="1">FO395+FO399+FO403+FO407</f>
        <v>0</v>
      </c>
      <c r="FO399" s="206">
        <f ca="1">IF(programma!B1="X",1,IF(FN388=0,0,IF(AW399=FS395,1,0)))</f>
        <v>0</v>
      </c>
      <c r="FP399" s="206">
        <f ca="1">IF(programma!B1="X",1,IF(FN388=0,0,IF(DE399=FV395,1,0)))</f>
        <v>0</v>
      </c>
      <c r="FQ399" s="206"/>
      <c r="FR399" s="447" t="str">
        <f ca="1">IF(FO1=0,"",FQ395)</f>
        <v>break-even-punt</v>
      </c>
      <c r="FS399" s="447" t="str">
        <f ca="1">IF(FO1=0,"",FS395)</f>
        <v>maximale winst</v>
      </c>
      <c r="FT399" s="447" t="str">
        <f ca="1">IF(FO1=0,"",FR395)</f>
        <v>maximale omzet</v>
      </c>
      <c r="FU399" s="447" t="str">
        <f ca="1">IF(FO1=0,"",FQ395)</f>
        <v>break-even-punt</v>
      </c>
      <c r="FV399" s="93"/>
      <c r="FW399" s="93"/>
      <c r="FX399" s="93"/>
      <c r="FY399" s="93"/>
      <c r="FZ399" s="93"/>
      <c r="GA399" s="49"/>
      <c r="GB399" s="78"/>
      <c r="GC399" s="78"/>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row>
    <row r="400" spans="1:221" ht="3.75" customHeight="1">
      <c r="A400" s="1"/>
      <c r="B400" s="3"/>
      <c r="C400" s="3"/>
      <c r="D400" s="38"/>
      <c r="E400" s="10"/>
      <c r="F400" s="10"/>
      <c r="G400" s="10"/>
      <c r="H400" s="10"/>
      <c r="I400" s="10"/>
      <c r="J400" s="10"/>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43"/>
      <c r="AT400" s="43"/>
      <c r="AU400" s="126"/>
      <c r="AV400" s="538" t="str">
        <f ca="1">IF(FN388=0,"",".")</f>
        <v/>
      </c>
      <c r="AW400" s="545"/>
      <c r="AX400" s="545"/>
      <c r="AY400" s="545"/>
      <c r="AZ400" s="545"/>
      <c r="BA400" s="545"/>
      <c r="BB400" s="545"/>
      <c r="BC400" s="545"/>
      <c r="BD400" s="545"/>
      <c r="BE400" s="545"/>
      <c r="BF400" s="545"/>
      <c r="BG400" s="545"/>
      <c r="BH400" s="545"/>
      <c r="BI400" s="545"/>
      <c r="BJ400" s="545"/>
      <c r="BK400" s="545"/>
      <c r="BL400" s="545"/>
      <c r="BM400" s="545"/>
      <c r="BN400" s="545"/>
      <c r="BO400" s="545"/>
      <c r="BP400" s="545"/>
      <c r="BQ400" s="545"/>
      <c r="BR400" s="545"/>
      <c r="BS400" s="545"/>
      <c r="BT400" s="545"/>
      <c r="BU400" s="545"/>
      <c r="BV400" s="545"/>
      <c r="BW400" s="545"/>
      <c r="BX400" s="545"/>
      <c r="BY400" s="545"/>
      <c r="BZ400" s="43"/>
      <c r="CA400" s="43"/>
      <c r="CB400" s="43"/>
      <c r="CC400" s="43"/>
      <c r="CD400" s="43"/>
      <c r="CE400" s="43"/>
      <c r="CF400" s="43"/>
      <c r="CG400" s="43"/>
      <c r="CH400" s="43"/>
      <c r="CI400" s="43"/>
      <c r="CJ400" s="43"/>
      <c r="CK400" s="43"/>
      <c r="CL400" s="43"/>
      <c r="CM400" s="43"/>
      <c r="CN400" s="43"/>
      <c r="CO400" s="43"/>
      <c r="CP400" s="43"/>
      <c r="CQ400" s="196"/>
      <c r="CR400" s="196"/>
      <c r="CS400" s="196"/>
      <c r="CT400" s="196"/>
      <c r="CU400" s="126"/>
      <c r="CV400" s="126"/>
      <c r="CW400" s="43"/>
      <c r="CX400" s="43"/>
      <c r="CY400" s="43"/>
      <c r="CZ400" s="43"/>
      <c r="DA400" s="43"/>
      <c r="DB400" s="43"/>
      <c r="DC400" s="43"/>
      <c r="DD400" s="545" t="str">
        <f ca="1">IF(FN388=0,"",".")</f>
        <v/>
      </c>
      <c r="DE400" s="545"/>
      <c r="DF400" s="545"/>
      <c r="DG400" s="545"/>
      <c r="DH400" s="545"/>
      <c r="DI400" s="545"/>
      <c r="DJ400" s="545"/>
      <c r="DK400" s="545"/>
      <c r="DL400" s="545"/>
      <c r="DM400" s="545"/>
      <c r="DN400" s="545"/>
      <c r="DO400" s="545"/>
      <c r="DP400" s="545"/>
      <c r="DQ400" s="545"/>
      <c r="DR400" s="545"/>
      <c r="DS400" s="545"/>
      <c r="DT400" s="545"/>
      <c r="DU400" s="545"/>
      <c r="DV400" s="545"/>
      <c r="DW400" s="545"/>
      <c r="DX400" s="545"/>
      <c r="DY400" s="545"/>
      <c r="DZ400" s="43"/>
      <c r="EA400" s="656"/>
      <c r="EB400" s="656"/>
      <c r="EC400" s="656"/>
      <c r="ED400" s="656"/>
      <c r="EE400" s="656"/>
      <c r="EF400" s="656"/>
      <c r="EG400" s="656"/>
      <c r="EH400" s="656"/>
      <c r="EI400" s="656"/>
      <c r="EJ400" s="656"/>
      <c r="EK400" s="656"/>
      <c r="EL400" s="656"/>
      <c r="EM400" s="656"/>
      <c r="EN400" s="656"/>
      <c r="EO400" s="656"/>
      <c r="EP400" s="656"/>
      <c r="EQ400" s="656"/>
      <c r="ER400" s="656"/>
      <c r="ES400" s="656"/>
      <c r="ET400" s="656"/>
      <c r="EU400" s="656"/>
      <c r="EV400" s="656"/>
      <c r="EW400" s="656"/>
      <c r="EX400" s="656"/>
      <c r="EY400" s="656"/>
      <c r="EZ400" s="656"/>
      <c r="FA400" s="656"/>
      <c r="FB400" s="656"/>
      <c r="FC400" s="656"/>
      <c r="FD400" s="656"/>
      <c r="FE400" s="656"/>
      <c r="FF400" s="10"/>
      <c r="FG400" s="10"/>
      <c r="FH400" s="10"/>
      <c r="FI400" s="10"/>
      <c r="FJ400" s="10"/>
      <c r="FK400" s="26"/>
      <c r="FL400" s="26"/>
      <c r="FM400" s="47"/>
      <c r="FN400" s="47"/>
      <c r="FO400" s="47"/>
      <c r="FP400" s="47"/>
      <c r="FQ400" s="47"/>
      <c r="FR400" s="47"/>
      <c r="FS400" s="49"/>
      <c r="FT400" s="49"/>
      <c r="FU400" s="49"/>
      <c r="FV400" s="49"/>
      <c r="FW400" s="49"/>
      <c r="FX400" s="49"/>
      <c r="FY400" s="47"/>
      <c r="FZ400" s="47"/>
      <c r="GA400" s="49"/>
      <c r="GB400" s="49"/>
      <c r="GC400" s="49"/>
      <c r="GD400" s="49"/>
      <c r="GE400" s="49"/>
      <c r="GF400" s="49"/>
      <c r="GG400" s="49"/>
      <c r="GH400" s="49"/>
      <c r="GI400" s="49"/>
      <c r="GJ400" s="49"/>
      <c r="GK400" s="49"/>
      <c r="GL400" s="49"/>
      <c r="GM400" s="49"/>
      <c r="GN400" s="166"/>
      <c r="GO400" s="49"/>
      <c r="GP400" s="49"/>
      <c r="GQ400" s="49"/>
      <c r="GR400" s="49"/>
      <c r="GS400" s="49"/>
      <c r="GT400" s="49"/>
      <c r="GU400" s="49"/>
      <c r="GV400" s="49"/>
      <c r="GW400" s="49"/>
      <c r="GX400" s="49"/>
      <c r="GY400" s="49"/>
      <c r="GZ400" s="49"/>
      <c r="HA400" s="49"/>
      <c r="HB400" s="49"/>
      <c r="HC400" s="49"/>
      <c r="HD400" s="49"/>
      <c r="HE400" s="49"/>
      <c r="HF400" s="78"/>
      <c r="HG400" s="78"/>
      <c r="HH400" s="78"/>
      <c r="HI400" s="78"/>
      <c r="HJ400" s="78"/>
      <c r="HK400" s="78"/>
      <c r="HL400" s="78"/>
      <c r="HM400" s="78"/>
    </row>
    <row r="401" spans="1:221" ht="5.25" customHeight="1">
      <c r="A401" s="1"/>
      <c r="B401" s="3"/>
      <c r="C401" s="3"/>
      <c r="D401" s="12"/>
      <c r="E401" s="10"/>
      <c r="F401" s="10"/>
      <c r="G401" s="10"/>
      <c r="H401" s="10"/>
      <c r="I401" s="10"/>
      <c r="J401" s="10"/>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79"/>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c r="DT401" s="43"/>
      <c r="DU401" s="43"/>
      <c r="DV401" s="43"/>
      <c r="DW401" s="43"/>
      <c r="DX401" s="43"/>
      <c r="DY401" s="43"/>
      <c r="DZ401" s="126"/>
      <c r="EA401" s="656"/>
      <c r="EB401" s="656"/>
      <c r="EC401" s="656"/>
      <c r="ED401" s="656"/>
      <c r="EE401" s="656"/>
      <c r="EF401" s="656"/>
      <c r="EG401" s="656"/>
      <c r="EH401" s="656"/>
      <c r="EI401" s="656"/>
      <c r="EJ401" s="656"/>
      <c r="EK401" s="656"/>
      <c r="EL401" s="656"/>
      <c r="EM401" s="656"/>
      <c r="EN401" s="656"/>
      <c r="EO401" s="656"/>
      <c r="EP401" s="656"/>
      <c r="EQ401" s="656"/>
      <c r="ER401" s="656"/>
      <c r="ES401" s="656"/>
      <c r="ET401" s="656"/>
      <c r="EU401" s="656"/>
      <c r="EV401" s="656"/>
      <c r="EW401" s="656"/>
      <c r="EX401" s="656"/>
      <c r="EY401" s="656"/>
      <c r="EZ401" s="656"/>
      <c r="FA401" s="656"/>
      <c r="FB401" s="656"/>
      <c r="FC401" s="656"/>
      <c r="FD401" s="656"/>
      <c r="FE401" s="656"/>
      <c r="FF401" s="10"/>
      <c r="FG401" s="10"/>
      <c r="FH401" s="10"/>
      <c r="FI401" s="10"/>
      <c r="FJ401" s="10"/>
      <c r="FK401" s="26"/>
      <c r="FL401" s="26"/>
      <c r="FM401" s="49"/>
      <c r="FN401" s="49"/>
      <c r="FO401" s="49"/>
      <c r="FP401" s="49"/>
      <c r="FQ401" s="49"/>
      <c r="FR401" s="49"/>
      <c r="FS401" s="49"/>
      <c r="FT401" s="49"/>
      <c r="FU401" s="47"/>
      <c r="FV401" s="47"/>
      <c r="FW401" s="47"/>
      <c r="FX401" s="47"/>
      <c r="FY401" s="47"/>
      <c r="FZ401" s="47"/>
      <c r="GA401" s="49"/>
      <c r="GB401" s="49"/>
      <c r="GC401" s="49">
        <f>GC368</f>
        <v>0</v>
      </c>
      <c r="GD401" s="49"/>
      <c r="GE401" s="49"/>
      <c r="GF401" s="49"/>
      <c r="GG401" s="49"/>
      <c r="GH401" s="49"/>
      <c r="GI401" s="49"/>
      <c r="GJ401" s="49"/>
      <c r="GK401" s="49"/>
      <c r="GL401" s="49"/>
      <c r="GM401" s="49"/>
      <c r="GN401" s="166"/>
      <c r="GO401" s="49"/>
      <c r="GP401" s="49"/>
      <c r="GQ401" s="49"/>
      <c r="GR401" s="49"/>
      <c r="GS401" s="49"/>
      <c r="GT401" s="49"/>
      <c r="GU401" s="49"/>
      <c r="GV401" s="49"/>
      <c r="GW401" s="49"/>
      <c r="GX401" s="49"/>
      <c r="GY401" s="49"/>
      <c r="GZ401" s="49"/>
      <c r="HA401" s="49"/>
      <c r="HB401" s="49"/>
      <c r="HC401" s="49"/>
      <c r="HD401" s="49"/>
      <c r="HE401" s="49"/>
      <c r="HF401" s="78"/>
      <c r="HG401" s="78"/>
      <c r="HH401" s="78"/>
      <c r="HI401" s="78"/>
      <c r="HJ401" s="78"/>
      <c r="HK401" s="78"/>
      <c r="HL401" s="78"/>
      <c r="HM401" s="78"/>
    </row>
    <row r="402" spans="1:221" ht="3.75" customHeight="1">
      <c r="A402" s="1"/>
      <c r="B402" s="3"/>
      <c r="C402" s="3"/>
      <c r="D402" s="38"/>
      <c r="E402" s="10"/>
      <c r="F402" s="10"/>
      <c r="G402" s="10"/>
      <c r="H402" s="10"/>
      <c r="I402" s="10"/>
      <c r="J402" s="10"/>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43"/>
      <c r="AT402" s="43"/>
      <c r="AU402" s="126"/>
      <c r="AV402" s="538" t="str">
        <f ca="1">IF(FN388=0,"",".")</f>
        <v/>
      </c>
      <c r="AW402" s="545"/>
      <c r="AX402" s="545"/>
      <c r="AY402" s="545"/>
      <c r="AZ402" s="545"/>
      <c r="BA402" s="545"/>
      <c r="BB402" s="545"/>
      <c r="BC402" s="545"/>
      <c r="BD402" s="545"/>
      <c r="BE402" s="545"/>
      <c r="BF402" s="545"/>
      <c r="BG402" s="545"/>
      <c r="BH402" s="545"/>
      <c r="BI402" s="545"/>
      <c r="BJ402" s="545"/>
      <c r="BK402" s="545"/>
      <c r="BL402" s="545"/>
      <c r="BM402" s="545"/>
      <c r="BN402" s="545"/>
      <c r="BO402" s="545"/>
      <c r="BP402" s="545"/>
      <c r="BQ402" s="545"/>
      <c r="BR402" s="545"/>
      <c r="BS402" s="545"/>
      <c r="BT402" s="545"/>
      <c r="BU402" s="545"/>
      <c r="BV402" s="545"/>
      <c r="BW402" s="545"/>
      <c r="BX402" s="545"/>
      <c r="BY402" s="545"/>
      <c r="BZ402" s="43"/>
      <c r="CA402" s="43"/>
      <c r="CB402" s="43"/>
      <c r="CC402" s="43"/>
      <c r="CD402" s="43"/>
      <c r="CE402" s="43"/>
      <c r="CF402" s="43"/>
      <c r="CG402" s="43"/>
      <c r="CH402" s="43"/>
      <c r="CI402" s="43"/>
      <c r="CJ402" s="43"/>
      <c r="CK402" s="43"/>
      <c r="CL402" s="43"/>
      <c r="CM402" s="43"/>
      <c r="CN402" s="43"/>
      <c r="CO402" s="43"/>
      <c r="CP402" s="43"/>
      <c r="CQ402" s="196"/>
      <c r="CR402" s="196"/>
      <c r="CS402" s="196"/>
      <c r="CT402" s="196"/>
      <c r="CU402" s="126"/>
      <c r="CV402" s="126"/>
      <c r="CW402" s="43"/>
      <c r="CX402" s="43"/>
      <c r="CY402" s="43"/>
      <c r="CZ402" s="43"/>
      <c r="DA402" s="43"/>
      <c r="DB402" s="43"/>
      <c r="DC402" s="43"/>
      <c r="DD402" s="545" t="str">
        <f ca="1">IF(FN388=0,"",".")</f>
        <v/>
      </c>
      <c r="DE402" s="545"/>
      <c r="DF402" s="545"/>
      <c r="DG402" s="545"/>
      <c r="DH402" s="545"/>
      <c r="DI402" s="545"/>
      <c r="DJ402" s="545"/>
      <c r="DK402" s="545"/>
      <c r="DL402" s="545"/>
      <c r="DM402" s="545"/>
      <c r="DN402" s="545"/>
      <c r="DO402" s="545"/>
      <c r="DP402" s="545"/>
      <c r="DQ402" s="545"/>
      <c r="DR402" s="545"/>
      <c r="DS402" s="545"/>
      <c r="DT402" s="545"/>
      <c r="DU402" s="545"/>
      <c r="DV402" s="545"/>
      <c r="DW402" s="545"/>
      <c r="DX402" s="545"/>
      <c r="DY402" s="545"/>
      <c r="DZ402" s="43"/>
      <c r="EA402" s="656"/>
      <c r="EB402" s="656"/>
      <c r="EC402" s="656"/>
      <c r="ED402" s="656"/>
      <c r="EE402" s="656"/>
      <c r="EF402" s="656"/>
      <c r="EG402" s="656"/>
      <c r="EH402" s="656"/>
      <c r="EI402" s="656"/>
      <c r="EJ402" s="656"/>
      <c r="EK402" s="656"/>
      <c r="EL402" s="656"/>
      <c r="EM402" s="656"/>
      <c r="EN402" s="656"/>
      <c r="EO402" s="656"/>
      <c r="EP402" s="656"/>
      <c r="EQ402" s="656"/>
      <c r="ER402" s="656"/>
      <c r="ES402" s="656"/>
      <c r="ET402" s="656"/>
      <c r="EU402" s="656"/>
      <c r="EV402" s="656"/>
      <c r="EW402" s="656"/>
      <c r="EX402" s="656"/>
      <c r="EY402" s="656"/>
      <c r="EZ402" s="656"/>
      <c r="FA402" s="656"/>
      <c r="FB402" s="656"/>
      <c r="FC402" s="656"/>
      <c r="FD402" s="656"/>
      <c r="FE402" s="656"/>
      <c r="FF402" s="10"/>
      <c r="FG402" s="10"/>
      <c r="FH402" s="10"/>
      <c r="FI402" s="10"/>
      <c r="FJ402" s="10"/>
      <c r="FK402" s="26"/>
      <c r="FL402" s="26"/>
      <c r="FM402" s="47"/>
      <c r="FN402" s="47"/>
      <c r="FO402" s="47"/>
      <c r="FP402" s="47"/>
      <c r="FQ402" s="47"/>
      <c r="FR402" s="47"/>
      <c r="FS402" s="49"/>
      <c r="FT402" s="49"/>
      <c r="FU402" s="49"/>
      <c r="FV402" s="49"/>
      <c r="FW402" s="49"/>
      <c r="FX402" s="49"/>
      <c r="FY402" s="47"/>
      <c r="FZ402" s="47"/>
      <c r="GA402" s="49"/>
      <c r="GB402" s="49"/>
      <c r="GC402" s="49">
        <f>GC369</f>
        <v>0</v>
      </c>
      <c r="GD402" s="49"/>
      <c r="GE402" s="49"/>
      <c r="GF402" s="49"/>
      <c r="GG402" s="49"/>
      <c r="GH402" s="49"/>
      <c r="GI402" s="49"/>
      <c r="GJ402" s="49"/>
      <c r="GK402" s="49"/>
      <c r="GL402" s="49"/>
      <c r="GM402" s="49"/>
      <c r="GN402" s="166"/>
      <c r="GO402" s="49"/>
      <c r="GP402" s="49"/>
      <c r="GQ402" s="49"/>
      <c r="GR402" s="49"/>
      <c r="GS402" s="49"/>
      <c r="GT402" s="49"/>
      <c r="GU402" s="49"/>
      <c r="GV402" s="49"/>
      <c r="GW402" s="49"/>
      <c r="GX402" s="49"/>
      <c r="GY402" s="49"/>
      <c r="GZ402" s="49"/>
      <c r="HA402" s="49"/>
      <c r="HB402" s="49"/>
      <c r="HC402" s="49"/>
      <c r="HD402" s="49"/>
      <c r="HE402" s="49"/>
      <c r="HF402" s="78"/>
      <c r="HG402" s="78"/>
      <c r="HH402" s="78"/>
      <c r="HI402" s="78"/>
      <c r="HJ402" s="78"/>
      <c r="HK402" s="78"/>
      <c r="HL402" s="78"/>
      <c r="HM402" s="78"/>
    </row>
    <row r="403" spans="1:221" ht="16.5" customHeight="1">
      <c r="A403" s="1"/>
      <c r="B403" s="3"/>
      <c r="C403" s="3"/>
      <c r="D403" s="12"/>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43"/>
      <c r="AT403" s="182" t="str">
        <f ca="1">IF(FN388=0,"","Het derde punt is (een):")</f>
        <v/>
      </c>
      <c r="AU403" s="43"/>
      <c r="AV403" s="43" t="str">
        <f ca="1">IF(FN388=0,"",".")</f>
        <v/>
      </c>
      <c r="AW403" s="636"/>
      <c r="AX403" s="555"/>
      <c r="AY403" s="555"/>
      <c r="AZ403" s="555"/>
      <c r="BA403" s="555"/>
      <c r="BB403" s="555"/>
      <c r="BC403" s="555"/>
      <c r="BD403" s="555"/>
      <c r="BE403" s="555"/>
      <c r="BF403" s="555"/>
      <c r="BG403" s="555"/>
      <c r="BH403" s="555"/>
      <c r="BI403" s="555"/>
      <c r="BJ403" s="555"/>
      <c r="BK403" s="555"/>
      <c r="BL403" s="555"/>
      <c r="BM403" s="555"/>
      <c r="BN403" s="555"/>
      <c r="BO403" s="555"/>
      <c r="BP403" s="555"/>
      <c r="BQ403" s="555"/>
      <c r="BR403" s="555"/>
      <c r="BS403" s="555"/>
      <c r="BT403" s="555"/>
      <c r="BU403" s="555"/>
      <c r="BV403" s="555"/>
      <c r="BW403" s="555"/>
      <c r="BX403" s="555"/>
      <c r="BY403" s="228" t="str">
        <f ca="1">IF(FN388=0,"",".")</f>
        <v/>
      </c>
      <c r="BZ403" s="197"/>
      <c r="CA403" s="43"/>
      <c r="CB403" s="197"/>
      <c r="CC403" s="197"/>
      <c r="CD403" s="197"/>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182" t="str">
        <f ca="1">IF(FN388=0,"","herkenbaar aan:")</f>
        <v/>
      </c>
      <c r="DC403" s="43"/>
      <c r="DD403" s="43" t="str">
        <f ca="1">IF(FN388=0,"",".")</f>
        <v/>
      </c>
      <c r="DE403" s="636"/>
      <c r="DF403" s="643"/>
      <c r="DG403" s="643"/>
      <c r="DH403" s="643"/>
      <c r="DI403" s="643"/>
      <c r="DJ403" s="643"/>
      <c r="DK403" s="643"/>
      <c r="DL403" s="643"/>
      <c r="DM403" s="643"/>
      <c r="DN403" s="643"/>
      <c r="DO403" s="643"/>
      <c r="DP403" s="643"/>
      <c r="DQ403" s="643"/>
      <c r="DR403" s="643"/>
      <c r="DS403" s="643"/>
      <c r="DT403" s="643"/>
      <c r="DU403" s="643"/>
      <c r="DV403" s="643"/>
      <c r="DW403" s="643"/>
      <c r="DX403" s="643"/>
      <c r="DY403" s="228" t="str">
        <f ca="1">IF(FN388=0,"",".")</f>
        <v/>
      </c>
      <c r="DZ403" s="126"/>
      <c r="EA403" s="656"/>
      <c r="EB403" s="656"/>
      <c r="EC403" s="656"/>
      <c r="ED403" s="656"/>
      <c r="EE403" s="656"/>
      <c r="EF403" s="656"/>
      <c r="EG403" s="656"/>
      <c r="EH403" s="656"/>
      <c r="EI403" s="656"/>
      <c r="EJ403" s="656"/>
      <c r="EK403" s="656"/>
      <c r="EL403" s="656"/>
      <c r="EM403" s="656"/>
      <c r="EN403" s="656"/>
      <c r="EO403" s="656"/>
      <c r="EP403" s="656"/>
      <c r="EQ403" s="656"/>
      <c r="ER403" s="656"/>
      <c r="ES403" s="656"/>
      <c r="ET403" s="656"/>
      <c r="EU403" s="656"/>
      <c r="EV403" s="656"/>
      <c r="EW403" s="656"/>
      <c r="EX403" s="656"/>
      <c r="EY403" s="656"/>
      <c r="EZ403" s="656"/>
      <c r="FA403" s="656"/>
      <c r="FB403" s="656"/>
      <c r="FC403" s="656"/>
      <c r="FD403" s="656"/>
      <c r="FE403" s="656"/>
      <c r="FF403" s="25"/>
      <c r="FG403" s="26"/>
      <c r="FH403" s="79"/>
      <c r="FI403" s="79"/>
      <c r="FJ403" s="79"/>
      <c r="FK403" s="79"/>
      <c r="FL403" s="79"/>
      <c r="FM403" s="468"/>
      <c r="FN403" s="206">
        <f ca="1">FP395+FP399+FP403+FP407</f>
        <v>0</v>
      </c>
      <c r="FO403" s="206">
        <f ca="1">IF(programma!B1="X",1,IF(FN388=0,0,IF(AW403=FR395,1,0)))</f>
        <v>0</v>
      </c>
      <c r="FP403" s="206">
        <f ca="1">IF(programma!B1="X",1,IF(FN388=0,0,IF(DE403=FW395,1,0)))</f>
        <v>0</v>
      </c>
      <c r="FQ403" s="206"/>
      <c r="FR403" s="447" t="str">
        <f ca="1">IF(FO1=0,"",FU395)</f>
        <v>GO = GTK</v>
      </c>
      <c r="FS403" s="447" t="str">
        <f ca="1">IF(FO1=0,"",FV395)</f>
        <v>MO = MK</v>
      </c>
      <c r="FT403" s="447" t="str">
        <f ca="1">IF(FO1=0,"",FW395)</f>
        <v>MO = 0</v>
      </c>
      <c r="FU403" s="447" t="str">
        <f ca="1">IF(FO1=0,"",FU395)</f>
        <v>GO = GTK</v>
      </c>
      <c r="FV403" s="93"/>
      <c r="FW403" s="93"/>
      <c r="FX403" s="93"/>
      <c r="FY403" s="93"/>
      <c r="FZ403" s="93"/>
      <c r="GA403" s="49"/>
      <c r="GB403" s="78"/>
      <c r="GC403" s="78">
        <f>GC370</f>
        <v>0</v>
      </c>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row>
    <row r="404" spans="1:221" ht="3.75" customHeight="1">
      <c r="A404" s="1"/>
      <c r="B404" s="3"/>
      <c r="C404" s="3"/>
      <c r="D404" s="38"/>
      <c r="E404" s="10"/>
      <c r="F404" s="10"/>
      <c r="G404" s="10"/>
      <c r="H404" s="10"/>
      <c r="I404" s="10"/>
      <c r="J404" s="10"/>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43"/>
      <c r="AT404" s="43"/>
      <c r="AU404" s="43"/>
      <c r="AV404" s="538" t="str">
        <f ca="1">IF(FN388=0,"",".")</f>
        <v/>
      </c>
      <c r="AW404" s="545"/>
      <c r="AX404" s="545"/>
      <c r="AY404" s="545"/>
      <c r="AZ404" s="545"/>
      <c r="BA404" s="545"/>
      <c r="BB404" s="545"/>
      <c r="BC404" s="545"/>
      <c r="BD404" s="545"/>
      <c r="BE404" s="545"/>
      <c r="BF404" s="545"/>
      <c r="BG404" s="545"/>
      <c r="BH404" s="545"/>
      <c r="BI404" s="545"/>
      <c r="BJ404" s="545"/>
      <c r="BK404" s="545"/>
      <c r="BL404" s="545"/>
      <c r="BM404" s="545"/>
      <c r="BN404" s="545"/>
      <c r="BO404" s="545"/>
      <c r="BP404" s="545"/>
      <c r="BQ404" s="545"/>
      <c r="BR404" s="545"/>
      <c r="BS404" s="545"/>
      <c r="BT404" s="545"/>
      <c r="BU404" s="545"/>
      <c r="BV404" s="545"/>
      <c r="BW404" s="545"/>
      <c r="BX404" s="545"/>
      <c r="BY404" s="545"/>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545" t="str">
        <f ca="1">IF(FN388=0,"",".")</f>
        <v/>
      </c>
      <c r="DE404" s="545"/>
      <c r="DF404" s="545"/>
      <c r="DG404" s="545"/>
      <c r="DH404" s="545"/>
      <c r="DI404" s="545"/>
      <c r="DJ404" s="545"/>
      <c r="DK404" s="545"/>
      <c r="DL404" s="545"/>
      <c r="DM404" s="545"/>
      <c r="DN404" s="545"/>
      <c r="DO404" s="545"/>
      <c r="DP404" s="545"/>
      <c r="DQ404" s="545"/>
      <c r="DR404" s="545"/>
      <c r="DS404" s="545"/>
      <c r="DT404" s="545"/>
      <c r="DU404" s="545"/>
      <c r="DV404" s="545"/>
      <c r="DW404" s="545"/>
      <c r="DX404" s="545"/>
      <c r="DY404" s="545"/>
      <c r="DZ404" s="43"/>
      <c r="EA404" s="43"/>
      <c r="EB404" s="43"/>
      <c r="EC404" s="79"/>
      <c r="ED404" s="196"/>
      <c r="EE404" s="196"/>
      <c r="EF404" s="196"/>
      <c r="EG404" s="196"/>
      <c r="EH404" s="196"/>
      <c r="EI404" s="196"/>
      <c r="EJ404" s="196"/>
      <c r="EK404" s="196"/>
      <c r="EL404" s="196"/>
      <c r="EM404" s="196"/>
      <c r="EN404" s="196"/>
      <c r="EO404" s="196"/>
      <c r="EP404" s="196"/>
      <c r="EQ404" s="196"/>
      <c r="ER404" s="196"/>
      <c r="ES404" s="196"/>
      <c r="ET404" s="196"/>
      <c r="EU404" s="196"/>
      <c r="EV404" s="196"/>
      <c r="EW404" s="196"/>
      <c r="EX404" s="196"/>
      <c r="EY404" s="196"/>
      <c r="EZ404" s="10"/>
      <c r="FA404" s="10"/>
      <c r="FB404" s="10"/>
      <c r="FC404" s="10"/>
      <c r="FD404" s="10"/>
      <c r="FE404" s="10"/>
      <c r="FF404" s="10"/>
      <c r="FG404" s="10"/>
      <c r="FH404" s="10"/>
      <c r="FI404" s="10"/>
      <c r="FJ404" s="10"/>
      <c r="FK404" s="26"/>
      <c r="FL404" s="26"/>
      <c r="FM404" s="47"/>
      <c r="FN404" s="47"/>
      <c r="FO404" s="47"/>
      <c r="FP404" s="47"/>
      <c r="FQ404" s="47"/>
      <c r="FR404" s="47"/>
      <c r="FS404" s="49"/>
      <c r="FT404" s="49"/>
      <c r="FU404" s="49"/>
      <c r="FV404" s="49"/>
      <c r="FW404" s="49"/>
      <c r="FX404" s="49"/>
      <c r="FY404" s="47"/>
      <c r="FZ404" s="47"/>
      <c r="GA404" s="49"/>
      <c r="GB404" s="49"/>
      <c r="GC404" s="49">
        <f>GC371</f>
        <v>0</v>
      </c>
      <c r="GD404" s="49"/>
      <c r="GE404" s="49"/>
      <c r="GF404" s="49"/>
      <c r="GG404" s="49"/>
      <c r="GH404" s="49"/>
      <c r="GI404" s="49"/>
      <c r="GJ404" s="49"/>
      <c r="GK404" s="49"/>
      <c r="GL404" s="49"/>
      <c r="GM404" s="49"/>
      <c r="GN404" s="166"/>
      <c r="GO404" s="49"/>
      <c r="GP404" s="49"/>
      <c r="GQ404" s="49"/>
      <c r="GR404" s="49"/>
      <c r="GS404" s="49"/>
      <c r="GT404" s="49"/>
      <c r="GU404" s="49"/>
      <c r="GV404" s="49"/>
      <c r="GW404" s="49"/>
      <c r="GX404" s="49"/>
      <c r="GY404" s="49"/>
      <c r="GZ404" s="49"/>
      <c r="HA404" s="49"/>
      <c r="HB404" s="49"/>
      <c r="HC404" s="49"/>
      <c r="HD404" s="49"/>
      <c r="HE404" s="49"/>
      <c r="HF404" s="78"/>
      <c r="HG404" s="78"/>
      <c r="HH404" s="78"/>
      <c r="HI404" s="78"/>
      <c r="HJ404" s="78"/>
      <c r="HK404" s="78"/>
      <c r="HL404" s="78"/>
      <c r="HM404" s="78"/>
    </row>
    <row r="405" spans="1:221" ht="5.25" customHeight="1">
      <c r="A405" s="1"/>
      <c r="B405" s="3"/>
      <c r="C405" s="3"/>
      <c r="D405" s="12"/>
      <c r="E405" s="10"/>
      <c r="F405" s="10"/>
      <c r="G405" s="10"/>
      <c r="H405" s="10"/>
      <c r="I405" s="10"/>
      <c r="J405" s="10"/>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79"/>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c r="DT405" s="43"/>
      <c r="DU405" s="43"/>
      <c r="DV405" s="43"/>
      <c r="DW405" s="43"/>
      <c r="DX405" s="43"/>
      <c r="DY405" s="43"/>
      <c r="DZ405" s="126"/>
      <c r="EA405" s="126"/>
      <c r="EB405" s="126"/>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26"/>
      <c r="FL405" s="26"/>
      <c r="FM405" s="49"/>
      <c r="FN405" s="49"/>
      <c r="FO405" s="49"/>
      <c r="FP405" s="49"/>
      <c r="FQ405" s="49"/>
      <c r="FR405" s="49"/>
      <c r="FS405" s="49"/>
      <c r="FT405" s="49"/>
      <c r="FU405" s="47"/>
      <c r="FV405" s="47"/>
      <c r="FW405" s="47"/>
      <c r="FX405" s="47"/>
      <c r="FY405" s="47"/>
      <c r="FZ405" s="47"/>
      <c r="GA405" s="49"/>
      <c r="GB405" s="49"/>
      <c r="GC405" s="49">
        <f>GC372</f>
        <v>0</v>
      </c>
      <c r="GD405" s="49"/>
      <c r="GE405" s="49"/>
      <c r="GF405" s="49"/>
      <c r="GG405" s="49"/>
      <c r="GH405" s="49"/>
      <c r="GI405" s="49"/>
      <c r="GJ405" s="49"/>
      <c r="GK405" s="49"/>
      <c r="GL405" s="49"/>
      <c r="GM405" s="49"/>
      <c r="GN405" s="166"/>
      <c r="GO405" s="49"/>
      <c r="GP405" s="49"/>
      <c r="GQ405" s="49"/>
      <c r="GR405" s="49"/>
      <c r="GS405" s="49"/>
      <c r="GT405" s="49"/>
      <c r="GU405" s="49"/>
      <c r="GV405" s="49"/>
      <c r="GW405" s="49"/>
      <c r="GX405" s="49"/>
      <c r="GY405" s="49"/>
      <c r="GZ405" s="49"/>
      <c r="HA405" s="49"/>
      <c r="HB405" s="49"/>
      <c r="HC405" s="49"/>
      <c r="HD405" s="49"/>
      <c r="HE405" s="49"/>
      <c r="HF405" s="78"/>
      <c r="HG405" s="78"/>
      <c r="HH405" s="78"/>
      <c r="HI405" s="78"/>
      <c r="HJ405" s="78"/>
      <c r="HK405" s="78"/>
      <c r="HL405" s="78"/>
      <c r="HM405" s="78"/>
    </row>
    <row r="406" spans="1:221" ht="3.75" customHeight="1">
      <c r="A406" s="1"/>
      <c r="B406" s="3"/>
      <c r="C406" s="3"/>
      <c r="D406" s="38"/>
      <c r="E406" s="10"/>
      <c r="F406" s="10"/>
      <c r="G406" s="10"/>
      <c r="H406" s="10"/>
      <c r="I406" s="10"/>
      <c r="J406" s="10"/>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43"/>
      <c r="AT406" s="43"/>
      <c r="AU406" s="126"/>
      <c r="AV406" s="538" t="str">
        <f ca="1">IF(FN388=0,"",".")</f>
        <v/>
      </c>
      <c r="AW406" s="545"/>
      <c r="AX406" s="545"/>
      <c r="AY406" s="545"/>
      <c r="AZ406" s="545"/>
      <c r="BA406" s="545"/>
      <c r="BB406" s="545"/>
      <c r="BC406" s="545"/>
      <c r="BD406" s="545"/>
      <c r="BE406" s="545"/>
      <c r="BF406" s="545"/>
      <c r="BG406" s="545"/>
      <c r="BH406" s="545"/>
      <c r="BI406" s="545"/>
      <c r="BJ406" s="545"/>
      <c r="BK406" s="545"/>
      <c r="BL406" s="545"/>
      <c r="BM406" s="545"/>
      <c r="BN406" s="545"/>
      <c r="BO406" s="545"/>
      <c r="BP406" s="545"/>
      <c r="BQ406" s="545"/>
      <c r="BR406" s="545"/>
      <c r="BS406" s="545"/>
      <c r="BT406" s="545"/>
      <c r="BU406" s="545"/>
      <c r="BV406" s="545"/>
      <c r="BW406" s="545"/>
      <c r="BX406" s="545"/>
      <c r="BY406" s="545"/>
      <c r="BZ406" s="43"/>
      <c r="CA406" s="43"/>
      <c r="CB406" s="43"/>
      <c r="CC406" s="43"/>
      <c r="CD406" s="43"/>
      <c r="CE406" s="43"/>
      <c r="CF406" s="43"/>
      <c r="CG406" s="43"/>
      <c r="CH406" s="43"/>
      <c r="CI406" s="43"/>
      <c r="CJ406" s="43"/>
      <c r="CK406" s="43"/>
      <c r="CL406" s="43"/>
      <c r="CM406" s="43"/>
      <c r="CN406" s="43"/>
      <c r="CO406" s="43"/>
      <c r="CP406" s="43"/>
      <c r="CQ406" s="196"/>
      <c r="CR406" s="196"/>
      <c r="CS406" s="196"/>
      <c r="CT406" s="196"/>
      <c r="CU406" s="126"/>
      <c r="CV406" s="126"/>
      <c r="CW406" s="43"/>
      <c r="CX406" s="43"/>
      <c r="CY406" s="43"/>
      <c r="CZ406" s="43"/>
      <c r="DA406" s="43"/>
      <c r="DB406" s="43"/>
      <c r="DC406" s="43"/>
      <c r="DD406" s="545" t="str">
        <f ca="1">IF(FN388=0,"",".")</f>
        <v/>
      </c>
      <c r="DE406" s="545"/>
      <c r="DF406" s="545"/>
      <c r="DG406" s="545"/>
      <c r="DH406" s="545"/>
      <c r="DI406" s="545"/>
      <c r="DJ406" s="545"/>
      <c r="DK406" s="545"/>
      <c r="DL406" s="545"/>
      <c r="DM406" s="545"/>
      <c r="DN406" s="545"/>
      <c r="DO406" s="545"/>
      <c r="DP406" s="545"/>
      <c r="DQ406" s="545"/>
      <c r="DR406" s="545"/>
      <c r="DS406" s="545"/>
      <c r="DT406" s="545"/>
      <c r="DU406" s="545"/>
      <c r="DV406" s="545"/>
      <c r="DW406" s="545"/>
      <c r="DX406" s="545"/>
      <c r="DY406" s="545"/>
      <c r="DZ406" s="43"/>
      <c r="EA406" s="43"/>
      <c r="EB406" s="43"/>
      <c r="EC406" s="79"/>
      <c r="ED406" s="79"/>
      <c r="EE406" s="79"/>
      <c r="EF406" s="79"/>
      <c r="EG406" s="79"/>
      <c r="EH406" s="79"/>
      <c r="EI406" s="79"/>
      <c r="EJ406" s="79"/>
      <c r="EK406" s="79"/>
      <c r="EL406" s="43"/>
      <c r="EM406" s="43"/>
      <c r="EN406" s="43"/>
      <c r="EO406" s="43"/>
      <c r="EP406" s="43"/>
      <c r="EQ406" s="43"/>
      <c r="ER406" s="43"/>
      <c r="ES406" s="79"/>
      <c r="ET406" s="79"/>
      <c r="EU406" s="196"/>
      <c r="EV406" s="196"/>
      <c r="EW406" s="196"/>
      <c r="EX406" s="196"/>
      <c r="EY406" s="196"/>
      <c r="EZ406" s="10"/>
      <c r="FA406" s="10"/>
      <c r="FB406" s="10"/>
      <c r="FC406" s="10"/>
      <c r="FD406" s="10"/>
      <c r="FE406" s="10"/>
      <c r="FF406" s="10"/>
      <c r="FG406" s="10"/>
      <c r="FH406" s="10"/>
      <c r="FI406" s="10"/>
      <c r="FJ406" s="10"/>
      <c r="FK406" s="26"/>
      <c r="FL406" s="26"/>
      <c r="FM406" s="47"/>
      <c r="FN406" s="47"/>
      <c r="FO406" s="47"/>
      <c r="FP406" s="47"/>
      <c r="FQ406" s="47"/>
      <c r="FR406" s="47"/>
      <c r="FS406" s="49"/>
      <c r="FT406" s="49"/>
      <c r="FU406" s="49"/>
      <c r="FV406" s="49"/>
      <c r="FW406" s="49"/>
      <c r="FX406" s="49"/>
      <c r="FY406" s="47"/>
      <c r="FZ406" s="47"/>
      <c r="GA406" s="49"/>
      <c r="GB406" s="49"/>
      <c r="GC406" s="49"/>
      <c r="GD406" s="49"/>
      <c r="GE406" s="49"/>
      <c r="GF406" s="49"/>
      <c r="GG406" s="49"/>
      <c r="GH406" s="49"/>
      <c r="GI406" s="49"/>
      <c r="GJ406" s="49"/>
      <c r="GK406" s="49"/>
      <c r="GL406" s="49"/>
      <c r="GM406" s="49"/>
      <c r="GN406" s="166"/>
      <c r="GO406" s="49"/>
      <c r="GP406" s="49"/>
      <c r="GQ406" s="49"/>
      <c r="GR406" s="49"/>
      <c r="GS406" s="49"/>
      <c r="GT406" s="49"/>
      <c r="GU406" s="49"/>
      <c r="GV406" s="49"/>
      <c r="GW406" s="49"/>
      <c r="GX406" s="49"/>
      <c r="GY406" s="49"/>
      <c r="GZ406" s="49"/>
      <c r="HA406" s="49"/>
      <c r="HB406" s="49"/>
      <c r="HC406" s="49"/>
      <c r="HD406" s="49"/>
      <c r="HE406" s="49"/>
      <c r="HF406" s="78"/>
      <c r="HG406" s="78"/>
      <c r="HH406" s="78"/>
      <c r="HI406" s="78"/>
      <c r="HJ406" s="78"/>
      <c r="HK406" s="78"/>
      <c r="HL406" s="78"/>
      <c r="HM406" s="78"/>
    </row>
    <row r="407" spans="1:221" ht="16.5" customHeight="1">
      <c r="A407" s="1"/>
      <c r="B407" s="3"/>
      <c r="C407" s="3"/>
      <c r="D407" s="12"/>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43"/>
      <c r="AT407" s="182" t="str">
        <f ca="1">IF(FN388=0,"","Het vierde punt is (een):")</f>
        <v/>
      </c>
      <c r="AU407" s="43"/>
      <c r="AV407" s="43" t="str">
        <f ca="1">IF(FN388=0,"",".")</f>
        <v/>
      </c>
      <c r="AW407" s="636"/>
      <c r="AX407" s="555"/>
      <c r="AY407" s="555"/>
      <c r="AZ407" s="555"/>
      <c r="BA407" s="555"/>
      <c r="BB407" s="555"/>
      <c r="BC407" s="555"/>
      <c r="BD407" s="555"/>
      <c r="BE407" s="555"/>
      <c r="BF407" s="555"/>
      <c r="BG407" s="555"/>
      <c r="BH407" s="555"/>
      <c r="BI407" s="555"/>
      <c r="BJ407" s="555"/>
      <c r="BK407" s="555"/>
      <c r="BL407" s="555"/>
      <c r="BM407" s="555"/>
      <c r="BN407" s="555"/>
      <c r="BO407" s="555"/>
      <c r="BP407" s="555"/>
      <c r="BQ407" s="555"/>
      <c r="BR407" s="555"/>
      <c r="BS407" s="555"/>
      <c r="BT407" s="555"/>
      <c r="BU407" s="555"/>
      <c r="BV407" s="555"/>
      <c r="BW407" s="555"/>
      <c r="BX407" s="555"/>
      <c r="BY407" s="228" t="str">
        <f ca="1">IF(FN388=0,"",".")</f>
        <v/>
      </c>
      <c r="BZ407" s="197"/>
      <c r="CA407" s="43"/>
      <c r="CB407" s="197"/>
      <c r="CC407" s="197"/>
      <c r="CD407" s="197"/>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182" t="str">
        <f ca="1">IF(FN388=0,"","herkenbaar aan:")</f>
        <v/>
      </c>
      <c r="DC407" s="43"/>
      <c r="DD407" s="43" t="str">
        <f ca="1">IF(FN388=0,"",".")</f>
        <v/>
      </c>
      <c r="DE407" s="636"/>
      <c r="DF407" s="643"/>
      <c r="DG407" s="643"/>
      <c r="DH407" s="643"/>
      <c r="DI407" s="643"/>
      <c r="DJ407" s="643"/>
      <c r="DK407" s="643"/>
      <c r="DL407" s="643"/>
      <c r="DM407" s="643"/>
      <c r="DN407" s="643"/>
      <c r="DO407" s="643"/>
      <c r="DP407" s="643"/>
      <c r="DQ407" s="643"/>
      <c r="DR407" s="643"/>
      <c r="DS407" s="643"/>
      <c r="DT407" s="643"/>
      <c r="DU407" s="643"/>
      <c r="DV407" s="643"/>
      <c r="DW407" s="643"/>
      <c r="DX407" s="643"/>
      <c r="DY407" s="228" t="str">
        <f ca="1">IF(FN388=0,"",".")</f>
        <v/>
      </c>
      <c r="DZ407" s="126"/>
      <c r="EA407" s="126"/>
      <c r="EB407" s="126"/>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25"/>
      <c r="FG407" s="26"/>
      <c r="FH407" s="79"/>
      <c r="FI407" s="79"/>
      <c r="FJ407" s="79"/>
      <c r="FK407" s="79"/>
      <c r="FL407" s="79"/>
      <c r="FM407" s="468"/>
      <c r="FN407" s="206"/>
      <c r="FO407" s="206">
        <f ca="1">IF(programma!B1="X",1,IF(FN388=0,0,IF(AW407=FQ395,1,0)))</f>
        <v>0</v>
      </c>
      <c r="FP407" s="206">
        <f ca="1">IF(programma!B1="X",1,IF(FN388=0,0,IF(DE407=FU395,1,0)))</f>
        <v>0</v>
      </c>
      <c r="FQ407" s="206"/>
      <c r="FR407" s="116"/>
      <c r="FS407" s="116"/>
      <c r="FT407" s="116"/>
      <c r="FU407" s="116"/>
      <c r="FV407" s="93"/>
      <c r="FW407" s="93"/>
      <c r="FX407" s="93"/>
      <c r="FY407" s="93"/>
      <c r="FZ407" s="93"/>
      <c r="GA407" s="49"/>
      <c r="GB407" s="78"/>
      <c r="GC407" s="78"/>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row>
    <row r="408" spans="1:221" ht="3.75" customHeight="1">
      <c r="A408" s="1"/>
      <c r="B408" s="3"/>
      <c r="C408" s="3"/>
      <c r="D408" s="38"/>
      <c r="E408" s="10"/>
      <c r="F408" s="10"/>
      <c r="G408" s="10"/>
      <c r="H408" s="10"/>
      <c r="I408" s="10"/>
      <c r="J408" s="10"/>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43"/>
      <c r="AT408" s="43"/>
      <c r="AU408" s="126"/>
      <c r="AV408" s="538" t="str">
        <f ca="1">IF(FN388=0,"",".")</f>
        <v/>
      </c>
      <c r="AW408" s="545"/>
      <c r="AX408" s="545"/>
      <c r="AY408" s="545"/>
      <c r="AZ408" s="545"/>
      <c r="BA408" s="545"/>
      <c r="BB408" s="545"/>
      <c r="BC408" s="545"/>
      <c r="BD408" s="545"/>
      <c r="BE408" s="545"/>
      <c r="BF408" s="545"/>
      <c r="BG408" s="545"/>
      <c r="BH408" s="545"/>
      <c r="BI408" s="545"/>
      <c r="BJ408" s="545"/>
      <c r="BK408" s="545"/>
      <c r="BL408" s="545"/>
      <c r="BM408" s="545"/>
      <c r="BN408" s="545"/>
      <c r="BO408" s="545"/>
      <c r="BP408" s="545"/>
      <c r="BQ408" s="545"/>
      <c r="BR408" s="545"/>
      <c r="BS408" s="545"/>
      <c r="BT408" s="545"/>
      <c r="BU408" s="545"/>
      <c r="BV408" s="545"/>
      <c r="BW408" s="545"/>
      <c r="BX408" s="545"/>
      <c r="BY408" s="545"/>
      <c r="BZ408" s="43"/>
      <c r="CA408" s="43"/>
      <c r="CB408" s="43"/>
      <c r="CC408" s="43"/>
      <c r="CD408" s="43"/>
      <c r="CE408" s="43"/>
      <c r="CF408" s="43"/>
      <c r="CG408" s="43"/>
      <c r="CH408" s="43"/>
      <c r="CI408" s="43"/>
      <c r="CJ408" s="43"/>
      <c r="CK408" s="43"/>
      <c r="CL408" s="43"/>
      <c r="CM408" s="43"/>
      <c r="CN408" s="43"/>
      <c r="CO408" s="43"/>
      <c r="CP408" s="43"/>
      <c r="CQ408" s="196"/>
      <c r="CR408" s="196"/>
      <c r="CS408" s="196"/>
      <c r="CT408" s="196"/>
      <c r="CU408" s="126"/>
      <c r="CV408" s="126"/>
      <c r="CW408" s="43"/>
      <c r="CX408" s="43"/>
      <c r="CY408" s="43"/>
      <c r="CZ408" s="43"/>
      <c r="DA408" s="43"/>
      <c r="DB408" s="43"/>
      <c r="DC408" s="43"/>
      <c r="DD408" s="545" t="str">
        <f ca="1">IF(FN388=0,"",".")</f>
        <v/>
      </c>
      <c r="DE408" s="545"/>
      <c r="DF408" s="545"/>
      <c r="DG408" s="545"/>
      <c r="DH408" s="545"/>
      <c r="DI408" s="545"/>
      <c r="DJ408" s="545"/>
      <c r="DK408" s="545"/>
      <c r="DL408" s="545"/>
      <c r="DM408" s="545"/>
      <c r="DN408" s="545"/>
      <c r="DO408" s="545"/>
      <c r="DP408" s="545"/>
      <c r="DQ408" s="545"/>
      <c r="DR408" s="545"/>
      <c r="DS408" s="545"/>
      <c r="DT408" s="545"/>
      <c r="DU408" s="545"/>
      <c r="DV408" s="545"/>
      <c r="DW408" s="545"/>
      <c r="DX408" s="545"/>
      <c r="DY408" s="545"/>
      <c r="DZ408" s="43"/>
      <c r="EA408" s="43"/>
      <c r="EB408" s="43"/>
      <c r="EC408" s="79"/>
      <c r="ED408" s="79"/>
      <c r="EE408" s="79"/>
      <c r="EF408" s="79"/>
      <c r="EG408" s="79"/>
      <c r="EH408" s="79"/>
      <c r="EI408" s="79"/>
      <c r="EJ408" s="79"/>
      <c r="EK408" s="79"/>
      <c r="EL408" s="43"/>
      <c r="EM408" s="43"/>
      <c r="EN408" s="43"/>
      <c r="EO408" s="43"/>
      <c r="EP408" s="43"/>
      <c r="EQ408" s="43"/>
      <c r="ER408" s="43"/>
      <c r="ES408" s="79"/>
      <c r="ET408" s="79"/>
      <c r="EU408" s="196"/>
      <c r="EV408" s="196"/>
      <c r="EW408" s="196"/>
      <c r="EX408" s="196"/>
      <c r="EY408" s="196"/>
      <c r="EZ408" s="10"/>
      <c r="FA408" s="10"/>
      <c r="FB408" s="10"/>
      <c r="FC408" s="10"/>
      <c r="FD408" s="10"/>
      <c r="FE408" s="10"/>
      <c r="FF408" s="10"/>
      <c r="FG408" s="10"/>
      <c r="FH408" s="10"/>
      <c r="FI408" s="10"/>
      <c r="FJ408" s="10"/>
      <c r="FK408" s="26"/>
      <c r="FL408" s="26"/>
      <c r="FM408" s="47"/>
      <c r="FN408" s="47"/>
      <c r="FO408" s="47"/>
      <c r="FP408" s="47"/>
      <c r="FQ408" s="47"/>
      <c r="FR408" s="47"/>
      <c r="FS408" s="49"/>
      <c r="FT408" s="49"/>
      <c r="FU408" s="49"/>
      <c r="FV408" s="49"/>
      <c r="FW408" s="49"/>
      <c r="FX408" s="49"/>
      <c r="FY408" s="47"/>
      <c r="FZ408" s="47"/>
      <c r="GA408" s="49"/>
      <c r="GB408" s="49"/>
      <c r="GC408" s="49"/>
      <c r="GD408" s="49"/>
      <c r="GE408" s="49"/>
      <c r="GF408" s="49"/>
      <c r="GG408" s="49"/>
      <c r="GH408" s="49"/>
      <c r="GI408" s="49"/>
      <c r="GJ408" s="49"/>
      <c r="GK408" s="49"/>
      <c r="GL408" s="49"/>
      <c r="GM408" s="49"/>
      <c r="GN408" s="166"/>
      <c r="GO408" s="49"/>
      <c r="GP408" s="49"/>
      <c r="GQ408" s="49"/>
      <c r="GR408" s="49"/>
      <c r="GS408" s="49"/>
      <c r="GT408" s="49"/>
      <c r="GU408" s="49"/>
      <c r="GV408" s="49"/>
      <c r="GW408" s="49"/>
      <c r="GX408" s="49"/>
      <c r="GY408" s="49"/>
      <c r="GZ408" s="49"/>
      <c r="HA408" s="49"/>
      <c r="HB408" s="49"/>
      <c r="HC408" s="49"/>
      <c r="HD408" s="49"/>
      <c r="HE408" s="49"/>
      <c r="HF408" s="78"/>
      <c r="HG408" s="78"/>
      <c r="HH408" s="78"/>
      <c r="HI408" s="78"/>
      <c r="HJ408" s="78"/>
      <c r="HK408" s="78"/>
      <c r="HL408" s="78"/>
      <c r="HM408" s="78"/>
    </row>
    <row r="409" spans="1:221" ht="14.25" customHeight="1">
      <c r="A409" s="1"/>
      <c r="B409" s="3"/>
      <c r="C409" s="3"/>
      <c r="D409" s="12"/>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c r="BY409" s="126"/>
      <c r="BZ409" s="126"/>
      <c r="CA409" s="126"/>
      <c r="CB409" s="126"/>
      <c r="CC409" s="126"/>
      <c r="CD409" s="126"/>
      <c r="CE409" s="126"/>
      <c r="CF409" s="126"/>
      <c r="CG409" s="126"/>
      <c r="CH409" s="126"/>
      <c r="CI409" s="126"/>
      <c r="CJ409" s="126"/>
      <c r="CK409" s="126"/>
      <c r="CL409" s="126"/>
      <c r="CM409" s="126"/>
      <c r="CN409" s="126"/>
      <c r="CO409" s="126"/>
      <c r="CP409" s="126"/>
      <c r="CQ409" s="126"/>
      <c r="CR409" s="126"/>
      <c r="CS409" s="126"/>
      <c r="CT409" s="126"/>
      <c r="CU409" s="126"/>
      <c r="CV409" s="126"/>
      <c r="CW409" s="126"/>
      <c r="CX409" s="126"/>
      <c r="CY409" s="126"/>
      <c r="CZ409" s="126"/>
      <c r="DA409" s="126"/>
      <c r="DB409" s="126"/>
      <c r="DC409" s="126"/>
      <c r="DD409" s="126"/>
      <c r="DE409" s="126"/>
      <c r="DF409" s="126"/>
      <c r="DG409" s="126"/>
      <c r="DH409" s="126"/>
      <c r="DI409" s="126"/>
      <c r="DJ409" s="126"/>
      <c r="DK409" s="126"/>
      <c r="DL409" s="126"/>
      <c r="DM409" s="126"/>
      <c r="DN409" s="126"/>
      <c r="DO409" s="126"/>
      <c r="DP409" s="126"/>
      <c r="DQ409" s="126"/>
      <c r="DR409" s="126"/>
      <c r="DS409" s="126"/>
      <c r="DT409" s="126"/>
      <c r="DU409" s="126"/>
      <c r="DV409" s="126"/>
      <c r="DW409" s="126"/>
      <c r="DX409" s="126"/>
      <c r="DY409" s="126"/>
      <c r="DZ409" s="126"/>
      <c r="EA409" s="126"/>
      <c r="EB409" s="126"/>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25"/>
      <c r="FG409" s="26"/>
      <c r="FH409" s="79"/>
      <c r="FI409" s="79"/>
      <c r="FJ409" s="79"/>
      <c r="FK409" s="79"/>
      <c r="FL409" s="79"/>
      <c r="FM409" s="93"/>
      <c r="FN409" s="93"/>
      <c r="FO409" s="93"/>
      <c r="FP409" s="93"/>
      <c r="FQ409" s="93"/>
      <c r="FR409" s="78"/>
      <c r="FS409" s="78"/>
      <c r="FT409" s="78"/>
      <c r="FU409" s="78"/>
      <c r="FV409" s="93"/>
      <c r="FW409" s="93"/>
      <c r="FX409" s="93"/>
      <c r="FY409" s="93"/>
      <c r="FZ409" s="93"/>
      <c r="GA409" s="49"/>
      <c r="GB409" s="78"/>
      <c r="GC409" s="78"/>
      <c r="GD409" s="49"/>
      <c r="GE409" s="49"/>
      <c r="GF409" s="49"/>
      <c r="GG409" s="49"/>
      <c r="GH409" s="49"/>
      <c r="GI409" s="49"/>
      <c r="GJ409" s="49"/>
      <c r="GK409" s="49"/>
      <c r="GL409" s="49"/>
      <c r="GM409" s="49"/>
      <c r="GN409" s="49"/>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row>
    <row r="410" spans="1:221" ht="16.95" customHeight="1">
      <c r="A410" s="1"/>
      <c r="B410" s="3"/>
      <c r="C410" s="3"/>
      <c r="D410" s="12" t="str">
        <f ca="1">IF(FN395=0,"","Je bent nu klaar met dit onderwerp. Ga naar het volgende onderwerp door")</f>
        <v/>
      </c>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25"/>
      <c r="FG410" s="26"/>
      <c r="FH410" s="79"/>
      <c r="FI410" s="79"/>
      <c r="FJ410" s="79"/>
      <c r="FK410" s="79"/>
      <c r="FL410" s="79"/>
      <c r="FM410" s="468"/>
      <c r="FN410" s="371"/>
      <c r="FO410" s="371"/>
      <c r="FP410" s="371"/>
      <c r="FQ410" s="371"/>
      <c r="FR410" s="116"/>
      <c r="FS410" s="116"/>
      <c r="FT410" s="116"/>
      <c r="FU410" s="116"/>
      <c r="FV410" s="93"/>
      <c r="FW410" s="93"/>
      <c r="FX410" s="93"/>
      <c r="FY410" s="93"/>
      <c r="FZ410" s="93"/>
      <c r="GA410" s="49"/>
      <c r="GB410" s="338"/>
      <c r="GC410" s="338"/>
      <c r="GD410" s="49"/>
      <c r="GE410" s="49"/>
      <c r="GF410" s="49"/>
      <c r="GG410" s="49"/>
      <c r="GH410" s="49"/>
      <c r="GI410" s="49"/>
      <c r="GJ410" s="49"/>
      <c r="GK410" s="49"/>
      <c r="GL410" s="49"/>
      <c r="GM410" s="49"/>
      <c r="GN410" s="49"/>
      <c r="GO410" s="49"/>
      <c r="GP410" s="49"/>
      <c r="GQ410" s="49"/>
      <c r="GR410" s="49"/>
      <c r="GS410" s="49"/>
      <c r="GT410" s="49"/>
      <c r="GU410" s="49"/>
      <c r="GV410" s="49"/>
      <c r="GW410" s="49"/>
      <c r="GX410" s="49"/>
      <c r="GY410" s="49"/>
      <c r="GZ410" s="49"/>
      <c r="HA410" s="49"/>
      <c r="HB410" s="49"/>
      <c r="HC410" s="49"/>
      <c r="HD410" s="49"/>
      <c r="HE410" s="49"/>
      <c r="HF410" s="49"/>
      <c r="HG410" s="49"/>
      <c r="HH410" s="49"/>
      <c r="HI410" s="49"/>
      <c r="HJ410" s="49"/>
      <c r="HK410" s="49"/>
      <c r="HL410" s="49"/>
      <c r="HM410" s="49"/>
    </row>
    <row r="411" spans="1:221" ht="16.95" customHeight="1">
      <c r="A411" s="1"/>
      <c r="B411" s="3"/>
      <c r="C411" s="3"/>
      <c r="D411" s="12" t="str">
        <f ca="1">IF(FN395=0,"","op het betreffende tabblad te klikken.")</f>
        <v/>
      </c>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25"/>
      <c r="FG411" s="26"/>
      <c r="FH411" s="79"/>
      <c r="FI411" s="79"/>
      <c r="FJ411" s="79"/>
      <c r="FK411" s="79"/>
      <c r="FL411" s="79"/>
      <c r="FM411" s="468"/>
      <c r="FN411" s="371"/>
      <c r="FO411" s="371"/>
      <c r="FP411" s="371"/>
      <c r="FQ411" s="371"/>
      <c r="FR411" s="116"/>
      <c r="FS411" s="116"/>
      <c r="FT411" s="116"/>
      <c r="FU411" s="116"/>
      <c r="FV411" s="93"/>
      <c r="FW411" s="93"/>
      <c r="FX411" s="93"/>
      <c r="FY411" s="93"/>
      <c r="FZ411" s="93"/>
      <c r="GA411" s="49"/>
      <c r="GB411" s="338"/>
      <c r="GC411" s="338"/>
      <c r="GD411" s="49"/>
      <c r="GE411" s="49"/>
      <c r="GF411" s="49"/>
      <c r="GG411" s="49"/>
      <c r="GH411" s="49"/>
      <c r="GI411" s="49"/>
      <c r="GJ411" s="49"/>
      <c r="GK411" s="49"/>
      <c r="GL411" s="49"/>
      <c r="GM411" s="49"/>
      <c r="GN411" s="49"/>
      <c r="GO411" s="49"/>
      <c r="GP411" s="49"/>
      <c r="GQ411" s="49"/>
      <c r="GR411" s="49"/>
      <c r="GS411" s="49"/>
      <c r="GT411" s="49"/>
      <c r="GU411" s="49"/>
      <c r="GV411" s="49"/>
      <c r="GW411" s="49"/>
      <c r="GX411" s="49"/>
      <c r="GY411" s="49"/>
      <c r="GZ411" s="49"/>
      <c r="HA411" s="49"/>
      <c r="HB411" s="49"/>
      <c r="HC411" s="49"/>
      <c r="HD411" s="49"/>
      <c r="HE411" s="49"/>
      <c r="HF411" s="49"/>
      <c r="HG411" s="49"/>
      <c r="HH411" s="49"/>
      <c r="HI411" s="49"/>
      <c r="HJ411" s="49"/>
      <c r="HK411" s="49"/>
      <c r="HL411" s="49"/>
      <c r="HM411" s="49"/>
    </row>
    <row r="412" spans="1:221" ht="16.5" customHeight="1">
      <c r="A412" s="1"/>
      <c r="B412" s="3"/>
      <c r="C412" s="3"/>
      <c r="D412" s="38"/>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25"/>
      <c r="AY412" s="26"/>
      <c r="AZ412" s="41"/>
      <c r="BA412" s="41"/>
      <c r="BB412" s="41"/>
      <c r="BC412" s="41"/>
      <c r="BD412" s="42"/>
      <c r="BE412" s="41"/>
      <c r="BF412" s="41"/>
      <c r="BG412" s="41"/>
      <c r="BH412" s="41"/>
      <c r="BI412" s="41"/>
      <c r="BJ412" s="41"/>
      <c r="BK412" s="42"/>
      <c r="BL412" s="41"/>
      <c r="BM412" s="41"/>
      <c r="BN412" s="41"/>
      <c r="BO412" s="41"/>
      <c r="BP412" s="41"/>
      <c r="BQ412" s="41"/>
      <c r="BR412" s="80"/>
      <c r="BS412" s="79"/>
      <c r="BT412" s="79"/>
      <c r="BU412" s="79"/>
      <c r="BV412" s="79"/>
      <c r="BW412" s="79"/>
      <c r="BX412" s="79"/>
      <c r="BY412" s="79"/>
      <c r="BZ412" s="80"/>
      <c r="CA412" s="80"/>
      <c r="CB412" s="80"/>
      <c r="CC412" s="80"/>
      <c r="CD412" s="80"/>
      <c r="CE412" s="80"/>
      <c r="CF412" s="80"/>
      <c r="CG412" s="80"/>
      <c r="CH412" s="80"/>
      <c r="CI412" s="80"/>
      <c r="CJ412" s="80"/>
      <c r="CK412" s="80"/>
      <c r="CL412" s="80"/>
      <c r="CM412" s="80"/>
      <c r="CN412" s="80"/>
      <c r="CO412" s="80"/>
      <c r="CP412" s="79"/>
      <c r="CQ412" s="79"/>
      <c r="CR412" s="79"/>
      <c r="CS412" s="79"/>
      <c r="CT412" s="79"/>
      <c r="CU412" s="79"/>
      <c r="CV412" s="79"/>
      <c r="CW412" s="79"/>
      <c r="CX412" s="79"/>
      <c r="CY412" s="79"/>
      <c r="CZ412" s="79"/>
      <c r="DA412" s="79"/>
      <c r="DB412" s="79"/>
      <c r="DC412" s="79"/>
      <c r="DD412" s="79"/>
      <c r="DE412" s="79"/>
      <c r="DF412" s="79"/>
      <c r="DG412" s="79"/>
      <c r="DH412" s="79"/>
      <c r="DI412" s="79"/>
      <c r="DJ412" s="79"/>
      <c r="DK412" s="79"/>
      <c r="DL412" s="79"/>
      <c r="DM412" s="79"/>
      <c r="DN412" s="79"/>
      <c r="DO412" s="79"/>
      <c r="DP412" s="79"/>
      <c r="DQ412" s="79"/>
      <c r="DR412" s="79"/>
      <c r="DS412" s="79"/>
      <c r="DT412" s="79"/>
      <c r="DU412" s="79"/>
      <c r="DV412" s="79"/>
      <c r="DW412" s="79"/>
      <c r="DX412" s="79"/>
      <c r="DY412" s="79"/>
      <c r="DZ412" s="79"/>
      <c r="EA412" s="79"/>
      <c r="EB412" s="79"/>
      <c r="EC412" s="79"/>
      <c r="ED412" s="79"/>
      <c r="EE412" s="79"/>
      <c r="EF412" s="79"/>
      <c r="EG412" s="79"/>
      <c r="EH412" s="79"/>
      <c r="EI412" s="79"/>
      <c r="EJ412" s="79"/>
      <c r="EK412" s="79"/>
      <c r="EL412" s="79"/>
      <c r="EM412" s="79"/>
      <c r="EN412" s="79"/>
      <c r="EO412" s="79"/>
      <c r="EP412" s="79"/>
      <c r="EQ412" s="79"/>
      <c r="ER412" s="79"/>
      <c r="ES412" s="79"/>
      <c r="ET412" s="79"/>
      <c r="EU412" s="79"/>
      <c r="EV412" s="79"/>
      <c r="EW412" s="79"/>
      <c r="EX412" s="79"/>
      <c r="EY412" s="79"/>
      <c r="EZ412" s="79"/>
      <c r="FA412" s="79"/>
      <c r="FB412" s="79"/>
      <c r="FC412" s="79"/>
      <c r="FD412" s="79"/>
      <c r="FE412" s="79"/>
      <c r="FF412" s="79"/>
      <c r="FG412" s="79"/>
      <c r="FH412" s="79"/>
      <c r="FI412" s="79"/>
      <c r="FJ412" s="79"/>
      <c r="FK412" s="79"/>
      <c r="FL412" s="135"/>
      <c r="FM412" s="47"/>
      <c r="FN412" s="47"/>
      <c r="FO412" s="47"/>
      <c r="FP412" s="47"/>
      <c r="FQ412" s="47"/>
      <c r="FR412" s="47"/>
      <c r="FS412" s="47"/>
      <c r="FT412" s="47"/>
      <c r="FU412" s="47"/>
      <c r="FV412" s="48"/>
      <c r="FW412" s="48"/>
      <c r="FX412" s="48"/>
      <c r="FY412" s="48"/>
      <c r="FZ412" s="48"/>
      <c r="GA412" s="49"/>
      <c r="GB412" s="49"/>
      <c r="GC412" s="49"/>
      <c r="GD412" s="49"/>
      <c r="GE412" s="49"/>
      <c r="GF412" s="49"/>
      <c r="GG412" s="49"/>
      <c r="GH412" s="49"/>
      <c r="GI412" s="49"/>
      <c r="GJ412" s="49"/>
      <c r="GK412" s="49"/>
      <c r="GL412" s="49"/>
      <c r="GM412" s="49"/>
      <c r="GN412" s="49"/>
      <c r="GO412" s="49"/>
      <c r="GP412" s="49"/>
      <c r="GQ412" s="49"/>
      <c r="GR412" s="49"/>
      <c r="GS412" s="49"/>
      <c r="GT412" s="49"/>
      <c r="GU412" s="49"/>
      <c r="GV412" s="49"/>
      <c r="GW412" s="49"/>
      <c r="GX412" s="49"/>
      <c r="GY412" s="49"/>
      <c r="GZ412" s="49"/>
      <c r="HA412" s="49"/>
      <c r="HB412" s="49"/>
      <c r="HC412" s="49"/>
      <c r="HD412" s="49"/>
      <c r="HE412" s="49"/>
      <c r="HF412" s="49"/>
      <c r="HG412" s="49"/>
      <c r="HH412" s="49"/>
      <c r="HI412" s="49"/>
      <c r="HJ412" s="49"/>
      <c r="HK412" s="49"/>
      <c r="HL412" s="49"/>
      <c r="HM412" s="49"/>
    </row>
    <row r="413" spans="1:221" ht="16.5" customHeight="1">
      <c r="A413" s="1"/>
      <c r="B413" s="3"/>
      <c r="C413" s="3"/>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30"/>
      <c r="FL413" s="21"/>
      <c r="FM413" s="47"/>
      <c r="FN413" s="47"/>
      <c r="FO413" s="47"/>
      <c r="FP413" s="47"/>
      <c r="FQ413" s="47"/>
      <c r="FR413" s="47"/>
      <c r="FS413" s="47"/>
      <c r="FT413" s="47"/>
      <c r="FU413" s="47"/>
      <c r="FV413" s="48"/>
      <c r="FW413" s="48"/>
      <c r="FX413" s="48"/>
      <c r="FY413" s="48"/>
      <c r="FZ413" s="48"/>
      <c r="GA413" s="49"/>
      <c r="GB413" s="49"/>
      <c r="GC413" s="49"/>
      <c r="GD413" s="49"/>
      <c r="GE413" s="49"/>
      <c r="GF413" s="49"/>
      <c r="GG413" s="49"/>
      <c r="GH413" s="49"/>
      <c r="GI413" s="49"/>
      <c r="GJ413" s="49"/>
      <c r="GK413" s="49"/>
      <c r="GL413" s="49"/>
      <c r="GM413" s="49"/>
      <c r="GN413" s="49"/>
      <c r="GO413" s="49"/>
      <c r="GP413" s="49"/>
      <c r="GQ413" s="49"/>
      <c r="GR413" s="49"/>
      <c r="GS413" s="49"/>
      <c r="GT413" s="49"/>
      <c r="GU413" s="49"/>
      <c r="GV413" s="49"/>
      <c r="GW413" s="49"/>
      <c r="GX413" s="49"/>
      <c r="GY413" s="49"/>
      <c r="GZ413" s="49"/>
      <c r="HA413" s="49"/>
      <c r="HB413" s="49"/>
      <c r="HC413" s="49"/>
      <c r="HD413" s="49"/>
      <c r="HE413" s="49"/>
      <c r="HF413" s="49"/>
      <c r="HG413" s="49"/>
      <c r="HH413" s="49"/>
      <c r="HI413" s="49"/>
      <c r="HJ413" s="49"/>
      <c r="HK413" s="49"/>
      <c r="HL413" s="49"/>
      <c r="HM413" s="49"/>
    </row>
    <row r="414" spans="1:221" ht="16.5" customHeight="1">
      <c r="A414" s="1"/>
      <c r="B414" s="3"/>
      <c r="C414" s="3"/>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30"/>
      <c r="FL414" s="21"/>
      <c r="FM414" s="47"/>
      <c r="FN414" s="47"/>
      <c r="FO414" s="47"/>
      <c r="FP414" s="47"/>
      <c r="FQ414" s="47"/>
      <c r="FR414" s="47"/>
      <c r="FS414" s="47"/>
      <c r="FT414" s="47"/>
      <c r="FU414" s="47"/>
      <c r="FV414" s="48"/>
      <c r="FW414" s="48"/>
      <c r="FX414" s="48"/>
      <c r="FY414" s="48"/>
      <c r="FZ414" s="48"/>
      <c r="GA414" s="49"/>
      <c r="GB414" s="49"/>
      <c r="GC414" s="49"/>
      <c r="GD414" s="49"/>
      <c r="GE414" s="49"/>
      <c r="GF414" s="49"/>
      <c r="GG414" s="49"/>
      <c r="GH414" s="49"/>
      <c r="GI414" s="49"/>
      <c r="GJ414" s="49"/>
      <c r="GK414" s="49"/>
      <c r="GL414" s="49"/>
      <c r="GM414" s="49"/>
      <c r="GN414" s="49"/>
      <c r="GO414" s="49"/>
      <c r="GP414" s="49"/>
      <c r="GQ414" s="49"/>
      <c r="GR414" s="49"/>
      <c r="GS414" s="49"/>
      <c r="GT414" s="49"/>
      <c r="GU414" s="49"/>
      <c r="GV414" s="49"/>
      <c r="GW414" s="49"/>
      <c r="GX414" s="49"/>
      <c r="GY414" s="49"/>
      <c r="GZ414" s="49"/>
      <c r="HA414" s="49"/>
      <c r="HB414" s="49"/>
      <c r="HC414" s="49"/>
      <c r="HD414" s="49"/>
      <c r="HE414" s="49"/>
      <c r="HF414" s="49"/>
      <c r="HG414" s="49"/>
      <c r="HH414" s="49"/>
      <c r="HI414" s="49"/>
      <c r="HJ414" s="49"/>
      <c r="HK414" s="49"/>
      <c r="HL414" s="49"/>
      <c r="HM414" s="49"/>
    </row>
    <row r="415" spans="1:221" ht="16.5" customHeight="1">
      <c r="A415" s="1"/>
      <c r="B415" s="3"/>
      <c r="C415" s="3"/>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30"/>
      <c r="FL415" s="21"/>
      <c r="FM415" s="47"/>
      <c r="FN415" s="47"/>
      <c r="FO415" s="47"/>
      <c r="FP415" s="47"/>
      <c r="FQ415" s="47"/>
      <c r="FR415" s="47"/>
      <c r="FS415" s="47"/>
      <c r="FT415" s="47"/>
      <c r="FU415" s="47"/>
      <c r="FV415" s="48"/>
      <c r="FW415" s="48"/>
      <c r="FX415" s="48"/>
      <c r="FY415" s="48"/>
      <c r="FZ415" s="48"/>
      <c r="GA415" s="49"/>
      <c r="GB415" s="49"/>
      <c r="GC415" s="49"/>
      <c r="GD415" s="49"/>
      <c r="GE415" s="49"/>
      <c r="GF415" s="49"/>
      <c r="GG415" s="49"/>
      <c r="GH415" s="49"/>
      <c r="GI415" s="49"/>
      <c r="GJ415" s="49"/>
      <c r="GK415" s="49"/>
      <c r="GL415" s="49"/>
      <c r="GM415" s="49"/>
      <c r="GN415" s="49"/>
      <c r="GO415" s="49"/>
      <c r="GP415" s="49"/>
      <c r="GQ415" s="49"/>
      <c r="GR415" s="49"/>
      <c r="GS415" s="49"/>
      <c r="GT415" s="49"/>
      <c r="GU415" s="49"/>
      <c r="GV415" s="49"/>
      <c r="GW415" s="49"/>
      <c r="GX415" s="49"/>
      <c r="GY415" s="49"/>
      <c r="GZ415" s="49"/>
      <c r="HA415" s="49"/>
      <c r="HB415" s="49"/>
      <c r="HC415" s="49"/>
      <c r="HD415" s="49"/>
      <c r="HE415" s="49"/>
      <c r="HF415" s="49"/>
      <c r="HG415" s="49"/>
      <c r="HH415" s="49"/>
      <c r="HI415" s="49"/>
      <c r="HJ415" s="49"/>
      <c r="HK415" s="49"/>
      <c r="HL415" s="49"/>
      <c r="HM415" s="49"/>
    </row>
    <row r="416" spans="1:221" ht="16.5" customHeight="1">
      <c r="A416" s="1"/>
      <c r="B416" s="3"/>
      <c r="C416" s="3"/>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30"/>
      <c r="FL416" s="21"/>
      <c r="FM416" s="47"/>
      <c r="FN416" s="47"/>
      <c r="FO416" s="47"/>
      <c r="FP416" s="47"/>
      <c r="FQ416" s="47"/>
      <c r="FR416" s="47"/>
      <c r="FS416" s="47"/>
      <c r="FT416" s="47"/>
      <c r="FU416" s="47"/>
      <c r="FV416" s="48"/>
      <c r="FW416" s="48"/>
      <c r="FX416" s="48"/>
      <c r="FY416" s="48"/>
      <c r="FZ416" s="48"/>
      <c r="GA416" s="49"/>
      <c r="GB416" s="49"/>
      <c r="GC416" s="49"/>
      <c r="GD416" s="49"/>
      <c r="GE416" s="49"/>
      <c r="GF416" s="49"/>
      <c r="GG416" s="49"/>
      <c r="GH416" s="49"/>
      <c r="GI416" s="49"/>
      <c r="GJ416" s="49"/>
      <c r="GK416" s="49"/>
      <c r="GL416" s="49"/>
      <c r="GM416" s="49"/>
      <c r="GN416" s="49"/>
      <c r="GO416" s="49"/>
      <c r="GP416" s="49"/>
      <c r="GQ416" s="49"/>
      <c r="GR416" s="49"/>
      <c r="GS416" s="49"/>
      <c r="GT416" s="49"/>
      <c r="GU416" s="49"/>
      <c r="GV416" s="49"/>
      <c r="GW416" s="49"/>
      <c r="GX416" s="49"/>
      <c r="GY416" s="49"/>
      <c r="GZ416" s="49"/>
      <c r="HA416" s="49"/>
      <c r="HB416" s="49"/>
      <c r="HC416" s="49"/>
      <c r="HD416" s="49"/>
      <c r="HE416" s="49"/>
      <c r="HF416" s="49"/>
      <c r="HG416" s="49"/>
      <c r="HH416" s="49"/>
      <c r="HI416" s="49"/>
      <c r="HJ416" s="49"/>
      <c r="HK416" s="49"/>
      <c r="HL416" s="49"/>
      <c r="HM416" s="49"/>
    </row>
    <row r="417" spans="1:221" ht="16.5" customHeight="1">
      <c r="A417" s="1"/>
      <c r="B417" s="3"/>
      <c r="C417" s="3"/>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30"/>
      <c r="FL417" s="21"/>
      <c r="FM417" s="47"/>
      <c r="FN417" s="47"/>
      <c r="FO417" s="47"/>
      <c r="FP417" s="47"/>
      <c r="FQ417" s="47"/>
      <c r="FR417" s="47"/>
      <c r="FS417" s="47"/>
      <c r="FT417" s="47"/>
      <c r="FU417" s="47"/>
      <c r="FV417" s="48"/>
      <c r="FW417" s="48"/>
      <c r="FX417" s="48"/>
      <c r="FY417" s="48"/>
      <c r="FZ417" s="48"/>
      <c r="GA417" s="49"/>
      <c r="GB417" s="49"/>
      <c r="GC417" s="49"/>
      <c r="GD417" s="49"/>
      <c r="GE417" s="49"/>
      <c r="GF417" s="49"/>
      <c r="GG417" s="49"/>
      <c r="GH417" s="49"/>
      <c r="GI417" s="49"/>
      <c r="GJ417" s="49"/>
      <c r="GK417" s="49"/>
      <c r="GL417" s="49"/>
      <c r="GM417" s="49"/>
      <c r="GN417" s="49"/>
      <c r="GO417" s="49"/>
      <c r="GP417" s="49"/>
      <c r="GQ417" s="49"/>
      <c r="GR417" s="49"/>
      <c r="GS417" s="49"/>
      <c r="GT417" s="49"/>
      <c r="GU417" s="49"/>
      <c r="GV417" s="49"/>
      <c r="GW417" s="49"/>
      <c r="GX417" s="49"/>
      <c r="GY417" s="49"/>
      <c r="GZ417" s="49"/>
      <c r="HA417" s="49"/>
      <c r="HB417" s="49"/>
      <c r="HC417" s="49"/>
      <c r="HD417" s="49"/>
      <c r="HE417" s="49"/>
      <c r="HF417" s="49"/>
      <c r="HG417" s="49"/>
      <c r="HH417" s="49"/>
      <c r="HI417" s="49"/>
      <c r="HJ417" s="49"/>
      <c r="HK417" s="49"/>
      <c r="HL417" s="49"/>
      <c r="HM417" s="49"/>
    </row>
    <row r="418" spans="1:221" ht="16.5" customHeight="1">
      <c r="A418" s="1"/>
      <c r="B418" s="3"/>
      <c r="C418" s="3"/>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30"/>
      <c r="FL418" s="21"/>
      <c r="FM418" s="47"/>
      <c r="FN418" s="47"/>
      <c r="FO418" s="47"/>
      <c r="FP418" s="47"/>
      <c r="FQ418" s="47"/>
      <c r="FR418" s="47"/>
      <c r="FS418" s="47"/>
      <c r="FT418" s="47"/>
      <c r="FU418" s="47"/>
      <c r="FV418" s="48"/>
      <c r="FW418" s="48"/>
      <c r="FX418" s="48"/>
      <c r="FY418" s="48"/>
      <c r="FZ418" s="48"/>
      <c r="GA418" s="49"/>
      <c r="GB418" s="49"/>
      <c r="GC418" s="49"/>
      <c r="GD418" s="49"/>
      <c r="GE418" s="49"/>
      <c r="GF418" s="49"/>
      <c r="GG418" s="49"/>
      <c r="GH418" s="49"/>
      <c r="GI418" s="49"/>
      <c r="GJ418" s="49"/>
      <c r="GK418" s="49"/>
      <c r="GL418" s="49"/>
      <c r="GM418" s="49"/>
      <c r="GN418" s="49"/>
      <c r="GO418" s="49"/>
      <c r="GP418" s="49"/>
      <c r="GQ418" s="49"/>
      <c r="GR418" s="49"/>
      <c r="GS418" s="49"/>
      <c r="GT418" s="49"/>
      <c r="GU418" s="49"/>
      <c r="GV418" s="49"/>
      <c r="GW418" s="49"/>
      <c r="GX418" s="49"/>
      <c r="GY418" s="49"/>
      <c r="GZ418" s="49"/>
      <c r="HA418" s="49"/>
      <c r="HB418" s="49"/>
      <c r="HC418" s="49"/>
      <c r="HD418" s="49"/>
      <c r="HE418" s="49"/>
      <c r="HF418" s="49"/>
      <c r="HG418" s="49"/>
      <c r="HH418" s="49"/>
      <c r="HI418" s="49"/>
      <c r="HJ418" s="49"/>
      <c r="HK418" s="49"/>
      <c r="HL418" s="49"/>
      <c r="HM418" s="49"/>
    </row>
    <row r="419" spans="1:221" ht="16.5" customHeight="1">
      <c r="A419" s="1"/>
      <c r="B419" s="3"/>
      <c r="C419" s="3"/>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30"/>
      <c r="FL419" s="21"/>
      <c r="FM419" s="47"/>
      <c r="FN419" s="47"/>
      <c r="FO419" s="47"/>
      <c r="FP419" s="47"/>
      <c r="FQ419" s="47"/>
      <c r="FR419" s="47"/>
      <c r="FS419" s="47"/>
      <c r="FT419" s="47"/>
      <c r="FU419" s="47"/>
      <c r="FV419" s="48"/>
      <c r="FW419" s="48"/>
      <c r="FX419" s="48"/>
      <c r="FY419" s="48"/>
      <c r="FZ419" s="48"/>
      <c r="GA419" s="49"/>
      <c r="GB419" s="49"/>
      <c r="GC419" s="49"/>
      <c r="GD419" s="49"/>
      <c r="GE419" s="49"/>
      <c r="GF419" s="49"/>
      <c r="GG419" s="49"/>
      <c r="GH419" s="49"/>
      <c r="GI419" s="49"/>
      <c r="GJ419" s="49"/>
      <c r="GK419" s="49"/>
      <c r="GL419" s="49"/>
      <c r="GM419" s="49"/>
      <c r="GN419" s="49"/>
      <c r="GO419" s="49"/>
      <c r="GP419" s="49"/>
      <c r="GQ419" s="49"/>
      <c r="GR419" s="49"/>
      <c r="GS419" s="49"/>
      <c r="GT419" s="49"/>
      <c r="GU419" s="49"/>
      <c r="GV419" s="49"/>
      <c r="GW419" s="49"/>
      <c r="GX419" s="49"/>
      <c r="GY419" s="49"/>
      <c r="GZ419" s="49"/>
      <c r="HA419" s="49"/>
      <c r="HB419" s="49"/>
      <c r="HC419" s="49"/>
      <c r="HD419" s="49"/>
      <c r="HE419" s="49"/>
      <c r="HF419" s="49"/>
      <c r="HG419" s="49"/>
      <c r="HH419" s="49"/>
      <c r="HI419" s="49"/>
      <c r="HJ419" s="49"/>
      <c r="HK419" s="49"/>
      <c r="HL419" s="49"/>
      <c r="HM419" s="49"/>
    </row>
    <row r="420" spans="1:221" ht="16.5" customHeight="1">
      <c r="A420" s="1"/>
      <c r="B420" s="3"/>
      <c r="C420" s="3"/>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30"/>
      <c r="FL420" s="21"/>
      <c r="FM420" s="47"/>
      <c r="FN420" s="47"/>
      <c r="FO420" s="47"/>
      <c r="FP420" s="47"/>
      <c r="FQ420" s="47"/>
      <c r="FR420" s="47"/>
      <c r="FS420" s="47"/>
      <c r="FT420" s="47"/>
      <c r="FU420" s="47"/>
      <c r="FV420" s="48"/>
      <c r="FW420" s="48"/>
      <c r="FX420" s="48"/>
      <c r="FY420" s="48"/>
      <c r="FZ420" s="48"/>
      <c r="GA420" s="49"/>
      <c r="GB420" s="49"/>
      <c r="GC420" s="49"/>
      <c r="GD420" s="49"/>
      <c r="GE420" s="49"/>
      <c r="GF420" s="49"/>
      <c r="GG420" s="49"/>
      <c r="GH420" s="49"/>
      <c r="GI420" s="49"/>
      <c r="GJ420" s="49"/>
      <c r="GK420" s="49"/>
      <c r="GL420" s="49"/>
      <c r="GM420" s="49"/>
      <c r="GN420" s="49"/>
      <c r="GO420" s="49"/>
      <c r="GP420" s="49"/>
      <c r="GQ420" s="49"/>
      <c r="GR420" s="49"/>
      <c r="GS420" s="49"/>
      <c r="GT420" s="49"/>
      <c r="GU420" s="49"/>
      <c r="GV420" s="49"/>
      <c r="GW420" s="49"/>
      <c r="GX420" s="49"/>
      <c r="GY420" s="49"/>
      <c r="GZ420" s="49"/>
      <c r="HA420" s="49"/>
      <c r="HB420" s="49"/>
      <c r="HC420" s="49"/>
      <c r="HD420" s="49"/>
      <c r="HE420" s="49"/>
      <c r="HF420" s="49"/>
      <c r="HG420" s="49"/>
      <c r="HH420" s="49"/>
      <c r="HI420" s="49"/>
      <c r="HJ420" s="49"/>
      <c r="HK420" s="49"/>
      <c r="HL420" s="49"/>
      <c r="HM420" s="49"/>
    </row>
    <row r="421" spans="1:221" ht="16.5" customHeight="1">
      <c r="A421" s="1"/>
      <c r="B421" s="3"/>
      <c r="C421" s="3"/>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30"/>
      <c r="FL421" s="21"/>
      <c r="FM421" s="47"/>
      <c r="FN421" s="47"/>
      <c r="FO421" s="47"/>
      <c r="FP421" s="47"/>
      <c r="FQ421" s="47"/>
      <c r="FR421" s="47"/>
      <c r="FS421" s="47"/>
      <c r="FT421" s="47"/>
      <c r="FU421" s="47"/>
      <c r="FV421" s="48"/>
      <c r="FW421" s="48"/>
      <c r="FX421" s="48"/>
      <c r="FY421" s="48"/>
      <c r="FZ421" s="48"/>
      <c r="GA421" s="49"/>
      <c r="GB421" s="49"/>
      <c r="GC421" s="49"/>
      <c r="GD421" s="49"/>
      <c r="GE421" s="49"/>
      <c r="GF421" s="49"/>
      <c r="GG421" s="49"/>
      <c r="GH421" s="49"/>
      <c r="GI421" s="49"/>
      <c r="GJ421" s="49"/>
      <c r="GK421" s="49"/>
      <c r="GL421" s="49"/>
      <c r="GM421" s="49"/>
      <c r="GN421" s="49"/>
      <c r="GO421" s="49"/>
      <c r="GP421" s="49"/>
      <c r="GQ421" s="49"/>
      <c r="GR421" s="49"/>
      <c r="GS421" s="49"/>
      <c r="GT421" s="49"/>
      <c r="GU421" s="49"/>
      <c r="GV421" s="49"/>
      <c r="GW421" s="49"/>
      <c r="GX421" s="49"/>
      <c r="GY421" s="49"/>
      <c r="GZ421" s="49"/>
      <c r="HA421" s="49"/>
      <c r="HB421" s="49"/>
      <c r="HC421" s="49"/>
      <c r="HD421" s="49"/>
      <c r="HE421" s="49"/>
      <c r="HF421" s="49"/>
      <c r="HG421" s="49"/>
      <c r="HH421" s="49"/>
      <c r="HI421" s="49"/>
      <c r="HJ421" s="49"/>
      <c r="HK421" s="49"/>
      <c r="HL421" s="49"/>
      <c r="HM421" s="49"/>
    </row>
    <row r="422" spans="1:221" ht="16.5" customHeight="1">
      <c r="A422" s="1"/>
      <c r="B422" s="3"/>
      <c r="C422" s="3"/>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30"/>
      <c r="FL422" s="21"/>
      <c r="FM422" s="47"/>
      <c r="FN422" s="47"/>
      <c r="FO422" s="47"/>
      <c r="FP422" s="47"/>
      <c r="FQ422" s="47"/>
      <c r="FR422" s="47"/>
      <c r="FS422" s="47"/>
      <c r="FT422" s="47"/>
      <c r="FU422" s="47"/>
      <c r="FV422" s="48"/>
      <c r="FW422" s="48"/>
      <c r="FX422" s="48"/>
      <c r="FY422" s="48"/>
      <c r="FZ422" s="48"/>
      <c r="GA422" s="49"/>
      <c r="GB422" s="49"/>
      <c r="GC422" s="49"/>
      <c r="GD422" s="49"/>
      <c r="GE422" s="49"/>
      <c r="GF422" s="49"/>
      <c r="GG422" s="49"/>
      <c r="GH422" s="49"/>
      <c r="GI422" s="49"/>
      <c r="GJ422" s="49"/>
      <c r="GK422" s="49"/>
      <c r="GL422" s="49"/>
      <c r="GM422" s="49"/>
      <c r="GN422" s="49"/>
      <c r="GO422" s="49"/>
      <c r="GP422" s="49"/>
      <c r="GQ422" s="49"/>
      <c r="GR422" s="49"/>
      <c r="GS422" s="49"/>
      <c r="GT422" s="49"/>
      <c r="GU422" s="49"/>
      <c r="GV422" s="49"/>
      <c r="GW422" s="49"/>
      <c r="GX422" s="49"/>
      <c r="GY422" s="49"/>
      <c r="GZ422" s="49"/>
      <c r="HA422" s="49"/>
      <c r="HB422" s="49"/>
      <c r="HC422" s="49"/>
      <c r="HD422" s="49"/>
      <c r="HE422" s="49"/>
      <c r="HF422" s="49"/>
      <c r="HG422" s="49"/>
      <c r="HH422" s="49"/>
      <c r="HI422" s="49"/>
      <c r="HJ422" s="49"/>
      <c r="HK422" s="49"/>
      <c r="HL422" s="49"/>
      <c r="HM422" s="49"/>
    </row>
    <row r="423" spans="1:221" ht="16.5" customHeight="1">
      <c r="A423" s="1"/>
      <c r="B423" s="3"/>
      <c r="C423" s="3"/>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30"/>
      <c r="FL423" s="21"/>
      <c r="FM423" s="47"/>
      <c r="FN423" s="47"/>
      <c r="FO423" s="47"/>
      <c r="FP423" s="47"/>
      <c r="FQ423" s="47"/>
      <c r="FR423" s="47"/>
      <c r="FS423" s="47"/>
      <c r="FT423" s="47"/>
      <c r="FU423" s="47"/>
      <c r="FV423" s="48"/>
      <c r="FW423" s="48"/>
      <c r="FX423" s="48"/>
      <c r="FY423" s="48"/>
      <c r="FZ423" s="48"/>
      <c r="GA423" s="49"/>
      <c r="GB423" s="49"/>
      <c r="GC423" s="49"/>
      <c r="GD423" s="49"/>
      <c r="GE423" s="49"/>
      <c r="GF423" s="49"/>
      <c r="GG423" s="49"/>
      <c r="GH423" s="49"/>
      <c r="GI423" s="49"/>
      <c r="GJ423" s="49"/>
      <c r="GK423" s="49"/>
      <c r="GL423" s="49"/>
      <c r="GM423" s="49"/>
      <c r="GN423" s="49"/>
      <c r="GO423" s="49"/>
      <c r="GP423" s="49"/>
      <c r="GQ423" s="49"/>
      <c r="GR423" s="49"/>
      <c r="GS423" s="49"/>
      <c r="GT423" s="49"/>
      <c r="GU423" s="49"/>
      <c r="GV423" s="49"/>
      <c r="GW423" s="49"/>
      <c r="GX423" s="49"/>
      <c r="GY423" s="49"/>
      <c r="GZ423" s="49"/>
      <c r="HA423" s="49"/>
      <c r="HB423" s="49"/>
      <c r="HC423" s="49"/>
      <c r="HD423" s="49"/>
      <c r="HE423" s="49"/>
      <c r="HF423" s="49"/>
      <c r="HG423" s="49"/>
      <c r="HH423" s="49"/>
      <c r="HI423" s="49"/>
      <c r="HJ423" s="49"/>
      <c r="HK423" s="49"/>
      <c r="HL423" s="49"/>
      <c r="HM423" s="49"/>
    </row>
    <row r="424" spans="1:221" ht="16.5" customHeight="1">
      <c r="A424" s="1"/>
      <c r="B424" s="3"/>
      <c r="C424" s="3"/>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30"/>
      <c r="FL424" s="21"/>
      <c r="FM424" s="47"/>
      <c r="FN424" s="47"/>
      <c r="FO424" s="47"/>
      <c r="FP424" s="47"/>
      <c r="FQ424" s="47"/>
      <c r="FR424" s="47"/>
      <c r="FS424" s="47"/>
      <c r="FT424" s="47"/>
      <c r="FU424" s="47"/>
      <c r="FV424" s="48"/>
      <c r="FW424" s="48"/>
      <c r="FX424" s="48"/>
      <c r="FY424" s="48"/>
      <c r="FZ424" s="48"/>
      <c r="GA424" s="49"/>
      <c r="GB424" s="49"/>
      <c r="GC424" s="49"/>
      <c r="GD424" s="49"/>
      <c r="GE424" s="49"/>
      <c r="GF424" s="49"/>
      <c r="GG424" s="49"/>
      <c r="GH424" s="49"/>
      <c r="GI424" s="49"/>
      <c r="GJ424" s="49"/>
      <c r="GK424" s="49"/>
      <c r="GL424" s="49"/>
      <c r="GM424" s="49"/>
      <c r="GN424" s="49"/>
      <c r="GO424" s="49"/>
      <c r="GP424" s="49"/>
      <c r="GQ424" s="49"/>
      <c r="GR424" s="49"/>
      <c r="GS424" s="49"/>
      <c r="GT424" s="49"/>
      <c r="GU424" s="49"/>
      <c r="GV424" s="49"/>
      <c r="GW424" s="49"/>
      <c r="GX424" s="49"/>
      <c r="GY424" s="49"/>
      <c r="GZ424" s="49"/>
      <c r="HA424" s="49"/>
      <c r="HB424" s="49"/>
      <c r="HC424" s="49"/>
      <c r="HD424" s="49"/>
      <c r="HE424" s="49"/>
      <c r="HF424" s="49"/>
      <c r="HG424" s="49"/>
      <c r="HH424" s="49"/>
      <c r="HI424" s="49"/>
      <c r="HJ424" s="49"/>
      <c r="HK424" s="49"/>
      <c r="HL424" s="49"/>
      <c r="HM424" s="49"/>
    </row>
    <row r="425" spans="1:221" ht="22.8">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c r="CX425" s="32"/>
      <c r="CY425" s="32"/>
      <c r="CZ425" s="32"/>
      <c r="DA425" s="32"/>
      <c r="DB425" s="32"/>
      <c r="DC425" s="32"/>
      <c r="DD425" s="32"/>
      <c r="DE425" s="32"/>
      <c r="DF425" s="32"/>
      <c r="DG425" s="32"/>
      <c r="DH425" s="32"/>
      <c r="DI425" s="32"/>
      <c r="DJ425" s="32"/>
      <c r="DK425" s="32"/>
      <c r="DL425" s="32"/>
      <c r="DM425" s="32"/>
      <c r="DN425" s="32"/>
      <c r="DO425" s="32"/>
      <c r="DP425" s="32"/>
      <c r="DQ425" s="32"/>
      <c r="DR425" s="32"/>
      <c r="DS425" s="32"/>
      <c r="DT425" s="32"/>
      <c r="DU425" s="32"/>
      <c r="DV425" s="32"/>
      <c r="DW425" s="32"/>
      <c r="DX425" s="32"/>
      <c r="DY425" s="32"/>
      <c r="DZ425" s="32"/>
      <c r="EA425" s="32"/>
      <c r="EB425" s="32"/>
      <c r="EC425" s="32"/>
      <c r="ED425" s="32"/>
      <c r="EE425" s="32"/>
      <c r="EF425" s="32"/>
      <c r="EG425" s="32"/>
      <c r="EH425" s="32"/>
      <c r="EI425" s="32"/>
      <c r="EJ425" s="32"/>
      <c r="EK425" s="32"/>
      <c r="EL425" s="32"/>
      <c r="EM425" s="32"/>
      <c r="EN425" s="32"/>
      <c r="EO425" s="32"/>
      <c r="EP425" s="32"/>
      <c r="EQ425" s="32"/>
      <c r="ER425" s="32"/>
      <c r="ES425" s="32"/>
      <c r="ET425" s="32"/>
      <c r="EU425" s="32"/>
      <c r="EV425" s="32"/>
      <c r="EW425" s="32"/>
      <c r="EX425" s="32"/>
      <c r="EY425" s="32"/>
      <c r="EZ425" s="32"/>
      <c r="FA425" s="32"/>
      <c r="FB425" s="32"/>
      <c r="FC425" s="32"/>
      <c r="FD425" s="32"/>
      <c r="FE425" s="32"/>
      <c r="FF425" s="32"/>
      <c r="FG425" s="32"/>
      <c r="FH425" s="32"/>
      <c r="FI425" s="32"/>
      <c r="FJ425" s="32"/>
      <c r="FK425" s="32"/>
      <c r="FL425" s="32"/>
      <c r="FM425" s="47"/>
      <c r="FN425" s="47"/>
      <c r="FO425" s="47"/>
      <c r="FP425" s="47"/>
      <c r="FQ425" s="47"/>
      <c r="FR425" s="47"/>
      <c r="FS425" s="47"/>
      <c r="FT425" s="47"/>
      <c r="FU425" s="47"/>
      <c r="FV425" s="48"/>
      <c r="FW425" s="48"/>
      <c r="FX425" s="48"/>
      <c r="FY425" s="48"/>
      <c r="FZ425" s="48"/>
      <c r="GA425" s="49"/>
      <c r="GB425" s="49"/>
      <c r="GC425" s="49"/>
      <c r="GD425" s="49"/>
      <c r="GE425" s="49"/>
      <c r="GF425" s="49"/>
      <c r="GG425" s="49"/>
      <c r="GH425" s="49"/>
      <c r="GI425" s="49"/>
      <c r="GJ425" s="49"/>
      <c r="GK425" s="49"/>
      <c r="GL425" s="49"/>
      <c r="GM425" s="49"/>
      <c r="GN425" s="49"/>
      <c r="GO425" s="49"/>
      <c r="GP425" s="49"/>
      <c r="GQ425" s="49"/>
      <c r="GR425" s="49"/>
      <c r="GS425" s="49"/>
      <c r="GT425" s="49"/>
      <c r="GU425" s="49"/>
      <c r="GV425" s="49"/>
      <c r="GW425" s="49"/>
      <c r="GX425" s="49"/>
      <c r="GY425" s="49"/>
      <c r="GZ425" s="49"/>
      <c r="HA425" s="49"/>
      <c r="HB425" s="49"/>
      <c r="HC425" s="49"/>
      <c r="HD425" s="49"/>
      <c r="HE425" s="49"/>
      <c r="HF425" s="49"/>
      <c r="HG425" s="49"/>
      <c r="HH425" s="49"/>
      <c r="HI425" s="49"/>
      <c r="HJ425" s="49"/>
      <c r="HK425" s="49"/>
      <c r="HL425" s="49"/>
      <c r="HM425" s="49"/>
    </row>
    <row r="426" spans="1:221" ht="22.8">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2"/>
      <c r="FH426" s="32"/>
      <c r="FI426" s="32"/>
      <c r="FJ426" s="32"/>
      <c r="FK426" s="32"/>
      <c r="FL426" s="32"/>
      <c r="FM426" s="47"/>
      <c r="FN426" s="47"/>
      <c r="FO426" s="47"/>
      <c r="FP426" s="47"/>
      <c r="FQ426" s="47"/>
      <c r="FR426" s="47"/>
      <c r="FS426" s="47"/>
      <c r="FT426" s="47"/>
      <c r="FU426" s="47"/>
      <c r="FV426" s="48"/>
      <c r="FW426" s="48"/>
      <c r="FX426" s="48"/>
      <c r="FY426" s="48"/>
      <c r="FZ426" s="48"/>
      <c r="GA426" s="49"/>
      <c r="GB426" s="49"/>
      <c r="GC426" s="49"/>
      <c r="GD426" s="49"/>
      <c r="GE426" s="49"/>
      <c r="GF426" s="49"/>
      <c r="GG426" s="49"/>
      <c r="GH426" s="49"/>
      <c r="GI426" s="49"/>
      <c r="GJ426" s="49"/>
      <c r="GK426" s="49"/>
      <c r="GL426" s="49"/>
      <c r="GM426" s="49"/>
      <c r="GN426" s="49"/>
      <c r="GO426" s="49"/>
      <c r="GP426" s="49"/>
      <c r="GQ426" s="49"/>
      <c r="GR426" s="49"/>
      <c r="GS426" s="49"/>
      <c r="GT426" s="49"/>
      <c r="GU426" s="49"/>
      <c r="GV426" s="49"/>
      <c r="GW426" s="49"/>
      <c r="GX426" s="49"/>
      <c r="GY426" s="49"/>
      <c r="GZ426" s="49"/>
      <c r="HA426" s="49"/>
      <c r="HB426" s="49"/>
      <c r="HC426" s="49"/>
      <c r="HD426" s="49"/>
      <c r="HE426" s="49"/>
      <c r="HF426" s="49"/>
      <c r="HG426" s="49"/>
      <c r="HH426" s="49"/>
      <c r="HI426" s="49"/>
      <c r="HJ426" s="49"/>
      <c r="HK426" s="49"/>
      <c r="HL426" s="49"/>
      <c r="HM426" s="49"/>
    </row>
    <row r="427" spans="1:221" ht="22.8">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c r="CX427" s="32"/>
      <c r="CY427" s="32"/>
      <c r="CZ427" s="32"/>
      <c r="DA427" s="32"/>
      <c r="DB427" s="32"/>
      <c r="DC427" s="32"/>
      <c r="DD427" s="32"/>
      <c r="DE427" s="32"/>
      <c r="DF427" s="32"/>
      <c r="DG427" s="32"/>
      <c r="DH427" s="32"/>
      <c r="DI427" s="32"/>
      <c r="DJ427" s="32"/>
      <c r="DK427" s="32"/>
      <c r="DL427" s="32"/>
      <c r="DM427" s="32"/>
      <c r="DN427" s="32"/>
      <c r="DO427" s="32"/>
      <c r="DP427" s="32"/>
      <c r="DQ427" s="32"/>
      <c r="DR427" s="32"/>
      <c r="DS427" s="32"/>
      <c r="DT427" s="32"/>
      <c r="DU427" s="32"/>
      <c r="DV427" s="32"/>
      <c r="DW427" s="32"/>
      <c r="DX427" s="32"/>
      <c r="DY427" s="32"/>
      <c r="DZ427" s="32"/>
      <c r="EA427" s="32"/>
      <c r="EB427" s="32"/>
      <c r="EC427" s="32"/>
      <c r="ED427" s="32"/>
      <c r="EE427" s="32"/>
      <c r="EF427" s="32"/>
      <c r="EG427" s="32"/>
      <c r="EH427" s="32"/>
      <c r="EI427" s="32"/>
      <c r="EJ427" s="32"/>
      <c r="EK427" s="32"/>
      <c r="EL427" s="32"/>
      <c r="EM427" s="32"/>
      <c r="EN427" s="32"/>
      <c r="EO427" s="32"/>
      <c r="EP427" s="32"/>
      <c r="EQ427" s="32"/>
      <c r="ER427" s="32"/>
      <c r="ES427" s="32"/>
      <c r="ET427" s="32"/>
      <c r="EU427" s="32"/>
      <c r="EV427" s="32"/>
      <c r="EW427" s="32"/>
      <c r="EX427" s="32"/>
      <c r="EY427" s="32"/>
      <c r="EZ427" s="32"/>
      <c r="FA427" s="32"/>
      <c r="FB427" s="32"/>
      <c r="FC427" s="32"/>
      <c r="FD427" s="32"/>
      <c r="FE427" s="32"/>
      <c r="FF427" s="32"/>
      <c r="FG427" s="32"/>
      <c r="FH427" s="32"/>
      <c r="FI427" s="32"/>
      <c r="FJ427" s="32"/>
      <c r="FK427" s="32"/>
      <c r="FL427" s="32"/>
      <c r="FM427" s="47"/>
      <c r="FN427" s="47"/>
      <c r="FO427" s="47"/>
      <c r="FP427" s="47"/>
      <c r="FQ427" s="47"/>
      <c r="FR427" s="47"/>
      <c r="FS427" s="47"/>
      <c r="FT427" s="47"/>
      <c r="FU427" s="47"/>
      <c r="FV427" s="48"/>
      <c r="FW427" s="48"/>
      <c r="FX427" s="48"/>
      <c r="FY427" s="48"/>
      <c r="FZ427" s="48"/>
      <c r="GA427" s="49"/>
      <c r="GB427" s="49"/>
      <c r="GC427" s="49"/>
      <c r="GD427" s="49"/>
      <c r="GE427" s="49"/>
      <c r="GF427" s="49"/>
      <c r="GG427" s="49"/>
      <c r="GH427" s="49"/>
      <c r="GI427" s="49"/>
      <c r="GJ427" s="49"/>
      <c r="GK427" s="49"/>
      <c r="GL427" s="49"/>
      <c r="GM427" s="49"/>
      <c r="GN427" s="49"/>
      <c r="GO427" s="49"/>
      <c r="GP427" s="49"/>
      <c r="GQ427" s="49"/>
      <c r="GR427" s="49"/>
      <c r="GS427" s="49"/>
      <c r="GT427" s="49"/>
      <c r="GU427" s="49"/>
      <c r="GV427" s="49"/>
      <c r="GW427" s="49"/>
      <c r="GX427" s="49"/>
      <c r="GY427" s="49"/>
      <c r="GZ427" s="49"/>
      <c r="HA427" s="49"/>
      <c r="HB427" s="49"/>
      <c r="HC427" s="49"/>
      <c r="HD427" s="49"/>
      <c r="HE427" s="49"/>
      <c r="HF427" s="49"/>
      <c r="HG427" s="49"/>
      <c r="HH427" s="49"/>
      <c r="HI427" s="49"/>
      <c r="HJ427" s="49"/>
      <c r="HK427" s="49"/>
      <c r="HL427" s="49"/>
      <c r="HM427" s="49"/>
    </row>
    <row r="428" spans="1:221" ht="22.8">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c r="CX428" s="32"/>
      <c r="CY428" s="32"/>
      <c r="CZ428" s="32"/>
      <c r="DA428" s="32"/>
      <c r="DB428" s="32"/>
      <c r="DC428" s="32"/>
      <c r="DD428" s="32"/>
      <c r="DE428" s="32"/>
      <c r="DF428" s="32"/>
      <c r="DG428" s="32"/>
      <c r="DH428" s="32"/>
      <c r="DI428" s="32"/>
      <c r="DJ428" s="32"/>
      <c r="DK428" s="32"/>
      <c r="DL428" s="32"/>
      <c r="DM428" s="32"/>
      <c r="DN428" s="32"/>
      <c r="DO428" s="32"/>
      <c r="DP428" s="32"/>
      <c r="DQ428" s="32"/>
      <c r="DR428" s="32"/>
      <c r="DS428" s="32"/>
      <c r="DT428" s="32"/>
      <c r="DU428" s="32"/>
      <c r="DV428" s="32"/>
      <c r="DW428" s="32"/>
      <c r="DX428" s="32"/>
      <c r="DY428" s="32"/>
      <c r="DZ428" s="32"/>
      <c r="EA428" s="32"/>
      <c r="EB428" s="32"/>
      <c r="EC428" s="32"/>
      <c r="ED428" s="32"/>
      <c r="EE428" s="32"/>
      <c r="EF428" s="32"/>
      <c r="EG428" s="32"/>
      <c r="EH428" s="32"/>
      <c r="EI428" s="32"/>
      <c r="EJ428" s="32"/>
      <c r="EK428" s="32"/>
      <c r="EL428" s="32"/>
      <c r="EM428" s="32"/>
      <c r="EN428" s="32"/>
      <c r="EO428" s="32"/>
      <c r="EP428" s="32"/>
      <c r="EQ428" s="32"/>
      <c r="ER428" s="32"/>
      <c r="ES428" s="32"/>
      <c r="ET428" s="32"/>
      <c r="EU428" s="32"/>
      <c r="EV428" s="32"/>
      <c r="EW428" s="32"/>
      <c r="EX428" s="32"/>
      <c r="EY428" s="32"/>
      <c r="EZ428" s="32"/>
      <c r="FA428" s="32"/>
      <c r="FB428" s="32"/>
      <c r="FC428" s="32"/>
      <c r="FD428" s="32"/>
      <c r="FE428" s="32"/>
      <c r="FF428" s="32"/>
      <c r="FG428" s="32"/>
      <c r="FH428" s="32"/>
      <c r="FI428" s="32"/>
      <c r="FJ428" s="32"/>
      <c r="FK428" s="32"/>
      <c r="FL428" s="32"/>
      <c r="FM428" s="47"/>
      <c r="FN428" s="47"/>
      <c r="FO428" s="47"/>
      <c r="FP428" s="47"/>
      <c r="FQ428" s="47"/>
      <c r="FR428" s="47"/>
      <c r="FS428" s="47"/>
      <c r="FT428" s="47"/>
      <c r="FU428" s="47"/>
      <c r="FV428" s="48"/>
      <c r="FW428" s="48"/>
      <c r="FX428" s="48"/>
      <c r="FY428" s="48"/>
      <c r="FZ428" s="48"/>
      <c r="GA428" s="49"/>
      <c r="GB428" s="49"/>
      <c r="GC428" s="49"/>
      <c r="GD428" s="49"/>
      <c r="GE428" s="49"/>
      <c r="GF428" s="49"/>
      <c r="GG428" s="49"/>
      <c r="GH428" s="49"/>
      <c r="GI428" s="49"/>
      <c r="GJ428" s="49"/>
      <c r="GK428" s="49"/>
      <c r="GL428" s="49"/>
      <c r="GM428" s="49"/>
      <c r="GN428" s="49"/>
      <c r="GO428" s="49"/>
      <c r="GP428" s="49"/>
      <c r="GQ428" s="49"/>
      <c r="GR428" s="49"/>
      <c r="GS428" s="49"/>
      <c r="GT428" s="49"/>
      <c r="GU428" s="49"/>
      <c r="GV428" s="49"/>
      <c r="GW428" s="49"/>
      <c r="GX428" s="49"/>
      <c r="GY428" s="49"/>
      <c r="GZ428" s="49"/>
      <c r="HA428" s="49"/>
      <c r="HB428" s="49"/>
      <c r="HC428" s="49"/>
      <c r="HD428" s="49"/>
      <c r="HE428" s="49"/>
      <c r="HF428" s="49"/>
      <c r="HG428" s="49"/>
      <c r="HH428" s="49"/>
      <c r="HI428" s="49"/>
      <c r="HJ428" s="49"/>
      <c r="HK428" s="49"/>
      <c r="HL428" s="49"/>
      <c r="HM428" s="49"/>
    </row>
    <row r="429" spans="1:221" ht="22.8">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c r="CE429" s="32"/>
      <c r="CF429" s="32"/>
      <c r="CG429" s="32"/>
      <c r="CH429" s="32"/>
      <c r="CI429" s="32"/>
      <c r="CJ429" s="32"/>
      <c r="CK429" s="32"/>
      <c r="CL429" s="32"/>
      <c r="CM429" s="32"/>
      <c r="CN429" s="32"/>
      <c r="CO429" s="32"/>
      <c r="CP429" s="32"/>
      <c r="CQ429" s="32"/>
      <c r="CR429" s="32"/>
      <c r="CS429" s="32"/>
      <c r="CT429" s="32"/>
      <c r="CU429" s="32"/>
      <c r="CV429" s="32"/>
      <c r="CW429" s="32"/>
      <c r="CX429" s="32"/>
      <c r="CY429" s="32"/>
      <c r="CZ429" s="32"/>
      <c r="DA429" s="32"/>
      <c r="DB429" s="32"/>
      <c r="DC429" s="32"/>
      <c r="DD429" s="32"/>
      <c r="DE429" s="32"/>
      <c r="DF429" s="32"/>
      <c r="DG429" s="32"/>
      <c r="DH429" s="32"/>
      <c r="DI429" s="32"/>
      <c r="DJ429" s="32"/>
      <c r="DK429" s="32"/>
      <c r="DL429" s="32"/>
      <c r="DM429" s="32"/>
      <c r="DN429" s="32"/>
      <c r="DO429" s="32"/>
      <c r="DP429" s="32"/>
      <c r="DQ429" s="32"/>
      <c r="DR429" s="32"/>
      <c r="DS429" s="32"/>
      <c r="DT429" s="32"/>
      <c r="DU429" s="32"/>
      <c r="DV429" s="32"/>
      <c r="DW429" s="32"/>
      <c r="DX429" s="32"/>
      <c r="DY429" s="32"/>
      <c r="DZ429" s="32"/>
      <c r="EA429" s="32"/>
      <c r="EB429" s="32"/>
      <c r="EC429" s="32"/>
      <c r="ED429" s="32"/>
      <c r="EE429" s="32"/>
      <c r="EF429" s="32"/>
      <c r="EG429" s="32"/>
      <c r="EH429" s="32"/>
      <c r="EI429" s="32"/>
      <c r="EJ429" s="32"/>
      <c r="EK429" s="32"/>
      <c r="EL429" s="32"/>
      <c r="EM429" s="32"/>
      <c r="EN429" s="32"/>
      <c r="EO429" s="32"/>
      <c r="EP429" s="32"/>
      <c r="EQ429" s="32"/>
      <c r="ER429" s="32"/>
      <c r="ES429" s="32"/>
      <c r="ET429" s="32"/>
      <c r="EU429" s="32"/>
      <c r="EV429" s="32"/>
      <c r="EW429" s="32"/>
      <c r="EX429" s="32"/>
      <c r="EY429" s="32"/>
      <c r="EZ429" s="32"/>
      <c r="FA429" s="32"/>
      <c r="FB429" s="32"/>
      <c r="FC429" s="32"/>
      <c r="FD429" s="32"/>
      <c r="FE429" s="32"/>
      <c r="FF429" s="32"/>
      <c r="FG429" s="32"/>
      <c r="FH429" s="32"/>
      <c r="FI429" s="32"/>
      <c r="FJ429" s="32"/>
      <c r="FK429" s="32"/>
      <c r="FL429" s="32"/>
      <c r="FM429" s="47"/>
      <c r="FN429" s="47"/>
      <c r="FO429" s="47"/>
      <c r="FP429" s="47"/>
      <c r="FQ429" s="47"/>
      <c r="FR429" s="47"/>
      <c r="FS429" s="47"/>
      <c r="FT429" s="47"/>
      <c r="FU429" s="47"/>
      <c r="FV429" s="48"/>
      <c r="FW429" s="48"/>
      <c r="FX429" s="48"/>
      <c r="FY429" s="48"/>
      <c r="FZ429" s="48"/>
      <c r="GA429" s="49"/>
      <c r="GB429" s="49"/>
      <c r="GC429" s="49"/>
      <c r="GD429" s="49"/>
      <c r="GE429" s="49"/>
      <c r="GF429" s="49"/>
      <c r="GG429" s="49"/>
      <c r="GH429" s="49"/>
      <c r="GI429" s="49"/>
      <c r="GJ429" s="49"/>
      <c r="GK429" s="49"/>
      <c r="GL429" s="49"/>
      <c r="GM429" s="49"/>
      <c r="GN429" s="49"/>
      <c r="GO429" s="49"/>
      <c r="GP429" s="49"/>
      <c r="GQ429" s="49"/>
      <c r="GR429" s="49"/>
      <c r="GS429" s="49"/>
      <c r="GT429" s="49"/>
      <c r="GU429" s="49"/>
      <c r="GV429" s="49"/>
      <c r="GW429" s="49"/>
      <c r="GX429" s="49"/>
      <c r="GY429" s="49"/>
      <c r="GZ429" s="49"/>
      <c r="HA429" s="49"/>
      <c r="HB429" s="49"/>
      <c r="HC429" s="49"/>
      <c r="HD429" s="49"/>
      <c r="HE429" s="49"/>
      <c r="HF429" s="49"/>
      <c r="HG429" s="49"/>
      <c r="HH429" s="49"/>
      <c r="HI429" s="49"/>
      <c r="HJ429" s="49"/>
      <c r="HK429" s="49"/>
      <c r="HL429" s="49"/>
      <c r="HM429" s="49"/>
    </row>
    <row r="430" spans="1:221" ht="22.8">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c r="CE430" s="32"/>
      <c r="CF430" s="32"/>
      <c r="CG430" s="32"/>
      <c r="CH430" s="32"/>
      <c r="CI430" s="32"/>
      <c r="CJ430" s="32"/>
      <c r="CK430" s="32"/>
      <c r="CL430" s="32"/>
      <c r="CM430" s="32"/>
      <c r="CN430" s="32"/>
      <c r="CO430" s="32"/>
      <c r="CP430" s="32"/>
      <c r="CQ430" s="32"/>
      <c r="CR430" s="32"/>
      <c r="CS430" s="32"/>
      <c r="CT430" s="32"/>
      <c r="CU430" s="32"/>
      <c r="CV430" s="32"/>
      <c r="CW430" s="32"/>
      <c r="CX430" s="32"/>
      <c r="CY430" s="32"/>
      <c r="CZ430" s="32"/>
      <c r="DA430" s="32"/>
      <c r="DB430" s="32"/>
      <c r="DC430" s="32"/>
      <c r="DD430" s="32"/>
      <c r="DE430" s="32"/>
      <c r="DF430" s="32"/>
      <c r="DG430" s="32"/>
      <c r="DH430" s="32"/>
      <c r="DI430" s="32"/>
      <c r="DJ430" s="32"/>
      <c r="DK430" s="32"/>
      <c r="DL430" s="32"/>
      <c r="DM430" s="32"/>
      <c r="DN430" s="32"/>
      <c r="DO430" s="32"/>
      <c r="DP430" s="32"/>
      <c r="DQ430" s="32"/>
      <c r="DR430" s="32"/>
      <c r="DS430" s="32"/>
      <c r="DT430" s="32"/>
      <c r="DU430" s="32"/>
      <c r="DV430" s="32"/>
      <c r="DW430" s="32"/>
      <c r="DX430" s="32"/>
      <c r="DY430" s="32"/>
      <c r="DZ430" s="32"/>
      <c r="EA430" s="32"/>
      <c r="EB430" s="32"/>
      <c r="EC430" s="32"/>
      <c r="ED430" s="32"/>
      <c r="EE430" s="32"/>
      <c r="EF430" s="32"/>
      <c r="EG430" s="32"/>
      <c r="EH430" s="32"/>
      <c r="EI430" s="32"/>
      <c r="EJ430" s="32"/>
      <c r="EK430" s="32"/>
      <c r="EL430" s="32"/>
      <c r="EM430" s="32"/>
      <c r="EN430" s="32"/>
      <c r="EO430" s="32"/>
      <c r="EP430" s="32"/>
      <c r="EQ430" s="32"/>
      <c r="ER430" s="32"/>
      <c r="ES430" s="32"/>
      <c r="ET430" s="32"/>
      <c r="EU430" s="32"/>
      <c r="EV430" s="32"/>
      <c r="EW430" s="32"/>
      <c r="EX430" s="32"/>
      <c r="EY430" s="32"/>
      <c r="EZ430" s="32"/>
      <c r="FA430" s="32"/>
      <c r="FB430" s="32"/>
      <c r="FC430" s="32"/>
      <c r="FD430" s="32"/>
      <c r="FE430" s="32"/>
      <c r="FF430" s="32"/>
      <c r="FG430" s="32"/>
      <c r="FH430" s="32"/>
      <c r="FI430" s="32"/>
      <c r="FJ430" s="32"/>
      <c r="FK430" s="32"/>
      <c r="FL430" s="32"/>
      <c r="FM430" s="47"/>
      <c r="FN430" s="47"/>
      <c r="FO430" s="47"/>
      <c r="FP430" s="47"/>
      <c r="FQ430" s="47"/>
      <c r="FR430" s="47"/>
      <c r="FS430" s="47"/>
      <c r="FT430" s="47"/>
      <c r="FU430" s="47"/>
      <c r="FV430" s="48"/>
      <c r="FW430" s="48"/>
      <c r="FX430" s="48"/>
      <c r="FY430" s="48"/>
      <c r="FZ430" s="48"/>
      <c r="GA430" s="49"/>
      <c r="GB430" s="49"/>
      <c r="GC430" s="49"/>
      <c r="GD430" s="49"/>
      <c r="GE430" s="49"/>
      <c r="GF430" s="49"/>
      <c r="GG430" s="49"/>
      <c r="GH430" s="49"/>
      <c r="GI430" s="49"/>
      <c r="GJ430" s="49"/>
      <c r="GK430" s="49"/>
      <c r="GL430" s="49"/>
      <c r="GM430" s="49"/>
      <c r="GN430" s="49"/>
      <c r="GO430" s="49"/>
      <c r="GP430" s="49"/>
      <c r="GQ430" s="49"/>
      <c r="GR430" s="49"/>
      <c r="GS430" s="49"/>
      <c r="GT430" s="49"/>
      <c r="GU430" s="49"/>
      <c r="GV430" s="49"/>
      <c r="GW430" s="49"/>
      <c r="GX430" s="49"/>
      <c r="GY430" s="49"/>
      <c r="GZ430" s="49"/>
      <c r="HA430" s="49"/>
      <c r="HB430" s="49"/>
      <c r="HC430" s="49"/>
      <c r="HD430" s="49"/>
      <c r="HE430" s="49"/>
      <c r="HF430" s="49"/>
      <c r="HG430" s="49"/>
      <c r="HH430" s="49"/>
      <c r="HI430" s="49"/>
      <c r="HJ430" s="49"/>
      <c r="HK430" s="49"/>
      <c r="HL430" s="49"/>
      <c r="HM430" s="49"/>
    </row>
    <row r="431" spans="1:221" ht="22.8">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c r="CE431" s="32"/>
      <c r="CF431" s="32"/>
      <c r="CG431" s="32"/>
      <c r="CH431" s="32"/>
      <c r="CI431" s="32"/>
      <c r="CJ431" s="32"/>
      <c r="CK431" s="32"/>
      <c r="CL431" s="32"/>
      <c r="CM431" s="32"/>
      <c r="CN431" s="32"/>
      <c r="CO431" s="32"/>
      <c r="CP431" s="32"/>
      <c r="CQ431" s="32"/>
      <c r="CR431" s="32"/>
      <c r="CS431" s="32"/>
      <c r="CT431" s="32"/>
      <c r="CU431" s="32"/>
      <c r="CV431" s="32"/>
      <c r="CW431" s="32"/>
      <c r="CX431" s="32"/>
      <c r="CY431" s="32"/>
      <c r="CZ431" s="32"/>
      <c r="DA431" s="32"/>
      <c r="DB431" s="32"/>
      <c r="DC431" s="32"/>
      <c r="DD431" s="32"/>
      <c r="DE431" s="32"/>
      <c r="DF431" s="32"/>
      <c r="DG431" s="32"/>
      <c r="DH431" s="32"/>
      <c r="DI431" s="32"/>
      <c r="DJ431" s="32"/>
      <c r="DK431" s="32"/>
      <c r="DL431" s="32"/>
      <c r="DM431" s="32"/>
      <c r="DN431" s="32"/>
      <c r="DO431" s="32"/>
      <c r="DP431" s="32"/>
      <c r="DQ431" s="32"/>
      <c r="DR431" s="32"/>
      <c r="DS431" s="32"/>
      <c r="DT431" s="32"/>
      <c r="DU431" s="32"/>
      <c r="DV431" s="32"/>
      <c r="DW431" s="32"/>
      <c r="DX431" s="32"/>
      <c r="DY431" s="32"/>
      <c r="DZ431" s="32"/>
      <c r="EA431" s="32"/>
      <c r="EB431" s="32"/>
      <c r="EC431" s="32"/>
      <c r="ED431" s="32"/>
      <c r="EE431" s="32"/>
      <c r="EF431" s="32"/>
      <c r="EG431" s="32"/>
      <c r="EH431" s="32"/>
      <c r="EI431" s="32"/>
      <c r="EJ431" s="32"/>
      <c r="EK431" s="32"/>
      <c r="EL431" s="32"/>
      <c r="EM431" s="32"/>
      <c r="EN431" s="32"/>
      <c r="EO431" s="32"/>
      <c r="EP431" s="32"/>
      <c r="EQ431" s="32"/>
      <c r="ER431" s="32"/>
      <c r="ES431" s="32"/>
      <c r="ET431" s="32"/>
      <c r="EU431" s="32"/>
      <c r="EV431" s="32"/>
      <c r="EW431" s="32"/>
      <c r="EX431" s="32"/>
      <c r="EY431" s="32"/>
      <c r="EZ431" s="32"/>
      <c r="FA431" s="32"/>
      <c r="FB431" s="32"/>
      <c r="FC431" s="32"/>
      <c r="FD431" s="32"/>
      <c r="FE431" s="32"/>
      <c r="FF431" s="32"/>
      <c r="FG431" s="32"/>
      <c r="FH431" s="32"/>
      <c r="FI431" s="32"/>
      <c r="FJ431" s="32"/>
      <c r="FK431" s="32"/>
      <c r="FL431" s="32"/>
      <c r="FM431" s="47"/>
      <c r="FN431" s="47"/>
      <c r="FO431" s="47"/>
      <c r="FP431" s="47"/>
      <c r="FQ431" s="47"/>
      <c r="FR431" s="47"/>
      <c r="FS431" s="47"/>
      <c r="FT431" s="47"/>
      <c r="FU431" s="47"/>
      <c r="FV431" s="48"/>
      <c r="FW431" s="48"/>
      <c r="FX431" s="48"/>
      <c r="FY431" s="48"/>
      <c r="FZ431" s="48"/>
      <c r="GA431" s="49"/>
      <c r="GB431" s="49"/>
      <c r="GC431" s="49"/>
      <c r="GD431" s="49"/>
      <c r="GE431" s="49"/>
      <c r="GF431" s="49"/>
      <c r="GG431" s="49"/>
      <c r="GH431" s="49"/>
      <c r="GI431" s="49"/>
      <c r="GJ431" s="49"/>
      <c r="GK431" s="49"/>
      <c r="GL431" s="49"/>
      <c r="GM431" s="49"/>
      <c r="GN431" s="49"/>
      <c r="GO431" s="49"/>
      <c r="GP431" s="49"/>
      <c r="GQ431" s="49"/>
      <c r="GR431" s="49"/>
      <c r="GS431" s="49"/>
      <c r="GT431" s="49"/>
      <c r="GU431" s="49"/>
      <c r="GV431" s="49"/>
      <c r="GW431" s="49"/>
      <c r="GX431" s="49"/>
      <c r="GY431" s="49"/>
      <c r="GZ431" s="49"/>
      <c r="HA431" s="49"/>
      <c r="HB431" s="49"/>
      <c r="HC431" s="49"/>
      <c r="HD431" s="49"/>
      <c r="HE431" s="49"/>
      <c r="HF431" s="49"/>
      <c r="HG431" s="49"/>
      <c r="HH431" s="49"/>
      <c r="HI431" s="49"/>
      <c r="HJ431" s="49"/>
      <c r="HK431" s="49"/>
      <c r="HL431" s="49"/>
      <c r="HM431" s="49"/>
    </row>
    <row r="432" spans="1:221" ht="22.8">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c r="CE432" s="32"/>
      <c r="CF432" s="32"/>
      <c r="CG432" s="32"/>
      <c r="CH432" s="32"/>
      <c r="CI432" s="32"/>
      <c r="CJ432" s="32"/>
      <c r="CK432" s="32"/>
      <c r="CL432" s="32"/>
      <c r="CM432" s="32"/>
      <c r="CN432" s="32"/>
      <c r="CO432" s="32"/>
      <c r="CP432" s="32"/>
      <c r="CQ432" s="32"/>
      <c r="CR432" s="32"/>
      <c r="CS432" s="32"/>
      <c r="CT432" s="32"/>
      <c r="CU432" s="32"/>
      <c r="CV432" s="32"/>
      <c r="CW432" s="32"/>
      <c r="CX432" s="32"/>
      <c r="CY432" s="32"/>
      <c r="CZ432" s="32"/>
      <c r="DA432" s="32"/>
      <c r="DB432" s="32"/>
      <c r="DC432" s="32"/>
      <c r="DD432" s="32"/>
      <c r="DE432" s="32"/>
      <c r="DF432" s="32"/>
      <c r="DG432" s="32"/>
      <c r="DH432" s="32"/>
      <c r="DI432" s="32"/>
      <c r="DJ432" s="32"/>
      <c r="DK432" s="32"/>
      <c r="DL432" s="32"/>
      <c r="DM432" s="32"/>
      <c r="DN432" s="32"/>
      <c r="DO432" s="32"/>
      <c r="DP432" s="32"/>
      <c r="DQ432" s="32"/>
      <c r="DR432" s="32"/>
      <c r="DS432" s="32"/>
      <c r="DT432" s="32"/>
      <c r="DU432" s="32"/>
      <c r="DV432" s="32"/>
      <c r="DW432" s="32"/>
      <c r="DX432" s="32"/>
      <c r="DY432" s="32"/>
      <c r="DZ432" s="32"/>
      <c r="EA432" s="32"/>
      <c r="EB432" s="32"/>
      <c r="EC432" s="32"/>
      <c r="ED432" s="32"/>
      <c r="EE432" s="32"/>
      <c r="EF432" s="32"/>
      <c r="EG432" s="32"/>
      <c r="EH432" s="32"/>
      <c r="EI432" s="32"/>
      <c r="EJ432" s="32"/>
      <c r="EK432" s="32"/>
      <c r="EL432" s="32"/>
      <c r="EM432" s="32"/>
      <c r="EN432" s="32"/>
      <c r="EO432" s="32"/>
      <c r="EP432" s="32"/>
      <c r="EQ432" s="32"/>
      <c r="ER432" s="32"/>
      <c r="ES432" s="32"/>
      <c r="ET432" s="32"/>
      <c r="EU432" s="32"/>
      <c r="EV432" s="32"/>
      <c r="EW432" s="32"/>
      <c r="EX432" s="32"/>
      <c r="EY432" s="32"/>
      <c r="EZ432" s="32"/>
      <c r="FA432" s="32"/>
      <c r="FB432" s="32"/>
      <c r="FC432" s="32"/>
      <c r="FD432" s="32"/>
      <c r="FE432" s="32"/>
      <c r="FF432" s="32"/>
      <c r="FG432" s="32"/>
      <c r="FH432" s="32"/>
      <c r="FI432" s="32"/>
      <c r="FJ432" s="32"/>
      <c r="FK432" s="32"/>
      <c r="FL432" s="32"/>
      <c r="FM432" s="47"/>
      <c r="FN432" s="47"/>
      <c r="FO432" s="47"/>
      <c r="FP432" s="47"/>
      <c r="FQ432" s="47"/>
      <c r="FR432" s="47"/>
      <c r="FS432" s="47"/>
      <c r="FT432" s="47"/>
      <c r="FU432" s="47"/>
      <c r="FV432" s="48"/>
      <c r="FW432" s="48"/>
      <c r="FX432" s="48"/>
      <c r="FY432" s="48"/>
      <c r="FZ432" s="48"/>
      <c r="GA432" s="49"/>
      <c r="GB432" s="49"/>
      <c r="GC432" s="49"/>
      <c r="GD432" s="49"/>
      <c r="GE432" s="49"/>
      <c r="GF432" s="49"/>
      <c r="GG432" s="49"/>
      <c r="GH432" s="49"/>
      <c r="GI432" s="49"/>
      <c r="GJ432" s="49"/>
      <c r="GK432" s="49"/>
      <c r="GL432" s="49"/>
      <c r="GM432" s="49"/>
      <c r="GN432" s="49"/>
      <c r="GO432" s="49"/>
      <c r="GP432" s="49"/>
      <c r="GQ432" s="49"/>
      <c r="GR432" s="49"/>
      <c r="GS432" s="49"/>
      <c r="GT432" s="49"/>
      <c r="GU432" s="49"/>
      <c r="GV432" s="49"/>
      <c r="GW432" s="49"/>
      <c r="GX432" s="49"/>
      <c r="GY432" s="49"/>
      <c r="GZ432" s="49"/>
      <c r="HA432" s="49"/>
      <c r="HB432" s="49"/>
      <c r="HC432" s="49"/>
      <c r="HD432" s="49"/>
      <c r="HE432" s="49"/>
      <c r="HF432" s="49"/>
      <c r="HG432" s="49"/>
      <c r="HH432" s="49"/>
      <c r="HI432" s="49"/>
      <c r="HJ432" s="49"/>
      <c r="HK432" s="49"/>
      <c r="HL432" s="49"/>
      <c r="HM432" s="49"/>
    </row>
    <row r="433" spans="1:221" ht="22.8">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c r="CX433" s="32"/>
      <c r="CY433" s="32"/>
      <c r="CZ433" s="32"/>
      <c r="DA433" s="32"/>
      <c r="DB433" s="32"/>
      <c r="DC433" s="32"/>
      <c r="DD433" s="32"/>
      <c r="DE433" s="32"/>
      <c r="DF433" s="32"/>
      <c r="DG433" s="32"/>
      <c r="DH433" s="32"/>
      <c r="DI433" s="32"/>
      <c r="DJ433" s="32"/>
      <c r="DK433" s="32"/>
      <c r="DL433" s="32"/>
      <c r="DM433" s="32"/>
      <c r="DN433" s="32"/>
      <c r="DO433" s="32"/>
      <c r="DP433" s="32"/>
      <c r="DQ433" s="32"/>
      <c r="DR433" s="32"/>
      <c r="DS433" s="32"/>
      <c r="DT433" s="32"/>
      <c r="DU433" s="32"/>
      <c r="DV433" s="32"/>
      <c r="DW433" s="32"/>
      <c r="DX433" s="32"/>
      <c r="DY433" s="32"/>
      <c r="DZ433" s="32"/>
      <c r="EA433" s="32"/>
      <c r="EB433" s="32"/>
      <c r="EC433" s="32"/>
      <c r="ED433" s="32"/>
      <c r="EE433" s="32"/>
      <c r="EF433" s="32"/>
      <c r="EG433" s="32"/>
      <c r="EH433" s="32"/>
      <c r="EI433" s="32"/>
      <c r="EJ433" s="32"/>
      <c r="EK433" s="32"/>
      <c r="EL433" s="32"/>
      <c r="EM433" s="32"/>
      <c r="EN433" s="32"/>
      <c r="EO433" s="32"/>
      <c r="EP433" s="32"/>
      <c r="EQ433" s="32"/>
      <c r="ER433" s="32"/>
      <c r="ES433" s="32"/>
      <c r="ET433" s="32"/>
      <c r="EU433" s="32"/>
      <c r="EV433" s="32"/>
      <c r="EW433" s="32"/>
      <c r="EX433" s="32"/>
      <c r="EY433" s="32"/>
      <c r="EZ433" s="32"/>
      <c r="FA433" s="32"/>
      <c r="FB433" s="32"/>
      <c r="FC433" s="32"/>
      <c r="FD433" s="32"/>
      <c r="FE433" s="32"/>
      <c r="FF433" s="32"/>
      <c r="FG433" s="32"/>
      <c r="FH433" s="32"/>
      <c r="FI433" s="32"/>
      <c r="FJ433" s="32"/>
      <c r="FK433" s="32"/>
      <c r="FL433" s="32"/>
      <c r="FM433" s="47"/>
      <c r="FN433" s="47"/>
      <c r="FO433" s="47"/>
      <c r="FP433" s="47"/>
      <c r="FQ433" s="47"/>
      <c r="FR433" s="47"/>
      <c r="FS433" s="47"/>
      <c r="FT433" s="47"/>
      <c r="FU433" s="47"/>
      <c r="FV433" s="48"/>
      <c r="FW433" s="48"/>
      <c r="FX433" s="48"/>
      <c r="FY433" s="48"/>
      <c r="FZ433" s="48"/>
      <c r="GA433" s="49"/>
      <c r="GB433" s="49"/>
      <c r="GC433" s="49"/>
      <c r="GD433" s="49"/>
      <c r="GE433" s="49"/>
      <c r="GF433" s="49"/>
      <c r="GG433" s="49"/>
      <c r="GH433" s="49"/>
      <c r="GI433" s="49"/>
      <c r="GJ433" s="49"/>
      <c r="GK433" s="49"/>
      <c r="GL433" s="49"/>
      <c r="GM433" s="49"/>
      <c r="GN433" s="49"/>
      <c r="GO433" s="49"/>
      <c r="GP433" s="49"/>
      <c r="GQ433" s="49"/>
      <c r="GR433" s="49"/>
      <c r="GS433" s="49"/>
      <c r="GT433" s="49"/>
      <c r="GU433" s="49"/>
      <c r="GV433" s="49"/>
      <c r="GW433" s="49"/>
      <c r="GX433" s="49"/>
      <c r="GY433" s="49"/>
      <c r="GZ433" s="49"/>
      <c r="HA433" s="49"/>
      <c r="HB433" s="49"/>
      <c r="HC433" s="49"/>
      <c r="HD433" s="49"/>
      <c r="HE433" s="49"/>
      <c r="HF433" s="49"/>
      <c r="HG433" s="49"/>
      <c r="HH433" s="49"/>
      <c r="HI433" s="49"/>
      <c r="HJ433" s="49"/>
      <c r="HK433" s="49"/>
      <c r="HL433" s="49"/>
      <c r="HM433" s="49"/>
    </row>
    <row r="434" spans="1:221" ht="22.8">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c r="CE434" s="32"/>
      <c r="CF434" s="32"/>
      <c r="CG434" s="32"/>
      <c r="CH434" s="32"/>
      <c r="CI434" s="32"/>
      <c r="CJ434" s="32"/>
      <c r="CK434" s="32"/>
      <c r="CL434" s="32"/>
      <c r="CM434" s="32"/>
      <c r="CN434" s="32"/>
      <c r="CO434" s="32"/>
      <c r="CP434" s="32"/>
      <c r="CQ434" s="32"/>
      <c r="CR434" s="32"/>
      <c r="CS434" s="32"/>
      <c r="CT434" s="32"/>
      <c r="CU434" s="32"/>
      <c r="CV434" s="32"/>
      <c r="CW434" s="32"/>
      <c r="CX434" s="32"/>
      <c r="CY434" s="32"/>
      <c r="CZ434" s="32"/>
      <c r="DA434" s="32"/>
      <c r="DB434" s="32"/>
      <c r="DC434" s="32"/>
      <c r="DD434" s="32"/>
      <c r="DE434" s="32"/>
      <c r="DF434" s="32"/>
      <c r="DG434" s="32"/>
      <c r="DH434" s="32"/>
      <c r="DI434" s="32"/>
      <c r="DJ434" s="32"/>
      <c r="DK434" s="32"/>
      <c r="DL434" s="32"/>
      <c r="DM434" s="32"/>
      <c r="DN434" s="32"/>
      <c r="DO434" s="32"/>
      <c r="DP434" s="32"/>
      <c r="DQ434" s="32"/>
      <c r="DR434" s="32"/>
      <c r="DS434" s="32"/>
      <c r="DT434" s="32"/>
      <c r="DU434" s="32"/>
      <c r="DV434" s="32"/>
      <c r="DW434" s="32"/>
      <c r="DX434" s="32"/>
      <c r="DY434" s="32"/>
      <c r="DZ434" s="32"/>
      <c r="EA434" s="32"/>
      <c r="EB434" s="32"/>
      <c r="EC434" s="32"/>
      <c r="ED434" s="32"/>
      <c r="EE434" s="32"/>
      <c r="EF434" s="32"/>
      <c r="EG434" s="32"/>
      <c r="EH434" s="32"/>
      <c r="EI434" s="32"/>
      <c r="EJ434" s="32"/>
      <c r="EK434" s="32"/>
      <c r="EL434" s="32"/>
      <c r="EM434" s="32"/>
      <c r="EN434" s="32"/>
      <c r="EO434" s="32"/>
      <c r="EP434" s="32"/>
      <c r="EQ434" s="32"/>
      <c r="ER434" s="32"/>
      <c r="ES434" s="32"/>
      <c r="ET434" s="32"/>
      <c r="EU434" s="32"/>
      <c r="EV434" s="32"/>
      <c r="EW434" s="32"/>
      <c r="EX434" s="32"/>
      <c r="EY434" s="32"/>
      <c r="EZ434" s="32"/>
      <c r="FA434" s="32"/>
      <c r="FB434" s="32"/>
      <c r="FC434" s="32"/>
      <c r="FD434" s="32"/>
      <c r="FE434" s="32"/>
      <c r="FF434" s="32"/>
      <c r="FG434" s="32"/>
      <c r="FH434" s="32"/>
      <c r="FI434" s="32"/>
      <c r="FJ434" s="32"/>
      <c r="FK434" s="32"/>
      <c r="FL434" s="32"/>
      <c r="FM434" s="47"/>
      <c r="FN434" s="47"/>
      <c r="FO434" s="47"/>
      <c r="FP434" s="47"/>
      <c r="FQ434" s="47"/>
      <c r="FR434" s="47"/>
      <c r="FS434" s="47"/>
      <c r="FT434" s="47"/>
      <c r="FU434" s="47"/>
      <c r="FV434" s="48"/>
      <c r="FW434" s="48"/>
      <c r="FX434" s="48"/>
      <c r="FY434" s="48"/>
      <c r="FZ434" s="48"/>
      <c r="GA434" s="49"/>
      <c r="GB434" s="49"/>
      <c r="GC434" s="49"/>
      <c r="GD434" s="49"/>
      <c r="GE434" s="49"/>
      <c r="GF434" s="49"/>
      <c r="GG434" s="49"/>
      <c r="GH434" s="49"/>
      <c r="GI434" s="49"/>
      <c r="GJ434" s="49"/>
      <c r="GK434" s="49"/>
      <c r="GL434" s="49"/>
      <c r="GM434" s="49"/>
      <c r="GN434" s="49"/>
      <c r="GO434" s="49"/>
      <c r="GP434" s="49"/>
      <c r="GQ434" s="49"/>
      <c r="GR434" s="49"/>
      <c r="GS434" s="49"/>
      <c r="GT434" s="49"/>
      <c r="GU434" s="49"/>
      <c r="GV434" s="49"/>
      <c r="GW434" s="49"/>
      <c r="GX434" s="49"/>
      <c r="GY434" s="49"/>
      <c r="GZ434" s="49"/>
      <c r="HA434" s="49"/>
      <c r="HB434" s="49"/>
      <c r="HC434" s="49"/>
      <c r="HD434" s="49"/>
      <c r="HE434" s="49"/>
      <c r="HF434" s="49"/>
      <c r="HG434" s="49"/>
      <c r="HH434" s="49"/>
      <c r="HI434" s="49"/>
      <c r="HJ434" s="49"/>
      <c r="HK434" s="49"/>
      <c r="HL434" s="49"/>
      <c r="HM434" s="49"/>
    </row>
    <row r="435" spans="1:221" ht="22.8">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c r="CT435" s="32"/>
      <c r="CU435" s="32"/>
      <c r="CV435" s="32"/>
      <c r="CW435" s="32"/>
      <c r="CX435" s="32"/>
      <c r="CY435" s="32"/>
      <c r="CZ435" s="32"/>
      <c r="DA435" s="32"/>
      <c r="DB435" s="32"/>
      <c r="DC435" s="32"/>
      <c r="DD435" s="32"/>
      <c r="DE435" s="32"/>
      <c r="DF435" s="32"/>
      <c r="DG435" s="32"/>
      <c r="DH435" s="32"/>
      <c r="DI435" s="32"/>
      <c r="DJ435" s="32"/>
      <c r="DK435" s="32"/>
      <c r="DL435" s="32"/>
      <c r="DM435" s="32"/>
      <c r="DN435" s="32"/>
      <c r="DO435" s="32"/>
      <c r="DP435" s="32"/>
      <c r="DQ435" s="32"/>
      <c r="DR435" s="32"/>
      <c r="DS435" s="32"/>
      <c r="DT435" s="32"/>
      <c r="DU435" s="32"/>
      <c r="DV435" s="32"/>
      <c r="DW435" s="32"/>
      <c r="DX435" s="32"/>
      <c r="DY435" s="32"/>
      <c r="DZ435" s="32"/>
      <c r="EA435" s="32"/>
      <c r="EB435" s="32"/>
      <c r="EC435" s="32"/>
      <c r="ED435" s="32"/>
      <c r="EE435" s="32"/>
      <c r="EF435" s="32"/>
      <c r="EG435" s="32"/>
      <c r="EH435" s="32"/>
      <c r="EI435" s="32"/>
      <c r="EJ435" s="32"/>
      <c r="EK435" s="32"/>
      <c r="EL435" s="32"/>
      <c r="EM435" s="32"/>
      <c r="EN435" s="32"/>
      <c r="EO435" s="32"/>
      <c r="EP435" s="32"/>
      <c r="EQ435" s="32"/>
      <c r="ER435" s="32"/>
      <c r="ES435" s="32"/>
      <c r="ET435" s="32"/>
      <c r="EU435" s="32"/>
      <c r="EV435" s="32"/>
      <c r="EW435" s="32"/>
      <c r="EX435" s="32"/>
      <c r="EY435" s="32"/>
      <c r="EZ435" s="32"/>
      <c r="FA435" s="32"/>
      <c r="FB435" s="32"/>
      <c r="FC435" s="32"/>
      <c r="FD435" s="32"/>
      <c r="FE435" s="32"/>
      <c r="FF435" s="32"/>
      <c r="FG435" s="32"/>
      <c r="FH435" s="32"/>
      <c r="FI435" s="32"/>
      <c r="FJ435" s="32"/>
      <c r="FK435" s="32"/>
      <c r="FL435" s="32"/>
      <c r="FM435" s="47"/>
      <c r="FN435" s="47"/>
      <c r="FO435" s="47"/>
      <c r="FP435" s="47"/>
      <c r="FQ435" s="47"/>
      <c r="FR435" s="47"/>
      <c r="FS435" s="47"/>
      <c r="FT435" s="47"/>
      <c r="FU435" s="47"/>
      <c r="FV435" s="48"/>
      <c r="FW435" s="48"/>
      <c r="FX435" s="48"/>
      <c r="FY435" s="48"/>
      <c r="FZ435" s="48"/>
      <c r="GA435" s="49"/>
      <c r="GB435" s="49"/>
      <c r="GC435" s="49"/>
      <c r="GD435" s="49"/>
      <c r="GE435" s="49"/>
      <c r="GF435" s="49"/>
      <c r="GG435" s="49"/>
      <c r="GH435" s="49"/>
      <c r="GI435" s="49"/>
      <c r="GJ435" s="49"/>
      <c r="GK435" s="49"/>
      <c r="GL435" s="49"/>
      <c r="GM435" s="49"/>
      <c r="GN435" s="49"/>
      <c r="GO435" s="49"/>
      <c r="GP435" s="49"/>
      <c r="GQ435" s="49"/>
      <c r="GR435" s="49"/>
      <c r="GS435" s="49"/>
      <c r="GT435" s="49"/>
      <c r="GU435" s="49"/>
      <c r="GV435" s="49"/>
      <c r="GW435" s="49"/>
      <c r="GX435" s="49"/>
      <c r="GY435" s="49"/>
      <c r="GZ435" s="49"/>
      <c r="HA435" s="49"/>
      <c r="HB435" s="49"/>
      <c r="HC435" s="49"/>
      <c r="HD435" s="49"/>
      <c r="HE435" s="49"/>
      <c r="HF435" s="49"/>
      <c r="HG435" s="49"/>
      <c r="HH435" s="49"/>
      <c r="HI435" s="49"/>
      <c r="HJ435" s="49"/>
      <c r="HK435" s="49"/>
      <c r="HL435" s="49"/>
      <c r="HM435" s="49"/>
    </row>
    <row r="436" spans="1:221" ht="22.8">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2"/>
      <c r="FH436" s="32"/>
      <c r="FI436" s="32"/>
      <c r="FJ436" s="32"/>
      <c r="FK436" s="32"/>
      <c r="FL436" s="32"/>
      <c r="FM436" s="47"/>
      <c r="FN436" s="47"/>
      <c r="FO436" s="47"/>
      <c r="FP436" s="47"/>
      <c r="FQ436" s="47"/>
      <c r="FR436" s="47"/>
      <c r="FS436" s="47"/>
      <c r="FT436" s="47"/>
      <c r="FU436" s="47"/>
      <c r="FV436" s="48"/>
      <c r="FW436" s="48"/>
      <c r="FX436" s="48"/>
      <c r="FY436" s="48"/>
      <c r="FZ436" s="48"/>
      <c r="GA436" s="49"/>
      <c r="GB436" s="49"/>
      <c r="GC436" s="49"/>
      <c r="GD436" s="49"/>
      <c r="GE436" s="49"/>
      <c r="GF436" s="49"/>
      <c r="GG436" s="49"/>
      <c r="GH436" s="49"/>
      <c r="GI436" s="49"/>
      <c r="GJ436" s="49"/>
      <c r="GK436" s="49"/>
      <c r="GL436" s="49"/>
      <c r="GM436" s="49"/>
      <c r="GN436" s="49"/>
      <c r="GO436" s="49"/>
      <c r="GP436" s="49"/>
      <c r="GQ436" s="49"/>
      <c r="GR436" s="49"/>
      <c r="GS436" s="49"/>
      <c r="GT436" s="49"/>
      <c r="GU436" s="49"/>
      <c r="GV436" s="49"/>
      <c r="GW436" s="49"/>
      <c r="GX436" s="49"/>
      <c r="GY436" s="49"/>
      <c r="GZ436" s="49"/>
      <c r="HA436" s="49"/>
      <c r="HB436" s="49"/>
      <c r="HC436" s="49"/>
      <c r="HD436" s="49"/>
      <c r="HE436" s="49"/>
      <c r="HF436" s="49"/>
      <c r="HG436" s="49"/>
      <c r="HH436" s="49"/>
      <c r="HI436" s="49"/>
      <c r="HJ436" s="49"/>
      <c r="HK436" s="49"/>
      <c r="HL436" s="49"/>
      <c r="HM436" s="49"/>
    </row>
    <row r="437" spans="1:221" ht="22.8">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c r="CX437" s="32"/>
      <c r="CY437" s="32"/>
      <c r="CZ437" s="32"/>
      <c r="DA437" s="32"/>
      <c r="DB437" s="32"/>
      <c r="DC437" s="32"/>
      <c r="DD437" s="32"/>
      <c r="DE437" s="32"/>
      <c r="DF437" s="32"/>
      <c r="DG437" s="32"/>
      <c r="DH437" s="32"/>
      <c r="DI437" s="32"/>
      <c r="DJ437" s="32"/>
      <c r="DK437" s="32"/>
      <c r="DL437" s="32"/>
      <c r="DM437" s="32"/>
      <c r="DN437" s="32"/>
      <c r="DO437" s="32"/>
      <c r="DP437" s="32"/>
      <c r="DQ437" s="32"/>
      <c r="DR437" s="32"/>
      <c r="DS437" s="32"/>
      <c r="DT437" s="32"/>
      <c r="DU437" s="32"/>
      <c r="DV437" s="32"/>
      <c r="DW437" s="32"/>
      <c r="DX437" s="32"/>
      <c r="DY437" s="32"/>
      <c r="DZ437" s="32"/>
      <c r="EA437" s="32"/>
      <c r="EB437" s="32"/>
      <c r="EC437" s="32"/>
      <c r="ED437" s="32"/>
      <c r="EE437" s="32"/>
      <c r="EF437" s="32"/>
      <c r="EG437" s="32"/>
      <c r="EH437" s="32"/>
      <c r="EI437" s="32"/>
      <c r="EJ437" s="32"/>
      <c r="EK437" s="32"/>
      <c r="EL437" s="32"/>
      <c r="EM437" s="32"/>
      <c r="EN437" s="32"/>
      <c r="EO437" s="32"/>
      <c r="EP437" s="32"/>
      <c r="EQ437" s="32"/>
      <c r="ER437" s="32"/>
      <c r="ES437" s="32"/>
      <c r="ET437" s="32"/>
      <c r="EU437" s="32"/>
      <c r="EV437" s="32"/>
      <c r="EW437" s="32"/>
      <c r="EX437" s="32"/>
      <c r="EY437" s="32"/>
      <c r="EZ437" s="32"/>
      <c r="FA437" s="32"/>
      <c r="FB437" s="32"/>
      <c r="FC437" s="32"/>
      <c r="FD437" s="32"/>
      <c r="FE437" s="32"/>
      <c r="FF437" s="32"/>
      <c r="FG437" s="32"/>
      <c r="FH437" s="32"/>
      <c r="FI437" s="32"/>
      <c r="FJ437" s="32"/>
      <c r="FK437" s="32"/>
      <c r="FL437" s="32"/>
      <c r="FM437" s="47"/>
      <c r="FN437" s="47"/>
      <c r="FO437" s="47"/>
      <c r="FP437" s="47"/>
      <c r="FQ437" s="47"/>
      <c r="FR437" s="47"/>
      <c r="FS437" s="47"/>
      <c r="FT437" s="47"/>
      <c r="FU437" s="47"/>
      <c r="FV437" s="48"/>
      <c r="FW437" s="48"/>
      <c r="FX437" s="48"/>
      <c r="FY437" s="48"/>
      <c r="FZ437" s="48"/>
      <c r="GA437" s="49"/>
      <c r="GB437" s="49"/>
      <c r="GC437" s="49"/>
      <c r="GD437" s="49"/>
      <c r="GE437" s="49"/>
      <c r="GF437" s="49"/>
      <c r="GG437" s="49"/>
      <c r="GH437" s="49"/>
      <c r="GI437" s="49"/>
      <c r="GJ437" s="49"/>
      <c r="GK437" s="49"/>
      <c r="GL437" s="49"/>
      <c r="GM437" s="49"/>
      <c r="GN437" s="49"/>
      <c r="GO437" s="49"/>
      <c r="GP437" s="49"/>
      <c r="GQ437" s="49"/>
      <c r="GR437" s="49"/>
      <c r="GS437" s="49"/>
      <c r="GT437" s="49"/>
      <c r="GU437" s="49"/>
      <c r="GV437" s="49"/>
      <c r="GW437" s="49"/>
      <c r="GX437" s="49"/>
      <c r="GY437" s="49"/>
      <c r="GZ437" s="49"/>
      <c r="HA437" s="49"/>
      <c r="HB437" s="49"/>
      <c r="HC437" s="49"/>
      <c r="HD437" s="49"/>
      <c r="HE437" s="49"/>
      <c r="HF437" s="49"/>
      <c r="HG437" s="49"/>
      <c r="HH437" s="49"/>
      <c r="HI437" s="49"/>
      <c r="HJ437" s="49"/>
      <c r="HK437" s="49"/>
      <c r="HL437" s="49"/>
      <c r="HM437" s="49"/>
    </row>
    <row r="438" spans="1:221" ht="22.8">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c r="CX438" s="32"/>
      <c r="CY438" s="32"/>
      <c r="CZ438" s="32"/>
      <c r="DA438" s="32"/>
      <c r="DB438" s="32"/>
      <c r="DC438" s="32"/>
      <c r="DD438" s="32"/>
      <c r="DE438" s="32"/>
      <c r="DF438" s="32"/>
      <c r="DG438" s="32"/>
      <c r="DH438" s="32"/>
      <c r="DI438" s="32"/>
      <c r="DJ438" s="32"/>
      <c r="DK438" s="32"/>
      <c r="DL438" s="32"/>
      <c r="DM438" s="32"/>
      <c r="DN438" s="32"/>
      <c r="DO438" s="32"/>
      <c r="DP438" s="32"/>
      <c r="DQ438" s="32"/>
      <c r="DR438" s="32"/>
      <c r="DS438" s="32"/>
      <c r="DT438" s="32"/>
      <c r="DU438" s="32"/>
      <c r="DV438" s="32"/>
      <c r="DW438" s="32"/>
      <c r="DX438" s="32"/>
      <c r="DY438" s="32"/>
      <c r="DZ438" s="32"/>
      <c r="EA438" s="32"/>
      <c r="EB438" s="32"/>
      <c r="EC438" s="32"/>
      <c r="ED438" s="32"/>
      <c r="EE438" s="32"/>
      <c r="EF438" s="32"/>
      <c r="EG438" s="32"/>
      <c r="EH438" s="32"/>
      <c r="EI438" s="32"/>
      <c r="EJ438" s="32"/>
      <c r="EK438" s="32"/>
      <c r="EL438" s="32"/>
      <c r="EM438" s="32"/>
      <c r="EN438" s="32"/>
      <c r="EO438" s="32"/>
      <c r="EP438" s="32"/>
      <c r="EQ438" s="32"/>
      <c r="ER438" s="32"/>
      <c r="ES438" s="32"/>
      <c r="ET438" s="32"/>
      <c r="EU438" s="32"/>
      <c r="EV438" s="32"/>
      <c r="EW438" s="32"/>
      <c r="EX438" s="32"/>
      <c r="EY438" s="32"/>
      <c r="EZ438" s="32"/>
      <c r="FA438" s="32"/>
      <c r="FB438" s="32"/>
      <c r="FC438" s="32"/>
      <c r="FD438" s="32"/>
      <c r="FE438" s="32"/>
      <c r="FF438" s="32"/>
      <c r="FG438" s="32"/>
      <c r="FH438" s="32"/>
      <c r="FI438" s="32"/>
      <c r="FJ438" s="32"/>
      <c r="FK438" s="32"/>
      <c r="FL438" s="32"/>
      <c r="FM438" s="47"/>
      <c r="FN438" s="47"/>
      <c r="FO438" s="47"/>
      <c r="FP438" s="47"/>
      <c r="FQ438" s="47"/>
      <c r="FR438" s="47"/>
      <c r="FS438" s="47"/>
      <c r="FT438" s="47"/>
      <c r="FU438" s="47"/>
      <c r="FV438" s="48"/>
      <c r="FW438" s="48"/>
      <c r="FX438" s="48"/>
      <c r="FY438" s="48"/>
      <c r="FZ438" s="48"/>
      <c r="GA438" s="49"/>
      <c r="GB438" s="49"/>
      <c r="GC438" s="49"/>
      <c r="GD438" s="49"/>
      <c r="GE438" s="49"/>
      <c r="GF438" s="49"/>
      <c r="GG438" s="49"/>
      <c r="GH438" s="49"/>
      <c r="GI438" s="49"/>
      <c r="GJ438" s="49"/>
      <c r="GK438" s="49"/>
      <c r="GL438" s="49"/>
      <c r="GM438" s="49"/>
      <c r="GN438" s="49"/>
      <c r="GO438" s="49"/>
      <c r="GP438" s="49"/>
      <c r="GQ438" s="49"/>
      <c r="GR438" s="49"/>
      <c r="GS438" s="49"/>
      <c r="GT438" s="49"/>
      <c r="GU438" s="49"/>
      <c r="GV438" s="49"/>
      <c r="GW438" s="49"/>
      <c r="GX438" s="49"/>
      <c r="GY438" s="49"/>
      <c r="GZ438" s="49"/>
      <c r="HA438" s="49"/>
      <c r="HB438" s="49"/>
      <c r="HC438" s="49"/>
      <c r="HD438" s="49"/>
      <c r="HE438" s="49"/>
      <c r="HF438" s="49"/>
      <c r="HG438" s="49"/>
      <c r="HH438" s="49"/>
      <c r="HI438" s="49"/>
      <c r="HJ438" s="49"/>
      <c r="HK438" s="49"/>
      <c r="HL438" s="49"/>
      <c r="HM438" s="49"/>
    </row>
    <row r="439" spans="1:221" ht="22.8">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c r="CT439" s="32"/>
      <c r="CU439" s="32"/>
      <c r="CV439" s="32"/>
      <c r="CW439" s="32"/>
      <c r="CX439" s="32"/>
      <c r="CY439" s="32"/>
      <c r="CZ439" s="32"/>
      <c r="DA439" s="32"/>
      <c r="DB439" s="32"/>
      <c r="DC439" s="32"/>
      <c r="DD439" s="32"/>
      <c r="DE439" s="32"/>
      <c r="DF439" s="32"/>
      <c r="DG439" s="32"/>
      <c r="DH439" s="32"/>
      <c r="DI439" s="32"/>
      <c r="DJ439" s="32"/>
      <c r="DK439" s="32"/>
      <c r="DL439" s="32"/>
      <c r="DM439" s="32"/>
      <c r="DN439" s="32"/>
      <c r="DO439" s="32"/>
      <c r="DP439" s="32"/>
      <c r="DQ439" s="32"/>
      <c r="DR439" s="32"/>
      <c r="DS439" s="32"/>
      <c r="DT439" s="32"/>
      <c r="DU439" s="32"/>
      <c r="DV439" s="32"/>
      <c r="DW439" s="32"/>
      <c r="DX439" s="32"/>
      <c r="DY439" s="32"/>
      <c r="DZ439" s="32"/>
      <c r="EA439" s="32"/>
      <c r="EB439" s="32"/>
      <c r="EC439" s="32"/>
      <c r="ED439" s="32"/>
      <c r="EE439" s="32"/>
      <c r="EF439" s="32"/>
      <c r="EG439" s="32"/>
      <c r="EH439" s="32"/>
      <c r="EI439" s="32"/>
      <c r="EJ439" s="32"/>
      <c r="EK439" s="32"/>
      <c r="EL439" s="32"/>
      <c r="EM439" s="32"/>
      <c r="EN439" s="32"/>
      <c r="EO439" s="32"/>
      <c r="EP439" s="32"/>
      <c r="EQ439" s="32"/>
      <c r="ER439" s="32"/>
      <c r="ES439" s="32"/>
      <c r="ET439" s="32"/>
      <c r="EU439" s="32"/>
      <c r="EV439" s="32"/>
      <c r="EW439" s="32"/>
      <c r="EX439" s="32"/>
      <c r="EY439" s="32"/>
      <c r="EZ439" s="32"/>
      <c r="FA439" s="32"/>
      <c r="FB439" s="32"/>
      <c r="FC439" s="32"/>
      <c r="FD439" s="32"/>
      <c r="FE439" s="32"/>
      <c r="FF439" s="32"/>
      <c r="FG439" s="32"/>
      <c r="FH439" s="32"/>
      <c r="FI439" s="32"/>
      <c r="FJ439" s="32"/>
      <c r="FK439" s="32"/>
      <c r="FL439" s="32"/>
      <c r="FM439" s="47"/>
      <c r="FN439" s="47"/>
      <c r="FO439" s="47"/>
      <c r="FP439" s="47"/>
      <c r="FQ439" s="47"/>
      <c r="FR439" s="47"/>
      <c r="FS439" s="47"/>
      <c r="FT439" s="47"/>
      <c r="FU439" s="47"/>
      <c r="FV439" s="48"/>
      <c r="FW439" s="48"/>
      <c r="FX439" s="48"/>
      <c r="FY439" s="48"/>
      <c r="FZ439" s="48"/>
      <c r="GA439" s="49"/>
      <c r="GB439" s="49"/>
      <c r="GC439" s="49"/>
      <c r="GD439" s="49"/>
      <c r="GE439" s="49"/>
      <c r="GF439" s="49"/>
      <c r="GG439" s="49"/>
      <c r="GH439" s="49"/>
      <c r="GI439" s="49"/>
      <c r="GJ439" s="49"/>
      <c r="GK439" s="49"/>
      <c r="GL439" s="49"/>
      <c r="GM439" s="49"/>
      <c r="GN439" s="49"/>
      <c r="GO439" s="49"/>
      <c r="GP439" s="49"/>
      <c r="GQ439" s="49"/>
      <c r="GR439" s="49"/>
      <c r="GS439" s="49"/>
      <c r="GT439" s="49"/>
      <c r="GU439" s="49"/>
      <c r="GV439" s="49"/>
      <c r="GW439" s="49"/>
      <c r="GX439" s="49"/>
      <c r="GY439" s="49"/>
      <c r="GZ439" s="49"/>
      <c r="HA439" s="49"/>
      <c r="HB439" s="49"/>
      <c r="HC439" s="49"/>
      <c r="HD439" s="49"/>
      <c r="HE439" s="49"/>
      <c r="HF439" s="49"/>
      <c r="HG439" s="49"/>
      <c r="HH439" s="49"/>
      <c r="HI439" s="49"/>
      <c r="HJ439" s="49"/>
      <c r="HK439" s="49"/>
      <c r="HL439" s="49"/>
      <c r="HM439" s="49"/>
    </row>
    <row r="440" spans="1:221" ht="22.8">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47"/>
      <c r="FN440" s="47"/>
      <c r="FO440" s="47"/>
      <c r="FP440" s="47"/>
      <c r="FQ440" s="47"/>
      <c r="FR440" s="47"/>
      <c r="FS440" s="47"/>
      <c r="FT440" s="47"/>
      <c r="FU440" s="47"/>
      <c r="FV440" s="48"/>
      <c r="FW440" s="48"/>
      <c r="FX440" s="48"/>
      <c r="FY440" s="48"/>
      <c r="FZ440" s="48"/>
      <c r="GA440" s="49"/>
      <c r="GB440" s="49"/>
      <c r="GC440" s="49"/>
      <c r="GD440" s="49"/>
      <c r="GE440" s="49"/>
      <c r="GF440" s="49"/>
      <c r="GG440" s="49"/>
      <c r="GH440" s="49"/>
      <c r="GI440" s="49"/>
      <c r="GJ440" s="49"/>
      <c r="GK440" s="49"/>
      <c r="GL440" s="49"/>
      <c r="GM440" s="49"/>
      <c r="GN440" s="49"/>
      <c r="GO440" s="49"/>
      <c r="GP440" s="49"/>
      <c r="GQ440" s="49"/>
      <c r="GR440" s="49"/>
      <c r="GS440" s="49"/>
      <c r="GT440" s="49"/>
      <c r="GU440" s="49"/>
      <c r="GV440" s="49"/>
      <c r="GW440" s="49"/>
      <c r="GX440" s="49"/>
      <c r="GY440" s="49"/>
      <c r="GZ440" s="49"/>
      <c r="HA440" s="49"/>
      <c r="HB440" s="49"/>
      <c r="HC440" s="49"/>
      <c r="HD440" s="49"/>
      <c r="HE440" s="49"/>
      <c r="HF440" s="49"/>
      <c r="HG440" s="49"/>
      <c r="HH440" s="49"/>
      <c r="HI440" s="49"/>
      <c r="HJ440" s="49"/>
      <c r="HK440" s="49"/>
      <c r="HL440" s="49"/>
      <c r="HM440" s="49"/>
    </row>
    <row r="441" spans="1:221" ht="22.8">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47"/>
      <c r="FN441" s="47"/>
      <c r="FO441" s="47"/>
      <c r="FP441" s="47"/>
      <c r="FQ441" s="47"/>
      <c r="FR441" s="47"/>
      <c r="FS441" s="47"/>
      <c r="FT441" s="47"/>
      <c r="FU441" s="47"/>
      <c r="FV441" s="48"/>
      <c r="FW441" s="48"/>
      <c r="FX441" s="48"/>
      <c r="FY441" s="48"/>
      <c r="FZ441" s="48"/>
      <c r="GA441" s="49"/>
      <c r="GB441" s="49"/>
      <c r="GC441" s="49"/>
      <c r="GD441" s="49"/>
      <c r="GE441" s="49"/>
      <c r="GF441" s="49"/>
      <c r="GG441" s="49"/>
      <c r="GH441" s="49"/>
      <c r="GI441" s="49"/>
      <c r="GJ441" s="49"/>
      <c r="GK441" s="49"/>
      <c r="GL441" s="49"/>
      <c r="GM441" s="49"/>
      <c r="GN441" s="49"/>
      <c r="GO441" s="49"/>
      <c r="GP441" s="49"/>
      <c r="GQ441" s="49"/>
      <c r="GR441" s="49"/>
      <c r="GS441" s="49"/>
      <c r="GT441" s="49"/>
      <c r="GU441" s="49"/>
      <c r="GV441" s="49"/>
      <c r="GW441" s="49"/>
      <c r="GX441" s="49"/>
      <c r="GY441" s="49"/>
      <c r="GZ441" s="49"/>
      <c r="HA441" s="49"/>
      <c r="HB441" s="49"/>
      <c r="HC441" s="49"/>
      <c r="HD441" s="49"/>
      <c r="HE441" s="49"/>
      <c r="HF441" s="49"/>
      <c r="HG441" s="49"/>
      <c r="HH441" s="49"/>
      <c r="HI441" s="49"/>
      <c r="HJ441" s="49"/>
      <c r="HK441" s="49"/>
      <c r="HL441" s="49"/>
      <c r="HM441" s="49"/>
    </row>
    <row r="442" spans="1:221" ht="22.8">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c r="CE442" s="32"/>
      <c r="CF442" s="32"/>
      <c r="CG442" s="32"/>
      <c r="CH442" s="32"/>
      <c r="CI442" s="32"/>
      <c r="CJ442" s="32"/>
      <c r="CK442" s="32"/>
      <c r="CL442" s="32"/>
      <c r="CM442" s="32"/>
      <c r="CN442" s="32"/>
      <c r="CO442" s="32"/>
      <c r="CP442" s="32"/>
      <c r="CQ442" s="32"/>
      <c r="CR442" s="32"/>
      <c r="CS442" s="32"/>
      <c r="CT442" s="32"/>
      <c r="CU442" s="32"/>
      <c r="CV442" s="32"/>
      <c r="CW442" s="32"/>
      <c r="CX442" s="32"/>
      <c r="CY442" s="32"/>
      <c r="CZ442" s="32"/>
      <c r="DA442" s="32"/>
      <c r="DB442" s="32"/>
      <c r="DC442" s="32"/>
      <c r="DD442" s="32"/>
      <c r="DE442" s="32"/>
      <c r="DF442" s="32"/>
      <c r="DG442" s="32"/>
      <c r="DH442" s="32"/>
      <c r="DI442" s="32"/>
      <c r="DJ442" s="32"/>
      <c r="DK442" s="32"/>
      <c r="DL442" s="32"/>
      <c r="DM442" s="32"/>
      <c r="DN442" s="32"/>
      <c r="DO442" s="32"/>
      <c r="DP442" s="32"/>
      <c r="DQ442" s="32"/>
      <c r="DR442" s="32"/>
      <c r="DS442" s="32"/>
      <c r="DT442" s="32"/>
      <c r="DU442" s="32"/>
      <c r="DV442" s="32"/>
      <c r="DW442" s="32"/>
      <c r="DX442" s="32"/>
      <c r="DY442" s="32"/>
      <c r="DZ442" s="32"/>
      <c r="EA442" s="32"/>
      <c r="EB442" s="32"/>
      <c r="EC442" s="32"/>
      <c r="ED442" s="32"/>
      <c r="EE442" s="32"/>
      <c r="EF442" s="32"/>
      <c r="EG442" s="32"/>
      <c r="EH442" s="32"/>
      <c r="EI442" s="32"/>
      <c r="EJ442" s="32"/>
      <c r="EK442" s="32"/>
      <c r="EL442" s="32"/>
      <c r="EM442" s="32"/>
      <c r="EN442" s="32"/>
      <c r="EO442" s="32"/>
      <c r="EP442" s="32"/>
      <c r="EQ442" s="32"/>
      <c r="ER442" s="32"/>
      <c r="ES442" s="32"/>
      <c r="ET442" s="32"/>
      <c r="EU442" s="32"/>
      <c r="EV442" s="32"/>
      <c r="EW442" s="32"/>
      <c r="EX442" s="32"/>
      <c r="EY442" s="32"/>
      <c r="EZ442" s="32"/>
      <c r="FA442" s="32"/>
      <c r="FB442" s="32"/>
      <c r="FC442" s="32"/>
      <c r="FD442" s="32"/>
      <c r="FE442" s="32"/>
      <c r="FF442" s="32"/>
      <c r="FG442" s="32"/>
      <c r="FH442" s="32"/>
      <c r="FI442" s="32"/>
      <c r="FJ442" s="32"/>
      <c r="FK442" s="32"/>
      <c r="FL442" s="32"/>
      <c r="FM442" s="47"/>
      <c r="FN442" s="47"/>
      <c r="FO442" s="47"/>
      <c r="FP442" s="47"/>
      <c r="FQ442" s="47"/>
      <c r="FR442" s="47"/>
      <c r="FS442" s="47"/>
      <c r="FT442" s="47"/>
      <c r="FU442" s="47"/>
      <c r="FV442" s="48"/>
      <c r="FW442" s="48"/>
      <c r="FX442" s="48"/>
      <c r="FY442" s="48"/>
      <c r="FZ442" s="48"/>
      <c r="GA442" s="49"/>
      <c r="GB442" s="49"/>
      <c r="GC442" s="49"/>
      <c r="GD442" s="49"/>
      <c r="GE442" s="49"/>
      <c r="GF442" s="49"/>
      <c r="GG442" s="49"/>
      <c r="GH442" s="49"/>
      <c r="GI442" s="49"/>
      <c r="GJ442" s="49"/>
      <c r="GK442" s="49"/>
      <c r="GL442" s="49"/>
      <c r="GM442" s="49"/>
      <c r="GN442" s="49"/>
      <c r="GO442" s="49"/>
      <c r="GP442" s="49"/>
      <c r="GQ442" s="49"/>
      <c r="GR442" s="49"/>
      <c r="GS442" s="49"/>
      <c r="GT442" s="49"/>
      <c r="GU442" s="49"/>
      <c r="GV442" s="49"/>
      <c r="GW442" s="49"/>
      <c r="GX442" s="49"/>
      <c r="GY442" s="49"/>
      <c r="GZ442" s="49"/>
      <c r="HA442" s="49"/>
      <c r="HB442" s="49"/>
      <c r="HC442" s="49"/>
      <c r="HD442" s="49"/>
      <c r="HE442" s="49"/>
      <c r="HF442" s="49"/>
      <c r="HG442" s="49"/>
      <c r="HH442" s="49"/>
      <c r="HI442" s="49"/>
      <c r="HJ442" s="49"/>
      <c r="HK442" s="49"/>
      <c r="HL442" s="49"/>
      <c r="HM442" s="49"/>
    </row>
    <row r="443" spans="1:221" ht="22.8">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c r="CX443" s="32"/>
      <c r="CY443" s="32"/>
      <c r="CZ443" s="32"/>
      <c r="DA443" s="32"/>
      <c r="DB443" s="32"/>
      <c r="DC443" s="32"/>
      <c r="DD443" s="32"/>
      <c r="DE443" s="32"/>
      <c r="DF443" s="32"/>
      <c r="DG443" s="32"/>
      <c r="DH443" s="32"/>
      <c r="DI443" s="32"/>
      <c r="DJ443" s="32"/>
      <c r="DK443" s="32"/>
      <c r="DL443" s="32"/>
      <c r="DM443" s="32"/>
      <c r="DN443" s="32"/>
      <c r="DO443" s="32"/>
      <c r="DP443" s="32"/>
      <c r="DQ443" s="32"/>
      <c r="DR443" s="32"/>
      <c r="DS443" s="32"/>
      <c r="DT443" s="32"/>
      <c r="DU443" s="32"/>
      <c r="DV443" s="32"/>
      <c r="DW443" s="32"/>
      <c r="DX443" s="32"/>
      <c r="DY443" s="32"/>
      <c r="DZ443" s="32"/>
      <c r="EA443" s="32"/>
      <c r="EB443" s="32"/>
      <c r="EC443" s="32"/>
      <c r="ED443" s="32"/>
      <c r="EE443" s="32"/>
      <c r="EF443" s="32"/>
      <c r="EG443" s="32"/>
      <c r="EH443" s="32"/>
      <c r="EI443" s="32"/>
      <c r="EJ443" s="32"/>
      <c r="EK443" s="32"/>
      <c r="EL443" s="32"/>
      <c r="EM443" s="32"/>
      <c r="EN443" s="32"/>
      <c r="EO443" s="32"/>
      <c r="EP443" s="32"/>
      <c r="EQ443" s="32"/>
      <c r="ER443" s="32"/>
      <c r="ES443" s="32"/>
      <c r="ET443" s="32"/>
      <c r="EU443" s="32"/>
      <c r="EV443" s="32"/>
      <c r="EW443" s="32"/>
      <c r="EX443" s="32"/>
      <c r="EY443" s="32"/>
      <c r="EZ443" s="32"/>
      <c r="FA443" s="32"/>
      <c r="FB443" s="32"/>
      <c r="FC443" s="32"/>
      <c r="FD443" s="32"/>
      <c r="FE443" s="32"/>
      <c r="FF443" s="32"/>
      <c r="FG443" s="32"/>
      <c r="FH443" s="32"/>
      <c r="FI443" s="32"/>
      <c r="FJ443" s="32"/>
      <c r="FK443" s="32"/>
      <c r="FL443" s="32"/>
      <c r="FM443" s="47"/>
      <c r="FN443" s="47"/>
      <c r="FO443" s="47"/>
      <c r="FP443" s="47"/>
      <c r="FQ443" s="47"/>
      <c r="FR443" s="47"/>
      <c r="FS443" s="47"/>
      <c r="FT443" s="47"/>
      <c r="FU443" s="47"/>
      <c r="FV443" s="48"/>
      <c r="FW443" s="48"/>
      <c r="FX443" s="48"/>
      <c r="FY443" s="48"/>
      <c r="FZ443" s="48"/>
      <c r="GA443" s="49"/>
      <c r="GB443" s="49"/>
      <c r="GC443" s="49"/>
      <c r="GD443" s="49"/>
      <c r="GE443" s="49"/>
      <c r="GF443" s="49"/>
      <c r="GG443" s="49"/>
      <c r="GH443" s="49"/>
      <c r="GI443" s="49"/>
      <c r="GJ443" s="49"/>
      <c r="GK443" s="49"/>
      <c r="GL443" s="49"/>
      <c r="GM443" s="49"/>
      <c r="GN443" s="49"/>
      <c r="GO443" s="49"/>
      <c r="GP443" s="49"/>
      <c r="GQ443" s="49"/>
      <c r="GR443" s="49"/>
      <c r="GS443" s="49"/>
      <c r="GT443" s="49"/>
      <c r="GU443" s="49"/>
      <c r="GV443" s="49"/>
      <c r="GW443" s="49"/>
      <c r="GX443" s="49"/>
      <c r="GY443" s="49"/>
      <c r="GZ443" s="49"/>
      <c r="HA443" s="49"/>
      <c r="HB443" s="49"/>
      <c r="HC443" s="49"/>
      <c r="HD443" s="49"/>
      <c r="HE443" s="49"/>
      <c r="HF443" s="49"/>
      <c r="HG443" s="49"/>
      <c r="HH443" s="49"/>
      <c r="HI443" s="49"/>
      <c r="HJ443" s="49"/>
      <c r="HK443" s="49"/>
      <c r="HL443" s="49"/>
      <c r="HM443" s="49"/>
    </row>
    <row r="444" spans="1:221" ht="22.8">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c r="CX444" s="32"/>
      <c r="CY444" s="32"/>
      <c r="CZ444" s="32"/>
      <c r="DA444" s="32"/>
      <c r="DB444" s="32"/>
      <c r="DC444" s="32"/>
      <c r="DD444" s="32"/>
      <c r="DE444" s="32"/>
      <c r="DF444" s="32"/>
      <c r="DG444" s="32"/>
      <c r="DH444" s="32"/>
      <c r="DI444" s="32"/>
      <c r="DJ444" s="32"/>
      <c r="DK444" s="32"/>
      <c r="DL444" s="32"/>
      <c r="DM444" s="32"/>
      <c r="DN444" s="32"/>
      <c r="DO444" s="32"/>
      <c r="DP444" s="32"/>
      <c r="DQ444" s="32"/>
      <c r="DR444" s="32"/>
      <c r="DS444" s="32"/>
      <c r="DT444" s="32"/>
      <c r="DU444" s="32"/>
      <c r="DV444" s="32"/>
      <c r="DW444" s="32"/>
      <c r="DX444" s="32"/>
      <c r="DY444" s="32"/>
      <c r="DZ444" s="32"/>
      <c r="EA444" s="32"/>
      <c r="EB444" s="32"/>
      <c r="EC444" s="32"/>
      <c r="ED444" s="32"/>
      <c r="EE444" s="32"/>
      <c r="EF444" s="32"/>
      <c r="EG444" s="32"/>
      <c r="EH444" s="32"/>
      <c r="EI444" s="32"/>
      <c r="EJ444" s="32"/>
      <c r="EK444" s="32"/>
      <c r="EL444" s="32"/>
      <c r="EM444" s="32"/>
      <c r="EN444" s="32"/>
      <c r="EO444" s="32"/>
      <c r="EP444" s="32"/>
      <c r="EQ444" s="32"/>
      <c r="ER444" s="32"/>
      <c r="ES444" s="32"/>
      <c r="ET444" s="32"/>
      <c r="EU444" s="32"/>
      <c r="EV444" s="32"/>
      <c r="EW444" s="32"/>
      <c r="EX444" s="32"/>
      <c r="EY444" s="32"/>
      <c r="EZ444" s="32"/>
      <c r="FA444" s="32"/>
      <c r="FB444" s="32"/>
      <c r="FC444" s="32"/>
      <c r="FD444" s="32"/>
      <c r="FE444" s="32"/>
      <c r="FF444" s="32"/>
      <c r="FG444" s="32"/>
      <c r="FH444" s="32"/>
      <c r="FI444" s="32"/>
      <c r="FJ444" s="32"/>
      <c r="FK444" s="32"/>
      <c r="FL444" s="32"/>
      <c r="FM444" s="47"/>
      <c r="FN444" s="47"/>
      <c r="FO444" s="47"/>
      <c r="FP444" s="47"/>
      <c r="FQ444" s="47"/>
      <c r="FR444" s="47"/>
      <c r="FS444" s="47"/>
      <c r="FT444" s="47"/>
      <c r="FU444" s="47"/>
      <c r="FV444" s="48"/>
      <c r="FW444" s="48"/>
      <c r="FX444" s="48"/>
      <c r="FY444" s="48"/>
      <c r="FZ444" s="48"/>
      <c r="GA444" s="49"/>
      <c r="GB444" s="49"/>
      <c r="GC444" s="49"/>
      <c r="GD444" s="49"/>
      <c r="GE444" s="49"/>
      <c r="GF444" s="49"/>
      <c r="GG444" s="49"/>
      <c r="GH444" s="49"/>
      <c r="GI444" s="49"/>
      <c r="GJ444" s="49"/>
      <c r="GK444" s="49"/>
      <c r="GL444" s="49"/>
      <c r="GM444" s="49"/>
      <c r="GN444" s="49"/>
      <c r="GO444" s="49"/>
      <c r="GP444" s="49"/>
      <c r="GQ444" s="49"/>
      <c r="GR444" s="49"/>
      <c r="GS444" s="49"/>
      <c r="GT444" s="49"/>
      <c r="GU444" s="49"/>
      <c r="GV444" s="49"/>
      <c r="GW444" s="49"/>
      <c r="GX444" s="49"/>
      <c r="GY444" s="49"/>
      <c r="GZ444" s="49"/>
      <c r="HA444" s="49"/>
      <c r="HB444" s="49"/>
      <c r="HC444" s="49"/>
      <c r="HD444" s="49"/>
      <c r="HE444" s="49"/>
      <c r="HF444" s="49"/>
      <c r="HG444" s="49"/>
      <c r="HH444" s="49"/>
      <c r="HI444" s="49"/>
      <c r="HJ444" s="49"/>
      <c r="HK444" s="49"/>
      <c r="HL444" s="49"/>
      <c r="HM444" s="49"/>
    </row>
    <row r="445" spans="1:221" ht="22.8">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c r="CE445" s="32"/>
      <c r="CF445" s="32"/>
      <c r="CG445" s="32"/>
      <c r="CH445" s="32"/>
      <c r="CI445" s="32"/>
      <c r="CJ445" s="32"/>
      <c r="CK445" s="32"/>
      <c r="CL445" s="32"/>
      <c r="CM445" s="32"/>
      <c r="CN445" s="32"/>
      <c r="CO445" s="32"/>
      <c r="CP445" s="32"/>
      <c r="CQ445" s="32"/>
      <c r="CR445" s="32"/>
      <c r="CS445" s="32"/>
      <c r="CT445" s="32"/>
      <c r="CU445" s="32"/>
      <c r="CV445" s="32"/>
      <c r="CW445" s="32"/>
      <c r="CX445" s="32"/>
      <c r="CY445" s="32"/>
      <c r="CZ445" s="32"/>
      <c r="DA445" s="32"/>
      <c r="DB445" s="32"/>
      <c r="DC445" s="32"/>
      <c r="DD445" s="32"/>
      <c r="DE445" s="32"/>
      <c r="DF445" s="32"/>
      <c r="DG445" s="32"/>
      <c r="DH445" s="32"/>
      <c r="DI445" s="32"/>
      <c r="DJ445" s="32"/>
      <c r="DK445" s="32"/>
      <c r="DL445" s="32"/>
      <c r="DM445" s="32"/>
      <c r="DN445" s="32"/>
      <c r="DO445" s="32"/>
      <c r="DP445" s="32"/>
      <c r="DQ445" s="32"/>
      <c r="DR445" s="32"/>
      <c r="DS445" s="32"/>
      <c r="DT445" s="32"/>
      <c r="DU445" s="32"/>
      <c r="DV445" s="32"/>
      <c r="DW445" s="32"/>
      <c r="DX445" s="32"/>
      <c r="DY445" s="32"/>
      <c r="DZ445" s="32"/>
      <c r="EA445" s="32"/>
      <c r="EB445" s="32"/>
      <c r="EC445" s="32"/>
      <c r="ED445" s="32"/>
      <c r="EE445" s="32"/>
      <c r="EF445" s="32"/>
      <c r="EG445" s="32"/>
      <c r="EH445" s="32"/>
      <c r="EI445" s="32"/>
      <c r="EJ445" s="32"/>
      <c r="EK445" s="32"/>
      <c r="EL445" s="32"/>
      <c r="EM445" s="32"/>
      <c r="EN445" s="32"/>
      <c r="EO445" s="32"/>
      <c r="EP445" s="32"/>
      <c r="EQ445" s="32"/>
      <c r="ER445" s="32"/>
      <c r="ES445" s="32"/>
      <c r="ET445" s="32"/>
      <c r="EU445" s="32"/>
      <c r="EV445" s="32"/>
      <c r="EW445" s="32"/>
      <c r="EX445" s="32"/>
      <c r="EY445" s="32"/>
      <c r="EZ445" s="32"/>
      <c r="FA445" s="32"/>
      <c r="FB445" s="32"/>
      <c r="FC445" s="32"/>
      <c r="FD445" s="32"/>
      <c r="FE445" s="32"/>
      <c r="FF445" s="32"/>
      <c r="FG445" s="32"/>
      <c r="FH445" s="32"/>
      <c r="FI445" s="32"/>
      <c r="FJ445" s="32"/>
      <c r="FK445" s="32"/>
      <c r="FL445" s="32"/>
      <c r="FM445" s="47"/>
      <c r="FN445" s="47"/>
      <c r="FO445" s="47"/>
      <c r="FP445" s="47"/>
      <c r="FQ445" s="47"/>
      <c r="FR445" s="47"/>
      <c r="FS445" s="47"/>
      <c r="FT445" s="47"/>
      <c r="FU445" s="47"/>
      <c r="FV445" s="48"/>
      <c r="FW445" s="48"/>
      <c r="FX445" s="48"/>
      <c r="FY445" s="48"/>
      <c r="FZ445" s="48"/>
      <c r="GA445" s="49"/>
      <c r="GB445" s="49"/>
      <c r="GC445" s="49"/>
      <c r="GD445" s="49"/>
      <c r="GE445" s="49"/>
      <c r="GF445" s="49"/>
      <c r="GG445" s="49"/>
      <c r="GH445" s="49"/>
      <c r="GI445" s="49"/>
      <c r="GJ445" s="49"/>
      <c r="GK445" s="49"/>
      <c r="GL445" s="49"/>
      <c r="GM445" s="49"/>
      <c r="GN445" s="49"/>
      <c r="GO445" s="49"/>
      <c r="GP445" s="49"/>
      <c r="GQ445" s="49"/>
      <c r="GR445" s="49"/>
      <c r="GS445" s="49"/>
      <c r="GT445" s="49"/>
      <c r="GU445" s="49"/>
      <c r="GV445" s="49"/>
      <c r="GW445" s="49"/>
      <c r="GX445" s="49"/>
      <c r="GY445" s="49"/>
      <c r="GZ445" s="49"/>
      <c r="HA445" s="49"/>
      <c r="HB445" s="49"/>
      <c r="HC445" s="49"/>
      <c r="HD445" s="49"/>
      <c r="HE445" s="49"/>
      <c r="HF445" s="49"/>
      <c r="HG445" s="49"/>
      <c r="HH445" s="49"/>
      <c r="HI445" s="49"/>
      <c r="HJ445" s="49"/>
      <c r="HK445" s="49"/>
      <c r="HL445" s="49"/>
      <c r="HM445" s="49"/>
    </row>
    <row r="446" spans="1:221" ht="22.8">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32"/>
      <c r="DD446" s="32"/>
      <c r="DE446" s="32"/>
      <c r="DF446" s="32"/>
      <c r="DG446" s="32"/>
      <c r="DH446" s="32"/>
      <c r="DI446" s="32"/>
      <c r="DJ446" s="32"/>
      <c r="DK446" s="32"/>
      <c r="DL446" s="32"/>
      <c r="DM446" s="32"/>
      <c r="DN446" s="32"/>
      <c r="DO446" s="32"/>
      <c r="DP446" s="32"/>
      <c r="DQ446" s="32"/>
      <c r="DR446" s="32"/>
      <c r="DS446" s="32"/>
      <c r="DT446" s="32"/>
      <c r="DU446" s="32"/>
      <c r="DV446" s="32"/>
      <c r="DW446" s="32"/>
      <c r="DX446" s="32"/>
      <c r="DY446" s="32"/>
      <c r="DZ446" s="32"/>
      <c r="EA446" s="32"/>
      <c r="EB446" s="32"/>
      <c r="EC446" s="32"/>
      <c r="ED446" s="32"/>
      <c r="EE446" s="32"/>
      <c r="EF446" s="32"/>
      <c r="EG446" s="32"/>
      <c r="EH446" s="32"/>
      <c r="EI446" s="32"/>
      <c r="EJ446" s="32"/>
      <c r="EK446" s="32"/>
      <c r="EL446" s="32"/>
      <c r="EM446" s="32"/>
      <c r="EN446" s="32"/>
      <c r="EO446" s="32"/>
      <c r="EP446" s="32"/>
      <c r="EQ446" s="32"/>
      <c r="ER446" s="32"/>
      <c r="ES446" s="32"/>
      <c r="ET446" s="32"/>
      <c r="EU446" s="32"/>
      <c r="EV446" s="32"/>
      <c r="EW446" s="32"/>
      <c r="EX446" s="32"/>
      <c r="EY446" s="32"/>
      <c r="EZ446" s="32"/>
      <c r="FA446" s="32"/>
      <c r="FB446" s="32"/>
      <c r="FC446" s="32"/>
      <c r="FD446" s="32"/>
      <c r="FE446" s="32"/>
      <c r="FF446" s="32"/>
      <c r="FG446" s="32"/>
      <c r="FH446" s="32"/>
      <c r="FI446" s="32"/>
      <c r="FJ446" s="32"/>
      <c r="FK446" s="32"/>
      <c r="FL446" s="32"/>
      <c r="FM446" s="47"/>
      <c r="FN446" s="47"/>
      <c r="FO446" s="47"/>
      <c r="FP446" s="47"/>
      <c r="FQ446" s="47"/>
      <c r="FR446" s="47"/>
      <c r="FS446" s="47"/>
      <c r="FT446" s="47"/>
      <c r="FU446" s="47"/>
      <c r="FV446" s="48"/>
      <c r="FW446" s="48"/>
      <c r="FX446" s="48"/>
      <c r="FY446" s="48"/>
      <c r="FZ446" s="48"/>
      <c r="GA446" s="49"/>
      <c r="GB446" s="49"/>
      <c r="GC446" s="49"/>
      <c r="GD446" s="49"/>
      <c r="GE446" s="49"/>
      <c r="GF446" s="49"/>
      <c r="GG446" s="49"/>
      <c r="GH446" s="49"/>
      <c r="GI446" s="49"/>
      <c r="GJ446" s="49"/>
      <c r="GK446" s="49"/>
      <c r="GL446" s="49"/>
      <c r="GM446" s="49"/>
      <c r="GN446" s="49"/>
      <c r="GO446" s="49"/>
      <c r="GP446" s="49"/>
      <c r="GQ446" s="49"/>
      <c r="GR446" s="49"/>
      <c r="GS446" s="49"/>
      <c r="GT446" s="49"/>
      <c r="GU446" s="49"/>
      <c r="GV446" s="49"/>
      <c r="GW446" s="49"/>
      <c r="GX446" s="49"/>
      <c r="GY446" s="49"/>
      <c r="GZ446" s="49"/>
      <c r="HA446" s="49"/>
      <c r="HB446" s="49"/>
      <c r="HC446" s="49"/>
      <c r="HD446" s="49"/>
      <c r="HE446" s="49"/>
      <c r="HF446" s="49"/>
      <c r="HG446" s="49"/>
      <c r="HH446" s="49"/>
      <c r="HI446" s="49"/>
      <c r="HJ446" s="49"/>
      <c r="HK446" s="49"/>
      <c r="HL446" s="49"/>
      <c r="HM446" s="49"/>
    </row>
    <row r="447" spans="1:221" ht="22.8">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47"/>
      <c r="FN447" s="47"/>
      <c r="FO447" s="47"/>
      <c r="FP447" s="47"/>
      <c r="FQ447" s="47"/>
      <c r="FR447" s="47"/>
      <c r="FS447" s="47"/>
      <c r="FT447" s="47"/>
      <c r="FU447" s="47"/>
      <c r="FV447" s="48"/>
      <c r="FW447" s="48"/>
      <c r="FX447" s="48"/>
      <c r="FY447" s="48"/>
      <c r="FZ447" s="48"/>
      <c r="GA447" s="49"/>
      <c r="GB447" s="49"/>
      <c r="GC447" s="49"/>
      <c r="GD447" s="49"/>
      <c r="GE447" s="49"/>
      <c r="GF447" s="49"/>
      <c r="GG447" s="49"/>
      <c r="GH447" s="49"/>
      <c r="GI447" s="49"/>
      <c r="GJ447" s="49"/>
      <c r="GK447" s="49"/>
      <c r="GL447" s="49"/>
      <c r="GM447" s="49"/>
      <c r="GN447" s="49"/>
      <c r="GO447" s="49"/>
      <c r="GP447" s="49"/>
      <c r="GQ447" s="49"/>
      <c r="GR447" s="49"/>
      <c r="GS447" s="49"/>
      <c r="GT447" s="49"/>
      <c r="GU447" s="49"/>
      <c r="GV447" s="49"/>
      <c r="GW447" s="49"/>
      <c r="GX447" s="49"/>
      <c r="GY447" s="49"/>
      <c r="GZ447" s="49"/>
      <c r="HA447" s="49"/>
      <c r="HB447" s="49"/>
      <c r="HC447" s="49"/>
      <c r="HD447" s="49"/>
      <c r="HE447" s="49"/>
      <c r="HF447" s="49"/>
      <c r="HG447" s="49"/>
      <c r="HH447" s="49"/>
      <c r="HI447" s="49"/>
      <c r="HJ447" s="49"/>
      <c r="HK447" s="49"/>
      <c r="HL447" s="49"/>
      <c r="HM447" s="49"/>
    </row>
    <row r="448" spans="1:221" ht="22.8">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c r="CE448" s="32"/>
      <c r="CF448" s="32"/>
      <c r="CG448" s="32"/>
      <c r="CH448" s="32"/>
      <c r="CI448" s="32"/>
      <c r="CJ448" s="32"/>
      <c r="CK448" s="32"/>
      <c r="CL448" s="32"/>
      <c r="CM448" s="32"/>
      <c r="CN448" s="32"/>
      <c r="CO448" s="32"/>
      <c r="CP448" s="32"/>
      <c r="CQ448" s="32"/>
      <c r="CR448" s="32"/>
      <c r="CS448" s="32"/>
      <c r="CT448" s="32"/>
      <c r="CU448" s="32"/>
      <c r="CV448" s="32"/>
      <c r="CW448" s="32"/>
      <c r="CX448" s="32"/>
      <c r="CY448" s="32"/>
      <c r="CZ448" s="32"/>
      <c r="DA448" s="32"/>
      <c r="DB448" s="32"/>
      <c r="DC448" s="32"/>
      <c r="DD448" s="32"/>
      <c r="DE448" s="32"/>
      <c r="DF448" s="32"/>
      <c r="DG448" s="32"/>
      <c r="DH448" s="32"/>
      <c r="DI448" s="32"/>
      <c r="DJ448" s="32"/>
      <c r="DK448" s="32"/>
      <c r="DL448" s="32"/>
      <c r="DM448" s="32"/>
      <c r="DN448" s="32"/>
      <c r="DO448" s="32"/>
      <c r="DP448" s="32"/>
      <c r="DQ448" s="32"/>
      <c r="DR448" s="32"/>
      <c r="DS448" s="32"/>
      <c r="DT448" s="32"/>
      <c r="DU448" s="32"/>
      <c r="DV448" s="32"/>
      <c r="DW448" s="32"/>
      <c r="DX448" s="32"/>
      <c r="DY448" s="32"/>
      <c r="DZ448" s="32"/>
      <c r="EA448" s="32"/>
      <c r="EB448" s="32"/>
      <c r="EC448" s="32"/>
      <c r="ED448" s="32"/>
      <c r="EE448" s="32"/>
      <c r="EF448" s="32"/>
      <c r="EG448" s="32"/>
      <c r="EH448" s="32"/>
      <c r="EI448" s="32"/>
      <c r="EJ448" s="32"/>
      <c r="EK448" s="32"/>
      <c r="EL448" s="32"/>
      <c r="EM448" s="32"/>
      <c r="EN448" s="32"/>
      <c r="EO448" s="32"/>
      <c r="EP448" s="32"/>
      <c r="EQ448" s="32"/>
      <c r="ER448" s="32"/>
      <c r="ES448" s="32"/>
      <c r="ET448" s="32"/>
      <c r="EU448" s="32"/>
      <c r="EV448" s="32"/>
      <c r="EW448" s="32"/>
      <c r="EX448" s="32"/>
      <c r="EY448" s="32"/>
      <c r="EZ448" s="32"/>
      <c r="FA448" s="32"/>
      <c r="FB448" s="32"/>
      <c r="FC448" s="32"/>
      <c r="FD448" s="32"/>
      <c r="FE448" s="32"/>
      <c r="FF448" s="32"/>
      <c r="FG448" s="32"/>
      <c r="FH448" s="32"/>
      <c r="FI448" s="32"/>
      <c r="FJ448" s="32"/>
      <c r="FK448" s="32"/>
      <c r="FL448" s="32"/>
      <c r="FM448" s="47"/>
      <c r="FN448" s="47"/>
      <c r="FO448" s="47"/>
      <c r="FP448" s="47"/>
      <c r="FQ448" s="47"/>
      <c r="FR448" s="47"/>
      <c r="FS448" s="47"/>
      <c r="FT448" s="47"/>
      <c r="FU448" s="47"/>
      <c r="FV448" s="48"/>
      <c r="FW448" s="48"/>
      <c r="FX448" s="48"/>
      <c r="FY448" s="48"/>
      <c r="FZ448" s="48"/>
      <c r="GA448" s="49"/>
      <c r="GB448" s="49"/>
      <c r="GC448" s="49"/>
      <c r="GD448" s="49"/>
      <c r="GE448" s="49"/>
      <c r="GF448" s="49"/>
      <c r="GG448" s="49"/>
      <c r="GH448" s="49"/>
      <c r="GI448" s="49"/>
      <c r="GJ448" s="49"/>
      <c r="GK448" s="49"/>
      <c r="GL448" s="49"/>
      <c r="GM448" s="49"/>
      <c r="GN448" s="49"/>
      <c r="GO448" s="49"/>
      <c r="GP448" s="49"/>
      <c r="GQ448" s="49"/>
      <c r="GR448" s="49"/>
      <c r="GS448" s="49"/>
      <c r="GT448" s="49"/>
      <c r="GU448" s="49"/>
      <c r="GV448" s="49"/>
      <c r="GW448" s="49"/>
      <c r="GX448" s="49"/>
      <c r="GY448" s="49"/>
      <c r="GZ448" s="49"/>
      <c r="HA448" s="49"/>
      <c r="HB448" s="49"/>
      <c r="HC448" s="49"/>
      <c r="HD448" s="49"/>
      <c r="HE448" s="49"/>
      <c r="HF448" s="49"/>
      <c r="HG448" s="49"/>
      <c r="HH448" s="49"/>
      <c r="HI448" s="49"/>
      <c r="HJ448" s="49"/>
      <c r="HK448" s="49"/>
      <c r="HL448" s="49"/>
      <c r="HM448" s="49"/>
    </row>
    <row r="449" spans="1:221" ht="22.8">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c r="CX449" s="32"/>
      <c r="CY449" s="32"/>
      <c r="CZ449" s="32"/>
      <c r="DA449" s="32"/>
      <c r="DB449" s="32"/>
      <c r="DC449" s="32"/>
      <c r="DD449" s="32"/>
      <c r="DE449" s="32"/>
      <c r="DF449" s="32"/>
      <c r="DG449" s="32"/>
      <c r="DH449" s="32"/>
      <c r="DI449" s="32"/>
      <c r="DJ449" s="32"/>
      <c r="DK449" s="32"/>
      <c r="DL449" s="32"/>
      <c r="DM449" s="32"/>
      <c r="DN449" s="32"/>
      <c r="DO449" s="32"/>
      <c r="DP449" s="32"/>
      <c r="DQ449" s="32"/>
      <c r="DR449" s="32"/>
      <c r="DS449" s="32"/>
      <c r="DT449" s="32"/>
      <c r="DU449" s="32"/>
      <c r="DV449" s="32"/>
      <c r="DW449" s="32"/>
      <c r="DX449" s="32"/>
      <c r="DY449" s="32"/>
      <c r="DZ449" s="32"/>
      <c r="EA449" s="32"/>
      <c r="EB449" s="32"/>
      <c r="EC449" s="32"/>
      <c r="ED449" s="32"/>
      <c r="EE449" s="32"/>
      <c r="EF449" s="32"/>
      <c r="EG449" s="32"/>
      <c r="EH449" s="32"/>
      <c r="EI449" s="32"/>
      <c r="EJ449" s="32"/>
      <c r="EK449" s="32"/>
      <c r="EL449" s="32"/>
      <c r="EM449" s="32"/>
      <c r="EN449" s="32"/>
      <c r="EO449" s="32"/>
      <c r="EP449" s="32"/>
      <c r="EQ449" s="32"/>
      <c r="ER449" s="32"/>
      <c r="ES449" s="32"/>
      <c r="ET449" s="32"/>
      <c r="EU449" s="32"/>
      <c r="EV449" s="32"/>
      <c r="EW449" s="32"/>
      <c r="EX449" s="32"/>
      <c r="EY449" s="32"/>
      <c r="EZ449" s="32"/>
      <c r="FA449" s="32"/>
      <c r="FB449" s="32"/>
      <c r="FC449" s="32"/>
      <c r="FD449" s="32"/>
      <c r="FE449" s="32"/>
      <c r="FF449" s="32"/>
      <c r="FG449" s="32"/>
      <c r="FH449" s="32"/>
      <c r="FI449" s="32"/>
      <c r="FJ449" s="32"/>
      <c r="FK449" s="32"/>
      <c r="FL449" s="32"/>
      <c r="FM449" s="47"/>
      <c r="FN449" s="47"/>
      <c r="FO449" s="47"/>
      <c r="FP449" s="47"/>
      <c r="FQ449" s="47"/>
      <c r="FR449" s="47"/>
      <c r="FS449" s="47"/>
      <c r="FT449" s="47"/>
      <c r="FU449" s="47"/>
      <c r="FV449" s="48"/>
      <c r="FW449" s="48"/>
      <c r="FX449" s="48"/>
      <c r="FY449" s="48"/>
      <c r="FZ449" s="48"/>
      <c r="GA449" s="49"/>
      <c r="GB449" s="49"/>
      <c r="GC449" s="49"/>
      <c r="GD449" s="49"/>
      <c r="GE449" s="49"/>
      <c r="GF449" s="49"/>
      <c r="GG449" s="49"/>
      <c r="GH449" s="49"/>
      <c r="GI449" s="49"/>
      <c r="GJ449" s="49"/>
      <c r="GK449" s="49"/>
      <c r="GL449" s="49"/>
      <c r="GM449" s="49"/>
      <c r="GN449" s="49"/>
      <c r="GO449" s="49"/>
      <c r="GP449" s="49"/>
      <c r="GQ449" s="49"/>
      <c r="GR449" s="49"/>
      <c r="GS449" s="49"/>
      <c r="GT449" s="49"/>
      <c r="GU449" s="49"/>
      <c r="GV449" s="49"/>
      <c r="GW449" s="49"/>
      <c r="GX449" s="49"/>
      <c r="GY449" s="49"/>
      <c r="GZ449" s="49"/>
      <c r="HA449" s="49"/>
      <c r="HB449" s="49"/>
      <c r="HC449" s="49"/>
      <c r="HD449" s="49"/>
      <c r="HE449" s="49"/>
      <c r="HF449" s="49"/>
      <c r="HG449" s="49"/>
      <c r="HH449" s="49"/>
      <c r="HI449" s="49"/>
      <c r="HJ449" s="49"/>
      <c r="HK449" s="49"/>
      <c r="HL449" s="49"/>
      <c r="HM449" s="49"/>
    </row>
    <row r="450" spans="1:221" ht="22.8">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CH450" s="32"/>
      <c r="CI450" s="32"/>
      <c r="CJ450" s="32"/>
      <c r="CK450" s="32"/>
      <c r="CL450" s="32"/>
      <c r="CM450" s="32"/>
      <c r="CN450" s="32"/>
      <c r="CO450" s="32"/>
      <c r="CP450" s="32"/>
      <c r="CQ450" s="32"/>
      <c r="CR450" s="32"/>
      <c r="CS450" s="32"/>
      <c r="CT450" s="32"/>
      <c r="CU450" s="32"/>
      <c r="CV450" s="32"/>
      <c r="CW450" s="32"/>
      <c r="CX450" s="32"/>
      <c r="CY450" s="32"/>
      <c r="CZ450" s="32"/>
      <c r="DA450" s="32"/>
      <c r="DB450" s="32"/>
      <c r="DC450" s="32"/>
      <c r="DD450" s="32"/>
      <c r="DE450" s="32"/>
      <c r="DF450" s="32"/>
      <c r="DG450" s="32"/>
      <c r="DH450" s="32"/>
      <c r="DI450" s="32"/>
      <c r="DJ450" s="32"/>
      <c r="DK450" s="32"/>
      <c r="DL450" s="32"/>
      <c r="DM450" s="32"/>
      <c r="DN450" s="32"/>
      <c r="DO450" s="32"/>
      <c r="DP450" s="32"/>
      <c r="DQ450" s="32"/>
      <c r="DR450" s="32"/>
      <c r="DS450" s="32"/>
      <c r="DT450" s="32"/>
      <c r="DU450" s="32"/>
      <c r="DV450" s="32"/>
      <c r="DW450" s="32"/>
      <c r="DX450" s="32"/>
      <c r="DY450" s="32"/>
      <c r="DZ450" s="32"/>
      <c r="EA450" s="32"/>
      <c r="EB450" s="32"/>
      <c r="EC450" s="32"/>
      <c r="ED450" s="32"/>
      <c r="EE450" s="32"/>
      <c r="EF450" s="32"/>
      <c r="EG450" s="32"/>
      <c r="EH450" s="32"/>
      <c r="EI450" s="32"/>
      <c r="EJ450" s="32"/>
      <c r="EK450" s="32"/>
      <c r="EL450" s="32"/>
      <c r="EM450" s="32"/>
      <c r="EN450" s="32"/>
      <c r="EO450" s="32"/>
      <c r="EP450" s="32"/>
      <c r="EQ450" s="32"/>
      <c r="ER450" s="32"/>
      <c r="ES450" s="32"/>
      <c r="ET450" s="32"/>
      <c r="EU450" s="32"/>
      <c r="EV450" s="32"/>
      <c r="EW450" s="32"/>
      <c r="EX450" s="32"/>
      <c r="EY450" s="32"/>
      <c r="EZ450" s="32"/>
      <c r="FA450" s="32"/>
      <c r="FB450" s="32"/>
      <c r="FC450" s="32"/>
      <c r="FD450" s="32"/>
      <c r="FE450" s="32"/>
      <c r="FF450" s="32"/>
      <c r="FG450" s="32"/>
      <c r="FH450" s="32"/>
      <c r="FI450" s="32"/>
      <c r="FJ450" s="32"/>
      <c r="FK450" s="32"/>
      <c r="FL450" s="32"/>
      <c r="FM450" s="47"/>
      <c r="FN450" s="47"/>
      <c r="FO450" s="47"/>
      <c r="FP450" s="47"/>
      <c r="FQ450" s="47"/>
      <c r="FR450" s="47"/>
      <c r="FS450" s="47"/>
      <c r="FT450" s="47"/>
      <c r="FU450" s="47"/>
      <c r="FV450" s="48"/>
      <c r="FW450" s="48"/>
      <c r="FX450" s="48"/>
      <c r="FY450" s="48"/>
      <c r="FZ450" s="48"/>
      <c r="GA450" s="49"/>
      <c r="GB450" s="49"/>
      <c r="GC450" s="49"/>
      <c r="GD450" s="49"/>
      <c r="GE450" s="49"/>
      <c r="GF450" s="49"/>
      <c r="GG450" s="49"/>
      <c r="GH450" s="49"/>
      <c r="GI450" s="49"/>
      <c r="GJ450" s="49"/>
      <c r="GK450" s="49"/>
      <c r="GL450" s="49"/>
      <c r="GM450" s="49"/>
      <c r="GN450" s="49"/>
      <c r="GO450" s="49"/>
      <c r="GP450" s="49"/>
      <c r="GQ450" s="49"/>
      <c r="GR450" s="49"/>
      <c r="GS450" s="49"/>
      <c r="GT450" s="49"/>
      <c r="GU450" s="49"/>
      <c r="GV450" s="49"/>
      <c r="GW450" s="49"/>
      <c r="GX450" s="49"/>
      <c r="GY450" s="49"/>
      <c r="GZ450" s="49"/>
      <c r="HA450" s="49"/>
      <c r="HB450" s="49"/>
      <c r="HC450" s="49"/>
      <c r="HD450" s="49"/>
      <c r="HE450" s="49"/>
      <c r="HF450" s="49"/>
      <c r="HG450" s="49"/>
      <c r="HH450" s="49"/>
      <c r="HI450" s="49"/>
      <c r="HJ450" s="49"/>
      <c r="HK450" s="49"/>
      <c r="HL450" s="49"/>
      <c r="HM450" s="49"/>
    </row>
    <row r="451" spans="1:221" ht="22.8">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c r="CE451" s="32"/>
      <c r="CF451" s="32"/>
      <c r="CG451" s="32"/>
      <c r="CH451" s="32"/>
      <c r="CI451" s="32"/>
      <c r="CJ451" s="32"/>
      <c r="CK451" s="32"/>
      <c r="CL451" s="32"/>
      <c r="CM451" s="32"/>
      <c r="CN451" s="32"/>
      <c r="CO451" s="32"/>
      <c r="CP451" s="32"/>
      <c r="CQ451" s="32"/>
      <c r="CR451" s="32"/>
      <c r="CS451" s="32"/>
      <c r="CT451" s="32"/>
      <c r="CU451" s="32"/>
      <c r="CV451" s="32"/>
      <c r="CW451" s="32"/>
      <c r="CX451" s="32"/>
      <c r="CY451" s="32"/>
      <c r="CZ451" s="32"/>
      <c r="DA451" s="32"/>
      <c r="DB451" s="32"/>
      <c r="DC451" s="32"/>
      <c r="DD451" s="32"/>
      <c r="DE451" s="32"/>
      <c r="DF451" s="32"/>
      <c r="DG451" s="32"/>
      <c r="DH451" s="32"/>
      <c r="DI451" s="32"/>
      <c r="DJ451" s="32"/>
      <c r="DK451" s="32"/>
      <c r="DL451" s="32"/>
      <c r="DM451" s="32"/>
      <c r="DN451" s="32"/>
      <c r="DO451" s="32"/>
      <c r="DP451" s="32"/>
      <c r="DQ451" s="32"/>
      <c r="DR451" s="32"/>
      <c r="DS451" s="32"/>
      <c r="DT451" s="32"/>
      <c r="DU451" s="32"/>
      <c r="DV451" s="32"/>
      <c r="DW451" s="32"/>
      <c r="DX451" s="32"/>
      <c r="DY451" s="32"/>
      <c r="DZ451" s="32"/>
      <c r="EA451" s="32"/>
      <c r="EB451" s="32"/>
      <c r="EC451" s="32"/>
      <c r="ED451" s="32"/>
      <c r="EE451" s="32"/>
      <c r="EF451" s="32"/>
      <c r="EG451" s="32"/>
      <c r="EH451" s="32"/>
      <c r="EI451" s="32"/>
      <c r="EJ451" s="32"/>
      <c r="EK451" s="32"/>
      <c r="EL451" s="32"/>
      <c r="EM451" s="32"/>
      <c r="EN451" s="32"/>
      <c r="EO451" s="32"/>
      <c r="EP451" s="32"/>
      <c r="EQ451" s="32"/>
      <c r="ER451" s="32"/>
      <c r="ES451" s="32"/>
      <c r="ET451" s="32"/>
      <c r="EU451" s="32"/>
      <c r="EV451" s="32"/>
      <c r="EW451" s="32"/>
      <c r="EX451" s="32"/>
      <c r="EY451" s="32"/>
      <c r="EZ451" s="32"/>
      <c r="FA451" s="32"/>
      <c r="FB451" s="32"/>
      <c r="FC451" s="32"/>
      <c r="FD451" s="32"/>
      <c r="FE451" s="32"/>
      <c r="FF451" s="32"/>
      <c r="FG451" s="32"/>
      <c r="FH451" s="32"/>
      <c r="FI451" s="32"/>
      <c r="FJ451" s="32"/>
      <c r="FK451" s="32"/>
      <c r="FL451" s="32"/>
      <c r="FM451" s="47"/>
      <c r="FN451" s="47"/>
      <c r="FO451" s="47"/>
      <c r="FP451" s="47"/>
      <c r="FQ451" s="47"/>
      <c r="FR451" s="47"/>
      <c r="FS451" s="47"/>
      <c r="FT451" s="47"/>
      <c r="FU451" s="47"/>
      <c r="FV451" s="47"/>
      <c r="FW451" s="47"/>
      <c r="FX451" s="47"/>
      <c r="FY451" s="47"/>
      <c r="FZ451" s="47"/>
      <c r="GA451" s="49"/>
      <c r="GB451" s="49"/>
      <c r="GC451" s="49"/>
      <c r="GD451" s="49"/>
      <c r="GE451" s="49"/>
      <c r="GF451" s="49"/>
      <c r="GG451" s="49"/>
      <c r="GH451" s="49"/>
      <c r="GI451" s="49"/>
      <c r="GJ451" s="49"/>
      <c r="GK451" s="49"/>
      <c r="GL451" s="49"/>
      <c r="GM451" s="49"/>
      <c r="GN451" s="49"/>
      <c r="GO451" s="49"/>
      <c r="GP451" s="49"/>
      <c r="GQ451" s="49"/>
      <c r="GR451" s="49"/>
      <c r="GS451" s="49"/>
      <c r="GT451" s="49"/>
      <c r="GU451" s="49"/>
      <c r="GV451" s="49"/>
      <c r="GW451" s="49"/>
      <c r="GX451" s="49"/>
      <c r="GY451" s="49"/>
      <c r="GZ451" s="49"/>
      <c r="HA451" s="49"/>
      <c r="HB451" s="49"/>
      <c r="HC451" s="49"/>
      <c r="HD451" s="49"/>
      <c r="HE451" s="49"/>
      <c r="HF451" s="49"/>
      <c r="HG451" s="49"/>
      <c r="HH451" s="49"/>
      <c r="HI451" s="49"/>
      <c r="HJ451" s="49"/>
      <c r="HK451" s="49"/>
      <c r="HL451" s="49"/>
      <c r="HM451" s="49"/>
    </row>
    <row r="452" spans="1:221" ht="22.8">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c r="CE452" s="32"/>
      <c r="CF452" s="32"/>
      <c r="CG452" s="32"/>
      <c r="CH452" s="32"/>
      <c r="CI452" s="32"/>
      <c r="CJ452" s="32"/>
      <c r="CK452" s="32"/>
      <c r="CL452" s="32"/>
      <c r="CM452" s="32"/>
      <c r="CN452" s="32"/>
      <c r="CO452" s="32"/>
      <c r="CP452" s="32"/>
      <c r="CQ452" s="32"/>
      <c r="CR452" s="32"/>
      <c r="CS452" s="32"/>
      <c r="CT452" s="32"/>
      <c r="CU452" s="32"/>
      <c r="CV452" s="32"/>
      <c r="CW452" s="32"/>
      <c r="CX452" s="32"/>
      <c r="CY452" s="32"/>
      <c r="CZ452" s="32"/>
      <c r="DA452" s="32"/>
      <c r="DB452" s="32"/>
      <c r="DC452" s="32"/>
      <c r="DD452" s="32"/>
      <c r="DE452" s="32"/>
      <c r="DF452" s="32"/>
      <c r="DG452" s="32"/>
      <c r="DH452" s="32"/>
      <c r="DI452" s="32"/>
      <c r="DJ452" s="32"/>
      <c r="DK452" s="32"/>
      <c r="DL452" s="32"/>
      <c r="DM452" s="32"/>
      <c r="DN452" s="32"/>
      <c r="DO452" s="32"/>
      <c r="DP452" s="32"/>
      <c r="DQ452" s="32"/>
      <c r="DR452" s="32"/>
      <c r="DS452" s="32"/>
      <c r="DT452" s="32"/>
      <c r="DU452" s="32"/>
      <c r="DV452" s="32"/>
      <c r="DW452" s="32"/>
      <c r="DX452" s="32"/>
      <c r="DY452" s="32"/>
      <c r="DZ452" s="32"/>
      <c r="EA452" s="32"/>
      <c r="EB452" s="32"/>
      <c r="EC452" s="32"/>
      <c r="ED452" s="32"/>
      <c r="EE452" s="32"/>
      <c r="EF452" s="32"/>
      <c r="EG452" s="32"/>
      <c r="EH452" s="32"/>
      <c r="EI452" s="32"/>
      <c r="EJ452" s="32"/>
      <c r="EK452" s="32"/>
      <c r="EL452" s="32"/>
      <c r="EM452" s="32"/>
      <c r="EN452" s="32"/>
      <c r="EO452" s="32"/>
      <c r="EP452" s="32"/>
      <c r="EQ452" s="32"/>
      <c r="ER452" s="32"/>
      <c r="ES452" s="32"/>
      <c r="ET452" s="32"/>
      <c r="EU452" s="32"/>
      <c r="EV452" s="32"/>
      <c r="EW452" s="32"/>
      <c r="EX452" s="32"/>
      <c r="EY452" s="32"/>
      <c r="EZ452" s="32"/>
      <c r="FA452" s="32"/>
      <c r="FB452" s="32"/>
      <c r="FC452" s="32"/>
      <c r="FD452" s="32"/>
      <c r="FE452" s="32"/>
      <c r="FF452" s="32"/>
      <c r="FG452" s="32"/>
      <c r="FH452" s="32"/>
      <c r="FI452" s="32"/>
      <c r="FJ452" s="32"/>
      <c r="FK452" s="32"/>
      <c r="FL452" s="32"/>
      <c r="FM452" s="47"/>
      <c r="FN452" s="47"/>
      <c r="FO452" s="47"/>
      <c r="FP452" s="47"/>
      <c r="FQ452" s="47"/>
      <c r="FR452" s="47"/>
      <c r="FS452" s="47"/>
      <c r="FT452" s="47"/>
      <c r="FU452" s="47"/>
      <c r="FV452" s="47"/>
      <c r="FW452" s="47"/>
      <c r="FX452" s="47"/>
      <c r="FY452" s="47"/>
      <c r="FZ452" s="47"/>
      <c r="GA452" s="49"/>
      <c r="GB452" s="49"/>
      <c r="GC452" s="49"/>
      <c r="GD452" s="49"/>
      <c r="GE452" s="49"/>
      <c r="GF452" s="49"/>
      <c r="GG452" s="49"/>
      <c r="GH452" s="49"/>
      <c r="GI452" s="49"/>
      <c r="GJ452" s="49"/>
      <c r="GK452" s="49"/>
      <c r="GL452" s="49"/>
      <c r="GM452" s="49"/>
      <c r="GN452" s="49"/>
      <c r="GO452" s="49"/>
      <c r="GP452" s="49"/>
      <c r="GQ452" s="49"/>
      <c r="GR452" s="49"/>
      <c r="GS452" s="49"/>
      <c r="GT452" s="49"/>
      <c r="GU452" s="49"/>
      <c r="GV452" s="49"/>
      <c r="GW452" s="49"/>
      <c r="GX452" s="49"/>
      <c r="GY452" s="49"/>
      <c r="GZ452" s="49"/>
      <c r="HA452" s="49"/>
      <c r="HB452" s="49"/>
      <c r="HC452" s="49"/>
      <c r="HD452" s="49"/>
      <c r="HE452" s="49"/>
      <c r="HF452" s="49"/>
      <c r="HG452" s="49"/>
      <c r="HH452" s="49"/>
      <c r="HI452" s="49"/>
      <c r="HJ452" s="49"/>
      <c r="HK452" s="49"/>
      <c r="HL452" s="49"/>
      <c r="HM452" s="49"/>
    </row>
    <row r="564" spans="28:130">
      <c r="AB564" s="56">
        <f t="shared" ref="AB564:AB595" ca="1" si="159">IF(AND($M326&lt;=AB$386,$M326&gt;AC$386,$FN$311=1),4,IF(AND($M326&lt;=AB$387,$M326&gt;AC$387,$FN$311=1),5,IF(AND($M326&lt;=AB$385,$M326&gt;AC$385,$FN$312=1),3,IF(AND($M326&gt;=AB$385,$M326&lt;AC$385,$FN$312=1),3,IF(AND($M326=AB$385,$FN$312=1),3,IF(AND($M326&lt;=AB$382,$M326&gt;AC$382,$FN$312=1),1,CC564))))))</f>
        <v>0</v>
      </c>
      <c r="AC564" s="56">
        <f t="shared" ref="AC564:AC595" ca="1" si="160">IF(AND($M326&lt;=AC$386,$M326&gt;AD$386,$FN$311=1),4,IF(AND($M326&lt;=AC$387,$M326&gt;AD$387,$FN$311=1),5,IF(AND($M326&lt;=AC$385,$M326&gt;AD$385,$FN$312=1),3,IF(AND($M326&gt;=AC$385,$M326&lt;AD$385,$FN$312=1),3,IF(AND($M326=AC$385,$FN$312=1),3,IF(AND($M326&lt;=AC$382,$M326&gt;AD$382,$FN$312=1),1,CD564))))))</f>
        <v>0</v>
      </c>
      <c r="AD564" s="56">
        <f t="shared" ref="AD564:AD595" ca="1" si="161">IF(AND($M326&lt;=AD$386,$M326&gt;AE$386,$FN$311=1),4,IF(AND($M326&lt;=AD$387,$M326&gt;AE$387,$FN$311=1),5,IF(AND($M326&lt;=AD$385,$M326&gt;AE$385,$FN$312=1),3,IF(AND($M326&gt;=AD$385,$M326&lt;AE$385,$FN$312=1),3,IF(AND($M326=AD$385,$FN$312=1),3,IF(AND($M326&lt;=AD$382,$M326&gt;AE$382,$FN$312=1),1,CE564))))))</f>
        <v>0</v>
      </c>
      <c r="AE564" s="56">
        <f t="shared" ref="AE564:AE595" ca="1" si="162">IF(AND($M326&lt;=AE$386,$M326&gt;AF$386,$FN$311=1),4,IF(AND($M326&lt;=AE$387,$M326&gt;AF$387,$FN$311=1),5,IF(AND($M326&lt;=AE$385,$M326&gt;AF$385,$FN$312=1),3,IF(AND($M326&gt;=AE$385,$M326&lt;AF$385,$FN$312=1),3,IF(AND($M326=AE$385,$FN$312=1),3,IF(AND($M326&lt;=AE$382,$M326&gt;AF$382,$FN$312=1),1,CF564))))))</f>
        <v>0</v>
      </c>
      <c r="AF564" s="56">
        <f t="shared" ref="AF564:AF595" ca="1" si="163">IF(AND($M326&lt;=AF$386,$M326&gt;AG$386,$FN$311=1),4,IF(AND($M326&lt;=AF$387,$M326&gt;AG$387,$FN$311=1),5,IF(AND($M326&lt;=AF$385,$M326&gt;AG$385,$FN$312=1),3,IF(AND($M326&gt;=AF$385,$M326&lt;AG$385,$FN$312=1),3,IF(AND($M326=AF$385,$FN$312=1),3,IF(AND($M326&lt;=AF$382,$M326&gt;AG$382,$FN$312=1),1,CG564))))))</f>
        <v>0</v>
      </c>
      <c r="AG564" s="56">
        <f t="shared" ref="AG564:AG595" ca="1" si="164">IF(AND($M326&lt;=AG$386,$M326&gt;AH$386,$FN$311=1),4,IF(AND($M326&lt;=AG$387,$M326&gt;AH$387,$FN$311=1),5,IF(AND($M326&lt;=AG$385,$M326&gt;AH$385,$FN$312=1),3,IF(AND($M326&gt;=AG$385,$M326&lt;AH$385,$FN$312=1),3,IF(AND($M326=AG$385,$FN$312=1),3,IF(AND($M326&lt;=AG$382,$M326&gt;AH$382,$FN$312=1),1,CH564))))))</f>
        <v>0</v>
      </c>
      <c r="AH564" s="56">
        <f t="shared" ref="AH564:AH595" ca="1" si="165">IF(AND($M326&lt;=AH$386,$M326&gt;AI$386,$FN$311=1),4,IF(AND($M326&lt;=AH$387,$M326&gt;AI$387,$FN$311=1),5,IF(AND($M326&lt;=AH$385,$M326&gt;AI$385,$FN$312=1),3,IF(AND($M326&gt;=AH$385,$M326&lt;AI$385,$FN$312=1),3,IF(AND($M326=AH$385,$FN$312=1),3,IF(AND($M326&lt;=AH$382,$M326&gt;AI$382,$FN$312=1),1,CI564))))))</f>
        <v>0</v>
      </c>
      <c r="AI564" s="56">
        <f t="shared" ref="AI564:AI595" ca="1" si="166">IF(AND($M326&lt;=AI$386,$M326&gt;AJ$386,$FN$311=1),4,IF(AND($M326&lt;=AI$387,$M326&gt;AJ$387,$FN$311=1),5,IF(AND($M326&lt;=AI$385,$M326&gt;AJ$385,$FN$312=1),3,IF(AND($M326&gt;=AI$385,$M326&lt;AJ$385,$FN$312=1),3,IF(AND($M326=AI$385,$FN$312=1),3,IF(AND($M326&lt;=AI$382,$M326&gt;AJ$382,$FN$312=1),1,CJ564))))))</f>
        <v>0</v>
      </c>
      <c r="AJ564" s="56">
        <f t="shared" ref="AJ564:AJ595" ca="1" si="167">IF(AND($M326&lt;=AJ$386,$M326&gt;AK$386,$FN$311=1),4,IF(AND($M326&lt;=AJ$387,$M326&gt;AK$387,$FN$311=1),5,IF(AND($M326&lt;=AJ$385,$M326&gt;AK$385,$FN$312=1),3,IF(AND($M326&gt;=AJ$385,$M326&lt;AK$385,$FN$312=1),3,IF(AND($M326=AJ$385,$FN$312=1),3,IF(AND($M326&lt;=AJ$382,$M326&gt;AK$382,$FN$312=1),1,CK564))))))</f>
        <v>0</v>
      </c>
      <c r="AK564" s="56">
        <f t="shared" ref="AK564:AK595" ca="1" si="168">IF(AND($M326&lt;=AK$386,$M326&gt;AL$386,$FN$311=1),4,IF(AND($M326&lt;=AK$387,$M326&gt;AL$387,$FN$311=1),5,IF(AND($M326&lt;=AK$385,$M326&gt;AL$385,$FN$312=1),3,IF(AND($M326&gt;=AK$385,$M326&lt;AL$385,$FN$312=1),3,IF(AND($M326=AK$385,$FN$312=1),3,IF(AND($M326&lt;=AK$382,$M326&gt;AL$382,$FN$312=1),1,CL564))))))</f>
        <v>0</v>
      </c>
      <c r="AL564" s="56">
        <f t="shared" ref="AL564:AL595" ca="1" si="169">IF(AND($M326&lt;=AL$386,$M326&gt;AM$386,$FN$311=1),4,IF(AND($M326&lt;=AL$387,$M326&gt;AM$387,$FN$311=1),5,IF(AND($M326&lt;=AL$385,$M326&gt;AM$385,$FN$312=1),3,IF(AND($M326&gt;=AL$385,$M326&lt;AM$385,$FN$312=1),3,IF(AND($M326=AL$385,$FN$312=1),3,IF(AND($M326&lt;=AL$382,$M326&gt;AM$382,$FN$312=1),1,CM564))))))</f>
        <v>0</v>
      </c>
      <c r="AM564" s="56">
        <f t="shared" ref="AM564:AM595" ca="1" si="170">IF(AND($M326&lt;=AM$386,$M326&gt;AN$386,$FN$311=1),4,IF(AND($M326&lt;=AM$387,$M326&gt;AN$387,$FN$311=1),5,IF(AND($M326&lt;=AM$385,$M326&gt;AN$385,$FN$312=1),3,IF(AND($M326&gt;=AM$385,$M326&lt;AN$385,$FN$312=1),3,IF(AND($M326=AM$385,$FN$312=1),3,IF(AND($M326&lt;=AM$382,$M326&gt;AN$382,$FN$312=1),1,CN564))))))</f>
        <v>0</v>
      </c>
      <c r="AN564" s="56">
        <f t="shared" ref="AN564:AN595" ca="1" si="171">IF(AND($M326&lt;=AN$386,$M326&gt;AO$386,$FN$311=1),4,IF(AND($M326&lt;=AN$387,$M326&gt;AO$387,$FN$311=1),5,IF(AND($M326&lt;=AN$385,$M326&gt;AO$385,$FN$312=1),3,IF(AND($M326&gt;=AN$385,$M326&lt;AO$385,$FN$312=1),3,IF(AND($M326=AN$385,$FN$312=1),3,IF(AND($M326&lt;=AN$382,$M326&gt;AO$382,$FN$312=1),1,CO564))))))</f>
        <v>0</v>
      </c>
      <c r="AO564" s="56">
        <f t="shared" ref="AO564:AO595" ca="1" si="172">IF(AND($M326&lt;=AO$386,$M326&gt;AP$386,$FN$311=1),4,IF(AND($M326&lt;=AO$387,$M326&gt;AP$387,$FN$311=1),5,IF(AND($M326&lt;=AO$385,$M326&gt;AP$385,$FN$312=1),3,IF(AND($M326&gt;=AO$385,$M326&lt;AP$385,$FN$312=1),3,IF(AND($M326=AO$385,$FN$312=1),3,IF(AND($M326&lt;=AO$382,$M326&gt;AP$382,$FN$312=1),1,CP564))))))</f>
        <v>0</v>
      </c>
      <c r="AP564" s="56">
        <f t="shared" ref="AP564:AP595" ca="1" si="173">IF(AND($M326&lt;=AP$386,$M326&gt;AQ$386,$FN$311=1),4,IF(AND($M326&lt;=AP$387,$M326&gt;AQ$387,$FN$311=1),5,IF(AND($M326&lt;=AP$385,$M326&gt;AQ$385,$FN$312=1),3,IF(AND($M326&gt;=AP$385,$M326&lt;AQ$385,$FN$312=1),3,IF(AND($M326=AP$385,$FN$312=1),3,IF(AND($M326&lt;=AP$382,$M326&gt;AQ$382,$FN$312=1),1,CQ564))))))</f>
        <v>0</v>
      </c>
      <c r="AQ564" s="56">
        <f t="shared" ref="AQ564:AQ595" ca="1" si="174">IF(AND($M326&lt;=AQ$386,$M326&gt;AR$386,$FN$311=1),4,IF(AND($M326&lt;=AQ$387,$M326&gt;AR$387,$FN$311=1),5,IF(AND($M326&lt;=AQ$385,$M326&gt;AR$385,$FN$312=1),3,IF(AND($M326&gt;=AQ$385,$M326&lt;AR$385,$FN$312=1),3,IF(AND($M326=AQ$385,$FN$312=1),3,IF(AND($M326&lt;=AQ$382,$M326&gt;AR$382,$FN$312=1),1,CR564))))))</f>
        <v>0</v>
      </c>
      <c r="AR564" s="56">
        <f t="shared" ref="AR564:AR595" ca="1" si="175">IF(AND($M326&lt;=AR$386,$M326&gt;AS$386,$FN$311=1),4,IF(AND($M326&lt;=AR$387,$M326&gt;AS$387,$FN$311=1),5,IF(AND($M326&lt;=AR$385,$M326&gt;AS$385,$FN$312=1),3,IF(AND($M326&gt;=AR$385,$M326&lt;AS$385,$FN$312=1),3,IF(AND($M326=AR$385,$FN$312=1),3,IF(AND($M326&lt;=AR$382,$M326&gt;AS$382,$FN$312=1),1,CS564))))))</f>
        <v>0</v>
      </c>
      <c r="AS564" s="56">
        <f t="shared" ref="AS564:AS595" ca="1" si="176">IF(AND($M326&lt;=AS$386,$M326&gt;AT$386,$FN$311=1),4,IF(AND($M326&lt;=AS$387,$M326&gt;AT$387,$FN$311=1),5,IF(AND($M326&lt;=AS$385,$M326&gt;AT$385,$FN$312=1),3,IF(AND($M326&gt;=AS$385,$M326&lt;AT$385,$FN$312=1),3,IF(AND($M326=AS$385,$FN$312=1),3,IF(AND($M326&lt;=AS$382,$M326&gt;AT$382,$FN$312=1),1,CT564))))))</f>
        <v>0</v>
      </c>
      <c r="AT564" s="56">
        <f t="shared" ref="AT564:AT595" ca="1" si="177">IF(AND($M326&lt;=AT$386,$M326&gt;AU$386,$FN$311=1),4,IF(AND($M326&lt;=AT$387,$M326&gt;AU$387,$FN$311=1),5,IF(AND($M326&lt;=AT$385,$M326&gt;AU$385,$FN$312=1),3,IF(AND($M326&gt;=AT$385,$M326&lt;AU$385,$FN$312=1),3,IF(AND($M326=AT$385,$FN$312=1),3,IF(AND($M326&lt;=AT$382,$M326&gt;AU$382,$FN$312=1),1,CU564))))))</f>
        <v>0</v>
      </c>
      <c r="AU564" s="56">
        <f t="shared" ref="AU564:AU595" ca="1" si="178">IF(AND($M326&lt;=AU$386,$M326&gt;AV$386,$FN$311=1),4,IF(AND($M326&lt;=AU$387,$M326&gt;AV$387,$FN$311=1),5,IF(AND($M326&lt;=AU$385,$M326&gt;AV$385,$FN$312=1),3,IF(AND($M326&gt;=AU$385,$M326&lt;AV$385,$FN$312=1),3,IF(AND($M326=AU$385,$FN$312=1),3,IF(AND($M326&lt;=AU$382,$M326&gt;AV$382,$FN$312=1),1,CV564))))))</f>
        <v>0</v>
      </c>
      <c r="AV564" s="56">
        <f t="shared" ref="AV564:AV595" ca="1" si="179">IF(AND($M326&lt;=AV$386,$M326&gt;AW$386,$FN$311=1),4,IF(AND($M326&lt;=AV$387,$M326&gt;AW$387,$FN$311=1),5,IF(AND($M326&lt;=AV$385,$M326&gt;AW$385,$FN$312=1),3,IF(AND($M326&gt;=AV$385,$M326&lt;AW$385,$FN$312=1),3,IF(AND($M326=AV$385,$FN$312=1),3,IF(AND($M326&lt;=AV$382,$M326&gt;AW$382,$FN$312=1),1,CW564))))))</f>
        <v>0</v>
      </c>
      <c r="AW564" s="56">
        <f t="shared" ref="AW564:AW595" ca="1" si="180">IF(AND($M326&lt;=AW$386,$M326&gt;AX$386,$FN$311=1),4,IF(AND($M326&lt;=AW$387,$M326&gt;AX$387,$FN$311=1),5,IF(AND($M326&lt;=AW$385,$M326&gt;AX$385,$FN$312=1),3,IF(AND($M326&gt;=AW$385,$M326&lt;AX$385,$FN$312=1),3,IF(AND($M326=AW$385,$FN$312=1),3,IF(AND($M326&lt;=AW$382,$M326&gt;AX$382,$FN$312=1),1,CX564))))))</f>
        <v>0</v>
      </c>
      <c r="AX564" s="56">
        <f t="shared" ref="AX564:AX595" ca="1" si="181">IF(AND($M326&lt;=AX$386,$M326&gt;AY$386,$FN$311=1),4,IF(AND($M326&lt;=AX$387,$M326&gt;AY$387,$FN$311=1),5,IF(AND($M326&lt;=AX$385,$M326&gt;AY$385,$FN$312=1),3,IF(AND($M326&gt;=AX$385,$M326&lt;AY$385,$FN$312=1),3,IF(AND($M326=AX$385,$FN$312=1),3,IF(AND($M326&lt;=AX$382,$M326&gt;AY$382,$FN$312=1),1,CY564))))))</f>
        <v>0</v>
      </c>
      <c r="AY564" s="56">
        <f t="shared" ref="AY564:AY595" ca="1" si="182">IF(AND($M326&lt;=AY$386,$M326&gt;AZ$386,$FN$311=1),4,IF(AND($M326&lt;=AY$387,$M326&gt;AZ$387,$FN$311=1),5,IF(AND($M326&lt;=AY$385,$M326&gt;AZ$385,$FN$312=1),3,IF(AND($M326&gt;=AY$385,$M326&lt;AZ$385,$FN$312=1),3,IF(AND($M326=AY$385,$FN$312=1),3,IF(AND($M326&lt;=AY$382,$M326&gt;AZ$382,$FN$312=1),1,CZ564))))))</f>
        <v>0</v>
      </c>
      <c r="AZ564" s="56">
        <f t="shared" ref="AZ564:AZ595" ca="1" si="183">IF(AND($M326&lt;=AZ$386,$M326&gt;BA$386,$FN$311=1),4,IF(AND($M326&lt;=AZ$387,$M326&gt;BA$387,$FN$311=1),5,IF(AND($M326&lt;=AZ$385,$M326&gt;BA$385,$FN$312=1),3,IF(AND($M326&gt;=AZ$385,$M326&lt;BA$385,$FN$312=1),3,IF(AND($M326=AZ$385,$FN$312=1),3,IF(AND($M326&lt;=AZ$382,$M326&gt;BA$382,$FN$312=1),1,DA564))))))</f>
        <v>0</v>
      </c>
      <c r="BA564" s="56">
        <f t="shared" ref="BA564:BA595" ca="1" si="184">IF(AND($M326&lt;=BA$386,$M326&gt;BB$386,$FN$311=1),4,IF(AND($M326&lt;=BA$387,$M326&gt;BB$387,$FN$311=1),5,IF(AND($M326&lt;=BA$385,$M326&gt;BB$385,$FN$312=1),3,IF(AND($M326&gt;=BA$385,$M326&lt;BB$385,$FN$312=1),3,IF(AND($M326=BA$385,$FN$312=1),3,IF(AND($M326&lt;=BA$382,$M326&gt;BB$382,$FN$312=1),1,DB564))))))</f>
        <v>0</v>
      </c>
      <c r="BB564" s="56">
        <f t="shared" ref="BB564:BB595" ca="1" si="185">IF(AND($M326&lt;=BB$386,$M326&gt;BC$386,$FN$311=1),4,IF(AND($M326&lt;=BB$387,$M326&gt;BC$387,$FN$311=1),5,IF(AND($M326&lt;=BB$385,$M326&gt;BC$385,$FN$312=1),3,IF(AND($M326&gt;=BB$385,$M326&lt;BC$385,$FN$312=1),3,IF(AND($M326=BB$385,$FN$312=1),3,IF(AND($M326&lt;=BB$382,$M326&gt;BC$382,$FN$312=1),1,DC564))))))</f>
        <v>0</v>
      </c>
      <c r="BC564" s="56">
        <f t="shared" ref="BC564:BC595" ca="1" si="186">IF(AND($M326&lt;=BC$386,$M326&gt;BD$386,$FN$311=1),4,IF(AND($M326&lt;=BC$387,$M326&gt;BD$387,$FN$311=1),5,IF(AND($M326&lt;=BC$385,$M326&gt;BD$385,$FN$312=1),3,IF(AND($M326&gt;=BC$385,$M326&lt;BD$385,$FN$312=1),3,IF(AND($M326=BC$385,$FN$312=1),3,IF(AND($M326&lt;=BC$382,$M326&gt;BD$382,$FN$312=1),1,DD564))))))</f>
        <v>0</v>
      </c>
      <c r="BD564" s="56">
        <f t="shared" ref="BD564:BD595" ca="1" si="187">IF(AND($M326&lt;=BD$386,$M326&gt;BE$386,$FN$311=1),4,IF(AND($M326&lt;=BD$387,$M326&gt;BE$387,$FN$311=1),5,IF(AND($M326&lt;=BD$385,$M326&gt;BE$385,$FN$312=1),3,IF(AND($M326&gt;=BD$385,$M326&lt;BE$385,$FN$312=1),3,IF(AND($M326=BD$385,$FN$312=1),3,IF(AND($M326&lt;=BD$382,$M326&gt;BE$382,$FN$312=1),1,DE564))))))</f>
        <v>0</v>
      </c>
      <c r="BE564" s="56">
        <f t="shared" ref="BE564:BE595" ca="1" si="188">IF(AND($M326&lt;=BE$386,$M326&gt;BF$386,$FN$311=1),4,IF(AND($M326&lt;=BE$387,$M326&gt;BF$387,$FN$311=1),5,IF(AND($M326&lt;=BE$385,$M326&gt;BF$385,$FN$312=1),3,IF(AND($M326&gt;=BE$385,$M326&lt;BF$385,$FN$312=1),3,IF(AND($M326=BE$385,$FN$312=1),3,IF(AND($M326&lt;=BE$382,$M326&gt;BF$382,$FN$312=1),1,DF564))))))</f>
        <v>0</v>
      </c>
      <c r="BF564" s="56">
        <f t="shared" ref="BF564:BF595" ca="1" si="189">IF(AND($M326&lt;=BF$386,$M326&gt;BG$386,$FN$311=1),4,IF(AND($M326&lt;=BF$387,$M326&gt;BG$387,$FN$311=1),5,IF(AND($M326&lt;=BF$385,$M326&gt;BG$385,$FN$312=1),3,IF(AND($M326&gt;=BF$385,$M326&lt;BG$385,$FN$312=1),3,IF(AND($M326=BF$385,$FN$312=1),3,IF(AND($M326&lt;=BF$382,$M326&gt;BG$382,$FN$312=1),1,DG564))))))</f>
        <v>0</v>
      </c>
      <c r="BG564" s="56">
        <f t="shared" ref="BG564:BG595" ca="1" si="190">IF(AND($M326&lt;=BG$386,$M326&gt;BH$386,$FN$311=1),4,IF(AND($M326&lt;=BG$387,$M326&gt;BH$387,$FN$311=1),5,IF(AND($M326&lt;=BG$385,$M326&gt;BH$385,$FN$312=1),3,IF(AND($M326&gt;=BG$385,$M326&lt;BH$385,$FN$312=1),3,IF(AND($M326=BG$385,$FN$312=1),3,IF(AND($M326&lt;=BG$382,$M326&gt;BH$382,$FN$312=1),1,DH564))))))</f>
        <v>0</v>
      </c>
      <c r="BH564" s="56">
        <f t="shared" ref="BH564:BH595" ca="1" si="191">IF(AND($M326&lt;=BH$386,$M326&gt;BI$386,$FN$311=1),4,IF(AND($M326&lt;=BH$387,$M326&gt;BI$387,$FN$311=1),5,IF(AND($M326&lt;=BH$385,$M326&gt;BI$385,$FN$312=1),3,IF(AND($M326&gt;=BH$385,$M326&lt;BI$385,$FN$312=1),3,IF(AND($M326=BH$385,$FN$312=1),3,IF(AND($M326&lt;=BH$382,$M326&gt;BI$382,$FN$312=1),1,DI564))))))</f>
        <v>0</v>
      </c>
      <c r="BI564" s="56">
        <f t="shared" ref="BI564:BI595" ca="1" si="192">IF(AND($M326&lt;=BI$386,$M326&gt;BJ$386,$FN$311=1),4,IF(AND($M326&lt;=BI$387,$M326&gt;BJ$387,$FN$311=1),5,IF(AND($M326&lt;=BI$385,$M326&gt;BJ$385,$FN$312=1),3,IF(AND($M326&gt;=BI$385,$M326&lt;BJ$385,$FN$312=1),3,IF(AND($M326=BI$385,$FN$312=1),3,IF(AND($M326&lt;=BI$382,$M326&gt;BJ$382,$FN$312=1),1,DJ564))))))</f>
        <v>0</v>
      </c>
      <c r="BJ564" s="56">
        <f t="shared" ref="BJ564:BJ595" ca="1" si="193">IF(AND($M326&lt;=BJ$386,$M326&gt;BK$386,$FN$311=1),4,IF(AND($M326&lt;=BJ$387,$M326&gt;BK$387,$FN$311=1),5,IF(AND($M326&lt;=BJ$385,$M326&gt;BK$385,$FN$312=1),3,IF(AND($M326&gt;=BJ$385,$M326&lt;BK$385,$FN$312=1),3,IF(AND($M326=BJ$385,$FN$312=1),3,IF(AND($M326&lt;=BJ$382,$M326&gt;BK$382,$FN$312=1),1,DK564))))))</f>
        <v>0</v>
      </c>
      <c r="BK564" s="56">
        <f t="shared" ref="BK564:BK595" ca="1" si="194">IF(AND($M326&lt;=BK$386,$M326&gt;BL$386,$FN$311=1),4,IF(AND($M326&lt;=BK$387,$M326&gt;BL$387,$FN$311=1),5,IF(AND($M326&lt;=BK$385,$M326&gt;BL$385,$FN$312=1),3,IF(AND($M326&gt;=BK$385,$M326&lt;BL$385,$FN$312=1),3,IF(AND($M326=BK$385,$FN$312=1),3,IF(AND($M326&lt;=BK$382,$M326&gt;BL$382,$FN$312=1),1,DL564))))))</f>
        <v>0</v>
      </c>
      <c r="BL564" s="56">
        <f t="shared" ref="BL564:BL595" ca="1" si="195">IF(AND($M326&lt;=BL$386,$M326&gt;BM$386,$FN$311=1),4,IF(AND($M326&lt;=BL$387,$M326&gt;BM$387,$FN$311=1),5,IF(AND($M326&lt;=BL$385,$M326&gt;BM$385,$FN$312=1),3,IF(AND($M326&gt;=BL$385,$M326&lt;BM$385,$FN$312=1),3,IF(AND($M326=BL$385,$FN$312=1),3,IF(AND($M326&lt;=BL$382,$M326&gt;BM$382,$FN$312=1),1,DM564))))))</f>
        <v>0</v>
      </c>
      <c r="BM564" s="56">
        <f t="shared" ref="BM564:BM595" ca="1" si="196">IF(AND($M326&lt;=BM$386,$M326&gt;BN$386,$FN$311=1),4,IF(AND($M326&lt;=BM$387,$M326&gt;BN$387,$FN$311=1),5,IF(AND($M326&lt;=BM$385,$M326&gt;BN$385,$FN$312=1),3,IF(AND($M326&gt;=BM$385,$M326&lt;BN$385,$FN$312=1),3,IF(AND($M326=BM$385,$FN$312=1),3,IF(AND($M326&lt;=BM$382,$M326&gt;BN$382,$FN$312=1),1,DN564))))))</f>
        <v>0</v>
      </c>
      <c r="BN564" s="56">
        <f t="shared" ref="BN564:BN595" ca="1" si="197">IF(AND($M326&lt;=BN$386,$M326&gt;BO$386,$FN$311=1),4,IF(AND($M326&lt;=BN$387,$M326&gt;BO$387,$FN$311=1),5,IF(AND($M326&lt;=BN$385,$M326&gt;BO$385,$FN$312=1),3,IF(AND($M326&gt;=BN$385,$M326&lt;BO$385,$FN$312=1),3,IF(AND($M326=BN$385,$FN$312=1),3,IF(AND($M326&lt;=BN$382,$M326&gt;BO$382,$FN$312=1),1,DO564))))))</f>
        <v>0</v>
      </c>
      <c r="BO564" s="56">
        <f t="shared" ref="BO564:BO595" ca="1" si="198">IF(AND($M326&lt;=BO$386,$M326&gt;BP$386,$FN$311=1),4,IF(AND($M326&lt;=BO$387,$M326&gt;BP$387,$FN$311=1),5,IF(AND($M326&lt;=BO$385,$M326&gt;BP$385,$FN$312=1),3,IF(AND($M326&gt;=BO$385,$M326&lt;BP$385,$FN$312=1),3,IF(AND($M326=BO$385,$FN$312=1),3,IF(AND($M326&lt;=BO$382,$M326&gt;BP$382,$FN$312=1),1,DP564))))))</f>
        <v>0</v>
      </c>
      <c r="BP564" s="56">
        <f t="shared" ref="BP564:BP595" ca="1" si="199">IF(AND($M326&lt;=BP$386,$M326&gt;BQ$386,$FN$311=1),4,IF(AND($M326&lt;=BP$387,$M326&gt;BQ$387,$FN$311=1),5,IF(AND($M326&lt;=BP$385,$M326&gt;BQ$385,$FN$312=1),3,IF(AND($M326&gt;=BP$385,$M326&lt;BQ$385,$FN$312=1),3,IF(AND($M326=BP$385,$FN$312=1),3,IF(AND($M326&lt;=BP$382,$M326&gt;BQ$382,$FN$312=1),1,DQ564))))))</f>
        <v>0</v>
      </c>
      <c r="BQ564" s="56">
        <f t="shared" ref="BQ564:BQ595" ca="1" si="200">IF(AND($M326&lt;=BQ$386,$M326&gt;BR$386,$FN$311=1),4,IF(AND($M326&lt;=BQ$387,$M326&gt;BR$387,$FN$311=1),5,IF(AND($M326&lt;=BQ$385,$M326&gt;BR$385,$FN$312=1),3,IF(AND($M326&gt;=BQ$385,$M326&lt;BR$385,$FN$312=1),3,IF(AND($M326=BQ$385,$FN$312=1),3,IF(AND($M326&lt;=BQ$382,$M326&gt;BR$382,$FN$312=1),1,DR564))))))</f>
        <v>0</v>
      </c>
      <c r="BR564" s="56">
        <f t="shared" ref="BR564:BR595" ca="1" si="201">IF(AND($M326&lt;=BR$386,$M326&gt;BS$386,$FN$311=1),4,IF(AND($M326&lt;=BR$387,$M326&gt;BS$387,$FN$311=1),5,IF(AND($M326&lt;=BR$385,$M326&gt;BS$385,$FN$312=1),3,IF(AND($M326&gt;=BR$385,$M326&lt;BS$385,$FN$312=1),3,IF(AND($M326=BR$385,$FN$312=1),3,IF(AND($M326&lt;=BR$382,$M326&gt;BS$382,$FN$312=1),1,DS564))))))</f>
        <v>0</v>
      </c>
      <c r="BS564" s="56">
        <f t="shared" ref="BS564:BS595" ca="1" si="202">IF(AND($M326&lt;=BS$386,$M326&gt;BT$386,$FN$311=1),4,IF(AND($M326&lt;=BS$387,$M326&gt;BT$387,$FN$311=1),5,IF(AND($M326&lt;=BS$385,$M326&gt;BT$385,$FN$312=1),3,IF(AND($M326&gt;=BS$385,$M326&lt;BT$385,$FN$312=1),3,IF(AND($M326=BS$385,$FN$312=1),3,IF(AND($M326&lt;=BS$382,$M326&gt;BT$382,$FN$312=1),1,DT564))))))</f>
        <v>0</v>
      </c>
      <c r="BT564" s="56">
        <f t="shared" ref="BT564:BT595" ca="1" si="203">IF(AND($M326&lt;=BT$386,$M326&gt;BU$386,$FN$311=1),4,IF(AND($M326&lt;=BT$387,$M326&gt;BU$387,$FN$311=1),5,IF(AND($M326&lt;=BT$385,$M326&gt;BU$385,$FN$312=1),3,IF(AND($M326&gt;=BT$385,$M326&lt;BU$385,$FN$312=1),3,IF(AND($M326=BT$385,$FN$312=1),3,IF(AND($M326&lt;=BT$382,$M326&gt;BU$382,$FN$312=1),1,DU564))))))</f>
        <v>0</v>
      </c>
      <c r="BU564" s="56">
        <f t="shared" ref="BU564:BU595" ca="1" si="204">IF(AND($M326&lt;=BU$386,$M326&gt;BV$386,$FN$311=1),4,IF(AND($M326&lt;=BU$387,$M326&gt;BV$387,$FN$311=1),5,IF(AND($M326&lt;=BU$385,$M326&gt;BV$385,$FN$312=1),3,IF(AND($M326&gt;=BU$385,$M326&lt;BV$385,$FN$312=1),3,IF(AND($M326=BU$385,$FN$312=1),3,IF(AND($M326&lt;=BU$382,$M326&gt;BV$382,$FN$312=1),1,DV564))))))</f>
        <v>0</v>
      </c>
      <c r="BV564" s="56">
        <f t="shared" ref="BV564:BV595" ca="1" si="205">IF(AND($M326&lt;=BV$386,$M326&gt;BW$386,$FN$311=1),4,IF(AND($M326&lt;=BV$387,$M326&gt;BW$387,$FN$311=1),5,IF(AND($M326&lt;=BV$385,$M326&gt;BW$385,$FN$312=1),3,IF(AND($M326&gt;=BV$385,$M326&lt;BW$385,$FN$312=1),3,IF(AND($M326=BV$385,$FN$312=1),3,IF(AND($M326&lt;=BV$382,$M326&gt;BW$382,$FN$312=1),1,DW564))))))</f>
        <v>0</v>
      </c>
      <c r="BW564" s="56">
        <f t="shared" ref="BW564:BW595" ca="1" si="206">IF(AND($M326&lt;=BW$386,$M326&gt;BX$386,$FN$311=1),4,IF(AND($M326&lt;=BW$387,$M326&gt;BX$387,$FN$311=1),5,IF(AND($M326&lt;=BW$385,$M326&gt;BX$385,$FN$312=1),3,IF(AND($M326&gt;=BW$385,$M326&lt;BX$385,$FN$312=1),3,IF(AND($M326=BW$385,$FN$312=1),3,IF(AND($M326&lt;=BW$382,$M326&gt;BX$382,$FN$312=1),1,DX564))))))</f>
        <v>0</v>
      </c>
      <c r="BX564" s="56">
        <f t="shared" ref="BX564:BX595" ca="1" si="207">IF(AND($M326&lt;=BX$386,$M326&gt;BY$386,$FN$311=1),4,IF(AND($M326&lt;=BX$387,$M326&gt;BY$387,$FN$311=1),5,IF(AND($M326&lt;=BX$385,$M326&gt;BY$385,$FN$312=1),3,IF(AND($M326&gt;=BX$385,$M326&lt;BY$385,$FN$312=1),3,IF(AND($M326=BX$385,$FN$312=1),3,IF(AND($M326&lt;=BX$382,$M326&gt;BY$382,$FN$312=1),1,DY564))))))</f>
        <v>0</v>
      </c>
      <c r="BY564" s="56">
        <f t="shared" ref="BY564:BY595" ca="1" si="208">IF(AND($M326&lt;=BY$386,$M326&gt;BZ$386,$FN$311=1),4,IF(AND($M326&lt;=BY$387,$M326&gt;BZ$387,$FN$311=1),5,IF(AND($M326&lt;=BY$385,$M326&gt;BZ$385,$FN$312=1),3,IF(AND($M326&gt;=BY$385,$M326&lt;BZ$385,$FN$312=1),3,IF(AND($M326=BY$385,$FN$312=1),3,IF(AND($M326&lt;=BY$382,$M326&gt;BZ$382,$FN$312=1),1,DZ564))))))</f>
        <v>0</v>
      </c>
      <c r="BZ564">
        <f t="shared" ref="BZ564:CB595" si="209">IF(AND($M326&lt;=BZ$383,$M326&gt;CA$383),1,IF(AND($M326&gt;=BZ$383,$M326&lt;CA$383),1,IF(AND($M326=BZ$383),1,IF(AND($M326&lt;=BZ$388,$M326&gt;CA$388),1,IF(AND($M326&gt;=BZ$388,$M326&lt;CA$388),1,IF(BZ$388=$M326,2,0))))))</f>
        <v>0</v>
      </c>
      <c r="CA564">
        <f t="shared" si="209"/>
        <v>0</v>
      </c>
      <c r="CB564">
        <f t="shared" si="209"/>
        <v>0</v>
      </c>
      <c r="CC564" s="56">
        <f t="shared" ref="CC564:CC600" ca="1" si="210">IF(AND($M325&lt;=AB$384,$M325&gt;AC$384,$FN$312=1),2,IF(AND($M325&gt;=AB$384,$M325&lt;AC$384,$FN$312=1),2,IF(AND(AB$384=$M325,$FN$312=1),2,0)))</f>
        <v>0</v>
      </c>
      <c r="CD564" s="56">
        <f t="shared" ref="CD564:CD600" ca="1" si="211">IF(AND($M325&lt;=AC$384,$M325&gt;AD$384,$FN$312=1),2,IF(AND($M325&gt;=AC$384,$M325&lt;AD$384,$FN$312=1),2,IF(AND(AC$384=$M325,$FN$312=1),2,0)))</f>
        <v>0</v>
      </c>
      <c r="CE564" s="56">
        <f t="shared" ref="CE564:CE600" ca="1" si="212">IF(AND($M325&lt;=AD$384,$M325&gt;AE$384,$FN$312=1),2,IF(AND($M325&gt;=AD$384,$M325&lt;AE$384,$FN$312=1),2,IF(AND(AD$384=$M325,$FN$312=1),2,0)))</f>
        <v>0</v>
      </c>
      <c r="CF564" s="56">
        <f t="shared" ref="CF564:CF600" ca="1" si="213">IF(AND($M325&lt;=AE$384,$M325&gt;AF$384,$FN$312=1),2,IF(AND($M325&gt;=AE$384,$M325&lt;AF$384,$FN$312=1),2,IF(AND(AE$384=$M325,$FN$312=1),2,0)))</f>
        <v>0</v>
      </c>
      <c r="CG564" s="56">
        <f t="shared" ref="CG564:CG600" ca="1" si="214">IF(AND($M325&lt;=AF$384,$M325&gt;AG$384,$FN$312=1),2,IF(AND($M325&gt;=AF$384,$M325&lt;AG$384,$FN$312=1),2,IF(AND(AF$384=$M325,$FN$312=1),2,0)))</f>
        <v>0</v>
      </c>
      <c r="CH564" s="56">
        <f t="shared" ref="CH564:CH600" ca="1" si="215">IF(AND($M325&lt;=AG$384,$M325&gt;AH$384,$FN$312=1),2,IF(AND($M325&gt;=AG$384,$M325&lt;AH$384,$FN$312=1),2,IF(AND(AG$384=$M325,$FN$312=1),2,0)))</f>
        <v>0</v>
      </c>
      <c r="CI564" s="56">
        <f t="shared" ref="CI564:CI600" ca="1" si="216">IF(AND($M325&lt;=AH$384,$M325&gt;AI$384,$FN$312=1),2,IF(AND($M325&gt;=AH$384,$M325&lt;AI$384,$FN$312=1),2,IF(AND(AH$384=$M325,$FN$312=1),2,0)))</f>
        <v>0</v>
      </c>
      <c r="CJ564" s="56">
        <f t="shared" ref="CJ564:CJ600" ca="1" si="217">IF(AND($M325&lt;=AI$384,$M325&gt;AJ$384,$FN$312=1),2,IF(AND($M325&gt;=AI$384,$M325&lt;AJ$384,$FN$312=1),2,IF(AND(AI$384=$M325,$FN$312=1),2,0)))</f>
        <v>0</v>
      </c>
      <c r="CK564" s="56">
        <f t="shared" ref="CK564:CK600" ca="1" si="218">IF(AND($M325&lt;=AJ$384,$M325&gt;AK$384,$FN$312=1),2,IF(AND($M325&gt;=AJ$384,$M325&lt;AK$384,$FN$312=1),2,IF(AND(AJ$384=$M325,$FN$312=1),2,0)))</f>
        <v>0</v>
      </c>
      <c r="CL564" s="56">
        <f t="shared" ref="CL564:CL600" ca="1" si="219">IF(AND($M325&lt;=AK$384,$M325&gt;AL$384,$FN$312=1),2,IF(AND($M325&gt;=AK$384,$M325&lt;AL$384,$FN$312=1),2,IF(AND(AK$384=$M325,$FN$312=1),2,0)))</f>
        <v>0</v>
      </c>
      <c r="CM564" s="56">
        <f t="shared" ref="CM564:CM600" ca="1" si="220">IF(AND($M325&lt;=AL$384,$M325&gt;AM$384,$FN$312=1),2,IF(AND($M325&gt;=AL$384,$M325&lt;AM$384,$FN$312=1),2,IF(AND(AL$384=$M325,$FN$312=1),2,0)))</f>
        <v>0</v>
      </c>
      <c r="CN564" s="56">
        <f t="shared" ref="CN564:CN600" ca="1" si="221">IF(AND($M325&lt;=AM$384,$M325&gt;AN$384,$FN$312=1),2,IF(AND($M325&gt;=AM$384,$M325&lt;AN$384,$FN$312=1),2,IF(AND(AM$384=$M325,$FN$312=1),2,0)))</f>
        <v>0</v>
      </c>
      <c r="CO564" s="56">
        <f t="shared" ref="CO564:CO600" ca="1" si="222">IF(AND($M325&lt;=AN$384,$M325&gt;AO$384,$FN$312=1),2,IF(AND($M325&gt;=AN$384,$M325&lt;AO$384,$FN$312=1),2,IF(AND(AN$384=$M325,$FN$312=1),2,0)))</f>
        <v>0</v>
      </c>
      <c r="CP564" s="56">
        <f t="shared" ref="CP564:CP600" ca="1" si="223">IF(AND($M325&lt;=AO$384,$M325&gt;AP$384,$FN$312=1),2,IF(AND($M325&gt;=AO$384,$M325&lt;AP$384,$FN$312=1),2,IF(AND(AO$384=$M325,$FN$312=1),2,0)))</f>
        <v>0</v>
      </c>
      <c r="CQ564" s="56">
        <f t="shared" ref="CQ564:CQ600" ca="1" si="224">IF(AND($M325&lt;=AP$384,$M325&gt;AQ$384,$FN$312=1),2,IF(AND($M325&gt;=AP$384,$M325&lt;AQ$384,$FN$312=1),2,IF(AND(AP$384=$M325,$FN$312=1),2,0)))</f>
        <v>0</v>
      </c>
      <c r="CR564" s="56">
        <f t="shared" ref="CR564:CR600" ca="1" si="225">IF(AND($M325&lt;=AQ$384,$M325&gt;AR$384,$FN$312=1),2,IF(AND($M325&gt;=AQ$384,$M325&lt;AR$384,$FN$312=1),2,IF(AND(AQ$384=$M325,$FN$312=1),2,0)))</f>
        <v>0</v>
      </c>
      <c r="CS564" s="56">
        <f t="shared" ref="CS564:CS600" ca="1" si="226">IF(AND($M325&lt;=AR$384,$M325&gt;AS$384,$FN$312=1),2,IF(AND($M325&gt;=AR$384,$M325&lt;AS$384,$FN$312=1),2,IF(AND(AR$384=$M325,$FN$312=1),2,0)))</f>
        <v>0</v>
      </c>
      <c r="CT564" s="56">
        <f t="shared" ref="CT564:CT600" ca="1" si="227">IF(AND($M325&lt;=AS$384,$M325&gt;AT$384,$FN$312=1),2,IF(AND($M325&gt;=AS$384,$M325&lt;AT$384,$FN$312=1),2,IF(AND(AS$384=$M325,$FN$312=1),2,0)))</f>
        <v>0</v>
      </c>
      <c r="CU564" s="56">
        <f t="shared" ref="CU564:CU600" ca="1" si="228">IF(AND($M325&lt;=AT$384,$M325&gt;AU$384,$FN$312=1),2,IF(AND($M325&gt;=AT$384,$M325&lt;AU$384,$FN$312=1),2,IF(AND(AT$384=$M325,$FN$312=1),2,0)))</f>
        <v>0</v>
      </c>
      <c r="CV564" s="56">
        <f t="shared" ref="CV564:CV600" ca="1" si="229">IF(AND($M325&lt;=AU$384,$M325&gt;AV$384,$FN$312=1),2,IF(AND($M325&gt;=AU$384,$M325&lt;AV$384,$FN$312=1),2,IF(AND(AU$384=$M325,$FN$312=1),2,0)))</f>
        <v>0</v>
      </c>
      <c r="CW564" s="56">
        <f t="shared" ref="CW564:CW600" ca="1" si="230">IF(AND($M325&lt;=AV$384,$M325&gt;AW$384,$FN$312=1),2,IF(AND($M325&gt;=AV$384,$M325&lt;AW$384,$FN$312=1),2,IF(AND(AV$384=$M325,$FN$312=1),2,0)))</f>
        <v>0</v>
      </c>
      <c r="CX564" s="56">
        <f t="shared" ref="CX564:CX600" ca="1" si="231">IF(AND($M325&lt;=AW$384,$M325&gt;AX$384,$FN$312=1),2,IF(AND($M325&gt;=AW$384,$M325&lt;AX$384,$FN$312=1),2,IF(AND(AW$384=$M325,$FN$312=1),2,0)))</f>
        <v>0</v>
      </c>
      <c r="CY564" s="56">
        <f t="shared" ref="CY564:CY600" ca="1" si="232">IF(AND($M325&lt;=AX$384,$M325&gt;AY$384,$FN$312=1),2,IF(AND($M325&gt;=AX$384,$M325&lt;AY$384,$FN$312=1),2,IF(AND(AX$384=$M325,$FN$312=1),2,0)))</f>
        <v>0</v>
      </c>
      <c r="CZ564" s="56">
        <f t="shared" ref="CZ564:CZ600" ca="1" si="233">IF(AND($M325&lt;=AY$384,$M325&gt;AZ$384,$FN$312=1),2,IF(AND($M325&gt;=AY$384,$M325&lt;AZ$384,$FN$312=1),2,IF(AND(AY$384=$M325,$FN$312=1),2,0)))</f>
        <v>0</v>
      </c>
      <c r="DA564" s="56">
        <f t="shared" ref="DA564:DA600" ca="1" si="234">IF(AND($M325&lt;=AZ$384,$M325&gt;BA$384,$FN$312=1),2,IF(AND($M325&gt;=AZ$384,$M325&lt;BA$384,$FN$312=1),2,IF(AND(AZ$384=$M325,$FN$312=1),2,0)))</f>
        <v>0</v>
      </c>
      <c r="DB564" s="56">
        <f t="shared" ref="DB564:DB600" ca="1" si="235">IF(AND($M325&lt;=BA$384,$M325&gt;BB$384,$FN$312=1),2,IF(AND($M325&gt;=BA$384,$M325&lt;BB$384,$FN$312=1),2,IF(AND(BA$384=$M325,$FN$312=1),2,0)))</f>
        <v>0</v>
      </c>
      <c r="DC564" s="56">
        <f t="shared" ref="DC564:DC600" ca="1" si="236">IF(AND($M325&lt;=BB$384,$M325&gt;BC$384,$FN$312=1),2,IF(AND($M325&gt;=BB$384,$M325&lt;BC$384,$FN$312=1),2,IF(AND(BB$384=$M325,$FN$312=1),2,0)))</f>
        <v>0</v>
      </c>
      <c r="DD564" s="56">
        <f t="shared" ref="DD564:DD600" ca="1" si="237">IF(AND($M325&lt;=BC$384,$M325&gt;BD$384,$FN$312=1),2,IF(AND($M325&gt;=BC$384,$M325&lt;BD$384,$FN$312=1),2,IF(AND(BC$384=$M325,$FN$312=1),2,0)))</f>
        <v>0</v>
      </c>
      <c r="DE564" s="56">
        <f t="shared" ref="DE564:DE600" ca="1" si="238">IF(AND($M325&lt;=BD$384,$M325&gt;BE$384,$FN$312=1),2,IF(AND($M325&gt;=BD$384,$M325&lt;BE$384,$FN$312=1),2,IF(AND(BD$384=$M325,$FN$312=1),2,0)))</f>
        <v>0</v>
      </c>
      <c r="DF564" s="56">
        <f t="shared" ref="DF564:DF600" ca="1" si="239">IF(AND($M325&lt;=BE$384,$M325&gt;BF$384,$FN$312=1),2,IF(AND($M325&gt;=BE$384,$M325&lt;BF$384,$FN$312=1),2,IF(AND(BE$384=$M325,$FN$312=1),2,0)))</f>
        <v>0</v>
      </c>
      <c r="DG564" s="56">
        <f t="shared" ref="DG564:DG600" ca="1" si="240">IF(AND($M325&lt;=BF$384,$M325&gt;BG$384,$FN$312=1),2,IF(AND($M325&gt;=BF$384,$M325&lt;BG$384,$FN$312=1),2,IF(AND(BF$384=$M325,$FN$312=1),2,0)))</f>
        <v>0</v>
      </c>
      <c r="DH564" s="56">
        <f t="shared" ref="DH564:DH600" ca="1" si="241">IF(AND($M325&lt;=BG$384,$M325&gt;BH$384,$FN$312=1),2,IF(AND($M325&gt;=BG$384,$M325&lt;BH$384,$FN$312=1),2,IF(AND(BG$384=$M325,$FN$312=1),2,0)))</f>
        <v>0</v>
      </c>
      <c r="DI564" s="56">
        <f t="shared" ref="DI564:DI600" ca="1" si="242">IF(AND($M325&lt;=BH$384,$M325&gt;BI$384,$FN$312=1),2,IF(AND($M325&gt;=BH$384,$M325&lt;BI$384,$FN$312=1),2,IF(AND(BH$384=$M325,$FN$312=1),2,0)))</f>
        <v>0</v>
      </c>
      <c r="DJ564" s="56">
        <f t="shared" ref="DJ564:DJ600" ca="1" si="243">IF(AND($M325&lt;=BI$384,$M325&gt;BJ$384,$FN$312=1),2,IF(AND($M325&gt;=BI$384,$M325&lt;BJ$384,$FN$312=1),2,IF(AND(BI$384=$M325,$FN$312=1),2,0)))</f>
        <v>0</v>
      </c>
      <c r="DK564" s="56">
        <f t="shared" ref="DK564:DK600" ca="1" si="244">IF(AND($M325&lt;=BJ$384,$M325&gt;BK$384,$FN$312=1),2,IF(AND($M325&gt;=BJ$384,$M325&lt;BK$384,$FN$312=1),2,IF(AND(BJ$384=$M325,$FN$312=1),2,0)))</f>
        <v>0</v>
      </c>
      <c r="DL564" s="56">
        <f t="shared" ref="DL564:DL600" ca="1" si="245">IF(AND($M325&lt;=BK$384,$M325&gt;BL$384,$FN$312=1),2,IF(AND($M325&gt;=BK$384,$M325&lt;BL$384,$FN$312=1),2,IF(AND(BK$384=$M325,$FN$312=1),2,0)))</f>
        <v>0</v>
      </c>
      <c r="DM564" s="56">
        <f t="shared" ref="DM564:DM600" ca="1" si="246">IF(AND($M325&lt;=BL$384,$M325&gt;BM$384,$FN$312=1),2,IF(AND($M325&gt;=BL$384,$M325&lt;BM$384,$FN$312=1),2,IF(AND(BL$384=$M325,$FN$312=1),2,0)))</f>
        <v>0</v>
      </c>
      <c r="DN564" s="56">
        <f t="shared" ref="DN564:DN600" ca="1" si="247">IF(AND($M325&lt;=BM$384,$M325&gt;BN$384,$FN$312=1),2,IF(AND($M325&gt;=BM$384,$M325&lt;BN$384,$FN$312=1),2,IF(AND(BM$384=$M325,$FN$312=1),2,0)))</f>
        <v>0</v>
      </c>
      <c r="DO564" s="56">
        <f t="shared" ref="DO564:DO600" ca="1" si="248">IF(AND($M325&lt;=BN$384,$M325&gt;BO$384,$FN$312=1),2,IF(AND($M325&gt;=BN$384,$M325&lt;BO$384,$FN$312=1),2,IF(AND(BN$384=$M325,$FN$312=1),2,0)))</f>
        <v>0</v>
      </c>
      <c r="DP564" s="56">
        <f t="shared" ref="DP564:DP600" ca="1" si="249">IF(AND($M325&lt;=BO$384,$M325&gt;BP$384,$FN$312=1),2,IF(AND($M325&gt;=BO$384,$M325&lt;BP$384,$FN$312=1),2,IF(AND(BO$384=$M325,$FN$312=1),2,0)))</f>
        <v>0</v>
      </c>
      <c r="DQ564" s="56">
        <f t="shared" ref="DQ564:DQ600" ca="1" si="250">IF(AND($M325&lt;=BP$384,$M325&gt;BQ$384,$FN$312=1),2,IF(AND($M325&gt;=BP$384,$M325&lt;BQ$384,$FN$312=1),2,IF(AND(BP$384=$M325,$FN$312=1),2,0)))</f>
        <v>0</v>
      </c>
      <c r="DR564" s="56">
        <f t="shared" ref="DR564:DR600" ca="1" si="251">IF(AND($M325&lt;=BQ$384,$M325&gt;BR$384,$FN$312=1),2,IF(AND($M325&gt;=BQ$384,$M325&lt;BR$384,$FN$312=1),2,IF(AND(BQ$384=$M325,$FN$312=1),2,0)))</f>
        <v>0</v>
      </c>
      <c r="DS564" s="56">
        <f t="shared" ref="DS564:DS600" ca="1" si="252">IF(AND($M325&lt;=BR$384,$M325&gt;BS$384,$FN$312=1),2,IF(AND($M325&gt;=BR$384,$M325&lt;BS$384,$FN$312=1),2,IF(AND(BR$384=$M325,$FN$312=1),2,0)))</f>
        <v>0</v>
      </c>
      <c r="DT564" s="56">
        <f t="shared" ref="DT564:DT600" ca="1" si="253">IF(AND($M325&lt;=BS$384,$M325&gt;BT$384,$FN$312=1),2,IF(AND($M325&gt;=BS$384,$M325&lt;BT$384,$FN$312=1),2,IF(AND(BS$384=$M325,$FN$312=1),2,0)))</f>
        <v>0</v>
      </c>
      <c r="DU564" s="56">
        <f t="shared" ref="DU564:DU600" ca="1" si="254">IF(AND($M325&lt;=BT$384,$M325&gt;BU$384,$FN$312=1),2,IF(AND($M325&gt;=BT$384,$M325&lt;BU$384,$FN$312=1),2,IF(AND(BT$384=$M325,$FN$312=1),2,0)))</f>
        <v>0</v>
      </c>
      <c r="DV564" s="56">
        <f t="shared" ref="DV564:DV600" ca="1" si="255">IF(AND($M325&lt;=BU$384,$M325&gt;BV$384,$FN$312=1),2,IF(AND($M325&gt;=BU$384,$M325&lt;BV$384,$FN$312=1),2,IF(AND(BU$384=$M325,$FN$312=1),2,0)))</f>
        <v>0</v>
      </c>
      <c r="DW564" s="56">
        <f t="shared" ref="DW564:DW600" ca="1" si="256">IF(AND($M325&lt;=BV$384,$M325&gt;BW$384,$FN$312=1),2,IF(AND($M325&gt;=BV$384,$M325&lt;BW$384,$FN$312=1),2,IF(AND(BV$384=$M325,$FN$312=1),2,0)))</f>
        <v>0</v>
      </c>
      <c r="DX564" s="56">
        <f t="shared" ref="DX564:DX600" ca="1" si="257">IF(AND($M325&lt;=BW$384,$M325&gt;BX$384,$FN$312=1),2,IF(AND($M325&gt;=BW$384,$M325&lt;BX$384,$FN$312=1),2,IF(AND(BW$384=$M325,$FN$312=1),2,0)))</f>
        <v>0</v>
      </c>
      <c r="DY564" s="56">
        <f t="shared" ref="DY564:DY600" ca="1" si="258">IF(AND($M325&lt;=BX$384,$M325&gt;BY$384,$FN$312=1),2,IF(AND($M325&gt;=BX$384,$M325&lt;BY$384,$FN$312=1),2,IF(AND(BX$384=$M325,$FN$312=1),2,0)))</f>
        <v>0</v>
      </c>
      <c r="DZ564" s="56">
        <f t="shared" ref="DZ564:DZ600" ca="1" si="259">IF(AND($M325&lt;=BY$384,$M325&gt;BZ$384,$FN$312=1),2,IF(AND($M325&gt;=BY$384,$M325&lt;BZ$384,$FN$312=1),2,IF(AND(BY$384=$M325,$FN$312=1),2,0)))</f>
        <v>0</v>
      </c>
    </row>
    <row r="565" spans="28:130">
      <c r="AB565" s="56">
        <f t="shared" ca="1" si="159"/>
        <v>0</v>
      </c>
      <c r="AC565" s="56">
        <f t="shared" ca="1" si="160"/>
        <v>0</v>
      </c>
      <c r="AD565" s="56">
        <f t="shared" ca="1" si="161"/>
        <v>0</v>
      </c>
      <c r="AE565" s="56">
        <f t="shared" ca="1" si="162"/>
        <v>0</v>
      </c>
      <c r="AF565" s="56">
        <f t="shared" ca="1" si="163"/>
        <v>0</v>
      </c>
      <c r="AG565" s="56">
        <f t="shared" ca="1" si="164"/>
        <v>0</v>
      </c>
      <c r="AH565" s="56">
        <f t="shared" ca="1" si="165"/>
        <v>0</v>
      </c>
      <c r="AI565" s="56">
        <f t="shared" ca="1" si="166"/>
        <v>0</v>
      </c>
      <c r="AJ565" s="56">
        <f t="shared" ca="1" si="167"/>
        <v>0</v>
      </c>
      <c r="AK565" s="56">
        <f t="shared" ca="1" si="168"/>
        <v>0</v>
      </c>
      <c r="AL565" s="56">
        <f t="shared" ca="1" si="169"/>
        <v>0</v>
      </c>
      <c r="AM565" s="56">
        <f t="shared" ca="1" si="170"/>
        <v>0</v>
      </c>
      <c r="AN565" s="56">
        <f t="shared" ca="1" si="171"/>
        <v>0</v>
      </c>
      <c r="AO565" s="56">
        <f t="shared" ca="1" si="172"/>
        <v>0</v>
      </c>
      <c r="AP565" s="56">
        <f t="shared" ca="1" si="173"/>
        <v>0</v>
      </c>
      <c r="AQ565" s="56">
        <f t="shared" ca="1" si="174"/>
        <v>0</v>
      </c>
      <c r="AR565" s="56">
        <f t="shared" ca="1" si="175"/>
        <v>0</v>
      </c>
      <c r="AS565" s="56">
        <f t="shared" ca="1" si="176"/>
        <v>0</v>
      </c>
      <c r="AT565" s="56">
        <f t="shared" ca="1" si="177"/>
        <v>0</v>
      </c>
      <c r="AU565" s="56">
        <f t="shared" ca="1" si="178"/>
        <v>0</v>
      </c>
      <c r="AV565" s="56">
        <f t="shared" ca="1" si="179"/>
        <v>0</v>
      </c>
      <c r="AW565" s="56">
        <f t="shared" ca="1" si="180"/>
        <v>0</v>
      </c>
      <c r="AX565" s="56">
        <f t="shared" ca="1" si="181"/>
        <v>0</v>
      </c>
      <c r="AY565" s="56">
        <f t="shared" ca="1" si="182"/>
        <v>0</v>
      </c>
      <c r="AZ565" s="56">
        <f t="shared" ca="1" si="183"/>
        <v>0</v>
      </c>
      <c r="BA565" s="56">
        <f t="shared" ca="1" si="184"/>
        <v>0</v>
      </c>
      <c r="BB565" s="56">
        <f t="shared" ca="1" si="185"/>
        <v>0</v>
      </c>
      <c r="BC565" s="56">
        <f t="shared" ca="1" si="186"/>
        <v>0</v>
      </c>
      <c r="BD565" s="56">
        <f t="shared" ca="1" si="187"/>
        <v>0</v>
      </c>
      <c r="BE565" s="56">
        <f t="shared" ca="1" si="188"/>
        <v>0</v>
      </c>
      <c r="BF565" s="56">
        <f t="shared" ca="1" si="189"/>
        <v>0</v>
      </c>
      <c r="BG565" s="56">
        <f t="shared" ca="1" si="190"/>
        <v>0</v>
      </c>
      <c r="BH565" s="56">
        <f t="shared" ca="1" si="191"/>
        <v>0</v>
      </c>
      <c r="BI565" s="56">
        <f t="shared" ca="1" si="192"/>
        <v>0</v>
      </c>
      <c r="BJ565" s="56">
        <f t="shared" ca="1" si="193"/>
        <v>0</v>
      </c>
      <c r="BK565" s="56">
        <f t="shared" ca="1" si="194"/>
        <v>0</v>
      </c>
      <c r="BL565" s="56">
        <f t="shared" ca="1" si="195"/>
        <v>0</v>
      </c>
      <c r="BM565" s="56">
        <f t="shared" ca="1" si="196"/>
        <v>0</v>
      </c>
      <c r="BN565" s="56">
        <f t="shared" ca="1" si="197"/>
        <v>0</v>
      </c>
      <c r="BO565" s="56">
        <f t="shared" ca="1" si="198"/>
        <v>0</v>
      </c>
      <c r="BP565" s="56">
        <f t="shared" ca="1" si="199"/>
        <v>0</v>
      </c>
      <c r="BQ565" s="56">
        <f t="shared" ca="1" si="200"/>
        <v>0</v>
      </c>
      <c r="BR565" s="56">
        <f t="shared" ca="1" si="201"/>
        <v>0</v>
      </c>
      <c r="BS565" s="56">
        <f t="shared" ca="1" si="202"/>
        <v>0</v>
      </c>
      <c r="BT565" s="56">
        <f t="shared" ca="1" si="203"/>
        <v>0</v>
      </c>
      <c r="BU565" s="56">
        <f t="shared" ca="1" si="204"/>
        <v>0</v>
      </c>
      <c r="BV565" s="56">
        <f t="shared" ca="1" si="205"/>
        <v>0</v>
      </c>
      <c r="BW565" s="56">
        <f t="shared" ca="1" si="206"/>
        <v>0</v>
      </c>
      <c r="BX565" s="56">
        <f t="shared" ca="1" si="207"/>
        <v>0</v>
      </c>
      <c r="BY565" s="56">
        <f t="shared" ca="1" si="208"/>
        <v>0</v>
      </c>
      <c r="BZ565">
        <f t="shared" si="209"/>
        <v>0</v>
      </c>
      <c r="CA565">
        <f t="shared" si="209"/>
        <v>0</v>
      </c>
      <c r="CB565">
        <f t="shared" si="209"/>
        <v>0</v>
      </c>
      <c r="CC565" s="56">
        <f t="shared" ca="1" si="210"/>
        <v>0</v>
      </c>
      <c r="CD565" s="56">
        <f t="shared" ca="1" si="211"/>
        <v>0</v>
      </c>
      <c r="CE565" s="56">
        <f t="shared" ca="1" si="212"/>
        <v>0</v>
      </c>
      <c r="CF565" s="56">
        <f t="shared" ca="1" si="213"/>
        <v>0</v>
      </c>
      <c r="CG565" s="56">
        <f t="shared" ca="1" si="214"/>
        <v>0</v>
      </c>
      <c r="CH565" s="56">
        <f t="shared" ca="1" si="215"/>
        <v>0</v>
      </c>
      <c r="CI565" s="56">
        <f t="shared" ca="1" si="216"/>
        <v>0</v>
      </c>
      <c r="CJ565" s="56">
        <f t="shared" ca="1" si="217"/>
        <v>0</v>
      </c>
      <c r="CK565" s="56">
        <f t="shared" ca="1" si="218"/>
        <v>0</v>
      </c>
      <c r="CL565" s="56">
        <f t="shared" ca="1" si="219"/>
        <v>0</v>
      </c>
      <c r="CM565" s="56">
        <f t="shared" ca="1" si="220"/>
        <v>0</v>
      </c>
      <c r="CN565" s="56">
        <f t="shared" ca="1" si="221"/>
        <v>0</v>
      </c>
      <c r="CO565" s="56">
        <f t="shared" ca="1" si="222"/>
        <v>0</v>
      </c>
      <c r="CP565" s="56">
        <f t="shared" ca="1" si="223"/>
        <v>0</v>
      </c>
      <c r="CQ565" s="56">
        <f t="shared" ca="1" si="224"/>
        <v>0</v>
      </c>
      <c r="CR565" s="56">
        <f t="shared" ca="1" si="225"/>
        <v>0</v>
      </c>
      <c r="CS565" s="56">
        <f t="shared" ca="1" si="226"/>
        <v>0</v>
      </c>
      <c r="CT565" s="56">
        <f t="shared" ca="1" si="227"/>
        <v>0</v>
      </c>
      <c r="CU565" s="56">
        <f t="shared" ca="1" si="228"/>
        <v>0</v>
      </c>
      <c r="CV565" s="56">
        <f t="shared" ca="1" si="229"/>
        <v>0</v>
      </c>
      <c r="CW565" s="56">
        <f t="shared" ca="1" si="230"/>
        <v>0</v>
      </c>
      <c r="CX565" s="56">
        <f t="shared" ca="1" si="231"/>
        <v>0</v>
      </c>
      <c r="CY565" s="56">
        <f t="shared" ca="1" si="232"/>
        <v>0</v>
      </c>
      <c r="CZ565" s="56">
        <f t="shared" ca="1" si="233"/>
        <v>0</v>
      </c>
      <c r="DA565" s="56">
        <f t="shared" ca="1" si="234"/>
        <v>0</v>
      </c>
      <c r="DB565" s="56">
        <f t="shared" ca="1" si="235"/>
        <v>0</v>
      </c>
      <c r="DC565" s="56">
        <f t="shared" ca="1" si="236"/>
        <v>0</v>
      </c>
      <c r="DD565" s="56">
        <f t="shared" ca="1" si="237"/>
        <v>0</v>
      </c>
      <c r="DE565" s="56">
        <f t="shared" ca="1" si="238"/>
        <v>0</v>
      </c>
      <c r="DF565" s="56">
        <f t="shared" ca="1" si="239"/>
        <v>0</v>
      </c>
      <c r="DG565" s="56">
        <f t="shared" ca="1" si="240"/>
        <v>0</v>
      </c>
      <c r="DH565" s="56">
        <f t="shared" ca="1" si="241"/>
        <v>0</v>
      </c>
      <c r="DI565" s="56">
        <f t="shared" ca="1" si="242"/>
        <v>0</v>
      </c>
      <c r="DJ565" s="56">
        <f t="shared" ca="1" si="243"/>
        <v>0</v>
      </c>
      <c r="DK565" s="56">
        <f t="shared" ca="1" si="244"/>
        <v>0</v>
      </c>
      <c r="DL565" s="56">
        <f t="shared" ca="1" si="245"/>
        <v>0</v>
      </c>
      <c r="DM565" s="56">
        <f t="shared" ca="1" si="246"/>
        <v>0</v>
      </c>
      <c r="DN565" s="56">
        <f t="shared" ca="1" si="247"/>
        <v>0</v>
      </c>
      <c r="DO565" s="56">
        <f t="shared" ca="1" si="248"/>
        <v>0</v>
      </c>
      <c r="DP565" s="56">
        <f t="shared" ca="1" si="249"/>
        <v>0</v>
      </c>
      <c r="DQ565" s="56">
        <f t="shared" ca="1" si="250"/>
        <v>0</v>
      </c>
      <c r="DR565" s="56">
        <f t="shared" ca="1" si="251"/>
        <v>0</v>
      </c>
      <c r="DS565" s="56">
        <f t="shared" ca="1" si="252"/>
        <v>0</v>
      </c>
      <c r="DT565" s="56">
        <f t="shared" ca="1" si="253"/>
        <v>0</v>
      </c>
      <c r="DU565" s="56">
        <f t="shared" ca="1" si="254"/>
        <v>0</v>
      </c>
      <c r="DV565" s="56">
        <f t="shared" ca="1" si="255"/>
        <v>0</v>
      </c>
      <c r="DW565" s="56">
        <f t="shared" ca="1" si="256"/>
        <v>0</v>
      </c>
      <c r="DX565" s="56">
        <f t="shared" ca="1" si="257"/>
        <v>0</v>
      </c>
      <c r="DY565" s="56">
        <f t="shared" ca="1" si="258"/>
        <v>0</v>
      </c>
      <c r="DZ565" s="56">
        <f t="shared" ca="1" si="259"/>
        <v>0</v>
      </c>
    </row>
    <row r="566" spans="28:130">
      <c r="AB566" s="56">
        <f t="shared" ca="1" si="159"/>
        <v>0</v>
      </c>
      <c r="AC566" s="56">
        <f t="shared" ca="1" si="160"/>
        <v>0</v>
      </c>
      <c r="AD566" s="56">
        <f t="shared" ca="1" si="161"/>
        <v>0</v>
      </c>
      <c r="AE566" s="56">
        <f t="shared" ca="1" si="162"/>
        <v>0</v>
      </c>
      <c r="AF566" s="56">
        <f t="shared" ca="1" si="163"/>
        <v>0</v>
      </c>
      <c r="AG566" s="56">
        <f t="shared" ca="1" si="164"/>
        <v>0</v>
      </c>
      <c r="AH566" s="56">
        <f t="shared" ca="1" si="165"/>
        <v>0</v>
      </c>
      <c r="AI566" s="56">
        <f t="shared" ca="1" si="166"/>
        <v>0</v>
      </c>
      <c r="AJ566" s="56">
        <f t="shared" ca="1" si="167"/>
        <v>0</v>
      </c>
      <c r="AK566" s="56">
        <f t="shared" ca="1" si="168"/>
        <v>0</v>
      </c>
      <c r="AL566" s="56">
        <f t="shared" ca="1" si="169"/>
        <v>0</v>
      </c>
      <c r="AM566" s="56">
        <f t="shared" ca="1" si="170"/>
        <v>0</v>
      </c>
      <c r="AN566" s="56">
        <f t="shared" ca="1" si="171"/>
        <v>0</v>
      </c>
      <c r="AO566" s="56">
        <f t="shared" ca="1" si="172"/>
        <v>0</v>
      </c>
      <c r="AP566" s="56">
        <f t="shared" ca="1" si="173"/>
        <v>0</v>
      </c>
      <c r="AQ566" s="56">
        <f t="shared" ca="1" si="174"/>
        <v>0</v>
      </c>
      <c r="AR566" s="56">
        <f t="shared" ca="1" si="175"/>
        <v>0</v>
      </c>
      <c r="AS566" s="56">
        <f t="shared" ca="1" si="176"/>
        <v>0</v>
      </c>
      <c r="AT566" s="56">
        <f t="shared" ca="1" si="177"/>
        <v>0</v>
      </c>
      <c r="AU566" s="56">
        <f t="shared" ca="1" si="178"/>
        <v>0</v>
      </c>
      <c r="AV566" s="56">
        <f t="shared" ca="1" si="179"/>
        <v>0</v>
      </c>
      <c r="AW566" s="56">
        <f t="shared" ca="1" si="180"/>
        <v>0</v>
      </c>
      <c r="AX566" s="56">
        <f t="shared" ca="1" si="181"/>
        <v>0</v>
      </c>
      <c r="AY566" s="56">
        <f t="shared" ca="1" si="182"/>
        <v>0</v>
      </c>
      <c r="AZ566" s="56">
        <f t="shared" ca="1" si="183"/>
        <v>0</v>
      </c>
      <c r="BA566" s="56">
        <f t="shared" ca="1" si="184"/>
        <v>0</v>
      </c>
      <c r="BB566" s="56">
        <f t="shared" ca="1" si="185"/>
        <v>0</v>
      </c>
      <c r="BC566" s="56">
        <f t="shared" ca="1" si="186"/>
        <v>0</v>
      </c>
      <c r="BD566" s="56">
        <f t="shared" ca="1" si="187"/>
        <v>0</v>
      </c>
      <c r="BE566" s="56">
        <f t="shared" ca="1" si="188"/>
        <v>0</v>
      </c>
      <c r="BF566" s="56">
        <f t="shared" ca="1" si="189"/>
        <v>0</v>
      </c>
      <c r="BG566" s="56">
        <f t="shared" ca="1" si="190"/>
        <v>0</v>
      </c>
      <c r="BH566" s="56">
        <f t="shared" ca="1" si="191"/>
        <v>0</v>
      </c>
      <c r="BI566" s="56">
        <f t="shared" ca="1" si="192"/>
        <v>0</v>
      </c>
      <c r="BJ566" s="56">
        <f t="shared" ca="1" si="193"/>
        <v>0</v>
      </c>
      <c r="BK566" s="56">
        <f t="shared" ca="1" si="194"/>
        <v>0</v>
      </c>
      <c r="BL566" s="56">
        <f t="shared" ca="1" si="195"/>
        <v>0</v>
      </c>
      <c r="BM566" s="56">
        <f t="shared" ca="1" si="196"/>
        <v>0</v>
      </c>
      <c r="BN566" s="56">
        <f t="shared" ca="1" si="197"/>
        <v>0</v>
      </c>
      <c r="BO566" s="56">
        <f t="shared" ca="1" si="198"/>
        <v>0</v>
      </c>
      <c r="BP566" s="56">
        <f t="shared" ca="1" si="199"/>
        <v>0</v>
      </c>
      <c r="BQ566" s="56">
        <f t="shared" ca="1" si="200"/>
        <v>0</v>
      </c>
      <c r="BR566" s="56">
        <f t="shared" ca="1" si="201"/>
        <v>0</v>
      </c>
      <c r="BS566" s="56">
        <f t="shared" ca="1" si="202"/>
        <v>0</v>
      </c>
      <c r="BT566" s="56">
        <f t="shared" ca="1" si="203"/>
        <v>0</v>
      </c>
      <c r="BU566" s="56">
        <f t="shared" ca="1" si="204"/>
        <v>0</v>
      </c>
      <c r="BV566" s="56">
        <f t="shared" ca="1" si="205"/>
        <v>0</v>
      </c>
      <c r="BW566" s="56">
        <f t="shared" ca="1" si="206"/>
        <v>0</v>
      </c>
      <c r="BX566" s="56">
        <f t="shared" ca="1" si="207"/>
        <v>0</v>
      </c>
      <c r="BY566" s="56">
        <f t="shared" ca="1" si="208"/>
        <v>0</v>
      </c>
      <c r="BZ566">
        <f t="shared" si="209"/>
        <v>0</v>
      </c>
      <c r="CA566">
        <f t="shared" si="209"/>
        <v>0</v>
      </c>
      <c r="CB566">
        <f t="shared" si="209"/>
        <v>0</v>
      </c>
      <c r="CC566" s="56">
        <f t="shared" ca="1" si="210"/>
        <v>0</v>
      </c>
      <c r="CD566" s="56">
        <f t="shared" ca="1" si="211"/>
        <v>0</v>
      </c>
      <c r="CE566" s="56">
        <f t="shared" ca="1" si="212"/>
        <v>0</v>
      </c>
      <c r="CF566" s="56">
        <f t="shared" ca="1" si="213"/>
        <v>0</v>
      </c>
      <c r="CG566" s="56">
        <f t="shared" ca="1" si="214"/>
        <v>0</v>
      </c>
      <c r="CH566" s="56">
        <f t="shared" ca="1" si="215"/>
        <v>0</v>
      </c>
      <c r="CI566" s="56">
        <f t="shared" ca="1" si="216"/>
        <v>0</v>
      </c>
      <c r="CJ566" s="56">
        <f t="shared" ca="1" si="217"/>
        <v>0</v>
      </c>
      <c r="CK566" s="56">
        <f t="shared" ca="1" si="218"/>
        <v>0</v>
      </c>
      <c r="CL566" s="56">
        <f t="shared" ca="1" si="219"/>
        <v>0</v>
      </c>
      <c r="CM566" s="56">
        <f t="shared" ca="1" si="220"/>
        <v>0</v>
      </c>
      <c r="CN566" s="56">
        <f t="shared" ca="1" si="221"/>
        <v>0</v>
      </c>
      <c r="CO566" s="56">
        <f t="shared" ca="1" si="222"/>
        <v>0</v>
      </c>
      <c r="CP566" s="56">
        <f t="shared" ca="1" si="223"/>
        <v>0</v>
      </c>
      <c r="CQ566" s="56">
        <f t="shared" ca="1" si="224"/>
        <v>0</v>
      </c>
      <c r="CR566" s="56">
        <f t="shared" ca="1" si="225"/>
        <v>0</v>
      </c>
      <c r="CS566" s="56">
        <f t="shared" ca="1" si="226"/>
        <v>0</v>
      </c>
      <c r="CT566" s="56">
        <f t="shared" ca="1" si="227"/>
        <v>0</v>
      </c>
      <c r="CU566" s="56">
        <f t="shared" ca="1" si="228"/>
        <v>0</v>
      </c>
      <c r="CV566" s="56">
        <f t="shared" ca="1" si="229"/>
        <v>0</v>
      </c>
      <c r="CW566" s="56">
        <f t="shared" ca="1" si="230"/>
        <v>0</v>
      </c>
      <c r="CX566" s="56">
        <f t="shared" ca="1" si="231"/>
        <v>0</v>
      </c>
      <c r="CY566" s="56">
        <f t="shared" ca="1" si="232"/>
        <v>0</v>
      </c>
      <c r="CZ566" s="56">
        <f t="shared" ca="1" si="233"/>
        <v>0</v>
      </c>
      <c r="DA566" s="56">
        <f t="shared" ca="1" si="234"/>
        <v>0</v>
      </c>
      <c r="DB566" s="56">
        <f t="shared" ca="1" si="235"/>
        <v>0</v>
      </c>
      <c r="DC566" s="56">
        <f t="shared" ca="1" si="236"/>
        <v>0</v>
      </c>
      <c r="DD566" s="56">
        <f t="shared" ca="1" si="237"/>
        <v>0</v>
      </c>
      <c r="DE566" s="56">
        <f t="shared" ca="1" si="238"/>
        <v>0</v>
      </c>
      <c r="DF566" s="56">
        <f t="shared" ca="1" si="239"/>
        <v>0</v>
      </c>
      <c r="DG566" s="56">
        <f t="shared" ca="1" si="240"/>
        <v>0</v>
      </c>
      <c r="DH566" s="56">
        <f t="shared" ca="1" si="241"/>
        <v>0</v>
      </c>
      <c r="DI566" s="56">
        <f t="shared" ca="1" si="242"/>
        <v>0</v>
      </c>
      <c r="DJ566" s="56">
        <f t="shared" ca="1" si="243"/>
        <v>0</v>
      </c>
      <c r="DK566" s="56">
        <f t="shared" ca="1" si="244"/>
        <v>0</v>
      </c>
      <c r="DL566" s="56">
        <f t="shared" ca="1" si="245"/>
        <v>0</v>
      </c>
      <c r="DM566" s="56">
        <f t="shared" ca="1" si="246"/>
        <v>0</v>
      </c>
      <c r="DN566" s="56">
        <f t="shared" ca="1" si="247"/>
        <v>0</v>
      </c>
      <c r="DO566" s="56">
        <f t="shared" ca="1" si="248"/>
        <v>0</v>
      </c>
      <c r="DP566" s="56">
        <f t="shared" ca="1" si="249"/>
        <v>0</v>
      </c>
      <c r="DQ566" s="56">
        <f t="shared" ca="1" si="250"/>
        <v>0</v>
      </c>
      <c r="DR566" s="56">
        <f t="shared" ca="1" si="251"/>
        <v>0</v>
      </c>
      <c r="DS566" s="56">
        <f t="shared" ca="1" si="252"/>
        <v>0</v>
      </c>
      <c r="DT566" s="56">
        <f t="shared" ca="1" si="253"/>
        <v>0</v>
      </c>
      <c r="DU566" s="56">
        <f t="shared" ca="1" si="254"/>
        <v>0</v>
      </c>
      <c r="DV566" s="56">
        <f t="shared" ca="1" si="255"/>
        <v>0</v>
      </c>
      <c r="DW566" s="56">
        <f t="shared" ca="1" si="256"/>
        <v>0</v>
      </c>
      <c r="DX566" s="56">
        <f t="shared" ca="1" si="257"/>
        <v>0</v>
      </c>
      <c r="DY566" s="56">
        <f t="shared" ca="1" si="258"/>
        <v>0</v>
      </c>
      <c r="DZ566" s="56">
        <f t="shared" ca="1" si="259"/>
        <v>0</v>
      </c>
    </row>
    <row r="567" spans="28:130">
      <c r="AB567" s="56">
        <f t="shared" ca="1" si="159"/>
        <v>0</v>
      </c>
      <c r="AC567" s="56">
        <f t="shared" ca="1" si="160"/>
        <v>0</v>
      </c>
      <c r="AD567" s="56">
        <f t="shared" ca="1" si="161"/>
        <v>0</v>
      </c>
      <c r="AE567" s="56">
        <f t="shared" ca="1" si="162"/>
        <v>0</v>
      </c>
      <c r="AF567" s="56">
        <f t="shared" ca="1" si="163"/>
        <v>0</v>
      </c>
      <c r="AG567" s="56">
        <f t="shared" ca="1" si="164"/>
        <v>0</v>
      </c>
      <c r="AH567" s="56">
        <f t="shared" ca="1" si="165"/>
        <v>0</v>
      </c>
      <c r="AI567" s="56">
        <f t="shared" ca="1" si="166"/>
        <v>0</v>
      </c>
      <c r="AJ567" s="56">
        <f t="shared" ca="1" si="167"/>
        <v>0</v>
      </c>
      <c r="AK567" s="56">
        <f t="shared" ca="1" si="168"/>
        <v>0</v>
      </c>
      <c r="AL567" s="56">
        <f t="shared" ca="1" si="169"/>
        <v>0</v>
      </c>
      <c r="AM567" s="56">
        <f t="shared" ca="1" si="170"/>
        <v>0</v>
      </c>
      <c r="AN567" s="56">
        <f t="shared" ca="1" si="171"/>
        <v>0</v>
      </c>
      <c r="AO567" s="56">
        <f t="shared" ca="1" si="172"/>
        <v>0</v>
      </c>
      <c r="AP567" s="56">
        <f t="shared" ca="1" si="173"/>
        <v>0</v>
      </c>
      <c r="AQ567" s="56">
        <f t="shared" ca="1" si="174"/>
        <v>0</v>
      </c>
      <c r="AR567" s="56">
        <f t="shared" ca="1" si="175"/>
        <v>0</v>
      </c>
      <c r="AS567" s="56">
        <f t="shared" ca="1" si="176"/>
        <v>0</v>
      </c>
      <c r="AT567" s="56">
        <f t="shared" ca="1" si="177"/>
        <v>0</v>
      </c>
      <c r="AU567" s="56">
        <f t="shared" ca="1" si="178"/>
        <v>0</v>
      </c>
      <c r="AV567" s="56">
        <f t="shared" ca="1" si="179"/>
        <v>0</v>
      </c>
      <c r="AW567" s="56">
        <f t="shared" ca="1" si="180"/>
        <v>0</v>
      </c>
      <c r="AX567" s="56">
        <f t="shared" ca="1" si="181"/>
        <v>0</v>
      </c>
      <c r="AY567" s="56">
        <f t="shared" ca="1" si="182"/>
        <v>0</v>
      </c>
      <c r="AZ567" s="56">
        <f t="shared" ca="1" si="183"/>
        <v>0</v>
      </c>
      <c r="BA567" s="56">
        <f t="shared" ca="1" si="184"/>
        <v>0</v>
      </c>
      <c r="BB567" s="56">
        <f t="shared" ca="1" si="185"/>
        <v>0</v>
      </c>
      <c r="BC567" s="56">
        <f t="shared" ca="1" si="186"/>
        <v>0</v>
      </c>
      <c r="BD567" s="56">
        <f t="shared" ca="1" si="187"/>
        <v>0</v>
      </c>
      <c r="BE567" s="56">
        <f t="shared" ca="1" si="188"/>
        <v>0</v>
      </c>
      <c r="BF567" s="56">
        <f t="shared" ca="1" si="189"/>
        <v>0</v>
      </c>
      <c r="BG567" s="56">
        <f t="shared" ca="1" si="190"/>
        <v>0</v>
      </c>
      <c r="BH567" s="56">
        <f t="shared" ca="1" si="191"/>
        <v>0</v>
      </c>
      <c r="BI567" s="56">
        <f t="shared" ca="1" si="192"/>
        <v>0</v>
      </c>
      <c r="BJ567" s="56">
        <f t="shared" ca="1" si="193"/>
        <v>0</v>
      </c>
      <c r="BK567" s="56">
        <f t="shared" ca="1" si="194"/>
        <v>0</v>
      </c>
      <c r="BL567" s="56">
        <f t="shared" ca="1" si="195"/>
        <v>0</v>
      </c>
      <c r="BM567" s="56">
        <f t="shared" ca="1" si="196"/>
        <v>0</v>
      </c>
      <c r="BN567" s="56">
        <f t="shared" ca="1" si="197"/>
        <v>0</v>
      </c>
      <c r="BO567" s="56">
        <f t="shared" ca="1" si="198"/>
        <v>0</v>
      </c>
      <c r="BP567" s="56">
        <f t="shared" ca="1" si="199"/>
        <v>0</v>
      </c>
      <c r="BQ567" s="56">
        <f t="shared" ca="1" si="200"/>
        <v>0</v>
      </c>
      <c r="BR567" s="56">
        <f t="shared" ca="1" si="201"/>
        <v>0</v>
      </c>
      <c r="BS567" s="56">
        <f t="shared" ca="1" si="202"/>
        <v>0</v>
      </c>
      <c r="BT567" s="56">
        <f t="shared" ca="1" si="203"/>
        <v>0</v>
      </c>
      <c r="BU567" s="56">
        <f t="shared" ca="1" si="204"/>
        <v>0</v>
      </c>
      <c r="BV567" s="56">
        <f t="shared" ca="1" si="205"/>
        <v>0</v>
      </c>
      <c r="BW567" s="56">
        <f t="shared" ca="1" si="206"/>
        <v>0</v>
      </c>
      <c r="BX567" s="56">
        <f t="shared" ca="1" si="207"/>
        <v>0</v>
      </c>
      <c r="BY567" s="56">
        <f t="shared" ca="1" si="208"/>
        <v>0</v>
      </c>
      <c r="BZ567">
        <f t="shared" si="209"/>
        <v>0</v>
      </c>
      <c r="CA567">
        <f t="shared" si="209"/>
        <v>0</v>
      </c>
      <c r="CB567">
        <f t="shared" si="209"/>
        <v>0</v>
      </c>
      <c r="CC567" s="56">
        <f t="shared" ca="1" si="210"/>
        <v>0</v>
      </c>
      <c r="CD567" s="56">
        <f t="shared" ca="1" si="211"/>
        <v>0</v>
      </c>
      <c r="CE567" s="56">
        <f t="shared" ca="1" si="212"/>
        <v>0</v>
      </c>
      <c r="CF567" s="56">
        <f t="shared" ca="1" si="213"/>
        <v>0</v>
      </c>
      <c r="CG567" s="56">
        <f t="shared" ca="1" si="214"/>
        <v>0</v>
      </c>
      <c r="CH567" s="56">
        <f t="shared" ca="1" si="215"/>
        <v>0</v>
      </c>
      <c r="CI567" s="56">
        <f t="shared" ca="1" si="216"/>
        <v>0</v>
      </c>
      <c r="CJ567" s="56">
        <f t="shared" ca="1" si="217"/>
        <v>0</v>
      </c>
      <c r="CK567" s="56">
        <f t="shared" ca="1" si="218"/>
        <v>0</v>
      </c>
      <c r="CL567" s="56">
        <f t="shared" ca="1" si="219"/>
        <v>0</v>
      </c>
      <c r="CM567" s="56">
        <f t="shared" ca="1" si="220"/>
        <v>0</v>
      </c>
      <c r="CN567" s="56">
        <f t="shared" ca="1" si="221"/>
        <v>0</v>
      </c>
      <c r="CO567" s="56">
        <f t="shared" ca="1" si="222"/>
        <v>0</v>
      </c>
      <c r="CP567" s="56">
        <f t="shared" ca="1" si="223"/>
        <v>0</v>
      </c>
      <c r="CQ567" s="56">
        <f t="shared" ca="1" si="224"/>
        <v>0</v>
      </c>
      <c r="CR567" s="56">
        <f t="shared" ca="1" si="225"/>
        <v>0</v>
      </c>
      <c r="CS567" s="56">
        <f t="shared" ca="1" si="226"/>
        <v>0</v>
      </c>
      <c r="CT567" s="56">
        <f t="shared" ca="1" si="227"/>
        <v>0</v>
      </c>
      <c r="CU567" s="56">
        <f t="shared" ca="1" si="228"/>
        <v>0</v>
      </c>
      <c r="CV567" s="56">
        <f t="shared" ca="1" si="229"/>
        <v>0</v>
      </c>
      <c r="CW567" s="56">
        <f t="shared" ca="1" si="230"/>
        <v>0</v>
      </c>
      <c r="CX567" s="56">
        <f t="shared" ca="1" si="231"/>
        <v>0</v>
      </c>
      <c r="CY567" s="56">
        <f t="shared" ca="1" si="232"/>
        <v>0</v>
      </c>
      <c r="CZ567" s="56">
        <f t="shared" ca="1" si="233"/>
        <v>0</v>
      </c>
      <c r="DA567" s="56">
        <f t="shared" ca="1" si="234"/>
        <v>0</v>
      </c>
      <c r="DB567" s="56">
        <f t="shared" ca="1" si="235"/>
        <v>0</v>
      </c>
      <c r="DC567" s="56">
        <f t="shared" ca="1" si="236"/>
        <v>0</v>
      </c>
      <c r="DD567" s="56">
        <f t="shared" ca="1" si="237"/>
        <v>0</v>
      </c>
      <c r="DE567" s="56">
        <f t="shared" ca="1" si="238"/>
        <v>0</v>
      </c>
      <c r="DF567" s="56">
        <f t="shared" ca="1" si="239"/>
        <v>0</v>
      </c>
      <c r="DG567" s="56">
        <f t="shared" ca="1" si="240"/>
        <v>0</v>
      </c>
      <c r="DH567" s="56">
        <f t="shared" ca="1" si="241"/>
        <v>0</v>
      </c>
      <c r="DI567" s="56">
        <f t="shared" ca="1" si="242"/>
        <v>0</v>
      </c>
      <c r="DJ567" s="56">
        <f t="shared" ca="1" si="243"/>
        <v>0</v>
      </c>
      <c r="DK567" s="56">
        <f t="shared" ca="1" si="244"/>
        <v>0</v>
      </c>
      <c r="DL567" s="56">
        <f t="shared" ca="1" si="245"/>
        <v>0</v>
      </c>
      <c r="DM567" s="56">
        <f t="shared" ca="1" si="246"/>
        <v>0</v>
      </c>
      <c r="DN567" s="56">
        <f t="shared" ca="1" si="247"/>
        <v>0</v>
      </c>
      <c r="DO567" s="56">
        <f t="shared" ca="1" si="248"/>
        <v>0</v>
      </c>
      <c r="DP567" s="56">
        <f t="shared" ca="1" si="249"/>
        <v>0</v>
      </c>
      <c r="DQ567" s="56">
        <f t="shared" ca="1" si="250"/>
        <v>0</v>
      </c>
      <c r="DR567" s="56">
        <f t="shared" ca="1" si="251"/>
        <v>0</v>
      </c>
      <c r="DS567" s="56">
        <f t="shared" ca="1" si="252"/>
        <v>0</v>
      </c>
      <c r="DT567" s="56">
        <f t="shared" ca="1" si="253"/>
        <v>0</v>
      </c>
      <c r="DU567" s="56">
        <f t="shared" ca="1" si="254"/>
        <v>0</v>
      </c>
      <c r="DV567" s="56">
        <f t="shared" ca="1" si="255"/>
        <v>0</v>
      </c>
      <c r="DW567" s="56">
        <f t="shared" ca="1" si="256"/>
        <v>0</v>
      </c>
      <c r="DX567" s="56">
        <f t="shared" ca="1" si="257"/>
        <v>0</v>
      </c>
      <c r="DY567" s="56">
        <f t="shared" ca="1" si="258"/>
        <v>0</v>
      </c>
      <c r="DZ567" s="56">
        <f t="shared" ca="1" si="259"/>
        <v>0</v>
      </c>
    </row>
    <row r="568" spans="28:130">
      <c r="AB568" s="56">
        <f t="shared" ca="1" si="159"/>
        <v>0</v>
      </c>
      <c r="AC568" s="56">
        <f t="shared" ca="1" si="160"/>
        <v>0</v>
      </c>
      <c r="AD568" s="56">
        <f t="shared" ca="1" si="161"/>
        <v>0</v>
      </c>
      <c r="AE568" s="56">
        <f t="shared" ca="1" si="162"/>
        <v>0</v>
      </c>
      <c r="AF568" s="56">
        <f t="shared" ca="1" si="163"/>
        <v>0</v>
      </c>
      <c r="AG568" s="56">
        <f t="shared" ca="1" si="164"/>
        <v>0</v>
      </c>
      <c r="AH568" s="56">
        <f t="shared" ca="1" si="165"/>
        <v>0</v>
      </c>
      <c r="AI568" s="56">
        <f t="shared" ca="1" si="166"/>
        <v>0</v>
      </c>
      <c r="AJ568" s="56">
        <f t="shared" ca="1" si="167"/>
        <v>0</v>
      </c>
      <c r="AK568" s="56">
        <f t="shared" ca="1" si="168"/>
        <v>0</v>
      </c>
      <c r="AL568" s="56">
        <f t="shared" ca="1" si="169"/>
        <v>0</v>
      </c>
      <c r="AM568" s="56">
        <f t="shared" ca="1" si="170"/>
        <v>0</v>
      </c>
      <c r="AN568" s="56">
        <f t="shared" ca="1" si="171"/>
        <v>0</v>
      </c>
      <c r="AO568" s="56">
        <f t="shared" ca="1" si="172"/>
        <v>0</v>
      </c>
      <c r="AP568" s="56">
        <f t="shared" ca="1" si="173"/>
        <v>0</v>
      </c>
      <c r="AQ568" s="56">
        <f t="shared" ca="1" si="174"/>
        <v>0</v>
      </c>
      <c r="AR568" s="56">
        <f t="shared" ca="1" si="175"/>
        <v>0</v>
      </c>
      <c r="AS568" s="56">
        <f t="shared" ca="1" si="176"/>
        <v>0</v>
      </c>
      <c r="AT568" s="56">
        <f t="shared" ca="1" si="177"/>
        <v>0</v>
      </c>
      <c r="AU568" s="56">
        <f t="shared" ca="1" si="178"/>
        <v>0</v>
      </c>
      <c r="AV568" s="56">
        <f t="shared" ca="1" si="179"/>
        <v>0</v>
      </c>
      <c r="AW568" s="56">
        <f t="shared" ca="1" si="180"/>
        <v>0</v>
      </c>
      <c r="AX568" s="56">
        <f t="shared" ca="1" si="181"/>
        <v>0</v>
      </c>
      <c r="AY568" s="56">
        <f t="shared" ca="1" si="182"/>
        <v>0</v>
      </c>
      <c r="AZ568" s="56">
        <f t="shared" ca="1" si="183"/>
        <v>0</v>
      </c>
      <c r="BA568" s="56">
        <f t="shared" ca="1" si="184"/>
        <v>0</v>
      </c>
      <c r="BB568" s="56">
        <f t="shared" ca="1" si="185"/>
        <v>0</v>
      </c>
      <c r="BC568" s="56">
        <f t="shared" ca="1" si="186"/>
        <v>0</v>
      </c>
      <c r="BD568" s="56">
        <f t="shared" ca="1" si="187"/>
        <v>0</v>
      </c>
      <c r="BE568" s="56">
        <f t="shared" ca="1" si="188"/>
        <v>0</v>
      </c>
      <c r="BF568" s="56">
        <f t="shared" ca="1" si="189"/>
        <v>0</v>
      </c>
      <c r="BG568" s="56">
        <f t="shared" ca="1" si="190"/>
        <v>0</v>
      </c>
      <c r="BH568" s="56">
        <f t="shared" ca="1" si="191"/>
        <v>0</v>
      </c>
      <c r="BI568" s="56">
        <f t="shared" ca="1" si="192"/>
        <v>0</v>
      </c>
      <c r="BJ568" s="56">
        <f t="shared" ca="1" si="193"/>
        <v>0</v>
      </c>
      <c r="BK568" s="56">
        <f t="shared" ca="1" si="194"/>
        <v>0</v>
      </c>
      <c r="BL568" s="56">
        <f t="shared" ca="1" si="195"/>
        <v>0</v>
      </c>
      <c r="BM568" s="56">
        <f t="shared" ca="1" si="196"/>
        <v>0</v>
      </c>
      <c r="BN568" s="56">
        <f t="shared" ca="1" si="197"/>
        <v>0</v>
      </c>
      <c r="BO568" s="56">
        <f t="shared" ca="1" si="198"/>
        <v>0</v>
      </c>
      <c r="BP568" s="56">
        <f t="shared" ca="1" si="199"/>
        <v>0</v>
      </c>
      <c r="BQ568" s="56">
        <f t="shared" ca="1" si="200"/>
        <v>0</v>
      </c>
      <c r="BR568" s="56">
        <f t="shared" ca="1" si="201"/>
        <v>0</v>
      </c>
      <c r="BS568" s="56">
        <f t="shared" ca="1" si="202"/>
        <v>0</v>
      </c>
      <c r="BT568" s="56">
        <f t="shared" ca="1" si="203"/>
        <v>0</v>
      </c>
      <c r="BU568" s="56">
        <f t="shared" ca="1" si="204"/>
        <v>0</v>
      </c>
      <c r="BV568" s="56">
        <f t="shared" ca="1" si="205"/>
        <v>0</v>
      </c>
      <c r="BW568" s="56">
        <f t="shared" ca="1" si="206"/>
        <v>0</v>
      </c>
      <c r="BX568" s="56">
        <f t="shared" ca="1" si="207"/>
        <v>0</v>
      </c>
      <c r="BY568" s="56">
        <f t="shared" ca="1" si="208"/>
        <v>0</v>
      </c>
      <c r="BZ568">
        <f t="shared" si="209"/>
        <v>0</v>
      </c>
      <c r="CA568">
        <f t="shared" si="209"/>
        <v>0</v>
      </c>
      <c r="CB568">
        <f t="shared" si="209"/>
        <v>0</v>
      </c>
      <c r="CC568" s="56">
        <f t="shared" ca="1" si="210"/>
        <v>0</v>
      </c>
      <c r="CD568" s="56">
        <f t="shared" ca="1" si="211"/>
        <v>0</v>
      </c>
      <c r="CE568" s="56">
        <f t="shared" ca="1" si="212"/>
        <v>0</v>
      </c>
      <c r="CF568" s="56">
        <f t="shared" ca="1" si="213"/>
        <v>0</v>
      </c>
      <c r="CG568" s="56">
        <f t="shared" ca="1" si="214"/>
        <v>0</v>
      </c>
      <c r="CH568" s="56">
        <f t="shared" ca="1" si="215"/>
        <v>0</v>
      </c>
      <c r="CI568" s="56">
        <f t="shared" ca="1" si="216"/>
        <v>0</v>
      </c>
      <c r="CJ568" s="56">
        <f t="shared" ca="1" si="217"/>
        <v>0</v>
      </c>
      <c r="CK568" s="56">
        <f t="shared" ca="1" si="218"/>
        <v>0</v>
      </c>
      <c r="CL568" s="56">
        <f t="shared" ca="1" si="219"/>
        <v>0</v>
      </c>
      <c r="CM568" s="56">
        <f t="shared" ca="1" si="220"/>
        <v>0</v>
      </c>
      <c r="CN568" s="56">
        <f t="shared" ca="1" si="221"/>
        <v>0</v>
      </c>
      <c r="CO568" s="56">
        <f t="shared" ca="1" si="222"/>
        <v>0</v>
      </c>
      <c r="CP568" s="56">
        <f t="shared" ca="1" si="223"/>
        <v>0</v>
      </c>
      <c r="CQ568" s="56">
        <f t="shared" ca="1" si="224"/>
        <v>0</v>
      </c>
      <c r="CR568" s="56">
        <f t="shared" ca="1" si="225"/>
        <v>0</v>
      </c>
      <c r="CS568" s="56">
        <f t="shared" ca="1" si="226"/>
        <v>0</v>
      </c>
      <c r="CT568" s="56">
        <f t="shared" ca="1" si="227"/>
        <v>0</v>
      </c>
      <c r="CU568" s="56">
        <f t="shared" ca="1" si="228"/>
        <v>0</v>
      </c>
      <c r="CV568" s="56">
        <f t="shared" ca="1" si="229"/>
        <v>0</v>
      </c>
      <c r="CW568" s="56">
        <f t="shared" ca="1" si="230"/>
        <v>0</v>
      </c>
      <c r="CX568" s="56">
        <f t="shared" ca="1" si="231"/>
        <v>0</v>
      </c>
      <c r="CY568" s="56">
        <f t="shared" ca="1" si="232"/>
        <v>0</v>
      </c>
      <c r="CZ568" s="56">
        <f t="shared" ca="1" si="233"/>
        <v>0</v>
      </c>
      <c r="DA568" s="56">
        <f t="shared" ca="1" si="234"/>
        <v>0</v>
      </c>
      <c r="DB568" s="56">
        <f t="shared" ca="1" si="235"/>
        <v>0</v>
      </c>
      <c r="DC568" s="56">
        <f t="shared" ca="1" si="236"/>
        <v>0</v>
      </c>
      <c r="DD568" s="56">
        <f t="shared" ca="1" si="237"/>
        <v>0</v>
      </c>
      <c r="DE568" s="56">
        <f t="shared" ca="1" si="238"/>
        <v>0</v>
      </c>
      <c r="DF568" s="56">
        <f t="shared" ca="1" si="239"/>
        <v>0</v>
      </c>
      <c r="DG568" s="56">
        <f t="shared" ca="1" si="240"/>
        <v>0</v>
      </c>
      <c r="DH568" s="56">
        <f t="shared" ca="1" si="241"/>
        <v>0</v>
      </c>
      <c r="DI568" s="56">
        <f t="shared" ca="1" si="242"/>
        <v>0</v>
      </c>
      <c r="DJ568" s="56">
        <f t="shared" ca="1" si="243"/>
        <v>0</v>
      </c>
      <c r="DK568" s="56">
        <f t="shared" ca="1" si="244"/>
        <v>0</v>
      </c>
      <c r="DL568" s="56">
        <f t="shared" ca="1" si="245"/>
        <v>0</v>
      </c>
      <c r="DM568" s="56">
        <f t="shared" ca="1" si="246"/>
        <v>0</v>
      </c>
      <c r="DN568" s="56">
        <f t="shared" ca="1" si="247"/>
        <v>0</v>
      </c>
      <c r="DO568" s="56">
        <f t="shared" ca="1" si="248"/>
        <v>0</v>
      </c>
      <c r="DP568" s="56">
        <f t="shared" ca="1" si="249"/>
        <v>0</v>
      </c>
      <c r="DQ568" s="56">
        <f t="shared" ca="1" si="250"/>
        <v>0</v>
      </c>
      <c r="DR568" s="56">
        <f t="shared" ca="1" si="251"/>
        <v>0</v>
      </c>
      <c r="DS568" s="56">
        <f t="shared" ca="1" si="252"/>
        <v>0</v>
      </c>
      <c r="DT568" s="56">
        <f t="shared" ca="1" si="253"/>
        <v>0</v>
      </c>
      <c r="DU568" s="56">
        <f t="shared" ca="1" si="254"/>
        <v>0</v>
      </c>
      <c r="DV568" s="56">
        <f t="shared" ca="1" si="255"/>
        <v>0</v>
      </c>
      <c r="DW568" s="56">
        <f t="shared" ca="1" si="256"/>
        <v>0</v>
      </c>
      <c r="DX568" s="56">
        <f t="shared" ca="1" si="257"/>
        <v>0</v>
      </c>
      <c r="DY568" s="56">
        <f t="shared" ca="1" si="258"/>
        <v>0</v>
      </c>
      <c r="DZ568" s="56">
        <f t="shared" ca="1" si="259"/>
        <v>0</v>
      </c>
    </row>
    <row r="569" spans="28:130">
      <c r="AB569" s="56">
        <f t="shared" ca="1" si="159"/>
        <v>0</v>
      </c>
      <c r="AC569" s="56">
        <f t="shared" ca="1" si="160"/>
        <v>0</v>
      </c>
      <c r="AD569" s="56">
        <f t="shared" ca="1" si="161"/>
        <v>0</v>
      </c>
      <c r="AE569" s="56">
        <f t="shared" ca="1" si="162"/>
        <v>0</v>
      </c>
      <c r="AF569" s="56">
        <f t="shared" ca="1" si="163"/>
        <v>0</v>
      </c>
      <c r="AG569" s="56">
        <f t="shared" ca="1" si="164"/>
        <v>0</v>
      </c>
      <c r="AH569" s="56">
        <f t="shared" ca="1" si="165"/>
        <v>0</v>
      </c>
      <c r="AI569" s="56">
        <f t="shared" ca="1" si="166"/>
        <v>0</v>
      </c>
      <c r="AJ569" s="56">
        <f t="shared" ca="1" si="167"/>
        <v>0</v>
      </c>
      <c r="AK569" s="56">
        <f t="shared" ca="1" si="168"/>
        <v>0</v>
      </c>
      <c r="AL569" s="56">
        <f t="shared" ca="1" si="169"/>
        <v>0</v>
      </c>
      <c r="AM569" s="56">
        <f t="shared" ca="1" si="170"/>
        <v>0</v>
      </c>
      <c r="AN569" s="56">
        <f t="shared" ca="1" si="171"/>
        <v>0</v>
      </c>
      <c r="AO569" s="56">
        <f t="shared" ca="1" si="172"/>
        <v>0</v>
      </c>
      <c r="AP569" s="56">
        <f t="shared" ca="1" si="173"/>
        <v>0</v>
      </c>
      <c r="AQ569" s="56">
        <f t="shared" ca="1" si="174"/>
        <v>0</v>
      </c>
      <c r="AR569" s="56">
        <f t="shared" ca="1" si="175"/>
        <v>0</v>
      </c>
      <c r="AS569" s="56">
        <f t="shared" ca="1" si="176"/>
        <v>0</v>
      </c>
      <c r="AT569" s="56">
        <f t="shared" ca="1" si="177"/>
        <v>0</v>
      </c>
      <c r="AU569" s="56">
        <f t="shared" ca="1" si="178"/>
        <v>0</v>
      </c>
      <c r="AV569" s="56">
        <f t="shared" ca="1" si="179"/>
        <v>0</v>
      </c>
      <c r="AW569" s="56">
        <f t="shared" ca="1" si="180"/>
        <v>0</v>
      </c>
      <c r="AX569" s="56">
        <f t="shared" ca="1" si="181"/>
        <v>0</v>
      </c>
      <c r="AY569" s="56">
        <f t="shared" ca="1" si="182"/>
        <v>0</v>
      </c>
      <c r="AZ569" s="56">
        <f t="shared" ca="1" si="183"/>
        <v>0</v>
      </c>
      <c r="BA569" s="56">
        <f t="shared" ca="1" si="184"/>
        <v>0</v>
      </c>
      <c r="BB569" s="56">
        <f t="shared" ca="1" si="185"/>
        <v>0</v>
      </c>
      <c r="BC569" s="56">
        <f t="shared" ca="1" si="186"/>
        <v>0</v>
      </c>
      <c r="BD569" s="56">
        <f t="shared" ca="1" si="187"/>
        <v>0</v>
      </c>
      <c r="BE569" s="56">
        <f t="shared" ca="1" si="188"/>
        <v>0</v>
      </c>
      <c r="BF569" s="56">
        <f t="shared" ca="1" si="189"/>
        <v>0</v>
      </c>
      <c r="BG569" s="56">
        <f t="shared" ca="1" si="190"/>
        <v>0</v>
      </c>
      <c r="BH569" s="56">
        <f t="shared" ca="1" si="191"/>
        <v>0</v>
      </c>
      <c r="BI569" s="56">
        <f t="shared" ca="1" si="192"/>
        <v>0</v>
      </c>
      <c r="BJ569" s="56">
        <f t="shared" ca="1" si="193"/>
        <v>0</v>
      </c>
      <c r="BK569" s="56">
        <f t="shared" ca="1" si="194"/>
        <v>0</v>
      </c>
      <c r="BL569" s="56">
        <f t="shared" ca="1" si="195"/>
        <v>0</v>
      </c>
      <c r="BM569" s="56">
        <f t="shared" ca="1" si="196"/>
        <v>0</v>
      </c>
      <c r="BN569" s="56">
        <f t="shared" ca="1" si="197"/>
        <v>0</v>
      </c>
      <c r="BO569" s="56">
        <f t="shared" ca="1" si="198"/>
        <v>0</v>
      </c>
      <c r="BP569" s="56">
        <f t="shared" ca="1" si="199"/>
        <v>0</v>
      </c>
      <c r="BQ569" s="56">
        <f t="shared" ca="1" si="200"/>
        <v>0</v>
      </c>
      <c r="BR569" s="56">
        <f t="shared" ca="1" si="201"/>
        <v>0</v>
      </c>
      <c r="BS569" s="56">
        <f t="shared" ca="1" si="202"/>
        <v>0</v>
      </c>
      <c r="BT569" s="56">
        <f t="shared" ca="1" si="203"/>
        <v>0</v>
      </c>
      <c r="BU569" s="56">
        <f t="shared" ca="1" si="204"/>
        <v>0</v>
      </c>
      <c r="BV569" s="56">
        <f t="shared" ca="1" si="205"/>
        <v>0</v>
      </c>
      <c r="BW569" s="56">
        <f t="shared" ca="1" si="206"/>
        <v>0</v>
      </c>
      <c r="BX569" s="56">
        <f t="shared" ca="1" si="207"/>
        <v>0</v>
      </c>
      <c r="BY569" s="56">
        <f t="shared" ca="1" si="208"/>
        <v>0</v>
      </c>
      <c r="BZ569">
        <f t="shared" si="209"/>
        <v>0</v>
      </c>
      <c r="CA569">
        <f t="shared" si="209"/>
        <v>0</v>
      </c>
      <c r="CB569">
        <f t="shared" si="209"/>
        <v>0</v>
      </c>
      <c r="CC569" s="56">
        <f t="shared" ca="1" si="210"/>
        <v>0</v>
      </c>
      <c r="CD569" s="56">
        <f t="shared" ca="1" si="211"/>
        <v>0</v>
      </c>
      <c r="CE569" s="56">
        <f t="shared" ca="1" si="212"/>
        <v>0</v>
      </c>
      <c r="CF569" s="56">
        <f t="shared" ca="1" si="213"/>
        <v>0</v>
      </c>
      <c r="CG569" s="56">
        <f t="shared" ca="1" si="214"/>
        <v>0</v>
      </c>
      <c r="CH569" s="56">
        <f t="shared" ca="1" si="215"/>
        <v>0</v>
      </c>
      <c r="CI569" s="56">
        <f t="shared" ca="1" si="216"/>
        <v>0</v>
      </c>
      <c r="CJ569" s="56">
        <f t="shared" ca="1" si="217"/>
        <v>0</v>
      </c>
      <c r="CK569" s="56">
        <f t="shared" ca="1" si="218"/>
        <v>0</v>
      </c>
      <c r="CL569" s="56">
        <f t="shared" ca="1" si="219"/>
        <v>0</v>
      </c>
      <c r="CM569" s="56">
        <f t="shared" ca="1" si="220"/>
        <v>0</v>
      </c>
      <c r="CN569" s="56">
        <f t="shared" ca="1" si="221"/>
        <v>0</v>
      </c>
      <c r="CO569" s="56">
        <f t="shared" ca="1" si="222"/>
        <v>0</v>
      </c>
      <c r="CP569" s="56">
        <f t="shared" ca="1" si="223"/>
        <v>0</v>
      </c>
      <c r="CQ569" s="56">
        <f t="shared" ca="1" si="224"/>
        <v>0</v>
      </c>
      <c r="CR569" s="56">
        <f t="shared" ca="1" si="225"/>
        <v>0</v>
      </c>
      <c r="CS569" s="56">
        <f t="shared" ca="1" si="226"/>
        <v>0</v>
      </c>
      <c r="CT569" s="56">
        <f t="shared" ca="1" si="227"/>
        <v>0</v>
      </c>
      <c r="CU569" s="56">
        <f t="shared" ca="1" si="228"/>
        <v>0</v>
      </c>
      <c r="CV569" s="56">
        <f t="shared" ca="1" si="229"/>
        <v>0</v>
      </c>
      <c r="CW569" s="56">
        <f t="shared" ca="1" si="230"/>
        <v>0</v>
      </c>
      <c r="CX569" s="56">
        <f t="shared" ca="1" si="231"/>
        <v>0</v>
      </c>
      <c r="CY569" s="56">
        <f t="shared" ca="1" si="232"/>
        <v>0</v>
      </c>
      <c r="CZ569" s="56">
        <f t="shared" ca="1" si="233"/>
        <v>0</v>
      </c>
      <c r="DA569" s="56">
        <f t="shared" ca="1" si="234"/>
        <v>0</v>
      </c>
      <c r="DB569" s="56">
        <f t="shared" ca="1" si="235"/>
        <v>0</v>
      </c>
      <c r="DC569" s="56">
        <f t="shared" ca="1" si="236"/>
        <v>0</v>
      </c>
      <c r="DD569" s="56">
        <f t="shared" ca="1" si="237"/>
        <v>0</v>
      </c>
      <c r="DE569" s="56">
        <f t="shared" ca="1" si="238"/>
        <v>0</v>
      </c>
      <c r="DF569" s="56">
        <f t="shared" ca="1" si="239"/>
        <v>0</v>
      </c>
      <c r="DG569" s="56">
        <f t="shared" ca="1" si="240"/>
        <v>0</v>
      </c>
      <c r="DH569" s="56">
        <f t="shared" ca="1" si="241"/>
        <v>0</v>
      </c>
      <c r="DI569" s="56">
        <f t="shared" ca="1" si="242"/>
        <v>0</v>
      </c>
      <c r="DJ569" s="56">
        <f t="shared" ca="1" si="243"/>
        <v>0</v>
      </c>
      <c r="DK569" s="56">
        <f t="shared" ca="1" si="244"/>
        <v>0</v>
      </c>
      <c r="DL569" s="56">
        <f t="shared" ca="1" si="245"/>
        <v>0</v>
      </c>
      <c r="DM569" s="56">
        <f t="shared" ca="1" si="246"/>
        <v>0</v>
      </c>
      <c r="DN569" s="56">
        <f t="shared" ca="1" si="247"/>
        <v>0</v>
      </c>
      <c r="DO569" s="56">
        <f t="shared" ca="1" si="248"/>
        <v>0</v>
      </c>
      <c r="DP569" s="56">
        <f t="shared" ca="1" si="249"/>
        <v>0</v>
      </c>
      <c r="DQ569" s="56">
        <f t="shared" ca="1" si="250"/>
        <v>0</v>
      </c>
      <c r="DR569" s="56">
        <f t="shared" ca="1" si="251"/>
        <v>0</v>
      </c>
      <c r="DS569" s="56">
        <f t="shared" ca="1" si="252"/>
        <v>0</v>
      </c>
      <c r="DT569" s="56">
        <f t="shared" ca="1" si="253"/>
        <v>0</v>
      </c>
      <c r="DU569" s="56">
        <f t="shared" ca="1" si="254"/>
        <v>0</v>
      </c>
      <c r="DV569" s="56">
        <f t="shared" ca="1" si="255"/>
        <v>0</v>
      </c>
      <c r="DW569" s="56">
        <f t="shared" ca="1" si="256"/>
        <v>0</v>
      </c>
      <c r="DX569" s="56">
        <f t="shared" ca="1" si="257"/>
        <v>0</v>
      </c>
      <c r="DY569" s="56">
        <f t="shared" ca="1" si="258"/>
        <v>0</v>
      </c>
      <c r="DZ569" s="56">
        <f t="shared" ca="1" si="259"/>
        <v>0</v>
      </c>
    </row>
    <row r="570" spans="28:130">
      <c r="AB570" s="56">
        <f t="shared" ca="1" si="159"/>
        <v>0</v>
      </c>
      <c r="AC570" s="56">
        <f t="shared" ca="1" si="160"/>
        <v>0</v>
      </c>
      <c r="AD570" s="56">
        <f t="shared" ca="1" si="161"/>
        <v>0</v>
      </c>
      <c r="AE570" s="56">
        <f t="shared" ca="1" si="162"/>
        <v>0</v>
      </c>
      <c r="AF570" s="56">
        <f t="shared" ca="1" si="163"/>
        <v>0</v>
      </c>
      <c r="AG570" s="56">
        <f t="shared" ca="1" si="164"/>
        <v>0</v>
      </c>
      <c r="AH570" s="56">
        <f t="shared" ca="1" si="165"/>
        <v>0</v>
      </c>
      <c r="AI570" s="56">
        <f t="shared" ca="1" si="166"/>
        <v>0</v>
      </c>
      <c r="AJ570" s="56">
        <f t="shared" ca="1" si="167"/>
        <v>0</v>
      </c>
      <c r="AK570" s="56">
        <f t="shared" ca="1" si="168"/>
        <v>0</v>
      </c>
      <c r="AL570" s="56">
        <f t="shared" ca="1" si="169"/>
        <v>0</v>
      </c>
      <c r="AM570" s="56">
        <f t="shared" ca="1" si="170"/>
        <v>0</v>
      </c>
      <c r="AN570" s="56">
        <f t="shared" ca="1" si="171"/>
        <v>0</v>
      </c>
      <c r="AO570" s="56">
        <f t="shared" ca="1" si="172"/>
        <v>0</v>
      </c>
      <c r="AP570" s="56">
        <f t="shared" ca="1" si="173"/>
        <v>0</v>
      </c>
      <c r="AQ570" s="56">
        <f t="shared" ca="1" si="174"/>
        <v>0</v>
      </c>
      <c r="AR570" s="56">
        <f t="shared" ca="1" si="175"/>
        <v>0</v>
      </c>
      <c r="AS570" s="56">
        <f t="shared" ca="1" si="176"/>
        <v>0</v>
      </c>
      <c r="AT570" s="56">
        <f t="shared" ca="1" si="177"/>
        <v>0</v>
      </c>
      <c r="AU570" s="56">
        <f t="shared" ca="1" si="178"/>
        <v>0</v>
      </c>
      <c r="AV570" s="56">
        <f t="shared" ca="1" si="179"/>
        <v>0</v>
      </c>
      <c r="AW570" s="56">
        <f t="shared" ca="1" si="180"/>
        <v>0</v>
      </c>
      <c r="AX570" s="56">
        <f t="shared" ca="1" si="181"/>
        <v>0</v>
      </c>
      <c r="AY570" s="56">
        <f t="shared" ca="1" si="182"/>
        <v>0</v>
      </c>
      <c r="AZ570" s="56">
        <f t="shared" ca="1" si="183"/>
        <v>0</v>
      </c>
      <c r="BA570" s="56">
        <f t="shared" ca="1" si="184"/>
        <v>0</v>
      </c>
      <c r="BB570" s="56">
        <f t="shared" ca="1" si="185"/>
        <v>0</v>
      </c>
      <c r="BC570" s="56">
        <f t="shared" ca="1" si="186"/>
        <v>0</v>
      </c>
      <c r="BD570" s="56">
        <f t="shared" ca="1" si="187"/>
        <v>0</v>
      </c>
      <c r="BE570" s="56">
        <f t="shared" ca="1" si="188"/>
        <v>0</v>
      </c>
      <c r="BF570" s="56">
        <f t="shared" ca="1" si="189"/>
        <v>0</v>
      </c>
      <c r="BG570" s="56">
        <f t="shared" ca="1" si="190"/>
        <v>0</v>
      </c>
      <c r="BH570" s="56">
        <f t="shared" ca="1" si="191"/>
        <v>0</v>
      </c>
      <c r="BI570" s="56">
        <f t="shared" ca="1" si="192"/>
        <v>0</v>
      </c>
      <c r="BJ570" s="56">
        <f t="shared" ca="1" si="193"/>
        <v>0</v>
      </c>
      <c r="BK570" s="56">
        <f t="shared" ca="1" si="194"/>
        <v>0</v>
      </c>
      <c r="BL570" s="56">
        <f t="shared" ca="1" si="195"/>
        <v>0</v>
      </c>
      <c r="BM570" s="56">
        <f t="shared" ca="1" si="196"/>
        <v>0</v>
      </c>
      <c r="BN570" s="56">
        <f t="shared" ca="1" si="197"/>
        <v>0</v>
      </c>
      <c r="BO570" s="56">
        <f t="shared" ca="1" si="198"/>
        <v>0</v>
      </c>
      <c r="BP570" s="56">
        <f t="shared" ca="1" si="199"/>
        <v>0</v>
      </c>
      <c r="BQ570" s="56">
        <f t="shared" ca="1" si="200"/>
        <v>0</v>
      </c>
      <c r="BR570" s="56">
        <f t="shared" ca="1" si="201"/>
        <v>0</v>
      </c>
      <c r="BS570" s="56">
        <f t="shared" ca="1" si="202"/>
        <v>0</v>
      </c>
      <c r="BT570" s="56">
        <f t="shared" ca="1" si="203"/>
        <v>0</v>
      </c>
      <c r="BU570" s="56">
        <f t="shared" ca="1" si="204"/>
        <v>0</v>
      </c>
      <c r="BV570" s="56">
        <f t="shared" ca="1" si="205"/>
        <v>0</v>
      </c>
      <c r="BW570" s="56">
        <f t="shared" ca="1" si="206"/>
        <v>0</v>
      </c>
      <c r="BX570" s="56">
        <f t="shared" ca="1" si="207"/>
        <v>0</v>
      </c>
      <c r="BY570" s="56">
        <f t="shared" ca="1" si="208"/>
        <v>0</v>
      </c>
      <c r="BZ570">
        <f t="shared" si="209"/>
        <v>0</v>
      </c>
      <c r="CA570">
        <f t="shared" si="209"/>
        <v>0</v>
      </c>
      <c r="CB570">
        <f t="shared" si="209"/>
        <v>0</v>
      </c>
      <c r="CC570" s="56">
        <f t="shared" ca="1" si="210"/>
        <v>0</v>
      </c>
      <c r="CD570" s="56">
        <f t="shared" ca="1" si="211"/>
        <v>0</v>
      </c>
      <c r="CE570" s="56">
        <f t="shared" ca="1" si="212"/>
        <v>0</v>
      </c>
      <c r="CF570" s="56">
        <f t="shared" ca="1" si="213"/>
        <v>0</v>
      </c>
      <c r="CG570" s="56">
        <f t="shared" ca="1" si="214"/>
        <v>0</v>
      </c>
      <c r="CH570" s="56">
        <f t="shared" ca="1" si="215"/>
        <v>0</v>
      </c>
      <c r="CI570" s="56">
        <f t="shared" ca="1" si="216"/>
        <v>0</v>
      </c>
      <c r="CJ570" s="56">
        <f t="shared" ca="1" si="217"/>
        <v>0</v>
      </c>
      <c r="CK570" s="56">
        <f t="shared" ca="1" si="218"/>
        <v>0</v>
      </c>
      <c r="CL570" s="56">
        <f t="shared" ca="1" si="219"/>
        <v>0</v>
      </c>
      <c r="CM570" s="56">
        <f t="shared" ca="1" si="220"/>
        <v>0</v>
      </c>
      <c r="CN570" s="56">
        <f t="shared" ca="1" si="221"/>
        <v>0</v>
      </c>
      <c r="CO570" s="56">
        <f t="shared" ca="1" si="222"/>
        <v>0</v>
      </c>
      <c r="CP570" s="56">
        <f t="shared" ca="1" si="223"/>
        <v>0</v>
      </c>
      <c r="CQ570" s="56">
        <f t="shared" ca="1" si="224"/>
        <v>0</v>
      </c>
      <c r="CR570" s="56">
        <f t="shared" ca="1" si="225"/>
        <v>0</v>
      </c>
      <c r="CS570" s="56">
        <f t="shared" ca="1" si="226"/>
        <v>0</v>
      </c>
      <c r="CT570" s="56">
        <f t="shared" ca="1" si="227"/>
        <v>0</v>
      </c>
      <c r="CU570" s="56">
        <f t="shared" ca="1" si="228"/>
        <v>0</v>
      </c>
      <c r="CV570" s="56">
        <f t="shared" ca="1" si="229"/>
        <v>0</v>
      </c>
      <c r="CW570" s="56">
        <f t="shared" ca="1" si="230"/>
        <v>0</v>
      </c>
      <c r="CX570" s="56">
        <f t="shared" ca="1" si="231"/>
        <v>0</v>
      </c>
      <c r="CY570" s="56">
        <f t="shared" ca="1" si="232"/>
        <v>0</v>
      </c>
      <c r="CZ570" s="56">
        <f t="shared" ca="1" si="233"/>
        <v>0</v>
      </c>
      <c r="DA570" s="56">
        <f t="shared" ca="1" si="234"/>
        <v>0</v>
      </c>
      <c r="DB570" s="56">
        <f t="shared" ca="1" si="235"/>
        <v>0</v>
      </c>
      <c r="DC570" s="56">
        <f t="shared" ca="1" si="236"/>
        <v>0</v>
      </c>
      <c r="DD570" s="56">
        <f t="shared" ca="1" si="237"/>
        <v>0</v>
      </c>
      <c r="DE570" s="56">
        <f t="shared" ca="1" si="238"/>
        <v>0</v>
      </c>
      <c r="DF570" s="56">
        <f t="shared" ca="1" si="239"/>
        <v>0</v>
      </c>
      <c r="DG570" s="56">
        <f t="shared" ca="1" si="240"/>
        <v>0</v>
      </c>
      <c r="DH570" s="56">
        <f t="shared" ca="1" si="241"/>
        <v>0</v>
      </c>
      <c r="DI570" s="56">
        <f t="shared" ca="1" si="242"/>
        <v>0</v>
      </c>
      <c r="DJ570" s="56">
        <f t="shared" ca="1" si="243"/>
        <v>0</v>
      </c>
      <c r="DK570" s="56">
        <f t="shared" ca="1" si="244"/>
        <v>0</v>
      </c>
      <c r="DL570" s="56">
        <f t="shared" ca="1" si="245"/>
        <v>0</v>
      </c>
      <c r="DM570" s="56">
        <f t="shared" ca="1" si="246"/>
        <v>0</v>
      </c>
      <c r="DN570" s="56">
        <f t="shared" ca="1" si="247"/>
        <v>0</v>
      </c>
      <c r="DO570" s="56">
        <f t="shared" ca="1" si="248"/>
        <v>0</v>
      </c>
      <c r="DP570" s="56">
        <f t="shared" ca="1" si="249"/>
        <v>0</v>
      </c>
      <c r="DQ570" s="56">
        <f t="shared" ca="1" si="250"/>
        <v>0</v>
      </c>
      <c r="DR570" s="56">
        <f t="shared" ca="1" si="251"/>
        <v>0</v>
      </c>
      <c r="DS570" s="56">
        <f t="shared" ca="1" si="252"/>
        <v>0</v>
      </c>
      <c r="DT570" s="56">
        <f t="shared" ca="1" si="253"/>
        <v>0</v>
      </c>
      <c r="DU570" s="56">
        <f t="shared" ca="1" si="254"/>
        <v>0</v>
      </c>
      <c r="DV570" s="56">
        <f t="shared" ca="1" si="255"/>
        <v>0</v>
      </c>
      <c r="DW570" s="56">
        <f t="shared" ca="1" si="256"/>
        <v>0</v>
      </c>
      <c r="DX570" s="56">
        <f t="shared" ca="1" si="257"/>
        <v>0</v>
      </c>
      <c r="DY570" s="56">
        <f t="shared" ca="1" si="258"/>
        <v>0</v>
      </c>
      <c r="DZ570" s="56">
        <f t="shared" ca="1" si="259"/>
        <v>0</v>
      </c>
    </row>
    <row r="571" spans="28:130">
      <c r="AB571" s="56">
        <f t="shared" ca="1" si="159"/>
        <v>0</v>
      </c>
      <c r="AC571" s="56">
        <f t="shared" ca="1" si="160"/>
        <v>0</v>
      </c>
      <c r="AD571" s="56">
        <f t="shared" ca="1" si="161"/>
        <v>0</v>
      </c>
      <c r="AE571" s="56">
        <f t="shared" ca="1" si="162"/>
        <v>0</v>
      </c>
      <c r="AF571" s="56">
        <f t="shared" ca="1" si="163"/>
        <v>0</v>
      </c>
      <c r="AG571" s="56">
        <f t="shared" ca="1" si="164"/>
        <v>0</v>
      </c>
      <c r="AH571" s="56">
        <f t="shared" ca="1" si="165"/>
        <v>0</v>
      </c>
      <c r="AI571" s="56">
        <f t="shared" ca="1" si="166"/>
        <v>0</v>
      </c>
      <c r="AJ571" s="56">
        <f t="shared" ca="1" si="167"/>
        <v>0</v>
      </c>
      <c r="AK571" s="56">
        <f t="shared" ca="1" si="168"/>
        <v>0</v>
      </c>
      <c r="AL571" s="56">
        <f t="shared" ca="1" si="169"/>
        <v>0</v>
      </c>
      <c r="AM571" s="56">
        <f t="shared" ca="1" si="170"/>
        <v>0</v>
      </c>
      <c r="AN571" s="56">
        <f t="shared" ca="1" si="171"/>
        <v>0</v>
      </c>
      <c r="AO571" s="56">
        <f t="shared" ca="1" si="172"/>
        <v>0</v>
      </c>
      <c r="AP571" s="56">
        <f t="shared" ca="1" si="173"/>
        <v>0</v>
      </c>
      <c r="AQ571" s="56">
        <f t="shared" ca="1" si="174"/>
        <v>0</v>
      </c>
      <c r="AR571" s="56">
        <f t="shared" ca="1" si="175"/>
        <v>0</v>
      </c>
      <c r="AS571" s="56">
        <f t="shared" ca="1" si="176"/>
        <v>0</v>
      </c>
      <c r="AT571" s="56">
        <f t="shared" ca="1" si="177"/>
        <v>0</v>
      </c>
      <c r="AU571" s="56">
        <f t="shared" ca="1" si="178"/>
        <v>0</v>
      </c>
      <c r="AV571" s="56">
        <f t="shared" ca="1" si="179"/>
        <v>0</v>
      </c>
      <c r="AW571" s="56">
        <f t="shared" ca="1" si="180"/>
        <v>0</v>
      </c>
      <c r="AX571" s="56">
        <f t="shared" ca="1" si="181"/>
        <v>0</v>
      </c>
      <c r="AY571" s="56">
        <f t="shared" ca="1" si="182"/>
        <v>0</v>
      </c>
      <c r="AZ571" s="56">
        <f t="shared" ca="1" si="183"/>
        <v>0</v>
      </c>
      <c r="BA571" s="56">
        <f t="shared" ca="1" si="184"/>
        <v>0</v>
      </c>
      <c r="BB571" s="56">
        <f t="shared" ca="1" si="185"/>
        <v>0</v>
      </c>
      <c r="BC571" s="56">
        <f t="shared" ca="1" si="186"/>
        <v>0</v>
      </c>
      <c r="BD571" s="56">
        <f t="shared" ca="1" si="187"/>
        <v>0</v>
      </c>
      <c r="BE571" s="56">
        <f t="shared" ca="1" si="188"/>
        <v>0</v>
      </c>
      <c r="BF571" s="56">
        <f t="shared" ca="1" si="189"/>
        <v>0</v>
      </c>
      <c r="BG571" s="56">
        <f t="shared" ca="1" si="190"/>
        <v>0</v>
      </c>
      <c r="BH571" s="56">
        <f t="shared" ca="1" si="191"/>
        <v>0</v>
      </c>
      <c r="BI571" s="56">
        <f t="shared" ca="1" si="192"/>
        <v>0</v>
      </c>
      <c r="BJ571" s="56">
        <f t="shared" ca="1" si="193"/>
        <v>0</v>
      </c>
      <c r="BK571" s="56">
        <f t="shared" ca="1" si="194"/>
        <v>0</v>
      </c>
      <c r="BL571" s="56">
        <f t="shared" ca="1" si="195"/>
        <v>0</v>
      </c>
      <c r="BM571" s="56">
        <f t="shared" ca="1" si="196"/>
        <v>0</v>
      </c>
      <c r="BN571" s="56">
        <f t="shared" ca="1" si="197"/>
        <v>0</v>
      </c>
      <c r="BO571" s="56">
        <f t="shared" ca="1" si="198"/>
        <v>0</v>
      </c>
      <c r="BP571" s="56">
        <f t="shared" ca="1" si="199"/>
        <v>0</v>
      </c>
      <c r="BQ571" s="56">
        <f t="shared" ca="1" si="200"/>
        <v>0</v>
      </c>
      <c r="BR571" s="56">
        <f t="shared" ca="1" si="201"/>
        <v>0</v>
      </c>
      <c r="BS571" s="56">
        <f t="shared" ca="1" si="202"/>
        <v>0</v>
      </c>
      <c r="BT571" s="56">
        <f t="shared" ca="1" si="203"/>
        <v>0</v>
      </c>
      <c r="BU571" s="56">
        <f t="shared" ca="1" si="204"/>
        <v>0</v>
      </c>
      <c r="BV571" s="56">
        <f t="shared" ca="1" si="205"/>
        <v>0</v>
      </c>
      <c r="BW571" s="56">
        <f t="shared" ca="1" si="206"/>
        <v>0</v>
      </c>
      <c r="BX571" s="56">
        <f t="shared" ca="1" si="207"/>
        <v>0</v>
      </c>
      <c r="BY571" s="56">
        <f t="shared" ca="1" si="208"/>
        <v>0</v>
      </c>
      <c r="BZ571">
        <f t="shared" si="209"/>
        <v>0</v>
      </c>
      <c r="CA571">
        <f t="shared" si="209"/>
        <v>0</v>
      </c>
      <c r="CB571">
        <f t="shared" si="209"/>
        <v>0</v>
      </c>
      <c r="CC571" s="56">
        <f t="shared" ca="1" si="210"/>
        <v>0</v>
      </c>
      <c r="CD571" s="56">
        <f t="shared" ca="1" si="211"/>
        <v>0</v>
      </c>
      <c r="CE571" s="56">
        <f t="shared" ca="1" si="212"/>
        <v>0</v>
      </c>
      <c r="CF571" s="56">
        <f t="shared" ca="1" si="213"/>
        <v>0</v>
      </c>
      <c r="CG571" s="56">
        <f t="shared" ca="1" si="214"/>
        <v>0</v>
      </c>
      <c r="CH571" s="56">
        <f t="shared" ca="1" si="215"/>
        <v>0</v>
      </c>
      <c r="CI571" s="56">
        <f t="shared" ca="1" si="216"/>
        <v>0</v>
      </c>
      <c r="CJ571" s="56">
        <f t="shared" ca="1" si="217"/>
        <v>0</v>
      </c>
      <c r="CK571" s="56">
        <f t="shared" ca="1" si="218"/>
        <v>0</v>
      </c>
      <c r="CL571" s="56">
        <f t="shared" ca="1" si="219"/>
        <v>0</v>
      </c>
      <c r="CM571" s="56">
        <f t="shared" ca="1" si="220"/>
        <v>0</v>
      </c>
      <c r="CN571" s="56">
        <f t="shared" ca="1" si="221"/>
        <v>0</v>
      </c>
      <c r="CO571" s="56">
        <f t="shared" ca="1" si="222"/>
        <v>0</v>
      </c>
      <c r="CP571" s="56">
        <f t="shared" ca="1" si="223"/>
        <v>0</v>
      </c>
      <c r="CQ571" s="56">
        <f t="shared" ca="1" si="224"/>
        <v>0</v>
      </c>
      <c r="CR571" s="56">
        <f t="shared" ca="1" si="225"/>
        <v>0</v>
      </c>
      <c r="CS571" s="56">
        <f t="shared" ca="1" si="226"/>
        <v>0</v>
      </c>
      <c r="CT571" s="56">
        <f t="shared" ca="1" si="227"/>
        <v>0</v>
      </c>
      <c r="CU571" s="56">
        <f t="shared" ca="1" si="228"/>
        <v>0</v>
      </c>
      <c r="CV571" s="56">
        <f t="shared" ca="1" si="229"/>
        <v>0</v>
      </c>
      <c r="CW571" s="56">
        <f t="shared" ca="1" si="230"/>
        <v>0</v>
      </c>
      <c r="CX571" s="56">
        <f t="shared" ca="1" si="231"/>
        <v>0</v>
      </c>
      <c r="CY571" s="56">
        <f t="shared" ca="1" si="232"/>
        <v>0</v>
      </c>
      <c r="CZ571" s="56">
        <f t="shared" ca="1" si="233"/>
        <v>0</v>
      </c>
      <c r="DA571" s="56">
        <f t="shared" ca="1" si="234"/>
        <v>0</v>
      </c>
      <c r="DB571" s="56">
        <f t="shared" ca="1" si="235"/>
        <v>0</v>
      </c>
      <c r="DC571" s="56">
        <f t="shared" ca="1" si="236"/>
        <v>0</v>
      </c>
      <c r="DD571" s="56">
        <f t="shared" ca="1" si="237"/>
        <v>0</v>
      </c>
      <c r="DE571" s="56">
        <f t="shared" ca="1" si="238"/>
        <v>0</v>
      </c>
      <c r="DF571" s="56">
        <f t="shared" ca="1" si="239"/>
        <v>0</v>
      </c>
      <c r="DG571" s="56">
        <f t="shared" ca="1" si="240"/>
        <v>0</v>
      </c>
      <c r="DH571" s="56">
        <f t="shared" ca="1" si="241"/>
        <v>0</v>
      </c>
      <c r="DI571" s="56">
        <f t="shared" ca="1" si="242"/>
        <v>0</v>
      </c>
      <c r="DJ571" s="56">
        <f t="shared" ca="1" si="243"/>
        <v>0</v>
      </c>
      <c r="DK571" s="56">
        <f t="shared" ca="1" si="244"/>
        <v>0</v>
      </c>
      <c r="DL571" s="56">
        <f t="shared" ca="1" si="245"/>
        <v>0</v>
      </c>
      <c r="DM571" s="56">
        <f t="shared" ca="1" si="246"/>
        <v>0</v>
      </c>
      <c r="DN571" s="56">
        <f t="shared" ca="1" si="247"/>
        <v>0</v>
      </c>
      <c r="DO571" s="56">
        <f t="shared" ca="1" si="248"/>
        <v>0</v>
      </c>
      <c r="DP571" s="56">
        <f t="shared" ca="1" si="249"/>
        <v>0</v>
      </c>
      <c r="DQ571" s="56">
        <f t="shared" ca="1" si="250"/>
        <v>0</v>
      </c>
      <c r="DR571" s="56">
        <f t="shared" ca="1" si="251"/>
        <v>0</v>
      </c>
      <c r="DS571" s="56">
        <f t="shared" ca="1" si="252"/>
        <v>0</v>
      </c>
      <c r="DT571" s="56">
        <f t="shared" ca="1" si="253"/>
        <v>0</v>
      </c>
      <c r="DU571" s="56">
        <f t="shared" ca="1" si="254"/>
        <v>0</v>
      </c>
      <c r="DV571" s="56">
        <f t="shared" ca="1" si="255"/>
        <v>0</v>
      </c>
      <c r="DW571" s="56">
        <f t="shared" ca="1" si="256"/>
        <v>0</v>
      </c>
      <c r="DX571" s="56">
        <f t="shared" ca="1" si="257"/>
        <v>0</v>
      </c>
      <c r="DY571" s="56">
        <f t="shared" ca="1" si="258"/>
        <v>0</v>
      </c>
      <c r="DZ571" s="56">
        <f t="shared" ca="1" si="259"/>
        <v>0</v>
      </c>
    </row>
    <row r="572" spans="28:130">
      <c r="AB572" s="56">
        <f t="shared" ca="1" si="159"/>
        <v>0</v>
      </c>
      <c r="AC572" s="56">
        <f t="shared" ca="1" si="160"/>
        <v>0</v>
      </c>
      <c r="AD572" s="56">
        <f t="shared" ca="1" si="161"/>
        <v>0</v>
      </c>
      <c r="AE572" s="56">
        <f t="shared" ca="1" si="162"/>
        <v>0</v>
      </c>
      <c r="AF572" s="56">
        <f t="shared" ca="1" si="163"/>
        <v>0</v>
      </c>
      <c r="AG572" s="56">
        <f t="shared" ca="1" si="164"/>
        <v>0</v>
      </c>
      <c r="AH572" s="56">
        <f t="shared" ca="1" si="165"/>
        <v>0</v>
      </c>
      <c r="AI572" s="56">
        <f t="shared" ca="1" si="166"/>
        <v>0</v>
      </c>
      <c r="AJ572" s="56">
        <f t="shared" ca="1" si="167"/>
        <v>0</v>
      </c>
      <c r="AK572" s="56">
        <f t="shared" ca="1" si="168"/>
        <v>0</v>
      </c>
      <c r="AL572" s="56">
        <f t="shared" ca="1" si="169"/>
        <v>0</v>
      </c>
      <c r="AM572" s="56">
        <f t="shared" ca="1" si="170"/>
        <v>0</v>
      </c>
      <c r="AN572" s="56">
        <f t="shared" ca="1" si="171"/>
        <v>0</v>
      </c>
      <c r="AO572" s="56">
        <f t="shared" ca="1" si="172"/>
        <v>0</v>
      </c>
      <c r="AP572" s="56">
        <f t="shared" ca="1" si="173"/>
        <v>0</v>
      </c>
      <c r="AQ572" s="56">
        <f t="shared" ca="1" si="174"/>
        <v>0</v>
      </c>
      <c r="AR572" s="56">
        <f t="shared" ca="1" si="175"/>
        <v>0</v>
      </c>
      <c r="AS572" s="56">
        <f t="shared" ca="1" si="176"/>
        <v>0</v>
      </c>
      <c r="AT572" s="56">
        <f t="shared" ca="1" si="177"/>
        <v>0</v>
      </c>
      <c r="AU572" s="56">
        <f t="shared" ca="1" si="178"/>
        <v>0</v>
      </c>
      <c r="AV572" s="56">
        <f t="shared" ca="1" si="179"/>
        <v>0</v>
      </c>
      <c r="AW572" s="56">
        <f t="shared" ca="1" si="180"/>
        <v>0</v>
      </c>
      <c r="AX572" s="56">
        <f t="shared" ca="1" si="181"/>
        <v>0</v>
      </c>
      <c r="AY572" s="56">
        <f t="shared" ca="1" si="182"/>
        <v>0</v>
      </c>
      <c r="AZ572" s="56">
        <f t="shared" ca="1" si="183"/>
        <v>0</v>
      </c>
      <c r="BA572" s="56">
        <f t="shared" ca="1" si="184"/>
        <v>0</v>
      </c>
      <c r="BB572" s="56">
        <f t="shared" ca="1" si="185"/>
        <v>0</v>
      </c>
      <c r="BC572" s="56">
        <f t="shared" ca="1" si="186"/>
        <v>0</v>
      </c>
      <c r="BD572" s="56">
        <f t="shared" ca="1" si="187"/>
        <v>0</v>
      </c>
      <c r="BE572" s="56">
        <f t="shared" ca="1" si="188"/>
        <v>0</v>
      </c>
      <c r="BF572" s="56">
        <f t="shared" ca="1" si="189"/>
        <v>0</v>
      </c>
      <c r="BG572" s="56">
        <f t="shared" ca="1" si="190"/>
        <v>0</v>
      </c>
      <c r="BH572" s="56">
        <f t="shared" ca="1" si="191"/>
        <v>0</v>
      </c>
      <c r="BI572" s="56">
        <f t="shared" ca="1" si="192"/>
        <v>0</v>
      </c>
      <c r="BJ572" s="56">
        <f t="shared" ca="1" si="193"/>
        <v>0</v>
      </c>
      <c r="BK572" s="56">
        <f t="shared" ca="1" si="194"/>
        <v>0</v>
      </c>
      <c r="BL572" s="56">
        <f t="shared" ca="1" si="195"/>
        <v>0</v>
      </c>
      <c r="BM572" s="56">
        <f t="shared" ca="1" si="196"/>
        <v>0</v>
      </c>
      <c r="BN572" s="56">
        <f t="shared" ca="1" si="197"/>
        <v>0</v>
      </c>
      <c r="BO572" s="56">
        <f t="shared" ca="1" si="198"/>
        <v>0</v>
      </c>
      <c r="BP572" s="56">
        <f t="shared" ca="1" si="199"/>
        <v>0</v>
      </c>
      <c r="BQ572" s="56">
        <f t="shared" ca="1" si="200"/>
        <v>0</v>
      </c>
      <c r="BR572" s="56">
        <f t="shared" ca="1" si="201"/>
        <v>0</v>
      </c>
      <c r="BS572" s="56">
        <f t="shared" ca="1" si="202"/>
        <v>0</v>
      </c>
      <c r="BT572" s="56">
        <f t="shared" ca="1" si="203"/>
        <v>0</v>
      </c>
      <c r="BU572" s="56">
        <f t="shared" ca="1" si="204"/>
        <v>0</v>
      </c>
      <c r="BV572" s="56">
        <f t="shared" ca="1" si="205"/>
        <v>0</v>
      </c>
      <c r="BW572" s="56">
        <f t="shared" ca="1" si="206"/>
        <v>0</v>
      </c>
      <c r="BX572" s="56">
        <f t="shared" ca="1" si="207"/>
        <v>0</v>
      </c>
      <c r="BY572" s="56">
        <f t="shared" ca="1" si="208"/>
        <v>0</v>
      </c>
      <c r="BZ572">
        <f t="shared" si="209"/>
        <v>0</v>
      </c>
      <c r="CA572">
        <f t="shared" si="209"/>
        <v>0</v>
      </c>
      <c r="CB572">
        <f t="shared" si="209"/>
        <v>0</v>
      </c>
      <c r="CC572" s="56">
        <f t="shared" ca="1" si="210"/>
        <v>0</v>
      </c>
      <c r="CD572" s="56">
        <f t="shared" ca="1" si="211"/>
        <v>0</v>
      </c>
      <c r="CE572" s="56">
        <f t="shared" ca="1" si="212"/>
        <v>0</v>
      </c>
      <c r="CF572" s="56">
        <f t="shared" ca="1" si="213"/>
        <v>0</v>
      </c>
      <c r="CG572" s="56">
        <f t="shared" ca="1" si="214"/>
        <v>0</v>
      </c>
      <c r="CH572" s="56">
        <f t="shared" ca="1" si="215"/>
        <v>0</v>
      </c>
      <c r="CI572" s="56">
        <f t="shared" ca="1" si="216"/>
        <v>0</v>
      </c>
      <c r="CJ572" s="56">
        <f t="shared" ca="1" si="217"/>
        <v>0</v>
      </c>
      <c r="CK572" s="56">
        <f t="shared" ca="1" si="218"/>
        <v>0</v>
      </c>
      <c r="CL572" s="56">
        <f t="shared" ca="1" si="219"/>
        <v>0</v>
      </c>
      <c r="CM572" s="56">
        <f t="shared" ca="1" si="220"/>
        <v>0</v>
      </c>
      <c r="CN572" s="56">
        <f t="shared" ca="1" si="221"/>
        <v>0</v>
      </c>
      <c r="CO572" s="56">
        <f t="shared" ca="1" si="222"/>
        <v>0</v>
      </c>
      <c r="CP572" s="56">
        <f t="shared" ca="1" si="223"/>
        <v>0</v>
      </c>
      <c r="CQ572" s="56">
        <f t="shared" ca="1" si="224"/>
        <v>0</v>
      </c>
      <c r="CR572" s="56">
        <f t="shared" ca="1" si="225"/>
        <v>0</v>
      </c>
      <c r="CS572" s="56">
        <f t="shared" ca="1" si="226"/>
        <v>0</v>
      </c>
      <c r="CT572" s="56">
        <f t="shared" ca="1" si="227"/>
        <v>0</v>
      </c>
      <c r="CU572" s="56">
        <f t="shared" ca="1" si="228"/>
        <v>0</v>
      </c>
      <c r="CV572" s="56">
        <f t="shared" ca="1" si="229"/>
        <v>0</v>
      </c>
      <c r="CW572" s="56">
        <f t="shared" ca="1" si="230"/>
        <v>0</v>
      </c>
      <c r="CX572" s="56">
        <f t="shared" ca="1" si="231"/>
        <v>0</v>
      </c>
      <c r="CY572" s="56">
        <f t="shared" ca="1" si="232"/>
        <v>0</v>
      </c>
      <c r="CZ572" s="56">
        <f t="shared" ca="1" si="233"/>
        <v>0</v>
      </c>
      <c r="DA572" s="56">
        <f t="shared" ca="1" si="234"/>
        <v>0</v>
      </c>
      <c r="DB572" s="56">
        <f t="shared" ca="1" si="235"/>
        <v>0</v>
      </c>
      <c r="DC572" s="56">
        <f t="shared" ca="1" si="236"/>
        <v>0</v>
      </c>
      <c r="DD572" s="56">
        <f t="shared" ca="1" si="237"/>
        <v>0</v>
      </c>
      <c r="DE572" s="56">
        <f t="shared" ca="1" si="238"/>
        <v>0</v>
      </c>
      <c r="DF572" s="56">
        <f t="shared" ca="1" si="239"/>
        <v>0</v>
      </c>
      <c r="DG572" s="56">
        <f t="shared" ca="1" si="240"/>
        <v>0</v>
      </c>
      <c r="DH572" s="56">
        <f t="shared" ca="1" si="241"/>
        <v>0</v>
      </c>
      <c r="DI572" s="56">
        <f t="shared" ca="1" si="242"/>
        <v>0</v>
      </c>
      <c r="DJ572" s="56">
        <f t="shared" ca="1" si="243"/>
        <v>0</v>
      </c>
      <c r="DK572" s="56">
        <f t="shared" ca="1" si="244"/>
        <v>0</v>
      </c>
      <c r="DL572" s="56">
        <f t="shared" ca="1" si="245"/>
        <v>0</v>
      </c>
      <c r="DM572" s="56">
        <f t="shared" ca="1" si="246"/>
        <v>0</v>
      </c>
      <c r="DN572" s="56">
        <f t="shared" ca="1" si="247"/>
        <v>0</v>
      </c>
      <c r="DO572" s="56">
        <f t="shared" ca="1" si="248"/>
        <v>0</v>
      </c>
      <c r="DP572" s="56">
        <f t="shared" ca="1" si="249"/>
        <v>0</v>
      </c>
      <c r="DQ572" s="56">
        <f t="shared" ca="1" si="250"/>
        <v>0</v>
      </c>
      <c r="DR572" s="56">
        <f t="shared" ca="1" si="251"/>
        <v>0</v>
      </c>
      <c r="DS572" s="56">
        <f t="shared" ca="1" si="252"/>
        <v>0</v>
      </c>
      <c r="DT572" s="56">
        <f t="shared" ca="1" si="253"/>
        <v>0</v>
      </c>
      <c r="DU572" s="56">
        <f t="shared" ca="1" si="254"/>
        <v>0</v>
      </c>
      <c r="DV572" s="56">
        <f t="shared" ca="1" si="255"/>
        <v>0</v>
      </c>
      <c r="DW572" s="56">
        <f t="shared" ca="1" si="256"/>
        <v>0</v>
      </c>
      <c r="DX572" s="56">
        <f t="shared" ca="1" si="257"/>
        <v>0</v>
      </c>
      <c r="DY572" s="56">
        <f t="shared" ca="1" si="258"/>
        <v>0</v>
      </c>
      <c r="DZ572" s="56">
        <f t="shared" ca="1" si="259"/>
        <v>0</v>
      </c>
    </row>
    <row r="573" spans="28:130">
      <c r="AB573" s="56">
        <f t="shared" ca="1" si="159"/>
        <v>0</v>
      </c>
      <c r="AC573" s="56">
        <f t="shared" ca="1" si="160"/>
        <v>0</v>
      </c>
      <c r="AD573" s="56">
        <f t="shared" ca="1" si="161"/>
        <v>0</v>
      </c>
      <c r="AE573" s="56">
        <f t="shared" ca="1" si="162"/>
        <v>0</v>
      </c>
      <c r="AF573" s="56">
        <f t="shared" ca="1" si="163"/>
        <v>0</v>
      </c>
      <c r="AG573" s="56">
        <f t="shared" ca="1" si="164"/>
        <v>0</v>
      </c>
      <c r="AH573" s="56">
        <f t="shared" ca="1" si="165"/>
        <v>0</v>
      </c>
      <c r="AI573" s="56">
        <f t="shared" ca="1" si="166"/>
        <v>0</v>
      </c>
      <c r="AJ573" s="56">
        <f t="shared" ca="1" si="167"/>
        <v>0</v>
      </c>
      <c r="AK573" s="56">
        <f t="shared" ca="1" si="168"/>
        <v>0</v>
      </c>
      <c r="AL573" s="56">
        <f t="shared" ca="1" si="169"/>
        <v>0</v>
      </c>
      <c r="AM573" s="56">
        <f t="shared" ca="1" si="170"/>
        <v>0</v>
      </c>
      <c r="AN573" s="56">
        <f t="shared" ca="1" si="171"/>
        <v>0</v>
      </c>
      <c r="AO573" s="56">
        <f t="shared" ca="1" si="172"/>
        <v>0</v>
      </c>
      <c r="AP573" s="56">
        <f t="shared" ca="1" si="173"/>
        <v>0</v>
      </c>
      <c r="AQ573" s="56">
        <f t="shared" ca="1" si="174"/>
        <v>0</v>
      </c>
      <c r="AR573" s="56">
        <f t="shared" ca="1" si="175"/>
        <v>0</v>
      </c>
      <c r="AS573" s="56">
        <f t="shared" ca="1" si="176"/>
        <v>0</v>
      </c>
      <c r="AT573" s="56">
        <f t="shared" ca="1" si="177"/>
        <v>0</v>
      </c>
      <c r="AU573" s="56">
        <f t="shared" ca="1" si="178"/>
        <v>0</v>
      </c>
      <c r="AV573" s="56">
        <f t="shared" ca="1" si="179"/>
        <v>0</v>
      </c>
      <c r="AW573" s="56">
        <f t="shared" ca="1" si="180"/>
        <v>0</v>
      </c>
      <c r="AX573" s="56">
        <f t="shared" ca="1" si="181"/>
        <v>0</v>
      </c>
      <c r="AY573" s="56">
        <f t="shared" ca="1" si="182"/>
        <v>0</v>
      </c>
      <c r="AZ573" s="56">
        <f t="shared" ca="1" si="183"/>
        <v>0</v>
      </c>
      <c r="BA573" s="56">
        <f t="shared" ca="1" si="184"/>
        <v>0</v>
      </c>
      <c r="BB573" s="56">
        <f t="shared" ca="1" si="185"/>
        <v>0</v>
      </c>
      <c r="BC573" s="56">
        <f t="shared" ca="1" si="186"/>
        <v>0</v>
      </c>
      <c r="BD573" s="56">
        <f t="shared" ca="1" si="187"/>
        <v>0</v>
      </c>
      <c r="BE573" s="56">
        <f t="shared" ca="1" si="188"/>
        <v>0</v>
      </c>
      <c r="BF573" s="56">
        <f t="shared" ca="1" si="189"/>
        <v>0</v>
      </c>
      <c r="BG573" s="56">
        <f t="shared" ca="1" si="190"/>
        <v>0</v>
      </c>
      <c r="BH573" s="56">
        <f t="shared" ca="1" si="191"/>
        <v>0</v>
      </c>
      <c r="BI573" s="56">
        <f t="shared" ca="1" si="192"/>
        <v>0</v>
      </c>
      <c r="BJ573" s="56">
        <f t="shared" ca="1" si="193"/>
        <v>0</v>
      </c>
      <c r="BK573" s="56">
        <f t="shared" ca="1" si="194"/>
        <v>0</v>
      </c>
      <c r="BL573" s="56">
        <f t="shared" ca="1" si="195"/>
        <v>0</v>
      </c>
      <c r="BM573" s="56">
        <f t="shared" ca="1" si="196"/>
        <v>0</v>
      </c>
      <c r="BN573" s="56">
        <f t="shared" ca="1" si="197"/>
        <v>0</v>
      </c>
      <c r="BO573" s="56">
        <f t="shared" ca="1" si="198"/>
        <v>0</v>
      </c>
      <c r="BP573" s="56">
        <f t="shared" ca="1" si="199"/>
        <v>0</v>
      </c>
      <c r="BQ573" s="56">
        <f t="shared" ca="1" si="200"/>
        <v>0</v>
      </c>
      <c r="BR573" s="56">
        <f t="shared" ca="1" si="201"/>
        <v>0</v>
      </c>
      <c r="BS573" s="56">
        <f t="shared" ca="1" si="202"/>
        <v>0</v>
      </c>
      <c r="BT573" s="56">
        <f t="shared" ca="1" si="203"/>
        <v>0</v>
      </c>
      <c r="BU573" s="56">
        <f t="shared" ca="1" si="204"/>
        <v>0</v>
      </c>
      <c r="BV573" s="56">
        <f t="shared" ca="1" si="205"/>
        <v>0</v>
      </c>
      <c r="BW573" s="56">
        <f t="shared" ca="1" si="206"/>
        <v>0</v>
      </c>
      <c r="BX573" s="56">
        <f t="shared" ca="1" si="207"/>
        <v>0</v>
      </c>
      <c r="BY573" s="56">
        <f t="shared" ca="1" si="208"/>
        <v>0</v>
      </c>
      <c r="BZ573">
        <f t="shared" si="209"/>
        <v>0</v>
      </c>
      <c r="CA573">
        <f t="shared" si="209"/>
        <v>0</v>
      </c>
      <c r="CB573">
        <f t="shared" si="209"/>
        <v>0</v>
      </c>
      <c r="CC573" s="56">
        <f t="shared" ca="1" si="210"/>
        <v>0</v>
      </c>
      <c r="CD573" s="56">
        <f t="shared" ca="1" si="211"/>
        <v>0</v>
      </c>
      <c r="CE573" s="56">
        <f t="shared" ca="1" si="212"/>
        <v>0</v>
      </c>
      <c r="CF573" s="56">
        <f t="shared" ca="1" si="213"/>
        <v>0</v>
      </c>
      <c r="CG573" s="56">
        <f t="shared" ca="1" si="214"/>
        <v>0</v>
      </c>
      <c r="CH573" s="56">
        <f t="shared" ca="1" si="215"/>
        <v>0</v>
      </c>
      <c r="CI573" s="56">
        <f t="shared" ca="1" si="216"/>
        <v>0</v>
      </c>
      <c r="CJ573" s="56">
        <f t="shared" ca="1" si="217"/>
        <v>0</v>
      </c>
      <c r="CK573" s="56">
        <f t="shared" ca="1" si="218"/>
        <v>0</v>
      </c>
      <c r="CL573" s="56">
        <f t="shared" ca="1" si="219"/>
        <v>0</v>
      </c>
      <c r="CM573" s="56">
        <f t="shared" ca="1" si="220"/>
        <v>0</v>
      </c>
      <c r="CN573" s="56">
        <f t="shared" ca="1" si="221"/>
        <v>0</v>
      </c>
      <c r="CO573" s="56">
        <f t="shared" ca="1" si="222"/>
        <v>0</v>
      </c>
      <c r="CP573" s="56">
        <f t="shared" ca="1" si="223"/>
        <v>0</v>
      </c>
      <c r="CQ573" s="56">
        <f t="shared" ca="1" si="224"/>
        <v>0</v>
      </c>
      <c r="CR573" s="56">
        <f t="shared" ca="1" si="225"/>
        <v>0</v>
      </c>
      <c r="CS573" s="56">
        <f t="shared" ca="1" si="226"/>
        <v>0</v>
      </c>
      <c r="CT573" s="56">
        <f t="shared" ca="1" si="227"/>
        <v>0</v>
      </c>
      <c r="CU573" s="56">
        <f t="shared" ca="1" si="228"/>
        <v>0</v>
      </c>
      <c r="CV573" s="56">
        <f t="shared" ca="1" si="229"/>
        <v>0</v>
      </c>
      <c r="CW573" s="56">
        <f t="shared" ca="1" si="230"/>
        <v>0</v>
      </c>
      <c r="CX573" s="56">
        <f t="shared" ca="1" si="231"/>
        <v>0</v>
      </c>
      <c r="CY573" s="56">
        <f t="shared" ca="1" si="232"/>
        <v>0</v>
      </c>
      <c r="CZ573" s="56">
        <f t="shared" ca="1" si="233"/>
        <v>0</v>
      </c>
      <c r="DA573" s="56">
        <f t="shared" ca="1" si="234"/>
        <v>0</v>
      </c>
      <c r="DB573" s="56">
        <f t="shared" ca="1" si="235"/>
        <v>0</v>
      </c>
      <c r="DC573" s="56">
        <f t="shared" ca="1" si="236"/>
        <v>0</v>
      </c>
      <c r="DD573" s="56">
        <f t="shared" ca="1" si="237"/>
        <v>0</v>
      </c>
      <c r="DE573" s="56">
        <f t="shared" ca="1" si="238"/>
        <v>0</v>
      </c>
      <c r="DF573" s="56">
        <f t="shared" ca="1" si="239"/>
        <v>0</v>
      </c>
      <c r="DG573" s="56">
        <f t="shared" ca="1" si="240"/>
        <v>0</v>
      </c>
      <c r="DH573" s="56">
        <f t="shared" ca="1" si="241"/>
        <v>0</v>
      </c>
      <c r="DI573" s="56">
        <f t="shared" ca="1" si="242"/>
        <v>0</v>
      </c>
      <c r="DJ573" s="56">
        <f t="shared" ca="1" si="243"/>
        <v>0</v>
      </c>
      <c r="DK573" s="56">
        <f t="shared" ca="1" si="244"/>
        <v>0</v>
      </c>
      <c r="DL573" s="56">
        <f t="shared" ca="1" si="245"/>
        <v>0</v>
      </c>
      <c r="DM573" s="56">
        <f t="shared" ca="1" si="246"/>
        <v>0</v>
      </c>
      <c r="DN573" s="56">
        <f t="shared" ca="1" si="247"/>
        <v>0</v>
      </c>
      <c r="DO573" s="56">
        <f t="shared" ca="1" si="248"/>
        <v>0</v>
      </c>
      <c r="DP573" s="56">
        <f t="shared" ca="1" si="249"/>
        <v>0</v>
      </c>
      <c r="DQ573" s="56">
        <f t="shared" ca="1" si="250"/>
        <v>0</v>
      </c>
      <c r="DR573" s="56">
        <f t="shared" ca="1" si="251"/>
        <v>0</v>
      </c>
      <c r="DS573" s="56">
        <f t="shared" ca="1" si="252"/>
        <v>0</v>
      </c>
      <c r="DT573" s="56">
        <f t="shared" ca="1" si="253"/>
        <v>0</v>
      </c>
      <c r="DU573" s="56">
        <f t="shared" ca="1" si="254"/>
        <v>0</v>
      </c>
      <c r="DV573" s="56">
        <f t="shared" ca="1" si="255"/>
        <v>0</v>
      </c>
      <c r="DW573" s="56">
        <f t="shared" ca="1" si="256"/>
        <v>0</v>
      </c>
      <c r="DX573" s="56">
        <f t="shared" ca="1" si="257"/>
        <v>0</v>
      </c>
      <c r="DY573" s="56">
        <f t="shared" ca="1" si="258"/>
        <v>0</v>
      </c>
      <c r="DZ573" s="56">
        <f t="shared" ca="1" si="259"/>
        <v>0</v>
      </c>
    </row>
    <row r="574" spans="28:130">
      <c r="AB574" s="56">
        <f t="shared" ca="1" si="159"/>
        <v>0</v>
      </c>
      <c r="AC574" s="56">
        <f t="shared" ca="1" si="160"/>
        <v>0</v>
      </c>
      <c r="AD574" s="56">
        <f t="shared" ca="1" si="161"/>
        <v>0</v>
      </c>
      <c r="AE574" s="56">
        <f t="shared" ca="1" si="162"/>
        <v>0</v>
      </c>
      <c r="AF574" s="56">
        <f t="shared" ca="1" si="163"/>
        <v>0</v>
      </c>
      <c r="AG574" s="56">
        <f t="shared" ca="1" si="164"/>
        <v>0</v>
      </c>
      <c r="AH574" s="56">
        <f t="shared" ca="1" si="165"/>
        <v>0</v>
      </c>
      <c r="AI574" s="56">
        <f t="shared" ca="1" si="166"/>
        <v>0</v>
      </c>
      <c r="AJ574" s="56">
        <f t="shared" ca="1" si="167"/>
        <v>0</v>
      </c>
      <c r="AK574" s="56">
        <f t="shared" ca="1" si="168"/>
        <v>0</v>
      </c>
      <c r="AL574" s="56">
        <f t="shared" ca="1" si="169"/>
        <v>0</v>
      </c>
      <c r="AM574" s="56">
        <f t="shared" ca="1" si="170"/>
        <v>0</v>
      </c>
      <c r="AN574" s="56">
        <f t="shared" ca="1" si="171"/>
        <v>0</v>
      </c>
      <c r="AO574" s="56">
        <f t="shared" ca="1" si="172"/>
        <v>0</v>
      </c>
      <c r="AP574" s="56">
        <f t="shared" ca="1" si="173"/>
        <v>0</v>
      </c>
      <c r="AQ574" s="56">
        <f t="shared" ca="1" si="174"/>
        <v>0</v>
      </c>
      <c r="AR574" s="56">
        <f t="shared" ca="1" si="175"/>
        <v>0</v>
      </c>
      <c r="AS574" s="56">
        <f t="shared" ca="1" si="176"/>
        <v>0</v>
      </c>
      <c r="AT574" s="56">
        <f t="shared" ca="1" si="177"/>
        <v>0</v>
      </c>
      <c r="AU574" s="56">
        <f t="shared" ca="1" si="178"/>
        <v>0</v>
      </c>
      <c r="AV574" s="56">
        <f t="shared" ca="1" si="179"/>
        <v>0</v>
      </c>
      <c r="AW574" s="56">
        <f t="shared" ca="1" si="180"/>
        <v>0</v>
      </c>
      <c r="AX574" s="56">
        <f t="shared" ca="1" si="181"/>
        <v>0</v>
      </c>
      <c r="AY574" s="56">
        <f t="shared" ca="1" si="182"/>
        <v>0</v>
      </c>
      <c r="AZ574" s="56">
        <f t="shared" ca="1" si="183"/>
        <v>0</v>
      </c>
      <c r="BA574" s="56">
        <f t="shared" ca="1" si="184"/>
        <v>0</v>
      </c>
      <c r="BB574" s="56">
        <f t="shared" ca="1" si="185"/>
        <v>0</v>
      </c>
      <c r="BC574" s="56">
        <f t="shared" ca="1" si="186"/>
        <v>0</v>
      </c>
      <c r="BD574" s="56">
        <f t="shared" ca="1" si="187"/>
        <v>0</v>
      </c>
      <c r="BE574" s="56">
        <f t="shared" ca="1" si="188"/>
        <v>0</v>
      </c>
      <c r="BF574" s="56">
        <f t="shared" ca="1" si="189"/>
        <v>0</v>
      </c>
      <c r="BG574" s="56">
        <f t="shared" ca="1" si="190"/>
        <v>0</v>
      </c>
      <c r="BH574" s="56">
        <f t="shared" ca="1" si="191"/>
        <v>0</v>
      </c>
      <c r="BI574" s="56">
        <f t="shared" ca="1" si="192"/>
        <v>0</v>
      </c>
      <c r="BJ574" s="56">
        <f t="shared" ca="1" si="193"/>
        <v>0</v>
      </c>
      <c r="BK574" s="56">
        <f t="shared" ca="1" si="194"/>
        <v>0</v>
      </c>
      <c r="BL574" s="56">
        <f t="shared" ca="1" si="195"/>
        <v>0</v>
      </c>
      <c r="BM574" s="56">
        <f t="shared" ca="1" si="196"/>
        <v>0</v>
      </c>
      <c r="BN574" s="56">
        <f t="shared" ca="1" si="197"/>
        <v>0</v>
      </c>
      <c r="BO574" s="56">
        <f t="shared" ca="1" si="198"/>
        <v>0</v>
      </c>
      <c r="BP574" s="56">
        <f t="shared" ca="1" si="199"/>
        <v>0</v>
      </c>
      <c r="BQ574" s="56">
        <f t="shared" ca="1" si="200"/>
        <v>0</v>
      </c>
      <c r="BR574" s="56">
        <f t="shared" ca="1" si="201"/>
        <v>0</v>
      </c>
      <c r="BS574" s="56">
        <f t="shared" ca="1" si="202"/>
        <v>0</v>
      </c>
      <c r="BT574" s="56">
        <f t="shared" ca="1" si="203"/>
        <v>0</v>
      </c>
      <c r="BU574" s="56">
        <f t="shared" ca="1" si="204"/>
        <v>0</v>
      </c>
      <c r="BV574" s="56">
        <f t="shared" ca="1" si="205"/>
        <v>0</v>
      </c>
      <c r="BW574" s="56">
        <f t="shared" ca="1" si="206"/>
        <v>0</v>
      </c>
      <c r="BX574" s="56">
        <f t="shared" ca="1" si="207"/>
        <v>0</v>
      </c>
      <c r="BY574" s="56">
        <f t="shared" ca="1" si="208"/>
        <v>0</v>
      </c>
      <c r="BZ574">
        <f t="shared" si="209"/>
        <v>0</v>
      </c>
      <c r="CA574">
        <f t="shared" si="209"/>
        <v>0</v>
      </c>
      <c r="CB574">
        <f t="shared" si="209"/>
        <v>0</v>
      </c>
      <c r="CC574" s="56">
        <f t="shared" ca="1" si="210"/>
        <v>0</v>
      </c>
      <c r="CD574" s="56">
        <f t="shared" ca="1" si="211"/>
        <v>0</v>
      </c>
      <c r="CE574" s="56">
        <f t="shared" ca="1" si="212"/>
        <v>0</v>
      </c>
      <c r="CF574" s="56">
        <f t="shared" ca="1" si="213"/>
        <v>0</v>
      </c>
      <c r="CG574" s="56">
        <f t="shared" ca="1" si="214"/>
        <v>0</v>
      </c>
      <c r="CH574" s="56">
        <f t="shared" ca="1" si="215"/>
        <v>0</v>
      </c>
      <c r="CI574" s="56">
        <f t="shared" ca="1" si="216"/>
        <v>0</v>
      </c>
      <c r="CJ574" s="56">
        <f t="shared" ca="1" si="217"/>
        <v>0</v>
      </c>
      <c r="CK574" s="56">
        <f t="shared" ca="1" si="218"/>
        <v>0</v>
      </c>
      <c r="CL574" s="56">
        <f t="shared" ca="1" si="219"/>
        <v>0</v>
      </c>
      <c r="CM574" s="56">
        <f t="shared" ca="1" si="220"/>
        <v>0</v>
      </c>
      <c r="CN574" s="56">
        <f t="shared" ca="1" si="221"/>
        <v>0</v>
      </c>
      <c r="CO574" s="56">
        <f t="shared" ca="1" si="222"/>
        <v>0</v>
      </c>
      <c r="CP574" s="56">
        <f t="shared" ca="1" si="223"/>
        <v>0</v>
      </c>
      <c r="CQ574" s="56">
        <f t="shared" ca="1" si="224"/>
        <v>0</v>
      </c>
      <c r="CR574" s="56">
        <f t="shared" ca="1" si="225"/>
        <v>0</v>
      </c>
      <c r="CS574" s="56">
        <f t="shared" ca="1" si="226"/>
        <v>0</v>
      </c>
      <c r="CT574" s="56">
        <f t="shared" ca="1" si="227"/>
        <v>0</v>
      </c>
      <c r="CU574" s="56">
        <f t="shared" ca="1" si="228"/>
        <v>0</v>
      </c>
      <c r="CV574" s="56">
        <f t="shared" ca="1" si="229"/>
        <v>0</v>
      </c>
      <c r="CW574" s="56">
        <f t="shared" ca="1" si="230"/>
        <v>0</v>
      </c>
      <c r="CX574" s="56">
        <f t="shared" ca="1" si="231"/>
        <v>0</v>
      </c>
      <c r="CY574" s="56">
        <f t="shared" ca="1" si="232"/>
        <v>0</v>
      </c>
      <c r="CZ574" s="56">
        <f t="shared" ca="1" si="233"/>
        <v>0</v>
      </c>
      <c r="DA574" s="56">
        <f t="shared" ca="1" si="234"/>
        <v>0</v>
      </c>
      <c r="DB574" s="56">
        <f t="shared" ca="1" si="235"/>
        <v>0</v>
      </c>
      <c r="DC574" s="56">
        <f t="shared" ca="1" si="236"/>
        <v>0</v>
      </c>
      <c r="DD574" s="56">
        <f t="shared" ca="1" si="237"/>
        <v>0</v>
      </c>
      <c r="DE574" s="56">
        <f t="shared" ca="1" si="238"/>
        <v>0</v>
      </c>
      <c r="DF574" s="56">
        <f t="shared" ca="1" si="239"/>
        <v>0</v>
      </c>
      <c r="DG574" s="56">
        <f t="shared" ca="1" si="240"/>
        <v>0</v>
      </c>
      <c r="DH574" s="56">
        <f t="shared" ca="1" si="241"/>
        <v>0</v>
      </c>
      <c r="DI574" s="56">
        <f t="shared" ca="1" si="242"/>
        <v>0</v>
      </c>
      <c r="DJ574" s="56">
        <f t="shared" ca="1" si="243"/>
        <v>0</v>
      </c>
      <c r="DK574" s="56">
        <f t="shared" ca="1" si="244"/>
        <v>0</v>
      </c>
      <c r="DL574" s="56">
        <f t="shared" ca="1" si="245"/>
        <v>0</v>
      </c>
      <c r="DM574" s="56">
        <f t="shared" ca="1" si="246"/>
        <v>0</v>
      </c>
      <c r="DN574" s="56">
        <f t="shared" ca="1" si="247"/>
        <v>0</v>
      </c>
      <c r="DO574" s="56">
        <f t="shared" ca="1" si="248"/>
        <v>0</v>
      </c>
      <c r="DP574" s="56">
        <f t="shared" ca="1" si="249"/>
        <v>0</v>
      </c>
      <c r="DQ574" s="56">
        <f t="shared" ca="1" si="250"/>
        <v>0</v>
      </c>
      <c r="DR574" s="56">
        <f t="shared" ca="1" si="251"/>
        <v>0</v>
      </c>
      <c r="DS574" s="56">
        <f t="shared" ca="1" si="252"/>
        <v>0</v>
      </c>
      <c r="DT574" s="56">
        <f t="shared" ca="1" si="253"/>
        <v>0</v>
      </c>
      <c r="DU574" s="56">
        <f t="shared" ca="1" si="254"/>
        <v>0</v>
      </c>
      <c r="DV574" s="56">
        <f t="shared" ca="1" si="255"/>
        <v>0</v>
      </c>
      <c r="DW574" s="56">
        <f t="shared" ca="1" si="256"/>
        <v>0</v>
      </c>
      <c r="DX574" s="56">
        <f t="shared" ca="1" si="257"/>
        <v>0</v>
      </c>
      <c r="DY574" s="56">
        <f t="shared" ca="1" si="258"/>
        <v>0</v>
      </c>
      <c r="DZ574" s="56">
        <f t="shared" ca="1" si="259"/>
        <v>0</v>
      </c>
    </row>
    <row r="575" spans="28:130">
      <c r="AB575" s="56">
        <f t="shared" ca="1" si="159"/>
        <v>0</v>
      </c>
      <c r="AC575" s="56">
        <f t="shared" ca="1" si="160"/>
        <v>0</v>
      </c>
      <c r="AD575" s="56">
        <f t="shared" ca="1" si="161"/>
        <v>0</v>
      </c>
      <c r="AE575" s="56">
        <f t="shared" ca="1" si="162"/>
        <v>0</v>
      </c>
      <c r="AF575" s="56">
        <f t="shared" ca="1" si="163"/>
        <v>0</v>
      </c>
      <c r="AG575" s="56">
        <f t="shared" ca="1" si="164"/>
        <v>0</v>
      </c>
      <c r="AH575" s="56">
        <f t="shared" ca="1" si="165"/>
        <v>0</v>
      </c>
      <c r="AI575" s="56">
        <f t="shared" ca="1" si="166"/>
        <v>0</v>
      </c>
      <c r="AJ575" s="56">
        <f t="shared" ca="1" si="167"/>
        <v>0</v>
      </c>
      <c r="AK575" s="56">
        <f t="shared" ca="1" si="168"/>
        <v>0</v>
      </c>
      <c r="AL575" s="56">
        <f t="shared" ca="1" si="169"/>
        <v>0</v>
      </c>
      <c r="AM575" s="56">
        <f t="shared" ca="1" si="170"/>
        <v>0</v>
      </c>
      <c r="AN575" s="56">
        <f t="shared" ca="1" si="171"/>
        <v>0</v>
      </c>
      <c r="AO575" s="56">
        <f t="shared" ca="1" si="172"/>
        <v>0</v>
      </c>
      <c r="AP575" s="56">
        <f t="shared" ca="1" si="173"/>
        <v>0</v>
      </c>
      <c r="AQ575" s="56">
        <f t="shared" ca="1" si="174"/>
        <v>0</v>
      </c>
      <c r="AR575" s="56">
        <f t="shared" ca="1" si="175"/>
        <v>0</v>
      </c>
      <c r="AS575" s="56">
        <f t="shared" ca="1" si="176"/>
        <v>0</v>
      </c>
      <c r="AT575" s="56">
        <f t="shared" ca="1" si="177"/>
        <v>0</v>
      </c>
      <c r="AU575" s="56">
        <f t="shared" ca="1" si="178"/>
        <v>0</v>
      </c>
      <c r="AV575" s="56">
        <f t="shared" ca="1" si="179"/>
        <v>0</v>
      </c>
      <c r="AW575" s="56">
        <f t="shared" ca="1" si="180"/>
        <v>0</v>
      </c>
      <c r="AX575" s="56">
        <f t="shared" ca="1" si="181"/>
        <v>0</v>
      </c>
      <c r="AY575" s="56">
        <f t="shared" ca="1" si="182"/>
        <v>0</v>
      </c>
      <c r="AZ575" s="56">
        <f t="shared" ca="1" si="183"/>
        <v>0</v>
      </c>
      <c r="BA575" s="56">
        <f t="shared" ca="1" si="184"/>
        <v>0</v>
      </c>
      <c r="BB575" s="56">
        <f t="shared" ca="1" si="185"/>
        <v>0</v>
      </c>
      <c r="BC575" s="56">
        <f t="shared" ca="1" si="186"/>
        <v>0</v>
      </c>
      <c r="BD575" s="56">
        <f t="shared" ca="1" si="187"/>
        <v>0</v>
      </c>
      <c r="BE575" s="56">
        <f t="shared" ca="1" si="188"/>
        <v>0</v>
      </c>
      <c r="BF575" s="56">
        <f t="shared" ca="1" si="189"/>
        <v>0</v>
      </c>
      <c r="BG575" s="56">
        <f t="shared" ca="1" si="190"/>
        <v>0</v>
      </c>
      <c r="BH575" s="56">
        <f t="shared" ca="1" si="191"/>
        <v>0</v>
      </c>
      <c r="BI575" s="56">
        <f t="shared" ca="1" si="192"/>
        <v>0</v>
      </c>
      <c r="BJ575" s="56">
        <f t="shared" ca="1" si="193"/>
        <v>0</v>
      </c>
      <c r="BK575" s="56">
        <f t="shared" ca="1" si="194"/>
        <v>0</v>
      </c>
      <c r="BL575" s="56">
        <f t="shared" ca="1" si="195"/>
        <v>0</v>
      </c>
      <c r="BM575" s="56">
        <f t="shared" ca="1" si="196"/>
        <v>0</v>
      </c>
      <c r="BN575" s="56">
        <f t="shared" ca="1" si="197"/>
        <v>0</v>
      </c>
      <c r="BO575" s="56">
        <f t="shared" ca="1" si="198"/>
        <v>0</v>
      </c>
      <c r="BP575" s="56">
        <f t="shared" ca="1" si="199"/>
        <v>0</v>
      </c>
      <c r="BQ575" s="56">
        <f t="shared" ca="1" si="200"/>
        <v>0</v>
      </c>
      <c r="BR575" s="56">
        <f t="shared" ca="1" si="201"/>
        <v>0</v>
      </c>
      <c r="BS575" s="56">
        <f t="shared" ca="1" si="202"/>
        <v>0</v>
      </c>
      <c r="BT575" s="56">
        <f t="shared" ca="1" si="203"/>
        <v>0</v>
      </c>
      <c r="BU575" s="56">
        <f t="shared" ca="1" si="204"/>
        <v>0</v>
      </c>
      <c r="BV575" s="56">
        <f t="shared" ca="1" si="205"/>
        <v>0</v>
      </c>
      <c r="BW575" s="56">
        <f t="shared" ca="1" si="206"/>
        <v>0</v>
      </c>
      <c r="BX575" s="56">
        <f t="shared" ca="1" si="207"/>
        <v>0</v>
      </c>
      <c r="BY575" s="56">
        <f t="shared" ca="1" si="208"/>
        <v>0</v>
      </c>
      <c r="BZ575">
        <f t="shared" si="209"/>
        <v>0</v>
      </c>
      <c r="CA575">
        <f t="shared" si="209"/>
        <v>0</v>
      </c>
      <c r="CB575">
        <f t="shared" si="209"/>
        <v>0</v>
      </c>
      <c r="CC575" s="56">
        <f t="shared" ca="1" si="210"/>
        <v>0</v>
      </c>
      <c r="CD575" s="56">
        <f t="shared" ca="1" si="211"/>
        <v>0</v>
      </c>
      <c r="CE575" s="56">
        <f t="shared" ca="1" si="212"/>
        <v>0</v>
      </c>
      <c r="CF575" s="56">
        <f t="shared" ca="1" si="213"/>
        <v>0</v>
      </c>
      <c r="CG575" s="56">
        <f t="shared" ca="1" si="214"/>
        <v>0</v>
      </c>
      <c r="CH575" s="56">
        <f t="shared" ca="1" si="215"/>
        <v>0</v>
      </c>
      <c r="CI575" s="56">
        <f t="shared" ca="1" si="216"/>
        <v>0</v>
      </c>
      <c r="CJ575" s="56">
        <f t="shared" ca="1" si="217"/>
        <v>0</v>
      </c>
      <c r="CK575" s="56">
        <f t="shared" ca="1" si="218"/>
        <v>0</v>
      </c>
      <c r="CL575" s="56">
        <f t="shared" ca="1" si="219"/>
        <v>0</v>
      </c>
      <c r="CM575" s="56">
        <f t="shared" ca="1" si="220"/>
        <v>0</v>
      </c>
      <c r="CN575" s="56">
        <f t="shared" ca="1" si="221"/>
        <v>0</v>
      </c>
      <c r="CO575" s="56">
        <f t="shared" ca="1" si="222"/>
        <v>0</v>
      </c>
      <c r="CP575" s="56">
        <f t="shared" ca="1" si="223"/>
        <v>0</v>
      </c>
      <c r="CQ575" s="56">
        <f t="shared" ca="1" si="224"/>
        <v>0</v>
      </c>
      <c r="CR575" s="56">
        <f t="shared" ca="1" si="225"/>
        <v>0</v>
      </c>
      <c r="CS575" s="56">
        <f t="shared" ca="1" si="226"/>
        <v>0</v>
      </c>
      <c r="CT575" s="56">
        <f t="shared" ca="1" si="227"/>
        <v>0</v>
      </c>
      <c r="CU575" s="56">
        <f t="shared" ca="1" si="228"/>
        <v>0</v>
      </c>
      <c r="CV575" s="56">
        <f t="shared" ca="1" si="229"/>
        <v>0</v>
      </c>
      <c r="CW575" s="56">
        <f t="shared" ca="1" si="230"/>
        <v>0</v>
      </c>
      <c r="CX575" s="56">
        <f t="shared" ca="1" si="231"/>
        <v>0</v>
      </c>
      <c r="CY575" s="56">
        <f t="shared" ca="1" si="232"/>
        <v>0</v>
      </c>
      <c r="CZ575" s="56">
        <f t="shared" ca="1" si="233"/>
        <v>0</v>
      </c>
      <c r="DA575" s="56">
        <f t="shared" ca="1" si="234"/>
        <v>0</v>
      </c>
      <c r="DB575" s="56">
        <f t="shared" ca="1" si="235"/>
        <v>0</v>
      </c>
      <c r="DC575" s="56">
        <f t="shared" ca="1" si="236"/>
        <v>0</v>
      </c>
      <c r="DD575" s="56">
        <f t="shared" ca="1" si="237"/>
        <v>0</v>
      </c>
      <c r="DE575" s="56">
        <f t="shared" ca="1" si="238"/>
        <v>0</v>
      </c>
      <c r="DF575" s="56">
        <f t="shared" ca="1" si="239"/>
        <v>0</v>
      </c>
      <c r="DG575" s="56">
        <f t="shared" ca="1" si="240"/>
        <v>0</v>
      </c>
      <c r="DH575" s="56">
        <f t="shared" ca="1" si="241"/>
        <v>0</v>
      </c>
      <c r="DI575" s="56">
        <f t="shared" ca="1" si="242"/>
        <v>0</v>
      </c>
      <c r="DJ575" s="56">
        <f t="shared" ca="1" si="243"/>
        <v>0</v>
      </c>
      <c r="DK575" s="56">
        <f t="shared" ca="1" si="244"/>
        <v>0</v>
      </c>
      <c r="DL575" s="56">
        <f t="shared" ca="1" si="245"/>
        <v>0</v>
      </c>
      <c r="DM575" s="56">
        <f t="shared" ca="1" si="246"/>
        <v>0</v>
      </c>
      <c r="DN575" s="56">
        <f t="shared" ca="1" si="247"/>
        <v>0</v>
      </c>
      <c r="DO575" s="56">
        <f t="shared" ca="1" si="248"/>
        <v>0</v>
      </c>
      <c r="DP575" s="56">
        <f t="shared" ca="1" si="249"/>
        <v>0</v>
      </c>
      <c r="DQ575" s="56">
        <f t="shared" ca="1" si="250"/>
        <v>0</v>
      </c>
      <c r="DR575" s="56">
        <f t="shared" ca="1" si="251"/>
        <v>0</v>
      </c>
      <c r="DS575" s="56">
        <f t="shared" ca="1" si="252"/>
        <v>0</v>
      </c>
      <c r="DT575" s="56">
        <f t="shared" ca="1" si="253"/>
        <v>0</v>
      </c>
      <c r="DU575" s="56">
        <f t="shared" ca="1" si="254"/>
        <v>0</v>
      </c>
      <c r="DV575" s="56">
        <f t="shared" ca="1" si="255"/>
        <v>0</v>
      </c>
      <c r="DW575" s="56">
        <f t="shared" ca="1" si="256"/>
        <v>0</v>
      </c>
      <c r="DX575" s="56">
        <f t="shared" ca="1" si="257"/>
        <v>0</v>
      </c>
      <c r="DY575" s="56">
        <f t="shared" ca="1" si="258"/>
        <v>0</v>
      </c>
      <c r="DZ575" s="56">
        <f t="shared" ca="1" si="259"/>
        <v>0</v>
      </c>
    </row>
    <row r="576" spans="28:130">
      <c r="AB576" s="56">
        <f t="shared" ca="1" si="159"/>
        <v>0</v>
      </c>
      <c r="AC576" s="56">
        <f t="shared" ca="1" si="160"/>
        <v>0</v>
      </c>
      <c r="AD576" s="56">
        <f t="shared" ca="1" si="161"/>
        <v>0</v>
      </c>
      <c r="AE576" s="56">
        <f t="shared" ca="1" si="162"/>
        <v>0</v>
      </c>
      <c r="AF576" s="56">
        <f t="shared" ca="1" si="163"/>
        <v>0</v>
      </c>
      <c r="AG576" s="56">
        <f t="shared" ca="1" si="164"/>
        <v>0</v>
      </c>
      <c r="AH576" s="56">
        <f t="shared" ca="1" si="165"/>
        <v>0</v>
      </c>
      <c r="AI576" s="56">
        <f t="shared" ca="1" si="166"/>
        <v>0</v>
      </c>
      <c r="AJ576" s="56">
        <f t="shared" ca="1" si="167"/>
        <v>0</v>
      </c>
      <c r="AK576" s="56">
        <f t="shared" ca="1" si="168"/>
        <v>0</v>
      </c>
      <c r="AL576" s="56">
        <f t="shared" ca="1" si="169"/>
        <v>0</v>
      </c>
      <c r="AM576" s="56">
        <f t="shared" ca="1" si="170"/>
        <v>0</v>
      </c>
      <c r="AN576" s="56">
        <f t="shared" ca="1" si="171"/>
        <v>0</v>
      </c>
      <c r="AO576" s="56">
        <f t="shared" ca="1" si="172"/>
        <v>0</v>
      </c>
      <c r="AP576" s="56">
        <f t="shared" ca="1" si="173"/>
        <v>0</v>
      </c>
      <c r="AQ576" s="56">
        <f t="shared" ca="1" si="174"/>
        <v>0</v>
      </c>
      <c r="AR576" s="56">
        <f t="shared" ca="1" si="175"/>
        <v>0</v>
      </c>
      <c r="AS576" s="56">
        <f t="shared" ca="1" si="176"/>
        <v>0</v>
      </c>
      <c r="AT576" s="56">
        <f t="shared" ca="1" si="177"/>
        <v>0</v>
      </c>
      <c r="AU576" s="56">
        <f t="shared" ca="1" si="178"/>
        <v>0</v>
      </c>
      <c r="AV576" s="56">
        <f t="shared" ca="1" si="179"/>
        <v>0</v>
      </c>
      <c r="AW576" s="56">
        <f t="shared" ca="1" si="180"/>
        <v>0</v>
      </c>
      <c r="AX576" s="56">
        <f t="shared" ca="1" si="181"/>
        <v>0</v>
      </c>
      <c r="AY576" s="56">
        <f t="shared" ca="1" si="182"/>
        <v>0</v>
      </c>
      <c r="AZ576" s="56">
        <f t="shared" ca="1" si="183"/>
        <v>0</v>
      </c>
      <c r="BA576" s="56">
        <f t="shared" ca="1" si="184"/>
        <v>0</v>
      </c>
      <c r="BB576" s="56">
        <f t="shared" ca="1" si="185"/>
        <v>0</v>
      </c>
      <c r="BC576" s="56">
        <f t="shared" ca="1" si="186"/>
        <v>0</v>
      </c>
      <c r="BD576" s="56">
        <f t="shared" ca="1" si="187"/>
        <v>0</v>
      </c>
      <c r="BE576" s="56">
        <f t="shared" ca="1" si="188"/>
        <v>0</v>
      </c>
      <c r="BF576" s="56">
        <f t="shared" ca="1" si="189"/>
        <v>0</v>
      </c>
      <c r="BG576" s="56">
        <f t="shared" ca="1" si="190"/>
        <v>0</v>
      </c>
      <c r="BH576" s="56">
        <f t="shared" ca="1" si="191"/>
        <v>0</v>
      </c>
      <c r="BI576" s="56">
        <f t="shared" ca="1" si="192"/>
        <v>0</v>
      </c>
      <c r="BJ576" s="56">
        <f t="shared" ca="1" si="193"/>
        <v>0</v>
      </c>
      <c r="BK576" s="56">
        <f t="shared" ca="1" si="194"/>
        <v>0</v>
      </c>
      <c r="BL576" s="56">
        <f t="shared" ca="1" si="195"/>
        <v>0</v>
      </c>
      <c r="BM576" s="56">
        <f t="shared" ca="1" si="196"/>
        <v>0</v>
      </c>
      <c r="BN576" s="56">
        <f t="shared" ca="1" si="197"/>
        <v>0</v>
      </c>
      <c r="BO576" s="56">
        <f t="shared" ca="1" si="198"/>
        <v>0</v>
      </c>
      <c r="BP576" s="56">
        <f t="shared" ca="1" si="199"/>
        <v>0</v>
      </c>
      <c r="BQ576" s="56">
        <f t="shared" ca="1" si="200"/>
        <v>0</v>
      </c>
      <c r="BR576" s="56">
        <f t="shared" ca="1" si="201"/>
        <v>0</v>
      </c>
      <c r="BS576" s="56">
        <f t="shared" ca="1" si="202"/>
        <v>0</v>
      </c>
      <c r="BT576" s="56">
        <f t="shared" ca="1" si="203"/>
        <v>0</v>
      </c>
      <c r="BU576" s="56">
        <f t="shared" ca="1" si="204"/>
        <v>0</v>
      </c>
      <c r="BV576" s="56">
        <f t="shared" ca="1" si="205"/>
        <v>0</v>
      </c>
      <c r="BW576" s="56">
        <f t="shared" ca="1" si="206"/>
        <v>0</v>
      </c>
      <c r="BX576" s="56">
        <f t="shared" ca="1" si="207"/>
        <v>0</v>
      </c>
      <c r="BY576" s="56">
        <f t="shared" ca="1" si="208"/>
        <v>0</v>
      </c>
      <c r="BZ576">
        <f t="shared" si="209"/>
        <v>0</v>
      </c>
      <c r="CA576">
        <f t="shared" si="209"/>
        <v>0</v>
      </c>
      <c r="CB576">
        <f t="shared" si="209"/>
        <v>0</v>
      </c>
      <c r="CC576" s="56">
        <f t="shared" ca="1" si="210"/>
        <v>0</v>
      </c>
      <c r="CD576" s="56">
        <f t="shared" ca="1" si="211"/>
        <v>0</v>
      </c>
      <c r="CE576" s="56">
        <f t="shared" ca="1" si="212"/>
        <v>0</v>
      </c>
      <c r="CF576" s="56">
        <f t="shared" ca="1" si="213"/>
        <v>0</v>
      </c>
      <c r="CG576" s="56">
        <f t="shared" ca="1" si="214"/>
        <v>0</v>
      </c>
      <c r="CH576" s="56">
        <f t="shared" ca="1" si="215"/>
        <v>0</v>
      </c>
      <c r="CI576" s="56">
        <f t="shared" ca="1" si="216"/>
        <v>0</v>
      </c>
      <c r="CJ576" s="56">
        <f t="shared" ca="1" si="217"/>
        <v>0</v>
      </c>
      <c r="CK576" s="56">
        <f t="shared" ca="1" si="218"/>
        <v>0</v>
      </c>
      <c r="CL576" s="56">
        <f t="shared" ca="1" si="219"/>
        <v>0</v>
      </c>
      <c r="CM576" s="56">
        <f t="shared" ca="1" si="220"/>
        <v>0</v>
      </c>
      <c r="CN576" s="56">
        <f t="shared" ca="1" si="221"/>
        <v>0</v>
      </c>
      <c r="CO576" s="56">
        <f t="shared" ca="1" si="222"/>
        <v>0</v>
      </c>
      <c r="CP576" s="56">
        <f t="shared" ca="1" si="223"/>
        <v>0</v>
      </c>
      <c r="CQ576" s="56">
        <f t="shared" ca="1" si="224"/>
        <v>0</v>
      </c>
      <c r="CR576" s="56">
        <f t="shared" ca="1" si="225"/>
        <v>0</v>
      </c>
      <c r="CS576" s="56">
        <f t="shared" ca="1" si="226"/>
        <v>0</v>
      </c>
      <c r="CT576" s="56">
        <f t="shared" ca="1" si="227"/>
        <v>0</v>
      </c>
      <c r="CU576" s="56">
        <f t="shared" ca="1" si="228"/>
        <v>0</v>
      </c>
      <c r="CV576" s="56">
        <f t="shared" ca="1" si="229"/>
        <v>0</v>
      </c>
      <c r="CW576" s="56">
        <f t="shared" ca="1" si="230"/>
        <v>0</v>
      </c>
      <c r="CX576" s="56">
        <f t="shared" ca="1" si="231"/>
        <v>0</v>
      </c>
      <c r="CY576" s="56">
        <f t="shared" ca="1" si="232"/>
        <v>0</v>
      </c>
      <c r="CZ576" s="56">
        <f t="shared" ca="1" si="233"/>
        <v>0</v>
      </c>
      <c r="DA576" s="56">
        <f t="shared" ca="1" si="234"/>
        <v>0</v>
      </c>
      <c r="DB576" s="56">
        <f t="shared" ca="1" si="235"/>
        <v>0</v>
      </c>
      <c r="DC576" s="56">
        <f t="shared" ca="1" si="236"/>
        <v>0</v>
      </c>
      <c r="DD576" s="56">
        <f t="shared" ca="1" si="237"/>
        <v>0</v>
      </c>
      <c r="DE576" s="56">
        <f t="shared" ca="1" si="238"/>
        <v>0</v>
      </c>
      <c r="DF576" s="56">
        <f t="shared" ca="1" si="239"/>
        <v>0</v>
      </c>
      <c r="DG576" s="56">
        <f t="shared" ca="1" si="240"/>
        <v>0</v>
      </c>
      <c r="DH576" s="56">
        <f t="shared" ca="1" si="241"/>
        <v>0</v>
      </c>
      <c r="DI576" s="56">
        <f t="shared" ca="1" si="242"/>
        <v>0</v>
      </c>
      <c r="DJ576" s="56">
        <f t="shared" ca="1" si="243"/>
        <v>0</v>
      </c>
      <c r="DK576" s="56">
        <f t="shared" ca="1" si="244"/>
        <v>0</v>
      </c>
      <c r="DL576" s="56">
        <f t="shared" ca="1" si="245"/>
        <v>0</v>
      </c>
      <c r="DM576" s="56">
        <f t="shared" ca="1" si="246"/>
        <v>0</v>
      </c>
      <c r="DN576" s="56">
        <f t="shared" ca="1" si="247"/>
        <v>0</v>
      </c>
      <c r="DO576" s="56">
        <f t="shared" ca="1" si="248"/>
        <v>0</v>
      </c>
      <c r="DP576" s="56">
        <f t="shared" ca="1" si="249"/>
        <v>0</v>
      </c>
      <c r="DQ576" s="56">
        <f t="shared" ca="1" si="250"/>
        <v>0</v>
      </c>
      <c r="DR576" s="56">
        <f t="shared" ca="1" si="251"/>
        <v>0</v>
      </c>
      <c r="DS576" s="56">
        <f t="shared" ca="1" si="252"/>
        <v>0</v>
      </c>
      <c r="DT576" s="56">
        <f t="shared" ca="1" si="253"/>
        <v>0</v>
      </c>
      <c r="DU576" s="56">
        <f t="shared" ca="1" si="254"/>
        <v>0</v>
      </c>
      <c r="DV576" s="56">
        <f t="shared" ca="1" si="255"/>
        <v>0</v>
      </c>
      <c r="DW576" s="56">
        <f t="shared" ca="1" si="256"/>
        <v>0</v>
      </c>
      <c r="DX576" s="56">
        <f t="shared" ca="1" si="257"/>
        <v>0</v>
      </c>
      <c r="DY576" s="56">
        <f t="shared" ca="1" si="258"/>
        <v>0</v>
      </c>
      <c r="DZ576" s="56">
        <f t="shared" ca="1" si="259"/>
        <v>0</v>
      </c>
    </row>
    <row r="577" spans="28:130">
      <c r="AB577" s="56">
        <f t="shared" ca="1" si="159"/>
        <v>0</v>
      </c>
      <c r="AC577" s="56">
        <f t="shared" ca="1" si="160"/>
        <v>0</v>
      </c>
      <c r="AD577" s="56">
        <f t="shared" ca="1" si="161"/>
        <v>0</v>
      </c>
      <c r="AE577" s="56">
        <f t="shared" ca="1" si="162"/>
        <v>0</v>
      </c>
      <c r="AF577" s="56">
        <f t="shared" ca="1" si="163"/>
        <v>0</v>
      </c>
      <c r="AG577" s="56">
        <f t="shared" ca="1" si="164"/>
        <v>0</v>
      </c>
      <c r="AH577" s="56">
        <f t="shared" ca="1" si="165"/>
        <v>0</v>
      </c>
      <c r="AI577" s="56">
        <f t="shared" ca="1" si="166"/>
        <v>0</v>
      </c>
      <c r="AJ577" s="56">
        <f t="shared" ca="1" si="167"/>
        <v>0</v>
      </c>
      <c r="AK577" s="56">
        <f t="shared" ca="1" si="168"/>
        <v>0</v>
      </c>
      <c r="AL577" s="56">
        <f t="shared" ca="1" si="169"/>
        <v>0</v>
      </c>
      <c r="AM577" s="56">
        <f t="shared" ca="1" si="170"/>
        <v>0</v>
      </c>
      <c r="AN577" s="56">
        <f t="shared" ca="1" si="171"/>
        <v>0</v>
      </c>
      <c r="AO577" s="56">
        <f t="shared" ca="1" si="172"/>
        <v>0</v>
      </c>
      <c r="AP577" s="56">
        <f t="shared" ca="1" si="173"/>
        <v>0</v>
      </c>
      <c r="AQ577" s="56">
        <f t="shared" ca="1" si="174"/>
        <v>0</v>
      </c>
      <c r="AR577" s="56">
        <f t="shared" ca="1" si="175"/>
        <v>0</v>
      </c>
      <c r="AS577" s="56">
        <f t="shared" ca="1" si="176"/>
        <v>0</v>
      </c>
      <c r="AT577" s="56">
        <f t="shared" ca="1" si="177"/>
        <v>0</v>
      </c>
      <c r="AU577" s="56">
        <f t="shared" ca="1" si="178"/>
        <v>0</v>
      </c>
      <c r="AV577" s="56">
        <f t="shared" ca="1" si="179"/>
        <v>0</v>
      </c>
      <c r="AW577" s="56">
        <f t="shared" ca="1" si="180"/>
        <v>0</v>
      </c>
      <c r="AX577" s="56">
        <f t="shared" ca="1" si="181"/>
        <v>0</v>
      </c>
      <c r="AY577" s="56">
        <f t="shared" ca="1" si="182"/>
        <v>0</v>
      </c>
      <c r="AZ577" s="56">
        <f t="shared" ca="1" si="183"/>
        <v>0</v>
      </c>
      <c r="BA577" s="56">
        <f t="shared" ca="1" si="184"/>
        <v>0</v>
      </c>
      <c r="BB577" s="56">
        <f t="shared" ca="1" si="185"/>
        <v>0</v>
      </c>
      <c r="BC577" s="56">
        <f t="shared" ca="1" si="186"/>
        <v>0</v>
      </c>
      <c r="BD577" s="56">
        <f t="shared" ca="1" si="187"/>
        <v>0</v>
      </c>
      <c r="BE577" s="56">
        <f t="shared" ca="1" si="188"/>
        <v>0</v>
      </c>
      <c r="BF577" s="56">
        <f t="shared" ca="1" si="189"/>
        <v>0</v>
      </c>
      <c r="BG577" s="56">
        <f t="shared" ca="1" si="190"/>
        <v>0</v>
      </c>
      <c r="BH577" s="56">
        <f t="shared" ca="1" si="191"/>
        <v>0</v>
      </c>
      <c r="BI577" s="56">
        <f t="shared" ca="1" si="192"/>
        <v>0</v>
      </c>
      <c r="BJ577" s="56">
        <f t="shared" ca="1" si="193"/>
        <v>0</v>
      </c>
      <c r="BK577" s="56">
        <f t="shared" ca="1" si="194"/>
        <v>0</v>
      </c>
      <c r="BL577" s="56">
        <f t="shared" ca="1" si="195"/>
        <v>0</v>
      </c>
      <c r="BM577" s="56">
        <f t="shared" ca="1" si="196"/>
        <v>0</v>
      </c>
      <c r="BN577" s="56">
        <f t="shared" ca="1" si="197"/>
        <v>0</v>
      </c>
      <c r="BO577" s="56">
        <f t="shared" ca="1" si="198"/>
        <v>0</v>
      </c>
      <c r="BP577" s="56">
        <f t="shared" ca="1" si="199"/>
        <v>0</v>
      </c>
      <c r="BQ577" s="56">
        <f t="shared" ca="1" si="200"/>
        <v>0</v>
      </c>
      <c r="BR577" s="56">
        <f t="shared" ca="1" si="201"/>
        <v>0</v>
      </c>
      <c r="BS577" s="56">
        <f t="shared" ca="1" si="202"/>
        <v>0</v>
      </c>
      <c r="BT577" s="56">
        <f t="shared" ca="1" si="203"/>
        <v>0</v>
      </c>
      <c r="BU577" s="56">
        <f t="shared" ca="1" si="204"/>
        <v>0</v>
      </c>
      <c r="BV577" s="56">
        <f t="shared" ca="1" si="205"/>
        <v>0</v>
      </c>
      <c r="BW577" s="56">
        <f t="shared" ca="1" si="206"/>
        <v>0</v>
      </c>
      <c r="BX577" s="56">
        <f t="shared" ca="1" si="207"/>
        <v>0</v>
      </c>
      <c r="BY577" s="56">
        <f t="shared" ca="1" si="208"/>
        <v>0</v>
      </c>
      <c r="BZ577">
        <f t="shared" si="209"/>
        <v>0</v>
      </c>
      <c r="CA577">
        <f t="shared" si="209"/>
        <v>0</v>
      </c>
      <c r="CB577">
        <f t="shared" si="209"/>
        <v>0</v>
      </c>
      <c r="CC577" s="56">
        <f t="shared" ca="1" si="210"/>
        <v>0</v>
      </c>
      <c r="CD577" s="56">
        <f t="shared" ca="1" si="211"/>
        <v>0</v>
      </c>
      <c r="CE577" s="56">
        <f t="shared" ca="1" si="212"/>
        <v>0</v>
      </c>
      <c r="CF577" s="56">
        <f t="shared" ca="1" si="213"/>
        <v>0</v>
      </c>
      <c r="CG577" s="56">
        <f t="shared" ca="1" si="214"/>
        <v>0</v>
      </c>
      <c r="CH577" s="56">
        <f t="shared" ca="1" si="215"/>
        <v>0</v>
      </c>
      <c r="CI577" s="56">
        <f t="shared" ca="1" si="216"/>
        <v>0</v>
      </c>
      <c r="CJ577" s="56">
        <f t="shared" ca="1" si="217"/>
        <v>0</v>
      </c>
      <c r="CK577" s="56">
        <f t="shared" ca="1" si="218"/>
        <v>0</v>
      </c>
      <c r="CL577" s="56">
        <f t="shared" ca="1" si="219"/>
        <v>0</v>
      </c>
      <c r="CM577" s="56">
        <f t="shared" ca="1" si="220"/>
        <v>0</v>
      </c>
      <c r="CN577" s="56">
        <f t="shared" ca="1" si="221"/>
        <v>0</v>
      </c>
      <c r="CO577" s="56">
        <f t="shared" ca="1" si="222"/>
        <v>0</v>
      </c>
      <c r="CP577" s="56">
        <f t="shared" ca="1" si="223"/>
        <v>0</v>
      </c>
      <c r="CQ577" s="56">
        <f t="shared" ca="1" si="224"/>
        <v>0</v>
      </c>
      <c r="CR577" s="56">
        <f t="shared" ca="1" si="225"/>
        <v>0</v>
      </c>
      <c r="CS577" s="56">
        <f t="shared" ca="1" si="226"/>
        <v>0</v>
      </c>
      <c r="CT577" s="56">
        <f t="shared" ca="1" si="227"/>
        <v>0</v>
      </c>
      <c r="CU577" s="56">
        <f t="shared" ca="1" si="228"/>
        <v>0</v>
      </c>
      <c r="CV577" s="56">
        <f t="shared" ca="1" si="229"/>
        <v>0</v>
      </c>
      <c r="CW577" s="56">
        <f t="shared" ca="1" si="230"/>
        <v>0</v>
      </c>
      <c r="CX577" s="56">
        <f t="shared" ca="1" si="231"/>
        <v>0</v>
      </c>
      <c r="CY577" s="56">
        <f t="shared" ca="1" si="232"/>
        <v>0</v>
      </c>
      <c r="CZ577" s="56">
        <f t="shared" ca="1" si="233"/>
        <v>0</v>
      </c>
      <c r="DA577" s="56">
        <f t="shared" ca="1" si="234"/>
        <v>0</v>
      </c>
      <c r="DB577" s="56">
        <f t="shared" ca="1" si="235"/>
        <v>0</v>
      </c>
      <c r="DC577" s="56">
        <f t="shared" ca="1" si="236"/>
        <v>0</v>
      </c>
      <c r="DD577" s="56">
        <f t="shared" ca="1" si="237"/>
        <v>0</v>
      </c>
      <c r="DE577" s="56">
        <f t="shared" ca="1" si="238"/>
        <v>0</v>
      </c>
      <c r="DF577" s="56">
        <f t="shared" ca="1" si="239"/>
        <v>0</v>
      </c>
      <c r="DG577" s="56">
        <f t="shared" ca="1" si="240"/>
        <v>0</v>
      </c>
      <c r="DH577" s="56">
        <f t="shared" ca="1" si="241"/>
        <v>0</v>
      </c>
      <c r="DI577" s="56">
        <f t="shared" ca="1" si="242"/>
        <v>0</v>
      </c>
      <c r="DJ577" s="56">
        <f t="shared" ca="1" si="243"/>
        <v>0</v>
      </c>
      <c r="DK577" s="56">
        <f t="shared" ca="1" si="244"/>
        <v>0</v>
      </c>
      <c r="DL577" s="56">
        <f t="shared" ca="1" si="245"/>
        <v>0</v>
      </c>
      <c r="DM577" s="56">
        <f t="shared" ca="1" si="246"/>
        <v>0</v>
      </c>
      <c r="DN577" s="56">
        <f t="shared" ca="1" si="247"/>
        <v>0</v>
      </c>
      <c r="DO577" s="56">
        <f t="shared" ca="1" si="248"/>
        <v>0</v>
      </c>
      <c r="DP577" s="56">
        <f t="shared" ca="1" si="249"/>
        <v>0</v>
      </c>
      <c r="DQ577" s="56">
        <f t="shared" ca="1" si="250"/>
        <v>0</v>
      </c>
      <c r="DR577" s="56">
        <f t="shared" ca="1" si="251"/>
        <v>0</v>
      </c>
      <c r="DS577" s="56">
        <f t="shared" ca="1" si="252"/>
        <v>0</v>
      </c>
      <c r="DT577" s="56">
        <f t="shared" ca="1" si="253"/>
        <v>0</v>
      </c>
      <c r="DU577" s="56">
        <f t="shared" ca="1" si="254"/>
        <v>0</v>
      </c>
      <c r="DV577" s="56">
        <f t="shared" ca="1" si="255"/>
        <v>0</v>
      </c>
      <c r="DW577" s="56">
        <f t="shared" ca="1" si="256"/>
        <v>0</v>
      </c>
      <c r="DX577" s="56">
        <f t="shared" ca="1" si="257"/>
        <v>0</v>
      </c>
      <c r="DY577" s="56">
        <f t="shared" ca="1" si="258"/>
        <v>0</v>
      </c>
      <c r="DZ577" s="56">
        <f t="shared" ca="1" si="259"/>
        <v>0</v>
      </c>
    </row>
    <row r="578" spans="28:130">
      <c r="AB578" s="56">
        <f t="shared" ca="1" si="159"/>
        <v>0</v>
      </c>
      <c r="AC578" s="56">
        <f t="shared" ca="1" si="160"/>
        <v>0</v>
      </c>
      <c r="AD578" s="56">
        <f t="shared" ca="1" si="161"/>
        <v>0</v>
      </c>
      <c r="AE578" s="56">
        <f t="shared" ca="1" si="162"/>
        <v>0</v>
      </c>
      <c r="AF578" s="56">
        <f t="shared" ca="1" si="163"/>
        <v>0</v>
      </c>
      <c r="AG578" s="56">
        <f t="shared" ca="1" si="164"/>
        <v>0</v>
      </c>
      <c r="AH578" s="56">
        <f t="shared" ca="1" si="165"/>
        <v>0</v>
      </c>
      <c r="AI578" s="56">
        <f t="shared" ca="1" si="166"/>
        <v>0</v>
      </c>
      <c r="AJ578" s="56">
        <f t="shared" ca="1" si="167"/>
        <v>0</v>
      </c>
      <c r="AK578" s="56">
        <f t="shared" ca="1" si="168"/>
        <v>0</v>
      </c>
      <c r="AL578" s="56">
        <f t="shared" ca="1" si="169"/>
        <v>0</v>
      </c>
      <c r="AM578" s="56">
        <f t="shared" ca="1" si="170"/>
        <v>0</v>
      </c>
      <c r="AN578" s="56">
        <f t="shared" ca="1" si="171"/>
        <v>0</v>
      </c>
      <c r="AO578" s="56">
        <f t="shared" ca="1" si="172"/>
        <v>0</v>
      </c>
      <c r="AP578" s="56">
        <f t="shared" ca="1" si="173"/>
        <v>0</v>
      </c>
      <c r="AQ578" s="56">
        <f t="shared" ca="1" si="174"/>
        <v>0</v>
      </c>
      <c r="AR578" s="56">
        <f t="shared" ca="1" si="175"/>
        <v>0</v>
      </c>
      <c r="AS578" s="56">
        <f t="shared" ca="1" si="176"/>
        <v>0</v>
      </c>
      <c r="AT578" s="56">
        <f t="shared" ca="1" si="177"/>
        <v>0</v>
      </c>
      <c r="AU578" s="56">
        <f t="shared" ca="1" si="178"/>
        <v>0</v>
      </c>
      <c r="AV578" s="56">
        <f t="shared" ca="1" si="179"/>
        <v>0</v>
      </c>
      <c r="AW578" s="56">
        <f t="shared" ca="1" si="180"/>
        <v>0</v>
      </c>
      <c r="AX578" s="56">
        <f t="shared" ca="1" si="181"/>
        <v>0</v>
      </c>
      <c r="AY578" s="56">
        <f t="shared" ca="1" si="182"/>
        <v>0</v>
      </c>
      <c r="AZ578" s="56">
        <f t="shared" ca="1" si="183"/>
        <v>0</v>
      </c>
      <c r="BA578" s="56">
        <f t="shared" ca="1" si="184"/>
        <v>0</v>
      </c>
      <c r="BB578" s="56">
        <f t="shared" ca="1" si="185"/>
        <v>0</v>
      </c>
      <c r="BC578" s="56">
        <f t="shared" ca="1" si="186"/>
        <v>0</v>
      </c>
      <c r="BD578" s="56">
        <f t="shared" ca="1" si="187"/>
        <v>0</v>
      </c>
      <c r="BE578" s="56">
        <f t="shared" ca="1" si="188"/>
        <v>0</v>
      </c>
      <c r="BF578" s="56">
        <f t="shared" ca="1" si="189"/>
        <v>0</v>
      </c>
      <c r="BG578" s="56">
        <f t="shared" ca="1" si="190"/>
        <v>0</v>
      </c>
      <c r="BH578" s="56">
        <f t="shared" ca="1" si="191"/>
        <v>0</v>
      </c>
      <c r="BI578" s="56">
        <f t="shared" ca="1" si="192"/>
        <v>0</v>
      </c>
      <c r="BJ578" s="56">
        <f t="shared" ca="1" si="193"/>
        <v>0</v>
      </c>
      <c r="BK578" s="56">
        <f t="shared" ca="1" si="194"/>
        <v>0</v>
      </c>
      <c r="BL578" s="56">
        <f t="shared" ca="1" si="195"/>
        <v>0</v>
      </c>
      <c r="BM578" s="56">
        <f t="shared" ca="1" si="196"/>
        <v>0</v>
      </c>
      <c r="BN578" s="56">
        <f t="shared" ca="1" si="197"/>
        <v>0</v>
      </c>
      <c r="BO578" s="56">
        <f t="shared" ca="1" si="198"/>
        <v>0</v>
      </c>
      <c r="BP578" s="56">
        <f t="shared" ca="1" si="199"/>
        <v>0</v>
      </c>
      <c r="BQ578" s="56">
        <f t="shared" ca="1" si="200"/>
        <v>0</v>
      </c>
      <c r="BR578" s="56">
        <f t="shared" ca="1" si="201"/>
        <v>0</v>
      </c>
      <c r="BS578" s="56">
        <f t="shared" ca="1" si="202"/>
        <v>0</v>
      </c>
      <c r="BT578" s="56">
        <f t="shared" ca="1" si="203"/>
        <v>0</v>
      </c>
      <c r="BU578" s="56">
        <f t="shared" ca="1" si="204"/>
        <v>0</v>
      </c>
      <c r="BV578" s="56">
        <f t="shared" ca="1" si="205"/>
        <v>0</v>
      </c>
      <c r="BW578" s="56">
        <f t="shared" ca="1" si="206"/>
        <v>0</v>
      </c>
      <c r="BX578" s="56">
        <f t="shared" ca="1" si="207"/>
        <v>0</v>
      </c>
      <c r="BY578" s="56">
        <f t="shared" ca="1" si="208"/>
        <v>0</v>
      </c>
      <c r="BZ578">
        <f t="shared" si="209"/>
        <v>0</v>
      </c>
      <c r="CA578">
        <f t="shared" si="209"/>
        <v>0</v>
      </c>
      <c r="CB578">
        <f t="shared" si="209"/>
        <v>0</v>
      </c>
      <c r="CC578" s="56">
        <f t="shared" ca="1" si="210"/>
        <v>0</v>
      </c>
      <c r="CD578" s="56">
        <f t="shared" ca="1" si="211"/>
        <v>0</v>
      </c>
      <c r="CE578" s="56">
        <f t="shared" ca="1" si="212"/>
        <v>0</v>
      </c>
      <c r="CF578" s="56">
        <f t="shared" ca="1" si="213"/>
        <v>0</v>
      </c>
      <c r="CG578" s="56">
        <f t="shared" ca="1" si="214"/>
        <v>0</v>
      </c>
      <c r="CH578" s="56">
        <f t="shared" ca="1" si="215"/>
        <v>0</v>
      </c>
      <c r="CI578" s="56">
        <f t="shared" ca="1" si="216"/>
        <v>0</v>
      </c>
      <c r="CJ578" s="56">
        <f t="shared" ca="1" si="217"/>
        <v>0</v>
      </c>
      <c r="CK578" s="56">
        <f t="shared" ca="1" si="218"/>
        <v>0</v>
      </c>
      <c r="CL578" s="56">
        <f t="shared" ca="1" si="219"/>
        <v>0</v>
      </c>
      <c r="CM578" s="56">
        <f t="shared" ca="1" si="220"/>
        <v>0</v>
      </c>
      <c r="CN578" s="56">
        <f t="shared" ca="1" si="221"/>
        <v>0</v>
      </c>
      <c r="CO578" s="56">
        <f t="shared" ca="1" si="222"/>
        <v>0</v>
      </c>
      <c r="CP578" s="56">
        <f t="shared" ca="1" si="223"/>
        <v>0</v>
      </c>
      <c r="CQ578" s="56">
        <f t="shared" ca="1" si="224"/>
        <v>0</v>
      </c>
      <c r="CR578" s="56">
        <f t="shared" ca="1" si="225"/>
        <v>0</v>
      </c>
      <c r="CS578" s="56">
        <f t="shared" ca="1" si="226"/>
        <v>0</v>
      </c>
      <c r="CT578" s="56">
        <f t="shared" ca="1" si="227"/>
        <v>0</v>
      </c>
      <c r="CU578" s="56">
        <f t="shared" ca="1" si="228"/>
        <v>0</v>
      </c>
      <c r="CV578" s="56">
        <f t="shared" ca="1" si="229"/>
        <v>0</v>
      </c>
      <c r="CW578" s="56">
        <f t="shared" ca="1" si="230"/>
        <v>0</v>
      </c>
      <c r="CX578" s="56">
        <f t="shared" ca="1" si="231"/>
        <v>0</v>
      </c>
      <c r="CY578" s="56">
        <f t="shared" ca="1" si="232"/>
        <v>0</v>
      </c>
      <c r="CZ578" s="56">
        <f t="shared" ca="1" si="233"/>
        <v>0</v>
      </c>
      <c r="DA578" s="56">
        <f t="shared" ca="1" si="234"/>
        <v>0</v>
      </c>
      <c r="DB578" s="56">
        <f t="shared" ca="1" si="235"/>
        <v>0</v>
      </c>
      <c r="DC578" s="56">
        <f t="shared" ca="1" si="236"/>
        <v>0</v>
      </c>
      <c r="DD578" s="56">
        <f t="shared" ca="1" si="237"/>
        <v>0</v>
      </c>
      <c r="DE578" s="56">
        <f t="shared" ca="1" si="238"/>
        <v>0</v>
      </c>
      <c r="DF578" s="56">
        <f t="shared" ca="1" si="239"/>
        <v>0</v>
      </c>
      <c r="DG578" s="56">
        <f t="shared" ca="1" si="240"/>
        <v>0</v>
      </c>
      <c r="DH578" s="56">
        <f t="shared" ca="1" si="241"/>
        <v>0</v>
      </c>
      <c r="DI578" s="56">
        <f t="shared" ca="1" si="242"/>
        <v>0</v>
      </c>
      <c r="DJ578" s="56">
        <f t="shared" ca="1" si="243"/>
        <v>0</v>
      </c>
      <c r="DK578" s="56">
        <f t="shared" ca="1" si="244"/>
        <v>0</v>
      </c>
      <c r="DL578" s="56">
        <f t="shared" ca="1" si="245"/>
        <v>0</v>
      </c>
      <c r="DM578" s="56">
        <f t="shared" ca="1" si="246"/>
        <v>0</v>
      </c>
      <c r="DN578" s="56">
        <f t="shared" ca="1" si="247"/>
        <v>0</v>
      </c>
      <c r="DO578" s="56">
        <f t="shared" ca="1" si="248"/>
        <v>0</v>
      </c>
      <c r="DP578" s="56">
        <f t="shared" ca="1" si="249"/>
        <v>0</v>
      </c>
      <c r="DQ578" s="56">
        <f t="shared" ca="1" si="250"/>
        <v>0</v>
      </c>
      <c r="DR578" s="56">
        <f t="shared" ca="1" si="251"/>
        <v>0</v>
      </c>
      <c r="DS578" s="56">
        <f t="shared" ca="1" si="252"/>
        <v>0</v>
      </c>
      <c r="DT578" s="56">
        <f t="shared" ca="1" si="253"/>
        <v>0</v>
      </c>
      <c r="DU578" s="56">
        <f t="shared" ca="1" si="254"/>
        <v>0</v>
      </c>
      <c r="DV578" s="56">
        <f t="shared" ca="1" si="255"/>
        <v>0</v>
      </c>
      <c r="DW578" s="56">
        <f t="shared" ca="1" si="256"/>
        <v>0</v>
      </c>
      <c r="DX578" s="56">
        <f t="shared" ca="1" si="257"/>
        <v>0</v>
      </c>
      <c r="DY578" s="56">
        <f t="shared" ca="1" si="258"/>
        <v>0</v>
      </c>
      <c r="DZ578" s="56">
        <f t="shared" ca="1" si="259"/>
        <v>0</v>
      </c>
    </row>
    <row r="579" spans="28:130">
      <c r="AB579" s="56">
        <f t="shared" ca="1" si="159"/>
        <v>0</v>
      </c>
      <c r="AC579" s="56">
        <f t="shared" ca="1" si="160"/>
        <v>0</v>
      </c>
      <c r="AD579" s="56">
        <f t="shared" ca="1" si="161"/>
        <v>0</v>
      </c>
      <c r="AE579" s="56">
        <f t="shared" ca="1" si="162"/>
        <v>0</v>
      </c>
      <c r="AF579" s="56">
        <f t="shared" ca="1" si="163"/>
        <v>0</v>
      </c>
      <c r="AG579" s="56">
        <f t="shared" ca="1" si="164"/>
        <v>0</v>
      </c>
      <c r="AH579" s="56">
        <f t="shared" ca="1" si="165"/>
        <v>0</v>
      </c>
      <c r="AI579" s="56">
        <f t="shared" ca="1" si="166"/>
        <v>0</v>
      </c>
      <c r="AJ579" s="56">
        <f t="shared" ca="1" si="167"/>
        <v>0</v>
      </c>
      <c r="AK579" s="56">
        <f t="shared" ca="1" si="168"/>
        <v>0</v>
      </c>
      <c r="AL579" s="56">
        <f t="shared" ca="1" si="169"/>
        <v>0</v>
      </c>
      <c r="AM579" s="56">
        <f t="shared" ca="1" si="170"/>
        <v>0</v>
      </c>
      <c r="AN579" s="56">
        <f t="shared" ca="1" si="171"/>
        <v>0</v>
      </c>
      <c r="AO579" s="56">
        <f t="shared" ca="1" si="172"/>
        <v>0</v>
      </c>
      <c r="AP579" s="56">
        <f t="shared" ca="1" si="173"/>
        <v>0</v>
      </c>
      <c r="AQ579" s="56">
        <f t="shared" ca="1" si="174"/>
        <v>0</v>
      </c>
      <c r="AR579" s="56">
        <f t="shared" ca="1" si="175"/>
        <v>0</v>
      </c>
      <c r="AS579" s="56">
        <f t="shared" ca="1" si="176"/>
        <v>0</v>
      </c>
      <c r="AT579" s="56">
        <f t="shared" ca="1" si="177"/>
        <v>0</v>
      </c>
      <c r="AU579" s="56">
        <f t="shared" ca="1" si="178"/>
        <v>0</v>
      </c>
      <c r="AV579" s="56">
        <f t="shared" ca="1" si="179"/>
        <v>0</v>
      </c>
      <c r="AW579" s="56">
        <f t="shared" ca="1" si="180"/>
        <v>0</v>
      </c>
      <c r="AX579" s="56">
        <f t="shared" ca="1" si="181"/>
        <v>0</v>
      </c>
      <c r="AY579" s="56">
        <f t="shared" ca="1" si="182"/>
        <v>0</v>
      </c>
      <c r="AZ579" s="56">
        <f t="shared" ca="1" si="183"/>
        <v>0</v>
      </c>
      <c r="BA579" s="56">
        <f t="shared" ca="1" si="184"/>
        <v>0</v>
      </c>
      <c r="BB579" s="56">
        <f t="shared" ca="1" si="185"/>
        <v>0</v>
      </c>
      <c r="BC579" s="56">
        <f t="shared" ca="1" si="186"/>
        <v>0</v>
      </c>
      <c r="BD579" s="56">
        <f t="shared" ca="1" si="187"/>
        <v>0</v>
      </c>
      <c r="BE579" s="56">
        <f t="shared" ca="1" si="188"/>
        <v>0</v>
      </c>
      <c r="BF579" s="56">
        <f t="shared" ca="1" si="189"/>
        <v>0</v>
      </c>
      <c r="BG579" s="56">
        <f t="shared" ca="1" si="190"/>
        <v>0</v>
      </c>
      <c r="BH579" s="56">
        <f t="shared" ca="1" si="191"/>
        <v>0</v>
      </c>
      <c r="BI579" s="56">
        <f t="shared" ca="1" si="192"/>
        <v>0</v>
      </c>
      <c r="BJ579" s="56">
        <f t="shared" ca="1" si="193"/>
        <v>0</v>
      </c>
      <c r="BK579" s="56">
        <f t="shared" ca="1" si="194"/>
        <v>0</v>
      </c>
      <c r="BL579" s="56">
        <f t="shared" ca="1" si="195"/>
        <v>0</v>
      </c>
      <c r="BM579" s="56">
        <f t="shared" ca="1" si="196"/>
        <v>0</v>
      </c>
      <c r="BN579" s="56">
        <f t="shared" ca="1" si="197"/>
        <v>0</v>
      </c>
      <c r="BO579" s="56">
        <f t="shared" ca="1" si="198"/>
        <v>0</v>
      </c>
      <c r="BP579" s="56">
        <f t="shared" ca="1" si="199"/>
        <v>0</v>
      </c>
      <c r="BQ579" s="56">
        <f t="shared" ca="1" si="200"/>
        <v>0</v>
      </c>
      <c r="BR579" s="56">
        <f t="shared" ca="1" si="201"/>
        <v>0</v>
      </c>
      <c r="BS579" s="56">
        <f t="shared" ca="1" si="202"/>
        <v>0</v>
      </c>
      <c r="BT579" s="56">
        <f t="shared" ca="1" si="203"/>
        <v>0</v>
      </c>
      <c r="BU579" s="56">
        <f t="shared" ca="1" si="204"/>
        <v>0</v>
      </c>
      <c r="BV579" s="56">
        <f t="shared" ca="1" si="205"/>
        <v>0</v>
      </c>
      <c r="BW579" s="56">
        <f t="shared" ca="1" si="206"/>
        <v>0</v>
      </c>
      <c r="BX579" s="56">
        <f t="shared" ca="1" si="207"/>
        <v>0</v>
      </c>
      <c r="BY579" s="56">
        <f t="shared" ca="1" si="208"/>
        <v>0</v>
      </c>
      <c r="BZ579">
        <f t="shared" si="209"/>
        <v>0</v>
      </c>
      <c r="CA579">
        <f t="shared" si="209"/>
        <v>0</v>
      </c>
      <c r="CB579">
        <f t="shared" si="209"/>
        <v>0</v>
      </c>
      <c r="CC579" s="56">
        <f t="shared" ca="1" si="210"/>
        <v>0</v>
      </c>
      <c r="CD579" s="56">
        <f t="shared" ca="1" si="211"/>
        <v>0</v>
      </c>
      <c r="CE579" s="56">
        <f t="shared" ca="1" si="212"/>
        <v>0</v>
      </c>
      <c r="CF579" s="56">
        <f t="shared" ca="1" si="213"/>
        <v>0</v>
      </c>
      <c r="CG579" s="56">
        <f t="shared" ca="1" si="214"/>
        <v>0</v>
      </c>
      <c r="CH579" s="56">
        <f t="shared" ca="1" si="215"/>
        <v>0</v>
      </c>
      <c r="CI579" s="56">
        <f t="shared" ca="1" si="216"/>
        <v>0</v>
      </c>
      <c r="CJ579" s="56">
        <f t="shared" ca="1" si="217"/>
        <v>0</v>
      </c>
      <c r="CK579" s="56">
        <f t="shared" ca="1" si="218"/>
        <v>0</v>
      </c>
      <c r="CL579" s="56">
        <f t="shared" ca="1" si="219"/>
        <v>0</v>
      </c>
      <c r="CM579" s="56">
        <f t="shared" ca="1" si="220"/>
        <v>0</v>
      </c>
      <c r="CN579" s="56">
        <f t="shared" ca="1" si="221"/>
        <v>0</v>
      </c>
      <c r="CO579" s="56">
        <f t="shared" ca="1" si="222"/>
        <v>0</v>
      </c>
      <c r="CP579" s="56">
        <f t="shared" ca="1" si="223"/>
        <v>0</v>
      </c>
      <c r="CQ579" s="56">
        <f t="shared" ca="1" si="224"/>
        <v>0</v>
      </c>
      <c r="CR579" s="56">
        <f t="shared" ca="1" si="225"/>
        <v>0</v>
      </c>
      <c r="CS579" s="56">
        <f t="shared" ca="1" si="226"/>
        <v>0</v>
      </c>
      <c r="CT579" s="56">
        <f t="shared" ca="1" si="227"/>
        <v>0</v>
      </c>
      <c r="CU579" s="56">
        <f t="shared" ca="1" si="228"/>
        <v>0</v>
      </c>
      <c r="CV579" s="56">
        <f t="shared" ca="1" si="229"/>
        <v>0</v>
      </c>
      <c r="CW579" s="56">
        <f t="shared" ca="1" si="230"/>
        <v>0</v>
      </c>
      <c r="CX579" s="56">
        <f t="shared" ca="1" si="231"/>
        <v>0</v>
      </c>
      <c r="CY579" s="56">
        <f t="shared" ca="1" si="232"/>
        <v>0</v>
      </c>
      <c r="CZ579" s="56">
        <f t="shared" ca="1" si="233"/>
        <v>0</v>
      </c>
      <c r="DA579" s="56">
        <f t="shared" ca="1" si="234"/>
        <v>0</v>
      </c>
      <c r="DB579" s="56">
        <f t="shared" ca="1" si="235"/>
        <v>0</v>
      </c>
      <c r="DC579" s="56">
        <f t="shared" ca="1" si="236"/>
        <v>0</v>
      </c>
      <c r="DD579" s="56">
        <f t="shared" ca="1" si="237"/>
        <v>0</v>
      </c>
      <c r="DE579" s="56">
        <f t="shared" ca="1" si="238"/>
        <v>0</v>
      </c>
      <c r="DF579" s="56">
        <f t="shared" ca="1" si="239"/>
        <v>0</v>
      </c>
      <c r="DG579" s="56">
        <f t="shared" ca="1" si="240"/>
        <v>0</v>
      </c>
      <c r="DH579" s="56">
        <f t="shared" ca="1" si="241"/>
        <v>0</v>
      </c>
      <c r="DI579" s="56">
        <f t="shared" ca="1" si="242"/>
        <v>0</v>
      </c>
      <c r="DJ579" s="56">
        <f t="shared" ca="1" si="243"/>
        <v>0</v>
      </c>
      <c r="DK579" s="56">
        <f t="shared" ca="1" si="244"/>
        <v>0</v>
      </c>
      <c r="DL579" s="56">
        <f t="shared" ca="1" si="245"/>
        <v>0</v>
      </c>
      <c r="DM579" s="56">
        <f t="shared" ca="1" si="246"/>
        <v>0</v>
      </c>
      <c r="DN579" s="56">
        <f t="shared" ca="1" si="247"/>
        <v>0</v>
      </c>
      <c r="DO579" s="56">
        <f t="shared" ca="1" si="248"/>
        <v>0</v>
      </c>
      <c r="DP579" s="56">
        <f t="shared" ca="1" si="249"/>
        <v>0</v>
      </c>
      <c r="DQ579" s="56">
        <f t="shared" ca="1" si="250"/>
        <v>0</v>
      </c>
      <c r="DR579" s="56">
        <f t="shared" ca="1" si="251"/>
        <v>0</v>
      </c>
      <c r="DS579" s="56">
        <f t="shared" ca="1" si="252"/>
        <v>0</v>
      </c>
      <c r="DT579" s="56">
        <f t="shared" ca="1" si="253"/>
        <v>0</v>
      </c>
      <c r="DU579" s="56">
        <f t="shared" ca="1" si="254"/>
        <v>0</v>
      </c>
      <c r="DV579" s="56">
        <f t="shared" ca="1" si="255"/>
        <v>0</v>
      </c>
      <c r="DW579" s="56">
        <f t="shared" ca="1" si="256"/>
        <v>0</v>
      </c>
      <c r="DX579" s="56">
        <f t="shared" ca="1" si="257"/>
        <v>0</v>
      </c>
      <c r="DY579" s="56">
        <f t="shared" ca="1" si="258"/>
        <v>0</v>
      </c>
      <c r="DZ579" s="56">
        <f t="shared" ca="1" si="259"/>
        <v>0</v>
      </c>
    </row>
    <row r="580" spans="28:130">
      <c r="AB580" s="56">
        <f t="shared" ca="1" si="159"/>
        <v>0</v>
      </c>
      <c r="AC580" s="56">
        <f t="shared" ca="1" si="160"/>
        <v>0</v>
      </c>
      <c r="AD580" s="56">
        <f t="shared" ca="1" si="161"/>
        <v>0</v>
      </c>
      <c r="AE580" s="56">
        <f t="shared" ca="1" si="162"/>
        <v>0</v>
      </c>
      <c r="AF580" s="56">
        <f t="shared" ca="1" si="163"/>
        <v>0</v>
      </c>
      <c r="AG580" s="56">
        <f t="shared" ca="1" si="164"/>
        <v>0</v>
      </c>
      <c r="AH580" s="56">
        <f t="shared" ca="1" si="165"/>
        <v>0</v>
      </c>
      <c r="AI580" s="56">
        <f t="shared" ca="1" si="166"/>
        <v>0</v>
      </c>
      <c r="AJ580" s="56">
        <f t="shared" ca="1" si="167"/>
        <v>0</v>
      </c>
      <c r="AK580" s="56">
        <f t="shared" ca="1" si="168"/>
        <v>0</v>
      </c>
      <c r="AL580" s="56">
        <f t="shared" ca="1" si="169"/>
        <v>0</v>
      </c>
      <c r="AM580" s="56">
        <f t="shared" ca="1" si="170"/>
        <v>0</v>
      </c>
      <c r="AN580" s="56">
        <f t="shared" ca="1" si="171"/>
        <v>0</v>
      </c>
      <c r="AO580" s="56">
        <f t="shared" ca="1" si="172"/>
        <v>0</v>
      </c>
      <c r="AP580" s="56">
        <f t="shared" ca="1" si="173"/>
        <v>0</v>
      </c>
      <c r="AQ580" s="56">
        <f t="shared" ca="1" si="174"/>
        <v>0</v>
      </c>
      <c r="AR580" s="56">
        <f t="shared" ca="1" si="175"/>
        <v>0</v>
      </c>
      <c r="AS580" s="56">
        <f t="shared" ca="1" si="176"/>
        <v>0</v>
      </c>
      <c r="AT580" s="56">
        <f t="shared" ca="1" si="177"/>
        <v>0</v>
      </c>
      <c r="AU580" s="56">
        <f t="shared" ca="1" si="178"/>
        <v>0</v>
      </c>
      <c r="AV580" s="56">
        <f t="shared" ca="1" si="179"/>
        <v>0</v>
      </c>
      <c r="AW580" s="56">
        <f t="shared" ca="1" si="180"/>
        <v>0</v>
      </c>
      <c r="AX580" s="56">
        <f t="shared" ca="1" si="181"/>
        <v>0</v>
      </c>
      <c r="AY580" s="56">
        <f t="shared" ca="1" si="182"/>
        <v>0</v>
      </c>
      <c r="AZ580" s="56">
        <f t="shared" ca="1" si="183"/>
        <v>0</v>
      </c>
      <c r="BA580" s="56">
        <f t="shared" ca="1" si="184"/>
        <v>0</v>
      </c>
      <c r="BB580" s="56">
        <f t="shared" ca="1" si="185"/>
        <v>0</v>
      </c>
      <c r="BC580" s="56">
        <f t="shared" ca="1" si="186"/>
        <v>0</v>
      </c>
      <c r="BD580" s="56">
        <f t="shared" ca="1" si="187"/>
        <v>0</v>
      </c>
      <c r="BE580" s="56">
        <f t="shared" ca="1" si="188"/>
        <v>0</v>
      </c>
      <c r="BF580" s="56">
        <f t="shared" ca="1" si="189"/>
        <v>0</v>
      </c>
      <c r="BG580" s="56">
        <f t="shared" ca="1" si="190"/>
        <v>0</v>
      </c>
      <c r="BH580" s="56">
        <f t="shared" ca="1" si="191"/>
        <v>0</v>
      </c>
      <c r="BI580" s="56">
        <f t="shared" ca="1" si="192"/>
        <v>0</v>
      </c>
      <c r="BJ580" s="56">
        <f t="shared" ca="1" si="193"/>
        <v>0</v>
      </c>
      <c r="BK580" s="56">
        <f t="shared" ca="1" si="194"/>
        <v>0</v>
      </c>
      <c r="BL580" s="56">
        <f t="shared" ca="1" si="195"/>
        <v>0</v>
      </c>
      <c r="BM580" s="56">
        <f t="shared" ca="1" si="196"/>
        <v>0</v>
      </c>
      <c r="BN580" s="56">
        <f t="shared" ca="1" si="197"/>
        <v>0</v>
      </c>
      <c r="BO580" s="56">
        <f t="shared" ca="1" si="198"/>
        <v>0</v>
      </c>
      <c r="BP580" s="56">
        <f t="shared" ca="1" si="199"/>
        <v>0</v>
      </c>
      <c r="BQ580" s="56">
        <f t="shared" ca="1" si="200"/>
        <v>0</v>
      </c>
      <c r="BR580" s="56">
        <f t="shared" ca="1" si="201"/>
        <v>0</v>
      </c>
      <c r="BS580" s="56">
        <f t="shared" ca="1" si="202"/>
        <v>0</v>
      </c>
      <c r="BT580" s="56">
        <f t="shared" ca="1" si="203"/>
        <v>0</v>
      </c>
      <c r="BU580" s="56">
        <f t="shared" ca="1" si="204"/>
        <v>0</v>
      </c>
      <c r="BV580" s="56">
        <f t="shared" ca="1" si="205"/>
        <v>0</v>
      </c>
      <c r="BW580" s="56">
        <f t="shared" ca="1" si="206"/>
        <v>0</v>
      </c>
      <c r="BX580" s="56">
        <f t="shared" ca="1" si="207"/>
        <v>0</v>
      </c>
      <c r="BY580" s="56">
        <f t="shared" ca="1" si="208"/>
        <v>0</v>
      </c>
      <c r="BZ580">
        <f t="shared" si="209"/>
        <v>0</v>
      </c>
      <c r="CA580">
        <f t="shared" si="209"/>
        <v>0</v>
      </c>
      <c r="CB580">
        <f t="shared" si="209"/>
        <v>0</v>
      </c>
      <c r="CC580" s="56">
        <f t="shared" ca="1" si="210"/>
        <v>0</v>
      </c>
      <c r="CD580" s="56">
        <f t="shared" ca="1" si="211"/>
        <v>0</v>
      </c>
      <c r="CE580" s="56">
        <f t="shared" ca="1" si="212"/>
        <v>0</v>
      </c>
      <c r="CF580" s="56">
        <f t="shared" ca="1" si="213"/>
        <v>0</v>
      </c>
      <c r="CG580" s="56">
        <f t="shared" ca="1" si="214"/>
        <v>0</v>
      </c>
      <c r="CH580" s="56">
        <f t="shared" ca="1" si="215"/>
        <v>0</v>
      </c>
      <c r="CI580" s="56">
        <f t="shared" ca="1" si="216"/>
        <v>0</v>
      </c>
      <c r="CJ580" s="56">
        <f t="shared" ca="1" si="217"/>
        <v>0</v>
      </c>
      <c r="CK580" s="56">
        <f t="shared" ca="1" si="218"/>
        <v>0</v>
      </c>
      <c r="CL580" s="56">
        <f t="shared" ca="1" si="219"/>
        <v>0</v>
      </c>
      <c r="CM580" s="56">
        <f t="shared" ca="1" si="220"/>
        <v>0</v>
      </c>
      <c r="CN580" s="56">
        <f t="shared" ca="1" si="221"/>
        <v>0</v>
      </c>
      <c r="CO580" s="56">
        <f t="shared" ca="1" si="222"/>
        <v>0</v>
      </c>
      <c r="CP580" s="56">
        <f t="shared" ca="1" si="223"/>
        <v>0</v>
      </c>
      <c r="CQ580" s="56">
        <f t="shared" ca="1" si="224"/>
        <v>0</v>
      </c>
      <c r="CR580" s="56">
        <f t="shared" ca="1" si="225"/>
        <v>0</v>
      </c>
      <c r="CS580" s="56">
        <f t="shared" ca="1" si="226"/>
        <v>0</v>
      </c>
      <c r="CT580" s="56">
        <f t="shared" ca="1" si="227"/>
        <v>0</v>
      </c>
      <c r="CU580" s="56">
        <f t="shared" ca="1" si="228"/>
        <v>0</v>
      </c>
      <c r="CV580" s="56">
        <f t="shared" ca="1" si="229"/>
        <v>0</v>
      </c>
      <c r="CW580" s="56">
        <f t="shared" ca="1" si="230"/>
        <v>0</v>
      </c>
      <c r="CX580" s="56">
        <f t="shared" ca="1" si="231"/>
        <v>0</v>
      </c>
      <c r="CY580" s="56">
        <f t="shared" ca="1" si="232"/>
        <v>0</v>
      </c>
      <c r="CZ580" s="56">
        <f t="shared" ca="1" si="233"/>
        <v>0</v>
      </c>
      <c r="DA580" s="56">
        <f t="shared" ca="1" si="234"/>
        <v>0</v>
      </c>
      <c r="DB580" s="56">
        <f t="shared" ca="1" si="235"/>
        <v>0</v>
      </c>
      <c r="DC580" s="56">
        <f t="shared" ca="1" si="236"/>
        <v>0</v>
      </c>
      <c r="DD580" s="56">
        <f t="shared" ca="1" si="237"/>
        <v>0</v>
      </c>
      <c r="DE580" s="56">
        <f t="shared" ca="1" si="238"/>
        <v>0</v>
      </c>
      <c r="DF580" s="56">
        <f t="shared" ca="1" si="239"/>
        <v>0</v>
      </c>
      <c r="DG580" s="56">
        <f t="shared" ca="1" si="240"/>
        <v>0</v>
      </c>
      <c r="DH580" s="56">
        <f t="shared" ca="1" si="241"/>
        <v>0</v>
      </c>
      <c r="DI580" s="56">
        <f t="shared" ca="1" si="242"/>
        <v>0</v>
      </c>
      <c r="DJ580" s="56">
        <f t="shared" ca="1" si="243"/>
        <v>0</v>
      </c>
      <c r="DK580" s="56">
        <f t="shared" ca="1" si="244"/>
        <v>0</v>
      </c>
      <c r="DL580" s="56">
        <f t="shared" ca="1" si="245"/>
        <v>0</v>
      </c>
      <c r="DM580" s="56">
        <f t="shared" ca="1" si="246"/>
        <v>0</v>
      </c>
      <c r="DN580" s="56">
        <f t="shared" ca="1" si="247"/>
        <v>0</v>
      </c>
      <c r="DO580" s="56">
        <f t="shared" ca="1" si="248"/>
        <v>0</v>
      </c>
      <c r="DP580" s="56">
        <f t="shared" ca="1" si="249"/>
        <v>0</v>
      </c>
      <c r="DQ580" s="56">
        <f t="shared" ca="1" si="250"/>
        <v>0</v>
      </c>
      <c r="DR580" s="56">
        <f t="shared" ca="1" si="251"/>
        <v>0</v>
      </c>
      <c r="DS580" s="56">
        <f t="shared" ca="1" si="252"/>
        <v>0</v>
      </c>
      <c r="DT580" s="56">
        <f t="shared" ca="1" si="253"/>
        <v>0</v>
      </c>
      <c r="DU580" s="56">
        <f t="shared" ca="1" si="254"/>
        <v>0</v>
      </c>
      <c r="DV580" s="56">
        <f t="shared" ca="1" si="255"/>
        <v>0</v>
      </c>
      <c r="DW580" s="56">
        <f t="shared" ca="1" si="256"/>
        <v>0</v>
      </c>
      <c r="DX580" s="56">
        <f t="shared" ca="1" si="257"/>
        <v>0</v>
      </c>
      <c r="DY580" s="56">
        <f t="shared" ca="1" si="258"/>
        <v>0</v>
      </c>
      <c r="DZ580" s="56">
        <f t="shared" ca="1" si="259"/>
        <v>0</v>
      </c>
    </row>
    <row r="581" spans="28:130">
      <c r="AB581" s="56">
        <f t="shared" ca="1" si="159"/>
        <v>0</v>
      </c>
      <c r="AC581" s="56">
        <f t="shared" ca="1" si="160"/>
        <v>0</v>
      </c>
      <c r="AD581" s="56">
        <f t="shared" ca="1" si="161"/>
        <v>0</v>
      </c>
      <c r="AE581" s="56">
        <f t="shared" ca="1" si="162"/>
        <v>0</v>
      </c>
      <c r="AF581" s="56">
        <f t="shared" ca="1" si="163"/>
        <v>0</v>
      </c>
      <c r="AG581" s="56">
        <f t="shared" ca="1" si="164"/>
        <v>0</v>
      </c>
      <c r="AH581" s="56">
        <f t="shared" ca="1" si="165"/>
        <v>0</v>
      </c>
      <c r="AI581" s="56">
        <f t="shared" ca="1" si="166"/>
        <v>0</v>
      </c>
      <c r="AJ581" s="56">
        <f t="shared" ca="1" si="167"/>
        <v>0</v>
      </c>
      <c r="AK581" s="56">
        <f t="shared" ca="1" si="168"/>
        <v>0</v>
      </c>
      <c r="AL581" s="56">
        <f t="shared" ca="1" si="169"/>
        <v>0</v>
      </c>
      <c r="AM581" s="56">
        <f t="shared" ca="1" si="170"/>
        <v>0</v>
      </c>
      <c r="AN581" s="56">
        <f t="shared" ca="1" si="171"/>
        <v>0</v>
      </c>
      <c r="AO581" s="56">
        <f t="shared" ca="1" si="172"/>
        <v>0</v>
      </c>
      <c r="AP581" s="56">
        <f t="shared" ca="1" si="173"/>
        <v>0</v>
      </c>
      <c r="AQ581" s="56">
        <f t="shared" ca="1" si="174"/>
        <v>0</v>
      </c>
      <c r="AR581" s="56">
        <f t="shared" ca="1" si="175"/>
        <v>0</v>
      </c>
      <c r="AS581" s="56">
        <f t="shared" ca="1" si="176"/>
        <v>0</v>
      </c>
      <c r="AT581" s="56">
        <f t="shared" ca="1" si="177"/>
        <v>0</v>
      </c>
      <c r="AU581" s="56">
        <f t="shared" ca="1" si="178"/>
        <v>0</v>
      </c>
      <c r="AV581" s="56">
        <f t="shared" ca="1" si="179"/>
        <v>0</v>
      </c>
      <c r="AW581" s="56">
        <f t="shared" ca="1" si="180"/>
        <v>0</v>
      </c>
      <c r="AX581" s="56">
        <f t="shared" ca="1" si="181"/>
        <v>0</v>
      </c>
      <c r="AY581" s="56">
        <f t="shared" ca="1" si="182"/>
        <v>0</v>
      </c>
      <c r="AZ581" s="56">
        <f t="shared" ca="1" si="183"/>
        <v>0</v>
      </c>
      <c r="BA581" s="56">
        <f t="shared" ca="1" si="184"/>
        <v>0</v>
      </c>
      <c r="BB581" s="56">
        <f t="shared" ca="1" si="185"/>
        <v>0</v>
      </c>
      <c r="BC581" s="56">
        <f t="shared" ca="1" si="186"/>
        <v>0</v>
      </c>
      <c r="BD581" s="56">
        <f t="shared" ca="1" si="187"/>
        <v>0</v>
      </c>
      <c r="BE581" s="56">
        <f t="shared" ca="1" si="188"/>
        <v>0</v>
      </c>
      <c r="BF581" s="56">
        <f t="shared" ca="1" si="189"/>
        <v>0</v>
      </c>
      <c r="BG581" s="56">
        <f t="shared" ca="1" si="190"/>
        <v>0</v>
      </c>
      <c r="BH581" s="56">
        <f t="shared" ca="1" si="191"/>
        <v>0</v>
      </c>
      <c r="BI581" s="56">
        <f t="shared" ca="1" si="192"/>
        <v>0</v>
      </c>
      <c r="BJ581" s="56">
        <f t="shared" ca="1" si="193"/>
        <v>0</v>
      </c>
      <c r="BK581" s="56">
        <f t="shared" ca="1" si="194"/>
        <v>0</v>
      </c>
      <c r="BL581" s="56">
        <f t="shared" ca="1" si="195"/>
        <v>0</v>
      </c>
      <c r="BM581" s="56">
        <f t="shared" ca="1" si="196"/>
        <v>0</v>
      </c>
      <c r="BN581" s="56">
        <f t="shared" ca="1" si="197"/>
        <v>0</v>
      </c>
      <c r="BO581" s="56">
        <f t="shared" ca="1" si="198"/>
        <v>0</v>
      </c>
      <c r="BP581" s="56">
        <f t="shared" ca="1" si="199"/>
        <v>0</v>
      </c>
      <c r="BQ581" s="56">
        <f t="shared" ca="1" si="200"/>
        <v>0</v>
      </c>
      <c r="BR581" s="56">
        <f t="shared" ca="1" si="201"/>
        <v>0</v>
      </c>
      <c r="BS581" s="56">
        <f t="shared" ca="1" si="202"/>
        <v>0</v>
      </c>
      <c r="BT581" s="56">
        <f t="shared" ca="1" si="203"/>
        <v>0</v>
      </c>
      <c r="BU581" s="56">
        <f t="shared" ca="1" si="204"/>
        <v>0</v>
      </c>
      <c r="BV581" s="56">
        <f t="shared" ca="1" si="205"/>
        <v>0</v>
      </c>
      <c r="BW581" s="56">
        <f t="shared" ca="1" si="206"/>
        <v>0</v>
      </c>
      <c r="BX581" s="56">
        <f t="shared" ca="1" si="207"/>
        <v>0</v>
      </c>
      <c r="BY581" s="56">
        <f t="shared" ca="1" si="208"/>
        <v>0</v>
      </c>
      <c r="BZ581">
        <f t="shared" si="209"/>
        <v>0</v>
      </c>
      <c r="CA581">
        <f t="shared" si="209"/>
        <v>0</v>
      </c>
      <c r="CB581">
        <f t="shared" si="209"/>
        <v>0</v>
      </c>
      <c r="CC581" s="56">
        <f t="shared" ca="1" si="210"/>
        <v>0</v>
      </c>
      <c r="CD581" s="56">
        <f t="shared" ca="1" si="211"/>
        <v>0</v>
      </c>
      <c r="CE581" s="56">
        <f t="shared" ca="1" si="212"/>
        <v>0</v>
      </c>
      <c r="CF581" s="56">
        <f t="shared" ca="1" si="213"/>
        <v>0</v>
      </c>
      <c r="CG581" s="56">
        <f t="shared" ca="1" si="214"/>
        <v>0</v>
      </c>
      <c r="CH581" s="56">
        <f t="shared" ca="1" si="215"/>
        <v>0</v>
      </c>
      <c r="CI581" s="56">
        <f t="shared" ca="1" si="216"/>
        <v>0</v>
      </c>
      <c r="CJ581" s="56">
        <f t="shared" ca="1" si="217"/>
        <v>0</v>
      </c>
      <c r="CK581" s="56">
        <f t="shared" ca="1" si="218"/>
        <v>0</v>
      </c>
      <c r="CL581" s="56">
        <f t="shared" ca="1" si="219"/>
        <v>0</v>
      </c>
      <c r="CM581" s="56">
        <f t="shared" ca="1" si="220"/>
        <v>0</v>
      </c>
      <c r="CN581" s="56">
        <f t="shared" ca="1" si="221"/>
        <v>0</v>
      </c>
      <c r="CO581" s="56">
        <f t="shared" ca="1" si="222"/>
        <v>0</v>
      </c>
      <c r="CP581" s="56">
        <f t="shared" ca="1" si="223"/>
        <v>0</v>
      </c>
      <c r="CQ581" s="56">
        <f t="shared" ca="1" si="224"/>
        <v>0</v>
      </c>
      <c r="CR581" s="56">
        <f t="shared" ca="1" si="225"/>
        <v>0</v>
      </c>
      <c r="CS581" s="56">
        <f t="shared" ca="1" si="226"/>
        <v>0</v>
      </c>
      <c r="CT581" s="56">
        <f t="shared" ca="1" si="227"/>
        <v>0</v>
      </c>
      <c r="CU581" s="56">
        <f t="shared" ca="1" si="228"/>
        <v>0</v>
      </c>
      <c r="CV581" s="56">
        <f t="shared" ca="1" si="229"/>
        <v>0</v>
      </c>
      <c r="CW581" s="56">
        <f t="shared" ca="1" si="230"/>
        <v>0</v>
      </c>
      <c r="CX581" s="56">
        <f t="shared" ca="1" si="231"/>
        <v>0</v>
      </c>
      <c r="CY581" s="56">
        <f t="shared" ca="1" si="232"/>
        <v>0</v>
      </c>
      <c r="CZ581" s="56">
        <f t="shared" ca="1" si="233"/>
        <v>0</v>
      </c>
      <c r="DA581" s="56">
        <f t="shared" ca="1" si="234"/>
        <v>0</v>
      </c>
      <c r="DB581" s="56">
        <f t="shared" ca="1" si="235"/>
        <v>0</v>
      </c>
      <c r="DC581" s="56">
        <f t="shared" ca="1" si="236"/>
        <v>0</v>
      </c>
      <c r="DD581" s="56">
        <f t="shared" ca="1" si="237"/>
        <v>0</v>
      </c>
      <c r="DE581" s="56">
        <f t="shared" ca="1" si="238"/>
        <v>0</v>
      </c>
      <c r="DF581" s="56">
        <f t="shared" ca="1" si="239"/>
        <v>0</v>
      </c>
      <c r="DG581" s="56">
        <f t="shared" ca="1" si="240"/>
        <v>0</v>
      </c>
      <c r="DH581" s="56">
        <f t="shared" ca="1" si="241"/>
        <v>0</v>
      </c>
      <c r="DI581" s="56">
        <f t="shared" ca="1" si="242"/>
        <v>0</v>
      </c>
      <c r="DJ581" s="56">
        <f t="shared" ca="1" si="243"/>
        <v>0</v>
      </c>
      <c r="DK581" s="56">
        <f t="shared" ca="1" si="244"/>
        <v>0</v>
      </c>
      <c r="DL581" s="56">
        <f t="shared" ca="1" si="245"/>
        <v>0</v>
      </c>
      <c r="DM581" s="56">
        <f t="shared" ca="1" si="246"/>
        <v>0</v>
      </c>
      <c r="DN581" s="56">
        <f t="shared" ca="1" si="247"/>
        <v>0</v>
      </c>
      <c r="DO581" s="56">
        <f t="shared" ca="1" si="248"/>
        <v>0</v>
      </c>
      <c r="DP581" s="56">
        <f t="shared" ca="1" si="249"/>
        <v>0</v>
      </c>
      <c r="DQ581" s="56">
        <f t="shared" ca="1" si="250"/>
        <v>0</v>
      </c>
      <c r="DR581" s="56">
        <f t="shared" ca="1" si="251"/>
        <v>0</v>
      </c>
      <c r="DS581" s="56">
        <f t="shared" ca="1" si="252"/>
        <v>0</v>
      </c>
      <c r="DT581" s="56">
        <f t="shared" ca="1" si="253"/>
        <v>0</v>
      </c>
      <c r="DU581" s="56">
        <f t="shared" ca="1" si="254"/>
        <v>0</v>
      </c>
      <c r="DV581" s="56">
        <f t="shared" ca="1" si="255"/>
        <v>0</v>
      </c>
      <c r="DW581" s="56">
        <f t="shared" ca="1" si="256"/>
        <v>0</v>
      </c>
      <c r="DX581" s="56">
        <f t="shared" ca="1" si="257"/>
        <v>0</v>
      </c>
      <c r="DY581" s="56">
        <f t="shared" ca="1" si="258"/>
        <v>0</v>
      </c>
      <c r="DZ581" s="56">
        <f t="shared" ca="1" si="259"/>
        <v>0</v>
      </c>
    </row>
    <row r="582" spans="28:130">
      <c r="AB582" s="56">
        <f t="shared" ca="1" si="159"/>
        <v>0</v>
      </c>
      <c r="AC582" s="56">
        <f t="shared" ca="1" si="160"/>
        <v>0</v>
      </c>
      <c r="AD582" s="56">
        <f t="shared" ca="1" si="161"/>
        <v>0</v>
      </c>
      <c r="AE582" s="56">
        <f t="shared" ca="1" si="162"/>
        <v>0</v>
      </c>
      <c r="AF582" s="56">
        <f t="shared" ca="1" si="163"/>
        <v>0</v>
      </c>
      <c r="AG582" s="56">
        <f t="shared" ca="1" si="164"/>
        <v>0</v>
      </c>
      <c r="AH582" s="56">
        <f t="shared" ca="1" si="165"/>
        <v>0</v>
      </c>
      <c r="AI582" s="56">
        <f t="shared" ca="1" si="166"/>
        <v>0</v>
      </c>
      <c r="AJ582" s="56">
        <f t="shared" ca="1" si="167"/>
        <v>0</v>
      </c>
      <c r="AK582" s="56">
        <f t="shared" ca="1" si="168"/>
        <v>0</v>
      </c>
      <c r="AL582" s="56">
        <f t="shared" ca="1" si="169"/>
        <v>0</v>
      </c>
      <c r="AM582" s="56">
        <f t="shared" ca="1" si="170"/>
        <v>0</v>
      </c>
      <c r="AN582" s="56">
        <f t="shared" ca="1" si="171"/>
        <v>0</v>
      </c>
      <c r="AO582" s="56">
        <f t="shared" ca="1" si="172"/>
        <v>0</v>
      </c>
      <c r="AP582" s="56">
        <f t="shared" ca="1" si="173"/>
        <v>0</v>
      </c>
      <c r="AQ582" s="56">
        <f t="shared" ca="1" si="174"/>
        <v>0</v>
      </c>
      <c r="AR582" s="56">
        <f t="shared" ca="1" si="175"/>
        <v>0</v>
      </c>
      <c r="AS582" s="56">
        <f t="shared" ca="1" si="176"/>
        <v>0</v>
      </c>
      <c r="AT582" s="56">
        <f t="shared" ca="1" si="177"/>
        <v>0</v>
      </c>
      <c r="AU582" s="56">
        <f t="shared" ca="1" si="178"/>
        <v>0</v>
      </c>
      <c r="AV582" s="56">
        <f t="shared" ca="1" si="179"/>
        <v>0</v>
      </c>
      <c r="AW582" s="56">
        <f t="shared" ca="1" si="180"/>
        <v>0</v>
      </c>
      <c r="AX582" s="56">
        <f t="shared" ca="1" si="181"/>
        <v>0</v>
      </c>
      <c r="AY582" s="56">
        <f t="shared" ca="1" si="182"/>
        <v>0</v>
      </c>
      <c r="AZ582" s="56">
        <f t="shared" ca="1" si="183"/>
        <v>0</v>
      </c>
      <c r="BA582" s="56">
        <f t="shared" ca="1" si="184"/>
        <v>0</v>
      </c>
      <c r="BB582" s="56">
        <f t="shared" ca="1" si="185"/>
        <v>0</v>
      </c>
      <c r="BC582" s="56">
        <f t="shared" ca="1" si="186"/>
        <v>0</v>
      </c>
      <c r="BD582" s="56">
        <f t="shared" ca="1" si="187"/>
        <v>0</v>
      </c>
      <c r="BE582" s="56">
        <f t="shared" ca="1" si="188"/>
        <v>0</v>
      </c>
      <c r="BF582" s="56">
        <f t="shared" ca="1" si="189"/>
        <v>0</v>
      </c>
      <c r="BG582" s="56">
        <f t="shared" ca="1" si="190"/>
        <v>0</v>
      </c>
      <c r="BH582" s="56">
        <f t="shared" ca="1" si="191"/>
        <v>0</v>
      </c>
      <c r="BI582" s="56">
        <f t="shared" ca="1" si="192"/>
        <v>0</v>
      </c>
      <c r="BJ582" s="56">
        <f t="shared" ca="1" si="193"/>
        <v>0</v>
      </c>
      <c r="BK582" s="56">
        <f t="shared" ca="1" si="194"/>
        <v>0</v>
      </c>
      <c r="BL582" s="56">
        <f t="shared" ca="1" si="195"/>
        <v>0</v>
      </c>
      <c r="BM582" s="56">
        <f t="shared" ca="1" si="196"/>
        <v>0</v>
      </c>
      <c r="BN582" s="56">
        <f t="shared" ca="1" si="197"/>
        <v>0</v>
      </c>
      <c r="BO582" s="56">
        <f t="shared" ca="1" si="198"/>
        <v>0</v>
      </c>
      <c r="BP582" s="56">
        <f t="shared" ca="1" si="199"/>
        <v>0</v>
      </c>
      <c r="BQ582" s="56">
        <f t="shared" ca="1" si="200"/>
        <v>0</v>
      </c>
      <c r="BR582" s="56">
        <f t="shared" ca="1" si="201"/>
        <v>0</v>
      </c>
      <c r="BS582" s="56">
        <f t="shared" ca="1" si="202"/>
        <v>0</v>
      </c>
      <c r="BT582" s="56">
        <f t="shared" ca="1" si="203"/>
        <v>0</v>
      </c>
      <c r="BU582" s="56">
        <f t="shared" ca="1" si="204"/>
        <v>0</v>
      </c>
      <c r="BV582" s="56">
        <f t="shared" ca="1" si="205"/>
        <v>0</v>
      </c>
      <c r="BW582" s="56">
        <f t="shared" ca="1" si="206"/>
        <v>0</v>
      </c>
      <c r="BX582" s="56">
        <f t="shared" ca="1" si="207"/>
        <v>0</v>
      </c>
      <c r="BY582" s="56">
        <f t="shared" ca="1" si="208"/>
        <v>0</v>
      </c>
      <c r="BZ582">
        <f t="shared" si="209"/>
        <v>0</v>
      </c>
      <c r="CA582">
        <f t="shared" si="209"/>
        <v>0</v>
      </c>
      <c r="CB582">
        <f t="shared" si="209"/>
        <v>0</v>
      </c>
      <c r="CC582" s="56">
        <f t="shared" ca="1" si="210"/>
        <v>0</v>
      </c>
      <c r="CD582" s="56">
        <f t="shared" ca="1" si="211"/>
        <v>0</v>
      </c>
      <c r="CE582" s="56">
        <f t="shared" ca="1" si="212"/>
        <v>0</v>
      </c>
      <c r="CF582" s="56">
        <f t="shared" ca="1" si="213"/>
        <v>0</v>
      </c>
      <c r="CG582" s="56">
        <f t="shared" ca="1" si="214"/>
        <v>0</v>
      </c>
      <c r="CH582" s="56">
        <f t="shared" ca="1" si="215"/>
        <v>0</v>
      </c>
      <c r="CI582" s="56">
        <f t="shared" ca="1" si="216"/>
        <v>0</v>
      </c>
      <c r="CJ582" s="56">
        <f t="shared" ca="1" si="217"/>
        <v>0</v>
      </c>
      <c r="CK582" s="56">
        <f t="shared" ca="1" si="218"/>
        <v>0</v>
      </c>
      <c r="CL582" s="56">
        <f t="shared" ca="1" si="219"/>
        <v>0</v>
      </c>
      <c r="CM582" s="56">
        <f t="shared" ca="1" si="220"/>
        <v>0</v>
      </c>
      <c r="CN582" s="56">
        <f t="shared" ca="1" si="221"/>
        <v>0</v>
      </c>
      <c r="CO582" s="56">
        <f t="shared" ca="1" si="222"/>
        <v>0</v>
      </c>
      <c r="CP582" s="56">
        <f t="shared" ca="1" si="223"/>
        <v>0</v>
      </c>
      <c r="CQ582" s="56">
        <f t="shared" ca="1" si="224"/>
        <v>0</v>
      </c>
      <c r="CR582" s="56">
        <f t="shared" ca="1" si="225"/>
        <v>0</v>
      </c>
      <c r="CS582" s="56">
        <f t="shared" ca="1" si="226"/>
        <v>0</v>
      </c>
      <c r="CT582" s="56">
        <f t="shared" ca="1" si="227"/>
        <v>0</v>
      </c>
      <c r="CU582" s="56">
        <f t="shared" ca="1" si="228"/>
        <v>0</v>
      </c>
      <c r="CV582" s="56">
        <f t="shared" ca="1" si="229"/>
        <v>0</v>
      </c>
      <c r="CW582" s="56">
        <f t="shared" ca="1" si="230"/>
        <v>0</v>
      </c>
      <c r="CX582" s="56">
        <f t="shared" ca="1" si="231"/>
        <v>0</v>
      </c>
      <c r="CY582" s="56">
        <f t="shared" ca="1" si="232"/>
        <v>0</v>
      </c>
      <c r="CZ582" s="56">
        <f t="shared" ca="1" si="233"/>
        <v>0</v>
      </c>
      <c r="DA582" s="56">
        <f t="shared" ca="1" si="234"/>
        <v>0</v>
      </c>
      <c r="DB582" s="56">
        <f t="shared" ca="1" si="235"/>
        <v>0</v>
      </c>
      <c r="DC582" s="56">
        <f t="shared" ca="1" si="236"/>
        <v>0</v>
      </c>
      <c r="DD582" s="56">
        <f t="shared" ca="1" si="237"/>
        <v>0</v>
      </c>
      <c r="DE582" s="56">
        <f t="shared" ca="1" si="238"/>
        <v>0</v>
      </c>
      <c r="DF582" s="56">
        <f t="shared" ca="1" si="239"/>
        <v>0</v>
      </c>
      <c r="DG582" s="56">
        <f t="shared" ca="1" si="240"/>
        <v>0</v>
      </c>
      <c r="DH582" s="56">
        <f t="shared" ca="1" si="241"/>
        <v>0</v>
      </c>
      <c r="DI582" s="56">
        <f t="shared" ca="1" si="242"/>
        <v>0</v>
      </c>
      <c r="DJ582" s="56">
        <f t="shared" ca="1" si="243"/>
        <v>0</v>
      </c>
      <c r="DK582" s="56">
        <f t="shared" ca="1" si="244"/>
        <v>0</v>
      </c>
      <c r="DL582" s="56">
        <f t="shared" ca="1" si="245"/>
        <v>0</v>
      </c>
      <c r="DM582" s="56">
        <f t="shared" ca="1" si="246"/>
        <v>0</v>
      </c>
      <c r="DN582" s="56">
        <f t="shared" ca="1" si="247"/>
        <v>0</v>
      </c>
      <c r="DO582" s="56">
        <f t="shared" ca="1" si="248"/>
        <v>0</v>
      </c>
      <c r="DP582" s="56">
        <f t="shared" ca="1" si="249"/>
        <v>0</v>
      </c>
      <c r="DQ582" s="56">
        <f t="shared" ca="1" si="250"/>
        <v>0</v>
      </c>
      <c r="DR582" s="56">
        <f t="shared" ca="1" si="251"/>
        <v>0</v>
      </c>
      <c r="DS582" s="56">
        <f t="shared" ca="1" si="252"/>
        <v>0</v>
      </c>
      <c r="DT582" s="56">
        <f t="shared" ca="1" si="253"/>
        <v>0</v>
      </c>
      <c r="DU582" s="56">
        <f t="shared" ca="1" si="254"/>
        <v>0</v>
      </c>
      <c r="DV582" s="56">
        <f t="shared" ca="1" si="255"/>
        <v>0</v>
      </c>
      <c r="DW582" s="56">
        <f t="shared" ca="1" si="256"/>
        <v>0</v>
      </c>
      <c r="DX582" s="56">
        <f t="shared" ca="1" si="257"/>
        <v>0</v>
      </c>
      <c r="DY582" s="56">
        <f t="shared" ca="1" si="258"/>
        <v>0</v>
      </c>
      <c r="DZ582" s="56">
        <f t="shared" ca="1" si="259"/>
        <v>0</v>
      </c>
    </row>
    <row r="583" spans="28:130">
      <c r="AB583" s="56">
        <f t="shared" ca="1" si="159"/>
        <v>0</v>
      </c>
      <c r="AC583" s="56">
        <f t="shared" ca="1" si="160"/>
        <v>0</v>
      </c>
      <c r="AD583" s="56">
        <f t="shared" ca="1" si="161"/>
        <v>0</v>
      </c>
      <c r="AE583" s="56">
        <f t="shared" ca="1" si="162"/>
        <v>0</v>
      </c>
      <c r="AF583" s="56">
        <f t="shared" ca="1" si="163"/>
        <v>0</v>
      </c>
      <c r="AG583" s="56">
        <f t="shared" ca="1" si="164"/>
        <v>0</v>
      </c>
      <c r="AH583" s="56">
        <f t="shared" ca="1" si="165"/>
        <v>0</v>
      </c>
      <c r="AI583" s="56">
        <f t="shared" ca="1" si="166"/>
        <v>0</v>
      </c>
      <c r="AJ583" s="56">
        <f t="shared" ca="1" si="167"/>
        <v>0</v>
      </c>
      <c r="AK583" s="56">
        <f t="shared" ca="1" si="168"/>
        <v>0</v>
      </c>
      <c r="AL583" s="56">
        <f t="shared" ca="1" si="169"/>
        <v>0</v>
      </c>
      <c r="AM583" s="56">
        <f t="shared" ca="1" si="170"/>
        <v>0</v>
      </c>
      <c r="AN583" s="56">
        <f t="shared" ca="1" si="171"/>
        <v>0</v>
      </c>
      <c r="AO583" s="56">
        <f t="shared" ca="1" si="172"/>
        <v>0</v>
      </c>
      <c r="AP583" s="56">
        <f t="shared" ca="1" si="173"/>
        <v>0</v>
      </c>
      <c r="AQ583" s="56">
        <f t="shared" ca="1" si="174"/>
        <v>0</v>
      </c>
      <c r="AR583" s="56">
        <f t="shared" ca="1" si="175"/>
        <v>0</v>
      </c>
      <c r="AS583" s="56">
        <f t="shared" ca="1" si="176"/>
        <v>0</v>
      </c>
      <c r="AT583" s="56">
        <f t="shared" ca="1" si="177"/>
        <v>0</v>
      </c>
      <c r="AU583" s="56">
        <f t="shared" ca="1" si="178"/>
        <v>0</v>
      </c>
      <c r="AV583" s="56">
        <f t="shared" ca="1" si="179"/>
        <v>0</v>
      </c>
      <c r="AW583" s="56">
        <f t="shared" ca="1" si="180"/>
        <v>0</v>
      </c>
      <c r="AX583" s="56">
        <f t="shared" ca="1" si="181"/>
        <v>0</v>
      </c>
      <c r="AY583" s="56">
        <f t="shared" ca="1" si="182"/>
        <v>0</v>
      </c>
      <c r="AZ583" s="56">
        <f t="shared" ca="1" si="183"/>
        <v>0</v>
      </c>
      <c r="BA583" s="56">
        <f t="shared" ca="1" si="184"/>
        <v>0</v>
      </c>
      <c r="BB583" s="56">
        <f t="shared" ca="1" si="185"/>
        <v>0</v>
      </c>
      <c r="BC583" s="56">
        <f t="shared" ca="1" si="186"/>
        <v>0</v>
      </c>
      <c r="BD583" s="56">
        <f t="shared" ca="1" si="187"/>
        <v>0</v>
      </c>
      <c r="BE583" s="56">
        <f t="shared" ca="1" si="188"/>
        <v>0</v>
      </c>
      <c r="BF583" s="56">
        <f t="shared" ca="1" si="189"/>
        <v>0</v>
      </c>
      <c r="BG583" s="56">
        <f t="shared" ca="1" si="190"/>
        <v>0</v>
      </c>
      <c r="BH583" s="56">
        <f t="shared" ca="1" si="191"/>
        <v>0</v>
      </c>
      <c r="BI583" s="56">
        <f t="shared" ca="1" si="192"/>
        <v>0</v>
      </c>
      <c r="BJ583" s="56">
        <f t="shared" ca="1" si="193"/>
        <v>0</v>
      </c>
      <c r="BK583" s="56">
        <f t="shared" ca="1" si="194"/>
        <v>0</v>
      </c>
      <c r="BL583" s="56">
        <f t="shared" ca="1" si="195"/>
        <v>0</v>
      </c>
      <c r="BM583" s="56">
        <f t="shared" ca="1" si="196"/>
        <v>0</v>
      </c>
      <c r="BN583" s="56">
        <f t="shared" ca="1" si="197"/>
        <v>0</v>
      </c>
      <c r="BO583" s="56">
        <f t="shared" ca="1" si="198"/>
        <v>0</v>
      </c>
      <c r="BP583" s="56">
        <f t="shared" ca="1" si="199"/>
        <v>0</v>
      </c>
      <c r="BQ583" s="56">
        <f t="shared" ca="1" si="200"/>
        <v>0</v>
      </c>
      <c r="BR583" s="56">
        <f t="shared" ca="1" si="201"/>
        <v>0</v>
      </c>
      <c r="BS583" s="56">
        <f t="shared" ca="1" si="202"/>
        <v>0</v>
      </c>
      <c r="BT583" s="56">
        <f t="shared" ca="1" si="203"/>
        <v>0</v>
      </c>
      <c r="BU583" s="56">
        <f t="shared" ca="1" si="204"/>
        <v>0</v>
      </c>
      <c r="BV583" s="56">
        <f t="shared" ca="1" si="205"/>
        <v>0</v>
      </c>
      <c r="BW583" s="56">
        <f t="shared" ca="1" si="206"/>
        <v>0</v>
      </c>
      <c r="BX583" s="56">
        <f t="shared" ca="1" si="207"/>
        <v>0</v>
      </c>
      <c r="BY583" s="56">
        <f t="shared" ca="1" si="208"/>
        <v>0</v>
      </c>
      <c r="BZ583">
        <f t="shared" si="209"/>
        <v>0</v>
      </c>
      <c r="CA583">
        <f t="shared" si="209"/>
        <v>0</v>
      </c>
      <c r="CB583">
        <f t="shared" si="209"/>
        <v>0</v>
      </c>
      <c r="CC583" s="56">
        <f t="shared" ca="1" si="210"/>
        <v>0</v>
      </c>
      <c r="CD583" s="56">
        <f t="shared" ca="1" si="211"/>
        <v>0</v>
      </c>
      <c r="CE583" s="56">
        <f t="shared" ca="1" si="212"/>
        <v>0</v>
      </c>
      <c r="CF583" s="56">
        <f t="shared" ca="1" si="213"/>
        <v>0</v>
      </c>
      <c r="CG583" s="56">
        <f t="shared" ca="1" si="214"/>
        <v>0</v>
      </c>
      <c r="CH583" s="56">
        <f t="shared" ca="1" si="215"/>
        <v>0</v>
      </c>
      <c r="CI583" s="56">
        <f t="shared" ca="1" si="216"/>
        <v>0</v>
      </c>
      <c r="CJ583" s="56">
        <f t="shared" ca="1" si="217"/>
        <v>0</v>
      </c>
      <c r="CK583" s="56">
        <f t="shared" ca="1" si="218"/>
        <v>0</v>
      </c>
      <c r="CL583" s="56">
        <f t="shared" ca="1" si="219"/>
        <v>0</v>
      </c>
      <c r="CM583" s="56">
        <f t="shared" ca="1" si="220"/>
        <v>0</v>
      </c>
      <c r="CN583" s="56">
        <f t="shared" ca="1" si="221"/>
        <v>0</v>
      </c>
      <c r="CO583" s="56">
        <f t="shared" ca="1" si="222"/>
        <v>0</v>
      </c>
      <c r="CP583" s="56">
        <f t="shared" ca="1" si="223"/>
        <v>0</v>
      </c>
      <c r="CQ583" s="56">
        <f t="shared" ca="1" si="224"/>
        <v>0</v>
      </c>
      <c r="CR583" s="56">
        <f t="shared" ca="1" si="225"/>
        <v>0</v>
      </c>
      <c r="CS583" s="56">
        <f t="shared" ca="1" si="226"/>
        <v>0</v>
      </c>
      <c r="CT583" s="56">
        <f t="shared" ca="1" si="227"/>
        <v>0</v>
      </c>
      <c r="CU583" s="56">
        <f t="shared" ca="1" si="228"/>
        <v>0</v>
      </c>
      <c r="CV583" s="56">
        <f t="shared" ca="1" si="229"/>
        <v>0</v>
      </c>
      <c r="CW583" s="56">
        <f t="shared" ca="1" si="230"/>
        <v>0</v>
      </c>
      <c r="CX583" s="56">
        <f t="shared" ca="1" si="231"/>
        <v>0</v>
      </c>
      <c r="CY583" s="56">
        <f t="shared" ca="1" si="232"/>
        <v>0</v>
      </c>
      <c r="CZ583" s="56">
        <f t="shared" ca="1" si="233"/>
        <v>0</v>
      </c>
      <c r="DA583" s="56">
        <f t="shared" ca="1" si="234"/>
        <v>0</v>
      </c>
      <c r="DB583" s="56">
        <f t="shared" ca="1" si="235"/>
        <v>0</v>
      </c>
      <c r="DC583" s="56">
        <f t="shared" ca="1" si="236"/>
        <v>0</v>
      </c>
      <c r="DD583" s="56">
        <f t="shared" ca="1" si="237"/>
        <v>0</v>
      </c>
      <c r="DE583" s="56">
        <f t="shared" ca="1" si="238"/>
        <v>0</v>
      </c>
      <c r="DF583" s="56">
        <f t="shared" ca="1" si="239"/>
        <v>0</v>
      </c>
      <c r="DG583" s="56">
        <f t="shared" ca="1" si="240"/>
        <v>0</v>
      </c>
      <c r="DH583" s="56">
        <f t="shared" ca="1" si="241"/>
        <v>0</v>
      </c>
      <c r="DI583" s="56">
        <f t="shared" ca="1" si="242"/>
        <v>0</v>
      </c>
      <c r="DJ583" s="56">
        <f t="shared" ca="1" si="243"/>
        <v>0</v>
      </c>
      <c r="DK583" s="56">
        <f t="shared" ca="1" si="244"/>
        <v>0</v>
      </c>
      <c r="DL583" s="56">
        <f t="shared" ca="1" si="245"/>
        <v>0</v>
      </c>
      <c r="DM583" s="56">
        <f t="shared" ca="1" si="246"/>
        <v>0</v>
      </c>
      <c r="DN583" s="56">
        <f t="shared" ca="1" si="247"/>
        <v>0</v>
      </c>
      <c r="DO583" s="56">
        <f t="shared" ca="1" si="248"/>
        <v>0</v>
      </c>
      <c r="DP583" s="56">
        <f t="shared" ca="1" si="249"/>
        <v>0</v>
      </c>
      <c r="DQ583" s="56">
        <f t="shared" ca="1" si="250"/>
        <v>0</v>
      </c>
      <c r="DR583" s="56">
        <f t="shared" ca="1" si="251"/>
        <v>0</v>
      </c>
      <c r="DS583" s="56">
        <f t="shared" ca="1" si="252"/>
        <v>0</v>
      </c>
      <c r="DT583" s="56">
        <f t="shared" ca="1" si="253"/>
        <v>0</v>
      </c>
      <c r="DU583" s="56">
        <f t="shared" ca="1" si="254"/>
        <v>0</v>
      </c>
      <c r="DV583" s="56">
        <f t="shared" ca="1" si="255"/>
        <v>0</v>
      </c>
      <c r="DW583" s="56">
        <f t="shared" ca="1" si="256"/>
        <v>0</v>
      </c>
      <c r="DX583" s="56">
        <f t="shared" ca="1" si="257"/>
        <v>0</v>
      </c>
      <c r="DY583" s="56">
        <f t="shared" ca="1" si="258"/>
        <v>0</v>
      </c>
      <c r="DZ583" s="56">
        <f t="shared" ca="1" si="259"/>
        <v>0</v>
      </c>
    </row>
    <row r="584" spans="28:130">
      <c r="AB584" s="56">
        <f t="shared" ca="1" si="159"/>
        <v>0</v>
      </c>
      <c r="AC584" s="56">
        <f t="shared" ca="1" si="160"/>
        <v>0</v>
      </c>
      <c r="AD584" s="56">
        <f t="shared" ca="1" si="161"/>
        <v>0</v>
      </c>
      <c r="AE584" s="56">
        <f t="shared" ca="1" si="162"/>
        <v>0</v>
      </c>
      <c r="AF584" s="56">
        <f t="shared" ca="1" si="163"/>
        <v>0</v>
      </c>
      <c r="AG584" s="56">
        <f t="shared" ca="1" si="164"/>
        <v>0</v>
      </c>
      <c r="AH584" s="56">
        <f t="shared" ca="1" si="165"/>
        <v>0</v>
      </c>
      <c r="AI584" s="56">
        <f t="shared" ca="1" si="166"/>
        <v>0</v>
      </c>
      <c r="AJ584" s="56">
        <f t="shared" ca="1" si="167"/>
        <v>0</v>
      </c>
      <c r="AK584" s="56">
        <f t="shared" ca="1" si="168"/>
        <v>0</v>
      </c>
      <c r="AL584" s="56">
        <f t="shared" ca="1" si="169"/>
        <v>0</v>
      </c>
      <c r="AM584" s="56">
        <f t="shared" ca="1" si="170"/>
        <v>0</v>
      </c>
      <c r="AN584" s="56">
        <f t="shared" ca="1" si="171"/>
        <v>0</v>
      </c>
      <c r="AO584" s="56">
        <f t="shared" ca="1" si="172"/>
        <v>0</v>
      </c>
      <c r="AP584" s="56">
        <f t="shared" ca="1" si="173"/>
        <v>0</v>
      </c>
      <c r="AQ584" s="56">
        <f t="shared" ca="1" si="174"/>
        <v>0</v>
      </c>
      <c r="AR584" s="56">
        <f t="shared" ca="1" si="175"/>
        <v>0</v>
      </c>
      <c r="AS584" s="56">
        <f t="shared" ca="1" si="176"/>
        <v>0</v>
      </c>
      <c r="AT584" s="56">
        <f t="shared" ca="1" si="177"/>
        <v>0</v>
      </c>
      <c r="AU584" s="56">
        <f t="shared" ca="1" si="178"/>
        <v>0</v>
      </c>
      <c r="AV584" s="56">
        <f t="shared" ca="1" si="179"/>
        <v>0</v>
      </c>
      <c r="AW584" s="56">
        <f t="shared" ca="1" si="180"/>
        <v>0</v>
      </c>
      <c r="AX584" s="56">
        <f t="shared" ca="1" si="181"/>
        <v>0</v>
      </c>
      <c r="AY584" s="56">
        <f t="shared" ca="1" si="182"/>
        <v>0</v>
      </c>
      <c r="AZ584" s="56">
        <f t="shared" ca="1" si="183"/>
        <v>0</v>
      </c>
      <c r="BA584" s="56">
        <f t="shared" ca="1" si="184"/>
        <v>0</v>
      </c>
      <c r="BB584" s="56">
        <f t="shared" ca="1" si="185"/>
        <v>0</v>
      </c>
      <c r="BC584" s="56">
        <f t="shared" ca="1" si="186"/>
        <v>0</v>
      </c>
      <c r="BD584" s="56">
        <f t="shared" ca="1" si="187"/>
        <v>0</v>
      </c>
      <c r="BE584" s="56">
        <f t="shared" ca="1" si="188"/>
        <v>0</v>
      </c>
      <c r="BF584" s="56">
        <f t="shared" ca="1" si="189"/>
        <v>0</v>
      </c>
      <c r="BG584" s="56">
        <f t="shared" ca="1" si="190"/>
        <v>0</v>
      </c>
      <c r="BH584" s="56">
        <f t="shared" ca="1" si="191"/>
        <v>0</v>
      </c>
      <c r="BI584" s="56">
        <f t="shared" ca="1" si="192"/>
        <v>0</v>
      </c>
      <c r="BJ584" s="56">
        <f t="shared" ca="1" si="193"/>
        <v>0</v>
      </c>
      <c r="BK584" s="56">
        <f t="shared" ca="1" si="194"/>
        <v>0</v>
      </c>
      <c r="BL584" s="56">
        <f t="shared" ca="1" si="195"/>
        <v>0</v>
      </c>
      <c r="BM584" s="56">
        <f t="shared" ca="1" si="196"/>
        <v>0</v>
      </c>
      <c r="BN584" s="56">
        <f t="shared" ca="1" si="197"/>
        <v>0</v>
      </c>
      <c r="BO584" s="56">
        <f t="shared" ca="1" si="198"/>
        <v>0</v>
      </c>
      <c r="BP584" s="56">
        <f t="shared" ca="1" si="199"/>
        <v>0</v>
      </c>
      <c r="BQ584" s="56">
        <f t="shared" ca="1" si="200"/>
        <v>0</v>
      </c>
      <c r="BR584" s="56">
        <f t="shared" ca="1" si="201"/>
        <v>0</v>
      </c>
      <c r="BS584" s="56">
        <f t="shared" ca="1" si="202"/>
        <v>0</v>
      </c>
      <c r="BT584" s="56">
        <f t="shared" ca="1" si="203"/>
        <v>0</v>
      </c>
      <c r="BU584" s="56">
        <f t="shared" ca="1" si="204"/>
        <v>0</v>
      </c>
      <c r="BV584" s="56">
        <f t="shared" ca="1" si="205"/>
        <v>0</v>
      </c>
      <c r="BW584" s="56">
        <f t="shared" ca="1" si="206"/>
        <v>0</v>
      </c>
      <c r="BX584" s="56">
        <f t="shared" ca="1" si="207"/>
        <v>0</v>
      </c>
      <c r="BY584" s="56">
        <f t="shared" ca="1" si="208"/>
        <v>0</v>
      </c>
      <c r="BZ584">
        <f t="shared" si="209"/>
        <v>0</v>
      </c>
      <c r="CA584">
        <f t="shared" si="209"/>
        <v>0</v>
      </c>
      <c r="CB584">
        <f t="shared" si="209"/>
        <v>0</v>
      </c>
      <c r="CC584" s="56">
        <f t="shared" ca="1" si="210"/>
        <v>0</v>
      </c>
      <c r="CD584" s="56">
        <f t="shared" ca="1" si="211"/>
        <v>0</v>
      </c>
      <c r="CE584" s="56">
        <f t="shared" ca="1" si="212"/>
        <v>0</v>
      </c>
      <c r="CF584" s="56">
        <f t="shared" ca="1" si="213"/>
        <v>0</v>
      </c>
      <c r="CG584" s="56">
        <f t="shared" ca="1" si="214"/>
        <v>0</v>
      </c>
      <c r="CH584" s="56">
        <f t="shared" ca="1" si="215"/>
        <v>0</v>
      </c>
      <c r="CI584" s="56">
        <f t="shared" ca="1" si="216"/>
        <v>0</v>
      </c>
      <c r="CJ584" s="56">
        <f t="shared" ca="1" si="217"/>
        <v>0</v>
      </c>
      <c r="CK584" s="56">
        <f t="shared" ca="1" si="218"/>
        <v>0</v>
      </c>
      <c r="CL584" s="56">
        <f t="shared" ca="1" si="219"/>
        <v>0</v>
      </c>
      <c r="CM584" s="56">
        <f t="shared" ca="1" si="220"/>
        <v>0</v>
      </c>
      <c r="CN584" s="56">
        <f t="shared" ca="1" si="221"/>
        <v>0</v>
      </c>
      <c r="CO584" s="56">
        <f t="shared" ca="1" si="222"/>
        <v>0</v>
      </c>
      <c r="CP584" s="56">
        <f t="shared" ca="1" si="223"/>
        <v>0</v>
      </c>
      <c r="CQ584" s="56">
        <f t="shared" ca="1" si="224"/>
        <v>0</v>
      </c>
      <c r="CR584" s="56">
        <f t="shared" ca="1" si="225"/>
        <v>0</v>
      </c>
      <c r="CS584" s="56">
        <f t="shared" ca="1" si="226"/>
        <v>0</v>
      </c>
      <c r="CT584" s="56">
        <f t="shared" ca="1" si="227"/>
        <v>0</v>
      </c>
      <c r="CU584" s="56">
        <f t="shared" ca="1" si="228"/>
        <v>0</v>
      </c>
      <c r="CV584" s="56">
        <f t="shared" ca="1" si="229"/>
        <v>0</v>
      </c>
      <c r="CW584" s="56">
        <f t="shared" ca="1" si="230"/>
        <v>0</v>
      </c>
      <c r="CX584" s="56">
        <f t="shared" ca="1" si="231"/>
        <v>0</v>
      </c>
      <c r="CY584" s="56">
        <f t="shared" ca="1" si="232"/>
        <v>0</v>
      </c>
      <c r="CZ584" s="56">
        <f t="shared" ca="1" si="233"/>
        <v>0</v>
      </c>
      <c r="DA584" s="56">
        <f t="shared" ca="1" si="234"/>
        <v>0</v>
      </c>
      <c r="DB584" s="56">
        <f t="shared" ca="1" si="235"/>
        <v>0</v>
      </c>
      <c r="DC584" s="56">
        <f t="shared" ca="1" si="236"/>
        <v>0</v>
      </c>
      <c r="DD584" s="56">
        <f t="shared" ca="1" si="237"/>
        <v>0</v>
      </c>
      <c r="DE584" s="56">
        <f t="shared" ca="1" si="238"/>
        <v>0</v>
      </c>
      <c r="DF584" s="56">
        <f t="shared" ca="1" si="239"/>
        <v>0</v>
      </c>
      <c r="DG584" s="56">
        <f t="shared" ca="1" si="240"/>
        <v>0</v>
      </c>
      <c r="DH584" s="56">
        <f t="shared" ca="1" si="241"/>
        <v>0</v>
      </c>
      <c r="DI584" s="56">
        <f t="shared" ca="1" si="242"/>
        <v>0</v>
      </c>
      <c r="DJ584" s="56">
        <f t="shared" ca="1" si="243"/>
        <v>0</v>
      </c>
      <c r="DK584" s="56">
        <f t="shared" ca="1" si="244"/>
        <v>0</v>
      </c>
      <c r="DL584" s="56">
        <f t="shared" ca="1" si="245"/>
        <v>0</v>
      </c>
      <c r="DM584" s="56">
        <f t="shared" ca="1" si="246"/>
        <v>0</v>
      </c>
      <c r="DN584" s="56">
        <f t="shared" ca="1" si="247"/>
        <v>0</v>
      </c>
      <c r="DO584" s="56">
        <f t="shared" ca="1" si="248"/>
        <v>0</v>
      </c>
      <c r="DP584" s="56">
        <f t="shared" ca="1" si="249"/>
        <v>0</v>
      </c>
      <c r="DQ584" s="56">
        <f t="shared" ca="1" si="250"/>
        <v>0</v>
      </c>
      <c r="DR584" s="56">
        <f t="shared" ca="1" si="251"/>
        <v>0</v>
      </c>
      <c r="DS584" s="56">
        <f t="shared" ca="1" si="252"/>
        <v>0</v>
      </c>
      <c r="DT584" s="56">
        <f t="shared" ca="1" si="253"/>
        <v>0</v>
      </c>
      <c r="DU584" s="56">
        <f t="shared" ca="1" si="254"/>
        <v>0</v>
      </c>
      <c r="DV584" s="56">
        <f t="shared" ca="1" si="255"/>
        <v>0</v>
      </c>
      <c r="DW584" s="56">
        <f t="shared" ca="1" si="256"/>
        <v>0</v>
      </c>
      <c r="DX584" s="56">
        <f t="shared" ca="1" si="257"/>
        <v>0</v>
      </c>
      <c r="DY584" s="56">
        <f t="shared" ca="1" si="258"/>
        <v>0</v>
      </c>
      <c r="DZ584" s="56">
        <f t="shared" ca="1" si="259"/>
        <v>0</v>
      </c>
    </row>
    <row r="585" spans="28:130">
      <c r="AB585" s="56">
        <f t="shared" ca="1" si="159"/>
        <v>0</v>
      </c>
      <c r="AC585" s="56">
        <f t="shared" ca="1" si="160"/>
        <v>0</v>
      </c>
      <c r="AD585" s="56">
        <f t="shared" ca="1" si="161"/>
        <v>0</v>
      </c>
      <c r="AE585" s="56">
        <f t="shared" ca="1" si="162"/>
        <v>0</v>
      </c>
      <c r="AF585" s="56">
        <f t="shared" ca="1" si="163"/>
        <v>0</v>
      </c>
      <c r="AG585" s="56">
        <f t="shared" ca="1" si="164"/>
        <v>0</v>
      </c>
      <c r="AH585" s="56">
        <f t="shared" ca="1" si="165"/>
        <v>0</v>
      </c>
      <c r="AI585" s="56">
        <f t="shared" ca="1" si="166"/>
        <v>0</v>
      </c>
      <c r="AJ585" s="56">
        <f t="shared" ca="1" si="167"/>
        <v>0</v>
      </c>
      <c r="AK585" s="56">
        <f t="shared" ca="1" si="168"/>
        <v>0</v>
      </c>
      <c r="AL585" s="56">
        <f t="shared" ca="1" si="169"/>
        <v>0</v>
      </c>
      <c r="AM585" s="56">
        <f t="shared" ca="1" si="170"/>
        <v>0</v>
      </c>
      <c r="AN585" s="56">
        <f t="shared" ca="1" si="171"/>
        <v>0</v>
      </c>
      <c r="AO585" s="56">
        <f t="shared" ca="1" si="172"/>
        <v>0</v>
      </c>
      <c r="AP585" s="56">
        <f t="shared" ca="1" si="173"/>
        <v>0</v>
      </c>
      <c r="AQ585" s="56">
        <f t="shared" ca="1" si="174"/>
        <v>0</v>
      </c>
      <c r="AR585" s="56">
        <f t="shared" ca="1" si="175"/>
        <v>0</v>
      </c>
      <c r="AS585" s="56">
        <f t="shared" ca="1" si="176"/>
        <v>0</v>
      </c>
      <c r="AT585" s="56">
        <f t="shared" ca="1" si="177"/>
        <v>0</v>
      </c>
      <c r="AU585" s="56">
        <f t="shared" ca="1" si="178"/>
        <v>0</v>
      </c>
      <c r="AV585" s="56">
        <f t="shared" ca="1" si="179"/>
        <v>0</v>
      </c>
      <c r="AW585" s="56">
        <f t="shared" ca="1" si="180"/>
        <v>0</v>
      </c>
      <c r="AX585" s="56">
        <f t="shared" ca="1" si="181"/>
        <v>0</v>
      </c>
      <c r="AY585" s="56">
        <f t="shared" ca="1" si="182"/>
        <v>0</v>
      </c>
      <c r="AZ585" s="56">
        <f t="shared" ca="1" si="183"/>
        <v>0</v>
      </c>
      <c r="BA585" s="56">
        <f t="shared" ca="1" si="184"/>
        <v>0</v>
      </c>
      <c r="BB585" s="56">
        <f t="shared" ca="1" si="185"/>
        <v>0</v>
      </c>
      <c r="BC585" s="56">
        <f t="shared" ca="1" si="186"/>
        <v>0</v>
      </c>
      <c r="BD585" s="56">
        <f t="shared" ca="1" si="187"/>
        <v>0</v>
      </c>
      <c r="BE585" s="56">
        <f t="shared" ca="1" si="188"/>
        <v>0</v>
      </c>
      <c r="BF585" s="56">
        <f t="shared" ca="1" si="189"/>
        <v>0</v>
      </c>
      <c r="BG585" s="56">
        <f t="shared" ca="1" si="190"/>
        <v>0</v>
      </c>
      <c r="BH585" s="56">
        <f t="shared" ca="1" si="191"/>
        <v>0</v>
      </c>
      <c r="BI585" s="56">
        <f t="shared" ca="1" si="192"/>
        <v>0</v>
      </c>
      <c r="BJ585" s="56">
        <f t="shared" ca="1" si="193"/>
        <v>0</v>
      </c>
      <c r="BK585" s="56">
        <f t="shared" ca="1" si="194"/>
        <v>0</v>
      </c>
      <c r="BL585" s="56">
        <f t="shared" ca="1" si="195"/>
        <v>0</v>
      </c>
      <c r="BM585" s="56">
        <f t="shared" ca="1" si="196"/>
        <v>0</v>
      </c>
      <c r="BN585" s="56">
        <f t="shared" ca="1" si="197"/>
        <v>0</v>
      </c>
      <c r="BO585" s="56">
        <f t="shared" ca="1" si="198"/>
        <v>0</v>
      </c>
      <c r="BP585" s="56">
        <f t="shared" ca="1" si="199"/>
        <v>0</v>
      </c>
      <c r="BQ585" s="56">
        <f t="shared" ca="1" si="200"/>
        <v>0</v>
      </c>
      <c r="BR585" s="56">
        <f t="shared" ca="1" si="201"/>
        <v>0</v>
      </c>
      <c r="BS585" s="56">
        <f t="shared" ca="1" si="202"/>
        <v>0</v>
      </c>
      <c r="BT585" s="56">
        <f t="shared" ca="1" si="203"/>
        <v>0</v>
      </c>
      <c r="BU585" s="56">
        <f t="shared" ca="1" si="204"/>
        <v>0</v>
      </c>
      <c r="BV585" s="56">
        <f t="shared" ca="1" si="205"/>
        <v>0</v>
      </c>
      <c r="BW585" s="56">
        <f t="shared" ca="1" si="206"/>
        <v>0</v>
      </c>
      <c r="BX585" s="56">
        <f t="shared" ca="1" si="207"/>
        <v>0</v>
      </c>
      <c r="BY585" s="56">
        <f t="shared" ca="1" si="208"/>
        <v>0</v>
      </c>
      <c r="BZ585">
        <f t="shared" si="209"/>
        <v>0</v>
      </c>
      <c r="CA585">
        <f t="shared" si="209"/>
        <v>0</v>
      </c>
      <c r="CB585">
        <f t="shared" si="209"/>
        <v>0</v>
      </c>
      <c r="CC585" s="56">
        <f t="shared" ca="1" si="210"/>
        <v>0</v>
      </c>
      <c r="CD585" s="56">
        <f t="shared" ca="1" si="211"/>
        <v>0</v>
      </c>
      <c r="CE585" s="56">
        <f t="shared" ca="1" si="212"/>
        <v>0</v>
      </c>
      <c r="CF585" s="56">
        <f t="shared" ca="1" si="213"/>
        <v>0</v>
      </c>
      <c r="CG585" s="56">
        <f t="shared" ca="1" si="214"/>
        <v>0</v>
      </c>
      <c r="CH585" s="56">
        <f t="shared" ca="1" si="215"/>
        <v>0</v>
      </c>
      <c r="CI585" s="56">
        <f t="shared" ca="1" si="216"/>
        <v>0</v>
      </c>
      <c r="CJ585" s="56">
        <f t="shared" ca="1" si="217"/>
        <v>0</v>
      </c>
      <c r="CK585" s="56">
        <f t="shared" ca="1" si="218"/>
        <v>0</v>
      </c>
      <c r="CL585" s="56">
        <f t="shared" ca="1" si="219"/>
        <v>0</v>
      </c>
      <c r="CM585" s="56">
        <f t="shared" ca="1" si="220"/>
        <v>0</v>
      </c>
      <c r="CN585" s="56">
        <f t="shared" ca="1" si="221"/>
        <v>0</v>
      </c>
      <c r="CO585" s="56">
        <f t="shared" ca="1" si="222"/>
        <v>0</v>
      </c>
      <c r="CP585" s="56">
        <f t="shared" ca="1" si="223"/>
        <v>0</v>
      </c>
      <c r="CQ585" s="56">
        <f t="shared" ca="1" si="224"/>
        <v>0</v>
      </c>
      <c r="CR585" s="56">
        <f t="shared" ca="1" si="225"/>
        <v>0</v>
      </c>
      <c r="CS585" s="56">
        <f t="shared" ca="1" si="226"/>
        <v>0</v>
      </c>
      <c r="CT585" s="56">
        <f t="shared" ca="1" si="227"/>
        <v>0</v>
      </c>
      <c r="CU585" s="56">
        <f t="shared" ca="1" si="228"/>
        <v>0</v>
      </c>
      <c r="CV585" s="56">
        <f t="shared" ca="1" si="229"/>
        <v>0</v>
      </c>
      <c r="CW585" s="56">
        <f t="shared" ca="1" si="230"/>
        <v>0</v>
      </c>
      <c r="CX585" s="56">
        <f t="shared" ca="1" si="231"/>
        <v>0</v>
      </c>
      <c r="CY585" s="56">
        <f t="shared" ca="1" si="232"/>
        <v>0</v>
      </c>
      <c r="CZ585" s="56">
        <f t="shared" ca="1" si="233"/>
        <v>0</v>
      </c>
      <c r="DA585" s="56">
        <f t="shared" ca="1" si="234"/>
        <v>0</v>
      </c>
      <c r="DB585" s="56">
        <f t="shared" ca="1" si="235"/>
        <v>0</v>
      </c>
      <c r="DC585" s="56">
        <f t="shared" ca="1" si="236"/>
        <v>0</v>
      </c>
      <c r="DD585" s="56">
        <f t="shared" ca="1" si="237"/>
        <v>0</v>
      </c>
      <c r="DE585" s="56">
        <f t="shared" ca="1" si="238"/>
        <v>0</v>
      </c>
      <c r="DF585" s="56">
        <f t="shared" ca="1" si="239"/>
        <v>0</v>
      </c>
      <c r="DG585" s="56">
        <f t="shared" ca="1" si="240"/>
        <v>0</v>
      </c>
      <c r="DH585" s="56">
        <f t="shared" ca="1" si="241"/>
        <v>0</v>
      </c>
      <c r="DI585" s="56">
        <f t="shared" ca="1" si="242"/>
        <v>0</v>
      </c>
      <c r="DJ585" s="56">
        <f t="shared" ca="1" si="243"/>
        <v>0</v>
      </c>
      <c r="DK585" s="56">
        <f t="shared" ca="1" si="244"/>
        <v>0</v>
      </c>
      <c r="DL585" s="56">
        <f t="shared" ca="1" si="245"/>
        <v>0</v>
      </c>
      <c r="DM585" s="56">
        <f t="shared" ca="1" si="246"/>
        <v>0</v>
      </c>
      <c r="DN585" s="56">
        <f t="shared" ca="1" si="247"/>
        <v>0</v>
      </c>
      <c r="DO585" s="56">
        <f t="shared" ca="1" si="248"/>
        <v>0</v>
      </c>
      <c r="DP585" s="56">
        <f t="shared" ca="1" si="249"/>
        <v>0</v>
      </c>
      <c r="DQ585" s="56">
        <f t="shared" ca="1" si="250"/>
        <v>0</v>
      </c>
      <c r="DR585" s="56">
        <f t="shared" ca="1" si="251"/>
        <v>0</v>
      </c>
      <c r="DS585" s="56">
        <f t="shared" ca="1" si="252"/>
        <v>0</v>
      </c>
      <c r="DT585" s="56">
        <f t="shared" ca="1" si="253"/>
        <v>0</v>
      </c>
      <c r="DU585" s="56">
        <f t="shared" ca="1" si="254"/>
        <v>0</v>
      </c>
      <c r="DV585" s="56">
        <f t="shared" ca="1" si="255"/>
        <v>0</v>
      </c>
      <c r="DW585" s="56">
        <f t="shared" ca="1" si="256"/>
        <v>0</v>
      </c>
      <c r="DX585" s="56">
        <f t="shared" ca="1" si="257"/>
        <v>0</v>
      </c>
      <c r="DY585" s="56">
        <f t="shared" ca="1" si="258"/>
        <v>0</v>
      </c>
      <c r="DZ585" s="56">
        <f t="shared" ca="1" si="259"/>
        <v>0</v>
      </c>
    </row>
    <row r="586" spans="28:130">
      <c r="AB586" s="56">
        <f t="shared" ca="1" si="159"/>
        <v>0</v>
      </c>
      <c r="AC586" s="56">
        <f t="shared" ca="1" si="160"/>
        <v>0</v>
      </c>
      <c r="AD586" s="56">
        <f t="shared" ca="1" si="161"/>
        <v>0</v>
      </c>
      <c r="AE586" s="56">
        <f t="shared" ca="1" si="162"/>
        <v>0</v>
      </c>
      <c r="AF586" s="56">
        <f t="shared" ca="1" si="163"/>
        <v>0</v>
      </c>
      <c r="AG586" s="56">
        <f t="shared" ca="1" si="164"/>
        <v>0</v>
      </c>
      <c r="AH586" s="56">
        <f t="shared" ca="1" si="165"/>
        <v>0</v>
      </c>
      <c r="AI586" s="56">
        <f t="shared" ca="1" si="166"/>
        <v>0</v>
      </c>
      <c r="AJ586" s="56">
        <f t="shared" ca="1" si="167"/>
        <v>0</v>
      </c>
      <c r="AK586" s="56">
        <f t="shared" ca="1" si="168"/>
        <v>0</v>
      </c>
      <c r="AL586" s="56">
        <f t="shared" ca="1" si="169"/>
        <v>0</v>
      </c>
      <c r="AM586" s="56">
        <f t="shared" ca="1" si="170"/>
        <v>0</v>
      </c>
      <c r="AN586" s="56">
        <f t="shared" ca="1" si="171"/>
        <v>0</v>
      </c>
      <c r="AO586" s="56">
        <f t="shared" ca="1" si="172"/>
        <v>0</v>
      </c>
      <c r="AP586" s="56">
        <f t="shared" ca="1" si="173"/>
        <v>0</v>
      </c>
      <c r="AQ586" s="56">
        <f t="shared" ca="1" si="174"/>
        <v>0</v>
      </c>
      <c r="AR586" s="56">
        <f t="shared" ca="1" si="175"/>
        <v>0</v>
      </c>
      <c r="AS586" s="56">
        <f t="shared" ca="1" si="176"/>
        <v>0</v>
      </c>
      <c r="AT586" s="56">
        <f t="shared" ca="1" si="177"/>
        <v>0</v>
      </c>
      <c r="AU586" s="56">
        <f t="shared" ca="1" si="178"/>
        <v>0</v>
      </c>
      <c r="AV586" s="56">
        <f t="shared" ca="1" si="179"/>
        <v>0</v>
      </c>
      <c r="AW586" s="56">
        <f t="shared" ca="1" si="180"/>
        <v>0</v>
      </c>
      <c r="AX586" s="56">
        <f t="shared" ca="1" si="181"/>
        <v>0</v>
      </c>
      <c r="AY586" s="56">
        <f t="shared" ca="1" si="182"/>
        <v>0</v>
      </c>
      <c r="AZ586" s="56">
        <f t="shared" ca="1" si="183"/>
        <v>0</v>
      </c>
      <c r="BA586" s="56">
        <f t="shared" ca="1" si="184"/>
        <v>0</v>
      </c>
      <c r="BB586" s="56">
        <f t="shared" ca="1" si="185"/>
        <v>0</v>
      </c>
      <c r="BC586" s="56">
        <f t="shared" ca="1" si="186"/>
        <v>0</v>
      </c>
      <c r="BD586" s="56">
        <f t="shared" ca="1" si="187"/>
        <v>0</v>
      </c>
      <c r="BE586" s="56">
        <f t="shared" ca="1" si="188"/>
        <v>0</v>
      </c>
      <c r="BF586" s="56">
        <f t="shared" ca="1" si="189"/>
        <v>0</v>
      </c>
      <c r="BG586" s="56">
        <f t="shared" ca="1" si="190"/>
        <v>0</v>
      </c>
      <c r="BH586" s="56">
        <f t="shared" ca="1" si="191"/>
        <v>0</v>
      </c>
      <c r="BI586" s="56">
        <f t="shared" ca="1" si="192"/>
        <v>0</v>
      </c>
      <c r="BJ586" s="56">
        <f t="shared" ca="1" si="193"/>
        <v>0</v>
      </c>
      <c r="BK586" s="56">
        <f t="shared" ca="1" si="194"/>
        <v>0</v>
      </c>
      <c r="BL586" s="56">
        <f t="shared" ca="1" si="195"/>
        <v>0</v>
      </c>
      <c r="BM586" s="56">
        <f t="shared" ca="1" si="196"/>
        <v>0</v>
      </c>
      <c r="BN586" s="56">
        <f t="shared" ca="1" si="197"/>
        <v>0</v>
      </c>
      <c r="BO586" s="56">
        <f t="shared" ca="1" si="198"/>
        <v>0</v>
      </c>
      <c r="BP586" s="56">
        <f t="shared" ca="1" si="199"/>
        <v>0</v>
      </c>
      <c r="BQ586" s="56">
        <f t="shared" ca="1" si="200"/>
        <v>0</v>
      </c>
      <c r="BR586" s="56">
        <f t="shared" ca="1" si="201"/>
        <v>0</v>
      </c>
      <c r="BS586" s="56">
        <f t="shared" ca="1" si="202"/>
        <v>0</v>
      </c>
      <c r="BT586" s="56">
        <f t="shared" ca="1" si="203"/>
        <v>0</v>
      </c>
      <c r="BU586" s="56">
        <f t="shared" ca="1" si="204"/>
        <v>0</v>
      </c>
      <c r="BV586" s="56">
        <f t="shared" ca="1" si="205"/>
        <v>0</v>
      </c>
      <c r="BW586" s="56">
        <f t="shared" ca="1" si="206"/>
        <v>0</v>
      </c>
      <c r="BX586" s="56">
        <f t="shared" ca="1" si="207"/>
        <v>0</v>
      </c>
      <c r="BY586" s="56">
        <f t="shared" ca="1" si="208"/>
        <v>0</v>
      </c>
      <c r="BZ586">
        <f t="shared" si="209"/>
        <v>0</v>
      </c>
      <c r="CA586">
        <f t="shared" si="209"/>
        <v>0</v>
      </c>
      <c r="CB586">
        <f t="shared" si="209"/>
        <v>0</v>
      </c>
      <c r="CC586" s="56">
        <f t="shared" ca="1" si="210"/>
        <v>0</v>
      </c>
      <c r="CD586" s="56">
        <f t="shared" ca="1" si="211"/>
        <v>0</v>
      </c>
      <c r="CE586" s="56">
        <f t="shared" ca="1" si="212"/>
        <v>0</v>
      </c>
      <c r="CF586" s="56">
        <f t="shared" ca="1" si="213"/>
        <v>0</v>
      </c>
      <c r="CG586" s="56">
        <f t="shared" ca="1" si="214"/>
        <v>0</v>
      </c>
      <c r="CH586" s="56">
        <f t="shared" ca="1" si="215"/>
        <v>0</v>
      </c>
      <c r="CI586" s="56">
        <f t="shared" ca="1" si="216"/>
        <v>0</v>
      </c>
      <c r="CJ586" s="56">
        <f t="shared" ca="1" si="217"/>
        <v>0</v>
      </c>
      <c r="CK586" s="56">
        <f t="shared" ca="1" si="218"/>
        <v>0</v>
      </c>
      <c r="CL586" s="56">
        <f t="shared" ca="1" si="219"/>
        <v>0</v>
      </c>
      <c r="CM586" s="56">
        <f t="shared" ca="1" si="220"/>
        <v>0</v>
      </c>
      <c r="CN586" s="56">
        <f t="shared" ca="1" si="221"/>
        <v>0</v>
      </c>
      <c r="CO586" s="56">
        <f t="shared" ca="1" si="222"/>
        <v>0</v>
      </c>
      <c r="CP586" s="56">
        <f t="shared" ca="1" si="223"/>
        <v>0</v>
      </c>
      <c r="CQ586" s="56">
        <f t="shared" ca="1" si="224"/>
        <v>0</v>
      </c>
      <c r="CR586" s="56">
        <f t="shared" ca="1" si="225"/>
        <v>0</v>
      </c>
      <c r="CS586" s="56">
        <f t="shared" ca="1" si="226"/>
        <v>0</v>
      </c>
      <c r="CT586" s="56">
        <f t="shared" ca="1" si="227"/>
        <v>0</v>
      </c>
      <c r="CU586" s="56">
        <f t="shared" ca="1" si="228"/>
        <v>0</v>
      </c>
      <c r="CV586" s="56">
        <f t="shared" ca="1" si="229"/>
        <v>0</v>
      </c>
      <c r="CW586" s="56">
        <f t="shared" ca="1" si="230"/>
        <v>0</v>
      </c>
      <c r="CX586" s="56">
        <f t="shared" ca="1" si="231"/>
        <v>0</v>
      </c>
      <c r="CY586" s="56">
        <f t="shared" ca="1" si="232"/>
        <v>0</v>
      </c>
      <c r="CZ586" s="56">
        <f t="shared" ca="1" si="233"/>
        <v>0</v>
      </c>
      <c r="DA586" s="56">
        <f t="shared" ca="1" si="234"/>
        <v>0</v>
      </c>
      <c r="DB586" s="56">
        <f t="shared" ca="1" si="235"/>
        <v>0</v>
      </c>
      <c r="DC586" s="56">
        <f t="shared" ca="1" si="236"/>
        <v>0</v>
      </c>
      <c r="DD586" s="56">
        <f t="shared" ca="1" si="237"/>
        <v>0</v>
      </c>
      <c r="DE586" s="56">
        <f t="shared" ca="1" si="238"/>
        <v>0</v>
      </c>
      <c r="DF586" s="56">
        <f t="shared" ca="1" si="239"/>
        <v>0</v>
      </c>
      <c r="DG586" s="56">
        <f t="shared" ca="1" si="240"/>
        <v>0</v>
      </c>
      <c r="DH586" s="56">
        <f t="shared" ca="1" si="241"/>
        <v>0</v>
      </c>
      <c r="DI586" s="56">
        <f t="shared" ca="1" si="242"/>
        <v>0</v>
      </c>
      <c r="DJ586" s="56">
        <f t="shared" ca="1" si="243"/>
        <v>0</v>
      </c>
      <c r="DK586" s="56">
        <f t="shared" ca="1" si="244"/>
        <v>0</v>
      </c>
      <c r="DL586" s="56">
        <f t="shared" ca="1" si="245"/>
        <v>0</v>
      </c>
      <c r="DM586" s="56">
        <f t="shared" ca="1" si="246"/>
        <v>0</v>
      </c>
      <c r="DN586" s="56">
        <f t="shared" ca="1" si="247"/>
        <v>0</v>
      </c>
      <c r="DO586" s="56">
        <f t="shared" ca="1" si="248"/>
        <v>0</v>
      </c>
      <c r="DP586" s="56">
        <f t="shared" ca="1" si="249"/>
        <v>0</v>
      </c>
      <c r="DQ586" s="56">
        <f t="shared" ca="1" si="250"/>
        <v>0</v>
      </c>
      <c r="DR586" s="56">
        <f t="shared" ca="1" si="251"/>
        <v>0</v>
      </c>
      <c r="DS586" s="56">
        <f t="shared" ca="1" si="252"/>
        <v>0</v>
      </c>
      <c r="DT586" s="56">
        <f t="shared" ca="1" si="253"/>
        <v>0</v>
      </c>
      <c r="DU586" s="56">
        <f t="shared" ca="1" si="254"/>
        <v>0</v>
      </c>
      <c r="DV586" s="56">
        <f t="shared" ca="1" si="255"/>
        <v>0</v>
      </c>
      <c r="DW586" s="56">
        <f t="shared" ca="1" si="256"/>
        <v>0</v>
      </c>
      <c r="DX586" s="56">
        <f t="shared" ca="1" si="257"/>
        <v>0</v>
      </c>
      <c r="DY586" s="56">
        <f t="shared" ca="1" si="258"/>
        <v>0</v>
      </c>
      <c r="DZ586" s="56">
        <f t="shared" ca="1" si="259"/>
        <v>0</v>
      </c>
    </row>
    <row r="587" spans="28:130">
      <c r="AB587" s="56">
        <f t="shared" ca="1" si="159"/>
        <v>0</v>
      </c>
      <c r="AC587" s="56">
        <f t="shared" ca="1" si="160"/>
        <v>0</v>
      </c>
      <c r="AD587" s="56">
        <f t="shared" ca="1" si="161"/>
        <v>0</v>
      </c>
      <c r="AE587" s="56">
        <f t="shared" ca="1" si="162"/>
        <v>0</v>
      </c>
      <c r="AF587" s="56">
        <f t="shared" ca="1" si="163"/>
        <v>0</v>
      </c>
      <c r="AG587" s="56">
        <f t="shared" ca="1" si="164"/>
        <v>0</v>
      </c>
      <c r="AH587" s="56">
        <f t="shared" ca="1" si="165"/>
        <v>0</v>
      </c>
      <c r="AI587" s="56">
        <f t="shared" ca="1" si="166"/>
        <v>0</v>
      </c>
      <c r="AJ587" s="56">
        <f t="shared" ca="1" si="167"/>
        <v>0</v>
      </c>
      <c r="AK587" s="56">
        <f t="shared" ca="1" si="168"/>
        <v>0</v>
      </c>
      <c r="AL587" s="56">
        <f t="shared" ca="1" si="169"/>
        <v>0</v>
      </c>
      <c r="AM587" s="56">
        <f t="shared" ca="1" si="170"/>
        <v>0</v>
      </c>
      <c r="AN587" s="56">
        <f t="shared" ca="1" si="171"/>
        <v>0</v>
      </c>
      <c r="AO587" s="56">
        <f t="shared" ca="1" si="172"/>
        <v>0</v>
      </c>
      <c r="AP587" s="56">
        <f t="shared" ca="1" si="173"/>
        <v>0</v>
      </c>
      <c r="AQ587" s="56">
        <f t="shared" ca="1" si="174"/>
        <v>0</v>
      </c>
      <c r="AR587" s="56">
        <f t="shared" ca="1" si="175"/>
        <v>0</v>
      </c>
      <c r="AS587" s="56">
        <f t="shared" ca="1" si="176"/>
        <v>0</v>
      </c>
      <c r="AT587" s="56">
        <f t="shared" ca="1" si="177"/>
        <v>0</v>
      </c>
      <c r="AU587" s="56">
        <f t="shared" ca="1" si="178"/>
        <v>0</v>
      </c>
      <c r="AV587" s="56">
        <f t="shared" ca="1" si="179"/>
        <v>0</v>
      </c>
      <c r="AW587" s="56">
        <f t="shared" ca="1" si="180"/>
        <v>0</v>
      </c>
      <c r="AX587" s="56">
        <f t="shared" ca="1" si="181"/>
        <v>0</v>
      </c>
      <c r="AY587" s="56">
        <f t="shared" ca="1" si="182"/>
        <v>0</v>
      </c>
      <c r="AZ587" s="56">
        <f t="shared" ca="1" si="183"/>
        <v>0</v>
      </c>
      <c r="BA587" s="56">
        <f t="shared" ca="1" si="184"/>
        <v>0</v>
      </c>
      <c r="BB587" s="56">
        <f t="shared" ca="1" si="185"/>
        <v>0</v>
      </c>
      <c r="BC587" s="56">
        <f t="shared" ca="1" si="186"/>
        <v>0</v>
      </c>
      <c r="BD587" s="56">
        <f t="shared" ca="1" si="187"/>
        <v>0</v>
      </c>
      <c r="BE587" s="56">
        <f t="shared" ca="1" si="188"/>
        <v>0</v>
      </c>
      <c r="BF587" s="56">
        <f t="shared" ca="1" si="189"/>
        <v>0</v>
      </c>
      <c r="BG587" s="56">
        <f t="shared" ca="1" si="190"/>
        <v>0</v>
      </c>
      <c r="BH587" s="56">
        <f t="shared" ca="1" si="191"/>
        <v>0</v>
      </c>
      <c r="BI587" s="56">
        <f t="shared" ca="1" si="192"/>
        <v>0</v>
      </c>
      <c r="BJ587" s="56">
        <f t="shared" ca="1" si="193"/>
        <v>0</v>
      </c>
      <c r="BK587" s="56">
        <f t="shared" ca="1" si="194"/>
        <v>0</v>
      </c>
      <c r="BL587" s="56">
        <f t="shared" ca="1" si="195"/>
        <v>0</v>
      </c>
      <c r="BM587" s="56">
        <f t="shared" ca="1" si="196"/>
        <v>0</v>
      </c>
      <c r="BN587" s="56">
        <f t="shared" ca="1" si="197"/>
        <v>0</v>
      </c>
      <c r="BO587" s="56">
        <f t="shared" ca="1" si="198"/>
        <v>0</v>
      </c>
      <c r="BP587" s="56">
        <f t="shared" ca="1" si="199"/>
        <v>0</v>
      </c>
      <c r="BQ587" s="56">
        <f t="shared" ca="1" si="200"/>
        <v>0</v>
      </c>
      <c r="BR587" s="56">
        <f t="shared" ca="1" si="201"/>
        <v>0</v>
      </c>
      <c r="BS587" s="56">
        <f t="shared" ca="1" si="202"/>
        <v>0</v>
      </c>
      <c r="BT587" s="56">
        <f t="shared" ca="1" si="203"/>
        <v>0</v>
      </c>
      <c r="BU587" s="56">
        <f t="shared" ca="1" si="204"/>
        <v>0</v>
      </c>
      <c r="BV587" s="56">
        <f t="shared" ca="1" si="205"/>
        <v>0</v>
      </c>
      <c r="BW587" s="56">
        <f t="shared" ca="1" si="206"/>
        <v>0</v>
      </c>
      <c r="BX587" s="56">
        <f t="shared" ca="1" si="207"/>
        <v>0</v>
      </c>
      <c r="BY587" s="56">
        <f t="shared" ca="1" si="208"/>
        <v>0</v>
      </c>
      <c r="BZ587">
        <f t="shared" si="209"/>
        <v>0</v>
      </c>
      <c r="CA587">
        <f t="shared" si="209"/>
        <v>0</v>
      </c>
      <c r="CB587">
        <f t="shared" si="209"/>
        <v>0</v>
      </c>
      <c r="CC587" s="56">
        <f t="shared" ca="1" si="210"/>
        <v>0</v>
      </c>
      <c r="CD587" s="56">
        <f t="shared" ca="1" si="211"/>
        <v>0</v>
      </c>
      <c r="CE587" s="56">
        <f t="shared" ca="1" si="212"/>
        <v>0</v>
      </c>
      <c r="CF587" s="56">
        <f t="shared" ca="1" si="213"/>
        <v>0</v>
      </c>
      <c r="CG587" s="56">
        <f t="shared" ca="1" si="214"/>
        <v>0</v>
      </c>
      <c r="CH587" s="56">
        <f t="shared" ca="1" si="215"/>
        <v>0</v>
      </c>
      <c r="CI587" s="56">
        <f t="shared" ca="1" si="216"/>
        <v>0</v>
      </c>
      <c r="CJ587" s="56">
        <f t="shared" ca="1" si="217"/>
        <v>0</v>
      </c>
      <c r="CK587" s="56">
        <f t="shared" ca="1" si="218"/>
        <v>0</v>
      </c>
      <c r="CL587" s="56">
        <f t="shared" ca="1" si="219"/>
        <v>0</v>
      </c>
      <c r="CM587" s="56">
        <f t="shared" ca="1" si="220"/>
        <v>0</v>
      </c>
      <c r="CN587" s="56">
        <f t="shared" ca="1" si="221"/>
        <v>0</v>
      </c>
      <c r="CO587" s="56">
        <f t="shared" ca="1" si="222"/>
        <v>0</v>
      </c>
      <c r="CP587" s="56">
        <f t="shared" ca="1" si="223"/>
        <v>0</v>
      </c>
      <c r="CQ587" s="56">
        <f t="shared" ca="1" si="224"/>
        <v>0</v>
      </c>
      <c r="CR587" s="56">
        <f t="shared" ca="1" si="225"/>
        <v>0</v>
      </c>
      <c r="CS587" s="56">
        <f t="shared" ca="1" si="226"/>
        <v>0</v>
      </c>
      <c r="CT587" s="56">
        <f t="shared" ca="1" si="227"/>
        <v>0</v>
      </c>
      <c r="CU587" s="56">
        <f t="shared" ca="1" si="228"/>
        <v>0</v>
      </c>
      <c r="CV587" s="56">
        <f t="shared" ca="1" si="229"/>
        <v>0</v>
      </c>
      <c r="CW587" s="56">
        <f t="shared" ca="1" si="230"/>
        <v>0</v>
      </c>
      <c r="CX587" s="56">
        <f t="shared" ca="1" si="231"/>
        <v>0</v>
      </c>
      <c r="CY587" s="56">
        <f t="shared" ca="1" si="232"/>
        <v>0</v>
      </c>
      <c r="CZ587" s="56">
        <f t="shared" ca="1" si="233"/>
        <v>0</v>
      </c>
      <c r="DA587" s="56">
        <f t="shared" ca="1" si="234"/>
        <v>0</v>
      </c>
      <c r="DB587" s="56">
        <f t="shared" ca="1" si="235"/>
        <v>0</v>
      </c>
      <c r="DC587" s="56">
        <f t="shared" ca="1" si="236"/>
        <v>0</v>
      </c>
      <c r="DD587" s="56">
        <f t="shared" ca="1" si="237"/>
        <v>0</v>
      </c>
      <c r="DE587" s="56">
        <f t="shared" ca="1" si="238"/>
        <v>0</v>
      </c>
      <c r="DF587" s="56">
        <f t="shared" ca="1" si="239"/>
        <v>0</v>
      </c>
      <c r="DG587" s="56">
        <f t="shared" ca="1" si="240"/>
        <v>0</v>
      </c>
      <c r="DH587" s="56">
        <f t="shared" ca="1" si="241"/>
        <v>0</v>
      </c>
      <c r="DI587" s="56">
        <f t="shared" ca="1" si="242"/>
        <v>0</v>
      </c>
      <c r="DJ587" s="56">
        <f t="shared" ca="1" si="243"/>
        <v>0</v>
      </c>
      <c r="DK587" s="56">
        <f t="shared" ca="1" si="244"/>
        <v>0</v>
      </c>
      <c r="DL587" s="56">
        <f t="shared" ca="1" si="245"/>
        <v>0</v>
      </c>
      <c r="DM587" s="56">
        <f t="shared" ca="1" si="246"/>
        <v>0</v>
      </c>
      <c r="DN587" s="56">
        <f t="shared" ca="1" si="247"/>
        <v>0</v>
      </c>
      <c r="DO587" s="56">
        <f t="shared" ca="1" si="248"/>
        <v>0</v>
      </c>
      <c r="DP587" s="56">
        <f t="shared" ca="1" si="249"/>
        <v>0</v>
      </c>
      <c r="DQ587" s="56">
        <f t="shared" ca="1" si="250"/>
        <v>0</v>
      </c>
      <c r="DR587" s="56">
        <f t="shared" ca="1" si="251"/>
        <v>0</v>
      </c>
      <c r="DS587" s="56">
        <f t="shared" ca="1" si="252"/>
        <v>0</v>
      </c>
      <c r="DT587" s="56">
        <f t="shared" ca="1" si="253"/>
        <v>0</v>
      </c>
      <c r="DU587" s="56">
        <f t="shared" ca="1" si="254"/>
        <v>0</v>
      </c>
      <c r="DV587" s="56">
        <f t="shared" ca="1" si="255"/>
        <v>0</v>
      </c>
      <c r="DW587" s="56">
        <f t="shared" ca="1" si="256"/>
        <v>0</v>
      </c>
      <c r="DX587" s="56">
        <f t="shared" ca="1" si="257"/>
        <v>0</v>
      </c>
      <c r="DY587" s="56">
        <f t="shared" ca="1" si="258"/>
        <v>0</v>
      </c>
      <c r="DZ587" s="56">
        <f t="shared" ca="1" si="259"/>
        <v>0</v>
      </c>
    </row>
    <row r="588" spans="28:130">
      <c r="AB588" s="56">
        <f t="shared" ca="1" si="159"/>
        <v>0</v>
      </c>
      <c r="AC588" s="56">
        <f t="shared" ca="1" si="160"/>
        <v>0</v>
      </c>
      <c r="AD588" s="56">
        <f t="shared" ca="1" si="161"/>
        <v>0</v>
      </c>
      <c r="AE588" s="56">
        <f t="shared" ca="1" si="162"/>
        <v>0</v>
      </c>
      <c r="AF588" s="56">
        <f t="shared" ca="1" si="163"/>
        <v>0</v>
      </c>
      <c r="AG588" s="56">
        <f t="shared" ca="1" si="164"/>
        <v>0</v>
      </c>
      <c r="AH588" s="56">
        <f t="shared" ca="1" si="165"/>
        <v>0</v>
      </c>
      <c r="AI588" s="56">
        <f t="shared" ca="1" si="166"/>
        <v>0</v>
      </c>
      <c r="AJ588" s="56">
        <f t="shared" ca="1" si="167"/>
        <v>0</v>
      </c>
      <c r="AK588" s="56">
        <f t="shared" ca="1" si="168"/>
        <v>0</v>
      </c>
      <c r="AL588" s="56">
        <f t="shared" ca="1" si="169"/>
        <v>0</v>
      </c>
      <c r="AM588" s="56">
        <f t="shared" ca="1" si="170"/>
        <v>0</v>
      </c>
      <c r="AN588" s="56">
        <f t="shared" ca="1" si="171"/>
        <v>0</v>
      </c>
      <c r="AO588" s="56">
        <f t="shared" ca="1" si="172"/>
        <v>0</v>
      </c>
      <c r="AP588" s="56">
        <f t="shared" ca="1" si="173"/>
        <v>0</v>
      </c>
      <c r="AQ588" s="56">
        <f t="shared" ca="1" si="174"/>
        <v>0</v>
      </c>
      <c r="AR588" s="56">
        <f t="shared" ca="1" si="175"/>
        <v>0</v>
      </c>
      <c r="AS588" s="56">
        <f t="shared" ca="1" si="176"/>
        <v>0</v>
      </c>
      <c r="AT588" s="56">
        <f t="shared" ca="1" si="177"/>
        <v>0</v>
      </c>
      <c r="AU588" s="56">
        <f t="shared" ca="1" si="178"/>
        <v>0</v>
      </c>
      <c r="AV588" s="56">
        <f t="shared" ca="1" si="179"/>
        <v>0</v>
      </c>
      <c r="AW588" s="56">
        <f t="shared" ca="1" si="180"/>
        <v>0</v>
      </c>
      <c r="AX588" s="56">
        <f t="shared" ca="1" si="181"/>
        <v>0</v>
      </c>
      <c r="AY588" s="56">
        <f t="shared" ca="1" si="182"/>
        <v>0</v>
      </c>
      <c r="AZ588" s="56">
        <f t="shared" ca="1" si="183"/>
        <v>0</v>
      </c>
      <c r="BA588" s="56">
        <f t="shared" ca="1" si="184"/>
        <v>0</v>
      </c>
      <c r="BB588" s="56">
        <f t="shared" ca="1" si="185"/>
        <v>0</v>
      </c>
      <c r="BC588" s="56">
        <f t="shared" ca="1" si="186"/>
        <v>0</v>
      </c>
      <c r="BD588" s="56">
        <f t="shared" ca="1" si="187"/>
        <v>0</v>
      </c>
      <c r="BE588" s="56">
        <f t="shared" ca="1" si="188"/>
        <v>0</v>
      </c>
      <c r="BF588" s="56">
        <f t="shared" ca="1" si="189"/>
        <v>0</v>
      </c>
      <c r="BG588" s="56">
        <f t="shared" ca="1" si="190"/>
        <v>0</v>
      </c>
      <c r="BH588" s="56">
        <f t="shared" ca="1" si="191"/>
        <v>0</v>
      </c>
      <c r="BI588" s="56">
        <f t="shared" ca="1" si="192"/>
        <v>0</v>
      </c>
      <c r="BJ588" s="56">
        <f t="shared" ca="1" si="193"/>
        <v>0</v>
      </c>
      <c r="BK588" s="56">
        <f t="shared" ca="1" si="194"/>
        <v>0</v>
      </c>
      <c r="BL588" s="56">
        <f t="shared" ca="1" si="195"/>
        <v>0</v>
      </c>
      <c r="BM588" s="56">
        <f t="shared" ca="1" si="196"/>
        <v>0</v>
      </c>
      <c r="BN588" s="56">
        <f t="shared" ca="1" si="197"/>
        <v>0</v>
      </c>
      <c r="BO588" s="56">
        <f t="shared" ca="1" si="198"/>
        <v>0</v>
      </c>
      <c r="BP588" s="56">
        <f t="shared" ca="1" si="199"/>
        <v>0</v>
      </c>
      <c r="BQ588" s="56">
        <f t="shared" ca="1" si="200"/>
        <v>0</v>
      </c>
      <c r="BR588" s="56">
        <f t="shared" ca="1" si="201"/>
        <v>0</v>
      </c>
      <c r="BS588" s="56">
        <f t="shared" ca="1" si="202"/>
        <v>0</v>
      </c>
      <c r="BT588" s="56">
        <f t="shared" ca="1" si="203"/>
        <v>0</v>
      </c>
      <c r="BU588" s="56">
        <f t="shared" ca="1" si="204"/>
        <v>0</v>
      </c>
      <c r="BV588" s="56">
        <f t="shared" ca="1" si="205"/>
        <v>0</v>
      </c>
      <c r="BW588" s="56">
        <f t="shared" ca="1" si="206"/>
        <v>0</v>
      </c>
      <c r="BX588" s="56">
        <f t="shared" ca="1" si="207"/>
        <v>0</v>
      </c>
      <c r="BY588" s="56">
        <f t="shared" ca="1" si="208"/>
        <v>0</v>
      </c>
      <c r="BZ588">
        <f t="shared" si="209"/>
        <v>0</v>
      </c>
      <c r="CA588">
        <f t="shared" si="209"/>
        <v>0</v>
      </c>
      <c r="CB588">
        <f t="shared" si="209"/>
        <v>0</v>
      </c>
      <c r="CC588" s="56">
        <f t="shared" ca="1" si="210"/>
        <v>0</v>
      </c>
      <c r="CD588" s="56">
        <f t="shared" ca="1" si="211"/>
        <v>0</v>
      </c>
      <c r="CE588" s="56">
        <f t="shared" ca="1" si="212"/>
        <v>0</v>
      </c>
      <c r="CF588" s="56">
        <f t="shared" ca="1" si="213"/>
        <v>0</v>
      </c>
      <c r="CG588" s="56">
        <f t="shared" ca="1" si="214"/>
        <v>0</v>
      </c>
      <c r="CH588" s="56">
        <f t="shared" ca="1" si="215"/>
        <v>0</v>
      </c>
      <c r="CI588" s="56">
        <f t="shared" ca="1" si="216"/>
        <v>0</v>
      </c>
      <c r="CJ588" s="56">
        <f t="shared" ca="1" si="217"/>
        <v>0</v>
      </c>
      <c r="CK588" s="56">
        <f t="shared" ca="1" si="218"/>
        <v>0</v>
      </c>
      <c r="CL588" s="56">
        <f t="shared" ca="1" si="219"/>
        <v>0</v>
      </c>
      <c r="CM588" s="56">
        <f t="shared" ca="1" si="220"/>
        <v>0</v>
      </c>
      <c r="CN588" s="56">
        <f t="shared" ca="1" si="221"/>
        <v>0</v>
      </c>
      <c r="CO588" s="56">
        <f t="shared" ca="1" si="222"/>
        <v>0</v>
      </c>
      <c r="CP588" s="56">
        <f t="shared" ca="1" si="223"/>
        <v>0</v>
      </c>
      <c r="CQ588" s="56">
        <f t="shared" ca="1" si="224"/>
        <v>0</v>
      </c>
      <c r="CR588" s="56">
        <f t="shared" ca="1" si="225"/>
        <v>0</v>
      </c>
      <c r="CS588" s="56">
        <f t="shared" ca="1" si="226"/>
        <v>0</v>
      </c>
      <c r="CT588" s="56">
        <f t="shared" ca="1" si="227"/>
        <v>0</v>
      </c>
      <c r="CU588" s="56">
        <f t="shared" ca="1" si="228"/>
        <v>0</v>
      </c>
      <c r="CV588" s="56">
        <f t="shared" ca="1" si="229"/>
        <v>0</v>
      </c>
      <c r="CW588" s="56">
        <f t="shared" ca="1" si="230"/>
        <v>0</v>
      </c>
      <c r="CX588" s="56">
        <f t="shared" ca="1" si="231"/>
        <v>0</v>
      </c>
      <c r="CY588" s="56">
        <f t="shared" ca="1" si="232"/>
        <v>0</v>
      </c>
      <c r="CZ588" s="56">
        <f t="shared" ca="1" si="233"/>
        <v>0</v>
      </c>
      <c r="DA588" s="56">
        <f t="shared" ca="1" si="234"/>
        <v>0</v>
      </c>
      <c r="DB588" s="56">
        <f t="shared" ca="1" si="235"/>
        <v>0</v>
      </c>
      <c r="DC588" s="56">
        <f t="shared" ca="1" si="236"/>
        <v>0</v>
      </c>
      <c r="DD588" s="56">
        <f t="shared" ca="1" si="237"/>
        <v>0</v>
      </c>
      <c r="DE588" s="56">
        <f t="shared" ca="1" si="238"/>
        <v>0</v>
      </c>
      <c r="DF588" s="56">
        <f t="shared" ca="1" si="239"/>
        <v>0</v>
      </c>
      <c r="DG588" s="56">
        <f t="shared" ca="1" si="240"/>
        <v>0</v>
      </c>
      <c r="DH588" s="56">
        <f t="shared" ca="1" si="241"/>
        <v>0</v>
      </c>
      <c r="DI588" s="56">
        <f t="shared" ca="1" si="242"/>
        <v>0</v>
      </c>
      <c r="DJ588" s="56">
        <f t="shared" ca="1" si="243"/>
        <v>0</v>
      </c>
      <c r="DK588" s="56">
        <f t="shared" ca="1" si="244"/>
        <v>0</v>
      </c>
      <c r="DL588" s="56">
        <f t="shared" ca="1" si="245"/>
        <v>0</v>
      </c>
      <c r="DM588" s="56">
        <f t="shared" ca="1" si="246"/>
        <v>0</v>
      </c>
      <c r="DN588" s="56">
        <f t="shared" ca="1" si="247"/>
        <v>0</v>
      </c>
      <c r="DO588" s="56">
        <f t="shared" ca="1" si="248"/>
        <v>0</v>
      </c>
      <c r="DP588" s="56">
        <f t="shared" ca="1" si="249"/>
        <v>0</v>
      </c>
      <c r="DQ588" s="56">
        <f t="shared" ca="1" si="250"/>
        <v>0</v>
      </c>
      <c r="DR588" s="56">
        <f t="shared" ca="1" si="251"/>
        <v>0</v>
      </c>
      <c r="DS588" s="56">
        <f t="shared" ca="1" si="252"/>
        <v>0</v>
      </c>
      <c r="DT588" s="56">
        <f t="shared" ca="1" si="253"/>
        <v>0</v>
      </c>
      <c r="DU588" s="56">
        <f t="shared" ca="1" si="254"/>
        <v>0</v>
      </c>
      <c r="DV588" s="56">
        <f t="shared" ca="1" si="255"/>
        <v>0</v>
      </c>
      <c r="DW588" s="56">
        <f t="shared" ca="1" si="256"/>
        <v>0</v>
      </c>
      <c r="DX588" s="56">
        <f t="shared" ca="1" si="257"/>
        <v>0</v>
      </c>
      <c r="DY588" s="56">
        <f t="shared" ca="1" si="258"/>
        <v>0</v>
      </c>
      <c r="DZ588" s="56">
        <f t="shared" ca="1" si="259"/>
        <v>0</v>
      </c>
    </row>
    <row r="589" spans="28:130">
      <c r="AB589" s="56">
        <f t="shared" ca="1" si="159"/>
        <v>0</v>
      </c>
      <c r="AC589" s="56">
        <f t="shared" ca="1" si="160"/>
        <v>0</v>
      </c>
      <c r="AD589" s="56">
        <f t="shared" ca="1" si="161"/>
        <v>0</v>
      </c>
      <c r="AE589" s="56">
        <f t="shared" ca="1" si="162"/>
        <v>0</v>
      </c>
      <c r="AF589" s="56">
        <f t="shared" ca="1" si="163"/>
        <v>0</v>
      </c>
      <c r="AG589" s="56">
        <f t="shared" ca="1" si="164"/>
        <v>0</v>
      </c>
      <c r="AH589" s="56">
        <f t="shared" ca="1" si="165"/>
        <v>0</v>
      </c>
      <c r="AI589" s="56">
        <f t="shared" ca="1" si="166"/>
        <v>0</v>
      </c>
      <c r="AJ589" s="56">
        <f t="shared" ca="1" si="167"/>
        <v>0</v>
      </c>
      <c r="AK589" s="56">
        <f t="shared" ca="1" si="168"/>
        <v>0</v>
      </c>
      <c r="AL589" s="56">
        <f t="shared" ca="1" si="169"/>
        <v>0</v>
      </c>
      <c r="AM589" s="56">
        <f t="shared" ca="1" si="170"/>
        <v>0</v>
      </c>
      <c r="AN589" s="56">
        <f t="shared" ca="1" si="171"/>
        <v>0</v>
      </c>
      <c r="AO589" s="56">
        <f t="shared" ca="1" si="172"/>
        <v>0</v>
      </c>
      <c r="AP589" s="56">
        <f t="shared" ca="1" si="173"/>
        <v>0</v>
      </c>
      <c r="AQ589" s="56">
        <f t="shared" ca="1" si="174"/>
        <v>0</v>
      </c>
      <c r="AR589" s="56">
        <f t="shared" ca="1" si="175"/>
        <v>0</v>
      </c>
      <c r="AS589" s="56">
        <f t="shared" ca="1" si="176"/>
        <v>0</v>
      </c>
      <c r="AT589" s="56">
        <f t="shared" ca="1" si="177"/>
        <v>0</v>
      </c>
      <c r="AU589" s="56">
        <f t="shared" ca="1" si="178"/>
        <v>0</v>
      </c>
      <c r="AV589" s="56">
        <f t="shared" ca="1" si="179"/>
        <v>0</v>
      </c>
      <c r="AW589" s="56">
        <f t="shared" ca="1" si="180"/>
        <v>0</v>
      </c>
      <c r="AX589" s="56">
        <f t="shared" ca="1" si="181"/>
        <v>0</v>
      </c>
      <c r="AY589" s="56">
        <f t="shared" ca="1" si="182"/>
        <v>0</v>
      </c>
      <c r="AZ589" s="56">
        <f t="shared" ca="1" si="183"/>
        <v>0</v>
      </c>
      <c r="BA589" s="56">
        <f t="shared" ca="1" si="184"/>
        <v>0</v>
      </c>
      <c r="BB589" s="56">
        <f t="shared" ca="1" si="185"/>
        <v>0</v>
      </c>
      <c r="BC589" s="56">
        <f t="shared" ca="1" si="186"/>
        <v>0</v>
      </c>
      <c r="BD589" s="56">
        <f t="shared" ca="1" si="187"/>
        <v>0</v>
      </c>
      <c r="BE589" s="56">
        <f t="shared" ca="1" si="188"/>
        <v>0</v>
      </c>
      <c r="BF589" s="56">
        <f t="shared" ca="1" si="189"/>
        <v>0</v>
      </c>
      <c r="BG589" s="56">
        <f t="shared" ca="1" si="190"/>
        <v>0</v>
      </c>
      <c r="BH589" s="56">
        <f t="shared" ca="1" si="191"/>
        <v>0</v>
      </c>
      <c r="BI589" s="56">
        <f t="shared" ca="1" si="192"/>
        <v>0</v>
      </c>
      <c r="BJ589" s="56">
        <f t="shared" ca="1" si="193"/>
        <v>0</v>
      </c>
      <c r="BK589" s="56">
        <f t="shared" ca="1" si="194"/>
        <v>0</v>
      </c>
      <c r="BL589" s="56">
        <f t="shared" ca="1" si="195"/>
        <v>0</v>
      </c>
      <c r="BM589" s="56">
        <f t="shared" ca="1" si="196"/>
        <v>0</v>
      </c>
      <c r="BN589" s="56">
        <f t="shared" ca="1" si="197"/>
        <v>0</v>
      </c>
      <c r="BO589" s="56">
        <f t="shared" ca="1" si="198"/>
        <v>0</v>
      </c>
      <c r="BP589" s="56">
        <f t="shared" ca="1" si="199"/>
        <v>0</v>
      </c>
      <c r="BQ589" s="56">
        <f t="shared" ca="1" si="200"/>
        <v>0</v>
      </c>
      <c r="BR589" s="56">
        <f t="shared" ca="1" si="201"/>
        <v>0</v>
      </c>
      <c r="BS589" s="56">
        <f t="shared" ca="1" si="202"/>
        <v>0</v>
      </c>
      <c r="BT589" s="56">
        <f t="shared" ca="1" si="203"/>
        <v>0</v>
      </c>
      <c r="BU589" s="56">
        <f t="shared" ca="1" si="204"/>
        <v>0</v>
      </c>
      <c r="BV589" s="56">
        <f t="shared" ca="1" si="205"/>
        <v>0</v>
      </c>
      <c r="BW589" s="56">
        <f t="shared" ca="1" si="206"/>
        <v>0</v>
      </c>
      <c r="BX589" s="56">
        <f t="shared" ca="1" si="207"/>
        <v>0</v>
      </c>
      <c r="BY589" s="56">
        <f t="shared" ca="1" si="208"/>
        <v>0</v>
      </c>
      <c r="BZ589">
        <f t="shared" si="209"/>
        <v>0</v>
      </c>
      <c r="CA589">
        <f t="shared" si="209"/>
        <v>0</v>
      </c>
      <c r="CB589">
        <f t="shared" si="209"/>
        <v>0</v>
      </c>
      <c r="CC589" s="56">
        <f t="shared" ca="1" si="210"/>
        <v>0</v>
      </c>
      <c r="CD589" s="56">
        <f t="shared" ca="1" si="211"/>
        <v>0</v>
      </c>
      <c r="CE589" s="56">
        <f t="shared" ca="1" si="212"/>
        <v>0</v>
      </c>
      <c r="CF589" s="56">
        <f t="shared" ca="1" si="213"/>
        <v>0</v>
      </c>
      <c r="CG589" s="56">
        <f t="shared" ca="1" si="214"/>
        <v>0</v>
      </c>
      <c r="CH589" s="56">
        <f t="shared" ca="1" si="215"/>
        <v>0</v>
      </c>
      <c r="CI589" s="56">
        <f t="shared" ca="1" si="216"/>
        <v>0</v>
      </c>
      <c r="CJ589" s="56">
        <f t="shared" ca="1" si="217"/>
        <v>0</v>
      </c>
      <c r="CK589" s="56">
        <f t="shared" ca="1" si="218"/>
        <v>0</v>
      </c>
      <c r="CL589" s="56">
        <f t="shared" ca="1" si="219"/>
        <v>0</v>
      </c>
      <c r="CM589" s="56">
        <f t="shared" ca="1" si="220"/>
        <v>0</v>
      </c>
      <c r="CN589" s="56">
        <f t="shared" ca="1" si="221"/>
        <v>0</v>
      </c>
      <c r="CO589" s="56">
        <f t="shared" ca="1" si="222"/>
        <v>0</v>
      </c>
      <c r="CP589" s="56">
        <f t="shared" ca="1" si="223"/>
        <v>0</v>
      </c>
      <c r="CQ589" s="56">
        <f t="shared" ca="1" si="224"/>
        <v>0</v>
      </c>
      <c r="CR589" s="56">
        <f t="shared" ca="1" si="225"/>
        <v>0</v>
      </c>
      <c r="CS589" s="56">
        <f t="shared" ca="1" si="226"/>
        <v>0</v>
      </c>
      <c r="CT589" s="56">
        <f t="shared" ca="1" si="227"/>
        <v>0</v>
      </c>
      <c r="CU589" s="56">
        <f t="shared" ca="1" si="228"/>
        <v>0</v>
      </c>
      <c r="CV589" s="56">
        <f t="shared" ca="1" si="229"/>
        <v>0</v>
      </c>
      <c r="CW589" s="56">
        <f t="shared" ca="1" si="230"/>
        <v>0</v>
      </c>
      <c r="CX589" s="56">
        <f t="shared" ca="1" si="231"/>
        <v>0</v>
      </c>
      <c r="CY589" s="56">
        <f t="shared" ca="1" si="232"/>
        <v>0</v>
      </c>
      <c r="CZ589" s="56">
        <f t="shared" ca="1" si="233"/>
        <v>0</v>
      </c>
      <c r="DA589" s="56">
        <f t="shared" ca="1" si="234"/>
        <v>0</v>
      </c>
      <c r="DB589" s="56">
        <f t="shared" ca="1" si="235"/>
        <v>0</v>
      </c>
      <c r="DC589" s="56">
        <f t="shared" ca="1" si="236"/>
        <v>0</v>
      </c>
      <c r="DD589" s="56">
        <f t="shared" ca="1" si="237"/>
        <v>0</v>
      </c>
      <c r="DE589" s="56">
        <f t="shared" ca="1" si="238"/>
        <v>0</v>
      </c>
      <c r="DF589" s="56">
        <f t="shared" ca="1" si="239"/>
        <v>0</v>
      </c>
      <c r="DG589" s="56">
        <f t="shared" ca="1" si="240"/>
        <v>0</v>
      </c>
      <c r="DH589" s="56">
        <f t="shared" ca="1" si="241"/>
        <v>0</v>
      </c>
      <c r="DI589" s="56">
        <f t="shared" ca="1" si="242"/>
        <v>0</v>
      </c>
      <c r="DJ589" s="56">
        <f t="shared" ca="1" si="243"/>
        <v>0</v>
      </c>
      <c r="DK589" s="56">
        <f t="shared" ca="1" si="244"/>
        <v>0</v>
      </c>
      <c r="DL589" s="56">
        <f t="shared" ca="1" si="245"/>
        <v>0</v>
      </c>
      <c r="DM589" s="56">
        <f t="shared" ca="1" si="246"/>
        <v>0</v>
      </c>
      <c r="DN589" s="56">
        <f t="shared" ca="1" si="247"/>
        <v>0</v>
      </c>
      <c r="DO589" s="56">
        <f t="shared" ca="1" si="248"/>
        <v>0</v>
      </c>
      <c r="DP589" s="56">
        <f t="shared" ca="1" si="249"/>
        <v>0</v>
      </c>
      <c r="DQ589" s="56">
        <f t="shared" ca="1" si="250"/>
        <v>0</v>
      </c>
      <c r="DR589" s="56">
        <f t="shared" ca="1" si="251"/>
        <v>0</v>
      </c>
      <c r="DS589" s="56">
        <f t="shared" ca="1" si="252"/>
        <v>0</v>
      </c>
      <c r="DT589" s="56">
        <f t="shared" ca="1" si="253"/>
        <v>0</v>
      </c>
      <c r="DU589" s="56">
        <f t="shared" ca="1" si="254"/>
        <v>0</v>
      </c>
      <c r="DV589" s="56">
        <f t="shared" ca="1" si="255"/>
        <v>0</v>
      </c>
      <c r="DW589" s="56">
        <f t="shared" ca="1" si="256"/>
        <v>0</v>
      </c>
      <c r="DX589" s="56">
        <f t="shared" ca="1" si="257"/>
        <v>0</v>
      </c>
      <c r="DY589" s="56">
        <f t="shared" ca="1" si="258"/>
        <v>0</v>
      </c>
      <c r="DZ589" s="56">
        <f t="shared" ca="1" si="259"/>
        <v>0</v>
      </c>
    </row>
    <row r="590" spans="28:130">
      <c r="AB590" s="56">
        <f t="shared" ca="1" si="159"/>
        <v>0</v>
      </c>
      <c r="AC590" s="56">
        <f t="shared" ca="1" si="160"/>
        <v>0</v>
      </c>
      <c r="AD590" s="56">
        <f t="shared" ca="1" si="161"/>
        <v>0</v>
      </c>
      <c r="AE590" s="56">
        <f t="shared" ca="1" si="162"/>
        <v>0</v>
      </c>
      <c r="AF590" s="56">
        <f t="shared" ca="1" si="163"/>
        <v>0</v>
      </c>
      <c r="AG590" s="56">
        <f t="shared" ca="1" si="164"/>
        <v>0</v>
      </c>
      <c r="AH590" s="56">
        <f t="shared" ca="1" si="165"/>
        <v>0</v>
      </c>
      <c r="AI590" s="56">
        <f t="shared" ca="1" si="166"/>
        <v>0</v>
      </c>
      <c r="AJ590" s="56">
        <f t="shared" ca="1" si="167"/>
        <v>0</v>
      </c>
      <c r="AK590" s="56">
        <f t="shared" ca="1" si="168"/>
        <v>0</v>
      </c>
      <c r="AL590" s="56">
        <f t="shared" ca="1" si="169"/>
        <v>0</v>
      </c>
      <c r="AM590" s="56">
        <f t="shared" ca="1" si="170"/>
        <v>0</v>
      </c>
      <c r="AN590" s="56">
        <f t="shared" ca="1" si="171"/>
        <v>0</v>
      </c>
      <c r="AO590" s="56">
        <f t="shared" ca="1" si="172"/>
        <v>0</v>
      </c>
      <c r="AP590" s="56">
        <f t="shared" ca="1" si="173"/>
        <v>0</v>
      </c>
      <c r="AQ590" s="56">
        <f t="shared" ca="1" si="174"/>
        <v>0</v>
      </c>
      <c r="AR590" s="56">
        <f t="shared" ca="1" si="175"/>
        <v>0</v>
      </c>
      <c r="AS590" s="56">
        <f t="shared" ca="1" si="176"/>
        <v>0</v>
      </c>
      <c r="AT590" s="56">
        <f t="shared" ca="1" si="177"/>
        <v>0</v>
      </c>
      <c r="AU590" s="56">
        <f t="shared" ca="1" si="178"/>
        <v>0</v>
      </c>
      <c r="AV590" s="56">
        <f t="shared" ca="1" si="179"/>
        <v>0</v>
      </c>
      <c r="AW590" s="56">
        <f t="shared" ca="1" si="180"/>
        <v>0</v>
      </c>
      <c r="AX590" s="56">
        <f t="shared" ca="1" si="181"/>
        <v>0</v>
      </c>
      <c r="AY590" s="56">
        <f t="shared" ca="1" si="182"/>
        <v>0</v>
      </c>
      <c r="AZ590" s="56">
        <f t="shared" ca="1" si="183"/>
        <v>0</v>
      </c>
      <c r="BA590" s="56">
        <f t="shared" ca="1" si="184"/>
        <v>0</v>
      </c>
      <c r="BB590" s="56">
        <f t="shared" ca="1" si="185"/>
        <v>0</v>
      </c>
      <c r="BC590" s="56">
        <f t="shared" ca="1" si="186"/>
        <v>0</v>
      </c>
      <c r="BD590" s="56">
        <f t="shared" ca="1" si="187"/>
        <v>0</v>
      </c>
      <c r="BE590" s="56">
        <f t="shared" ca="1" si="188"/>
        <v>0</v>
      </c>
      <c r="BF590" s="56">
        <f t="shared" ca="1" si="189"/>
        <v>0</v>
      </c>
      <c r="BG590" s="56">
        <f t="shared" ca="1" si="190"/>
        <v>0</v>
      </c>
      <c r="BH590" s="56">
        <f t="shared" ca="1" si="191"/>
        <v>0</v>
      </c>
      <c r="BI590" s="56">
        <f t="shared" ca="1" si="192"/>
        <v>0</v>
      </c>
      <c r="BJ590" s="56">
        <f t="shared" ca="1" si="193"/>
        <v>0</v>
      </c>
      <c r="BK590" s="56">
        <f t="shared" ca="1" si="194"/>
        <v>0</v>
      </c>
      <c r="BL590" s="56">
        <f t="shared" ca="1" si="195"/>
        <v>0</v>
      </c>
      <c r="BM590" s="56">
        <f t="shared" ca="1" si="196"/>
        <v>0</v>
      </c>
      <c r="BN590" s="56">
        <f t="shared" ca="1" si="197"/>
        <v>0</v>
      </c>
      <c r="BO590" s="56">
        <f t="shared" ca="1" si="198"/>
        <v>0</v>
      </c>
      <c r="BP590" s="56">
        <f t="shared" ca="1" si="199"/>
        <v>0</v>
      </c>
      <c r="BQ590" s="56">
        <f t="shared" ca="1" si="200"/>
        <v>0</v>
      </c>
      <c r="BR590" s="56">
        <f t="shared" ca="1" si="201"/>
        <v>0</v>
      </c>
      <c r="BS590" s="56">
        <f t="shared" ca="1" si="202"/>
        <v>0</v>
      </c>
      <c r="BT590" s="56">
        <f t="shared" ca="1" si="203"/>
        <v>0</v>
      </c>
      <c r="BU590" s="56">
        <f t="shared" ca="1" si="204"/>
        <v>0</v>
      </c>
      <c r="BV590" s="56">
        <f t="shared" ca="1" si="205"/>
        <v>0</v>
      </c>
      <c r="BW590" s="56">
        <f t="shared" ca="1" si="206"/>
        <v>0</v>
      </c>
      <c r="BX590" s="56">
        <f t="shared" ca="1" si="207"/>
        <v>0</v>
      </c>
      <c r="BY590" s="56">
        <f t="shared" ca="1" si="208"/>
        <v>0</v>
      </c>
      <c r="BZ590">
        <f t="shared" si="209"/>
        <v>0</v>
      </c>
      <c r="CA590">
        <f t="shared" si="209"/>
        <v>0</v>
      </c>
      <c r="CB590">
        <f t="shared" si="209"/>
        <v>0</v>
      </c>
      <c r="CC590" s="56">
        <f t="shared" ca="1" si="210"/>
        <v>0</v>
      </c>
      <c r="CD590" s="56">
        <f t="shared" ca="1" si="211"/>
        <v>0</v>
      </c>
      <c r="CE590" s="56">
        <f t="shared" ca="1" si="212"/>
        <v>0</v>
      </c>
      <c r="CF590" s="56">
        <f t="shared" ca="1" si="213"/>
        <v>0</v>
      </c>
      <c r="CG590" s="56">
        <f t="shared" ca="1" si="214"/>
        <v>0</v>
      </c>
      <c r="CH590" s="56">
        <f t="shared" ca="1" si="215"/>
        <v>0</v>
      </c>
      <c r="CI590" s="56">
        <f t="shared" ca="1" si="216"/>
        <v>0</v>
      </c>
      <c r="CJ590" s="56">
        <f t="shared" ca="1" si="217"/>
        <v>0</v>
      </c>
      <c r="CK590" s="56">
        <f t="shared" ca="1" si="218"/>
        <v>0</v>
      </c>
      <c r="CL590" s="56">
        <f t="shared" ca="1" si="219"/>
        <v>0</v>
      </c>
      <c r="CM590" s="56">
        <f t="shared" ca="1" si="220"/>
        <v>0</v>
      </c>
      <c r="CN590" s="56">
        <f t="shared" ca="1" si="221"/>
        <v>0</v>
      </c>
      <c r="CO590" s="56">
        <f t="shared" ca="1" si="222"/>
        <v>0</v>
      </c>
      <c r="CP590" s="56">
        <f t="shared" ca="1" si="223"/>
        <v>0</v>
      </c>
      <c r="CQ590" s="56">
        <f t="shared" ca="1" si="224"/>
        <v>0</v>
      </c>
      <c r="CR590" s="56">
        <f t="shared" ca="1" si="225"/>
        <v>0</v>
      </c>
      <c r="CS590" s="56">
        <f t="shared" ca="1" si="226"/>
        <v>0</v>
      </c>
      <c r="CT590" s="56">
        <f t="shared" ca="1" si="227"/>
        <v>0</v>
      </c>
      <c r="CU590" s="56">
        <f t="shared" ca="1" si="228"/>
        <v>0</v>
      </c>
      <c r="CV590" s="56">
        <f t="shared" ca="1" si="229"/>
        <v>0</v>
      </c>
      <c r="CW590" s="56">
        <f t="shared" ca="1" si="230"/>
        <v>0</v>
      </c>
      <c r="CX590" s="56">
        <f t="shared" ca="1" si="231"/>
        <v>0</v>
      </c>
      <c r="CY590" s="56">
        <f t="shared" ca="1" si="232"/>
        <v>0</v>
      </c>
      <c r="CZ590" s="56">
        <f t="shared" ca="1" si="233"/>
        <v>0</v>
      </c>
      <c r="DA590" s="56">
        <f t="shared" ca="1" si="234"/>
        <v>0</v>
      </c>
      <c r="DB590" s="56">
        <f t="shared" ca="1" si="235"/>
        <v>0</v>
      </c>
      <c r="DC590" s="56">
        <f t="shared" ca="1" si="236"/>
        <v>0</v>
      </c>
      <c r="DD590" s="56">
        <f t="shared" ca="1" si="237"/>
        <v>0</v>
      </c>
      <c r="DE590" s="56">
        <f t="shared" ca="1" si="238"/>
        <v>0</v>
      </c>
      <c r="DF590" s="56">
        <f t="shared" ca="1" si="239"/>
        <v>0</v>
      </c>
      <c r="DG590" s="56">
        <f t="shared" ca="1" si="240"/>
        <v>0</v>
      </c>
      <c r="DH590" s="56">
        <f t="shared" ca="1" si="241"/>
        <v>0</v>
      </c>
      <c r="DI590" s="56">
        <f t="shared" ca="1" si="242"/>
        <v>0</v>
      </c>
      <c r="DJ590" s="56">
        <f t="shared" ca="1" si="243"/>
        <v>0</v>
      </c>
      <c r="DK590" s="56">
        <f t="shared" ca="1" si="244"/>
        <v>0</v>
      </c>
      <c r="DL590" s="56">
        <f t="shared" ca="1" si="245"/>
        <v>0</v>
      </c>
      <c r="DM590" s="56">
        <f t="shared" ca="1" si="246"/>
        <v>0</v>
      </c>
      <c r="DN590" s="56">
        <f t="shared" ca="1" si="247"/>
        <v>0</v>
      </c>
      <c r="DO590" s="56">
        <f t="shared" ca="1" si="248"/>
        <v>0</v>
      </c>
      <c r="DP590" s="56">
        <f t="shared" ca="1" si="249"/>
        <v>0</v>
      </c>
      <c r="DQ590" s="56">
        <f t="shared" ca="1" si="250"/>
        <v>0</v>
      </c>
      <c r="DR590" s="56">
        <f t="shared" ca="1" si="251"/>
        <v>0</v>
      </c>
      <c r="DS590" s="56">
        <f t="shared" ca="1" si="252"/>
        <v>0</v>
      </c>
      <c r="DT590" s="56">
        <f t="shared" ca="1" si="253"/>
        <v>0</v>
      </c>
      <c r="DU590" s="56">
        <f t="shared" ca="1" si="254"/>
        <v>0</v>
      </c>
      <c r="DV590" s="56">
        <f t="shared" ca="1" si="255"/>
        <v>0</v>
      </c>
      <c r="DW590" s="56">
        <f t="shared" ca="1" si="256"/>
        <v>0</v>
      </c>
      <c r="DX590" s="56">
        <f t="shared" ca="1" si="257"/>
        <v>0</v>
      </c>
      <c r="DY590" s="56">
        <f t="shared" ca="1" si="258"/>
        <v>0</v>
      </c>
      <c r="DZ590" s="56">
        <f t="shared" ca="1" si="259"/>
        <v>0</v>
      </c>
    </row>
    <row r="591" spans="28:130">
      <c r="AB591" s="56">
        <f t="shared" ca="1" si="159"/>
        <v>0</v>
      </c>
      <c r="AC591" s="56">
        <f t="shared" ca="1" si="160"/>
        <v>0</v>
      </c>
      <c r="AD591" s="56">
        <f t="shared" ca="1" si="161"/>
        <v>0</v>
      </c>
      <c r="AE591" s="56">
        <f t="shared" ca="1" si="162"/>
        <v>0</v>
      </c>
      <c r="AF591" s="56">
        <f t="shared" ca="1" si="163"/>
        <v>0</v>
      </c>
      <c r="AG591" s="56">
        <f t="shared" ca="1" si="164"/>
        <v>0</v>
      </c>
      <c r="AH591" s="56">
        <f t="shared" ca="1" si="165"/>
        <v>0</v>
      </c>
      <c r="AI591" s="56">
        <f t="shared" ca="1" si="166"/>
        <v>0</v>
      </c>
      <c r="AJ591" s="56">
        <f t="shared" ca="1" si="167"/>
        <v>0</v>
      </c>
      <c r="AK591" s="56">
        <f t="shared" ca="1" si="168"/>
        <v>0</v>
      </c>
      <c r="AL591" s="56">
        <f t="shared" ca="1" si="169"/>
        <v>0</v>
      </c>
      <c r="AM591" s="56">
        <f t="shared" ca="1" si="170"/>
        <v>0</v>
      </c>
      <c r="AN591" s="56">
        <f t="shared" ca="1" si="171"/>
        <v>0</v>
      </c>
      <c r="AO591" s="56">
        <f t="shared" ca="1" si="172"/>
        <v>0</v>
      </c>
      <c r="AP591" s="56">
        <f t="shared" ca="1" si="173"/>
        <v>0</v>
      </c>
      <c r="AQ591" s="56">
        <f t="shared" ca="1" si="174"/>
        <v>0</v>
      </c>
      <c r="AR591" s="56">
        <f t="shared" ca="1" si="175"/>
        <v>0</v>
      </c>
      <c r="AS591" s="56">
        <f t="shared" ca="1" si="176"/>
        <v>0</v>
      </c>
      <c r="AT591" s="56">
        <f t="shared" ca="1" si="177"/>
        <v>0</v>
      </c>
      <c r="AU591" s="56">
        <f t="shared" ca="1" si="178"/>
        <v>0</v>
      </c>
      <c r="AV591" s="56">
        <f t="shared" ca="1" si="179"/>
        <v>0</v>
      </c>
      <c r="AW591" s="56">
        <f t="shared" ca="1" si="180"/>
        <v>0</v>
      </c>
      <c r="AX591" s="56">
        <f t="shared" ca="1" si="181"/>
        <v>0</v>
      </c>
      <c r="AY591" s="56">
        <f t="shared" ca="1" si="182"/>
        <v>0</v>
      </c>
      <c r="AZ591" s="56">
        <f t="shared" ca="1" si="183"/>
        <v>0</v>
      </c>
      <c r="BA591" s="56">
        <f t="shared" ca="1" si="184"/>
        <v>0</v>
      </c>
      <c r="BB591" s="56">
        <f t="shared" ca="1" si="185"/>
        <v>0</v>
      </c>
      <c r="BC591" s="56">
        <f t="shared" ca="1" si="186"/>
        <v>0</v>
      </c>
      <c r="BD591" s="56">
        <f t="shared" ca="1" si="187"/>
        <v>0</v>
      </c>
      <c r="BE591" s="56">
        <f t="shared" ca="1" si="188"/>
        <v>0</v>
      </c>
      <c r="BF591" s="56">
        <f t="shared" ca="1" si="189"/>
        <v>0</v>
      </c>
      <c r="BG591" s="56">
        <f t="shared" ca="1" si="190"/>
        <v>0</v>
      </c>
      <c r="BH591" s="56">
        <f t="shared" ca="1" si="191"/>
        <v>0</v>
      </c>
      <c r="BI591" s="56">
        <f t="shared" ca="1" si="192"/>
        <v>0</v>
      </c>
      <c r="BJ591" s="56">
        <f t="shared" ca="1" si="193"/>
        <v>0</v>
      </c>
      <c r="BK591" s="56">
        <f t="shared" ca="1" si="194"/>
        <v>0</v>
      </c>
      <c r="BL591" s="56">
        <f t="shared" ca="1" si="195"/>
        <v>0</v>
      </c>
      <c r="BM591" s="56">
        <f t="shared" ca="1" si="196"/>
        <v>0</v>
      </c>
      <c r="BN591" s="56">
        <f t="shared" ca="1" si="197"/>
        <v>0</v>
      </c>
      <c r="BO591" s="56">
        <f t="shared" ca="1" si="198"/>
        <v>0</v>
      </c>
      <c r="BP591" s="56">
        <f t="shared" ca="1" si="199"/>
        <v>0</v>
      </c>
      <c r="BQ591" s="56">
        <f t="shared" ca="1" si="200"/>
        <v>0</v>
      </c>
      <c r="BR591" s="56">
        <f t="shared" ca="1" si="201"/>
        <v>0</v>
      </c>
      <c r="BS591" s="56">
        <f t="shared" ca="1" si="202"/>
        <v>0</v>
      </c>
      <c r="BT591" s="56">
        <f t="shared" ca="1" si="203"/>
        <v>0</v>
      </c>
      <c r="BU591" s="56">
        <f t="shared" ca="1" si="204"/>
        <v>0</v>
      </c>
      <c r="BV591" s="56">
        <f t="shared" ca="1" si="205"/>
        <v>0</v>
      </c>
      <c r="BW591" s="56">
        <f t="shared" ca="1" si="206"/>
        <v>0</v>
      </c>
      <c r="BX591" s="56">
        <f t="shared" ca="1" si="207"/>
        <v>0</v>
      </c>
      <c r="BY591" s="56">
        <f t="shared" ca="1" si="208"/>
        <v>0</v>
      </c>
      <c r="BZ591">
        <f t="shared" si="209"/>
        <v>0</v>
      </c>
      <c r="CA591">
        <f t="shared" si="209"/>
        <v>0</v>
      </c>
      <c r="CB591">
        <f t="shared" si="209"/>
        <v>0</v>
      </c>
      <c r="CC591" s="56">
        <f t="shared" ca="1" si="210"/>
        <v>0</v>
      </c>
      <c r="CD591" s="56">
        <f t="shared" ca="1" si="211"/>
        <v>0</v>
      </c>
      <c r="CE591" s="56">
        <f t="shared" ca="1" si="212"/>
        <v>0</v>
      </c>
      <c r="CF591" s="56">
        <f t="shared" ca="1" si="213"/>
        <v>0</v>
      </c>
      <c r="CG591" s="56">
        <f t="shared" ca="1" si="214"/>
        <v>0</v>
      </c>
      <c r="CH591" s="56">
        <f t="shared" ca="1" si="215"/>
        <v>0</v>
      </c>
      <c r="CI591" s="56">
        <f t="shared" ca="1" si="216"/>
        <v>0</v>
      </c>
      <c r="CJ591" s="56">
        <f t="shared" ca="1" si="217"/>
        <v>0</v>
      </c>
      <c r="CK591" s="56">
        <f t="shared" ca="1" si="218"/>
        <v>0</v>
      </c>
      <c r="CL591" s="56">
        <f t="shared" ca="1" si="219"/>
        <v>0</v>
      </c>
      <c r="CM591" s="56">
        <f t="shared" ca="1" si="220"/>
        <v>0</v>
      </c>
      <c r="CN591" s="56">
        <f t="shared" ca="1" si="221"/>
        <v>0</v>
      </c>
      <c r="CO591" s="56">
        <f t="shared" ca="1" si="222"/>
        <v>0</v>
      </c>
      <c r="CP591" s="56">
        <f t="shared" ca="1" si="223"/>
        <v>0</v>
      </c>
      <c r="CQ591" s="56">
        <f t="shared" ca="1" si="224"/>
        <v>0</v>
      </c>
      <c r="CR591" s="56">
        <f t="shared" ca="1" si="225"/>
        <v>0</v>
      </c>
      <c r="CS591" s="56">
        <f t="shared" ca="1" si="226"/>
        <v>0</v>
      </c>
      <c r="CT591" s="56">
        <f t="shared" ca="1" si="227"/>
        <v>0</v>
      </c>
      <c r="CU591" s="56">
        <f t="shared" ca="1" si="228"/>
        <v>0</v>
      </c>
      <c r="CV591" s="56">
        <f t="shared" ca="1" si="229"/>
        <v>0</v>
      </c>
      <c r="CW591" s="56">
        <f t="shared" ca="1" si="230"/>
        <v>0</v>
      </c>
      <c r="CX591" s="56">
        <f t="shared" ca="1" si="231"/>
        <v>0</v>
      </c>
      <c r="CY591" s="56">
        <f t="shared" ca="1" si="232"/>
        <v>0</v>
      </c>
      <c r="CZ591" s="56">
        <f t="shared" ca="1" si="233"/>
        <v>0</v>
      </c>
      <c r="DA591" s="56">
        <f t="shared" ca="1" si="234"/>
        <v>0</v>
      </c>
      <c r="DB591" s="56">
        <f t="shared" ca="1" si="235"/>
        <v>0</v>
      </c>
      <c r="DC591" s="56">
        <f t="shared" ca="1" si="236"/>
        <v>0</v>
      </c>
      <c r="DD591" s="56">
        <f t="shared" ca="1" si="237"/>
        <v>0</v>
      </c>
      <c r="DE591" s="56">
        <f t="shared" ca="1" si="238"/>
        <v>0</v>
      </c>
      <c r="DF591" s="56">
        <f t="shared" ca="1" si="239"/>
        <v>0</v>
      </c>
      <c r="DG591" s="56">
        <f t="shared" ca="1" si="240"/>
        <v>0</v>
      </c>
      <c r="DH591" s="56">
        <f t="shared" ca="1" si="241"/>
        <v>0</v>
      </c>
      <c r="DI591" s="56">
        <f t="shared" ca="1" si="242"/>
        <v>0</v>
      </c>
      <c r="DJ591" s="56">
        <f t="shared" ca="1" si="243"/>
        <v>0</v>
      </c>
      <c r="DK591" s="56">
        <f t="shared" ca="1" si="244"/>
        <v>0</v>
      </c>
      <c r="DL591" s="56">
        <f t="shared" ca="1" si="245"/>
        <v>0</v>
      </c>
      <c r="DM591" s="56">
        <f t="shared" ca="1" si="246"/>
        <v>0</v>
      </c>
      <c r="DN591" s="56">
        <f t="shared" ca="1" si="247"/>
        <v>0</v>
      </c>
      <c r="DO591" s="56">
        <f t="shared" ca="1" si="248"/>
        <v>0</v>
      </c>
      <c r="DP591" s="56">
        <f t="shared" ca="1" si="249"/>
        <v>0</v>
      </c>
      <c r="DQ591" s="56">
        <f t="shared" ca="1" si="250"/>
        <v>0</v>
      </c>
      <c r="DR591" s="56">
        <f t="shared" ca="1" si="251"/>
        <v>0</v>
      </c>
      <c r="DS591" s="56">
        <f t="shared" ca="1" si="252"/>
        <v>0</v>
      </c>
      <c r="DT591" s="56">
        <f t="shared" ca="1" si="253"/>
        <v>0</v>
      </c>
      <c r="DU591" s="56">
        <f t="shared" ca="1" si="254"/>
        <v>0</v>
      </c>
      <c r="DV591" s="56">
        <f t="shared" ca="1" si="255"/>
        <v>0</v>
      </c>
      <c r="DW591" s="56">
        <f t="shared" ca="1" si="256"/>
        <v>0</v>
      </c>
      <c r="DX591" s="56">
        <f t="shared" ca="1" si="257"/>
        <v>0</v>
      </c>
      <c r="DY591" s="56">
        <f t="shared" ca="1" si="258"/>
        <v>0</v>
      </c>
      <c r="DZ591" s="56">
        <f t="shared" ca="1" si="259"/>
        <v>0</v>
      </c>
    </row>
    <row r="592" spans="28:130">
      <c r="AB592" s="56">
        <f t="shared" ca="1" si="159"/>
        <v>0</v>
      </c>
      <c r="AC592" s="56">
        <f t="shared" ca="1" si="160"/>
        <v>0</v>
      </c>
      <c r="AD592" s="56">
        <f t="shared" ca="1" si="161"/>
        <v>0</v>
      </c>
      <c r="AE592" s="56">
        <f t="shared" ca="1" si="162"/>
        <v>0</v>
      </c>
      <c r="AF592" s="56">
        <f t="shared" ca="1" si="163"/>
        <v>0</v>
      </c>
      <c r="AG592" s="56">
        <f t="shared" ca="1" si="164"/>
        <v>0</v>
      </c>
      <c r="AH592" s="56">
        <f t="shared" ca="1" si="165"/>
        <v>0</v>
      </c>
      <c r="AI592" s="56">
        <f t="shared" ca="1" si="166"/>
        <v>0</v>
      </c>
      <c r="AJ592" s="56">
        <f t="shared" ca="1" si="167"/>
        <v>0</v>
      </c>
      <c r="AK592" s="56">
        <f t="shared" ca="1" si="168"/>
        <v>0</v>
      </c>
      <c r="AL592" s="56">
        <f t="shared" ca="1" si="169"/>
        <v>0</v>
      </c>
      <c r="AM592" s="56">
        <f t="shared" ca="1" si="170"/>
        <v>0</v>
      </c>
      <c r="AN592" s="56">
        <f t="shared" ca="1" si="171"/>
        <v>0</v>
      </c>
      <c r="AO592" s="56">
        <f t="shared" ca="1" si="172"/>
        <v>0</v>
      </c>
      <c r="AP592" s="56">
        <f t="shared" ca="1" si="173"/>
        <v>0</v>
      </c>
      <c r="AQ592" s="56">
        <f t="shared" ca="1" si="174"/>
        <v>0</v>
      </c>
      <c r="AR592" s="56">
        <f t="shared" ca="1" si="175"/>
        <v>0</v>
      </c>
      <c r="AS592" s="56">
        <f t="shared" ca="1" si="176"/>
        <v>0</v>
      </c>
      <c r="AT592" s="56">
        <f t="shared" ca="1" si="177"/>
        <v>0</v>
      </c>
      <c r="AU592" s="56">
        <f t="shared" ca="1" si="178"/>
        <v>0</v>
      </c>
      <c r="AV592" s="56">
        <f t="shared" ca="1" si="179"/>
        <v>0</v>
      </c>
      <c r="AW592" s="56">
        <f t="shared" ca="1" si="180"/>
        <v>0</v>
      </c>
      <c r="AX592" s="56">
        <f t="shared" ca="1" si="181"/>
        <v>0</v>
      </c>
      <c r="AY592" s="56">
        <f t="shared" ca="1" si="182"/>
        <v>0</v>
      </c>
      <c r="AZ592" s="56">
        <f t="shared" ca="1" si="183"/>
        <v>0</v>
      </c>
      <c r="BA592" s="56">
        <f t="shared" ca="1" si="184"/>
        <v>0</v>
      </c>
      <c r="BB592" s="56">
        <f t="shared" ca="1" si="185"/>
        <v>0</v>
      </c>
      <c r="BC592" s="56">
        <f t="shared" ca="1" si="186"/>
        <v>0</v>
      </c>
      <c r="BD592" s="56">
        <f t="shared" ca="1" si="187"/>
        <v>0</v>
      </c>
      <c r="BE592" s="56">
        <f t="shared" ca="1" si="188"/>
        <v>0</v>
      </c>
      <c r="BF592" s="56">
        <f t="shared" ca="1" si="189"/>
        <v>0</v>
      </c>
      <c r="BG592" s="56">
        <f t="shared" ca="1" si="190"/>
        <v>0</v>
      </c>
      <c r="BH592" s="56">
        <f t="shared" ca="1" si="191"/>
        <v>0</v>
      </c>
      <c r="BI592" s="56">
        <f t="shared" ca="1" si="192"/>
        <v>0</v>
      </c>
      <c r="BJ592" s="56">
        <f t="shared" ca="1" si="193"/>
        <v>0</v>
      </c>
      <c r="BK592" s="56">
        <f t="shared" ca="1" si="194"/>
        <v>0</v>
      </c>
      <c r="BL592" s="56">
        <f t="shared" ca="1" si="195"/>
        <v>0</v>
      </c>
      <c r="BM592" s="56">
        <f t="shared" ca="1" si="196"/>
        <v>0</v>
      </c>
      <c r="BN592" s="56">
        <f t="shared" ca="1" si="197"/>
        <v>0</v>
      </c>
      <c r="BO592" s="56">
        <f t="shared" ca="1" si="198"/>
        <v>0</v>
      </c>
      <c r="BP592" s="56">
        <f t="shared" ca="1" si="199"/>
        <v>0</v>
      </c>
      <c r="BQ592" s="56">
        <f t="shared" ca="1" si="200"/>
        <v>0</v>
      </c>
      <c r="BR592" s="56">
        <f t="shared" ca="1" si="201"/>
        <v>0</v>
      </c>
      <c r="BS592" s="56">
        <f t="shared" ca="1" si="202"/>
        <v>0</v>
      </c>
      <c r="BT592" s="56">
        <f t="shared" ca="1" si="203"/>
        <v>0</v>
      </c>
      <c r="BU592" s="56">
        <f t="shared" ca="1" si="204"/>
        <v>0</v>
      </c>
      <c r="BV592" s="56">
        <f t="shared" ca="1" si="205"/>
        <v>0</v>
      </c>
      <c r="BW592" s="56">
        <f t="shared" ca="1" si="206"/>
        <v>0</v>
      </c>
      <c r="BX592" s="56">
        <f t="shared" ca="1" si="207"/>
        <v>0</v>
      </c>
      <c r="BY592" s="56">
        <f t="shared" ca="1" si="208"/>
        <v>0</v>
      </c>
      <c r="BZ592">
        <f t="shared" si="209"/>
        <v>0</v>
      </c>
      <c r="CA592">
        <f t="shared" si="209"/>
        <v>0</v>
      </c>
      <c r="CB592">
        <f t="shared" si="209"/>
        <v>0</v>
      </c>
      <c r="CC592" s="56">
        <f t="shared" ca="1" si="210"/>
        <v>0</v>
      </c>
      <c r="CD592" s="56">
        <f t="shared" ca="1" si="211"/>
        <v>0</v>
      </c>
      <c r="CE592" s="56">
        <f t="shared" ca="1" si="212"/>
        <v>0</v>
      </c>
      <c r="CF592" s="56">
        <f t="shared" ca="1" si="213"/>
        <v>0</v>
      </c>
      <c r="CG592" s="56">
        <f t="shared" ca="1" si="214"/>
        <v>0</v>
      </c>
      <c r="CH592" s="56">
        <f t="shared" ca="1" si="215"/>
        <v>0</v>
      </c>
      <c r="CI592" s="56">
        <f t="shared" ca="1" si="216"/>
        <v>0</v>
      </c>
      <c r="CJ592" s="56">
        <f t="shared" ca="1" si="217"/>
        <v>0</v>
      </c>
      <c r="CK592" s="56">
        <f t="shared" ca="1" si="218"/>
        <v>0</v>
      </c>
      <c r="CL592" s="56">
        <f t="shared" ca="1" si="219"/>
        <v>0</v>
      </c>
      <c r="CM592" s="56">
        <f t="shared" ca="1" si="220"/>
        <v>0</v>
      </c>
      <c r="CN592" s="56">
        <f t="shared" ca="1" si="221"/>
        <v>0</v>
      </c>
      <c r="CO592" s="56">
        <f t="shared" ca="1" si="222"/>
        <v>0</v>
      </c>
      <c r="CP592" s="56">
        <f t="shared" ca="1" si="223"/>
        <v>0</v>
      </c>
      <c r="CQ592" s="56">
        <f t="shared" ca="1" si="224"/>
        <v>0</v>
      </c>
      <c r="CR592" s="56">
        <f t="shared" ca="1" si="225"/>
        <v>0</v>
      </c>
      <c r="CS592" s="56">
        <f t="shared" ca="1" si="226"/>
        <v>0</v>
      </c>
      <c r="CT592" s="56">
        <f t="shared" ca="1" si="227"/>
        <v>0</v>
      </c>
      <c r="CU592" s="56">
        <f t="shared" ca="1" si="228"/>
        <v>0</v>
      </c>
      <c r="CV592" s="56">
        <f t="shared" ca="1" si="229"/>
        <v>0</v>
      </c>
      <c r="CW592" s="56">
        <f t="shared" ca="1" si="230"/>
        <v>0</v>
      </c>
      <c r="CX592" s="56">
        <f t="shared" ca="1" si="231"/>
        <v>0</v>
      </c>
      <c r="CY592" s="56">
        <f t="shared" ca="1" si="232"/>
        <v>0</v>
      </c>
      <c r="CZ592" s="56">
        <f t="shared" ca="1" si="233"/>
        <v>0</v>
      </c>
      <c r="DA592" s="56">
        <f t="shared" ca="1" si="234"/>
        <v>0</v>
      </c>
      <c r="DB592" s="56">
        <f t="shared" ca="1" si="235"/>
        <v>0</v>
      </c>
      <c r="DC592" s="56">
        <f t="shared" ca="1" si="236"/>
        <v>0</v>
      </c>
      <c r="DD592" s="56">
        <f t="shared" ca="1" si="237"/>
        <v>0</v>
      </c>
      <c r="DE592" s="56">
        <f t="shared" ca="1" si="238"/>
        <v>0</v>
      </c>
      <c r="DF592" s="56">
        <f t="shared" ca="1" si="239"/>
        <v>0</v>
      </c>
      <c r="DG592" s="56">
        <f t="shared" ca="1" si="240"/>
        <v>0</v>
      </c>
      <c r="DH592" s="56">
        <f t="shared" ca="1" si="241"/>
        <v>0</v>
      </c>
      <c r="DI592" s="56">
        <f t="shared" ca="1" si="242"/>
        <v>0</v>
      </c>
      <c r="DJ592" s="56">
        <f t="shared" ca="1" si="243"/>
        <v>0</v>
      </c>
      <c r="DK592" s="56">
        <f t="shared" ca="1" si="244"/>
        <v>0</v>
      </c>
      <c r="DL592" s="56">
        <f t="shared" ca="1" si="245"/>
        <v>0</v>
      </c>
      <c r="DM592" s="56">
        <f t="shared" ca="1" si="246"/>
        <v>0</v>
      </c>
      <c r="DN592" s="56">
        <f t="shared" ca="1" si="247"/>
        <v>0</v>
      </c>
      <c r="DO592" s="56">
        <f t="shared" ca="1" si="248"/>
        <v>0</v>
      </c>
      <c r="DP592" s="56">
        <f t="shared" ca="1" si="249"/>
        <v>0</v>
      </c>
      <c r="DQ592" s="56">
        <f t="shared" ca="1" si="250"/>
        <v>0</v>
      </c>
      <c r="DR592" s="56">
        <f t="shared" ca="1" si="251"/>
        <v>0</v>
      </c>
      <c r="DS592" s="56">
        <f t="shared" ca="1" si="252"/>
        <v>0</v>
      </c>
      <c r="DT592" s="56">
        <f t="shared" ca="1" si="253"/>
        <v>0</v>
      </c>
      <c r="DU592" s="56">
        <f t="shared" ca="1" si="254"/>
        <v>0</v>
      </c>
      <c r="DV592" s="56">
        <f t="shared" ca="1" si="255"/>
        <v>0</v>
      </c>
      <c r="DW592" s="56">
        <f t="shared" ca="1" si="256"/>
        <v>0</v>
      </c>
      <c r="DX592" s="56">
        <f t="shared" ca="1" si="257"/>
        <v>0</v>
      </c>
      <c r="DY592" s="56">
        <f t="shared" ca="1" si="258"/>
        <v>0</v>
      </c>
      <c r="DZ592" s="56">
        <f t="shared" ca="1" si="259"/>
        <v>0</v>
      </c>
    </row>
    <row r="593" spans="28:130">
      <c r="AB593" s="56">
        <f t="shared" ca="1" si="159"/>
        <v>0</v>
      </c>
      <c r="AC593" s="56">
        <f t="shared" ca="1" si="160"/>
        <v>0</v>
      </c>
      <c r="AD593" s="56">
        <f t="shared" ca="1" si="161"/>
        <v>0</v>
      </c>
      <c r="AE593" s="56">
        <f t="shared" ca="1" si="162"/>
        <v>0</v>
      </c>
      <c r="AF593" s="56">
        <f t="shared" ca="1" si="163"/>
        <v>0</v>
      </c>
      <c r="AG593" s="56">
        <f t="shared" ca="1" si="164"/>
        <v>0</v>
      </c>
      <c r="AH593" s="56">
        <f t="shared" ca="1" si="165"/>
        <v>0</v>
      </c>
      <c r="AI593" s="56">
        <f t="shared" ca="1" si="166"/>
        <v>0</v>
      </c>
      <c r="AJ593" s="56">
        <f t="shared" ca="1" si="167"/>
        <v>0</v>
      </c>
      <c r="AK593" s="56">
        <f t="shared" ca="1" si="168"/>
        <v>0</v>
      </c>
      <c r="AL593" s="56">
        <f t="shared" ca="1" si="169"/>
        <v>0</v>
      </c>
      <c r="AM593" s="56">
        <f t="shared" ca="1" si="170"/>
        <v>0</v>
      </c>
      <c r="AN593" s="56">
        <f t="shared" ca="1" si="171"/>
        <v>0</v>
      </c>
      <c r="AO593" s="56">
        <f t="shared" ca="1" si="172"/>
        <v>0</v>
      </c>
      <c r="AP593" s="56">
        <f t="shared" ca="1" si="173"/>
        <v>0</v>
      </c>
      <c r="AQ593" s="56">
        <f t="shared" ca="1" si="174"/>
        <v>0</v>
      </c>
      <c r="AR593" s="56">
        <f t="shared" ca="1" si="175"/>
        <v>0</v>
      </c>
      <c r="AS593" s="56">
        <f t="shared" ca="1" si="176"/>
        <v>0</v>
      </c>
      <c r="AT593" s="56">
        <f t="shared" ca="1" si="177"/>
        <v>0</v>
      </c>
      <c r="AU593" s="56">
        <f t="shared" ca="1" si="178"/>
        <v>0</v>
      </c>
      <c r="AV593" s="56">
        <f t="shared" ca="1" si="179"/>
        <v>0</v>
      </c>
      <c r="AW593" s="56">
        <f t="shared" ca="1" si="180"/>
        <v>0</v>
      </c>
      <c r="AX593" s="56">
        <f t="shared" ca="1" si="181"/>
        <v>0</v>
      </c>
      <c r="AY593" s="56">
        <f t="shared" ca="1" si="182"/>
        <v>0</v>
      </c>
      <c r="AZ593" s="56">
        <f t="shared" ca="1" si="183"/>
        <v>0</v>
      </c>
      <c r="BA593" s="56">
        <f t="shared" ca="1" si="184"/>
        <v>0</v>
      </c>
      <c r="BB593" s="56">
        <f t="shared" ca="1" si="185"/>
        <v>0</v>
      </c>
      <c r="BC593" s="56">
        <f t="shared" ca="1" si="186"/>
        <v>0</v>
      </c>
      <c r="BD593" s="56">
        <f t="shared" ca="1" si="187"/>
        <v>0</v>
      </c>
      <c r="BE593" s="56">
        <f t="shared" ca="1" si="188"/>
        <v>0</v>
      </c>
      <c r="BF593" s="56">
        <f t="shared" ca="1" si="189"/>
        <v>0</v>
      </c>
      <c r="BG593" s="56">
        <f t="shared" ca="1" si="190"/>
        <v>0</v>
      </c>
      <c r="BH593" s="56">
        <f t="shared" ca="1" si="191"/>
        <v>0</v>
      </c>
      <c r="BI593" s="56">
        <f t="shared" ca="1" si="192"/>
        <v>0</v>
      </c>
      <c r="BJ593" s="56">
        <f t="shared" ca="1" si="193"/>
        <v>0</v>
      </c>
      <c r="BK593" s="56">
        <f t="shared" ca="1" si="194"/>
        <v>0</v>
      </c>
      <c r="BL593" s="56">
        <f t="shared" ca="1" si="195"/>
        <v>0</v>
      </c>
      <c r="BM593" s="56">
        <f t="shared" ca="1" si="196"/>
        <v>0</v>
      </c>
      <c r="BN593" s="56">
        <f t="shared" ca="1" si="197"/>
        <v>0</v>
      </c>
      <c r="BO593" s="56">
        <f t="shared" ca="1" si="198"/>
        <v>0</v>
      </c>
      <c r="BP593" s="56">
        <f t="shared" ca="1" si="199"/>
        <v>0</v>
      </c>
      <c r="BQ593" s="56">
        <f t="shared" ca="1" si="200"/>
        <v>0</v>
      </c>
      <c r="BR593" s="56">
        <f t="shared" ca="1" si="201"/>
        <v>0</v>
      </c>
      <c r="BS593" s="56">
        <f t="shared" ca="1" si="202"/>
        <v>0</v>
      </c>
      <c r="BT593" s="56">
        <f t="shared" ca="1" si="203"/>
        <v>0</v>
      </c>
      <c r="BU593" s="56">
        <f t="shared" ca="1" si="204"/>
        <v>0</v>
      </c>
      <c r="BV593" s="56">
        <f t="shared" ca="1" si="205"/>
        <v>0</v>
      </c>
      <c r="BW593" s="56">
        <f t="shared" ca="1" si="206"/>
        <v>0</v>
      </c>
      <c r="BX593" s="56">
        <f t="shared" ca="1" si="207"/>
        <v>0</v>
      </c>
      <c r="BY593" s="56">
        <f t="shared" ca="1" si="208"/>
        <v>0</v>
      </c>
      <c r="BZ593">
        <f t="shared" si="209"/>
        <v>0</v>
      </c>
      <c r="CA593">
        <f t="shared" si="209"/>
        <v>0</v>
      </c>
      <c r="CB593">
        <f t="shared" si="209"/>
        <v>0</v>
      </c>
      <c r="CC593" s="56">
        <f t="shared" ca="1" si="210"/>
        <v>0</v>
      </c>
      <c r="CD593" s="56">
        <f t="shared" ca="1" si="211"/>
        <v>0</v>
      </c>
      <c r="CE593" s="56">
        <f t="shared" ca="1" si="212"/>
        <v>0</v>
      </c>
      <c r="CF593" s="56">
        <f t="shared" ca="1" si="213"/>
        <v>0</v>
      </c>
      <c r="CG593" s="56">
        <f t="shared" ca="1" si="214"/>
        <v>0</v>
      </c>
      <c r="CH593" s="56">
        <f t="shared" ca="1" si="215"/>
        <v>0</v>
      </c>
      <c r="CI593" s="56">
        <f t="shared" ca="1" si="216"/>
        <v>0</v>
      </c>
      <c r="CJ593" s="56">
        <f t="shared" ca="1" si="217"/>
        <v>0</v>
      </c>
      <c r="CK593" s="56">
        <f t="shared" ca="1" si="218"/>
        <v>0</v>
      </c>
      <c r="CL593" s="56">
        <f t="shared" ca="1" si="219"/>
        <v>0</v>
      </c>
      <c r="CM593" s="56">
        <f t="shared" ca="1" si="220"/>
        <v>0</v>
      </c>
      <c r="CN593" s="56">
        <f t="shared" ca="1" si="221"/>
        <v>0</v>
      </c>
      <c r="CO593" s="56">
        <f t="shared" ca="1" si="222"/>
        <v>0</v>
      </c>
      <c r="CP593" s="56">
        <f t="shared" ca="1" si="223"/>
        <v>0</v>
      </c>
      <c r="CQ593" s="56">
        <f t="shared" ca="1" si="224"/>
        <v>0</v>
      </c>
      <c r="CR593" s="56">
        <f t="shared" ca="1" si="225"/>
        <v>0</v>
      </c>
      <c r="CS593" s="56">
        <f t="shared" ca="1" si="226"/>
        <v>0</v>
      </c>
      <c r="CT593" s="56">
        <f t="shared" ca="1" si="227"/>
        <v>0</v>
      </c>
      <c r="CU593" s="56">
        <f t="shared" ca="1" si="228"/>
        <v>0</v>
      </c>
      <c r="CV593" s="56">
        <f t="shared" ca="1" si="229"/>
        <v>0</v>
      </c>
      <c r="CW593" s="56">
        <f t="shared" ca="1" si="230"/>
        <v>0</v>
      </c>
      <c r="CX593" s="56">
        <f t="shared" ca="1" si="231"/>
        <v>0</v>
      </c>
      <c r="CY593" s="56">
        <f t="shared" ca="1" si="232"/>
        <v>0</v>
      </c>
      <c r="CZ593" s="56">
        <f t="shared" ca="1" si="233"/>
        <v>0</v>
      </c>
      <c r="DA593" s="56">
        <f t="shared" ca="1" si="234"/>
        <v>0</v>
      </c>
      <c r="DB593" s="56">
        <f t="shared" ca="1" si="235"/>
        <v>0</v>
      </c>
      <c r="DC593" s="56">
        <f t="shared" ca="1" si="236"/>
        <v>0</v>
      </c>
      <c r="DD593" s="56">
        <f t="shared" ca="1" si="237"/>
        <v>0</v>
      </c>
      <c r="DE593" s="56">
        <f t="shared" ca="1" si="238"/>
        <v>0</v>
      </c>
      <c r="DF593" s="56">
        <f t="shared" ca="1" si="239"/>
        <v>0</v>
      </c>
      <c r="DG593" s="56">
        <f t="shared" ca="1" si="240"/>
        <v>0</v>
      </c>
      <c r="DH593" s="56">
        <f t="shared" ca="1" si="241"/>
        <v>0</v>
      </c>
      <c r="DI593" s="56">
        <f t="shared" ca="1" si="242"/>
        <v>0</v>
      </c>
      <c r="DJ593" s="56">
        <f t="shared" ca="1" si="243"/>
        <v>0</v>
      </c>
      <c r="DK593" s="56">
        <f t="shared" ca="1" si="244"/>
        <v>0</v>
      </c>
      <c r="DL593" s="56">
        <f t="shared" ca="1" si="245"/>
        <v>0</v>
      </c>
      <c r="DM593" s="56">
        <f t="shared" ca="1" si="246"/>
        <v>0</v>
      </c>
      <c r="DN593" s="56">
        <f t="shared" ca="1" si="247"/>
        <v>0</v>
      </c>
      <c r="DO593" s="56">
        <f t="shared" ca="1" si="248"/>
        <v>0</v>
      </c>
      <c r="DP593" s="56">
        <f t="shared" ca="1" si="249"/>
        <v>0</v>
      </c>
      <c r="DQ593" s="56">
        <f t="shared" ca="1" si="250"/>
        <v>0</v>
      </c>
      <c r="DR593" s="56">
        <f t="shared" ca="1" si="251"/>
        <v>0</v>
      </c>
      <c r="DS593" s="56">
        <f t="shared" ca="1" si="252"/>
        <v>0</v>
      </c>
      <c r="DT593" s="56">
        <f t="shared" ca="1" si="253"/>
        <v>0</v>
      </c>
      <c r="DU593" s="56">
        <f t="shared" ca="1" si="254"/>
        <v>0</v>
      </c>
      <c r="DV593" s="56">
        <f t="shared" ca="1" si="255"/>
        <v>0</v>
      </c>
      <c r="DW593" s="56">
        <f t="shared" ca="1" si="256"/>
        <v>0</v>
      </c>
      <c r="DX593" s="56">
        <f t="shared" ca="1" si="257"/>
        <v>0</v>
      </c>
      <c r="DY593" s="56">
        <f t="shared" ca="1" si="258"/>
        <v>0</v>
      </c>
      <c r="DZ593" s="56">
        <f t="shared" ca="1" si="259"/>
        <v>0</v>
      </c>
    </row>
    <row r="594" spans="28:130">
      <c r="AB594" s="56">
        <f t="shared" ca="1" si="159"/>
        <v>0</v>
      </c>
      <c r="AC594" s="56">
        <f t="shared" ca="1" si="160"/>
        <v>0</v>
      </c>
      <c r="AD594" s="56">
        <f t="shared" ca="1" si="161"/>
        <v>0</v>
      </c>
      <c r="AE594" s="56">
        <f t="shared" ca="1" si="162"/>
        <v>0</v>
      </c>
      <c r="AF594" s="56">
        <f t="shared" ca="1" si="163"/>
        <v>0</v>
      </c>
      <c r="AG594" s="56">
        <f t="shared" ca="1" si="164"/>
        <v>0</v>
      </c>
      <c r="AH594" s="56">
        <f t="shared" ca="1" si="165"/>
        <v>0</v>
      </c>
      <c r="AI594" s="56">
        <f t="shared" ca="1" si="166"/>
        <v>0</v>
      </c>
      <c r="AJ594" s="56">
        <f t="shared" ca="1" si="167"/>
        <v>0</v>
      </c>
      <c r="AK594" s="56">
        <f t="shared" ca="1" si="168"/>
        <v>0</v>
      </c>
      <c r="AL594" s="56">
        <f t="shared" ca="1" si="169"/>
        <v>0</v>
      </c>
      <c r="AM594" s="56">
        <f t="shared" ca="1" si="170"/>
        <v>0</v>
      </c>
      <c r="AN594" s="56">
        <f t="shared" ca="1" si="171"/>
        <v>0</v>
      </c>
      <c r="AO594" s="56">
        <f t="shared" ca="1" si="172"/>
        <v>0</v>
      </c>
      <c r="AP594" s="56">
        <f t="shared" ca="1" si="173"/>
        <v>0</v>
      </c>
      <c r="AQ594" s="56">
        <f t="shared" ca="1" si="174"/>
        <v>0</v>
      </c>
      <c r="AR594" s="56">
        <f t="shared" ca="1" si="175"/>
        <v>0</v>
      </c>
      <c r="AS594" s="56">
        <f t="shared" ca="1" si="176"/>
        <v>0</v>
      </c>
      <c r="AT594" s="56">
        <f t="shared" ca="1" si="177"/>
        <v>0</v>
      </c>
      <c r="AU594" s="56">
        <f t="shared" ca="1" si="178"/>
        <v>0</v>
      </c>
      <c r="AV594" s="56">
        <f t="shared" ca="1" si="179"/>
        <v>0</v>
      </c>
      <c r="AW594" s="56">
        <f t="shared" ca="1" si="180"/>
        <v>0</v>
      </c>
      <c r="AX594" s="56">
        <f t="shared" ca="1" si="181"/>
        <v>0</v>
      </c>
      <c r="AY594" s="56">
        <f t="shared" ca="1" si="182"/>
        <v>0</v>
      </c>
      <c r="AZ594" s="56">
        <f t="shared" ca="1" si="183"/>
        <v>0</v>
      </c>
      <c r="BA594" s="56">
        <f t="shared" ca="1" si="184"/>
        <v>0</v>
      </c>
      <c r="BB594" s="56">
        <f t="shared" ca="1" si="185"/>
        <v>0</v>
      </c>
      <c r="BC594" s="56">
        <f t="shared" ca="1" si="186"/>
        <v>0</v>
      </c>
      <c r="BD594" s="56">
        <f t="shared" ca="1" si="187"/>
        <v>0</v>
      </c>
      <c r="BE594" s="56">
        <f t="shared" ca="1" si="188"/>
        <v>0</v>
      </c>
      <c r="BF594" s="56">
        <f t="shared" ca="1" si="189"/>
        <v>0</v>
      </c>
      <c r="BG594" s="56">
        <f t="shared" ca="1" si="190"/>
        <v>0</v>
      </c>
      <c r="BH594" s="56">
        <f t="shared" ca="1" si="191"/>
        <v>0</v>
      </c>
      <c r="BI594" s="56">
        <f t="shared" ca="1" si="192"/>
        <v>0</v>
      </c>
      <c r="BJ594" s="56">
        <f t="shared" ca="1" si="193"/>
        <v>0</v>
      </c>
      <c r="BK594" s="56">
        <f t="shared" ca="1" si="194"/>
        <v>0</v>
      </c>
      <c r="BL594" s="56">
        <f t="shared" ca="1" si="195"/>
        <v>0</v>
      </c>
      <c r="BM594" s="56">
        <f t="shared" ca="1" si="196"/>
        <v>0</v>
      </c>
      <c r="BN594" s="56">
        <f t="shared" ca="1" si="197"/>
        <v>0</v>
      </c>
      <c r="BO594" s="56">
        <f t="shared" ca="1" si="198"/>
        <v>0</v>
      </c>
      <c r="BP594" s="56">
        <f t="shared" ca="1" si="199"/>
        <v>0</v>
      </c>
      <c r="BQ594" s="56">
        <f t="shared" ca="1" si="200"/>
        <v>0</v>
      </c>
      <c r="BR594" s="56">
        <f t="shared" ca="1" si="201"/>
        <v>0</v>
      </c>
      <c r="BS594" s="56">
        <f t="shared" ca="1" si="202"/>
        <v>0</v>
      </c>
      <c r="BT594" s="56">
        <f t="shared" ca="1" si="203"/>
        <v>0</v>
      </c>
      <c r="BU594" s="56">
        <f t="shared" ca="1" si="204"/>
        <v>0</v>
      </c>
      <c r="BV594" s="56">
        <f t="shared" ca="1" si="205"/>
        <v>0</v>
      </c>
      <c r="BW594" s="56">
        <f t="shared" ca="1" si="206"/>
        <v>0</v>
      </c>
      <c r="BX594" s="56">
        <f t="shared" ca="1" si="207"/>
        <v>0</v>
      </c>
      <c r="BY594" s="56">
        <f t="shared" ca="1" si="208"/>
        <v>0</v>
      </c>
      <c r="BZ594">
        <f t="shared" si="209"/>
        <v>0</v>
      </c>
      <c r="CA594">
        <f t="shared" si="209"/>
        <v>0</v>
      </c>
      <c r="CB594">
        <f t="shared" si="209"/>
        <v>0</v>
      </c>
      <c r="CC594" s="56">
        <f t="shared" ca="1" si="210"/>
        <v>0</v>
      </c>
      <c r="CD594" s="56">
        <f t="shared" ca="1" si="211"/>
        <v>0</v>
      </c>
      <c r="CE594" s="56">
        <f t="shared" ca="1" si="212"/>
        <v>0</v>
      </c>
      <c r="CF594" s="56">
        <f t="shared" ca="1" si="213"/>
        <v>0</v>
      </c>
      <c r="CG594" s="56">
        <f t="shared" ca="1" si="214"/>
        <v>0</v>
      </c>
      <c r="CH594" s="56">
        <f t="shared" ca="1" si="215"/>
        <v>0</v>
      </c>
      <c r="CI594" s="56">
        <f t="shared" ca="1" si="216"/>
        <v>0</v>
      </c>
      <c r="CJ594" s="56">
        <f t="shared" ca="1" si="217"/>
        <v>0</v>
      </c>
      <c r="CK594" s="56">
        <f t="shared" ca="1" si="218"/>
        <v>0</v>
      </c>
      <c r="CL594" s="56">
        <f t="shared" ca="1" si="219"/>
        <v>0</v>
      </c>
      <c r="CM594" s="56">
        <f t="shared" ca="1" si="220"/>
        <v>0</v>
      </c>
      <c r="CN594" s="56">
        <f t="shared" ca="1" si="221"/>
        <v>0</v>
      </c>
      <c r="CO594" s="56">
        <f t="shared" ca="1" si="222"/>
        <v>0</v>
      </c>
      <c r="CP594" s="56">
        <f t="shared" ca="1" si="223"/>
        <v>0</v>
      </c>
      <c r="CQ594" s="56">
        <f t="shared" ca="1" si="224"/>
        <v>0</v>
      </c>
      <c r="CR594" s="56">
        <f t="shared" ca="1" si="225"/>
        <v>0</v>
      </c>
      <c r="CS594" s="56">
        <f t="shared" ca="1" si="226"/>
        <v>0</v>
      </c>
      <c r="CT594" s="56">
        <f t="shared" ca="1" si="227"/>
        <v>0</v>
      </c>
      <c r="CU594" s="56">
        <f t="shared" ca="1" si="228"/>
        <v>0</v>
      </c>
      <c r="CV594" s="56">
        <f t="shared" ca="1" si="229"/>
        <v>0</v>
      </c>
      <c r="CW594" s="56">
        <f t="shared" ca="1" si="230"/>
        <v>0</v>
      </c>
      <c r="CX594" s="56">
        <f t="shared" ca="1" si="231"/>
        <v>0</v>
      </c>
      <c r="CY594" s="56">
        <f t="shared" ca="1" si="232"/>
        <v>0</v>
      </c>
      <c r="CZ594" s="56">
        <f t="shared" ca="1" si="233"/>
        <v>0</v>
      </c>
      <c r="DA594" s="56">
        <f t="shared" ca="1" si="234"/>
        <v>0</v>
      </c>
      <c r="DB594" s="56">
        <f t="shared" ca="1" si="235"/>
        <v>0</v>
      </c>
      <c r="DC594" s="56">
        <f t="shared" ca="1" si="236"/>
        <v>0</v>
      </c>
      <c r="DD594" s="56">
        <f t="shared" ca="1" si="237"/>
        <v>0</v>
      </c>
      <c r="DE594" s="56">
        <f t="shared" ca="1" si="238"/>
        <v>0</v>
      </c>
      <c r="DF594" s="56">
        <f t="shared" ca="1" si="239"/>
        <v>0</v>
      </c>
      <c r="DG594" s="56">
        <f t="shared" ca="1" si="240"/>
        <v>0</v>
      </c>
      <c r="DH594" s="56">
        <f t="shared" ca="1" si="241"/>
        <v>0</v>
      </c>
      <c r="DI594" s="56">
        <f t="shared" ca="1" si="242"/>
        <v>0</v>
      </c>
      <c r="DJ594" s="56">
        <f t="shared" ca="1" si="243"/>
        <v>0</v>
      </c>
      <c r="DK594" s="56">
        <f t="shared" ca="1" si="244"/>
        <v>0</v>
      </c>
      <c r="DL594" s="56">
        <f t="shared" ca="1" si="245"/>
        <v>0</v>
      </c>
      <c r="DM594" s="56">
        <f t="shared" ca="1" si="246"/>
        <v>0</v>
      </c>
      <c r="DN594" s="56">
        <f t="shared" ca="1" si="247"/>
        <v>0</v>
      </c>
      <c r="DO594" s="56">
        <f t="shared" ca="1" si="248"/>
        <v>0</v>
      </c>
      <c r="DP594" s="56">
        <f t="shared" ca="1" si="249"/>
        <v>0</v>
      </c>
      <c r="DQ594" s="56">
        <f t="shared" ca="1" si="250"/>
        <v>0</v>
      </c>
      <c r="DR594" s="56">
        <f t="shared" ca="1" si="251"/>
        <v>0</v>
      </c>
      <c r="DS594" s="56">
        <f t="shared" ca="1" si="252"/>
        <v>0</v>
      </c>
      <c r="DT594" s="56">
        <f t="shared" ca="1" si="253"/>
        <v>0</v>
      </c>
      <c r="DU594" s="56">
        <f t="shared" ca="1" si="254"/>
        <v>0</v>
      </c>
      <c r="DV594" s="56">
        <f t="shared" ca="1" si="255"/>
        <v>0</v>
      </c>
      <c r="DW594" s="56">
        <f t="shared" ca="1" si="256"/>
        <v>0</v>
      </c>
      <c r="DX594" s="56">
        <f t="shared" ca="1" si="257"/>
        <v>0</v>
      </c>
      <c r="DY594" s="56">
        <f t="shared" ca="1" si="258"/>
        <v>0</v>
      </c>
      <c r="DZ594" s="56">
        <f t="shared" ca="1" si="259"/>
        <v>0</v>
      </c>
    </row>
    <row r="595" spans="28:130">
      <c r="AB595" s="56">
        <f t="shared" ca="1" si="159"/>
        <v>0</v>
      </c>
      <c r="AC595" s="56">
        <f t="shared" ca="1" si="160"/>
        <v>0</v>
      </c>
      <c r="AD595" s="56">
        <f t="shared" ca="1" si="161"/>
        <v>0</v>
      </c>
      <c r="AE595" s="56">
        <f t="shared" ca="1" si="162"/>
        <v>0</v>
      </c>
      <c r="AF595" s="56">
        <f t="shared" ca="1" si="163"/>
        <v>0</v>
      </c>
      <c r="AG595" s="56">
        <f t="shared" ca="1" si="164"/>
        <v>0</v>
      </c>
      <c r="AH595" s="56">
        <f t="shared" ca="1" si="165"/>
        <v>0</v>
      </c>
      <c r="AI595" s="56">
        <f t="shared" ca="1" si="166"/>
        <v>0</v>
      </c>
      <c r="AJ595" s="56">
        <f t="shared" ca="1" si="167"/>
        <v>0</v>
      </c>
      <c r="AK595" s="56">
        <f t="shared" ca="1" si="168"/>
        <v>0</v>
      </c>
      <c r="AL595" s="56">
        <f t="shared" ca="1" si="169"/>
        <v>0</v>
      </c>
      <c r="AM595" s="56">
        <f t="shared" ca="1" si="170"/>
        <v>0</v>
      </c>
      <c r="AN595" s="56">
        <f t="shared" ca="1" si="171"/>
        <v>0</v>
      </c>
      <c r="AO595" s="56">
        <f t="shared" ca="1" si="172"/>
        <v>0</v>
      </c>
      <c r="AP595" s="56">
        <f t="shared" ca="1" si="173"/>
        <v>0</v>
      </c>
      <c r="AQ595" s="56">
        <f t="shared" ca="1" si="174"/>
        <v>0</v>
      </c>
      <c r="AR595" s="56">
        <f t="shared" ca="1" si="175"/>
        <v>0</v>
      </c>
      <c r="AS595" s="56">
        <f t="shared" ca="1" si="176"/>
        <v>0</v>
      </c>
      <c r="AT595" s="56">
        <f t="shared" ca="1" si="177"/>
        <v>0</v>
      </c>
      <c r="AU595" s="56">
        <f t="shared" ca="1" si="178"/>
        <v>0</v>
      </c>
      <c r="AV595" s="56">
        <f t="shared" ca="1" si="179"/>
        <v>0</v>
      </c>
      <c r="AW595" s="56">
        <f t="shared" ca="1" si="180"/>
        <v>0</v>
      </c>
      <c r="AX595" s="56">
        <f t="shared" ca="1" si="181"/>
        <v>0</v>
      </c>
      <c r="AY595" s="56">
        <f t="shared" ca="1" si="182"/>
        <v>0</v>
      </c>
      <c r="AZ595" s="56">
        <f t="shared" ca="1" si="183"/>
        <v>0</v>
      </c>
      <c r="BA595" s="56">
        <f t="shared" ca="1" si="184"/>
        <v>0</v>
      </c>
      <c r="BB595" s="56">
        <f t="shared" ca="1" si="185"/>
        <v>0</v>
      </c>
      <c r="BC595" s="56">
        <f t="shared" ca="1" si="186"/>
        <v>0</v>
      </c>
      <c r="BD595" s="56">
        <f t="shared" ca="1" si="187"/>
        <v>0</v>
      </c>
      <c r="BE595" s="56">
        <f t="shared" ca="1" si="188"/>
        <v>0</v>
      </c>
      <c r="BF595" s="56">
        <f t="shared" ca="1" si="189"/>
        <v>0</v>
      </c>
      <c r="BG595" s="56">
        <f t="shared" ca="1" si="190"/>
        <v>0</v>
      </c>
      <c r="BH595" s="56">
        <f t="shared" ca="1" si="191"/>
        <v>0</v>
      </c>
      <c r="BI595" s="56">
        <f t="shared" ca="1" si="192"/>
        <v>0</v>
      </c>
      <c r="BJ595" s="56">
        <f t="shared" ca="1" si="193"/>
        <v>0</v>
      </c>
      <c r="BK595" s="56">
        <f t="shared" ca="1" si="194"/>
        <v>0</v>
      </c>
      <c r="BL595" s="56">
        <f t="shared" ca="1" si="195"/>
        <v>0</v>
      </c>
      <c r="BM595" s="56">
        <f t="shared" ca="1" si="196"/>
        <v>0</v>
      </c>
      <c r="BN595" s="56">
        <f t="shared" ca="1" si="197"/>
        <v>0</v>
      </c>
      <c r="BO595" s="56">
        <f t="shared" ca="1" si="198"/>
        <v>0</v>
      </c>
      <c r="BP595" s="56">
        <f t="shared" ca="1" si="199"/>
        <v>0</v>
      </c>
      <c r="BQ595" s="56">
        <f t="shared" ca="1" si="200"/>
        <v>0</v>
      </c>
      <c r="BR595" s="56">
        <f t="shared" ca="1" si="201"/>
        <v>0</v>
      </c>
      <c r="BS595" s="56">
        <f t="shared" ca="1" si="202"/>
        <v>0</v>
      </c>
      <c r="BT595" s="56">
        <f t="shared" ca="1" si="203"/>
        <v>0</v>
      </c>
      <c r="BU595" s="56">
        <f t="shared" ca="1" si="204"/>
        <v>0</v>
      </c>
      <c r="BV595" s="56">
        <f t="shared" ca="1" si="205"/>
        <v>0</v>
      </c>
      <c r="BW595" s="56">
        <f t="shared" ca="1" si="206"/>
        <v>0</v>
      </c>
      <c r="BX595" s="56">
        <f t="shared" ca="1" si="207"/>
        <v>0</v>
      </c>
      <c r="BY595" s="56">
        <f t="shared" ca="1" si="208"/>
        <v>0</v>
      </c>
      <c r="BZ595">
        <f t="shared" si="209"/>
        <v>0</v>
      </c>
      <c r="CA595">
        <f t="shared" si="209"/>
        <v>0</v>
      </c>
      <c r="CB595">
        <f t="shared" si="209"/>
        <v>0</v>
      </c>
      <c r="CC595" s="56">
        <f t="shared" ca="1" si="210"/>
        <v>0</v>
      </c>
      <c r="CD595" s="56">
        <f t="shared" ca="1" si="211"/>
        <v>0</v>
      </c>
      <c r="CE595" s="56">
        <f t="shared" ca="1" si="212"/>
        <v>0</v>
      </c>
      <c r="CF595" s="56">
        <f t="shared" ca="1" si="213"/>
        <v>0</v>
      </c>
      <c r="CG595" s="56">
        <f t="shared" ca="1" si="214"/>
        <v>0</v>
      </c>
      <c r="CH595" s="56">
        <f t="shared" ca="1" si="215"/>
        <v>0</v>
      </c>
      <c r="CI595" s="56">
        <f t="shared" ca="1" si="216"/>
        <v>0</v>
      </c>
      <c r="CJ595" s="56">
        <f t="shared" ca="1" si="217"/>
        <v>0</v>
      </c>
      <c r="CK595" s="56">
        <f t="shared" ca="1" si="218"/>
        <v>0</v>
      </c>
      <c r="CL595" s="56">
        <f t="shared" ca="1" si="219"/>
        <v>0</v>
      </c>
      <c r="CM595" s="56">
        <f t="shared" ca="1" si="220"/>
        <v>0</v>
      </c>
      <c r="CN595" s="56">
        <f t="shared" ca="1" si="221"/>
        <v>0</v>
      </c>
      <c r="CO595" s="56">
        <f t="shared" ca="1" si="222"/>
        <v>0</v>
      </c>
      <c r="CP595" s="56">
        <f t="shared" ca="1" si="223"/>
        <v>0</v>
      </c>
      <c r="CQ595" s="56">
        <f t="shared" ca="1" si="224"/>
        <v>0</v>
      </c>
      <c r="CR595" s="56">
        <f t="shared" ca="1" si="225"/>
        <v>0</v>
      </c>
      <c r="CS595" s="56">
        <f t="shared" ca="1" si="226"/>
        <v>0</v>
      </c>
      <c r="CT595" s="56">
        <f t="shared" ca="1" si="227"/>
        <v>0</v>
      </c>
      <c r="CU595" s="56">
        <f t="shared" ca="1" si="228"/>
        <v>0</v>
      </c>
      <c r="CV595" s="56">
        <f t="shared" ca="1" si="229"/>
        <v>0</v>
      </c>
      <c r="CW595" s="56">
        <f t="shared" ca="1" si="230"/>
        <v>0</v>
      </c>
      <c r="CX595" s="56">
        <f t="shared" ca="1" si="231"/>
        <v>0</v>
      </c>
      <c r="CY595" s="56">
        <f t="shared" ca="1" si="232"/>
        <v>0</v>
      </c>
      <c r="CZ595" s="56">
        <f t="shared" ca="1" si="233"/>
        <v>0</v>
      </c>
      <c r="DA595" s="56">
        <f t="shared" ca="1" si="234"/>
        <v>0</v>
      </c>
      <c r="DB595" s="56">
        <f t="shared" ca="1" si="235"/>
        <v>0</v>
      </c>
      <c r="DC595" s="56">
        <f t="shared" ca="1" si="236"/>
        <v>0</v>
      </c>
      <c r="DD595" s="56">
        <f t="shared" ca="1" si="237"/>
        <v>0</v>
      </c>
      <c r="DE595" s="56">
        <f t="shared" ca="1" si="238"/>
        <v>0</v>
      </c>
      <c r="DF595" s="56">
        <f t="shared" ca="1" si="239"/>
        <v>0</v>
      </c>
      <c r="DG595" s="56">
        <f t="shared" ca="1" si="240"/>
        <v>0</v>
      </c>
      <c r="DH595" s="56">
        <f t="shared" ca="1" si="241"/>
        <v>0</v>
      </c>
      <c r="DI595" s="56">
        <f t="shared" ca="1" si="242"/>
        <v>0</v>
      </c>
      <c r="DJ595" s="56">
        <f t="shared" ca="1" si="243"/>
        <v>0</v>
      </c>
      <c r="DK595" s="56">
        <f t="shared" ca="1" si="244"/>
        <v>0</v>
      </c>
      <c r="DL595" s="56">
        <f t="shared" ca="1" si="245"/>
        <v>0</v>
      </c>
      <c r="DM595" s="56">
        <f t="shared" ca="1" si="246"/>
        <v>0</v>
      </c>
      <c r="DN595" s="56">
        <f t="shared" ca="1" si="247"/>
        <v>0</v>
      </c>
      <c r="DO595" s="56">
        <f t="shared" ca="1" si="248"/>
        <v>0</v>
      </c>
      <c r="DP595" s="56">
        <f t="shared" ca="1" si="249"/>
        <v>0</v>
      </c>
      <c r="DQ595" s="56">
        <f t="shared" ca="1" si="250"/>
        <v>0</v>
      </c>
      <c r="DR595" s="56">
        <f t="shared" ca="1" si="251"/>
        <v>0</v>
      </c>
      <c r="DS595" s="56">
        <f t="shared" ca="1" si="252"/>
        <v>0</v>
      </c>
      <c r="DT595" s="56">
        <f t="shared" ca="1" si="253"/>
        <v>0</v>
      </c>
      <c r="DU595" s="56">
        <f t="shared" ca="1" si="254"/>
        <v>0</v>
      </c>
      <c r="DV595" s="56">
        <f t="shared" ca="1" si="255"/>
        <v>0</v>
      </c>
      <c r="DW595" s="56">
        <f t="shared" ca="1" si="256"/>
        <v>0</v>
      </c>
      <c r="DX595" s="56">
        <f t="shared" ca="1" si="257"/>
        <v>0</v>
      </c>
      <c r="DY595" s="56">
        <f t="shared" ca="1" si="258"/>
        <v>0</v>
      </c>
      <c r="DZ595" s="56">
        <f t="shared" ca="1" si="259"/>
        <v>0</v>
      </c>
    </row>
    <row r="596" spans="28:130">
      <c r="AB596" s="117">
        <f t="shared" ref="AB596:AB613" ca="1" si="260">IF(AND($M358&lt;=AB$386,$M358&gt;AC$386,$FN$311=1),4,IF(AND($M358&lt;=AB$387,$M358&gt;AC$387,$FN$311=1),5,IF(AND($M358&lt;=AB$385,$M358&gt;AC$385,$FN$312=1),3,IF(AND($M358&gt;=AB$385,$M358&lt;AC$385,$FN$312=1),3,IF(AND($M358=AB$385,$FN$312=1),3,IF(AND($M358&lt;=AB$382,$M358&gt;AC$382,$FN$312=1),1,CC596))))))</f>
        <v>0</v>
      </c>
      <c r="AC596" s="117">
        <f t="shared" ref="AC596:AC613" ca="1" si="261">IF(AND($M358&lt;=AC$386,$M358&gt;AD$386,$FN$311=1),4,IF(AND($M358&lt;=AC$387,$M358&gt;AD$387,$FN$311=1),5,IF(AND($M358&lt;=AC$385,$M358&gt;AD$385,$FN$312=1),3,IF(AND($M358&gt;=AC$385,$M358&lt;AD$385,$FN$312=1),3,IF(AND($M358=AC$385,$FN$312=1),3,IF(AND($M358&lt;=AC$382,$M358&gt;AD$382,$FN$312=1),1,CD596))))))</f>
        <v>0</v>
      </c>
      <c r="AD596" s="117">
        <f t="shared" ref="AD596:AD613" ca="1" si="262">IF(AND($M358&lt;=AD$386,$M358&gt;AE$386,$FN$311=1),4,IF(AND($M358&lt;=AD$387,$M358&gt;AE$387,$FN$311=1),5,IF(AND($M358&lt;=AD$385,$M358&gt;AE$385,$FN$312=1),3,IF(AND($M358&gt;=AD$385,$M358&lt;AE$385,$FN$312=1),3,IF(AND($M358=AD$385,$FN$312=1),3,IF(AND($M358&lt;=AD$382,$M358&gt;AE$382,$FN$312=1),1,CE596))))))</f>
        <v>0</v>
      </c>
      <c r="AE596" s="117">
        <f t="shared" ref="AE596:AE613" ca="1" si="263">IF(AND($M358&lt;=AE$386,$M358&gt;AF$386,$FN$311=1),4,IF(AND($M358&lt;=AE$387,$M358&gt;AF$387,$FN$311=1),5,IF(AND($M358&lt;=AE$385,$M358&gt;AF$385,$FN$312=1),3,IF(AND($M358&gt;=AE$385,$M358&lt;AF$385,$FN$312=1),3,IF(AND($M358=AE$385,$FN$312=1),3,IF(AND($M358&lt;=AE$382,$M358&gt;AF$382,$FN$312=1),1,CF596))))))</f>
        <v>0</v>
      </c>
      <c r="AF596" s="117">
        <f t="shared" ref="AF596:AF613" ca="1" si="264">IF(AND($M358&lt;=AF$386,$M358&gt;AG$386,$FN$311=1),4,IF(AND($M358&lt;=AF$387,$M358&gt;AG$387,$FN$311=1),5,IF(AND($M358&lt;=AF$385,$M358&gt;AG$385,$FN$312=1),3,IF(AND($M358&gt;=AF$385,$M358&lt;AG$385,$FN$312=1),3,IF(AND($M358=AF$385,$FN$312=1),3,IF(AND($M358&lt;=AF$382,$M358&gt;AG$382,$FN$312=1),1,CG596))))))</f>
        <v>0</v>
      </c>
      <c r="AG596" s="117">
        <f t="shared" ref="AG596:AG613" ca="1" si="265">IF(AND($M358&lt;=AG$386,$M358&gt;AH$386,$FN$311=1),4,IF(AND($M358&lt;=AG$387,$M358&gt;AH$387,$FN$311=1),5,IF(AND($M358&lt;=AG$385,$M358&gt;AH$385,$FN$312=1),3,IF(AND($M358&gt;=AG$385,$M358&lt;AH$385,$FN$312=1),3,IF(AND($M358=AG$385,$FN$312=1),3,IF(AND($M358&lt;=AG$382,$M358&gt;AH$382,$FN$312=1),1,CH596))))))</f>
        <v>0</v>
      </c>
      <c r="AH596" s="117">
        <f t="shared" ref="AH596:AH613" ca="1" si="266">IF(AND($M358&lt;=AH$386,$M358&gt;AI$386,$FN$311=1),4,IF(AND($M358&lt;=AH$387,$M358&gt;AI$387,$FN$311=1),5,IF(AND($M358&lt;=AH$385,$M358&gt;AI$385,$FN$312=1),3,IF(AND($M358&gt;=AH$385,$M358&lt;AI$385,$FN$312=1),3,IF(AND($M358=AH$385,$FN$312=1),3,IF(AND($M358&lt;=AH$382,$M358&gt;AI$382,$FN$312=1),1,CI596))))))</f>
        <v>0</v>
      </c>
      <c r="AI596" s="117">
        <f t="shared" ref="AI596:AI613" ca="1" si="267">IF(AND($M358&lt;=AI$386,$M358&gt;AJ$386,$FN$311=1),4,IF(AND($M358&lt;=AI$387,$M358&gt;AJ$387,$FN$311=1),5,IF(AND($M358&lt;=AI$385,$M358&gt;AJ$385,$FN$312=1),3,IF(AND($M358&gt;=AI$385,$M358&lt;AJ$385,$FN$312=1),3,IF(AND($M358=AI$385,$FN$312=1),3,IF(AND($M358&lt;=AI$382,$M358&gt;AJ$382,$FN$312=1),1,CJ596))))))</f>
        <v>0</v>
      </c>
      <c r="AJ596" s="117">
        <f t="shared" ref="AJ596:AJ613" ca="1" si="268">IF(AND($M358&lt;=AJ$386,$M358&gt;AK$386,$FN$311=1),4,IF(AND($M358&lt;=AJ$387,$M358&gt;AK$387,$FN$311=1),5,IF(AND($M358&lt;=AJ$385,$M358&gt;AK$385,$FN$312=1),3,IF(AND($M358&gt;=AJ$385,$M358&lt;AK$385,$FN$312=1),3,IF(AND($M358=AJ$385,$FN$312=1),3,IF(AND($M358&lt;=AJ$382,$M358&gt;AK$382,$FN$312=1),1,CK596))))))</f>
        <v>0</v>
      </c>
      <c r="AK596" s="117">
        <f t="shared" ref="AK596:AK613" ca="1" si="269">IF(AND($M358&lt;=AK$386,$M358&gt;AL$386,$FN$311=1),4,IF(AND($M358&lt;=AK$387,$M358&gt;AL$387,$FN$311=1),5,IF(AND($M358&lt;=AK$385,$M358&gt;AL$385,$FN$312=1),3,IF(AND($M358&gt;=AK$385,$M358&lt;AL$385,$FN$312=1),3,IF(AND($M358=AK$385,$FN$312=1),3,IF(AND($M358&lt;=AK$382,$M358&gt;AL$382,$FN$312=1),1,CL596))))))</f>
        <v>0</v>
      </c>
      <c r="AL596" s="117">
        <f t="shared" ref="AL596:AL613" ca="1" si="270">IF(AND($M358&lt;=AL$386,$M358&gt;AM$386,$FN$311=1),4,IF(AND($M358&lt;=AL$387,$M358&gt;AM$387,$FN$311=1),5,IF(AND($M358&lt;=AL$385,$M358&gt;AM$385,$FN$312=1),3,IF(AND($M358&gt;=AL$385,$M358&lt;AM$385,$FN$312=1),3,IF(AND($M358=AL$385,$FN$312=1),3,IF(AND($M358&lt;=AL$382,$M358&gt;AM$382,$FN$312=1),1,CM596))))))</f>
        <v>0</v>
      </c>
      <c r="AM596" s="117">
        <f t="shared" ref="AM596:AM613" ca="1" si="271">IF(AND($M358&lt;=AM$386,$M358&gt;AN$386,$FN$311=1),4,IF(AND($M358&lt;=AM$387,$M358&gt;AN$387,$FN$311=1),5,IF(AND($M358&lt;=AM$385,$M358&gt;AN$385,$FN$312=1),3,IF(AND($M358&gt;=AM$385,$M358&lt;AN$385,$FN$312=1),3,IF(AND($M358=AM$385,$FN$312=1),3,IF(AND($M358&lt;=AM$382,$M358&gt;AN$382,$FN$312=1),1,CN596))))))</f>
        <v>0</v>
      </c>
      <c r="AN596" s="117">
        <f t="shared" ref="AN596:AN613" ca="1" si="272">IF(AND($M358&lt;=AN$386,$M358&gt;AO$386,$FN$311=1),4,IF(AND($M358&lt;=AN$387,$M358&gt;AO$387,$FN$311=1),5,IF(AND($M358&lt;=AN$385,$M358&gt;AO$385,$FN$312=1),3,IF(AND($M358&gt;=AN$385,$M358&lt;AO$385,$FN$312=1),3,IF(AND($M358=AN$385,$FN$312=1),3,IF(AND($M358&lt;=AN$382,$M358&gt;AO$382,$FN$312=1),1,CO596))))))</f>
        <v>0</v>
      </c>
      <c r="AO596" s="117">
        <f t="shared" ref="AO596:AO613" ca="1" si="273">IF(AND($M358&lt;=AO$386,$M358&gt;AP$386,$FN$311=1),4,IF(AND($M358&lt;=AO$387,$M358&gt;AP$387,$FN$311=1),5,IF(AND($M358&lt;=AO$385,$M358&gt;AP$385,$FN$312=1),3,IF(AND($M358&gt;=AO$385,$M358&lt;AP$385,$FN$312=1),3,IF(AND($M358=AO$385,$FN$312=1),3,IF(AND($M358&lt;=AO$382,$M358&gt;AP$382,$FN$312=1),1,CP596))))))</f>
        <v>0</v>
      </c>
      <c r="AP596" s="117">
        <f t="shared" ref="AP596:AP613" ca="1" si="274">IF(AND($M358&lt;=AP$386,$M358&gt;AQ$386,$FN$311=1),4,IF(AND($M358&lt;=AP$387,$M358&gt;AQ$387,$FN$311=1),5,IF(AND($M358&lt;=AP$385,$M358&gt;AQ$385,$FN$312=1),3,IF(AND($M358&gt;=AP$385,$M358&lt;AQ$385,$FN$312=1),3,IF(AND($M358=AP$385,$FN$312=1),3,IF(AND($M358&lt;=AP$382,$M358&gt;AQ$382,$FN$312=1),1,CQ596))))))</f>
        <v>0</v>
      </c>
      <c r="AQ596" s="117">
        <f t="shared" ref="AQ596:AQ613" ca="1" si="275">IF(AND($M358&lt;=AQ$386,$M358&gt;AR$386,$FN$311=1),4,IF(AND($M358&lt;=AQ$387,$M358&gt;AR$387,$FN$311=1),5,IF(AND($M358&lt;=AQ$385,$M358&gt;AR$385,$FN$312=1),3,IF(AND($M358&gt;=AQ$385,$M358&lt;AR$385,$FN$312=1),3,IF(AND($M358=AQ$385,$FN$312=1),3,IF(AND($M358&lt;=AQ$382,$M358&gt;AR$382,$FN$312=1),1,CR596))))))</f>
        <v>0</v>
      </c>
      <c r="AR596" s="117">
        <f t="shared" ref="AR596:AR613" ca="1" si="276">IF(AND($M358&lt;=AR$386,$M358&gt;AS$386,$FN$311=1),4,IF(AND($M358&lt;=AR$387,$M358&gt;AS$387,$FN$311=1),5,IF(AND($M358&lt;=AR$385,$M358&gt;AS$385,$FN$312=1),3,IF(AND($M358&gt;=AR$385,$M358&lt;AS$385,$FN$312=1),3,IF(AND($M358=AR$385,$FN$312=1),3,IF(AND($M358&lt;=AR$382,$M358&gt;AS$382,$FN$312=1),1,CS596))))))</f>
        <v>0</v>
      </c>
      <c r="AS596" s="117">
        <f t="shared" ref="AS596:AS613" ca="1" si="277">IF(AND($M358&lt;=AS$386,$M358&gt;AT$386,$FN$311=1),4,IF(AND($M358&lt;=AS$387,$M358&gt;AT$387,$FN$311=1),5,IF(AND($M358&lt;=AS$385,$M358&gt;AT$385,$FN$312=1),3,IF(AND($M358&gt;=AS$385,$M358&lt;AT$385,$FN$312=1),3,IF(AND($M358=AS$385,$FN$312=1),3,IF(AND($M358&lt;=AS$382,$M358&gt;AT$382,$FN$312=1),1,CT596))))))</f>
        <v>0</v>
      </c>
      <c r="AT596" s="117">
        <f t="shared" ref="AT596:AT613" ca="1" si="278">IF(AND($M358&lt;=AT$386,$M358&gt;AU$386,$FN$311=1),4,IF(AND($M358&lt;=AT$387,$M358&gt;AU$387,$FN$311=1),5,IF(AND($M358&lt;=AT$385,$M358&gt;AU$385,$FN$312=1),3,IF(AND($M358&gt;=AT$385,$M358&lt;AU$385,$FN$312=1),3,IF(AND($M358=AT$385,$FN$312=1),3,IF(AND($M358&lt;=AT$382,$M358&gt;AU$382,$FN$312=1),1,CU596))))))</f>
        <v>0</v>
      </c>
      <c r="AU596" s="117">
        <f t="shared" ref="AU596:AU613" ca="1" si="279">IF(AND($M358&lt;=AU$386,$M358&gt;AV$386,$FN$311=1),4,IF(AND($M358&lt;=AU$387,$M358&gt;AV$387,$FN$311=1),5,IF(AND($M358&lt;=AU$385,$M358&gt;AV$385,$FN$312=1),3,IF(AND($M358&gt;=AU$385,$M358&lt;AV$385,$FN$312=1),3,IF(AND($M358=AU$385,$FN$312=1),3,IF(AND($M358&lt;=AU$382,$M358&gt;AV$382,$FN$312=1),1,CV596))))))</f>
        <v>0</v>
      </c>
      <c r="AV596" s="117">
        <f t="shared" ref="AV596:AV613" ca="1" si="280">IF(AND($M358&lt;=AV$386,$M358&gt;AW$386,$FN$311=1),4,IF(AND($M358&lt;=AV$387,$M358&gt;AW$387,$FN$311=1),5,IF(AND($M358&lt;=AV$385,$M358&gt;AW$385,$FN$312=1),3,IF(AND($M358&gt;=AV$385,$M358&lt;AW$385,$FN$312=1),3,IF(AND($M358=AV$385,$FN$312=1),3,IF(AND($M358&lt;=AV$382,$M358&gt;AW$382,$FN$312=1),1,CW596))))))</f>
        <v>0</v>
      </c>
      <c r="AW596" s="117">
        <f t="shared" ref="AW596:AW613" ca="1" si="281">IF(AND($M358&lt;=AW$386,$M358&gt;AX$386,$FN$311=1),4,IF(AND($M358&lt;=AW$387,$M358&gt;AX$387,$FN$311=1),5,IF(AND($M358&lt;=AW$385,$M358&gt;AX$385,$FN$312=1),3,IF(AND($M358&gt;=AW$385,$M358&lt;AX$385,$FN$312=1),3,IF(AND($M358=AW$385,$FN$312=1),3,IF(AND($M358&lt;=AW$382,$M358&gt;AX$382,$FN$312=1),1,CX596))))))</f>
        <v>0</v>
      </c>
      <c r="AX596" s="117">
        <f t="shared" ref="AX596:AX613" ca="1" si="282">IF(AND($M358&lt;=AX$386,$M358&gt;AY$386,$FN$311=1),4,IF(AND($M358&lt;=AX$387,$M358&gt;AY$387,$FN$311=1),5,IF(AND($M358&lt;=AX$385,$M358&gt;AY$385,$FN$312=1),3,IF(AND($M358&gt;=AX$385,$M358&lt;AY$385,$FN$312=1),3,IF(AND($M358=AX$385,$FN$312=1),3,IF(AND($M358&lt;=AX$382,$M358&gt;AY$382,$FN$312=1),1,CY596))))))</f>
        <v>0</v>
      </c>
      <c r="AY596" s="117">
        <f t="shared" ref="AY596:AY613" ca="1" si="283">IF(AND($M358&lt;=AY$386,$M358&gt;AZ$386,$FN$311=1),4,IF(AND($M358&lt;=AY$387,$M358&gt;AZ$387,$FN$311=1),5,IF(AND($M358&lt;=AY$385,$M358&gt;AZ$385,$FN$312=1),3,IF(AND($M358&gt;=AY$385,$M358&lt;AZ$385,$FN$312=1),3,IF(AND($M358=AY$385,$FN$312=1),3,IF(AND($M358&lt;=AY$382,$M358&gt;AZ$382,$FN$312=1),1,CZ596))))))</f>
        <v>0</v>
      </c>
      <c r="AZ596" s="117">
        <f t="shared" ref="AZ596:AZ613" ca="1" si="284">IF(AND($M358&lt;=AZ$386,$M358&gt;BA$386,$FN$311=1),4,IF(AND($M358&lt;=AZ$387,$M358&gt;BA$387,$FN$311=1),5,IF(AND($M358&lt;=AZ$385,$M358&gt;BA$385,$FN$312=1),3,IF(AND($M358&gt;=AZ$385,$M358&lt;BA$385,$FN$312=1),3,IF(AND($M358=AZ$385,$FN$312=1),3,IF(AND($M358&lt;=AZ$382,$M358&gt;BA$382,$FN$312=1),1,DA596))))))</f>
        <v>0</v>
      </c>
      <c r="BA596" s="117">
        <f t="shared" ref="BA596:BA613" ca="1" si="285">IF(AND($M358&lt;=BA$386,$M358&gt;BB$386,$FN$311=1),4,IF(AND($M358&lt;=BA$387,$M358&gt;BB$387,$FN$311=1),5,IF(AND($M358&lt;=BA$385,$M358&gt;BB$385,$FN$312=1),3,IF(AND($M358&gt;=BA$385,$M358&lt;BB$385,$FN$312=1),3,IF(AND($M358=BA$385,$FN$312=1),3,IF(AND($M358&lt;=BA$382,$M358&gt;BB$382,$FN$312=1),1,DB596))))))</f>
        <v>0</v>
      </c>
      <c r="BB596" s="117">
        <f t="shared" ref="BB596:BB613" ca="1" si="286">IF(AND($M358&lt;=BB$386,$M358&gt;BC$386,$FN$311=1),4,IF(AND($M358&lt;=BB$387,$M358&gt;BC$387,$FN$311=1),5,IF(AND($M358&lt;=BB$385,$M358&gt;BC$385,$FN$312=1),3,IF(AND($M358&gt;=BB$385,$M358&lt;BC$385,$FN$312=1),3,IF(AND($M358=BB$385,$FN$312=1),3,IF(AND($M358&lt;=BB$382,$M358&gt;BC$382,$FN$312=1),1,DC596))))))</f>
        <v>0</v>
      </c>
      <c r="BC596" s="117">
        <f t="shared" ref="BC596:BC613" ca="1" si="287">IF(AND($M358&lt;=BC$386,$M358&gt;BD$386,$FN$311=1),4,IF(AND($M358&lt;=BC$387,$M358&gt;BD$387,$FN$311=1),5,IF(AND($M358&lt;=BC$385,$M358&gt;BD$385,$FN$312=1),3,IF(AND($M358&gt;=BC$385,$M358&lt;BD$385,$FN$312=1),3,IF(AND($M358=BC$385,$FN$312=1),3,IF(AND($M358&lt;=BC$382,$M358&gt;BD$382,$FN$312=1),1,DD596))))))</f>
        <v>0</v>
      </c>
      <c r="BD596" s="117">
        <f t="shared" ref="BD596:BD613" ca="1" si="288">IF(AND($M358&lt;=BD$386,$M358&gt;BE$386,$FN$311=1),4,IF(AND($M358&lt;=BD$387,$M358&gt;BE$387,$FN$311=1),5,IF(AND($M358&lt;=BD$385,$M358&gt;BE$385,$FN$312=1),3,IF(AND($M358&gt;=BD$385,$M358&lt;BE$385,$FN$312=1),3,IF(AND($M358=BD$385,$FN$312=1),3,IF(AND($M358&lt;=BD$382,$M358&gt;BE$382,$FN$312=1),1,DE596))))))</f>
        <v>0</v>
      </c>
      <c r="BE596" s="117">
        <f t="shared" ref="BE596:BE613" ca="1" si="289">IF(AND($M358&lt;=BE$386,$M358&gt;BF$386,$FN$311=1),4,IF(AND($M358&lt;=BE$387,$M358&gt;BF$387,$FN$311=1),5,IF(AND($M358&lt;=BE$385,$M358&gt;BF$385,$FN$312=1),3,IF(AND($M358&gt;=BE$385,$M358&lt;BF$385,$FN$312=1),3,IF(AND($M358=BE$385,$FN$312=1),3,IF(AND($M358&lt;=BE$382,$M358&gt;BF$382,$FN$312=1),1,DF596))))))</f>
        <v>0</v>
      </c>
      <c r="BF596" s="117">
        <f t="shared" ref="BF596:BF613" ca="1" si="290">IF(AND($M358&lt;=BF$386,$M358&gt;BG$386,$FN$311=1),4,IF(AND($M358&lt;=BF$387,$M358&gt;BG$387,$FN$311=1),5,IF(AND($M358&lt;=BF$385,$M358&gt;BG$385,$FN$312=1),3,IF(AND($M358&gt;=BF$385,$M358&lt;BG$385,$FN$312=1),3,IF(AND($M358=BF$385,$FN$312=1),3,IF(AND($M358&lt;=BF$382,$M358&gt;BG$382,$FN$312=1),1,DG596))))))</f>
        <v>0</v>
      </c>
      <c r="BG596" s="117">
        <f t="shared" ref="BG596:BG613" ca="1" si="291">IF(AND($M358&lt;=BG$386,$M358&gt;BH$386,$FN$311=1),4,IF(AND($M358&lt;=BG$387,$M358&gt;BH$387,$FN$311=1),5,IF(AND($M358&lt;=BG$385,$M358&gt;BH$385,$FN$312=1),3,IF(AND($M358&gt;=BG$385,$M358&lt;BH$385,$FN$312=1),3,IF(AND($M358=BG$385,$FN$312=1),3,IF(AND($M358&lt;=BG$382,$M358&gt;BH$382,$FN$312=1),1,DH596))))))</f>
        <v>0</v>
      </c>
      <c r="BH596" s="117">
        <f t="shared" ref="BH596:BH613" ca="1" si="292">IF(AND($M358&lt;=BH$386,$M358&gt;BI$386,$FN$311=1),4,IF(AND($M358&lt;=BH$387,$M358&gt;BI$387,$FN$311=1),5,IF(AND($M358&lt;=BH$385,$M358&gt;BI$385,$FN$312=1),3,IF(AND($M358&gt;=BH$385,$M358&lt;BI$385,$FN$312=1),3,IF(AND($M358=BH$385,$FN$312=1),3,IF(AND($M358&lt;=BH$382,$M358&gt;BI$382,$FN$312=1),1,DI596))))))</f>
        <v>0</v>
      </c>
      <c r="BI596" s="117">
        <f t="shared" ref="BI596:BI613" ca="1" si="293">IF(AND($M358&lt;=BI$386,$M358&gt;BJ$386,$FN$311=1),4,IF(AND($M358&lt;=BI$387,$M358&gt;BJ$387,$FN$311=1),5,IF(AND($M358&lt;=BI$385,$M358&gt;BJ$385,$FN$312=1),3,IF(AND($M358&gt;=BI$385,$M358&lt;BJ$385,$FN$312=1),3,IF(AND($M358=BI$385,$FN$312=1),3,IF(AND($M358&lt;=BI$382,$M358&gt;BJ$382,$FN$312=1),1,DJ596))))))</f>
        <v>0</v>
      </c>
      <c r="BJ596" s="117">
        <f t="shared" ref="BJ596:BJ613" ca="1" si="294">IF(AND($M358&lt;=BJ$386,$M358&gt;BK$386,$FN$311=1),4,IF(AND($M358&lt;=BJ$387,$M358&gt;BK$387,$FN$311=1),5,IF(AND($M358&lt;=BJ$385,$M358&gt;BK$385,$FN$312=1),3,IF(AND($M358&gt;=BJ$385,$M358&lt;BK$385,$FN$312=1),3,IF(AND($M358=BJ$385,$FN$312=1),3,IF(AND($M358&lt;=BJ$382,$M358&gt;BK$382,$FN$312=1),1,DK596))))))</f>
        <v>0</v>
      </c>
      <c r="BK596" s="117">
        <f t="shared" ref="BK596:BK613" ca="1" si="295">IF(AND($M358&lt;=BK$386,$M358&gt;BL$386,$FN$311=1),4,IF(AND($M358&lt;=BK$387,$M358&gt;BL$387,$FN$311=1),5,IF(AND($M358&lt;=BK$385,$M358&gt;BL$385,$FN$312=1),3,IF(AND($M358&gt;=BK$385,$M358&lt;BL$385,$FN$312=1),3,IF(AND($M358=BK$385,$FN$312=1),3,IF(AND($M358&lt;=BK$382,$M358&gt;BL$382,$FN$312=1),1,DL596))))))</f>
        <v>0</v>
      </c>
      <c r="BL596" s="117">
        <f t="shared" ref="BL596:BL613" ca="1" si="296">IF(AND($M358&lt;=BL$386,$M358&gt;BM$386,$FN$311=1),4,IF(AND($M358&lt;=BL$387,$M358&gt;BM$387,$FN$311=1),5,IF(AND($M358&lt;=BL$385,$M358&gt;BM$385,$FN$312=1),3,IF(AND($M358&gt;=BL$385,$M358&lt;BM$385,$FN$312=1),3,IF(AND($M358=BL$385,$FN$312=1),3,IF(AND($M358&lt;=BL$382,$M358&gt;BM$382,$FN$312=1),1,DM596))))))</f>
        <v>0</v>
      </c>
      <c r="BM596" s="117">
        <f t="shared" ref="BM596:BM613" ca="1" si="297">IF(AND($M358&lt;=BM$386,$M358&gt;BN$386,$FN$311=1),4,IF(AND($M358&lt;=BM$387,$M358&gt;BN$387,$FN$311=1),5,IF(AND($M358&lt;=BM$385,$M358&gt;BN$385,$FN$312=1),3,IF(AND($M358&gt;=BM$385,$M358&lt;BN$385,$FN$312=1),3,IF(AND($M358=BM$385,$FN$312=1),3,IF(AND($M358&lt;=BM$382,$M358&gt;BN$382,$FN$312=1),1,DN596))))))</f>
        <v>0</v>
      </c>
      <c r="BN596" s="117">
        <f t="shared" ref="BN596:BN613" ca="1" si="298">IF(AND($M358&lt;=BN$386,$M358&gt;BO$386,$FN$311=1),4,IF(AND($M358&lt;=BN$387,$M358&gt;BO$387,$FN$311=1),5,IF(AND($M358&lt;=BN$385,$M358&gt;BO$385,$FN$312=1),3,IF(AND($M358&gt;=BN$385,$M358&lt;BO$385,$FN$312=1),3,IF(AND($M358=BN$385,$FN$312=1),3,IF(AND($M358&lt;=BN$382,$M358&gt;BO$382,$FN$312=1),1,DO596))))))</f>
        <v>0</v>
      </c>
      <c r="BO596" s="117">
        <f t="shared" ref="BO596:BO613" ca="1" si="299">IF(AND($M358&lt;=BO$386,$M358&gt;BP$386,$FN$311=1),4,IF(AND($M358&lt;=BO$387,$M358&gt;BP$387,$FN$311=1),5,IF(AND($M358&lt;=BO$385,$M358&gt;BP$385,$FN$312=1),3,IF(AND($M358&gt;=BO$385,$M358&lt;BP$385,$FN$312=1),3,IF(AND($M358=BO$385,$FN$312=1),3,IF(AND($M358&lt;=BO$382,$M358&gt;BP$382,$FN$312=1),1,DP596))))))</f>
        <v>0</v>
      </c>
      <c r="BP596" s="117">
        <f t="shared" ref="BP596:BP613" ca="1" si="300">IF(AND($M358&lt;=BP$386,$M358&gt;BQ$386,$FN$311=1),4,IF(AND($M358&lt;=BP$387,$M358&gt;BQ$387,$FN$311=1),5,IF(AND($M358&lt;=BP$385,$M358&gt;BQ$385,$FN$312=1),3,IF(AND($M358&gt;=BP$385,$M358&lt;BQ$385,$FN$312=1),3,IF(AND($M358=BP$385,$FN$312=1),3,IF(AND($M358&lt;=BP$382,$M358&gt;BQ$382,$FN$312=1),1,DQ596))))))</f>
        <v>0</v>
      </c>
      <c r="BQ596" s="117">
        <f t="shared" ref="BQ596:BQ613" ca="1" si="301">IF(AND($M358&lt;=BQ$386,$M358&gt;BR$386,$FN$311=1),4,IF(AND($M358&lt;=BQ$387,$M358&gt;BR$387,$FN$311=1),5,IF(AND($M358&lt;=BQ$385,$M358&gt;BR$385,$FN$312=1),3,IF(AND($M358&gt;=BQ$385,$M358&lt;BR$385,$FN$312=1),3,IF(AND($M358=BQ$385,$FN$312=1),3,IF(AND($M358&lt;=BQ$382,$M358&gt;BR$382,$FN$312=1),1,DR596))))))</f>
        <v>0</v>
      </c>
      <c r="BR596" s="117">
        <f t="shared" ref="BR596:BR613" ca="1" si="302">IF(AND($M358&lt;=BR$386,$M358&gt;BS$386,$FN$311=1),4,IF(AND($M358&lt;=BR$387,$M358&gt;BS$387,$FN$311=1),5,IF(AND($M358&lt;=BR$385,$M358&gt;BS$385,$FN$312=1),3,IF(AND($M358&gt;=BR$385,$M358&lt;BS$385,$FN$312=1),3,IF(AND($M358=BR$385,$FN$312=1),3,IF(AND($M358&lt;=BR$382,$M358&gt;BS$382,$FN$312=1),1,DS596))))))</f>
        <v>0</v>
      </c>
      <c r="BS596" s="117">
        <f t="shared" ref="BS596:BS613" ca="1" si="303">IF(AND($M358&lt;=BS$386,$M358&gt;BT$386,$FN$311=1),4,IF(AND($M358&lt;=BS$387,$M358&gt;BT$387,$FN$311=1),5,IF(AND($M358&lt;=BS$385,$M358&gt;BT$385,$FN$312=1),3,IF(AND($M358&gt;=BS$385,$M358&lt;BT$385,$FN$312=1),3,IF(AND($M358=BS$385,$FN$312=1),3,IF(AND($M358&lt;=BS$382,$M358&gt;BT$382,$FN$312=1),1,DT596))))))</f>
        <v>0</v>
      </c>
      <c r="BT596" s="117">
        <f t="shared" ref="BT596:BT613" ca="1" si="304">IF(AND($M358&lt;=BT$386,$M358&gt;BU$386,$FN$311=1),4,IF(AND($M358&lt;=BT$387,$M358&gt;BU$387,$FN$311=1),5,IF(AND($M358&lt;=BT$385,$M358&gt;BU$385,$FN$312=1),3,IF(AND($M358&gt;=BT$385,$M358&lt;BU$385,$FN$312=1),3,IF(AND($M358=BT$385,$FN$312=1),3,IF(AND($M358&lt;=BT$382,$M358&gt;BU$382,$FN$312=1),1,DU596))))))</f>
        <v>0</v>
      </c>
      <c r="BU596" s="117">
        <f t="shared" ref="BU596:BU613" ca="1" si="305">IF(AND($M358&lt;=BU$386,$M358&gt;BV$386,$FN$311=1),4,IF(AND($M358&lt;=BU$387,$M358&gt;BV$387,$FN$311=1),5,IF(AND($M358&lt;=BU$385,$M358&gt;BV$385,$FN$312=1),3,IF(AND($M358&gt;=BU$385,$M358&lt;BV$385,$FN$312=1),3,IF(AND($M358=BU$385,$FN$312=1),3,IF(AND($M358&lt;=BU$382,$M358&gt;BV$382,$FN$312=1),1,DV596))))))</f>
        <v>0</v>
      </c>
      <c r="BV596" s="117">
        <f t="shared" ref="BV596:BV613" ca="1" si="306">IF(AND($M358&lt;=BV$386,$M358&gt;BW$386,$FN$311=1),4,IF(AND($M358&lt;=BV$387,$M358&gt;BW$387,$FN$311=1),5,IF(AND($M358&lt;=BV$385,$M358&gt;BW$385,$FN$312=1),3,IF(AND($M358&gt;=BV$385,$M358&lt;BW$385,$FN$312=1),3,IF(AND($M358=BV$385,$FN$312=1),3,IF(AND($M358&lt;=BV$382,$M358&gt;BW$382,$FN$312=1),1,DW596))))))</f>
        <v>0</v>
      </c>
      <c r="BW596" s="117">
        <f t="shared" ref="BW596:BW613" ca="1" si="307">IF(AND($M358&lt;=BW$386,$M358&gt;BX$386,$FN$311=1),4,IF(AND($M358&lt;=BW$387,$M358&gt;BX$387,$FN$311=1),5,IF(AND($M358&lt;=BW$385,$M358&gt;BX$385,$FN$312=1),3,IF(AND($M358&gt;=BW$385,$M358&lt;BX$385,$FN$312=1),3,IF(AND($M358=BW$385,$FN$312=1),3,IF(AND($M358&lt;=BW$382,$M358&gt;BX$382,$FN$312=1),1,DX596))))))</f>
        <v>0</v>
      </c>
      <c r="BX596" s="117">
        <f t="shared" ref="BX596:BX613" ca="1" si="308">IF(AND($M358&lt;=BX$386,$M358&gt;BY$386,$FN$311=1),4,IF(AND($M358&lt;=BX$387,$M358&gt;BY$387,$FN$311=1),5,IF(AND($M358&lt;=BX$385,$M358&gt;BY$385,$FN$312=1),3,IF(AND($M358&gt;=BX$385,$M358&lt;BY$385,$FN$312=1),3,IF(AND($M358=BX$385,$FN$312=1),3,IF(AND($M358&lt;=BX$382,$M358&gt;BY$382,$FN$312=1),1,DY596))))))</f>
        <v>0</v>
      </c>
      <c r="BY596" s="56">
        <f t="shared" ref="BY596:BY613" ca="1" si="309">IF(AND($M358&lt;=BY$386,$M358&gt;BZ$386,$FN$311=1),4,IF(AND($M358&lt;=BY$387,$M358&gt;BZ$387,$FN$311=1),5,IF(AND($M358&lt;=BY$385,$M358&gt;BZ$385,$FN$312=1),3,IF(AND($M358&gt;=BY$385,$M358&lt;BZ$385,$FN$312=1),3,IF(AND($M358=BY$385,$FN$312=1),3,IF(AND($M358&lt;=BY$382,$M358&gt;BZ$382,$FN$312=1),1,DZ596))))))</f>
        <v>0</v>
      </c>
      <c r="BZ596">
        <f t="shared" ref="BZ596:CB611" si="310">IF(AND($M358&lt;=BZ$383,$M358&gt;CA$383),1,IF(AND($M358&gt;=BZ$383,$M358&lt;CA$383),1,IF(AND($M358=BZ$383),1,IF(AND($M358&lt;=BZ$388,$M358&gt;CA$388),1,IF(AND($M358&gt;=BZ$388,$M358&lt;CA$388),1,IF(BZ$388=$M358,2,0))))))</f>
        <v>0</v>
      </c>
      <c r="CA596">
        <f t="shared" si="310"/>
        <v>0</v>
      </c>
      <c r="CB596">
        <f t="shared" si="310"/>
        <v>0</v>
      </c>
      <c r="CC596" s="56">
        <f t="shared" ca="1" si="210"/>
        <v>0</v>
      </c>
      <c r="CD596" s="56">
        <f t="shared" ca="1" si="211"/>
        <v>0</v>
      </c>
      <c r="CE596" s="56">
        <f t="shared" ca="1" si="212"/>
        <v>0</v>
      </c>
      <c r="CF596" s="56">
        <f t="shared" ca="1" si="213"/>
        <v>0</v>
      </c>
      <c r="CG596" s="56">
        <f t="shared" ca="1" si="214"/>
        <v>0</v>
      </c>
      <c r="CH596" s="56">
        <f t="shared" ca="1" si="215"/>
        <v>0</v>
      </c>
      <c r="CI596" s="56">
        <f t="shared" ca="1" si="216"/>
        <v>0</v>
      </c>
      <c r="CJ596" s="56">
        <f t="shared" ca="1" si="217"/>
        <v>0</v>
      </c>
      <c r="CK596" s="56">
        <f t="shared" ca="1" si="218"/>
        <v>0</v>
      </c>
      <c r="CL596" s="56">
        <f t="shared" ca="1" si="219"/>
        <v>0</v>
      </c>
      <c r="CM596" s="56">
        <f t="shared" ca="1" si="220"/>
        <v>0</v>
      </c>
      <c r="CN596" s="56">
        <f t="shared" ca="1" si="221"/>
        <v>0</v>
      </c>
      <c r="CO596" s="56">
        <f t="shared" ca="1" si="222"/>
        <v>0</v>
      </c>
      <c r="CP596" s="56">
        <f t="shared" ca="1" si="223"/>
        <v>0</v>
      </c>
      <c r="CQ596" s="56">
        <f t="shared" ca="1" si="224"/>
        <v>0</v>
      </c>
      <c r="CR596" s="56">
        <f t="shared" ca="1" si="225"/>
        <v>0</v>
      </c>
      <c r="CS596" s="56">
        <f t="shared" ca="1" si="226"/>
        <v>0</v>
      </c>
      <c r="CT596" s="56">
        <f t="shared" ca="1" si="227"/>
        <v>0</v>
      </c>
      <c r="CU596" s="56">
        <f t="shared" ca="1" si="228"/>
        <v>0</v>
      </c>
      <c r="CV596" s="56">
        <f t="shared" ca="1" si="229"/>
        <v>0</v>
      </c>
      <c r="CW596" s="56">
        <f t="shared" ca="1" si="230"/>
        <v>0</v>
      </c>
      <c r="CX596" s="56">
        <f t="shared" ca="1" si="231"/>
        <v>0</v>
      </c>
      <c r="CY596" s="56">
        <f t="shared" ca="1" si="232"/>
        <v>0</v>
      </c>
      <c r="CZ596" s="56">
        <f t="shared" ca="1" si="233"/>
        <v>0</v>
      </c>
      <c r="DA596" s="56">
        <f t="shared" ca="1" si="234"/>
        <v>0</v>
      </c>
      <c r="DB596" s="56">
        <f t="shared" ca="1" si="235"/>
        <v>0</v>
      </c>
      <c r="DC596" s="56">
        <f t="shared" ca="1" si="236"/>
        <v>0</v>
      </c>
      <c r="DD596" s="56">
        <f t="shared" ca="1" si="237"/>
        <v>0</v>
      </c>
      <c r="DE596" s="56">
        <f t="shared" ca="1" si="238"/>
        <v>0</v>
      </c>
      <c r="DF596" s="56">
        <f t="shared" ca="1" si="239"/>
        <v>0</v>
      </c>
      <c r="DG596" s="56">
        <f t="shared" ca="1" si="240"/>
        <v>0</v>
      </c>
      <c r="DH596" s="56">
        <f t="shared" ca="1" si="241"/>
        <v>0</v>
      </c>
      <c r="DI596" s="56">
        <f t="shared" ca="1" si="242"/>
        <v>0</v>
      </c>
      <c r="DJ596" s="56">
        <f t="shared" ca="1" si="243"/>
        <v>0</v>
      </c>
      <c r="DK596" s="56">
        <f t="shared" ca="1" si="244"/>
        <v>0</v>
      </c>
      <c r="DL596" s="56">
        <f t="shared" ca="1" si="245"/>
        <v>0</v>
      </c>
      <c r="DM596" s="56">
        <f t="shared" ca="1" si="246"/>
        <v>0</v>
      </c>
      <c r="DN596" s="56">
        <f t="shared" ca="1" si="247"/>
        <v>0</v>
      </c>
      <c r="DO596" s="56">
        <f t="shared" ca="1" si="248"/>
        <v>0</v>
      </c>
      <c r="DP596" s="56">
        <f t="shared" ca="1" si="249"/>
        <v>0</v>
      </c>
      <c r="DQ596" s="56">
        <f t="shared" ca="1" si="250"/>
        <v>0</v>
      </c>
      <c r="DR596" s="56">
        <f t="shared" ca="1" si="251"/>
        <v>0</v>
      </c>
      <c r="DS596" s="56">
        <f t="shared" ca="1" si="252"/>
        <v>0</v>
      </c>
      <c r="DT596" s="56">
        <f t="shared" ca="1" si="253"/>
        <v>0</v>
      </c>
      <c r="DU596" s="56">
        <f t="shared" ca="1" si="254"/>
        <v>0</v>
      </c>
      <c r="DV596" s="56">
        <f t="shared" ca="1" si="255"/>
        <v>0</v>
      </c>
      <c r="DW596" s="56">
        <f t="shared" ca="1" si="256"/>
        <v>0</v>
      </c>
      <c r="DX596" s="56">
        <f t="shared" ca="1" si="257"/>
        <v>0</v>
      </c>
      <c r="DY596" s="56">
        <f t="shared" ca="1" si="258"/>
        <v>0</v>
      </c>
      <c r="DZ596" s="56">
        <f t="shared" ca="1" si="259"/>
        <v>0</v>
      </c>
    </row>
    <row r="597" spans="28:130">
      <c r="AB597" s="117">
        <f t="shared" ca="1" si="260"/>
        <v>0</v>
      </c>
      <c r="AC597" s="117">
        <f t="shared" ca="1" si="261"/>
        <v>0</v>
      </c>
      <c r="AD597" s="117">
        <f t="shared" ca="1" si="262"/>
        <v>0</v>
      </c>
      <c r="AE597" s="117">
        <f t="shared" ca="1" si="263"/>
        <v>0</v>
      </c>
      <c r="AF597" s="117">
        <f t="shared" ca="1" si="264"/>
        <v>0</v>
      </c>
      <c r="AG597" s="117">
        <f t="shared" ca="1" si="265"/>
        <v>0</v>
      </c>
      <c r="AH597" s="117">
        <f t="shared" ca="1" si="266"/>
        <v>0</v>
      </c>
      <c r="AI597" s="117">
        <f t="shared" ca="1" si="267"/>
        <v>0</v>
      </c>
      <c r="AJ597" s="117">
        <f t="shared" ca="1" si="268"/>
        <v>0</v>
      </c>
      <c r="AK597" s="117">
        <f t="shared" ca="1" si="269"/>
        <v>0</v>
      </c>
      <c r="AL597" s="117">
        <f t="shared" ca="1" si="270"/>
        <v>0</v>
      </c>
      <c r="AM597" s="117">
        <f t="shared" ca="1" si="271"/>
        <v>0</v>
      </c>
      <c r="AN597" s="117">
        <f t="shared" ca="1" si="272"/>
        <v>0</v>
      </c>
      <c r="AO597" s="117">
        <f t="shared" ca="1" si="273"/>
        <v>0</v>
      </c>
      <c r="AP597" s="117">
        <f t="shared" ca="1" si="274"/>
        <v>0</v>
      </c>
      <c r="AQ597" s="117">
        <f t="shared" ca="1" si="275"/>
        <v>0</v>
      </c>
      <c r="AR597" s="117">
        <f t="shared" ca="1" si="276"/>
        <v>0</v>
      </c>
      <c r="AS597" s="117">
        <f t="shared" ca="1" si="277"/>
        <v>0</v>
      </c>
      <c r="AT597" s="117">
        <f t="shared" ca="1" si="278"/>
        <v>0</v>
      </c>
      <c r="AU597" s="117">
        <f t="shared" ca="1" si="279"/>
        <v>0</v>
      </c>
      <c r="AV597" s="117">
        <f t="shared" ca="1" si="280"/>
        <v>0</v>
      </c>
      <c r="AW597" s="117">
        <f t="shared" ca="1" si="281"/>
        <v>0</v>
      </c>
      <c r="AX597" s="117">
        <f t="shared" ca="1" si="282"/>
        <v>0</v>
      </c>
      <c r="AY597" s="117">
        <f t="shared" ca="1" si="283"/>
        <v>0</v>
      </c>
      <c r="AZ597" s="117">
        <f t="shared" ca="1" si="284"/>
        <v>0</v>
      </c>
      <c r="BA597" s="117">
        <f t="shared" ca="1" si="285"/>
        <v>0</v>
      </c>
      <c r="BB597" s="117">
        <f t="shared" ca="1" si="286"/>
        <v>0</v>
      </c>
      <c r="BC597" s="117">
        <f t="shared" ca="1" si="287"/>
        <v>0</v>
      </c>
      <c r="BD597" s="117">
        <f t="shared" ca="1" si="288"/>
        <v>0</v>
      </c>
      <c r="BE597" s="117">
        <f t="shared" ca="1" si="289"/>
        <v>0</v>
      </c>
      <c r="BF597" s="117">
        <f t="shared" ca="1" si="290"/>
        <v>0</v>
      </c>
      <c r="BG597" s="117">
        <f t="shared" ca="1" si="291"/>
        <v>0</v>
      </c>
      <c r="BH597" s="117">
        <f t="shared" ca="1" si="292"/>
        <v>0</v>
      </c>
      <c r="BI597" s="117">
        <f t="shared" ca="1" si="293"/>
        <v>0</v>
      </c>
      <c r="BJ597" s="117">
        <f t="shared" ca="1" si="294"/>
        <v>0</v>
      </c>
      <c r="BK597" s="117">
        <f t="shared" ca="1" si="295"/>
        <v>0</v>
      </c>
      <c r="BL597" s="117">
        <f t="shared" ca="1" si="296"/>
        <v>0</v>
      </c>
      <c r="BM597" s="117">
        <f t="shared" ca="1" si="297"/>
        <v>0</v>
      </c>
      <c r="BN597" s="117">
        <f t="shared" ca="1" si="298"/>
        <v>0</v>
      </c>
      <c r="BO597" s="117">
        <f t="shared" ca="1" si="299"/>
        <v>0</v>
      </c>
      <c r="BP597" s="117">
        <f t="shared" ca="1" si="300"/>
        <v>0</v>
      </c>
      <c r="BQ597" s="117">
        <f t="shared" ca="1" si="301"/>
        <v>0</v>
      </c>
      <c r="BR597" s="117">
        <f t="shared" ca="1" si="302"/>
        <v>0</v>
      </c>
      <c r="BS597" s="117">
        <f t="shared" ca="1" si="303"/>
        <v>0</v>
      </c>
      <c r="BT597" s="117">
        <f t="shared" ca="1" si="304"/>
        <v>0</v>
      </c>
      <c r="BU597" s="117">
        <f t="shared" ca="1" si="305"/>
        <v>0</v>
      </c>
      <c r="BV597" s="117">
        <f t="shared" ca="1" si="306"/>
        <v>0</v>
      </c>
      <c r="BW597" s="117">
        <f t="shared" ca="1" si="307"/>
        <v>0</v>
      </c>
      <c r="BX597" s="117">
        <f t="shared" ca="1" si="308"/>
        <v>0</v>
      </c>
      <c r="BY597" s="56">
        <f t="shared" ca="1" si="309"/>
        <v>0</v>
      </c>
      <c r="BZ597">
        <f t="shared" si="310"/>
        <v>0</v>
      </c>
      <c r="CA597">
        <f t="shared" si="310"/>
        <v>0</v>
      </c>
      <c r="CB597">
        <f t="shared" si="310"/>
        <v>0</v>
      </c>
      <c r="CC597" s="56">
        <f t="shared" ca="1" si="210"/>
        <v>0</v>
      </c>
      <c r="CD597" s="56">
        <f t="shared" ca="1" si="211"/>
        <v>0</v>
      </c>
      <c r="CE597" s="56">
        <f t="shared" ca="1" si="212"/>
        <v>0</v>
      </c>
      <c r="CF597" s="56">
        <f t="shared" ca="1" si="213"/>
        <v>0</v>
      </c>
      <c r="CG597" s="56">
        <f t="shared" ca="1" si="214"/>
        <v>0</v>
      </c>
      <c r="CH597" s="56">
        <f t="shared" ca="1" si="215"/>
        <v>0</v>
      </c>
      <c r="CI597" s="56">
        <f t="shared" ca="1" si="216"/>
        <v>0</v>
      </c>
      <c r="CJ597" s="56">
        <f t="shared" ca="1" si="217"/>
        <v>0</v>
      </c>
      <c r="CK597" s="56">
        <f t="shared" ca="1" si="218"/>
        <v>0</v>
      </c>
      <c r="CL597" s="56">
        <f t="shared" ca="1" si="219"/>
        <v>0</v>
      </c>
      <c r="CM597" s="56">
        <f t="shared" ca="1" si="220"/>
        <v>0</v>
      </c>
      <c r="CN597" s="56">
        <f t="shared" ca="1" si="221"/>
        <v>0</v>
      </c>
      <c r="CO597" s="56">
        <f t="shared" ca="1" si="222"/>
        <v>0</v>
      </c>
      <c r="CP597" s="56">
        <f t="shared" ca="1" si="223"/>
        <v>0</v>
      </c>
      <c r="CQ597" s="56">
        <f t="shared" ca="1" si="224"/>
        <v>0</v>
      </c>
      <c r="CR597" s="56">
        <f t="shared" ca="1" si="225"/>
        <v>0</v>
      </c>
      <c r="CS597" s="56">
        <f t="shared" ca="1" si="226"/>
        <v>0</v>
      </c>
      <c r="CT597" s="56">
        <f t="shared" ca="1" si="227"/>
        <v>0</v>
      </c>
      <c r="CU597" s="56">
        <f t="shared" ca="1" si="228"/>
        <v>0</v>
      </c>
      <c r="CV597" s="56">
        <f t="shared" ca="1" si="229"/>
        <v>0</v>
      </c>
      <c r="CW597" s="56">
        <f t="shared" ca="1" si="230"/>
        <v>0</v>
      </c>
      <c r="CX597" s="56">
        <f t="shared" ca="1" si="231"/>
        <v>0</v>
      </c>
      <c r="CY597" s="56">
        <f t="shared" ca="1" si="232"/>
        <v>0</v>
      </c>
      <c r="CZ597" s="56">
        <f t="shared" ca="1" si="233"/>
        <v>0</v>
      </c>
      <c r="DA597" s="56">
        <f t="shared" ca="1" si="234"/>
        <v>0</v>
      </c>
      <c r="DB597" s="56">
        <f t="shared" ca="1" si="235"/>
        <v>0</v>
      </c>
      <c r="DC597" s="56">
        <f t="shared" ca="1" si="236"/>
        <v>0</v>
      </c>
      <c r="DD597" s="56">
        <f t="shared" ca="1" si="237"/>
        <v>0</v>
      </c>
      <c r="DE597" s="56">
        <f t="shared" ca="1" si="238"/>
        <v>0</v>
      </c>
      <c r="DF597" s="56">
        <f t="shared" ca="1" si="239"/>
        <v>0</v>
      </c>
      <c r="DG597" s="56">
        <f t="shared" ca="1" si="240"/>
        <v>0</v>
      </c>
      <c r="DH597" s="56">
        <f t="shared" ca="1" si="241"/>
        <v>0</v>
      </c>
      <c r="DI597" s="56">
        <f t="shared" ca="1" si="242"/>
        <v>0</v>
      </c>
      <c r="DJ597" s="56">
        <f t="shared" ca="1" si="243"/>
        <v>0</v>
      </c>
      <c r="DK597" s="56">
        <f t="shared" ca="1" si="244"/>
        <v>0</v>
      </c>
      <c r="DL597" s="56">
        <f t="shared" ca="1" si="245"/>
        <v>0</v>
      </c>
      <c r="DM597" s="56">
        <f t="shared" ca="1" si="246"/>
        <v>0</v>
      </c>
      <c r="DN597" s="56">
        <f t="shared" ca="1" si="247"/>
        <v>0</v>
      </c>
      <c r="DO597" s="56">
        <f t="shared" ca="1" si="248"/>
        <v>0</v>
      </c>
      <c r="DP597" s="56">
        <f t="shared" ca="1" si="249"/>
        <v>0</v>
      </c>
      <c r="DQ597" s="56">
        <f t="shared" ca="1" si="250"/>
        <v>0</v>
      </c>
      <c r="DR597" s="56">
        <f t="shared" ca="1" si="251"/>
        <v>0</v>
      </c>
      <c r="DS597" s="56">
        <f t="shared" ca="1" si="252"/>
        <v>0</v>
      </c>
      <c r="DT597" s="56">
        <f t="shared" ca="1" si="253"/>
        <v>0</v>
      </c>
      <c r="DU597" s="56">
        <f t="shared" ca="1" si="254"/>
        <v>0</v>
      </c>
      <c r="DV597" s="56">
        <f t="shared" ca="1" si="255"/>
        <v>0</v>
      </c>
      <c r="DW597" s="56">
        <f t="shared" ca="1" si="256"/>
        <v>0</v>
      </c>
      <c r="DX597" s="56">
        <f t="shared" ca="1" si="257"/>
        <v>0</v>
      </c>
      <c r="DY597" s="56">
        <f t="shared" ca="1" si="258"/>
        <v>0</v>
      </c>
      <c r="DZ597" s="56">
        <f t="shared" ca="1" si="259"/>
        <v>0</v>
      </c>
    </row>
    <row r="598" spans="28:130">
      <c r="AB598" s="117">
        <f t="shared" ca="1" si="260"/>
        <v>0</v>
      </c>
      <c r="AC598" s="117">
        <f t="shared" ca="1" si="261"/>
        <v>0</v>
      </c>
      <c r="AD598" s="117">
        <f t="shared" ca="1" si="262"/>
        <v>0</v>
      </c>
      <c r="AE598" s="117">
        <f t="shared" ca="1" si="263"/>
        <v>0</v>
      </c>
      <c r="AF598" s="117">
        <f t="shared" ca="1" si="264"/>
        <v>0</v>
      </c>
      <c r="AG598" s="117">
        <f t="shared" ca="1" si="265"/>
        <v>0</v>
      </c>
      <c r="AH598" s="117">
        <f t="shared" ca="1" si="266"/>
        <v>0</v>
      </c>
      <c r="AI598" s="117">
        <f t="shared" ca="1" si="267"/>
        <v>0</v>
      </c>
      <c r="AJ598" s="117">
        <f t="shared" ca="1" si="268"/>
        <v>0</v>
      </c>
      <c r="AK598" s="117">
        <f t="shared" ca="1" si="269"/>
        <v>0</v>
      </c>
      <c r="AL598" s="117">
        <f t="shared" ca="1" si="270"/>
        <v>0</v>
      </c>
      <c r="AM598" s="117">
        <f t="shared" ca="1" si="271"/>
        <v>0</v>
      </c>
      <c r="AN598" s="117">
        <f t="shared" ca="1" si="272"/>
        <v>0</v>
      </c>
      <c r="AO598" s="117">
        <f t="shared" ca="1" si="273"/>
        <v>0</v>
      </c>
      <c r="AP598" s="117">
        <f t="shared" ca="1" si="274"/>
        <v>0</v>
      </c>
      <c r="AQ598" s="117">
        <f t="shared" ca="1" si="275"/>
        <v>0</v>
      </c>
      <c r="AR598" s="117">
        <f t="shared" ca="1" si="276"/>
        <v>0</v>
      </c>
      <c r="AS598" s="117">
        <f t="shared" ca="1" si="277"/>
        <v>0</v>
      </c>
      <c r="AT598" s="117">
        <f t="shared" ca="1" si="278"/>
        <v>0</v>
      </c>
      <c r="AU598" s="117">
        <f t="shared" ca="1" si="279"/>
        <v>0</v>
      </c>
      <c r="AV598" s="117">
        <f t="shared" ca="1" si="280"/>
        <v>0</v>
      </c>
      <c r="AW598" s="117">
        <f t="shared" ca="1" si="281"/>
        <v>0</v>
      </c>
      <c r="AX598" s="117">
        <f t="shared" ca="1" si="282"/>
        <v>0</v>
      </c>
      <c r="AY598" s="117">
        <f t="shared" ca="1" si="283"/>
        <v>0</v>
      </c>
      <c r="AZ598" s="117">
        <f t="shared" ca="1" si="284"/>
        <v>0</v>
      </c>
      <c r="BA598" s="117">
        <f t="shared" ca="1" si="285"/>
        <v>0</v>
      </c>
      <c r="BB598" s="117">
        <f t="shared" ca="1" si="286"/>
        <v>0</v>
      </c>
      <c r="BC598" s="117">
        <f t="shared" ca="1" si="287"/>
        <v>0</v>
      </c>
      <c r="BD598" s="117">
        <f t="shared" ca="1" si="288"/>
        <v>0</v>
      </c>
      <c r="BE598" s="117">
        <f t="shared" ca="1" si="289"/>
        <v>0</v>
      </c>
      <c r="BF598" s="117">
        <f t="shared" ca="1" si="290"/>
        <v>0</v>
      </c>
      <c r="BG598" s="117">
        <f t="shared" ca="1" si="291"/>
        <v>0</v>
      </c>
      <c r="BH598" s="117">
        <f t="shared" ca="1" si="292"/>
        <v>0</v>
      </c>
      <c r="BI598" s="117">
        <f t="shared" ca="1" si="293"/>
        <v>0</v>
      </c>
      <c r="BJ598" s="117">
        <f t="shared" ca="1" si="294"/>
        <v>0</v>
      </c>
      <c r="BK598" s="117">
        <f t="shared" ca="1" si="295"/>
        <v>0</v>
      </c>
      <c r="BL598" s="117">
        <f t="shared" ca="1" si="296"/>
        <v>0</v>
      </c>
      <c r="BM598" s="117">
        <f t="shared" ca="1" si="297"/>
        <v>0</v>
      </c>
      <c r="BN598" s="117">
        <f t="shared" ca="1" si="298"/>
        <v>0</v>
      </c>
      <c r="BO598" s="117">
        <f t="shared" ca="1" si="299"/>
        <v>0</v>
      </c>
      <c r="BP598" s="117">
        <f t="shared" ca="1" si="300"/>
        <v>0</v>
      </c>
      <c r="BQ598" s="117">
        <f t="shared" ca="1" si="301"/>
        <v>0</v>
      </c>
      <c r="BR598" s="117">
        <f t="shared" ca="1" si="302"/>
        <v>0</v>
      </c>
      <c r="BS598" s="117">
        <f t="shared" ca="1" si="303"/>
        <v>0</v>
      </c>
      <c r="BT598" s="117">
        <f t="shared" ca="1" si="304"/>
        <v>0</v>
      </c>
      <c r="BU598" s="117">
        <f t="shared" ca="1" si="305"/>
        <v>0</v>
      </c>
      <c r="BV598" s="117">
        <f t="shared" ca="1" si="306"/>
        <v>0</v>
      </c>
      <c r="BW598" s="117">
        <f t="shared" ca="1" si="307"/>
        <v>0</v>
      </c>
      <c r="BX598" s="117">
        <f t="shared" ca="1" si="308"/>
        <v>0</v>
      </c>
      <c r="BY598" s="56">
        <f t="shared" ca="1" si="309"/>
        <v>0</v>
      </c>
      <c r="BZ598">
        <f t="shared" si="310"/>
        <v>0</v>
      </c>
      <c r="CA598">
        <f t="shared" si="310"/>
        <v>0</v>
      </c>
      <c r="CB598">
        <f t="shared" si="310"/>
        <v>0</v>
      </c>
      <c r="CC598" s="56">
        <f t="shared" ca="1" si="210"/>
        <v>0</v>
      </c>
      <c r="CD598" s="56">
        <f t="shared" ca="1" si="211"/>
        <v>0</v>
      </c>
      <c r="CE598" s="56">
        <f t="shared" ca="1" si="212"/>
        <v>0</v>
      </c>
      <c r="CF598" s="56">
        <f t="shared" ca="1" si="213"/>
        <v>0</v>
      </c>
      <c r="CG598" s="56">
        <f t="shared" ca="1" si="214"/>
        <v>0</v>
      </c>
      <c r="CH598" s="56">
        <f t="shared" ca="1" si="215"/>
        <v>0</v>
      </c>
      <c r="CI598" s="56">
        <f t="shared" ca="1" si="216"/>
        <v>0</v>
      </c>
      <c r="CJ598" s="56">
        <f t="shared" ca="1" si="217"/>
        <v>0</v>
      </c>
      <c r="CK598" s="56">
        <f t="shared" ca="1" si="218"/>
        <v>0</v>
      </c>
      <c r="CL598" s="56">
        <f t="shared" ca="1" si="219"/>
        <v>0</v>
      </c>
      <c r="CM598" s="56">
        <f t="shared" ca="1" si="220"/>
        <v>0</v>
      </c>
      <c r="CN598" s="56">
        <f t="shared" ca="1" si="221"/>
        <v>0</v>
      </c>
      <c r="CO598" s="56">
        <f t="shared" ca="1" si="222"/>
        <v>0</v>
      </c>
      <c r="CP598" s="56">
        <f t="shared" ca="1" si="223"/>
        <v>0</v>
      </c>
      <c r="CQ598" s="56">
        <f t="shared" ca="1" si="224"/>
        <v>0</v>
      </c>
      <c r="CR598" s="56">
        <f t="shared" ca="1" si="225"/>
        <v>0</v>
      </c>
      <c r="CS598" s="56">
        <f t="shared" ca="1" si="226"/>
        <v>0</v>
      </c>
      <c r="CT598" s="56">
        <f t="shared" ca="1" si="227"/>
        <v>0</v>
      </c>
      <c r="CU598" s="56">
        <f t="shared" ca="1" si="228"/>
        <v>0</v>
      </c>
      <c r="CV598" s="56">
        <f t="shared" ca="1" si="229"/>
        <v>0</v>
      </c>
      <c r="CW598" s="56">
        <f t="shared" ca="1" si="230"/>
        <v>0</v>
      </c>
      <c r="CX598" s="56">
        <f t="shared" ca="1" si="231"/>
        <v>0</v>
      </c>
      <c r="CY598" s="56">
        <f t="shared" ca="1" si="232"/>
        <v>0</v>
      </c>
      <c r="CZ598" s="56">
        <f t="shared" ca="1" si="233"/>
        <v>0</v>
      </c>
      <c r="DA598" s="56">
        <f t="shared" ca="1" si="234"/>
        <v>0</v>
      </c>
      <c r="DB598" s="56">
        <f t="shared" ca="1" si="235"/>
        <v>0</v>
      </c>
      <c r="DC598" s="56">
        <f t="shared" ca="1" si="236"/>
        <v>0</v>
      </c>
      <c r="DD598" s="56">
        <f t="shared" ca="1" si="237"/>
        <v>0</v>
      </c>
      <c r="DE598" s="56">
        <f t="shared" ca="1" si="238"/>
        <v>0</v>
      </c>
      <c r="DF598" s="56">
        <f t="shared" ca="1" si="239"/>
        <v>0</v>
      </c>
      <c r="DG598" s="56">
        <f t="shared" ca="1" si="240"/>
        <v>0</v>
      </c>
      <c r="DH598" s="56">
        <f t="shared" ca="1" si="241"/>
        <v>0</v>
      </c>
      <c r="DI598" s="56">
        <f t="shared" ca="1" si="242"/>
        <v>0</v>
      </c>
      <c r="DJ598" s="56">
        <f t="shared" ca="1" si="243"/>
        <v>0</v>
      </c>
      <c r="DK598" s="56">
        <f t="shared" ca="1" si="244"/>
        <v>0</v>
      </c>
      <c r="DL598" s="56">
        <f t="shared" ca="1" si="245"/>
        <v>0</v>
      </c>
      <c r="DM598" s="56">
        <f t="shared" ca="1" si="246"/>
        <v>0</v>
      </c>
      <c r="DN598" s="56">
        <f t="shared" ca="1" si="247"/>
        <v>0</v>
      </c>
      <c r="DO598" s="56">
        <f t="shared" ca="1" si="248"/>
        <v>0</v>
      </c>
      <c r="DP598" s="56">
        <f t="shared" ca="1" si="249"/>
        <v>0</v>
      </c>
      <c r="DQ598" s="56">
        <f t="shared" ca="1" si="250"/>
        <v>0</v>
      </c>
      <c r="DR598" s="56">
        <f t="shared" ca="1" si="251"/>
        <v>0</v>
      </c>
      <c r="DS598" s="56">
        <f t="shared" ca="1" si="252"/>
        <v>0</v>
      </c>
      <c r="DT598" s="56">
        <f t="shared" ca="1" si="253"/>
        <v>0</v>
      </c>
      <c r="DU598" s="56">
        <f t="shared" ca="1" si="254"/>
        <v>0</v>
      </c>
      <c r="DV598" s="56">
        <f t="shared" ca="1" si="255"/>
        <v>0</v>
      </c>
      <c r="DW598" s="56">
        <f t="shared" ca="1" si="256"/>
        <v>0</v>
      </c>
      <c r="DX598" s="56">
        <f t="shared" ca="1" si="257"/>
        <v>0</v>
      </c>
      <c r="DY598" s="56">
        <f t="shared" ca="1" si="258"/>
        <v>0</v>
      </c>
      <c r="DZ598" s="56">
        <f t="shared" ca="1" si="259"/>
        <v>0</v>
      </c>
    </row>
    <row r="599" spans="28:130">
      <c r="AB599" s="117">
        <f t="shared" ca="1" si="260"/>
        <v>0</v>
      </c>
      <c r="AC599" s="117">
        <f t="shared" ca="1" si="261"/>
        <v>0</v>
      </c>
      <c r="AD599" s="117">
        <f t="shared" ca="1" si="262"/>
        <v>0</v>
      </c>
      <c r="AE599" s="117">
        <f t="shared" ca="1" si="263"/>
        <v>0</v>
      </c>
      <c r="AF599" s="117">
        <f t="shared" ca="1" si="264"/>
        <v>0</v>
      </c>
      <c r="AG599" s="117">
        <f t="shared" ca="1" si="265"/>
        <v>0</v>
      </c>
      <c r="AH599" s="117">
        <f t="shared" ca="1" si="266"/>
        <v>0</v>
      </c>
      <c r="AI599" s="117">
        <f t="shared" ca="1" si="267"/>
        <v>0</v>
      </c>
      <c r="AJ599" s="117">
        <f t="shared" ca="1" si="268"/>
        <v>0</v>
      </c>
      <c r="AK599" s="117">
        <f t="shared" ca="1" si="269"/>
        <v>0</v>
      </c>
      <c r="AL599" s="117">
        <f t="shared" ca="1" si="270"/>
        <v>0</v>
      </c>
      <c r="AM599" s="117">
        <f t="shared" ca="1" si="271"/>
        <v>0</v>
      </c>
      <c r="AN599" s="117">
        <f t="shared" ca="1" si="272"/>
        <v>0</v>
      </c>
      <c r="AO599" s="117">
        <f t="shared" ca="1" si="273"/>
        <v>0</v>
      </c>
      <c r="AP599" s="117">
        <f t="shared" ca="1" si="274"/>
        <v>0</v>
      </c>
      <c r="AQ599" s="117">
        <f t="shared" ca="1" si="275"/>
        <v>0</v>
      </c>
      <c r="AR599" s="117">
        <f t="shared" ca="1" si="276"/>
        <v>0</v>
      </c>
      <c r="AS599" s="117">
        <f t="shared" ca="1" si="277"/>
        <v>0</v>
      </c>
      <c r="AT599" s="117">
        <f t="shared" ca="1" si="278"/>
        <v>0</v>
      </c>
      <c r="AU599" s="117">
        <f t="shared" ca="1" si="279"/>
        <v>0</v>
      </c>
      <c r="AV599" s="117">
        <f t="shared" ca="1" si="280"/>
        <v>0</v>
      </c>
      <c r="AW599" s="117">
        <f t="shared" ca="1" si="281"/>
        <v>0</v>
      </c>
      <c r="AX599" s="117">
        <f t="shared" ca="1" si="282"/>
        <v>0</v>
      </c>
      <c r="AY599" s="117">
        <f t="shared" ca="1" si="283"/>
        <v>0</v>
      </c>
      <c r="AZ599" s="117">
        <f t="shared" ca="1" si="284"/>
        <v>0</v>
      </c>
      <c r="BA599" s="117">
        <f t="shared" ca="1" si="285"/>
        <v>0</v>
      </c>
      <c r="BB599" s="117">
        <f t="shared" ca="1" si="286"/>
        <v>0</v>
      </c>
      <c r="BC599" s="117">
        <f t="shared" ca="1" si="287"/>
        <v>0</v>
      </c>
      <c r="BD599" s="117">
        <f t="shared" ca="1" si="288"/>
        <v>0</v>
      </c>
      <c r="BE599" s="117">
        <f t="shared" ca="1" si="289"/>
        <v>0</v>
      </c>
      <c r="BF599" s="117">
        <f t="shared" ca="1" si="290"/>
        <v>0</v>
      </c>
      <c r="BG599" s="117">
        <f t="shared" ca="1" si="291"/>
        <v>0</v>
      </c>
      <c r="BH599" s="117">
        <f t="shared" ca="1" si="292"/>
        <v>0</v>
      </c>
      <c r="BI599" s="117">
        <f t="shared" ca="1" si="293"/>
        <v>0</v>
      </c>
      <c r="BJ599" s="117">
        <f t="shared" ca="1" si="294"/>
        <v>0</v>
      </c>
      <c r="BK599" s="117">
        <f t="shared" ca="1" si="295"/>
        <v>0</v>
      </c>
      <c r="BL599" s="117">
        <f t="shared" ca="1" si="296"/>
        <v>0</v>
      </c>
      <c r="BM599" s="117">
        <f t="shared" ca="1" si="297"/>
        <v>0</v>
      </c>
      <c r="BN599" s="117">
        <f t="shared" ca="1" si="298"/>
        <v>0</v>
      </c>
      <c r="BO599" s="117">
        <f t="shared" ca="1" si="299"/>
        <v>0</v>
      </c>
      <c r="BP599" s="117">
        <f t="shared" ca="1" si="300"/>
        <v>0</v>
      </c>
      <c r="BQ599" s="117">
        <f t="shared" ca="1" si="301"/>
        <v>0</v>
      </c>
      <c r="BR599" s="117">
        <f t="shared" ca="1" si="302"/>
        <v>0</v>
      </c>
      <c r="BS599" s="117">
        <f t="shared" ca="1" si="303"/>
        <v>0</v>
      </c>
      <c r="BT599" s="117">
        <f t="shared" ca="1" si="304"/>
        <v>0</v>
      </c>
      <c r="BU599" s="117">
        <f t="shared" ca="1" si="305"/>
        <v>0</v>
      </c>
      <c r="BV599" s="117">
        <f t="shared" ca="1" si="306"/>
        <v>0</v>
      </c>
      <c r="BW599" s="117">
        <f t="shared" ca="1" si="307"/>
        <v>0</v>
      </c>
      <c r="BX599" s="117">
        <f t="shared" ca="1" si="308"/>
        <v>0</v>
      </c>
      <c r="BY599" s="56">
        <f t="shared" ca="1" si="309"/>
        <v>0</v>
      </c>
      <c r="BZ599">
        <f t="shared" si="310"/>
        <v>0</v>
      </c>
      <c r="CA599">
        <f t="shared" si="310"/>
        <v>0</v>
      </c>
      <c r="CB599">
        <f t="shared" si="310"/>
        <v>0</v>
      </c>
      <c r="CC599" s="56">
        <f t="shared" ca="1" si="210"/>
        <v>0</v>
      </c>
      <c r="CD599" s="56">
        <f t="shared" ca="1" si="211"/>
        <v>0</v>
      </c>
      <c r="CE599" s="56">
        <f t="shared" ca="1" si="212"/>
        <v>0</v>
      </c>
      <c r="CF599" s="56">
        <f t="shared" ca="1" si="213"/>
        <v>0</v>
      </c>
      <c r="CG599" s="56">
        <f t="shared" ca="1" si="214"/>
        <v>0</v>
      </c>
      <c r="CH599" s="56">
        <f t="shared" ca="1" si="215"/>
        <v>0</v>
      </c>
      <c r="CI599" s="56">
        <f t="shared" ca="1" si="216"/>
        <v>0</v>
      </c>
      <c r="CJ599" s="56">
        <f t="shared" ca="1" si="217"/>
        <v>0</v>
      </c>
      <c r="CK599" s="56">
        <f t="shared" ca="1" si="218"/>
        <v>0</v>
      </c>
      <c r="CL599" s="56">
        <f t="shared" ca="1" si="219"/>
        <v>0</v>
      </c>
      <c r="CM599" s="56">
        <f t="shared" ca="1" si="220"/>
        <v>0</v>
      </c>
      <c r="CN599" s="56">
        <f t="shared" ca="1" si="221"/>
        <v>0</v>
      </c>
      <c r="CO599" s="56">
        <f t="shared" ca="1" si="222"/>
        <v>0</v>
      </c>
      <c r="CP599" s="56">
        <f t="shared" ca="1" si="223"/>
        <v>0</v>
      </c>
      <c r="CQ599" s="56">
        <f t="shared" ca="1" si="224"/>
        <v>0</v>
      </c>
      <c r="CR599" s="56">
        <f t="shared" ca="1" si="225"/>
        <v>0</v>
      </c>
      <c r="CS599" s="56">
        <f t="shared" ca="1" si="226"/>
        <v>0</v>
      </c>
      <c r="CT599" s="56">
        <f t="shared" ca="1" si="227"/>
        <v>0</v>
      </c>
      <c r="CU599" s="56">
        <f t="shared" ca="1" si="228"/>
        <v>0</v>
      </c>
      <c r="CV599" s="56">
        <f t="shared" ca="1" si="229"/>
        <v>0</v>
      </c>
      <c r="CW599" s="56">
        <f t="shared" ca="1" si="230"/>
        <v>0</v>
      </c>
      <c r="CX599" s="56">
        <f t="shared" ca="1" si="231"/>
        <v>0</v>
      </c>
      <c r="CY599" s="56">
        <f t="shared" ca="1" si="232"/>
        <v>0</v>
      </c>
      <c r="CZ599" s="56">
        <f t="shared" ca="1" si="233"/>
        <v>0</v>
      </c>
      <c r="DA599" s="56">
        <f t="shared" ca="1" si="234"/>
        <v>0</v>
      </c>
      <c r="DB599" s="56">
        <f t="shared" ca="1" si="235"/>
        <v>0</v>
      </c>
      <c r="DC599" s="56">
        <f t="shared" ca="1" si="236"/>
        <v>0</v>
      </c>
      <c r="DD599" s="56">
        <f t="shared" ca="1" si="237"/>
        <v>0</v>
      </c>
      <c r="DE599" s="56">
        <f t="shared" ca="1" si="238"/>
        <v>0</v>
      </c>
      <c r="DF599" s="56">
        <f t="shared" ca="1" si="239"/>
        <v>0</v>
      </c>
      <c r="DG599" s="56">
        <f t="shared" ca="1" si="240"/>
        <v>0</v>
      </c>
      <c r="DH599" s="56">
        <f t="shared" ca="1" si="241"/>
        <v>0</v>
      </c>
      <c r="DI599" s="56">
        <f t="shared" ca="1" si="242"/>
        <v>0</v>
      </c>
      <c r="DJ599" s="56">
        <f t="shared" ca="1" si="243"/>
        <v>0</v>
      </c>
      <c r="DK599" s="56">
        <f t="shared" ca="1" si="244"/>
        <v>0</v>
      </c>
      <c r="DL599" s="56">
        <f t="shared" ca="1" si="245"/>
        <v>0</v>
      </c>
      <c r="DM599" s="56">
        <f t="shared" ca="1" si="246"/>
        <v>0</v>
      </c>
      <c r="DN599" s="56">
        <f t="shared" ca="1" si="247"/>
        <v>0</v>
      </c>
      <c r="DO599" s="56">
        <f t="shared" ca="1" si="248"/>
        <v>0</v>
      </c>
      <c r="DP599" s="56">
        <f t="shared" ca="1" si="249"/>
        <v>0</v>
      </c>
      <c r="DQ599" s="56">
        <f t="shared" ca="1" si="250"/>
        <v>0</v>
      </c>
      <c r="DR599" s="56">
        <f t="shared" ca="1" si="251"/>
        <v>0</v>
      </c>
      <c r="DS599" s="56">
        <f t="shared" ca="1" si="252"/>
        <v>0</v>
      </c>
      <c r="DT599" s="56">
        <f t="shared" ca="1" si="253"/>
        <v>0</v>
      </c>
      <c r="DU599" s="56">
        <f t="shared" ca="1" si="254"/>
        <v>0</v>
      </c>
      <c r="DV599" s="56">
        <f t="shared" ca="1" si="255"/>
        <v>0</v>
      </c>
      <c r="DW599" s="56">
        <f t="shared" ca="1" si="256"/>
        <v>0</v>
      </c>
      <c r="DX599" s="56">
        <f t="shared" ca="1" si="257"/>
        <v>0</v>
      </c>
      <c r="DY599" s="56">
        <f t="shared" ca="1" si="258"/>
        <v>0</v>
      </c>
      <c r="DZ599" s="56">
        <f t="shared" ca="1" si="259"/>
        <v>0</v>
      </c>
    </row>
    <row r="600" spans="28:130">
      <c r="AB600" s="117">
        <f t="shared" ca="1" si="260"/>
        <v>0</v>
      </c>
      <c r="AC600" s="117">
        <f t="shared" ca="1" si="261"/>
        <v>0</v>
      </c>
      <c r="AD600" s="117">
        <f t="shared" ca="1" si="262"/>
        <v>0</v>
      </c>
      <c r="AE600" s="117">
        <f t="shared" ca="1" si="263"/>
        <v>0</v>
      </c>
      <c r="AF600" s="117">
        <f t="shared" ca="1" si="264"/>
        <v>0</v>
      </c>
      <c r="AG600" s="117">
        <f t="shared" ca="1" si="265"/>
        <v>0</v>
      </c>
      <c r="AH600" s="117">
        <f t="shared" ca="1" si="266"/>
        <v>0</v>
      </c>
      <c r="AI600" s="117">
        <f t="shared" ca="1" si="267"/>
        <v>0</v>
      </c>
      <c r="AJ600" s="117">
        <f t="shared" ca="1" si="268"/>
        <v>0</v>
      </c>
      <c r="AK600" s="117">
        <f t="shared" ca="1" si="269"/>
        <v>0</v>
      </c>
      <c r="AL600" s="117">
        <f t="shared" ca="1" si="270"/>
        <v>0</v>
      </c>
      <c r="AM600" s="117">
        <f t="shared" ca="1" si="271"/>
        <v>0</v>
      </c>
      <c r="AN600" s="117">
        <f t="shared" ca="1" si="272"/>
        <v>0</v>
      </c>
      <c r="AO600" s="117">
        <f t="shared" ca="1" si="273"/>
        <v>0</v>
      </c>
      <c r="AP600" s="117">
        <f t="shared" ca="1" si="274"/>
        <v>0</v>
      </c>
      <c r="AQ600" s="117">
        <f t="shared" ca="1" si="275"/>
        <v>0</v>
      </c>
      <c r="AR600" s="117">
        <f t="shared" ca="1" si="276"/>
        <v>0</v>
      </c>
      <c r="AS600" s="117">
        <f t="shared" ca="1" si="277"/>
        <v>0</v>
      </c>
      <c r="AT600" s="117">
        <f t="shared" ca="1" si="278"/>
        <v>0</v>
      </c>
      <c r="AU600" s="117">
        <f t="shared" ca="1" si="279"/>
        <v>0</v>
      </c>
      <c r="AV600" s="117">
        <f t="shared" ca="1" si="280"/>
        <v>0</v>
      </c>
      <c r="AW600" s="117">
        <f t="shared" ca="1" si="281"/>
        <v>0</v>
      </c>
      <c r="AX600" s="117">
        <f t="shared" ca="1" si="282"/>
        <v>0</v>
      </c>
      <c r="AY600" s="117">
        <f t="shared" ca="1" si="283"/>
        <v>0</v>
      </c>
      <c r="AZ600" s="117">
        <f t="shared" ca="1" si="284"/>
        <v>0</v>
      </c>
      <c r="BA600" s="117">
        <f t="shared" ca="1" si="285"/>
        <v>0</v>
      </c>
      <c r="BB600" s="117">
        <f t="shared" ca="1" si="286"/>
        <v>0</v>
      </c>
      <c r="BC600" s="117">
        <f t="shared" ca="1" si="287"/>
        <v>0</v>
      </c>
      <c r="BD600" s="117">
        <f t="shared" ca="1" si="288"/>
        <v>0</v>
      </c>
      <c r="BE600" s="117">
        <f t="shared" ca="1" si="289"/>
        <v>0</v>
      </c>
      <c r="BF600" s="117">
        <f t="shared" ca="1" si="290"/>
        <v>0</v>
      </c>
      <c r="BG600" s="117">
        <f t="shared" ca="1" si="291"/>
        <v>0</v>
      </c>
      <c r="BH600" s="117">
        <f t="shared" ca="1" si="292"/>
        <v>0</v>
      </c>
      <c r="BI600" s="117">
        <f t="shared" ca="1" si="293"/>
        <v>0</v>
      </c>
      <c r="BJ600" s="117">
        <f t="shared" ca="1" si="294"/>
        <v>0</v>
      </c>
      <c r="BK600" s="117">
        <f t="shared" ca="1" si="295"/>
        <v>0</v>
      </c>
      <c r="BL600" s="117">
        <f t="shared" ca="1" si="296"/>
        <v>0</v>
      </c>
      <c r="BM600" s="117">
        <f t="shared" ca="1" si="297"/>
        <v>0</v>
      </c>
      <c r="BN600" s="117">
        <f t="shared" ca="1" si="298"/>
        <v>0</v>
      </c>
      <c r="BO600" s="117">
        <f t="shared" ca="1" si="299"/>
        <v>0</v>
      </c>
      <c r="BP600" s="117">
        <f t="shared" ca="1" si="300"/>
        <v>0</v>
      </c>
      <c r="BQ600" s="117">
        <f t="shared" ca="1" si="301"/>
        <v>0</v>
      </c>
      <c r="BR600" s="117">
        <f t="shared" ca="1" si="302"/>
        <v>0</v>
      </c>
      <c r="BS600" s="117">
        <f t="shared" ca="1" si="303"/>
        <v>0</v>
      </c>
      <c r="BT600" s="117">
        <f t="shared" ca="1" si="304"/>
        <v>0</v>
      </c>
      <c r="BU600" s="117">
        <f t="shared" ca="1" si="305"/>
        <v>0</v>
      </c>
      <c r="BV600" s="117">
        <f t="shared" ca="1" si="306"/>
        <v>0</v>
      </c>
      <c r="BW600" s="117">
        <f t="shared" ca="1" si="307"/>
        <v>0</v>
      </c>
      <c r="BX600" s="117">
        <f t="shared" ca="1" si="308"/>
        <v>0</v>
      </c>
      <c r="BY600" s="56">
        <f t="shared" ca="1" si="309"/>
        <v>0</v>
      </c>
      <c r="BZ600">
        <f t="shared" si="310"/>
        <v>0</v>
      </c>
      <c r="CA600">
        <f t="shared" si="310"/>
        <v>0</v>
      </c>
      <c r="CB600">
        <f t="shared" si="310"/>
        <v>0</v>
      </c>
      <c r="CC600" s="56">
        <f t="shared" ca="1" si="210"/>
        <v>0</v>
      </c>
      <c r="CD600" s="56">
        <f t="shared" ca="1" si="211"/>
        <v>0</v>
      </c>
      <c r="CE600" s="56">
        <f t="shared" ca="1" si="212"/>
        <v>0</v>
      </c>
      <c r="CF600" s="56">
        <f t="shared" ca="1" si="213"/>
        <v>0</v>
      </c>
      <c r="CG600" s="56">
        <f t="shared" ca="1" si="214"/>
        <v>0</v>
      </c>
      <c r="CH600" s="56">
        <f t="shared" ca="1" si="215"/>
        <v>0</v>
      </c>
      <c r="CI600" s="56">
        <f t="shared" ca="1" si="216"/>
        <v>0</v>
      </c>
      <c r="CJ600" s="56">
        <f t="shared" ca="1" si="217"/>
        <v>0</v>
      </c>
      <c r="CK600" s="56">
        <f t="shared" ca="1" si="218"/>
        <v>0</v>
      </c>
      <c r="CL600" s="56">
        <f t="shared" ca="1" si="219"/>
        <v>0</v>
      </c>
      <c r="CM600" s="56">
        <f t="shared" ca="1" si="220"/>
        <v>0</v>
      </c>
      <c r="CN600" s="56">
        <f t="shared" ca="1" si="221"/>
        <v>0</v>
      </c>
      <c r="CO600" s="56">
        <f t="shared" ca="1" si="222"/>
        <v>0</v>
      </c>
      <c r="CP600" s="56">
        <f t="shared" ca="1" si="223"/>
        <v>0</v>
      </c>
      <c r="CQ600" s="56">
        <f t="shared" ca="1" si="224"/>
        <v>0</v>
      </c>
      <c r="CR600" s="56">
        <f t="shared" ca="1" si="225"/>
        <v>0</v>
      </c>
      <c r="CS600" s="56">
        <f t="shared" ca="1" si="226"/>
        <v>0</v>
      </c>
      <c r="CT600" s="56">
        <f t="shared" ca="1" si="227"/>
        <v>0</v>
      </c>
      <c r="CU600" s="56">
        <f t="shared" ca="1" si="228"/>
        <v>0</v>
      </c>
      <c r="CV600" s="56">
        <f t="shared" ca="1" si="229"/>
        <v>0</v>
      </c>
      <c r="CW600" s="56">
        <f t="shared" ca="1" si="230"/>
        <v>0</v>
      </c>
      <c r="CX600" s="56">
        <f t="shared" ca="1" si="231"/>
        <v>0</v>
      </c>
      <c r="CY600" s="56">
        <f t="shared" ca="1" si="232"/>
        <v>0</v>
      </c>
      <c r="CZ600" s="56">
        <f t="shared" ca="1" si="233"/>
        <v>0</v>
      </c>
      <c r="DA600" s="56">
        <f t="shared" ca="1" si="234"/>
        <v>0</v>
      </c>
      <c r="DB600" s="56">
        <f t="shared" ca="1" si="235"/>
        <v>0</v>
      </c>
      <c r="DC600" s="56">
        <f t="shared" ca="1" si="236"/>
        <v>0</v>
      </c>
      <c r="DD600" s="56">
        <f t="shared" ca="1" si="237"/>
        <v>0</v>
      </c>
      <c r="DE600" s="56">
        <f t="shared" ca="1" si="238"/>
        <v>0</v>
      </c>
      <c r="DF600" s="56">
        <f t="shared" ca="1" si="239"/>
        <v>0</v>
      </c>
      <c r="DG600" s="56">
        <f t="shared" ca="1" si="240"/>
        <v>0</v>
      </c>
      <c r="DH600" s="56">
        <f t="shared" ca="1" si="241"/>
        <v>0</v>
      </c>
      <c r="DI600" s="56">
        <f t="shared" ca="1" si="242"/>
        <v>0</v>
      </c>
      <c r="DJ600" s="56">
        <f t="shared" ca="1" si="243"/>
        <v>0</v>
      </c>
      <c r="DK600" s="56">
        <f t="shared" ca="1" si="244"/>
        <v>0</v>
      </c>
      <c r="DL600" s="56">
        <f t="shared" ca="1" si="245"/>
        <v>0</v>
      </c>
      <c r="DM600" s="56">
        <f t="shared" ca="1" si="246"/>
        <v>0</v>
      </c>
      <c r="DN600" s="56">
        <f t="shared" ca="1" si="247"/>
        <v>0</v>
      </c>
      <c r="DO600" s="56">
        <f t="shared" ca="1" si="248"/>
        <v>0</v>
      </c>
      <c r="DP600" s="56">
        <f t="shared" ca="1" si="249"/>
        <v>0</v>
      </c>
      <c r="DQ600" s="56">
        <f t="shared" ca="1" si="250"/>
        <v>0</v>
      </c>
      <c r="DR600" s="56">
        <f t="shared" ca="1" si="251"/>
        <v>0</v>
      </c>
      <c r="DS600" s="56">
        <f t="shared" ca="1" si="252"/>
        <v>0</v>
      </c>
      <c r="DT600" s="56">
        <f t="shared" ca="1" si="253"/>
        <v>0</v>
      </c>
      <c r="DU600" s="56">
        <f t="shared" ca="1" si="254"/>
        <v>0</v>
      </c>
      <c r="DV600" s="56">
        <f t="shared" ca="1" si="255"/>
        <v>0</v>
      </c>
      <c r="DW600" s="56">
        <f t="shared" ca="1" si="256"/>
        <v>0</v>
      </c>
      <c r="DX600" s="56">
        <f t="shared" ca="1" si="257"/>
        <v>0</v>
      </c>
      <c r="DY600" s="56">
        <f t="shared" ca="1" si="258"/>
        <v>0</v>
      </c>
      <c r="DZ600" s="56">
        <f t="shared" ca="1" si="259"/>
        <v>0</v>
      </c>
    </row>
    <row r="601" spans="28:130">
      <c r="AB601" s="117">
        <f t="shared" ca="1" si="260"/>
        <v>0</v>
      </c>
      <c r="AC601" s="117">
        <f t="shared" ca="1" si="261"/>
        <v>0</v>
      </c>
      <c r="AD601" s="117">
        <f t="shared" ca="1" si="262"/>
        <v>0</v>
      </c>
      <c r="AE601" s="117">
        <f t="shared" ca="1" si="263"/>
        <v>0</v>
      </c>
      <c r="AF601" s="117">
        <f t="shared" ca="1" si="264"/>
        <v>0</v>
      </c>
      <c r="AG601" s="117">
        <f t="shared" ca="1" si="265"/>
        <v>0</v>
      </c>
      <c r="AH601" s="117">
        <f t="shared" ca="1" si="266"/>
        <v>0</v>
      </c>
      <c r="AI601" s="117">
        <f t="shared" ca="1" si="267"/>
        <v>0</v>
      </c>
      <c r="AJ601" s="117">
        <f t="shared" ca="1" si="268"/>
        <v>0</v>
      </c>
      <c r="AK601" s="117">
        <f t="shared" ca="1" si="269"/>
        <v>0</v>
      </c>
      <c r="AL601" s="117">
        <f t="shared" ca="1" si="270"/>
        <v>0</v>
      </c>
      <c r="AM601" s="117">
        <f t="shared" ca="1" si="271"/>
        <v>0</v>
      </c>
      <c r="AN601" s="117">
        <f t="shared" ca="1" si="272"/>
        <v>0</v>
      </c>
      <c r="AO601" s="117">
        <f t="shared" ca="1" si="273"/>
        <v>0</v>
      </c>
      <c r="AP601" s="117">
        <f t="shared" ca="1" si="274"/>
        <v>0</v>
      </c>
      <c r="AQ601" s="117">
        <f t="shared" ca="1" si="275"/>
        <v>0</v>
      </c>
      <c r="AR601" s="117">
        <f t="shared" ca="1" si="276"/>
        <v>0</v>
      </c>
      <c r="AS601" s="117">
        <f t="shared" ca="1" si="277"/>
        <v>0</v>
      </c>
      <c r="AT601" s="117">
        <f t="shared" ca="1" si="278"/>
        <v>0</v>
      </c>
      <c r="AU601" s="117">
        <f t="shared" ca="1" si="279"/>
        <v>0</v>
      </c>
      <c r="AV601" s="117">
        <f t="shared" ca="1" si="280"/>
        <v>0</v>
      </c>
      <c r="AW601" s="117">
        <f t="shared" ca="1" si="281"/>
        <v>0</v>
      </c>
      <c r="AX601" s="117">
        <f t="shared" ca="1" si="282"/>
        <v>0</v>
      </c>
      <c r="AY601" s="117">
        <f t="shared" ca="1" si="283"/>
        <v>0</v>
      </c>
      <c r="AZ601" s="117">
        <f t="shared" ca="1" si="284"/>
        <v>0</v>
      </c>
      <c r="BA601" s="117">
        <f t="shared" ca="1" si="285"/>
        <v>0</v>
      </c>
      <c r="BB601" s="117">
        <f t="shared" ca="1" si="286"/>
        <v>0</v>
      </c>
      <c r="BC601" s="117">
        <f t="shared" ca="1" si="287"/>
        <v>0</v>
      </c>
      <c r="BD601" s="117">
        <f t="shared" ca="1" si="288"/>
        <v>0</v>
      </c>
      <c r="BE601" s="117">
        <f t="shared" ca="1" si="289"/>
        <v>0</v>
      </c>
      <c r="BF601" s="117">
        <f t="shared" ca="1" si="290"/>
        <v>0</v>
      </c>
      <c r="BG601" s="117">
        <f t="shared" ca="1" si="291"/>
        <v>0</v>
      </c>
      <c r="BH601" s="117">
        <f t="shared" ca="1" si="292"/>
        <v>0</v>
      </c>
      <c r="BI601" s="117">
        <f t="shared" ca="1" si="293"/>
        <v>0</v>
      </c>
      <c r="BJ601" s="117">
        <f t="shared" ca="1" si="294"/>
        <v>0</v>
      </c>
      <c r="BK601" s="117">
        <f t="shared" ca="1" si="295"/>
        <v>0</v>
      </c>
      <c r="BL601" s="117">
        <f t="shared" ca="1" si="296"/>
        <v>0</v>
      </c>
      <c r="BM601" s="117">
        <f t="shared" ca="1" si="297"/>
        <v>0</v>
      </c>
      <c r="BN601" s="117">
        <f t="shared" ca="1" si="298"/>
        <v>0</v>
      </c>
      <c r="BO601" s="117">
        <f t="shared" ca="1" si="299"/>
        <v>0</v>
      </c>
      <c r="BP601" s="117">
        <f t="shared" ca="1" si="300"/>
        <v>0</v>
      </c>
      <c r="BQ601" s="117">
        <f t="shared" ca="1" si="301"/>
        <v>0</v>
      </c>
      <c r="BR601" s="117">
        <f t="shared" ca="1" si="302"/>
        <v>0</v>
      </c>
      <c r="BS601" s="117">
        <f t="shared" ca="1" si="303"/>
        <v>0</v>
      </c>
      <c r="BT601" s="117">
        <f t="shared" ca="1" si="304"/>
        <v>0</v>
      </c>
      <c r="BU601" s="117">
        <f t="shared" ca="1" si="305"/>
        <v>0</v>
      </c>
      <c r="BV601" s="117">
        <f t="shared" ca="1" si="306"/>
        <v>0</v>
      </c>
      <c r="BW601" s="117">
        <f t="shared" ca="1" si="307"/>
        <v>0</v>
      </c>
      <c r="BX601" s="117">
        <f t="shared" ca="1" si="308"/>
        <v>0</v>
      </c>
      <c r="BY601" s="56">
        <f t="shared" ca="1" si="309"/>
        <v>0</v>
      </c>
      <c r="BZ601">
        <f t="shared" si="310"/>
        <v>0</v>
      </c>
      <c r="CA601">
        <f t="shared" si="310"/>
        <v>0</v>
      </c>
      <c r="CB601">
        <f t="shared" si="310"/>
        <v>0</v>
      </c>
      <c r="CC601" s="56">
        <f t="shared" ref="CC601:DH601" ca="1" si="311">IF(AND($M362&lt;=AB$384,$M362&gt;AC$384,$FN$312=1),2,IF(AND($M362&gt;=AB$384,$M362&lt;AC$384,$FN$312=1),2,IF(AND(AB$384=$M362,$FN$312=1),2,0)))</f>
        <v>0</v>
      </c>
      <c r="CD601" s="56">
        <f t="shared" ca="1" si="311"/>
        <v>0</v>
      </c>
      <c r="CE601" s="56">
        <f t="shared" ca="1" si="311"/>
        <v>0</v>
      </c>
      <c r="CF601" s="56">
        <f t="shared" ca="1" si="311"/>
        <v>0</v>
      </c>
      <c r="CG601" s="56">
        <f t="shared" ca="1" si="311"/>
        <v>0</v>
      </c>
      <c r="CH601" s="56">
        <f t="shared" ca="1" si="311"/>
        <v>0</v>
      </c>
      <c r="CI601" s="56">
        <f t="shared" ca="1" si="311"/>
        <v>0</v>
      </c>
      <c r="CJ601" s="56">
        <f t="shared" ca="1" si="311"/>
        <v>0</v>
      </c>
      <c r="CK601" s="56">
        <f t="shared" ca="1" si="311"/>
        <v>0</v>
      </c>
      <c r="CL601" s="56">
        <f t="shared" ca="1" si="311"/>
        <v>0</v>
      </c>
      <c r="CM601" s="56">
        <f t="shared" ca="1" si="311"/>
        <v>0</v>
      </c>
      <c r="CN601" s="56">
        <f t="shared" ca="1" si="311"/>
        <v>0</v>
      </c>
      <c r="CO601" s="56">
        <f t="shared" ca="1" si="311"/>
        <v>0</v>
      </c>
      <c r="CP601" s="56">
        <f t="shared" ca="1" si="311"/>
        <v>0</v>
      </c>
      <c r="CQ601" s="56">
        <f t="shared" ca="1" si="311"/>
        <v>0</v>
      </c>
      <c r="CR601" s="56">
        <f t="shared" ca="1" si="311"/>
        <v>0</v>
      </c>
      <c r="CS601" s="56">
        <f t="shared" ca="1" si="311"/>
        <v>0</v>
      </c>
      <c r="CT601" s="56">
        <f t="shared" ca="1" si="311"/>
        <v>0</v>
      </c>
      <c r="CU601" s="56">
        <f t="shared" ca="1" si="311"/>
        <v>0</v>
      </c>
      <c r="CV601" s="56">
        <f t="shared" ca="1" si="311"/>
        <v>0</v>
      </c>
      <c r="CW601" s="56">
        <f t="shared" ca="1" si="311"/>
        <v>0</v>
      </c>
      <c r="CX601" s="56">
        <f t="shared" ca="1" si="311"/>
        <v>0</v>
      </c>
      <c r="CY601" s="56">
        <f t="shared" ca="1" si="311"/>
        <v>0</v>
      </c>
      <c r="CZ601" s="56">
        <f t="shared" ca="1" si="311"/>
        <v>0</v>
      </c>
      <c r="DA601" s="56">
        <f t="shared" ca="1" si="311"/>
        <v>0</v>
      </c>
      <c r="DB601" s="56">
        <f t="shared" ca="1" si="311"/>
        <v>0</v>
      </c>
      <c r="DC601" s="56">
        <f t="shared" ca="1" si="311"/>
        <v>0</v>
      </c>
      <c r="DD601" s="56">
        <f t="shared" ca="1" si="311"/>
        <v>0</v>
      </c>
      <c r="DE601" s="56">
        <f t="shared" ca="1" si="311"/>
        <v>0</v>
      </c>
      <c r="DF601" s="56">
        <f t="shared" ca="1" si="311"/>
        <v>0</v>
      </c>
      <c r="DG601" s="56">
        <f t="shared" ca="1" si="311"/>
        <v>0</v>
      </c>
      <c r="DH601" s="56">
        <f t="shared" ca="1" si="311"/>
        <v>0</v>
      </c>
      <c r="DI601" s="56">
        <f t="shared" ref="DI601:DZ601" ca="1" si="312">IF(AND($M362&lt;=BH$384,$M362&gt;BI$384,$FN$312=1),2,IF(AND($M362&gt;=BH$384,$M362&lt;BI$384,$FN$312=1),2,IF(AND(BH$384=$M362,$FN$312=1),2,0)))</f>
        <v>0</v>
      </c>
      <c r="DJ601" s="56">
        <f t="shared" ca="1" si="312"/>
        <v>0</v>
      </c>
      <c r="DK601" s="56">
        <f t="shared" ca="1" si="312"/>
        <v>0</v>
      </c>
      <c r="DL601" s="56">
        <f t="shared" ca="1" si="312"/>
        <v>0</v>
      </c>
      <c r="DM601" s="56">
        <f t="shared" ca="1" si="312"/>
        <v>0</v>
      </c>
      <c r="DN601" s="56">
        <f t="shared" ca="1" si="312"/>
        <v>0</v>
      </c>
      <c r="DO601" s="56">
        <f t="shared" ca="1" si="312"/>
        <v>0</v>
      </c>
      <c r="DP601" s="56">
        <f t="shared" ca="1" si="312"/>
        <v>0</v>
      </c>
      <c r="DQ601" s="56">
        <f t="shared" ca="1" si="312"/>
        <v>0</v>
      </c>
      <c r="DR601" s="56">
        <f t="shared" ca="1" si="312"/>
        <v>0</v>
      </c>
      <c r="DS601" s="56">
        <f t="shared" ca="1" si="312"/>
        <v>0</v>
      </c>
      <c r="DT601" s="56">
        <f t="shared" ca="1" si="312"/>
        <v>0</v>
      </c>
      <c r="DU601" s="56">
        <f t="shared" ca="1" si="312"/>
        <v>0</v>
      </c>
      <c r="DV601" s="56">
        <f t="shared" ca="1" si="312"/>
        <v>0</v>
      </c>
      <c r="DW601" s="56">
        <f t="shared" ca="1" si="312"/>
        <v>0</v>
      </c>
      <c r="DX601" s="56">
        <f t="shared" ca="1" si="312"/>
        <v>0</v>
      </c>
      <c r="DY601" s="56">
        <f t="shared" ca="1" si="312"/>
        <v>0</v>
      </c>
      <c r="DZ601" s="56">
        <f t="shared" ca="1" si="312"/>
        <v>0</v>
      </c>
    </row>
    <row r="602" spans="28:130">
      <c r="AB602" s="117">
        <f t="shared" ca="1" si="260"/>
        <v>0</v>
      </c>
      <c r="AC602" s="117">
        <f t="shared" ca="1" si="261"/>
        <v>0</v>
      </c>
      <c r="AD602" s="117">
        <f t="shared" ca="1" si="262"/>
        <v>0</v>
      </c>
      <c r="AE602" s="117">
        <f t="shared" ca="1" si="263"/>
        <v>0</v>
      </c>
      <c r="AF602" s="117">
        <f t="shared" ca="1" si="264"/>
        <v>0</v>
      </c>
      <c r="AG602" s="117">
        <f t="shared" ca="1" si="265"/>
        <v>0</v>
      </c>
      <c r="AH602" s="117">
        <f t="shared" ca="1" si="266"/>
        <v>0</v>
      </c>
      <c r="AI602" s="117">
        <f t="shared" ca="1" si="267"/>
        <v>0</v>
      </c>
      <c r="AJ602" s="117">
        <f t="shared" ca="1" si="268"/>
        <v>0</v>
      </c>
      <c r="AK602" s="117">
        <f t="shared" ca="1" si="269"/>
        <v>0</v>
      </c>
      <c r="AL602" s="117">
        <f t="shared" ca="1" si="270"/>
        <v>0</v>
      </c>
      <c r="AM602" s="117">
        <f t="shared" ca="1" si="271"/>
        <v>0</v>
      </c>
      <c r="AN602" s="117">
        <f t="shared" ca="1" si="272"/>
        <v>0</v>
      </c>
      <c r="AO602" s="117">
        <f t="shared" ca="1" si="273"/>
        <v>0</v>
      </c>
      <c r="AP602" s="117">
        <f t="shared" ca="1" si="274"/>
        <v>0</v>
      </c>
      <c r="AQ602" s="117">
        <f t="shared" ca="1" si="275"/>
        <v>0</v>
      </c>
      <c r="AR602" s="117">
        <f t="shared" ca="1" si="276"/>
        <v>0</v>
      </c>
      <c r="AS602" s="117">
        <f t="shared" ca="1" si="277"/>
        <v>0</v>
      </c>
      <c r="AT602" s="117">
        <f t="shared" ca="1" si="278"/>
        <v>0</v>
      </c>
      <c r="AU602" s="117">
        <f t="shared" ca="1" si="279"/>
        <v>0</v>
      </c>
      <c r="AV602" s="117">
        <f t="shared" ca="1" si="280"/>
        <v>0</v>
      </c>
      <c r="AW602" s="117">
        <f t="shared" ca="1" si="281"/>
        <v>0</v>
      </c>
      <c r="AX602" s="117">
        <f t="shared" ca="1" si="282"/>
        <v>0</v>
      </c>
      <c r="AY602" s="117">
        <f t="shared" ca="1" si="283"/>
        <v>0</v>
      </c>
      <c r="AZ602" s="117">
        <f t="shared" ca="1" si="284"/>
        <v>0</v>
      </c>
      <c r="BA602" s="117">
        <f t="shared" ca="1" si="285"/>
        <v>0</v>
      </c>
      <c r="BB602" s="117">
        <f t="shared" ca="1" si="286"/>
        <v>0</v>
      </c>
      <c r="BC602" s="117">
        <f t="shared" ca="1" si="287"/>
        <v>0</v>
      </c>
      <c r="BD602" s="117">
        <f t="shared" ca="1" si="288"/>
        <v>0</v>
      </c>
      <c r="BE602" s="117">
        <f t="shared" ca="1" si="289"/>
        <v>0</v>
      </c>
      <c r="BF602" s="117">
        <f t="shared" ca="1" si="290"/>
        <v>0</v>
      </c>
      <c r="BG602" s="117">
        <f t="shared" ca="1" si="291"/>
        <v>0</v>
      </c>
      <c r="BH602" s="117">
        <f t="shared" ca="1" si="292"/>
        <v>0</v>
      </c>
      <c r="BI602" s="117">
        <f t="shared" ca="1" si="293"/>
        <v>0</v>
      </c>
      <c r="BJ602" s="117">
        <f t="shared" ca="1" si="294"/>
        <v>0</v>
      </c>
      <c r="BK602" s="117">
        <f t="shared" ca="1" si="295"/>
        <v>0</v>
      </c>
      <c r="BL602" s="117">
        <f t="shared" ca="1" si="296"/>
        <v>0</v>
      </c>
      <c r="BM602" s="117">
        <f t="shared" ca="1" si="297"/>
        <v>0</v>
      </c>
      <c r="BN602" s="117">
        <f t="shared" ca="1" si="298"/>
        <v>0</v>
      </c>
      <c r="BO602" s="117">
        <f t="shared" ca="1" si="299"/>
        <v>0</v>
      </c>
      <c r="BP602" s="117">
        <f t="shared" ca="1" si="300"/>
        <v>0</v>
      </c>
      <c r="BQ602" s="117">
        <f t="shared" ca="1" si="301"/>
        <v>0</v>
      </c>
      <c r="BR602" s="117">
        <f t="shared" ca="1" si="302"/>
        <v>0</v>
      </c>
      <c r="BS602" s="117">
        <f t="shared" ca="1" si="303"/>
        <v>0</v>
      </c>
      <c r="BT602" s="117">
        <f t="shared" ca="1" si="304"/>
        <v>0</v>
      </c>
      <c r="BU602" s="117">
        <f t="shared" ca="1" si="305"/>
        <v>0</v>
      </c>
      <c r="BV602" s="117">
        <f t="shared" ca="1" si="306"/>
        <v>0</v>
      </c>
      <c r="BW602" s="117">
        <f t="shared" ca="1" si="307"/>
        <v>0</v>
      </c>
      <c r="BX602" s="117">
        <f t="shared" ca="1" si="308"/>
        <v>0</v>
      </c>
      <c r="BY602" s="56">
        <f t="shared" ca="1" si="309"/>
        <v>0</v>
      </c>
      <c r="BZ602">
        <f t="shared" si="310"/>
        <v>0</v>
      </c>
      <c r="CA602">
        <f t="shared" si="310"/>
        <v>0</v>
      </c>
      <c r="CB602">
        <f t="shared" si="310"/>
        <v>0</v>
      </c>
      <c r="CC602" s="56">
        <f t="shared" ref="CC602:CC613" ca="1" si="313">IF(AND($M363&lt;=AB$384,$M363&gt;AC$384,$FN$312=1),2,IF(AND($M363&gt;=AB$384,$M363&lt;AC$384,$FN$312=1),2,IF(AND(AB$384=$M363,$FN$312=1),2,0)))</f>
        <v>0</v>
      </c>
      <c r="CD602" s="56">
        <f t="shared" ref="CD602:CD613" ca="1" si="314">IF(AND($M363&lt;=AC$384,$M363&gt;AD$384,$FN$312=1),2,IF(AND($M363&gt;=AC$384,$M363&lt;AD$384,$FN$312=1),2,IF(AND(AC$384=$M363,$FN$312=1),2,0)))</f>
        <v>0</v>
      </c>
      <c r="CE602" s="56">
        <f t="shared" ref="CE602:CE613" ca="1" si="315">IF(AND($M363&lt;=AD$384,$M363&gt;AE$384,$FN$312=1),2,IF(AND($M363&gt;=AD$384,$M363&lt;AE$384,$FN$312=1),2,IF(AND(AD$384=$M363,$FN$312=1),2,0)))</f>
        <v>0</v>
      </c>
      <c r="CF602" s="56">
        <f t="shared" ref="CF602:CF613" ca="1" si="316">IF(AND($M363&lt;=AE$384,$M363&gt;AF$384,$FN$312=1),2,IF(AND($M363&gt;=AE$384,$M363&lt;AF$384,$FN$312=1),2,IF(AND(AE$384=$M363,$FN$312=1),2,0)))</f>
        <v>0</v>
      </c>
      <c r="CG602" s="56">
        <f t="shared" ref="CG602:CG613" ca="1" si="317">IF(AND($M363&lt;=AF$384,$M363&gt;AG$384,$FN$312=1),2,IF(AND($M363&gt;=AF$384,$M363&lt;AG$384,$FN$312=1),2,IF(AND(AF$384=$M363,$FN$312=1),2,0)))</f>
        <v>0</v>
      </c>
      <c r="CH602" s="56">
        <f t="shared" ref="CH602:CH613" ca="1" si="318">IF(AND($M363&lt;=AG$384,$M363&gt;AH$384,$FN$312=1),2,IF(AND($M363&gt;=AG$384,$M363&lt;AH$384,$FN$312=1),2,IF(AND(AG$384=$M363,$FN$312=1),2,0)))</f>
        <v>0</v>
      </c>
      <c r="CI602" s="56">
        <f t="shared" ref="CI602:CI613" ca="1" si="319">IF(AND($M363&lt;=AH$384,$M363&gt;AI$384,$FN$312=1),2,IF(AND($M363&gt;=AH$384,$M363&lt;AI$384,$FN$312=1),2,IF(AND(AH$384=$M363,$FN$312=1),2,0)))</f>
        <v>0</v>
      </c>
      <c r="CJ602" s="56">
        <f t="shared" ref="CJ602:CJ613" ca="1" si="320">IF(AND($M363&lt;=AI$384,$M363&gt;AJ$384,$FN$312=1),2,IF(AND($M363&gt;=AI$384,$M363&lt;AJ$384,$FN$312=1),2,IF(AND(AI$384=$M363,$FN$312=1),2,0)))</f>
        <v>0</v>
      </c>
      <c r="CK602" s="56">
        <f t="shared" ref="CK602:CK613" ca="1" si="321">IF(AND($M363&lt;=AJ$384,$M363&gt;AK$384,$FN$312=1),2,IF(AND($M363&gt;=AJ$384,$M363&lt;AK$384,$FN$312=1),2,IF(AND(AJ$384=$M363,$FN$312=1),2,0)))</f>
        <v>0</v>
      </c>
      <c r="CL602" s="56">
        <f t="shared" ref="CL602:CL613" ca="1" si="322">IF(AND($M363&lt;=AK$384,$M363&gt;AL$384,$FN$312=1),2,IF(AND($M363&gt;=AK$384,$M363&lt;AL$384,$FN$312=1),2,IF(AND(AK$384=$M363,$FN$312=1),2,0)))</f>
        <v>0</v>
      </c>
      <c r="CM602" s="56">
        <f t="shared" ref="CM602:CM613" ca="1" si="323">IF(AND($M363&lt;=AL$384,$M363&gt;AM$384,$FN$312=1),2,IF(AND($M363&gt;=AL$384,$M363&lt;AM$384,$FN$312=1),2,IF(AND(AL$384=$M363,$FN$312=1),2,0)))</f>
        <v>0</v>
      </c>
      <c r="CN602" s="56">
        <f t="shared" ref="CN602:CN613" ca="1" si="324">IF(AND($M363&lt;=AM$384,$M363&gt;AN$384,$FN$312=1),2,IF(AND($M363&gt;=AM$384,$M363&lt;AN$384,$FN$312=1),2,IF(AND(AM$384=$M363,$FN$312=1),2,0)))</f>
        <v>0</v>
      </c>
      <c r="CO602" s="56">
        <f t="shared" ref="CO602:CO613" ca="1" si="325">IF(AND($M363&lt;=AN$384,$M363&gt;AO$384,$FN$312=1),2,IF(AND($M363&gt;=AN$384,$M363&lt;AO$384,$FN$312=1),2,IF(AND(AN$384=$M363,$FN$312=1),2,0)))</f>
        <v>0</v>
      </c>
      <c r="CP602" s="56">
        <f t="shared" ref="CP602:CP613" ca="1" si="326">IF(AND($M363&lt;=AO$384,$M363&gt;AP$384,$FN$312=1),2,IF(AND($M363&gt;=AO$384,$M363&lt;AP$384,$FN$312=1),2,IF(AND(AO$384=$M363,$FN$312=1),2,0)))</f>
        <v>0</v>
      </c>
      <c r="CQ602" s="56">
        <f t="shared" ref="CQ602:CQ613" ca="1" si="327">IF(AND($M363&lt;=AP$384,$M363&gt;AQ$384,$FN$312=1),2,IF(AND($M363&gt;=AP$384,$M363&lt;AQ$384,$FN$312=1),2,IF(AND(AP$384=$M363,$FN$312=1),2,0)))</f>
        <v>0</v>
      </c>
      <c r="CR602" s="56">
        <f t="shared" ref="CR602:DA603" ca="1" si="328">IF(AND($M363&lt;=AQ$384,$M363&gt;AR$384,$FN$312=1),2,IF(AND($M363&gt;=AQ$384,$M363&lt;AR$384,$FN$312=1),2,IF(AND(AQ$384=$M363,$FN$312=1),2,0)))</f>
        <v>0</v>
      </c>
      <c r="CS602" s="56">
        <f t="shared" ca="1" si="328"/>
        <v>0</v>
      </c>
      <c r="CT602" s="56">
        <f t="shared" ca="1" si="328"/>
        <v>0</v>
      </c>
      <c r="CU602" s="56">
        <f t="shared" ca="1" si="328"/>
        <v>0</v>
      </c>
      <c r="CV602" s="56">
        <f t="shared" ca="1" si="328"/>
        <v>0</v>
      </c>
      <c r="CW602" s="56">
        <f t="shared" ca="1" si="328"/>
        <v>0</v>
      </c>
      <c r="CX602" s="56">
        <f t="shared" ca="1" si="328"/>
        <v>0</v>
      </c>
      <c r="CY602" s="56">
        <f t="shared" ca="1" si="328"/>
        <v>0</v>
      </c>
      <c r="CZ602" s="56">
        <f t="shared" ca="1" si="328"/>
        <v>0</v>
      </c>
      <c r="DA602" s="56">
        <f t="shared" ca="1" si="328"/>
        <v>0</v>
      </c>
      <c r="DB602" s="56">
        <f t="shared" ref="DB602:DK603" ca="1" si="329">IF(AND($M363&lt;=BA$384,$M363&gt;BB$384,$FN$312=1),2,IF(AND($M363&gt;=BA$384,$M363&lt;BB$384,$FN$312=1),2,IF(AND(BA$384=$M363,$FN$312=1),2,0)))</f>
        <v>0</v>
      </c>
      <c r="DC602" s="56">
        <f t="shared" ca="1" si="329"/>
        <v>0</v>
      </c>
      <c r="DD602" s="56">
        <f t="shared" ca="1" si="329"/>
        <v>0</v>
      </c>
      <c r="DE602" s="56">
        <f t="shared" ca="1" si="329"/>
        <v>0</v>
      </c>
      <c r="DF602" s="56">
        <f t="shared" ca="1" si="329"/>
        <v>0</v>
      </c>
      <c r="DG602" s="56">
        <f t="shared" ca="1" si="329"/>
        <v>0</v>
      </c>
      <c r="DH602" s="56">
        <f t="shared" ca="1" si="329"/>
        <v>0</v>
      </c>
      <c r="DI602" s="56">
        <f t="shared" ca="1" si="329"/>
        <v>0</v>
      </c>
      <c r="DJ602" s="56">
        <f t="shared" ca="1" si="329"/>
        <v>0</v>
      </c>
      <c r="DK602" s="56">
        <f t="shared" ca="1" si="329"/>
        <v>0</v>
      </c>
      <c r="DL602" s="56">
        <f t="shared" ref="DL602:DU603" ca="1" si="330">IF(AND($M363&lt;=BK$384,$M363&gt;BL$384,$FN$312=1),2,IF(AND($M363&gt;=BK$384,$M363&lt;BL$384,$FN$312=1),2,IF(AND(BK$384=$M363,$FN$312=1),2,0)))</f>
        <v>0</v>
      </c>
      <c r="DM602" s="56">
        <f t="shared" ca="1" si="330"/>
        <v>0</v>
      </c>
      <c r="DN602" s="56">
        <f t="shared" ca="1" si="330"/>
        <v>0</v>
      </c>
      <c r="DO602" s="56">
        <f t="shared" ca="1" si="330"/>
        <v>0</v>
      </c>
      <c r="DP602" s="56">
        <f t="shared" ca="1" si="330"/>
        <v>0</v>
      </c>
      <c r="DQ602" s="56">
        <f t="shared" ca="1" si="330"/>
        <v>0</v>
      </c>
      <c r="DR602" s="56">
        <f t="shared" ca="1" si="330"/>
        <v>0</v>
      </c>
      <c r="DS602" s="56">
        <f t="shared" ca="1" si="330"/>
        <v>0</v>
      </c>
      <c r="DT602" s="56">
        <f t="shared" ca="1" si="330"/>
        <v>0</v>
      </c>
      <c r="DU602" s="56">
        <f t="shared" ca="1" si="330"/>
        <v>0</v>
      </c>
      <c r="DV602" s="56">
        <f t="shared" ref="DV602:DZ603" ca="1" si="331">IF(AND($M363&lt;=BU$384,$M363&gt;BV$384,$FN$312=1),2,IF(AND($M363&gt;=BU$384,$M363&lt;BV$384,$FN$312=1),2,IF(AND(BU$384=$M363,$FN$312=1),2,0)))</f>
        <v>0</v>
      </c>
      <c r="DW602" s="56">
        <f t="shared" ca="1" si="331"/>
        <v>0</v>
      </c>
      <c r="DX602" s="56">
        <f t="shared" ca="1" si="331"/>
        <v>0</v>
      </c>
      <c r="DY602" s="56">
        <f t="shared" ca="1" si="331"/>
        <v>0</v>
      </c>
      <c r="DZ602" s="56">
        <f t="shared" ca="1" si="331"/>
        <v>0</v>
      </c>
    </row>
    <row r="603" spans="28:130">
      <c r="AB603" s="117">
        <f t="shared" ca="1" si="260"/>
        <v>0</v>
      </c>
      <c r="AC603" s="117">
        <f t="shared" ca="1" si="261"/>
        <v>0</v>
      </c>
      <c r="AD603" s="117">
        <f t="shared" ca="1" si="262"/>
        <v>0</v>
      </c>
      <c r="AE603" s="117">
        <f t="shared" ca="1" si="263"/>
        <v>0</v>
      </c>
      <c r="AF603" s="117">
        <f t="shared" ca="1" si="264"/>
        <v>0</v>
      </c>
      <c r="AG603" s="117">
        <f t="shared" ca="1" si="265"/>
        <v>0</v>
      </c>
      <c r="AH603" s="117">
        <f t="shared" ca="1" si="266"/>
        <v>0</v>
      </c>
      <c r="AI603" s="117">
        <f t="shared" ca="1" si="267"/>
        <v>0</v>
      </c>
      <c r="AJ603" s="117">
        <f t="shared" ca="1" si="268"/>
        <v>0</v>
      </c>
      <c r="AK603" s="117">
        <f t="shared" ca="1" si="269"/>
        <v>0</v>
      </c>
      <c r="AL603" s="117">
        <f t="shared" ca="1" si="270"/>
        <v>0</v>
      </c>
      <c r="AM603" s="117">
        <f t="shared" ca="1" si="271"/>
        <v>0</v>
      </c>
      <c r="AN603" s="117">
        <f t="shared" ca="1" si="272"/>
        <v>0</v>
      </c>
      <c r="AO603" s="117">
        <f t="shared" ca="1" si="273"/>
        <v>0</v>
      </c>
      <c r="AP603" s="117">
        <f t="shared" ca="1" si="274"/>
        <v>0</v>
      </c>
      <c r="AQ603" s="117">
        <f t="shared" ca="1" si="275"/>
        <v>0</v>
      </c>
      <c r="AR603" s="117">
        <f t="shared" ca="1" si="276"/>
        <v>0</v>
      </c>
      <c r="AS603" s="117">
        <f t="shared" ca="1" si="277"/>
        <v>0</v>
      </c>
      <c r="AT603" s="117">
        <f t="shared" ca="1" si="278"/>
        <v>0</v>
      </c>
      <c r="AU603" s="117">
        <f t="shared" ca="1" si="279"/>
        <v>0</v>
      </c>
      <c r="AV603" s="117">
        <f t="shared" ca="1" si="280"/>
        <v>0</v>
      </c>
      <c r="AW603" s="117">
        <f t="shared" ca="1" si="281"/>
        <v>0</v>
      </c>
      <c r="AX603" s="117">
        <f t="shared" ca="1" si="282"/>
        <v>0</v>
      </c>
      <c r="AY603" s="117">
        <f t="shared" ca="1" si="283"/>
        <v>0</v>
      </c>
      <c r="AZ603" s="117">
        <f t="shared" ca="1" si="284"/>
        <v>0</v>
      </c>
      <c r="BA603" s="117">
        <f t="shared" ca="1" si="285"/>
        <v>0</v>
      </c>
      <c r="BB603" s="117">
        <f t="shared" ca="1" si="286"/>
        <v>0</v>
      </c>
      <c r="BC603" s="117">
        <f t="shared" ca="1" si="287"/>
        <v>0</v>
      </c>
      <c r="BD603" s="117">
        <f t="shared" ca="1" si="288"/>
        <v>0</v>
      </c>
      <c r="BE603" s="117">
        <f t="shared" ca="1" si="289"/>
        <v>0</v>
      </c>
      <c r="BF603" s="117">
        <f t="shared" ca="1" si="290"/>
        <v>0</v>
      </c>
      <c r="BG603" s="117">
        <f t="shared" ca="1" si="291"/>
        <v>0</v>
      </c>
      <c r="BH603" s="117">
        <f t="shared" ca="1" si="292"/>
        <v>0</v>
      </c>
      <c r="BI603" s="117">
        <f t="shared" ca="1" si="293"/>
        <v>0</v>
      </c>
      <c r="BJ603" s="117">
        <f t="shared" ca="1" si="294"/>
        <v>0</v>
      </c>
      <c r="BK603" s="117">
        <f t="shared" ca="1" si="295"/>
        <v>0</v>
      </c>
      <c r="BL603" s="117">
        <f t="shared" ca="1" si="296"/>
        <v>0</v>
      </c>
      <c r="BM603" s="117">
        <f t="shared" ca="1" si="297"/>
        <v>0</v>
      </c>
      <c r="BN603" s="117">
        <f t="shared" ca="1" si="298"/>
        <v>0</v>
      </c>
      <c r="BO603" s="117">
        <f t="shared" ca="1" si="299"/>
        <v>0</v>
      </c>
      <c r="BP603" s="117">
        <f t="shared" ca="1" si="300"/>
        <v>0</v>
      </c>
      <c r="BQ603" s="117">
        <f t="shared" ca="1" si="301"/>
        <v>0</v>
      </c>
      <c r="BR603" s="117">
        <f t="shared" ca="1" si="302"/>
        <v>0</v>
      </c>
      <c r="BS603" s="117">
        <f t="shared" ca="1" si="303"/>
        <v>0</v>
      </c>
      <c r="BT603" s="117">
        <f t="shared" ca="1" si="304"/>
        <v>0</v>
      </c>
      <c r="BU603" s="117">
        <f t="shared" ca="1" si="305"/>
        <v>0</v>
      </c>
      <c r="BV603" s="117">
        <f t="shared" ca="1" si="306"/>
        <v>0</v>
      </c>
      <c r="BW603" s="117">
        <f t="shared" ca="1" si="307"/>
        <v>0</v>
      </c>
      <c r="BX603" s="117">
        <f t="shared" ca="1" si="308"/>
        <v>0</v>
      </c>
      <c r="BY603" s="56">
        <f t="shared" ca="1" si="309"/>
        <v>0</v>
      </c>
      <c r="BZ603">
        <f t="shared" si="310"/>
        <v>0</v>
      </c>
      <c r="CA603">
        <f t="shared" si="310"/>
        <v>0</v>
      </c>
      <c r="CB603">
        <f t="shared" si="310"/>
        <v>0</v>
      </c>
      <c r="CC603" s="56">
        <f t="shared" ca="1" si="313"/>
        <v>0</v>
      </c>
      <c r="CD603" s="56">
        <f t="shared" ca="1" si="314"/>
        <v>0</v>
      </c>
      <c r="CE603" s="56">
        <f t="shared" ca="1" si="315"/>
        <v>0</v>
      </c>
      <c r="CF603" s="56">
        <f t="shared" ca="1" si="316"/>
        <v>0</v>
      </c>
      <c r="CG603" s="56">
        <f t="shared" ca="1" si="317"/>
        <v>0</v>
      </c>
      <c r="CH603" s="56">
        <f t="shared" ca="1" si="318"/>
        <v>0</v>
      </c>
      <c r="CI603" s="56">
        <f t="shared" ca="1" si="319"/>
        <v>0</v>
      </c>
      <c r="CJ603" s="56">
        <f t="shared" ca="1" si="320"/>
        <v>0</v>
      </c>
      <c r="CK603" s="56">
        <f t="shared" ca="1" si="321"/>
        <v>0</v>
      </c>
      <c r="CL603" s="56">
        <f t="shared" ca="1" si="322"/>
        <v>0</v>
      </c>
      <c r="CM603" s="56">
        <f t="shared" ca="1" si="323"/>
        <v>0</v>
      </c>
      <c r="CN603" s="56">
        <f t="shared" ca="1" si="324"/>
        <v>0</v>
      </c>
      <c r="CO603" s="56">
        <f t="shared" ca="1" si="325"/>
        <v>0</v>
      </c>
      <c r="CP603" s="56">
        <f t="shared" ca="1" si="326"/>
        <v>0</v>
      </c>
      <c r="CQ603" s="56">
        <f t="shared" ca="1" si="327"/>
        <v>0</v>
      </c>
      <c r="CR603" s="56">
        <f t="shared" ca="1" si="328"/>
        <v>0</v>
      </c>
      <c r="CS603" s="56">
        <f t="shared" ca="1" si="328"/>
        <v>0</v>
      </c>
      <c r="CT603" s="56">
        <f t="shared" ca="1" si="328"/>
        <v>0</v>
      </c>
      <c r="CU603" s="56">
        <f t="shared" ca="1" si="328"/>
        <v>0</v>
      </c>
      <c r="CV603" s="56">
        <f t="shared" ca="1" si="328"/>
        <v>0</v>
      </c>
      <c r="CW603" s="56">
        <f t="shared" ca="1" si="328"/>
        <v>0</v>
      </c>
      <c r="CX603" s="56">
        <f t="shared" ca="1" si="328"/>
        <v>0</v>
      </c>
      <c r="CY603" s="56">
        <f t="shared" ca="1" si="328"/>
        <v>0</v>
      </c>
      <c r="CZ603" s="56">
        <f t="shared" ca="1" si="328"/>
        <v>0</v>
      </c>
      <c r="DA603" s="56">
        <f t="shared" ca="1" si="328"/>
        <v>0</v>
      </c>
      <c r="DB603" s="56">
        <f t="shared" ca="1" si="329"/>
        <v>0</v>
      </c>
      <c r="DC603" s="56">
        <f t="shared" ca="1" si="329"/>
        <v>0</v>
      </c>
      <c r="DD603" s="56">
        <f t="shared" ca="1" si="329"/>
        <v>0</v>
      </c>
      <c r="DE603" s="56">
        <f t="shared" ca="1" si="329"/>
        <v>0</v>
      </c>
      <c r="DF603" s="56">
        <f t="shared" ca="1" si="329"/>
        <v>0</v>
      </c>
      <c r="DG603" s="56">
        <f t="shared" ca="1" si="329"/>
        <v>0</v>
      </c>
      <c r="DH603" s="56">
        <f t="shared" ca="1" si="329"/>
        <v>0</v>
      </c>
      <c r="DI603" s="56">
        <f t="shared" ca="1" si="329"/>
        <v>0</v>
      </c>
      <c r="DJ603" s="56">
        <f t="shared" ca="1" si="329"/>
        <v>0</v>
      </c>
      <c r="DK603" s="56">
        <f t="shared" ca="1" si="329"/>
        <v>0</v>
      </c>
      <c r="DL603" s="56">
        <f t="shared" ca="1" si="330"/>
        <v>0</v>
      </c>
      <c r="DM603" s="56">
        <f t="shared" ca="1" si="330"/>
        <v>0</v>
      </c>
      <c r="DN603" s="56">
        <f t="shared" ca="1" si="330"/>
        <v>0</v>
      </c>
      <c r="DO603" s="56">
        <f t="shared" ca="1" si="330"/>
        <v>0</v>
      </c>
      <c r="DP603" s="56">
        <f t="shared" ca="1" si="330"/>
        <v>0</v>
      </c>
      <c r="DQ603" s="56">
        <f t="shared" ca="1" si="330"/>
        <v>0</v>
      </c>
      <c r="DR603" s="56">
        <f t="shared" ca="1" si="330"/>
        <v>0</v>
      </c>
      <c r="DS603" s="56">
        <f t="shared" ca="1" si="330"/>
        <v>0</v>
      </c>
      <c r="DT603" s="56">
        <f t="shared" ca="1" si="330"/>
        <v>0</v>
      </c>
      <c r="DU603" s="56">
        <f t="shared" ca="1" si="330"/>
        <v>0</v>
      </c>
      <c r="DV603" s="56">
        <f t="shared" ca="1" si="331"/>
        <v>0</v>
      </c>
      <c r="DW603" s="56">
        <f t="shared" ca="1" si="331"/>
        <v>0</v>
      </c>
      <c r="DX603" s="56">
        <f t="shared" ca="1" si="331"/>
        <v>0</v>
      </c>
      <c r="DY603" s="56">
        <f t="shared" ca="1" si="331"/>
        <v>0</v>
      </c>
      <c r="DZ603" s="56">
        <f t="shared" ca="1" si="331"/>
        <v>0</v>
      </c>
    </row>
    <row r="604" spans="28:130">
      <c r="AB604" s="117">
        <f t="shared" ca="1" si="260"/>
        <v>0</v>
      </c>
      <c r="AC604" s="117">
        <f t="shared" ca="1" si="261"/>
        <v>0</v>
      </c>
      <c r="AD604" s="117">
        <f t="shared" ca="1" si="262"/>
        <v>0</v>
      </c>
      <c r="AE604" s="117">
        <f t="shared" ca="1" si="263"/>
        <v>0</v>
      </c>
      <c r="AF604" s="117">
        <f t="shared" ca="1" si="264"/>
        <v>0</v>
      </c>
      <c r="AG604" s="117">
        <f t="shared" ca="1" si="265"/>
        <v>0</v>
      </c>
      <c r="AH604" s="117">
        <f t="shared" ca="1" si="266"/>
        <v>0</v>
      </c>
      <c r="AI604" s="117">
        <f t="shared" ca="1" si="267"/>
        <v>0</v>
      </c>
      <c r="AJ604" s="117">
        <f t="shared" ca="1" si="268"/>
        <v>0</v>
      </c>
      <c r="AK604" s="117">
        <f t="shared" ca="1" si="269"/>
        <v>0</v>
      </c>
      <c r="AL604" s="117">
        <f t="shared" ca="1" si="270"/>
        <v>0</v>
      </c>
      <c r="AM604" s="117">
        <f t="shared" ca="1" si="271"/>
        <v>0</v>
      </c>
      <c r="AN604" s="117">
        <f t="shared" ca="1" si="272"/>
        <v>0</v>
      </c>
      <c r="AO604" s="117">
        <f t="shared" ca="1" si="273"/>
        <v>0</v>
      </c>
      <c r="AP604" s="117">
        <f t="shared" ca="1" si="274"/>
        <v>0</v>
      </c>
      <c r="AQ604" s="117">
        <f t="shared" ca="1" si="275"/>
        <v>0</v>
      </c>
      <c r="AR604" s="117">
        <f t="shared" ca="1" si="276"/>
        <v>0</v>
      </c>
      <c r="AS604" s="117">
        <f t="shared" ca="1" si="277"/>
        <v>0</v>
      </c>
      <c r="AT604" s="117">
        <f t="shared" ca="1" si="278"/>
        <v>0</v>
      </c>
      <c r="AU604" s="117">
        <f t="shared" ca="1" si="279"/>
        <v>0</v>
      </c>
      <c r="AV604" s="117">
        <f t="shared" ca="1" si="280"/>
        <v>0</v>
      </c>
      <c r="AW604" s="117">
        <f t="shared" ca="1" si="281"/>
        <v>0</v>
      </c>
      <c r="AX604" s="117">
        <f t="shared" ca="1" si="282"/>
        <v>0</v>
      </c>
      <c r="AY604" s="117">
        <f t="shared" ca="1" si="283"/>
        <v>0</v>
      </c>
      <c r="AZ604" s="117">
        <f t="shared" ca="1" si="284"/>
        <v>0</v>
      </c>
      <c r="BA604" s="117">
        <f t="shared" ca="1" si="285"/>
        <v>0</v>
      </c>
      <c r="BB604" s="117">
        <f t="shared" ca="1" si="286"/>
        <v>0</v>
      </c>
      <c r="BC604" s="117">
        <f t="shared" ca="1" si="287"/>
        <v>0</v>
      </c>
      <c r="BD604" s="117">
        <f t="shared" ca="1" si="288"/>
        <v>0</v>
      </c>
      <c r="BE604" s="117">
        <f t="shared" ca="1" si="289"/>
        <v>0</v>
      </c>
      <c r="BF604" s="117">
        <f t="shared" ca="1" si="290"/>
        <v>0</v>
      </c>
      <c r="BG604" s="117">
        <f t="shared" ca="1" si="291"/>
        <v>0</v>
      </c>
      <c r="BH604" s="117">
        <f t="shared" ca="1" si="292"/>
        <v>0</v>
      </c>
      <c r="BI604" s="117">
        <f t="shared" ca="1" si="293"/>
        <v>0</v>
      </c>
      <c r="BJ604" s="117">
        <f t="shared" ca="1" si="294"/>
        <v>0</v>
      </c>
      <c r="BK604" s="117">
        <f t="shared" ca="1" si="295"/>
        <v>0</v>
      </c>
      <c r="BL604" s="117">
        <f t="shared" ca="1" si="296"/>
        <v>0</v>
      </c>
      <c r="BM604" s="117">
        <f t="shared" ca="1" si="297"/>
        <v>0</v>
      </c>
      <c r="BN604" s="117">
        <f t="shared" ca="1" si="298"/>
        <v>0</v>
      </c>
      <c r="BO604" s="117">
        <f t="shared" ca="1" si="299"/>
        <v>0</v>
      </c>
      <c r="BP604" s="117">
        <f t="shared" ca="1" si="300"/>
        <v>0</v>
      </c>
      <c r="BQ604" s="117">
        <f t="shared" ca="1" si="301"/>
        <v>0</v>
      </c>
      <c r="BR604" s="117">
        <f t="shared" ca="1" si="302"/>
        <v>0</v>
      </c>
      <c r="BS604" s="117">
        <f t="shared" ca="1" si="303"/>
        <v>0</v>
      </c>
      <c r="BT604" s="117">
        <f t="shared" ca="1" si="304"/>
        <v>0</v>
      </c>
      <c r="BU604" s="117">
        <f t="shared" ca="1" si="305"/>
        <v>0</v>
      </c>
      <c r="BV604" s="117">
        <f t="shared" ca="1" si="306"/>
        <v>0</v>
      </c>
      <c r="BW604" s="117">
        <f t="shared" ca="1" si="307"/>
        <v>0</v>
      </c>
      <c r="BX604" s="117">
        <f t="shared" ca="1" si="308"/>
        <v>0</v>
      </c>
      <c r="BY604" s="56">
        <f t="shared" ca="1" si="309"/>
        <v>0</v>
      </c>
      <c r="BZ604">
        <f t="shared" si="310"/>
        <v>0</v>
      </c>
      <c r="CA604">
        <f t="shared" si="310"/>
        <v>0</v>
      </c>
      <c r="CB604">
        <f t="shared" si="310"/>
        <v>0</v>
      </c>
      <c r="CC604" s="56">
        <f t="shared" ca="1" si="313"/>
        <v>0</v>
      </c>
      <c r="CD604" s="56">
        <f t="shared" ca="1" si="314"/>
        <v>0</v>
      </c>
      <c r="CE604" s="56">
        <f t="shared" ca="1" si="315"/>
        <v>0</v>
      </c>
      <c r="CF604" s="56">
        <f t="shared" ca="1" si="316"/>
        <v>0</v>
      </c>
      <c r="CG604" s="56">
        <f t="shared" ca="1" si="317"/>
        <v>0</v>
      </c>
      <c r="CH604" s="56">
        <f t="shared" ca="1" si="318"/>
        <v>0</v>
      </c>
      <c r="CI604" s="56">
        <f t="shared" ca="1" si="319"/>
        <v>0</v>
      </c>
      <c r="CJ604" s="56">
        <f t="shared" ca="1" si="320"/>
        <v>0</v>
      </c>
      <c r="CK604" s="56">
        <f t="shared" ca="1" si="321"/>
        <v>0</v>
      </c>
      <c r="CL604" s="56">
        <f t="shared" ca="1" si="322"/>
        <v>0</v>
      </c>
      <c r="CM604" s="56">
        <f t="shared" ca="1" si="323"/>
        <v>0</v>
      </c>
      <c r="CN604" s="56">
        <f t="shared" ca="1" si="324"/>
        <v>0</v>
      </c>
      <c r="CO604" s="56">
        <f t="shared" ca="1" si="325"/>
        <v>0</v>
      </c>
      <c r="CP604" s="56">
        <f t="shared" ca="1" si="326"/>
        <v>0</v>
      </c>
      <c r="CQ604" s="56">
        <f t="shared" ca="1" si="327"/>
        <v>0</v>
      </c>
      <c r="CR604" s="56">
        <f t="shared" ref="CR604:CR613" ca="1" si="332">IF(AND($M365&lt;=AQ$384,$M365&gt;AR$384,$FN$312=1),2,IF(AND($M365&gt;=AQ$384,$M365&lt;AR$384,$FN$312=1),2,IF(AND(AQ$384=$M365,$FN$312=1),2,0)))</f>
        <v>0</v>
      </c>
      <c r="CS604" s="56">
        <f t="shared" ref="CS604:DH604" ca="1" si="333">IF(AND($M365&lt;=AR$384,$M365&gt;AS$384,$FN$312=1),2,IF(AND($M365&gt;=AR$384,$M365&lt;AS$384,$FN$312=1),2,IF(AND(AR$384=$M365,$FN$312=1),2,0)))</f>
        <v>0</v>
      </c>
      <c r="CT604" s="56">
        <f t="shared" ca="1" si="333"/>
        <v>0</v>
      </c>
      <c r="CU604" s="56">
        <f t="shared" ca="1" si="333"/>
        <v>0</v>
      </c>
      <c r="CV604" s="56">
        <f t="shared" ca="1" si="333"/>
        <v>0</v>
      </c>
      <c r="CW604" s="56">
        <f t="shared" ca="1" si="333"/>
        <v>0</v>
      </c>
      <c r="CX604" s="56">
        <f t="shared" ca="1" si="333"/>
        <v>0</v>
      </c>
      <c r="CY604" s="56">
        <f t="shared" ca="1" si="333"/>
        <v>0</v>
      </c>
      <c r="CZ604" s="56">
        <f t="shared" ca="1" si="333"/>
        <v>0</v>
      </c>
      <c r="DA604" s="56">
        <f t="shared" ca="1" si="333"/>
        <v>0</v>
      </c>
      <c r="DB604" s="56">
        <f t="shared" ca="1" si="333"/>
        <v>0</v>
      </c>
      <c r="DC604" s="56">
        <f t="shared" ca="1" si="333"/>
        <v>0</v>
      </c>
      <c r="DD604" s="56">
        <f t="shared" ca="1" si="333"/>
        <v>0</v>
      </c>
      <c r="DE604" s="56">
        <f t="shared" ca="1" si="333"/>
        <v>0</v>
      </c>
      <c r="DF604" s="56">
        <f t="shared" ca="1" si="333"/>
        <v>0</v>
      </c>
      <c r="DG604" s="56">
        <f t="shared" ca="1" si="333"/>
        <v>0</v>
      </c>
      <c r="DH604" s="56">
        <f t="shared" ca="1" si="333"/>
        <v>0</v>
      </c>
      <c r="DI604" s="56">
        <f t="shared" ref="DI604:DI613" ca="1" si="334">IF(AND($M365&lt;=BH$384,$M365&gt;BI$384,$FN$312=1),2,IF(AND($M365&gt;=BH$384,$M365&lt;BI$384,$FN$312=1),2,IF(AND(BH$384=$M365,$FN$312=1),2,0)))</f>
        <v>0</v>
      </c>
      <c r="DJ604" s="56">
        <f t="shared" ref="DJ604:DJ613" ca="1" si="335">IF(AND($M365&lt;=BI$384,$M365&gt;BJ$384,$FN$312=1),2,IF(AND($M365&gt;=BI$384,$M365&lt;BJ$384,$FN$312=1),2,IF(AND(BI$384=$M365,$FN$312=1),2,0)))</f>
        <v>0</v>
      </c>
      <c r="DK604" s="56">
        <f t="shared" ref="DK604:DK613" ca="1" si="336">IF(AND($M365&lt;=BJ$384,$M365&gt;BK$384,$FN$312=1),2,IF(AND($M365&gt;=BJ$384,$M365&lt;BK$384,$FN$312=1),2,IF(AND(BJ$384=$M365,$FN$312=1),2,0)))</f>
        <v>0</v>
      </c>
      <c r="DL604" s="56">
        <f t="shared" ref="DL604:DL613" ca="1" si="337">IF(AND($M365&lt;=BK$384,$M365&gt;BL$384,$FN$312=1),2,IF(AND($M365&gt;=BK$384,$M365&lt;BL$384,$FN$312=1),2,IF(AND(BK$384=$M365,$FN$312=1),2,0)))</f>
        <v>0</v>
      </c>
      <c r="DM604" s="56">
        <f t="shared" ref="DM604:DM613" ca="1" si="338">IF(AND($M365&lt;=BL$384,$M365&gt;BM$384,$FN$312=1),2,IF(AND($M365&gt;=BL$384,$M365&lt;BM$384,$FN$312=1),2,IF(AND(BL$384=$M365,$FN$312=1),2,0)))</f>
        <v>0</v>
      </c>
      <c r="DN604" s="56">
        <f t="shared" ref="DN604:DN613" ca="1" si="339">IF(AND($M365&lt;=BM$384,$M365&gt;BN$384,$FN$312=1),2,IF(AND($M365&gt;=BM$384,$M365&lt;BN$384,$FN$312=1),2,IF(AND(BM$384=$M365,$FN$312=1),2,0)))</f>
        <v>0</v>
      </c>
      <c r="DO604" s="56">
        <f t="shared" ref="DO604:DO613" ca="1" si="340">IF(AND($M365&lt;=BN$384,$M365&gt;BO$384,$FN$312=1),2,IF(AND($M365&gt;=BN$384,$M365&lt;BO$384,$FN$312=1),2,IF(AND(BN$384=$M365,$FN$312=1),2,0)))</f>
        <v>0</v>
      </c>
      <c r="DP604" s="56">
        <f t="shared" ref="DP604:DP613" ca="1" si="341">IF(AND($M365&lt;=BO$384,$M365&gt;BP$384,$FN$312=1),2,IF(AND($M365&gt;=BO$384,$M365&lt;BP$384,$FN$312=1),2,IF(AND(BO$384=$M365,$FN$312=1),2,0)))</f>
        <v>0</v>
      </c>
      <c r="DQ604" s="56">
        <f t="shared" ref="DQ604:DQ613" ca="1" si="342">IF(AND($M365&lt;=BP$384,$M365&gt;BQ$384,$FN$312=1),2,IF(AND($M365&gt;=BP$384,$M365&lt;BQ$384,$FN$312=1),2,IF(AND(BP$384=$M365,$FN$312=1),2,0)))</f>
        <v>0</v>
      </c>
      <c r="DR604" s="56">
        <f t="shared" ref="DR604:DR613" ca="1" si="343">IF(AND($M365&lt;=BQ$384,$M365&gt;BR$384,$FN$312=1),2,IF(AND($M365&gt;=BQ$384,$M365&lt;BR$384,$FN$312=1),2,IF(AND(BQ$384=$M365,$FN$312=1),2,0)))</f>
        <v>0</v>
      </c>
      <c r="DS604" s="56">
        <f t="shared" ref="DS604:DS613" ca="1" si="344">IF(AND($M365&lt;=BR$384,$M365&gt;BS$384,$FN$312=1),2,IF(AND($M365&gt;=BR$384,$M365&lt;BS$384,$FN$312=1),2,IF(AND(BR$384=$M365,$FN$312=1),2,0)))</f>
        <v>0</v>
      </c>
      <c r="DT604" s="56">
        <f t="shared" ref="DT604:DT613" ca="1" si="345">IF(AND($M365&lt;=BS$384,$M365&gt;BT$384,$FN$312=1),2,IF(AND($M365&gt;=BS$384,$M365&lt;BT$384,$FN$312=1),2,IF(AND(BS$384=$M365,$FN$312=1),2,0)))</f>
        <v>0</v>
      </c>
      <c r="DU604" s="56">
        <f t="shared" ref="DU604:DU613" ca="1" si="346">IF(AND($M365&lt;=BT$384,$M365&gt;BU$384,$FN$312=1),2,IF(AND($M365&gt;=BT$384,$M365&lt;BU$384,$FN$312=1),2,IF(AND(BT$384=$M365,$FN$312=1),2,0)))</f>
        <v>0</v>
      </c>
      <c r="DV604" s="56">
        <f t="shared" ref="DV604:DV613" ca="1" si="347">IF(AND($M365&lt;=BU$384,$M365&gt;BV$384,$FN$312=1),2,IF(AND($M365&gt;=BU$384,$M365&lt;BV$384,$FN$312=1),2,IF(AND(BU$384=$M365,$FN$312=1),2,0)))</f>
        <v>0</v>
      </c>
      <c r="DW604" s="56">
        <f t="shared" ref="DW604:DW613" ca="1" si="348">IF(AND($M365&lt;=BV$384,$M365&gt;BW$384,$FN$312=1),2,IF(AND($M365&gt;=BV$384,$M365&lt;BW$384,$FN$312=1),2,IF(AND(BV$384=$M365,$FN$312=1),2,0)))</f>
        <v>0</v>
      </c>
      <c r="DX604" s="56">
        <f t="shared" ref="DX604:DX613" ca="1" si="349">IF(AND($M365&lt;=BW$384,$M365&gt;BX$384,$FN$312=1),2,IF(AND($M365&gt;=BW$384,$M365&lt;BX$384,$FN$312=1),2,IF(AND(BW$384=$M365,$FN$312=1),2,0)))</f>
        <v>0</v>
      </c>
      <c r="DY604" s="56">
        <f t="shared" ref="DY604:DY613" ca="1" si="350">IF(AND($M365&lt;=BX$384,$M365&gt;BY$384,$FN$312=1),2,IF(AND($M365&gt;=BX$384,$M365&lt;BY$384,$FN$312=1),2,IF(AND(BX$384=$M365,$FN$312=1),2,0)))</f>
        <v>0</v>
      </c>
      <c r="DZ604" s="56">
        <f t="shared" ref="DZ604:DZ613" ca="1" si="351">IF(AND($M365&lt;=BY$384,$M365&gt;BZ$384,$FN$312=1),2,IF(AND($M365&gt;=BY$384,$M365&lt;BZ$384,$FN$312=1),2,IF(AND(BY$384=$M365,$FN$312=1),2,0)))</f>
        <v>0</v>
      </c>
    </row>
    <row r="605" spans="28:130">
      <c r="AB605" s="117">
        <f t="shared" ca="1" si="260"/>
        <v>0</v>
      </c>
      <c r="AC605" s="117">
        <f t="shared" ca="1" si="261"/>
        <v>0</v>
      </c>
      <c r="AD605" s="117">
        <f t="shared" ca="1" si="262"/>
        <v>0</v>
      </c>
      <c r="AE605" s="117">
        <f t="shared" ca="1" si="263"/>
        <v>0</v>
      </c>
      <c r="AF605" s="117">
        <f t="shared" ca="1" si="264"/>
        <v>0</v>
      </c>
      <c r="AG605" s="117">
        <f t="shared" ca="1" si="265"/>
        <v>0</v>
      </c>
      <c r="AH605" s="117">
        <f t="shared" ca="1" si="266"/>
        <v>0</v>
      </c>
      <c r="AI605" s="117">
        <f t="shared" ca="1" si="267"/>
        <v>0</v>
      </c>
      <c r="AJ605" s="117">
        <f t="shared" ca="1" si="268"/>
        <v>0</v>
      </c>
      <c r="AK605" s="117">
        <f t="shared" ca="1" si="269"/>
        <v>0</v>
      </c>
      <c r="AL605" s="117">
        <f t="shared" ca="1" si="270"/>
        <v>0</v>
      </c>
      <c r="AM605" s="117">
        <f t="shared" ca="1" si="271"/>
        <v>0</v>
      </c>
      <c r="AN605" s="117">
        <f t="shared" ca="1" si="272"/>
        <v>0</v>
      </c>
      <c r="AO605" s="117">
        <f t="shared" ca="1" si="273"/>
        <v>0</v>
      </c>
      <c r="AP605" s="117">
        <f t="shared" ca="1" si="274"/>
        <v>0</v>
      </c>
      <c r="AQ605" s="117">
        <f t="shared" ca="1" si="275"/>
        <v>0</v>
      </c>
      <c r="AR605" s="117">
        <f t="shared" ca="1" si="276"/>
        <v>0</v>
      </c>
      <c r="AS605" s="117">
        <f t="shared" ca="1" si="277"/>
        <v>0</v>
      </c>
      <c r="AT605" s="117">
        <f t="shared" ca="1" si="278"/>
        <v>0</v>
      </c>
      <c r="AU605" s="117">
        <f t="shared" ca="1" si="279"/>
        <v>0</v>
      </c>
      <c r="AV605" s="117">
        <f t="shared" ca="1" si="280"/>
        <v>0</v>
      </c>
      <c r="AW605" s="117">
        <f t="shared" ca="1" si="281"/>
        <v>0</v>
      </c>
      <c r="AX605" s="117">
        <f t="shared" ca="1" si="282"/>
        <v>0</v>
      </c>
      <c r="AY605" s="117">
        <f t="shared" ca="1" si="283"/>
        <v>0</v>
      </c>
      <c r="AZ605" s="117">
        <f t="shared" ca="1" si="284"/>
        <v>0</v>
      </c>
      <c r="BA605" s="117">
        <f t="shared" ca="1" si="285"/>
        <v>0</v>
      </c>
      <c r="BB605" s="117">
        <f t="shared" ca="1" si="286"/>
        <v>0</v>
      </c>
      <c r="BC605" s="117">
        <f t="shared" ca="1" si="287"/>
        <v>0</v>
      </c>
      <c r="BD605" s="117">
        <f t="shared" ca="1" si="288"/>
        <v>0</v>
      </c>
      <c r="BE605" s="117">
        <f t="shared" ca="1" si="289"/>
        <v>0</v>
      </c>
      <c r="BF605" s="117">
        <f t="shared" ca="1" si="290"/>
        <v>0</v>
      </c>
      <c r="BG605" s="117">
        <f t="shared" ca="1" si="291"/>
        <v>0</v>
      </c>
      <c r="BH605" s="117">
        <f t="shared" ca="1" si="292"/>
        <v>0</v>
      </c>
      <c r="BI605" s="117">
        <f t="shared" ca="1" si="293"/>
        <v>0</v>
      </c>
      <c r="BJ605" s="117">
        <f t="shared" ca="1" si="294"/>
        <v>0</v>
      </c>
      <c r="BK605" s="117">
        <f t="shared" ca="1" si="295"/>
        <v>0</v>
      </c>
      <c r="BL605" s="117">
        <f t="shared" ca="1" si="296"/>
        <v>0</v>
      </c>
      <c r="BM605" s="117">
        <f t="shared" ca="1" si="297"/>
        <v>0</v>
      </c>
      <c r="BN605" s="117">
        <f t="shared" ca="1" si="298"/>
        <v>0</v>
      </c>
      <c r="BO605" s="117">
        <f t="shared" ca="1" si="299"/>
        <v>0</v>
      </c>
      <c r="BP605" s="117">
        <f t="shared" ca="1" si="300"/>
        <v>0</v>
      </c>
      <c r="BQ605" s="117">
        <f t="shared" ca="1" si="301"/>
        <v>0</v>
      </c>
      <c r="BR605" s="117">
        <f t="shared" ca="1" si="302"/>
        <v>0</v>
      </c>
      <c r="BS605" s="117">
        <f t="shared" ca="1" si="303"/>
        <v>0</v>
      </c>
      <c r="BT605" s="117">
        <f t="shared" ca="1" si="304"/>
        <v>0</v>
      </c>
      <c r="BU605" s="117">
        <f t="shared" ca="1" si="305"/>
        <v>0</v>
      </c>
      <c r="BV605" s="117">
        <f t="shared" ca="1" si="306"/>
        <v>0</v>
      </c>
      <c r="BW605" s="117">
        <f t="shared" ca="1" si="307"/>
        <v>0</v>
      </c>
      <c r="BX605" s="117">
        <f t="shared" ca="1" si="308"/>
        <v>0</v>
      </c>
      <c r="BY605" s="56">
        <f t="shared" ca="1" si="309"/>
        <v>0</v>
      </c>
      <c r="BZ605">
        <f t="shared" si="310"/>
        <v>0</v>
      </c>
      <c r="CA605">
        <f t="shared" si="310"/>
        <v>0</v>
      </c>
      <c r="CB605">
        <f t="shared" si="310"/>
        <v>0</v>
      </c>
      <c r="CC605" s="56">
        <f t="shared" ca="1" si="313"/>
        <v>0</v>
      </c>
      <c r="CD605" s="56">
        <f t="shared" ca="1" si="314"/>
        <v>0</v>
      </c>
      <c r="CE605" s="56">
        <f t="shared" ca="1" si="315"/>
        <v>0</v>
      </c>
      <c r="CF605" s="56">
        <f t="shared" ca="1" si="316"/>
        <v>0</v>
      </c>
      <c r="CG605" s="56">
        <f t="shared" ca="1" si="317"/>
        <v>0</v>
      </c>
      <c r="CH605" s="56">
        <f t="shared" ca="1" si="318"/>
        <v>0</v>
      </c>
      <c r="CI605" s="56">
        <f t="shared" ca="1" si="319"/>
        <v>0</v>
      </c>
      <c r="CJ605" s="56">
        <f t="shared" ca="1" si="320"/>
        <v>0</v>
      </c>
      <c r="CK605" s="56">
        <f t="shared" ca="1" si="321"/>
        <v>0</v>
      </c>
      <c r="CL605" s="56">
        <f t="shared" ca="1" si="322"/>
        <v>0</v>
      </c>
      <c r="CM605" s="56">
        <f t="shared" ca="1" si="323"/>
        <v>0</v>
      </c>
      <c r="CN605" s="56">
        <f t="shared" ca="1" si="324"/>
        <v>0</v>
      </c>
      <c r="CO605" s="56">
        <f t="shared" ca="1" si="325"/>
        <v>0</v>
      </c>
      <c r="CP605" s="56">
        <f t="shared" ca="1" si="326"/>
        <v>0</v>
      </c>
      <c r="CQ605" s="56">
        <f t="shared" ca="1" si="327"/>
        <v>0</v>
      </c>
      <c r="CR605" s="56">
        <f t="shared" ca="1" si="332"/>
        <v>0</v>
      </c>
      <c r="CS605" s="56">
        <f t="shared" ref="CS605:CS613" ca="1" si="352">IF(AND($M366&lt;=AR$384,$M366&gt;AS$384,$FN$312=1),2,IF(AND($M366&gt;=AR$384,$M366&lt;AS$384,$FN$312=1),2,IF(AND(AR$384=$M366,$FN$312=1),2,0)))</f>
        <v>0</v>
      </c>
      <c r="CT605" s="56">
        <f t="shared" ref="CT605:CT613" ca="1" si="353">IF(AND($M366&lt;=AS$384,$M366&gt;AT$384,$FN$312=1),2,IF(AND($M366&gt;=AS$384,$M366&lt;AT$384,$FN$312=1),2,IF(AND(AS$384=$M366,$FN$312=1),2,0)))</f>
        <v>0</v>
      </c>
      <c r="CU605" s="56">
        <f t="shared" ref="CU605:CU613" ca="1" si="354">IF(AND($M366&lt;=AT$384,$M366&gt;AU$384,$FN$312=1),2,IF(AND($M366&gt;=AT$384,$M366&lt;AU$384,$FN$312=1),2,IF(AND(AT$384=$M366,$FN$312=1),2,0)))</f>
        <v>0</v>
      </c>
      <c r="CV605" s="56">
        <f t="shared" ref="CV605:CV613" ca="1" si="355">IF(AND($M366&lt;=AU$384,$M366&gt;AV$384,$FN$312=1),2,IF(AND($M366&gt;=AU$384,$M366&lt;AV$384,$FN$312=1),2,IF(AND(AU$384=$M366,$FN$312=1),2,0)))</f>
        <v>0</v>
      </c>
      <c r="CW605" s="56">
        <f t="shared" ref="CW605:CW613" ca="1" si="356">IF(AND($M366&lt;=AV$384,$M366&gt;AW$384,$FN$312=1),2,IF(AND($M366&gt;=AV$384,$M366&lt;AW$384,$FN$312=1),2,IF(AND(AV$384=$M366,$FN$312=1),2,0)))</f>
        <v>0</v>
      </c>
      <c r="CX605" s="56">
        <f t="shared" ref="CX605:CX613" ca="1" si="357">IF(AND($M366&lt;=AW$384,$M366&gt;AX$384,$FN$312=1),2,IF(AND($M366&gt;=AW$384,$M366&lt;AX$384,$FN$312=1),2,IF(AND(AW$384=$M366,$FN$312=1),2,0)))</f>
        <v>0</v>
      </c>
      <c r="CY605" s="56">
        <f t="shared" ref="CY605:CY613" ca="1" si="358">IF(AND($M366&lt;=AX$384,$M366&gt;AY$384,$FN$312=1),2,IF(AND($M366&gt;=AX$384,$M366&lt;AY$384,$FN$312=1),2,IF(AND(AX$384=$M366,$FN$312=1),2,0)))</f>
        <v>0</v>
      </c>
      <c r="CZ605" s="56">
        <f t="shared" ref="CZ605:CZ613" ca="1" si="359">IF(AND($M366&lt;=AY$384,$M366&gt;AZ$384,$FN$312=1),2,IF(AND($M366&gt;=AY$384,$M366&lt;AZ$384,$FN$312=1),2,IF(AND(AY$384=$M366,$FN$312=1),2,0)))</f>
        <v>0</v>
      </c>
      <c r="DA605" s="56">
        <f t="shared" ref="DA605:DA613" ca="1" si="360">IF(AND($M366&lt;=AZ$384,$M366&gt;BA$384,$FN$312=1),2,IF(AND($M366&gt;=AZ$384,$M366&lt;BA$384,$FN$312=1),2,IF(AND(AZ$384=$M366,$FN$312=1),2,0)))</f>
        <v>0</v>
      </c>
      <c r="DB605" s="56">
        <f t="shared" ref="DB605:DB613" ca="1" si="361">IF(AND($M366&lt;=BA$384,$M366&gt;BB$384,$FN$312=1),2,IF(AND($M366&gt;=BA$384,$M366&lt;BB$384,$FN$312=1),2,IF(AND(BA$384=$M366,$FN$312=1),2,0)))</f>
        <v>0</v>
      </c>
      <c r="DC605" s="56">
        <f t="shared" ref="DC605:DC613" ca="1" si="362">IF(AND($M366&lt;=BB$384,$M366&gt;BC$384,$FN$312=1),2,IF(AND($M366&gt;=BB$384,$M366&lt;BC$384,$FN$312=1),2,IF(AND(BB$384=$M366,$FN$312=1),2,0)))</f>
        <v>0</v>
      </c>
      <c r="DD605" s="56">
        <f t="shared" ref="DD605:DD613" ca="1" si="363">IF(AND($M366&lt;=BC$384,$M366&gt;BD$384,$FN$312=1),2,IF(AND($M366&gt;=BC$384,$M366&lt;BD$384,$FN$312=1),2,IF(AND(BC$384=$M366,$FN$312=1),2,0)))</f>
        <v>0</v>
      </c>
      <c r="DE605" s="56">
        <f t="shared" ref="DE605:DE613" ca="1" si="364">IF(AND($M366&lt;=BD$384,$M366&gt;BE$384,$FN$312=1),2,IF(AND($M366&gt;=BD$384,$M366&lt;BE$384,$FN$312=1),2,IF(AND(BD$384=$M366,$FN$312=1),2,0)))</f>
        <v>0</v>
      </c>
      <c r="DF605" s="56">
        <f t="shared" ref="DF605:DF613" ca="1" si="365">IF(AND($M366&lt;=BE$384,$M366&gt;BF$384,$FN$312=1),2,IF(AND($M366&gt;=BE$384,$M366&lt;BF$384,$FN$312=1),2,IF(AND(BE$384=$M366,$FN$312=1),2,0)))</f>
        <v>0</v>
      </c>
      <c r="DG605" s="56">
        <f t="shared" ref="DG605:DG613" ca="1" si="366">IF(AND($M366&lt;=BF$384,$M366&gt;BG$384,$FN$312=1),2,IF(AND($M366&gt;=BF$384,$M366&lt;BG$384,$FN$312=1),2,IF(AND(BF$384=$M366,$FN$312=1),2,0)))</f>
        <v>0</v>
      </c>
      <c r="DH605" s="56">
        <f t="shared" ref="DH605:DH613" ca="1" si="367">IF(AND($M366&lt;=BG$384,$M366&gt;BH$384,$FN$312=1),2,IF(AND($M366&gt;=BG$384,$M366&lt;BH$384,$FN$312=1),2,IF(AND(BG$384=$M366,$FN$312=1),2,0)))</f>
        <v>0</v>
      </c>
      <c r="DI605" s="56">
        <f t="shared" ca="1" si="334"/>
        <v>0</v>
      </c>
      <c r="DJ605" s="56">
        <f t="shared" ca="1" si="335"/>
        <v>0</v>
      </c>
      <c r="DK605" s="56">
        <f t="shared" ca="1" si="336"/>
        <v>0</v>
      </c>
      <c r="DL605" s="56">
        <f t="shared" ca="1" si="337"/>
        <v>0</v>
      </c>
      <c r="DM605" s="56">
        <f t="shared" ca="1" si="338"/>
        <v>0</v>
      </c>
      <c r="DN605" s="56">
        <f t="shared" ca="1" si="339"/>
        <v>0</v>
      </c>
      <c r="DO605" s="56">
        <f t="shared" ca="1" si="340"/>
        <v>0</v>
      </c>
      <c r="DP605" s="56">
        <f t="shared" ca="1" si="341"/>
        <v>0</v>
      </c>
      <c r="DQ605" s="56">
        <f t="shared" ca="1" si="342"/>
        <v>0</v>
      </c>
      <c r="DR605" s="56">
        <f t="shared" ca="1" si="343"/>
        <v>0</v>
      </c>
      <c r="DS605" s="56">
        <f t="shared" ca="1" si="344"/>
        <v>0</v>
      </c>
      <c r="DT605" s="56">
        <f t="shared" ca="1" si="345"/>
        <v>0</v>
      </c>
      <c r="DU605" s="56">
        <f t="shared" ca="1" si="346"/>
        <v>0</v>
      </c>
      <c r="DV605" s="56">
        <f t="shared" ca="1" si="347"/>
        <v>0</v>
      </c>
      <c r="DW605" s="56">
        <f t="shared" ca="1" si="348"/>
        <v>0</v>
      </c>
      <c r="DX605" s="56">
        <f t="shared" ca="1" si="349"/>
        <v>0</v>
      </c>
      <c r="DY605" s="56">
        <f t="shared" ca="1" si="350"/>
        <v>0</v>
      </c>
      <c r="DZ605" s="56">
        <f t="shared" ca="1" si="351"/>
        <v>0</v>
      </c>
    </row>
    <row r="606" spans="28:130">
      <c r="AB606" s="56">
        <f t="shared" ca="1" si="260"/>
        <v>0</v>
      </c>
      <c r="AC606" s="56">
        <f t="shared" ca="1" si="261"/>
        <v>0</v>
      </c>
      <c r="AD606" s="56">
        <f t="shared" ca="1" si="262"/>
        <v>0</v>
      </c>
      <c r="AE606" s="56">
        <f t="shared" ca="1" si="263"/>
        <v>0</v>
      </c>
      <c r="AF606" s="56">
        <f t="shared" ca="1" si="264"/>
        <v>0</v>
      </c>
      <c r="AG606" s="56">
        <f t="shared" ca="1" si="265"/>
        <v>0</v>
      </c>
      <c r="AH606" s="56">
        <f t="shared" ca="1" si="266"/>
        <v>0</v>
      </c>
      <c r="AI606" s="56">
        <f t="shared" ca="1" si="267"/>
        <v>0</v>
      </c>
      <c r="AJ606" s="56">
        <f t="shared" ca="1" si="268"/>
        <v>0</v>
      </c>
      <c r="AK606" s="56">
        <f t="shared" ca="1" si="269"/>
        <v>0</v>
      </c>
      <c r="AL606" s="56">
        <f t="shared" ca="1" si="270"/>
        <v>0</v>
      </c>
      <c r="AM606" s="56">
        <f t="shared" ca="1" si="271"/>
        <v>0</v>
      </c>
      <c r="AN606" s="56">
        <f t="shared" ca="1" si="272"/>
        <v>0</v>
      </c>
      <c r="AO606" s="56">
        <f t="shared" ca="1" si="273"/>
        <v>0</v>
      </c>
      <c r="AP606" s="56">
        <f t="shared" ca="1" si="274"/>
        <v>0</v>
      </c>
      <c r="AQ606" s="56">
        <f t="shared" ca="1" si="275"/>
        <v>0</v>
      </c>
      <c r="AR606" s="56">
        <f t="shared" ca="1" si="276"/>
        <v>0</v>
      </c>
      <c r="AS606" s="56">
        <f t="shared" ca="1" si="277"/>
        <v>0</v>
      </c>
      <c r="AT606" s="56">
        <f t="shared" ca="1" si="278"/>
        <v>0</v>
      </c>
      <c r="AU606" s="56">
        <f t="shared" ca="1" si="279"/>
        <v>0</v>
      </c>
      <c r="AV606" s="56">
        <f t="shared" ca="1" si="280"/>
        <v>0</v>
      </c>
      <c r="AW606" s="56">
        <f t="shared" ca="1" si="281"/>
        <v>0</v>
      </c>
      <c r="AX606" s="56">
        <f t="shared" ca="1" si="282"/>
        <v>0</v>
      </c>
      <c r="AY606" s="56">
        <f t="shared" ca="1" si="283"/>
        <v>0</v>
      </c>
      <c r="AZ606" s="56">
        <f t="shared" ca="1" si="284"/>
        <v>0</v>
      </c>
      <c r="BA606" s="56">
        <f t="shared" ca="1" si="285"/>
        <v>0</v>
      </c>
      <c r="BB606" s="56">
        <f t="shared" ca="1" si="286"/>
        <v>0</v>
      </c>
      <c r="BC606" s="56">
        <f t="shared" ca="1" si="287"/>
        <v>0</v>
      </c>
      <c r="BD606" s="56">
        <f t="shared" ca="1" si="288"/>
        <v>0</v>
      </c>
      <c r="BE606" s="56">
        <f t="shared" ca="1" si="289"/>
        <v>0</v>
      </c>
      <c r="BF606" s="56">
        <f t="shared" ca="1" si="290"/>
        <v>0</v>
      </c>
      <c r="BG606" s="56">
        <f t="shared" ca="1" si="291"/>
        <v>0</v>
      </c>
      <c r="BH606" s="56">
        <f t="shared" ca="1" si="292"/>
        <v>0</v>
      </c>
      <c r="BI606" s="56">
        <f t="shared" ca="1" si="293"/>
        <v>0</v>
      </c>
      <c r="BJ606" s="56">
        <f t="shared" ca="1" si="294"/>
        <v>0</v>
      </c>
      <c r="BK606" s="56">
        <f t="shared" ca="1" si="295"/>
        <v>0</v>
      </c>
      <c r="BL606" s="56">
        <f t="shared" ca="1" si="296"/>
        <v>0</v>
      </c>
      <c r="BM606" s="56">
        <f t="shared" ca="1" si="297"/>
        <v>0</v>
      </c>
      <c r="BN606" s="56">
        <f t="shared" ca="1" si="298"/>
        <v>0</v>
      </c>
      <c r="BO606" s="56">
        <f t="shared" ca="1" si="299"/>
        <v>0</v>
      </c>
      <c r="BP606" s="56">
        <f t="shared" ca="1" si="300"/>
        <v>0</v>
      </c>
      <c r="BQ606" s="56">
        <f t="shared" ca="1" si="301"/>
        <v>0</v>
      </c>
      <c r="BR606" s="56">
        <f t="shared" ca="1" si="302"/>
        <v>0</v>
      </c>
      <c r="BS606" s="56">
        <f t="shared" ca="1" si="303"/>
        <v>0</v>
      </c>
      <c r="BT606" s="56">
        <f t="shared" ca="1" si="304"/>
        <v>0</v>
      </c>
      <c r="BU606" s="56">
        <f t="shared" ca="1" si="305"/>
        <v>0</v>
      </c>
      <c r="BV606" s="56">
        <f t="shared" ca="1" si="306"/>
        <v>0</v>
      </c>
      <c r="BW606" s="56">
        <f t="shared" ca="1" si="307"/>
        <v>0</v>
      </c>
      <c r="BX606" s="56">
        <f t="shared" ca="1" si="308"/>
        <v>0</v>
      </c>
      <c r="BY606" s="56">
        <f t="shared" ca="1" si="309"/>
        <v>0</v>
      </c>
      <c r="BZ606">
        <f t="shared" si="310"/>
        <v>0</v>
      </c>
      <c r="CA606">
        <f t="shared" si="310"/>
        <v>0</v>
      </c>
      <c r="CB606">
        <f t="shared" si="310"/>
        <v>0</v>
      </c>
      <c r="CC606" s="56">
        <f t="shared" ca="1" si="313"/>
        <v>0</v>
      </c>
      <c r="CD606" s="56">
        <f t="shared" ca="1" si="314"/>
        <v>0</v>
      </c>
      <c r="CE606" s="56">
        <f t="shared" ca="1" si="315"/>
        <v>0</v>
      </c>
      <c r="CF606" s="56">
        <f t="shared" ca="1" si="316"/>
        <v>0</v>
      </c>
      <c r="CG606" s="56">
        <f t="shared" ca="1" si="317"/>
        <v>0</v>
      </c>
      <c r="CH606" s="56">
        <f t="shared" ca="1" si="318"/>
        <v>0</v>
      </c>
      <c r="CI606" s="56">
        <f t="shared" ca="1" si="319"/>
        <v>0</v>
      </c>
      <c r="CJ606" s="56">
        <f t="shared" ca="1" si="320"/>
        <v>0</v>
      </c>
      <c r="CK606" s="56">
        <f t="shared" ca="1" si="321"/>
        <v>0</v>
      </c>
      <c r="CL606" s="56">
        <f t="shared" ca="1" si="322"/>
        <v>0</v>
      </c>
      <c r="CM606" s="56">
        <f t="shared" ca="1" si="323"/>
        <v>0</v>
      </c>
      <c r="CN606" s="56">
        <f t="shared" ca="1" si="324"/>
        <v>0</v>
      </c>
      <c r="CO606" s="56">
        <f t="shared" ca="1" si="325"/>
        <v>0</v>
      </c>
      <c r="CP606" s="56">
        <f t="shared" ca="1" si="326"/>
        <v>0</v>
      </c>
      <c r="CQ606" s="56">
        <f t="shared" ca="1" si="327"/>
        <v>0</v>
      </c>
      <c r="CR606" s="56">
        <f t="shared" ca="1" si="332"/>
        <v>0</v>
      </c>
      <c r="CS606" s="56">
        <f t="shared" ca="1" si="352"/>
        <v>0</v>
      </c>
      <c r="CT606" s="56">
        <f t="shared" ca="1" si="353"/>
        <v>0</v>
      </c>
      <c r="CU606" s="56">
        <f t="shared" ca="1" si="354"/>
        <v>0</v>
      </c>
      <c r="CV606" s="56">
        <f t="shared" ca="1" si="355"/>
        <v>0</v>
      </c>
      <c r="CW606" s="56">
        <f t="shared" ca="1" si="356"/>
        <v>0</v>
      </c>
      <c r="CX606" s="56">
        <f t="shared" ca="1" si="357"/>
        <v>0</v>
      </c>
      <c r="CY606" s="56">
        <f t="shared" ca="1" si="358"/>
        <v>0</v>
      </c>
      <c r="CZ606" s="56">
        <f t="shared" ca="1" si="359"/>
        <v>0</v>
      </c>
      <c r="DA606" s="56">
        <f t="shared" ca="1" si="360"/>
        <v>0</v>
      </c>
      <c r="DB606" s="56">
        <f t="shared" ca="1" si="361"/>
        <v>0</v>
      </c>
      <c r="DC606" s="56">
        <f t="shared" ca="1" si="362"/>
        <v>0</v>
      </c>
      <c r="DD606" s="56">
        <f t="shared" ca="1" si="363"/>
        <v>0</v>
      </c>
      <c r="DE606" s="56">
        <f t="shared" ca="1" si="364"/>
        <v>0</v>
      </c>
      <c r="DF606" s="56">
        <f t="shared" ca="1" si="365"/>
        <v>0</v>
      </c>
      <c r="DG606" s="56">
        <f t="shared" ca="1" si="366"/>
        <v>0</v>
      </c>
      <c r="DH606" s="56">
        <f t="shared" ca="1" si="367"/>
        <v>0</v>
      </c>
      <c r="DI606" s="56">
        <f t="shared" ca="1" si="334"/>
        <v>0</v>
      </c>
      <c r="DJ606" s="56">
        <f t="shared" ca="1" si="335"/>
        <v>0</v>
      </c>
      <c r="DK606" s="56">
        <f t="shared" ca="1" si="336"/>
        <v>0</v>
      </c>
      <c r="DL606" s="56">
        <f t="shared" ca="1" si="337"/>
        <v>0</v>
      </c>
      <c r="DM606" s="56">
        <f t="shared" ca="1" si="338"/>
        <v>0</v>
      </c>
      <c r="DN606" s="56">
        <f t="shared" ca="1" si="339"/>
        <v>0</v>
      </c>
      <c r="DO606" s="56">
        <f t="shared" ca="1" si="340"/>
        <v>0</v>
      </c>
      <c r="DP606" s="56">
        <f t="shared" ca="1" si="341"/>
        <v>0</v>
      </c>
      <c r="DQ606" s="56">
        <f t="shared" ca="1" si="342"/>
        <v>0</v>
      </c>
      <c r="DR606" s="56">
        <f t="shared" ca="1" si="343"/>
        <v>0</v>
      </c>
      <c r="DS606" s="56">
        <f t="shared" ca="1" si="344"/>
        <v>0</v>
      </c>
      <c r="DT606" s="56">
        <f t="shared" ca="1" si="345"/>
        <v>0</v>
      </c>
      <c r="DU606" s="56">
        <f t="shared" ca="1" si="346"/>
        <v>0</v>
      </c>
      <c r="DV606" s="56">
        <f t="shared" ca="1" si="347"/>
        <v>0</v>
      </c>
      <c r="DW606" s="56">
        <f t="shared" ca="1" si="348"/>
        <v>0</v>
      </c>
      <c r="DX606" s="56">
        <f t="shared" ca="1" si="349"/>
        <v>0</v>
      </c>
      <c r="DY606" s="56">
        <f t="shared" ca="1" si="350"/>
        <v>0</v>
      </c>
      <c r="DZ606" s="56">
        <f t="shared" ca="1" si="351"/>
        <v>0</v>
      </c>
    </row>
    <row r="607" spans="28:130">
      <c r="AB607" s="56">
        <f t="shared" ca="1" si="260"/>
        <v>0</v>
      </c>
      <c r="AC607" s="56">
        <f t="shared" ca="1" si="261"/>
        <v>0</v>
      </c>
      <c r="AD607" s="56">
        <f t="shared" ca="1" si="262"/>
        <v>0</v>
      </c>
      <c r="AE607" s="56">
        <f t="shared" ca="1" si="263"/>
        <v>0</v>
      </c>
      <c r="AF607" s="56">
        <f t="shared" ca="1" si="264"/>
        <v>0</v>
      </c>
      <c r="AG607" s="56">
        <f t="shared" ca="1" si="265"/>
        <v>0</v>
      </c>
      <c r="AH607" s="56">
        <f t="shared" ca="1" si="266"/>
        <v>0</v>
      </c>
      <c r="AI607" s="56">
        <f t="shared" ca="1" si="267"/>
        <v>0</v>
      </c>
      <c r="AJ607" s="56">
        <f t="shared" ca="1" si="268"/>
        <v>0</v>
      </c>
      <c r="AK607" s="56">
        <f t="shared" ca="1" si="269"/>
        <v>0</v>
      </c>
      <c r="AL607" s="56">
        <f t="shared" ca="1" si="270"/>
        <v>0</v>
      </c>
      <c r="AM607" s="56">
        <f t="shared" ca="1" si="271"/>
        <v>0</v>
      </c>
      <c r="AN607" s="56">
        <f t="shared" ca="1" si="272"/>
        <v>0</v>
      </c>
      <c r="AO607" s="56">
        <f t="shared" ca="1" si="273"/>
        <v>0</v>
      </c>
      <c r="AP607" s="56">
        <f t="shared" ca="1" si="274"/>
        <v>0</v>
      </c>
      <c r="AQ607" s="56">
        <f t="shared" ca="1" si="275"/>
        <v>0</v>
      </c>
      <c r="AR607" s="56">
        <f t="shared" ca="1" si="276"/>
        <v>0</v>
      </c>
      <c r="AS607" s="56">
        <f t="shared" ca="1" si="277"/>
        <v>0</v>
      </c>
      <c r="AT607" s="56">
        <f t="shared" ca="1" si="278"/>
        <v>0</v>
      </c>
      <c r="AU607" s="56">
        <f t="shared" ca="1" si="279"/>
        <v>0</v>
      </c>
      <c r="AV607" s="56">
        <f t="shared" ca="1" si="280"/>
        <v>0</v>
      </c>
      <c r="AW607" s="56">
        <f t="shared" ca="1" si="281"/>
        <v>0</v>
      </c>
      <c r="AX607" s="56">
        <f t="shared" ca="1" si="282"/>
        <v>0</v>
      </c>
      <c r="AY607" s="56">
        <f t="shared" ca="1" si="283"/>
        <v>0</v>
      </c>
      <c r="AZ607" s="56">
        <f t="shared" ca="1" si="284"/>
        <v>0</v>
      </c>
      <c r="BA607" s="56">
        <f t="shared" ca="1" si="285"/>
        <v>0</v>
      </c>
      <c r="BB607" s="56">
        <f t="shared" ca="1" si="286"/>
        <v>0</v>
      </c>
      <c r="BC607" s="56">
        <f t="shared" ca="1" si="287"/>
        <v>0</v>
      </c>
      <c r="BD607" s="56">
        <f t="shared" ca="1" si="288"/>
        <v>0</v>
      </c>
      <c r="BE607" s="56">
        <f t="shared" ca="1" si="289"/>
        <v>0</v>
      </c>
      <c r="BF607" s="56">
        <f t="shared" ca="1" si="290"/>
        <v>0</v>
      </c>
      <c r="BG607" s="56">
        <f t="shared" ca="1" si="291"/>
        <v>0</v>
      </c>
      <c r="BH607" s="56">
        <f t="shared" ca="1" si="292"/>
        <v>0</v>
      </c>
      <c r="BI607" s="56">
        <f t="shared" ca="1" si="293"/>
        <v>0</v>
      </c>
      <c r="BJ607" s="56">
        <f t="shared" ca="1" si="294"/>
        <v>0</v>
      </c>
      <c r="BK607" s="56">
        <f t="shared" ca="1" si="295"/>
        <v>0</v>
      </c>
      <c r="BL607" s="56">
        <f t="shared" ca="1" si="296"/>
        <v>0</v>
      </c>
      <c r="BM607" s="56">
        <f t="shared" ca="1" si="297"/>
        <v>0</v>
      </c>
      <c r="BN607" s="56">
        <f t="shared" ca="1" si="298"/>
        <v>0</v>
      </c>
      <c r="BO607" s="56">
        <f t="shared" ca="1" si="299"/>
        <v>0</v>
      </c>
      <c r="BP607" s="56">
        <f t="shared" ca="1" si="300"/>
        <v>0</v>
      </c>
      <c r="BQ607" s="56">
        <f t="shared" ca="1" si="301"/>
        <v>0</v>
      </c>
      <c r="BR607" s="56">
        <f t="shared" ca="1" si="302"/>
        <v>0</v>
      </c>
      <c r="BS607" s="56">
        <f t="shared" ca="1" si="303"/>
        <v>0</v>
      </c>
      <c r="BT607" s="56">
        <f t="shared" ca="1" si="304"/>
        <v>0</v>
      </c>
      <c r="BU607" s="56">
        <f t="shared" ca="1" si="305"/>
        <v>0</v>
      </c>
      <c r="BV607" s="56">
        <f t="shared" ca="1" si="306"/>
        <v>0</v>
      </c>
      <c r="BW607" s="56">
        <f t="shared" ca="1" si="307"/>
        <v>0</v>
      </c>
      <c r="BX607" s="56">
        <f t="shared" ca="1" si="308"/>
        <v>0</v>
      </c>
      <c r="BY607" s="56">
        <f t="shared" ca="1" si="309"/>
        <v>0</v>
      </c>
      <c r="BZ607">
        <f t="shared" si="310"/>
        <v>0</v>
      </c>
      <c r="CA607">
        <f t="shared" si="310"/>
        <v>0</v>
      </c>
      <c r="CB607">
        <f t="shared" si="310"/>
        <v>0</v>
      </c>
      <c r="CC607" s="56">
        <f t="shared" ca="1" si="313"/>
        <v>0</v>
      </c>
      <c r="CD607" s="56">
        <f t="shared" ca="1" si="314"/>
        <v>0</v>
      </c>
      <c r="CE607" s="56">
        <f t="shared" ca="1" si="315"/>
        <v>0</v>
      </c>
      <c r="CF607" s="56">
        <f t="shared" ca="1" si="316"/>
        <v>0</v>
      </c>
      <c r="CG607" s="56">
        <f t="shared" ca="1" si="317"/>
        <v>0</v>
      </c>
      <c r="CH607" s="56">
        <f t="shared" ca="1" si="318"/>
        <v>0</v>
      </c>
      <c r="CI607" s="56">
        <f t="shared" ca="1" si="319"/>
        <v>0</v>
      </c>
      <c r="CJ607" s="56">
        <f t="shared" ca="1" si="320"/>
        <v>0</v>
      </c>
      <c r="CK607" s="56">
        <f t="shared" ca="1" si="321"/>
        <v>0</v>
      </c>
      <c r="CL607" s="56">
        <f t="shared" ca="1" si="322"/>
        <v>0</v>
      </c>
      <c r="CM607" s="56">
        <f t="shared" ca="1" si="323"/>
        <v>0</v>
      </c>
      <c r="CN607" s="56">
        <f t="shared" ca="1" si="324"/>
        <v>0</v>
      </c>
      <c r="CO607" s="56">
        <f t="shared" ca="1" si="325"/>
        <v>0</v>
      </c>
      <c r="CP607" s="56">
        <f t="shared" ca="1" si="326"/>
        <v>0</v>
      </c>
      <c r="CQ607" s="56">
        <f t="shared" ca="1" si="327"/>
        <v>0</v>
      </c>
      <c r="CR607" s="56">
        <f t="shared" ca="1" si="332"/>
        <v>0</v>
      </c>
      <c r="CS607" s="56">
        <f t="shared" ca="1" si="352"/>
        <v>0</v>
      </c>
      <c r="CT607" s="56">
        <f t="shared" ca="1" si="353"/>
        <v>0</v>
      </c>
      <c r="CU607" s="56">
        <f t="shared" ca="1" si="354"/>
        <v>0</v>
      </c>
      <c r="CV607" s="56">
        <f t="shared" ca="1" si="355"/>
        <v>0</v>
      </c>
      <c r="CW607" s="56">
        <f t="shared" ca="1" si="356"/>
        <v>0</v>
      </c>
      <c r="CX607" s="56">
        <f t="shared" ca="1" si="357"/>
        <v>0</v>
      </c>
      <c r="CY607" s="56">
        <f t="shared" ca="1" si="358"/>
        <v>0</v>
      </c>
      <c r="CZ607" s="56">
        <f t="shared" ca="1" si="359"/>
        <v>0</v>
      </c>
      <c r="DA607" s="56">
        <f t="shared" ca="1" si="360"/>
        <v>0</v>
      </c>
      <c r="DB607" s="56">
        <f t="shared" ca="1" si="361"/>
        <v>0</v>
      </c>
      <c r="DC607" s="56">
        <f t="shared" ca="1" si="362"/>
        <v>0</v>
      </c>
      <c r="DD607" s="56">
        <f t="shared" ca="1" si="363"/>
        <v>0</v>
      </c>
      <c r="DE607" s="56">
        <f t="shared" ca="1" si="364"/>
        <v>0</v>
      </c>
      <c r="DF607" s="56">
        <f t="shared" ca="1" si="365"/>
        <v>0</v>
      </c>
      <c r="DG607" s="56">
        <f t="shared" ca="1" si="366"/>
        <v>0</v>
      </c>
      <c r="DH607" s="56">
        <f t="shared" ca="1" si="367"/>
        <v>0</v>
      </c>
      <c r="DI607" s="56">
        <f t="shared" ca="1" si="334"/>
        <v>0</v>
      </c>
      <c r="DJ607" s="56">
        <f t="shared" ca="1" si="335"/>
        <v>0</v>
      </c>
      <c r="DK607" s="56">
        <f t="shared" ca="1" si="336"/>
        <v>0</v>
      </c>
      <c r="DL607" s="56">
        <f t="shared" ca="1" si="337"/>
        <v>0</v>
      </c>
      <c r="DM607" s="56">
        <f t="shared" ca="1" si="338"/>
        <v>0</v>
      </c>
      <c r="DN607" s="56">
        <f t="shared" ca="1" si="339"/>
        <v>0</v>
      </c>
      <c r="DO607" s="56">
        <f t="shared" ca="1" si="340"/>
        <v>0</v>
      </c>
      <c r="DP607" s="56">
        <f t="shared" ca="1" si="341"/>
        <v>0</v>
      </c>
      <c r="DQ607" s="56">
        <f t="shared" ca="1" si="342"/>
        <v>0</v>
      </c>
      <c r="DR607" s="56">
        <f t="shared" ca="1" si="343"/>
        <v>0</v>
      </c>
      <c r="DS607" s="56">
        <f t="shared" ca="1" si="344"/>
        <v>0</v>
      </c>
      <c r="DT607" s="56">
        <f t="shared" ca="1" si="345"/>
        <v>0</v>
      </c>
      <c r="DU607" s="56">
        <f t="shared" ca="1" si="346"/>
        <v>0</v>
      </c>
      <c r="DV607" s="56">
        <f t="shared" ca="1" si="347"/>
        <v>0</v>
      </c>
      <c r="DW607" s="56">
        <f t="shared" ca="1" si="348"/>
        <v>0</v>
      </c>
      <c r="DX607" s="56">
        <f t="shared" ca="1" si="349"/>
        <v>0</v>
      </c>
      <c r="DY607" s="56">
        <f t="shared" ca="1" si="350"/>
        <v>0</v>
      </c>
      <c r="DZ607" s="56">
        <f t="shared" ca="1" si="351"/>
        <v>0</v>
      </c>
    </row>
    <row r="608" spans="28:130">
      <c r="AB608" s="56">
        <f t="shared" ca="1" si="260"/>
        <v>0</v>
      </c>
      <c r="AC608" s="56">
        <f t="shared" ca="1" si="261"/>
        <v>0</v>
      </c>
      <c r="AD608" s="56">
        <f t="shared" ca="1" si="262"/>
        <v>0</v>
      </c>
      <c r="AE608" s="56">
        <f t="shared" ca="1" si="263"/>
        <v>0</v>
      </c>
      <c r="AF608" s="56">
        <f t="shared" ca="1" si="264"/>
        <v>0</v>
      </c>
      <c r="AG608" s="56">
        <f t="shared" ca="1" si="265"/>
        <v>0</v>
      </c>
      <c r="AH608" s="56">
        <f t="shared" ca="1" si="266"/>
        <v>0</v>
      </c>
      <c r="AI608" s="56">
        <f t="shared" ca="1" si="267"/>
        <v>0</v>
      </c>
      <c r="AJ608" s="56">
        <f t="shared" ca="1" si="268"/>
        <v>0</v>
      </c>
      <c r="AK608" s="56">
        <f t="shared" ca="1" si="269"/>
        <v>0</v>
      </c>
      <c r="AL608" s="56">
        <f t="shared" ca="1" si="270"/>
        <v>0</v>
      </c>
      <c r="AM608" s="56">
        <f t="shared" ca="1" si="271"/>
        <v>0</v>
      </c>
      <c r="AN608" s="56">
        <f t="shared" ca="1" si="272"/>
        <v>0</v>
      </c>
      <c r="AO608" s="56">
        <f t="shared" ca="1" si="273"/>
        <v>0</v>
      </c>
      <c r="AP608" s="56">
        <f t="shared" ca="1" si="274"/>
        <v>0</v>
      </c>
      <c r="AQ608" s="56">
        <f t="shared" ca="1" si="275"/>
        <v>0</v>
      </c>
      <c r="AR608" s="56">
        <f t="shared" ca="1" si="276"/>
        <v>0</v>
      </c>
      <c r="AS608" s="56">
        <f t="shared" ca="1" si="277"/>
        <v>0</v>
      </c>
      <c r="AT608" s="56">
        <f t="shared" ca="1" si="278"/>
        <v>0</v>
      </c>
      <c r="AU608" s="56">
        <f t="shared" ca="1" si="279"/>
        <v>0</v>
      </c>
      <c r="AV608" s="56">
        <f t="shared" ca="1" si="280"/>
        <v>0</v>
      </c>
      <c r="AW608" s="56">
        <f t="shared" ca="1" si="281"/>
        <v>0</v>
      </c>
      <c r="AX608" s="56">
        <f t="shared" ca="1" si="282"/>
        <v>0</v>
      </c>
      <c r="AY608" s="56">
        <f t="shared" ca="1" si="283"/>
        <v>0</v>
      </c>
      <c r="AZ608" s="56">
        <f t="shared" ca="1" si="284"/>
        <v>0</v>
      </c>
      <c r="BA608" s="56">
        <f t="shared" ca="1" si="285"/>
        <v>0</v>
      </c>
      <c r="BB608" s="56">
        <f t="shared" ca="1" si="286"/>
        <v>0</v>
      </c>
      <c r="BC608" s="56">
        <f t="shared" ca="1" si="287"/>
        <v>0</v>
      </c>
      <c r="BD608" s="56">
        <f t="shared" ca="1" si="288"/>
        <v>0</v>
      </c>
      <c r="BE608" s="56">
        <f t="shared" ca="1" si="289"/>
        <v>0</v>
      </c>
      <c r="BF608" s="56">
        <f t="shared" ca="1" si="290"/>
        <v>0</v>
      </c>
      <c r="BG608" s="56">
        <f t="shared" ca="1" si="291"/>
        <v>0</v>
      </c>
      <c r="BH608" s="56">
        <f t="shared" ca="1" si="292"/>
        <v>0</v>
      </c>
      <c r="BI608" s="56">
        <f t="shared" ca="1" si="293"/>
        <v>0</v>
      </c>
      <c r="BJ608" s="56">
        <f t="shared" ca="1" si="294"/>
        <v>0</v>
      </c>
      <c r="BK608" s="56">
        <f t="shared" ca="1" si="295"/>
        <v>0</v>
      </c>
      <c r="BL608" s="56">
        <f t="shared" ca="1" si="296"/>
        <v>0</v>
      </c>
      <c r="BM608" s="56">
        <f t="shared" ca="1" si="297"/>
        <v>0</v>
      </c>
      <c r="BN608" s="56">
        <f t="shared" ca="1" si="298"/>
        <v>0</v>
      </c>
      <c r="BO608" s="56">
        <f t="shared" ca="1" si="299"/>
        <v>0</v>
      </c>
      <c r="BP608" s="56">
        <f t="shared" ca="1" si="300"/>
        <v>0</v>
      </c>
      <c r="BQ608" s="56">
        <f t="shared" ca="1" si="301"/>
        <v>0</v>
      </c>
      <c r="BR608" s="56">
        <f t="shared" ca="1" si="302"/>
        <v>0</v>
      </c>
      <c r="BS608" s="56">
        <f t="shared" ca="1" si="303"/>
        <v>0</v>
      </c>
      <c r="BT608" s="56">
        <f t="shared" ca="1" si="304"/>
        <v>0</v>
      </c>
      <c r="BU608" s="56">
        <f t="shared" ca="1" si="305"/>
        <v>0</v>
      </c>
      <c r="BV608" s="56">
        <f t="shared" ca="1" si="306"/>
        <v>0</v>
      </c>
      <c r="BW608" s="56">
        <f t="shared" ca="1" si="307"/>
        <v>0</v>
      </c>
      <c r="BX608" s="56">
        <f t="shared" ca="1" si="308"/>
        <v>0</v>
      </c>
      <c r="BY608" s="56">
        <f t="shared" ca="1" si="309"/>
        <v>0</v>
      </c>
      <c r="BZ608">
        <f t="shared" si="310"/>
        <v>0</v>
      </c>
      <c r="CA608">
        <f t="shared" si="310"/>
        <v>0</v>
      </c>
      <c r="CB608">
        <f t="shared" si="310"/>
        <v>0</v>
      </c>
      <c r="CC608" s="56">
        <f t="shared" ca="1" si="313"/>
        <v>0</v>
      </c>
      <c r="CD608" s="56">
        <f t="shared" ca="1" si="314"/>
        <v>0</v>
      </c>
      <c r="CE608" s="56">
        <f t="shared" ca="1" si="315"/>
        <v>0</v>
      </c>
      <c r="CF608" s="56">
        <f t="shared" ca="1" si="316"/>
        <v>0</v>
      </c>
      <c r="CG608" s="56">
        <f t="shared" ca="1" si="317"/>
        <v>0</v>
      </c>
      <c r="CH608" s="56">
        <f t="shared" ca="1" si="318"/>
        <v>0</v>
      </c>
      <c r="CI608" s="56">
        <f t="shared" ca="1" si="319"/>
        <v>0</v>
      </c>
      <c r="CJ608" s="56">
        <f t="shared" ca="1" si="320"/>
        <v>0</v>
      </c>
      <c r="CK608" s="56">
        <f t="shared" ca="1" si="321"/>
        <v>0</v>
      </c>
      <c r="CL608" s="56">
        <f t="shared" ca="1" si="322"/>
        <v>0</v>
      </c>
      <c r="CM608" s="56">
        <f t="shared" ca="1" si="323"/>
        <v>0</v>
      </c>
      <c r="CN608" s="56">
        <f t="shared" ca="1" si="324"/>
        <v>0</v>
      </c>
      <c r="CO608" s="56">
        <f t="shared" ca="1" si="325"/>
        <v>0</v>
      </c>
      <c r="CP608" s="56">
        <f t="shared" ca="1" si="326"/>
        <v>0</v>
      </c>
      <c r="CQ608" s="56">
        <f t="shared" ca="1" si="327"/>
        <v>0</v>
      </c>
      <c r="CR608" s="56">
        <f t="shared" ca="1" si="332"/>
        <v>0</v>
      </c>
      <c r="CS608" s="56">
        <f t="shared" ca="1" si="352"/>
        <v>0</v>
      </c>
      <c r="CT608" s="56">
        <f t="shared" ca="1" si="353"/>
        <v>0</v>
      </c>
      <c r="CU608" s="56">
        <f t="shared" ca="1" si="354"/>
        <v>0</v>
      </c>
      <c r="CV608" s="56">
        <f t="shared" ca="1" si="355"/>
        <v>0</v>
      </c>
      <c r="CW608" s="56">
        <f t="shared" ca="1" si="356"/>
        <v>0</v>
      </c>
      <c r="CX608" s="56">
        <f t="shared" ca="1" si="357"/>
        <v>0</v>
      </c>
      <c r="CY608" s="56">
        <f t="shared" ca="1" si="358"/>
        <v>0</v>
      </c>
      <c r="CZ608" s="56">
        <f t="shared" ca="1" si="359"/>
        <v>0</v>
      </c>
      <c r="DA608" s="56">
        <f t="shared" ca="1" si="360"/>
        <v>0</v>
      </c>
      <c r="DB608" s="56">
        <f t="shared" ca="1" si="361"/>
        <v>0</v>
      </c>
      <c r="DC608" s="56">
        <f t="shared" ca="1" si="362"/>
        <v>0</v>
      </c>
      <c r="DD608" s="56">
        <f t="shared" ca="1" si="363"/>
        <v>0</v>
      </c>
      <c r="DE608" s="56">
        <f t="shared" ca="1" si="364"/>
        <v>0</v>
      </c>
      <c r="DF608" s="56">
        <f t="shared" ca="1" si="365"/>
        <v>0</v>
      </c>
      <c r="DG608" s="56">
        <f t="shared" ca="1" si="366"/>
        <v>0</v>
      </c>
      <c r="DH608" s="56">
        <f t="shared" ca="1" si="367"/>
        <v>0</v>
      </c>
      <c r="DI608" s="56">
        <f t="shared" ca="1" si="334"/>
        <v>0</v>
      </c>
      <c r="DJ608" s="56">
        <f t="shared" ca="1" si="335"/>
        <v>0</v>
      </c>
      <c r="DK608" s="56">
        <f t="shared" ca="1" si="336"/>
        <v>0</v>
      </c>
      <c r="DL608" s="56">
        <f t="shared" ca="1" si="337"/>
        <v>0</v>
      </c>
      <c r="DM608" s="56">
        <f t="shared" ca="1" si="338"/>
        <v>0</v>
      </c>
      <c r="DN608" s="56">
        <f t="shared" ca="1" si="339"/>
        <v>0</v>
      </c>
      <c r="DO608" s="56">
        <f t="shared" ca="1" si="340"/>
        <v>0</v>
      </c>
      <c r="DP608" s="56">
        <f t="shared" ca="1" si="341"/>
        <v>0</v>
      </c>
      <c r="DQ608" s="56">
        <f t="shared" ca="1" si="342"/>
        <v>0</v>
      </c>
      <c r="DR608" s="56">
        <f t="shared" ca="1" si="343"/>
        <v>0</v>
      </c>
      <c r="DS608" s="56">
        <f t="shared" ca="1" si="344"/>
        <v>0</v>
      </c>
      <c r="DT608" s="56">
        <f t="shared" ca="1" si="345"/>
        <v>0</v>
      </c>
      <c r="DU608" s="56">
        <f t="shared" ca="1" si="346"/>
        <v>0</v>
      </c>
      <c r="DV608" s="56">
        <f t="shared" ca="1" si="347"/>
        <v>0</v>
      </c>
      <c r="DW608" s="56">
        <f t="shared" ca="1" si="348"/>
        <v>0</v>
      </c>
      <c r="DX608" s="56">
        <f t="shared" ca="1" si="349"/>
        <v>0</v>
      </c>
      <c r="DY608" s="56">
        <f t="shared" ca="1" si="350"/>
        <v>0</v>
      </c>
      <c r="DZ608" s="56">
        <f t="shared" ca="1" si="351"/>
        <v>0</v>
      </c>
    </row>
    <row r="609" spans="28:130">
      <c r="AB609" s="56">
        <f t="shared" ca="1" si="260"/>
        <v>0</v>
      </c>
      <c r="AC609" s="56">
        <f t="shared" ca="1" si="261"/>
        <v>0</v>
      </c>
      <c r="AD609" s="56">
        <f t="shared" ca="1" si="262"/>
        <v>0</v>
      </c>
      <c r="AE609" s="56">
        <f t="shared" ca="1" si="263"/>
        <v>0</v>
      </c>
      <c r="AF609" s="56">
        <f t="shared" ca="1" si="264"/>
        <v>0</v>
      </c>
      <c r="AG609" s="56">
        <f t="shared" ca="1" si="265"/>
        <v>0</v>
      </c>
      <c r="AH609" s="56">
        <f t="shared" ca="1" si="266"/>
        <v>0</v>
      </c>
      <c r="AI609" s="56">
        <f t="shared" ca="1" si="267"/>
        <v>0</v>
      </c>
      <c r="AJ609" s="56">
        <f t="shared" ca="1" si="268"/>
        <v>0</v>
      </c>
      <c r="AK609" s="56">
        <f t="shared" ca="1" si="269"/>
        <v>0</v>
      </c>
      <c r="AL609" s="56">
        <f t="shared" ca="1" si="270"/>
        <v>0</v>
      </c>
      <c r="AM609" s="56">
        <f t="shared" ca="1" si="271"/>
        <v>0</v>
      </c>
      <c r="AN609" s="56">
        <f t="shared" ca="1" si="272"/>
        <v>0</v>
      </c>
      <c r="AO609" s="56">
        <f t="shared" ca="1" si="273"/>
        <v>0</v>
      </c>
      <c r="AP609" s="56">
        <f t="shared" ca="1" si="274"/>
        <v>0</v>
      </c>
      <c r="AQ609" s="56">
        <f t="shared" ca="1" si="275"/>
        <v>0</v>
      </c>
      <c r="AR609" s="56">
        <f t="shared" ca="1" si="276"/>
        <v>0</v>
      </c>
      <c r="AS609" s="56">
        <f t="shared" ca="1" si="277"/>
        <v>0</v>
      </c>
      <c r="AT609" s="56">
        <f t="shared" ca="1" si="278"/>
        <v>0</v>
      </c>
      <c r="AU609" s="56">
        <f t="shared" ca="1" si="279"/>
        <v>0</v>
      </c>
      <c r="AV609" s="56">
        <f t="shared" ca="1" si="280"/>
        <v>0</v>
      </c>
      <c r="AW609" s="56">
        <f t="shared" ca="1" si="281"/>
        <v>0</v>
      </c>
      <c r="AX609" s="56">
        <f t="shared" ca="1" si="282"/>
        <v>0</v>
      </c>
      <c r="AY609" s="56">
        <f t="shared" ca="1" si="283"/>
        <v>0</v>
      </c>
      <c r="AZ609" s="56">
        <f t="shared" ca="1" si="284"/>
        <v>0</v>
      </c>
      <c r="BA609" s="56">
        <f t="shared" ca="1" si="285"/>
        <v>0</v>
      </c>
      <c r="BB609" s="56">
        <f t="shared" ca="1" si="286"/>
        <v>0</v>
      </c>
      <c r="BC609" s="56">
        <f t="shared" ca="1" si="287"/>
        <v>0</v>
      </c>
      <c r="BD609" s="56">
        <f t="shared" ca="1" si="288"/>
        <v>0</v>
      </c>
      <c r="BE609" s="56">
        <f t="shared" ca="1" si="289"/>
        <v>0</v>
      </c>
      <c r="BF609" s="56">
        <f t="shared" ca="1" si="290"/>
        <v>0</v>
      </c>
      <c r="BG609" s="56">
        <f t="shared" ca="1" si="291"/>
        <v>0</v>
      </c>
      <c r="BH609" s="56">
        <f t="shared" ca="1" si="292"/>
        <v>0</v>
      </c>
      <c r="BI609" s="56">
        <f t="shared" ca="1" si="293"/>
        <v>0</v>
      </c>
      <c r="BJ609" s="56">
        <f t="shared" ca="1" si="294"/>
        <v>0</v>
      </c>
      <c r="BK609" s="56">
        <f t="shared" ca="1" si="295"/>
        <v>0</v>
      </c>
      <c r="BL609" s="56">
        <f t="shared" ca="1" si="296"/>
        <v>0</v>
      </c>
      <c r="BM609" s="56">
        <f t="shared" ca="1" si="297"/>
        <v>0</v>
      </c>
      <c r="BN609" s="56">
        <f t="shared" ca="1" si="298"/>
        <v>0</v>
      </c>
      <c r="BO609" s="56">
        <f t="shared" ca="1" si="299"/>
        <v>0</v>
      </c>
      <c r="BP609" s="56">
        <f t="shared" ca="1" si="300"/>
        <v>0</v>
      </c>
      <c r="BQ609" s="56">
        <f t="shared" ca="1" si="301"/>
        <v>0</v>
      </c>
      <c r="BR609" s="56">
        <f t="shared" ca="1" si="302"/>
        <v>0</v>
      </c>
      <c r="BS609" s="56">
        <f t="shared" ca="1" si="303"/>
        <v>0</v>
      </c>
      <c r="BT609" s="56">
        <f t="shared" ca="1" si="304"/>
        <v>0</v>
      </c>
      <c r="BU609" s="56">
        <f t="shared" ca="1" si="305"/>
        <v>0</v>
      </c>
      <c r="BV609" s="56">
        <f t="shared" ca="1" si="306"/>
        <v>0</v>
      </c>
      <c r="BW609" s="56">
        <f t="shared" ca="1" si="307"/>
        <v>0</v>
      </c>
      <c r="BX609" s="56">
        <f t="shared" ca="1" si="308"/>
        <v>0</v>
      </c>
      <c r="BY609" s="56">
        <f t="shared" ca="1" si="309"/>
        <v>0</v>
      </c>
      <c r="BZ609">
        <f t="shared" si="310"/>
        <v>0</v>
      </c>
      <c r="CA609">
        <f t="shared" si="310"/>
        <v>0</v>
      </c>
      <c r="CB609">
        <f t="shared" si="310"/>
        <v>0</v>
      </c>
      <c r="CC609" s="56">
        <f t="shared" ca="1" si="313"/>
        <v>0</v>
      </c>
      <c r="CD609" s="56">
        <f t="shared" ca="1" si="314"/>
        <v>0</v>
      </c>
      <c r="CE609" s="56">
        <f t="shared" ca="1" si="315"/>
        <v>0</v>
      </c>
      <c r="CF609" s="56">
        <f t="shared" ca="1" si="316"/>
        <v>0</v>
      </c>
      <c r="CG609" s="56">
        <f t="shared" ca="1" si="317"/>
        <v>0</v>
      </c>
      <c r="CH609" s="56">
        <f t="shared" ca="1" si="318"/>
        <v>0</v>
      </c>
      <c r="CI609" s="56">
        <f t="shared" ca="1" si="319"/>
        <v>0</v>
      </c>
      <c r="CJ609" s="56">
        <f t="shared" ca="1" si="320"/>
        <v>0</v>
      </c>
      <c r="CK609" s="56">
        <f t="shared" ca="1" si="321"/>
        <v>0</v>
      </c>
      <c r="CL609" s="56">
        <f t="shared" ca="1" si="322"/>
        <v>0</v>
      </c>
      <c r="CM609" s="56">
        <f t="shared" ca="1" si="323"/>
        <v>0</v>
      </c>
      <c r="CN609" s="56">
        <f t="shared" ca="1" si="324"/>
        <v>0</v>
      </c>
      <c r="CO609" s="56">
        <f t="shared" ca="1" si="325"/>
        <v>0</v>
      </c>
      <c r="CP609" s="56">
        <f t="shared" ca="1" si="326"/>
        <v>0</v>
      </c>
      <c r="CQ609" s="56">
        <f t="shared" ca="1" si="327"/>
        <v>0</v>
      </c>
      <c r="CR609" s="56">
        <f t="shared" ca="1" si="332"/>
        <v>0</v>
      </c>
      <c r="CS609" s="56">
        <f t="shared" ca="1" si="352"/>
        <v>0</v>
      </c>
      <c r="CT609" s="56">
        <f t="shared" ca="1" si="353"/>
        <v>0</v>
      </c>
      <c r="CU609" s="56">
        <f t="shared" ca="1" si="354"/>
        <v>0</v>
      </c>
      <c r="CV609" s="56">
        <f t="shared" ca="1" si="355"/>
        <v>0</v>
      </c>
      <c r="CW609" s="56">
        <f t="shared" ca="1" si="356"/>
        <v>0</v>
      </c>
      <c r="CX609" s="56">
        <f t="shared" ca="1" si="357"/>
        <v>0</v>
      </c>
      <c r="CY609" s="56">
        <f t="shared" ca="1" si="358"/>
        <v>0</v>
      </c>
      <c r="CZ609" s="56">
        <f t="shared" ca="1" si="359"/>
        <v>0</v>
      </c>
      <c r="DA609" s="56">
        <f t="shared" ca="1" si="360"/>
        <v>0</v>
      </c>
      <c r="DB609" s="56">
        <f t="shared" ca="1" si="361"/>
        <v>0</v>
      </c>
      <c r="DC609" s="56">
        <f t="shared" ca="1" si="362"/>
        <v>0</v>
      </c>
      <c r="DD609" s="56">
        <f t="shared" ca="1" si="363"/>
        <v>0</v>
      </c>
      <c r="DE609" s="56">
        <f t="shared" ca="1" si="364"/>
        <v>0</v>
      </c>
      <c r="DF609" s="56">
        <f t="shared" ca="1" si="365"/>
        <v>0</v>
      </c>
      <c r="DG609" s="56">
        <f t="shared" ca="1" si="366"/>
        <v>0</v>
      </c>
      <c r="DH609" s="56">
        <f t="shared" ca="1" si="367"/>
        <v>0</v>
      </c>
      <c r="DI609" s="56">
        <f t="shared" ca="1" si="334"/>
        <v>0</v>
      </c>
      <c r="DJ609" s="56">
        <f t="shared" ca="1" si="335"/>
        <v>0</v>
      </c>
      <c r="DK609" s="56">
        <f t="shared" ca="1" si="336"/>
        <v>0</v>
      </c>
      <c r="DL609" s="56">
        <f t="shared" ca="1" si="337"/>
        <v>0</v>
      </c>
      <c r="DM609" s="56">
        <f t="shared" ca="1" si="338"/>
        <v>0</v>
      </c>
      <c r="DN609" s="56">
        <f t="shared" ca="1" si="339"/>
        <v>0</v>
      </c>
      <c r="DO609" s="56">
        <f t="shared" ca="1" si="340"/>
        <v>0</v>
      </c>
      <c r="DP609" s="56">
        <f t="shared" ca="1" si="341"/>
        <v>0</v>
      </c>
      <c r="DQ609" s="56">
        <f t="shared" ca="1" si="342"/>
        <v>0</v>
      </c>
      <c r="DR609" s="56">
        <f t="shared" ca="1" si="343"/>
        <v>0</v>
      </c>
      <c r="DS609" s="56">
        <f t="shared" ca="1" si="344"/>
        <v>0</v>
      </c>
      <c r="DT609" s="56">
        <f t="shared" ca="1" si="345"/>
        <v>0</v>
      </c>
      <c r="DU609" s="56">
        <f t="shared" ca="1" si="346"/>
        <v>0</v>
      </c>
      <c r="DV609" s="56">
        <f t="shared" ca="1" si="347"/>
        <v>0</v>
      </c>
      <c r="DW609" s="56">
        <f t="shared" ca="1" si="348"/>
        <v>0</v>
      </c>
      <c r="DX609" s="56">
        <f t="shared" ca="1" si="349"/>
        <v>0</v>
      </c>
      <c r="DY609" s="56">
        <f t="shared" ca="1" si="350"/>
        <v>0</v>
      </c>
      <c r="DZ609" s="56">
        <f t="shared" ca="1" si="351"/>
        <v>0</v>
      </c>
    </row>
    <row r="610" spans="28:130">
      <c r="AB610" s="56">
        <f t="shared" ca="1" si="260"/>
        <v>0</v>
      </c>
      <c r="AC610" s="56">
        <f t="shared" ca="1" si="261"/>
        <v>0</v>
      </c>
      <c r="AD610" s="56">
        <f t="shared" ca="1" si="262"/>
        <v>0</v>
      </c>
      <c r="AE610" s="56">
        <f t="shared" ca="1" si="263"/>
        <v>0</v>
      </c>
      <c r="AF610" s="56">
        <f t="shared" ca="1" si="264"/>
        <v>0</v>
      </c>
      <c r="AG610" s="56">
        <f t="shared" ca="1" si="265"/>
        <v>0</v>
      </c>
      <c r="AH610" s="56">
        <f t="shared" ca="1" si="266"/>
        <v>0</v>
      </c>
      <c r="AI610" s="56">
        <f t="shared" ca="1" si="267"/>
        <v>0</v>
      </c>
      <c r="AJ610" s="56">
        <f t="shared" ca="1" si="268"/>
        <v>0</v>
      </c>
      <c r="AK610" s="56">
        <f t="shared" ca="1" si="269"/>
        <v>0</v>
      </c>
      <c r="AL610" s="56">
        <f t="shared" ca="1" si="270"/>
        <v>0</v>
      </c>
      <c r="AM610" s="56">
        <f t="shared" ca="1" si="271"/>
        <v>0</v>
      </c>
      <c r="AN610" s="56">
        <f t="shared" ca="1" si="272"/>
        <v>0</v>
      </c>
      <c r="AO610" s="56">
        <f t="shared" ca="1" si="273"/>
        <v>0</v>
      </c>
      <c r="AP610" s="56">
        <f t="shared" ca="1" si="274"/>
        <v>0</v>
      </c>
      <c r="AQ610" s="56">
        <f t="shared" ca="1" si="275"/>
        <v>0</v>
      </c>
      <c r="AR610" s="56">
        <f t="shared" ca="1" si="276"/>
        <v>0</v>
      </c>
      <c r="AS610" s="56">
        <f t="shared" ca="1" si="277"/>
        <v>0</v>
      </c>
      <c r="AT610" s="56">
        <f t="shared" ca="1" si="278"/>
        <v>0</v>
      </c>
      <c r="AU610" s="56">
        <f t="shared" ca="1" si="279"/>
        <v>0</v>
      </c>
      <c r="AV610" s="56">
        <f t="shared" ca="1" si="280"/>
        <v>0</v>
      </c>
      <c r="AW610" s="56">
        <f t="shared" ca="1" si="281"/>
        <v>0</v>
      </c>
      <c r="AX610" s="56">
        <f t="shared" ca="1" si="282"/>
        <v>0</v>
      </c>
      <c r="AY610" s="56">
        <f t="shared" ca="1" si="283"/>
        <v>0</v>
      </c>
      <c r="AZ610" s="56">
        <f t="shared" ca="1" si="284"/>
        <v>0</v>
      </c>
      <c r="BA610" s="56">
        <f t="shared" ca="1" si="285"/>
        <v>0</v>
      </c>
      <c r="BB610" s="56">
        <f t="shared" ca="1" si="286"/>
        <v>0</v>
      </c>
      <c r="BC610" s="56">
        <f t="shared" ca="1" si="287"/>
        <v>0</v>
      </c>
      <c r="BD610" s="56">
        <f t="shared" ca="1" si="288"/>
        <v>0</v>
      </c>
      <c r="BE610" s="56">
        <f t="shared" ca="1" si="289"/>
        <v>0</v>
      </c>
      <c r="BF610" s="56">
        <f t="shared" ca="1" si="290"/>
        <v>0</v>
      </c>
      <c r="BG610" s="56">
        <f t="shared" ca="1" si="291"/>
        <v>0</v>
      </c>
      <c r="BH610" s="56">
        <f t="shared" ca="1" si="292"/>
        <v>0</v>
      </c>
      <c r="BI610" s="56">
        <f t="shared" ca="1" si="293"/>
        <v>0</v>
      </c>
      <c r="BJ610" s="56">
        <f t="shared" ca="1" si="294"/>
        <v>0</v>
      </c>
      <c r="BK610" s="56">
        <f t="shared" ca="1" si="295"/>
        <v>0</v>
      </c>
      <c r="BL610" s="56">
        <f t="shared" ca="1" si="296"/>
        <v>0</v>
      </c>
      <c r="BM610" s="56">
        <f t="shared" ca="1" si="297"/>
        <v>0</v>
      </c>
      <c r="BN610" s="56">
        <f t="shared" ca="1" si="298"/>
        <v>0</v>
      </c>
      <c r="BO610" s="56">
        <f t="shared" ca="1" si="299"/>
        <v>0</v>
      </c>
      <c r="BP610" s="56">
        <f t="shared" ca="1" si="300"/>
        <v>0</v>
      </c>
      <c r="BQ610" s="56">
        <f t="shared" ca="1" si="301"/>
        <v>0</v>
      </c>
      <c r="BR610" s="56">
        <f t="shared" ca="1" si="302"/>
        <v>0</v>
      </c>
      <c r="BS610" s="56">
        <f t="shared" ca="1" si="303"/>
        <v>0</v>
      </c>
      <c r="BT610" s="56">
        <f t="shared" ca="1" si="304"/>
        <v>0</v>
      </c>
      <c r="BU610" s="56">
        <f t="shared" ca="1" si="305"/>
        <v>0</v>
      </c>
      <c r="BV610" s="56">
        <f t="shared" ca="1" si="306"/>
        <v>0</v>
      </c>
      <c r="BW610" s="56">
        <f t="shared" ca="1" si="307"/>
        <v>0</v>
      </c>
      <c r="BX610" s="56">
        <f t="shared" ca="1" si="308"/>
        <v>0</v>
      </c>
      <c r="BY610" s="56">
        <f t="shared" ca="1" si="309"/>
        <v>0</v>
      </c>
      <c r="BZ610">
        <f t="shared" si="310"/>
        <v>0</v>
      </c>
      <c r="CA610">
        <f t="shared" si="310"/>
        <v>0</v>
      </c>
      <c r="CB610">
        <f t="shared" si="310"/>
        <v>0</v>
      </c>
      <c r="CC610" s="56">
        <f t="shared" ca="1" si="313"/>
        <v>0</v>
      </c>
      <c r="CD610" s="56">
        <f t="shared" ca="1" si="314"/>
        <v>0</v>
      </c>
      <c r="CE610" s="56">
        <f t="shared" ca="1" si="315"/>
        <v>0</v>
      </c>
      <c r="CF610" s="56">
        <f t="shared" ca="1" si="316"/>
        <v>0</v>
      </c>
      <c r="CG610" s="56">
        <f t="shared" ca="1" si="317"/>
        <v>0</v>
      </c>
      <c r="CH610" s="56">
        <f t="shared" ca="1" si="318"/>
        <v>0</v>
      </c>
      <c r="CI610" s="56">
        <f t="shared" ca="1" si="319"/>
        <v>0</v>
      </c>
      <c r="CJ610" s="56">
        <f t="shared" ca="1" si="320"/>
        <v>0</v>
      </c>
      <c r="CK610" s="56">
        <f t="shared" ca="1" si="321"/>
        <v>0</v>
      </c>
      <c r="CL610" s="56">
        <f t="shared" ca="1" si="322"/>
        <v>0</v>
      </c>
      <c r="CM610" s="56">
        <f t="shared" ca="1" si="323"/>
        <v>0</v>
      </c>
      <c r="CN610" s="56">
        <f t="shared" ca="1" si="324"/>
        <v>0</v>
      </c>
      <c r="CO610" s="56">
        <f t="shared" ca="1" si="325"/>
        <v>0</v>
      </c>
      <c r="CP610" s="56">
        <f t="shared" ca="1" si="326"/>
        <v>0</v>
      </c>
      <c r="CQ610" s="56">
        <f t="shared" ca="1" si="327"/>
        <v>0</v>
      </c>
      <c r="CR610" s="56">
        <f t="shared" ca="1" si="332"/>
        <v>0</v>
      </c>
      <c r="CS610" s="56">
        <f t="shared" ca="1" si="352"/>
        <v>0</v>
      </c>
      <c r="CT610" s="56">
        <f t="shared" ca="1" si="353"/>
        <v>0</v>
      </c>
      <c r="CU610" s="56">
        <f t="shared" ca="1" si="354"/>
        <v>0</v>
      </c>
      <c r="CV610" s="56">
        <f t="shared" ca="1" si="355"/>
        <v>0</v>
      </c>
      <c r="CW610" s="56">
        <f t="shared" ca="1" si="356"/>
        <v>0</v>
      </c>
      <c r="CX610" s="56">
        <f t="shared" ca="1" si="357"/>
        <v>0</v>
      </c>
      <c r="CY610" s="56">
        <f t="shared" ca="1" si="358"/>
        <v>0</v>
      </c>
      <c r="CZ610" s="56">
        <f t="shared" ca="1" si="359"/>
        <v>0</v>
      </c>
      <c r="DA610" s="56">
        <f t="shared" ca="1" si="360"/>
        <v>0</v>
      </c>
      <c r="DB610" s="56">
        <f t="shared" ca="1" si="361"/>
        <v>0</v>
      </c>
      <c r="DC610" s="56">
        <f t="shared" ca="1" si="362"/>
        <v>0</v>
      </c>
      <c r="DD610" s="56">
        <f t="shared" ca="1" si="363"/>
        <v>0</v>
      </c>
      <c r="DE610" s="56">
        <f t="shared" ca="1" si="364"/>
        <v>0</v>
      </c>
      <c r="DF610" s="56">
        <f t="shared" ca="1" si="365"/>
        <v>0</v>
      </c>
      <c r="DG610" s="56">
        <f t="shared" ca="1" si="366"/>
        <v>0</v>
      </c>
      <c r="DH610" s="56">
        <f t="shared" ca="1" si="367"/>
        <v>0</v>
      </c>
      <c r="DI610" s="56">
        <f t="shared" ca="1" si="334"/>
        <v>0</v>
      </c>
      <c r="DJ610" s="56">
        <f t="shared" ca="1" si="335"/>
        <v>0</v>
      </c>
      <c r="DK610" s="56">
        <f t="shared" ca="1" si="336"/>
        <v>0</v>
      </c>
      <c r="DL610" s="56">
        <f t="shared" ca="1" si="337"/>
        <v>0</v>
      </c>
      <c r="DM610" s="56">
        <f t="shared" ca="1" si="338"/>
        <v>0</v>
      </c>
      <c r="DN610" s="56">
        <f t="shared" ca="1" si="339"/>
        <v>0</v>
      </c>
      <c r="DO610" s="56">
        <f t="shared" ca="1" si="340"/>
        <v>0</v>
      </c>
      <c r="DP610" s="56">
        <f t="shared" ca="1" si="341"/>
        <v>0</v>
      </c>
      <c r="DQ610" s="56">
        <f t="shared" ca="1" si="342"/>
        <v>0</v>
      </c>
      <c r="DR610" s="56">
        <f t="shared" ca="1" si="343"/>
        <v>0</v>
      </c>
      <c r="DS610" s="56">
        <f t="shared" ca="1" si="344"/>
        <v>0</v>
      </c>
      <c r="DT610" s="56">
        <f t="shared" ca="1" si="345"/>
        <v>0</v>
      </c>
      <c r="DU610" s="56">
        <f t="shared" ca="1" si="346"/>
        <v>0</v>
      </c>
      <c r="DV610" s="56">
        <f t="shared" ca="1" si="347"/>
        <v>0</v>
      </c>
      <c r="DW610" s="56">
        <f t="shared" ca="1" si="348"/>
        <v>0</v>
      </c>
      <c r="DX610" s="56">
        <f t="shared" ca="1" si="349"/>
        <v>0</v>
      </c>
      <c r="DY610" s="56">
        <f t="shared" ca="1" si="350"/>
        <v>0</v>
      </c>
      <c r="DZ610" s="56">
        <f t="shared" ca="1" si="351"/>
        <v>0</v>
      </c>
    </row>
    <row r="611" spans="28:130">
      <c r="AB611" s="56">
        <f t="shared" ca="1" si="260"/>
        <v>0</v>
      </c>
      <c r="AC611" s="56">
        <f t="shared" ca="1" si="261"/>
        <v>0</v>
      </c>
      <c r="AD611" s="56">
        <f t="shared" ca="1" si="262"/>
        <v>0</v>
      </c>
      <c r="AE611" s="56">
        <f t="shared" ca="1" si="263"/>
        <v>0</v>
      </c>
      <c r="AF611" s="56">
        <f t="shared" ca="1" si="264"/>
        <v>0</v>
      </c>
      <c r="AG611" s="56">
        <f t="shared" ca="1" si="265"/>
        <v>0</v>
      </c>
      <c r="AH611" s="56">
        <f t="shared" ca="1" si="266"/>
        <v>0</v>
      </c>
      <c r="AI611" s="56">
        <f t="shared" ca="1" si="267"/>
        <v>0</v>
      </c>
      <c r="AJ611" s="56">
        <f t="shared" ca="1" si="268"/>
        <v>0</v>
      </c>
      <c r="AK611" s="56">
        <f t="shared" ca="1" si="269"/>
        <v>0</v>
      </c>
      <c r="AL611" s="56">
        <f t="shared" ca="1" si="270"/>
        <v>0</v>
      </c>
      <c r="AM611" s="56">
        <f t="shared" ca="1" si="271"/>
        <v>0</v>
      </c>
      <c r="AN611" s="56">
        <f t="shared" ca="1" si="272"/>
        <v>0</v>
      </c>
      <c r="AO611" s="56">
        <f t="shared" ca="1" si="273"/>
        <v>0</v>
      </c>
      <c r="AP611" s="56">
        <f t="shared" ca="1" si="274"/>
        <v>0</v>
      </c>
      <c r="AQ611" s="56">
        <f t="shared" ca="1" si="275"/>
        <v>0</v>
      </c>
      <c r="AR611" s="56">
        <f t="shared" ca="1" si="276"/>
        <v>0</v>
      </c>
      <c r="AS611" s="56">
        <f t="shared" ca="1" si="277"/>
        <v>0</v>
      </c>
      <c r="AT611" s="56">
        <f t="shared" ca="1" si="278"/>
        <v>0</v>
      </c>
      <c r="AU611" s="56">
        <f t="shared" ca="1" si="279"/>
        <v>0</v>
      </c>
      <c r="AV611" s="56">
        <f t="shared" ca="1" si="280"/>
        <v>0</v>
      </c>
      <c r="AW611" s="56">
        <f t="shared" ca="1" si="281"/>
        <v>0</v>
      </c>
      <c r="AX611" s="56">
        <f t="shared" ca="1" si="282"/>
        <v>0</v>
      </c>
      <c r="AY611" s="56">
        <f t="shared" ca="1" si="283"/>
        <v>0</v>
      </c>
      <c r="AZ611" s="56">
        <f t="shared" ca="1" si="284"/>
        <v>0</v>
      </c>
      <c r="BA611" s="56">
        <f t="shared" ca="1" si="285"/>
        <v>0</v>
      </c>
      <c r="BB611" s="56">
        <f t="shared" ca="1" si="286"/>
        <v>0</v>
      </c>
      <c r="BC611" s="56">
        <f t="shared" ca="1" si="287"/>
        <v>0</v>
      </c>
      <c r="BD611" s="56">
        <f t="shared" ca="1" si="288"/>
        <v>0</v>
      </c>
      <c r="BE611" s="56">
        <f t="shared" ca="1" si="289"/>
        <v>0</v>
      </c>
      <c r="BF611" s="56">
        <f t="shared" ca="1" si="290"/>
        <v>0</v>
      </c>
      <c r="BG611" s="56">
        <f t="shared" ca="1" si="291"/>
        <v>0</v>
      </c>
      <c r="BH611" s="56">
        <f t="shared" ca="1" si="292"/>
        <v>0</v>
      </c>
      <c r="BI611" s="56">
        <f t="shared" ca="1" si="293"/>
        <v>0</v>
      </c>
      <c r="BJ611" s="56">
        <f t="shared" ca="1" si="294"/>
        <v>0</v>
      </c>
      <c r="BK611" s="56">
        <f t="shared" ca="1" si="295"/>
        <v>0</v>
      </c>
      <c r="BL611" s="56">
        <f t="shared" ca="1" si="296"/>
        <v>0</v>
      </c>
      <c r="BM611" s="56">
        <f t="shared" ca="1" si="297"/>
        <v>0</v>
      </c>
      <c r="BN611" s="56">
        <f t="shared" ca="1" si="298"/>
        <v>0</v>
      </c>
      <c r="BO611" s="56">
        <f t="shared" ca="1" si="299"/>
        <v>0</v>
      </c>
      <c r="BP611" s="56">
        <f t="shared" ca="1" si="300"/>
        <v>0</v>
      </c>
      <c r="BQ611" s="56">
        <f t="shared" ca="1" si="301"/>
        <v>0</v>
      </c>
      <c r="BR611" s="56">
        <f t="shared" ca="1" si="302"/>
        <v>0</v>
      </c>
      <c r="BS611" s="56">
        <f t="shared" ca="1" si="303"/>
        <v>0</v>
      </c>
      <c r="BT611" s="56">
        <f t="shared" ca="1" si="304"/>
        <v>0</v>
      </c>
      <c r="BU611" s="56">
        <f t="shared" ca="1" si="305"/>
        <v>0</v>
      </c>
      <c r="BV611" s="56">
        <f t="shared" ca="1" si="306"/>
        <v>0</v>
      </c>
      <c r="BW611" s="56">
        <f t="shared" ca="1" si="307"/>
        <v>0</v>
      </c>
      <c r="BX611" s="56">
        <f t="shared" ca="1" si="308"/>
        <v>0</v>
      </c>
      <c r="BY611" s="56">
        <f t="shared" ca="1" si="309"/>
        <v>0</v>
      </c>
      <c r="BZ611">
        <f t="shared" si="310"/>
        <v>0</v>
      </c>
      <c r="CA611">
        <f t="shared" si="310"/>
        <v>0</v>
      </c>
      <c r="CB611">
        <f t="shared" si="310"/>
        <v>0</v>
      </c>
      <c r="CC611" s="56">
        <f t="shared" ca="1" si="313"/>
        <v>0</v>
      </c>
      <c r="CD611" s="56">
        <f t="shared" ca="1" si="314"/>
        <v>0</v>
      </c>
      <c r="CE611" s="56">
        <f t="shared" ca="1" si="315"/>
        <v>0</v>
      </c>
      <c r="CF611" s="56">
        <f t="shared" ca="1" si="316"/>
        <v>0</v>
      </c>
      <c r="CG611" s="56">
        <f t="shared" ca="1" si="317"/>
        <v>0</v>
      </c>
      <c r="CH611" s="56">
        <f t="shared" ca="1" si="318"/>
        <v>0</v>
      </c>
      <c r="CI611" s="56">
        <f t="shared" ca="1" si="319"/>
        <v>0</v>
      </c>
      <c r="CJ611" s="56">
        <f t="shared" ca="1" si="320"/>
        <v>0</v>
      </c>
      <c r="CK611" s="56">
        <f t="shared" ca="1" si="321"/>
        <v>0</v>
      </c>
      <c r="CL611" s="56">
        <f t="shared" ca="1" si="322"/>
        <v>0</v>
      </c>
      <c r="CM611" s="56">
        <f t="shared" ca="1" si="323"/>
        <v>0</v>
      </c>
      <c r="CN611" s="56">
        <f t="shared" ca="1" si="324"/>
        <v>0</v>
      </c>
      <c r="CO611" s="56">
        <f t="shared" ca="1" si="325"/>
        <v>0</v>
      </c>
      <c r="CP611" s="56">
        <f t="shared" ca="1" si="326"/>
        <v>0</v>
      </c>
      <c r="CQ611" s="56">
        <f t="shared" ca="1" si="327"/>
        <v>0</v>
      </c>
      <c r="CR611" s="56">
        <f t="shared" ca="1" si="332"/>
        <v>0</v>
      </c>
      <c r="CS611" s="56">
        <f t="shared" ca="1" si="352"/>
        <v>0</v>
      </c>
      <c r="CT611" s="56">
        <f t="shared" ca="1" si="353"/>
        <v>0</v>
      </c>
      <c r="CU611" s="56">
        <f t="shared" ca="1" si="354"/>
        <v>0</v>
      </c>
      <c r="CV611" s="56">
        <f t="shared" ca="1" si="355"/>
        <v>0</v>
      </c>
      <c r="CW611" s="56">
        <f t="shared" ca="1" si="356"/>
        <v>0</v>
      </c>
      <c r="CX611" s="56">
        <f t="shared" ca="1" si="357"/>
        <v>0</v>
      </c>
      <c r="CY611" s="56">
        <f t="shared" ca="1" si="358"/>
        <v>0</v>
      </c>
      <c r="CZ611" s="56">
        <f t="shared" ca="1" si="359"/>
        <v>0</v>
      </c>
      <c r="DA611" s="56">
        <f t="shared" ca="1" si="360"/>
        <v>0</v>
      </c>
      <c r="DB611" s="56">
        <f t="shared" ca="1" si="361"/>
        <v>0</v>
      </c>
      <c r="DC611" s="56">
        <f t="shared" ca="1" si="362"/>
        <v>0</v>
      </c>
      <c r="DD611" s="56">
        <f t="shared" ca="1" si="363"/>
        <v>0</v>
      </c>
      <c r="DE611" s="56">
        <f t="shared" ca="1" si="364"/>
        <v>0</v>
      </c>
      <c r="DF611" s="56">
        <f t="shared" ca="1" si="365"/>
        <v>0</v>
      </c>
      <c r="DG611" s="56">
        <f t="shared" ca="1" si="366"/>
        <v>0</v>
      </c>
      <c r="DH611" s="56">
        <f t="shared" ca="1" si="367"/>
        <v>0</v>
      </c>
      <c r="DI611" s="56">
        <f t="shared" ca="1" si="334"/>
        <v>0</v>
      </c>
      <c r="DJ611" s="56">
        <f t="shared" ca="1" si="335"/>
        <v>0</v>
      </c>
      <c r="DK611" s="56">
        <f t="shared" ca="1" si="336"/>
        <v>0</v>
      </c>
      <c r="DL611" s="56">
        <f t="shared" ca="1" si="337"/>
        <v>0</v>
      </c>
      <c r="DM611" s="56">
        <f t="shared" ca="1" si="338"/>
        <v>0</v>
      </c>
      <c r="DN611" s="56">
        <f t="shared" ca="1" si="339"/>
        <v>0</v>
      </c>
      <c r="DO611" s="56">
        <f t="shared" ca="1" si="340"/>
        <v>0</v>
      </c>
      <c r="DP611" s="56">
        <f t="shared" ca="1" si="341"/>
        <v>0</v>
      </c>
      <c r="DQ611" s="56">
        <f t="shared" ca="1" si="342"/>
        <v>0</v>
      </c>
      <c r="DR611" s="56">
        <f t="shared" ca="1" si="343"/>
        <v>0</v>
      </c>
      <c r="DS611" s="56">
        <f t="shared" ca="1" si="344"/>
        <v>0</v>
      </c>
      <c r="DT611" s="56">
        <f t="shared" ca="1" si="345"/>
        <v>0</v>
      </c>
      <c r="DU611" s="56">
        <f t="shared" ca="1" si="346"/>
        <v>0</v>
      </c>
      <c r="DV611" s="56">
        <f t="shared" ca="1" si="347"/>
        <v>0</v>
      </c>
      <c r="DW611" s="56">
        <f t="shared" ca="1" si="348"/>
        <v>0</v>
      </c>
      <c r="DX611" s="56">
        <f t="shared" ca="1" si="349"/>
        <v>0</v>
      </c>
      <c r="DY611" s="56">
        <f t="shared" ca="1" si="350"/>
        <v>0</v>
      </c>
      <c r="DZ611" s="56">
        <f t="shared" ca="1" si="351"/>
        <v>0</v>
      </c>
    </row>
    <row r="612" spans="28:130">
      <c r="AB612" s="56">
        <f t="shared" ca="1" si="260"/>
        <v>0</v>
      </c>
      <c r="AC612" s="56">
        <f t="shared" ca="1" si="261"/>
        <v>0</v>
      </c>
      <c r="AD612" s="56">
        <f t="shared" ca="1" si="262"/>
        <v>0</v>
      </c>
      <c r="AE612" s="56">
        <f t="shared" ca="1" si="263"/>
        <v>0</v>
      </c>
      <c r="AF612" s="56">
        <f t="shared" ca="1" si="264"/>
        <v>0</v>
      </c>
      <c r="AG612" s="56">
        <f t="shared" ca="1" si="265"/>
        <v>0</v>
      </c>
      <c r="AH612" s="56">
        <f t="shared" ca="1" si="266"/>
        <v>0</v>
      </c>
      <c r="AI612" s="56">
        <f t="shared" ca="1" si="267"/>
        <v>0</v>
      </c>
      <c r="AJ612" s="56">
        <f t="shared" ca="1" si="268"/>
        <v>0</v>
      </c>
      <c r="AK612" s="56">
        <f t="shared" ca="1" si="269"/>
        <v>0</v>
      </c>
      <c r="AL612" s="56">
        <f t="shared" ca="1" si="270"/>
        <v>0</v>
      </c>
      <c r="AM612" s="56">
        <f t="shared" ca="1" si="271"/>
        <v>0</v>
      </c>
      <c r="AN612" s="56">
        <f t="shared" ca="1" si="272"/>
        <v>0</v>
      </c>
      <c r="AO612" s="56">
        <f t="shared" ca="1" si="273"/>
        <v>0</v>
      </c>
      <c r="AP612" s="56">
        <f t="shared" ca="1" si="274"/>
        <v>0</v>
      </c>
      <c r="AQ612" s="56">
        <f t="shared" ca="1" si="275"/>
        <v>0</v>
      </c>
      <c r="AR612" s="56">
        <f t="shared" ca="1" si="276"/>
        <v>0</v>
      </c>
      <c r="AS612" s="56">
        <f t="shared" ca="1" si="277"/>
        <v>0</v>
      </c>
      <c r="AT612" s="56">
        <f t="shared" ca="1" si="278"/>
        <v>0</v>
      </c>
      <c r="AU612" s="56">
        <f t="shared" ca="1" si="279"/>
        <v>0</v>
      </c>
      <c r="AV612" s="56">
        <f t="shared" ca="1" si="280"/>
        <v>0</v>
      </c>
      <c r="AW612" s="56">
        <f t="shared" ca="1" si="281"/>
        <v>0</v>
      </c>
      <c r="AX612" s="56">
        <f t="shared" ca="1" si="282"/>
        <v>0</v>
      </c>
      <c r="AY612" s="56">
        <f t="shared" ca="1" si="283"/>
        <v>0</v>
      </c>
      <c r="AZ612" s="56">
        <f t="shared" ca="1" si="284"/>
        <v>0</v>
      </c>
      <c r="BA612" s="56">
        <f t="shared" ca="1" si="285"/>
        <v>0</v>
      </c>
      <c r="BB612" s="56">
        <f t="shared" ca="1" si="286"/>
        <v>0</v>
      </c>
      <c r="BC612" s="56">
        <f t="shared" ca="1" si="287"/>
        <v>0</v>
      </c>
      <c r="BD612" s="56">
        <f t="shared" ca="1" si="288"/>
        <v>0</v>
      </c>
      <c r="BE612" s="56">
        <f t="shared" ca="1" si="289"/>
        <v>0</v>
      </c>
      <c r="BF612" s="56">
        <f t="shared" ca="1" si="290"/>
        <v>0</v>
      </c>
      <c r="BG612" s="56">
        <f t="shared" ca="1" si="291"/>
        <v>0</v>
      </c>
      <c r="BH612" s="56">
        <f t="shared" ca="1" si="292"/>
        <v>0</v>
      </c>
      <c r="BI612" s="56">
        <f t="shared" ca="1" si="293"/>
        <v>0</v>
      </c>
      <c r="BJ612" s="56">
        <f t="shared" ca="1" si="294"/>
        <v>0</v>
      </c>
      <c r="BK612" s="56">
        <f t="shared" ca="1" si="295"/>
        <v>0</v>
      </c>
      <c r="BL612" s="56">
        <f t="shared" ca="1" si="296"/>
        <v>0</v>
      </c>
      <c r="BM612" s="56">
        <f t="shared" ca="1" si="297"/>
        <v>0</v>
      </c>
      <c r="BN612" s="56">
        <f t="shared" ca="1" si="298"/>
        <v>0</v>
      </c>
      <c r="BO612" s="56">
        <f t="shared" ca="1" si="299"/>
        <v>0</v>
      </c>
      <c r="BP612" s="56">
        <f t="shared" ca="1" si="300"/>
        <v>0</v>
      </c>
      <c r="BQ612" s="56">
        <f t="shared" ca="1" si="301"/>
        <v>0</v>
      </c>
      <c r="BR612" s="56">
        <f t="shared" ca="1" si="302"/>
        <v>0</v>
      </c>
      <c r="BS612" s="56">
        <f t="shared" ca="1" si="303"/>
        <v>0</v>
      </c>
      <c r="BT612" s="56">
        <f t="shared" ca="1" si="304"/>
        <v>0</v>
      </c>
      <c r="BU612" s="56">
        <f t="shared" ca="1" si="305"/>
        <v>0</v>
      </c>
      <c r="BV612" s="56">
        <f t="shared" ca="1" si="306"/>
        <v>0</v>
      </c>
      <c r="BW612" s="56">
        <f t="shared" ca="1" si="307"/>
        <v>0</v>
      </c>
      <c r="BX612" s="56">
        <f t="shared" ca="1" si="308"/>
        <v>0</v>
      </c>
      <c r="BY612" s="56">
        <f t="shared" ca="1" si="309"/>
        <v>0</v>
      </c>
      <c r="BZ612">
        <f t="shared" ref="BZ612:CB613" si="368">IF(AND($M374&lt;=BZ$383,$M374&gt;CA$383),1,IF(AND($M374&gt;=BZ$383,$M374&lt;CA$383),1,IF(AND($M374=BZ$383),1,IF(AND($M374&lt;=BZ$388,$M374&gt;CA$388),1,IF(AND($M374&gt;=BZ$388,$M374&lt;CA$388),1,IF(BZ$388=$M374,2,0))))))</f>
        <v>0</v>
      </c>
      <c r="CA612">
        <f t="shared" si="368"/>
        <v>0</v>
      </c>
      <c r="CB612">
        <f t="shared" si="368"/>
        <v>0</v>
      </c>
      <c r="CC612" s="56">
        <f t="shared" ca="1" si="313"/>
        <v>0</v>
      </c>
      <c r="CD612" s="56">
        <f t="shared" ca="1" si="314"/>
        <v>0</v>
      </c>
      <c r="CE612" s="56">
        <f t="shared" ca="1" si="315"/>
        <v>0</v>
      </c>
      <c r="CF612" s="56">
        <f t="shared" ca="1" si="316"/>
        <v>0</v>
      </c>
      <c r="CG612" s="56">
        <f t="shared" ca="1" si="317"/>
        <v>0</v>
      </c>
      <c r="CH612" s="56">
        <f t="shared" ca="1" si="318"/>
        <v>0</v>
      </c>
      <c r="CI612" s="56">
        <f t="shared" ca="1" si="319"/>
        <v>0</v>
      </c>
      <c r="CJ612" s="56">
        <f t="shared" ca="1" si="320"/>
        <v>0</v>
      </c>
      <c r="CK612" s="56">
        <f t="shared" ca="1" si="321"/>
        <v>0</v>
      </c>
      <c r="CL612" s="56">
        <f t="shared" ca="1" si="322"/>
        <v>0</v>
      </c>
      <c r="CM612" s="56">
        <f t="shared" ca="1" si="323"/>
        <v>0</v>
      </c>
      <c r="CN612" s="56">
        <f t="shared" ca="1" si="324"/>
        <v>0</v>
      </c>
      <c r="CO612" s="56">
        <f t="shared" ca="1" si="325"/>
        <v>0</v>
      </c>
      <c r="CP612" s="56">
        <f t="shared" ca="1" si="326"/>
        <v>0</v>
      </c>
      <c r="CQ612" s="56">
        <f t="shared" ca="1" si="327"/>
        <v>0</v>
      </c>
      <c r="CR612" s="56">
        <f t="shared" ca="1" si="332"/>
        <v>0</v>
      </c>
      <c r="CS612" s="56">
        <f t="shared" ca="1" si="352"/>
        <v>0</v>
      </c>
      <c r="CT612" s="56">
        <f t="shared" ca="1" si="353"/>
        <v>0</v>
      </c>
      <c r="CU612" s="56">
        <f t="shared" ca="1" si="354"/>
        <v>0</v>
      </c>
      <c r="CV612" s="56">
        <f t="shared" ca="1" si="355"/>
        <v>0</v>
      </c>
      <c r="CW612" s="56">
        <f t="shared" ca="1" si="356"/>
        <v>0</v>
      </c>
      <c r="CX612" s="56">
        <f t="shared" ca="1" si="357"/>
        <v>0</v>
      </c>
      <c r="CY612" s="56">
        <f t="shared" ca="1" si="358"/>
        <v>0</v>
      </c>
      <c r="CZ612" s="56">
        <f t="shared" ca="1" si="359"/>
        <v>0</v>
      </c>
      <c r="DA612" s="56">
        <f t="shared" ca="1" si="360"/>
        <v>0</v>
      </c>
      <c r="DB612" s="56">
        <f t="shared" ca="1" si="361"/>
        <v>0</v>
      </c>
      <c r="DC612" s="56">
        <f t="shared" ca="1" si="362"/>
        <v>0</v>
      </c>
      <c r="DD612" s="56">
        <f t="shared" ca="1" si="363"/>
        <v>0</v>
      </c>
      <c r="DE612" s="56">
        <f t="shared" ca="1" si="364"/>
        <v>0</v>
      </c>
      <c r="DF612" s="56">
        <f t="shared" ca="1" si="365"/>
        <v>0</v>
      </c>
      <c r="DG612" s="56">
        <f t="shared" ca="1" si="366"/>
        <v>0</v>
      </c>
      <c r="DH612" s="56">
        <f t="shared" ca="1" si="367"/>
        <v>0</v>
      </c>
      <c r="DI612" s="56">
        <f t="shared" ca="1" si="334"/>
        <v>0</v>
      </c>
      <c r="DJ612" s="56">
        <f t="shared" ca="1" si="335"/>
        <v>0</v>
      </c>
      <c r="DK612" s="56">
        <f t="shared" ca="1" si="336"/>
        <v>0</v>
      </c>
      <c r="DL612" s="56">
        <f t="shared" ca="1" si="337"/>
        <v>0</v>
      </c>
      <c r="DM612" s="56">
        <f t="shared" ca="1" si="338"/>
        <v>0</v>
      </c>
      <c r="DN612" s="56">
        <f t="shared" ca="1" si="339"/>
        <v>0</v>
      </c>
      <c r="DO612" s="56">
        <f t="shared" ca="1" si="340"/>
        <v>0</v>
      </c>
      <c r="DP612" s="56">
        <f t="shared" ca="1" si="341"/>
        <v>0</v>
      </c>
      <c r="DQ612" s="56">
        <f t="shared" ca="1" si="342"/>
        <v>0</v>
      </c>
      <c r="DR612" s="56">
        <f t="shared" ca="1" si="343"/>
        <v>0</v>
      </c>
      <c r="DS612" s="56">
        <f t="shared" ca="1" si="344"/>
        <v>0</v>
      </c>
      <c r="DT612" s="56">
        <f t="shared" ca="1" si="345"/>
        <v>0</v>
      </c>
      <c r="DU612" s="56">
        <f t="shared" ca="1" si="346"/>
        <v>0</v>
      </c>
      <c r="DV612" s="56">
        <f t="shared" ca="1" si="347"/>
        <v>0</v>
      </c>
      <c r="DW612" s="56">
        <f t="shared" ca="1" si="348"/>
        <v>0</v>
      </c>
      <c r="DX612" s="56">
        <f t="shared" ca="1" si="349"/>
        <v>0</v>
      </c>
      <c r="DY612" s="56">
        <f t="shared" ca="1" si="350"/>
        <v>0</v>
      </c>
      <c r="DZ612" s="56">
        <f t="shared" ca="1" si="351"/>
        <v>0</v>
      </c>
    </row>
    <row r="613" spans="28:130">
      <c r="AB613" s="56">
        <f t="shared" ca="1" si="260"/>
        <v>0</v>
      </c>
      <c r="AC613" s="56">
        <f t="shared" ca="1" si="261"/>
        <v>0</v>
      </c>
      <c r="AD613" s="56">
        <f t="shared" ca="1" si="262"/>
        <v>0</v>
      </c>
      <c r="AE613" s="56">
        <f t="shared" ca="1" si="263"/>
        <v>0</v>
      </c>
      <c r="AF613" s="56">
        <f t="shared" ca="1" si="264"/>
        <v>0</v>
      </c>
      <c r="AG613" s="56">
        <f t="shared" ca="1" si="265"/>
        <v>0</v>
      </c>
      <c r="AH613" s="56">
        <f t="shared" ca="1" si="266"/>
        <v>0</v>
      </c>
      <c r="AI613" s="56">
        <f t="shared" ca="1" si="267"/>
        <v>0</v>
      </c>
      <c r="AJ613" s="56">
        <f t="shared" ca="1" si="268"/>
        <v>0</v>
      </c>
      <c r="AK613" s="56">
        <f t="shared" ca="1" si="269"/>
        <v>0</v>
      </c>
      <c r="AL613" s="56">
        <f t="shared" ca="1" si="270"/>
        <v>0</v>
      </c>
      <c r="AM613" s="56">
        <f t="shared" ca="1" si="271"/>
        <v>0</v>
      </c>
      <c r="AN613" s="56">
        <f t="shared" ca="1" si="272"/>
        <v>0</v>
      </c>
      <c r="AO613" s="56">
        <f t="shared" ca="1" si="273"/>
        <v>0</v>
      </c>
      <c r="AP613" s="56">
        <f t="shared" ca="1" si="274"/>
        <v>0</v>
      </c>
      <c r="AQ613" s="56">
        <f t="shared" ca="1" si="275"/>
        <v>0</v>
      </c>
      <c r="AR613" s="56">
        <f t="shared" ca="1" si="276"/>
        <v>0</v>
      </c>
      <c r="AS613" s="56">
        <f t="shared" ca="1" si="277"/>
        <v>0</v>
      </c>
      <c r="AT613" s="56">
        <f t="shared" ca="1" si="278"/>
        <v>0</v>
      </c>
      <c r="AU613" s="56">
        <f t="shared" ca="1" si="279"/>
        <v>0</v>
      </c>
      <c r="AV613" s="56">
        <f t="shared" ca="1" si="280"/>
        <v>0</v>
      </c>
      <c r="AW613" s="56">
        <f t="shared" ca="1" si="281"/>
        <v>0</v>
      </c>
      <c r="AX613" s="56">
        <f t="shared" ca="1" si="282"/>
        <v>0</v>
      </c>
      <c r="AY613" s="56">
        <f t="shared" ca="1" si="283"/>
        <v>0</v>
      </c>
      <c r="AZ613" s="56">
        <f t="shared" ca="1" si="284"/>
        <v>0</v>
      </c>
      <c r="BA613" s="56">
        <f t="shared" ca="1" si="285"/>
        <v>0</v>
      </c>
      <c r="BB613" s="56">
        <f t="shared" ca="1" si="286"/>
        <v>0</v>
      </c>
      <c r="BC613" s="56">
        <f t="shared" ca="1" si="287"/>
        <v>0</v>
      </c>
      <c r="BD613" s="56">
        <f t="shared" ca="1" si="288"/>
        <v>0</v>
      </c>
      <c r="BE613" s="56">
        <f t="shared" ca="1" si="289"/>
        <v>0</v>
      </c>
      <c r="BF613" s="56">
        <f t="shared" ca="1" si="290"/>
        <v>0</v>
      </c>
      <c r="BG613" s="56">
        <f t="shared" ca="1" si="291"/>
        <v>0</v>
      </c>
      <c r="BH613" s="56">
        <f t="shared" ca="1" si="292"/>
        <v>0</v>
      </c>
      <c r="BI613" s="56">
        <f t="shared" ca="1" si="293"/>
        <v>0</v>
      </c>
      <c r="BJ613" s="56">
        <f t="shared" ca="1" si="294"/>
        <v>0</v>
      </c>
      <c r="BK613" s="56">
        <f t="shared" ca="1" si="295"/>
        <v>0</v>
      </c>
      <c r="BL613" s="56">
        <f t="shared" ca="1" si="296"/>
        <v>0</v>
      </c>
      <c r="BM613" s="56">
        <f t="shared" ca="1" si="297"/>
        <v>0</v>
      </c>
      <c r="BN613" s="56">
        <f t="shared" ca="1" si="298"/>
        <v>0</v>
      </c>
      <c r="BO613" s="56">
        <f t="shared" ca="1" si="299"/>
        <v>0</v>
      </c>
      <c r="BP613" s="56">
        <f t="shared" ca="1" si="300"/>
        <v>0</v>
      </c>
      <c r="BQ613" s="56">
        <f t="shared" ca="1" si="301"/>
        <v>0</v>
      </c>
      <c r="BR613" s="56">
        <f t="shared" ca="1" si="302"/>
        <v>0</v>
      </c>
      <c r="BS613" s="56">
        <f t="shared" ca="1" si="303"/>
        <v>0</v>
      </c>
      <c r="BT613" s="56">
        <f t="shared" ca="1" si="304"/>
        <v>0</v>
      </c>
      <c r="BU613" s="56">
        <f t="shared" ca="1" si="305"/>
        <v>0</v>
      </c>
      <c r="BV613" s="56">
        <f t="shared" ca="1" si="306"/>
        <v>0</v>
      </c>
      <c r="BW613" s="56">
        <f t="shared" ca="1" si="307"/>
        <v>0</v>
      </c>
      <c r="BX613" s="56">
        <f t="shared" ca="1" si="308"/>
        <v>0</v>
      </c>
      <c r="BY613" s="56">
        <f t="shared" ca="1" si="309"/>
        <v>0</v>
      </c>
      <c r="BZ613">
        <f t="shared" si="368"/>
        <v>0</v>
      </c>
      <c r="CA613">
        <f t="shared" si="368"/>
        <v>0</v>
      </c>
      <c r="CB613">
        <f t="shared" si="368"/>
        <v>0</v>
      </c>
      <c r="CC613" s="56">
        <f t="shared" ca="1" si="313"/>
        <v>0</v>
      </c>
      <c r="CD613" s="56">
        <f t="shared" ca="1" si="314"/>
        <v>0</v>
      </c>
      <c r="CE613" s="56">
        <f t="shared" ca="1" si="315"/>
        <v>0</v>
      </c>
      <c r="CF613" s="56">
        <f t="shared" ca="1" si="316"/>
        <v>0</v>
      </c>
      <c r="CG613" s="56">
        <f t="shared" ca="1" si="317"/>
        <v>0</v>
      </c>
      <c r="CH613" s="56">
        <f t="shared" ca="1" si="318"/>
        <v>0</v>
      </c>
      <c r="CI613" s="56">
        <f t="shared" ca="1" si="319"/>
        <v>0</v>
      </c>
      <c r="CJ613" s="56">
        <f t="shared" ca="1" si="320"/>
        <v>0</v>
      </c>
      <c r="CK613" s="56">
        <f t="shared" ca="1" si="321"/>
        <v>0</v>
      </c>
      <c r="CL613" s="56">
        <f t="shared" ca="1" si="322"/>
        <v>0</v>
      </c>
      <c r="CM613" s="56">
        <f t="shared" ca="1" si="323"/>
        <v>0</v>
      </c>
      <c r="CN613" s="56">
        <f t="shared" ca="1" si="324"/>
        <v>0</v>
      </c>
      <c r="CO613" s="56">
        <f t="shared" ca="1" si="325"/>
        <v>0</v>
      </c>
      <c r="CP613" s="56">
        <f t="shared" ca="1" si="326"/>
        <v>0</v>
      </c>
      <c r="CQ613" s="56">
        <f t="shared" ca="1" si="327"/>
        <v>0</v>
      </c>
      <c r="CR613" s="56">
        <f t="shared" ca="1" si="332"/>
        <v>0</v>
      </c>
      <c r="CS613" s="56">
        <f t="shared" ca="1" si="352"/>
        <v>0</v>
      </c>
      <c r="CT613" s="56">
        <f t="shared" ca="1" si="353"/>
        <v>0</v>
      </c>
      <c r="CU613" s="56">
        <f t="shared" ca="1" si="354"/>
        <v>0</v>
      </c>
      <c r="CV613" s="56">
        <f t="shared" ca="1" si="355"/>
        <v>0</v>
      </c>
      <c r="CW613" s="56">
        <f t="shared" ca="1" si="356"/>
        <v>0</v>
      </c>
      <c r="CX613" s="56">
        <f t="shared" ca="1" si="357"/>
        <v>0</v>
      </c>
      <c r="CY613" s="56">
        <f t="shared" ca="1" si="358"/>
        <v>0</v>
      </c>
      <c r="CZ613" s="56">
        <f t="shared" ca="1" si="359"/>
        <v>0</v>
      </c>
      <c r="DA613" s="56">
        <f t="shared" ca="1" si="360"/>
        <v>0</v>
      </c>
      <c r="DB613" s="56">
        <f t="shared" ca="1" si="361"/>
        <v>0</v>
      </c>
      <c r="DC613" s="56">
        <f t="shared" ca="1" si="362"/>
        <v>0</v>
      </c>
      <c r="DD613" s="56">
        <f t="shared" ca="1" si="363"/>
        <v>0</v>
      </c>
      <c r="DE613" s="56">
        <f t="shared" ca="1" si="364"/>
        <v>0</v>
      </c>
      <c r="DF613" s="56">
        <f t="shared" ca="1" si="365"/>
        <v>0</v>
      </c>
      <c r="DG613" s="56">
        <f t="shared" ca="1" si="366"/>
        <v>0</v>
      </c>
      <c r="DH613" s="56">
        <f t="shared" ca="1" si="367"/>
        <v>0</v>
      </c>
      <c r="DI613" s="56">
        <f t="shared" ca="1" si="334"/>
        <v>0</v>
      </c>
      <c r="DJ613" s="56">
        <f t="shared" ca="1" si="335"/>
        <v>0</v>
      </c>
      <c r="DK613" s="56">
        <f t="shared" ca="1" si="336"/>
        <v>0</v>
      </c>
      <c r="DL613" s="56">
        <f t="shared" ca="1" si="337"/>
        <v>0</v>
      </c>
      <c r="DM613" s="56">
        <f t="shared" ca="1" si="338"/>
        <v>0</v>
      </c>
      <c r="DN613" s="56">
        <f t="shared" ca="1" si="339"/>
        <v>0</v>
      </c>
      <c r="DO613" s="56">
        <f t="shared" ca="1" si="340"/>
        <v>0</v>
      </c>
      <c r="DP613" s="56">
        <f t="shared" ca="1" si="341"/>
        <v>0</v>
      </c>
      <c r="DQ613" s="56">
        <f t="shared" ca="1" si="342"/>
        <v>0</v>
      </c>
      <c r="DR613" s="56">
        <f t="shared" ca="1" si="343"/>
        <v>0</v>
      </c>
      <c r="DS613" s="56">
        <f t="shared" ca="1" si="344"/>
        <v>0</v>
      </c>
      <c r="DT613" s="56">
        <f t="shared" ca="1" si="345"/>
        <v>0</v>
      </c>
      <c r="DU613" s="56">
        <f t="shared" ca="1" si="346"/>
        <v>0</v>
      </c>
      <c r="DV613" s="56">
        <f t="shared" ca="1" si="347"/>
        <v>0</v>
      </c>
      <c r="DW613" s="56">
        <f t="shared" ca="1" si="348"/>
        <v>0</v>
      </c>
      <c r="DX613" s="56">
        <f t="shared" ca="1" si="349"/>
        <v>0</v>
      </c>
      <c r="DY613" s="56">
        <f t="shared" ca="1" si="350"/>
        <v>0</v>
      </c>
      <c r="DZ613" s="56">
        <f t="shared" ca="1" si="351"/>
        <v>0</v>
      </c>
    </row>
  </sheetData>
  <sheetProtection password="C484" sheet="1" objects="1" scenarios="1"/>
  <mergeCells count="125">
    <mergeCell ref="BQ34:FL36"/>
    <mergeCell ref="BQ37:FL39"/>
    <mergeCell ref="BQ40:FL42"/>
    <mergeCell ref="BQ43:FL45"/>
    <mergeCell ref="BQ46:FL48"/>
    <mergeCell ref="CJ349:EV374"/>
    <mergeCell ref="Q353:Y358"/>
    <mergeCell ref="Q363:Y368"/>
    <mergeCell ref="EO3:FL3"/>
    <mergeCell ref="E320:CF322"/>
    <mergeCell ref="CJ250:CM254"/>
    <mergeCell ref="CO317:CW317"/>
    <mergeCell ref="CN316:CX316"/>
    <mergeCell ref="CN318:CX318"/>
    <mergeCell ref="CJ325:ET348"/>
    <mergeCell ref="DY173:EF173"/>
    <mergeCell ref="R174:CB174"/>
    <mergeCell ref="DZ174:EE174"/>
    <mergeCell ref="Q175:CC175"/>
    <mergeCell ref="DY175:EF175"/>
    <mergeCell ref="BB197:BH197"/>
    <mergeCell ref="BC198:BG198"/>
    <mergeCell ref="AH199:AK203"/>
    <mergeCell ref="BB199:BH199"/>
    <mergeCell ref="BB378:BI381"/>
    <mergeCell ref="BL378:BS381"/>
    <mergeCell ref="BV378:CC381"/>
    <mergeCell ref="Q324:Y328"/>
    <mergeCell ref="AJ250:AM254"/>
    <mergeCell ref="Z317:BG317"/>
    <mergeCell ref="Y316:BH316"/>
    <mergeCell ref="Y318:BH318"/>
    <mergeCell ref="Q333:Y338"/>
    <mergeCell ref="Q343:Y348"/>
    <mergeCell ref="FS44:FS46"/>
    <mergeCell ref="AO46:BA48"/>
    <mergeCell ref="FR46:FR48"/>
    <mergeCell ref="O47:AA49"/>
    <mergeCell ref="AB47:AN49"/>
    <mergeCell ref="BB47:BN49"/>
    <mergeCell ref="FS47:FS49"/>
    <mergeCell ref="BS50:CE50"/>
    <mergeCell ref="FR34:FR36"/>
    <mergeCell ref="O35:AA37"/>
    <mergeCell ref="AB35:AN37"/>
    <mergeCell ref="BB35:BN37"/>
    <mergeCell ref="FS35:FS37"/>
    <mergeCell ref="AO37:BA39"/>
    <mergeCell ref="FR37:FR39"/>
    <mergeCell ref="O38:AA40"/>
    <mergeCell ref="AB38:AN40"/>
    <mergeCell ref="BB38:BN40"/>
    <mergeCell ref="FS38:FS40"/>
    <mergeCell ref="AO40:BA42"/>
    <mergeCell ref="FR40:FR42"/>
    <mergeCell ref="O41:AA43"/>
    <mergeCell ref="AB41:AN43"/>
    <mergeCell ref="BB41:BN43"/>
    <mergeCell ref="FS41:FS43"/>
    <mergeCell ref="AO43:BA45"/>
    <mergeCell ref="FR43:FR45"/>
    <mergeCell ref="O44:AA46"/>
    <mergeCell ref="AB44:AN46"/>
    <mergeCell ref="AV396:BY396"/>
    <mergeCell ref="DD396:DY396"/>
    <mergeCell ref="EO4:FK4"/>
    <mergeCell ref="O31:AA32"/>
    <mergeCell ref="AB31:AN32"/>
    <mergeCell ref="BB31:BN32"/>
    <mergeCell ref="BQ31:CA32"/>
    <mergeCell ref="AO32:BA33"/>
    <mergeCell ref="O33:AA34"/>
    <mergeCell ref="AB33:AN34"/>
    <mergeCell ref="BB33:BN34"/>
    <mergeCell ref="AO34:BA36"/>
    <mergeCell ref="BB44:BN46"/>
    <mergeCell ref="BB95:BO95"/>
    <mergeCell ref="CF95:CS95"/>
    <mergeCell ref="BC96:BN96"/>
    <mergeCell ref="CG96:CR96"/>
    <mergeCell ref="BB97:BO97"/>
    <mergeCell ref="CF97:CS97"/>
    <mergeCell ref="AV398:BY398"/>
    <mergeCell ref="DD398:DY398"/>
    <mergeCell ref="AW399:BX399"/>
    <mergeCell ref="DE399:DX399"/>
    <mergeCell ref="EA399:FE403"/>
    <mergeCell ref="AV400:BY400"/>
    <mergeCell ref="DD400:DY400"/>
    <mergeCell ref="AV402:BY402"/>
    <mergeCell ref="DD402:DY402"/>
    <mergeCell ref="AW403:BX403"/>
    <mergeCell ref="AV408:BY408"/>
    <mergeCell ref="DD408:DY408"/>
    <mergeCell ref="DE403:DX403"/>
    <mergeCell ref="AV404:BY404"/>
    <mergeCell ref="DD404:DY404"/>
    <mergeCell ref="AV406:BY406"/>
    <mergeCell ref="DD406:DY406"/>
    <mergeCell ref="AW407:BX407"/>
    <mergeCell ref="DE407:DX407"/>
    <mergeCell ref="AV394:BY394"/>
    <mergeCell ref="DD394:DY394"/>
    <mergeCell ref="AW395:BX395"/>
    <mergeCell ref="DE395:DX395"/>
    <mergeCell ref="AF99:AL102"/>
    <mergeCell ref="BL104:EJ128"/>
    <mergeCell ref="AB105:AK108"/>
    <mergeCell ref="AB115:AK118"/>
    <mergeCell ref="EO5:FL5"/>
    <mergeCell ref="CF199:CS199"/>
    <mergeCell ref="CH201:EY226"/>
    <mergeCell ref="AB125:AK128"/>
    <mergeCell ref="AB135:AK138"/>
    <mergeCell ref="CK148:CN151"/>
    <mergeCell ref="AI149:AL152"/>
    <mergeCell ref="AT150:BC153"/>
    <mergeCell ref="BD150:BM153"/>
    <mergeCell ref="BN150:BW153"/>
    <mergeCell ref="BX150:CG153"/>
    <mergeCell ref="Q173:CC173"/>
    <mergeCell ref="CE378:CH382"/>
    <mergeCell ref="W378:AD381"/>
    <mergeCell ref="AH378:AO381"/>
    <mergeCell ref="AR378:AY381"/>
  </mergeCells>
  <conditionalFormatting sqref="FL413:FL424">
    <cfRule type="cellIs" dxfId="153" priority="100" stopIfTrue="1" operator="equal">
      <formula>"."</formula>
    </cfRule>
  </conditionalFormatting>
  <conditionalFormatting sqref="D11:FL412">
    <cfRule type="cellIs" dxfId="152" priority="90" stopIfTrue="1" operator="equal">
      <formula>"^"</formula>
    </cfRule>
    <cfRule type="cellIs" dxfId="151" priority="91" stopIfTrue="1" operator="equal">
      <formula>"!"</formula>
    </cfRule>
    <cfRule type="cellIs" dxfId="150" priority="92" stopIfTrue="1" operator="equal">
      <formula>"~"</formula>
    </cfRule>
    <cfRule type="cellIs" dxfId="149" priority="93" stopIfTrue="1" operator="equal">
      <formula>":"</formula>
    </cfRule>
    <cfRule type="cellIs" dxfId="148" priority="94" stopIfTrue="1" operator="equal">
      <formula>"`"</formula>
    </cfRule>
    <cfRule type="cellIs" dxfId="147" priority="95" operator="equal">
      <formula>"*"</formula>
    </cfRule>
    <cfRule type="cellIs" dxfId="146" priority="96" operator="equal">
      <formula>","</formula>
    </cfRule>
    <cfRule type="cellIs" dxfId="145" priority="97" stopIfTrue="1" operator="equal">
      <formula>"."</formula>
    </cfRule>
    <cfRule type="cellIs" dxfId="144" priority="98" stopIfTrue="1" operator="equal">
      <formula>"+"</formula>
    </cfRule>
    <cfRule type="cellIs" dxfId="143" priority="99" stopIfTrue="1" operator="equal">
      <formula>"-"</formula>
    </cfRule>
  </conditionalFormatting>
  <dataValidations count="14">
    <dataValidation type="whole" allowBlank="1" showInputMessage="1" showErrorMessage="1" sqref="BX252:CG255 AT150:CG153 BK380:BK381 BT380:BT381">
      <formula1>1</formula1>
      <formula2>10000</formula2>
    </dataValidation>
    <dataValidation type="whole" allowBlank="1" showInputMessage="1" showErrorMessage="1" sqref="AB207:AK210">
      <formula1>1</formula1>
      <formula2>1000</formula2>
    </dataValidation>
    <dataValidation type="list" allowBlank="1" showInputMessage="1" showErrorMessage="1" sqref="BC198:BG198">
      <formula1>$FO$242:$FU$242</formula1>
    </dataValidation>
    <dataValidation type="list" allowBlank="1" showInputMessage="1" showErrorMessage="1" sqref="BP96:BQ96">
      <formula1>#REF!</formula1>
    </dataValidation>
    <dataValidation type="list" allowBlank="1" showInputMessage="1" showErrorMessage="1" sqref="BC96:BN96">
      <formula1>$GD$73:$GD$83</formula1>
    </dataValidation>
    <dataValidation type="list" allowBlank="1" showInputMessage="1" showErrorMessage="1" sqref="R174:CB174">
      <formula1>$FP$174:$FQ$174</formula1>
    </dataValidation>
    <dataValidation type="list" allowBlank="1" showInputMessage="1" showErrorMessage="1" sqref="CY318:DA318 CG96:CR96 CD325:CE325 CM319:CO319">
      <formula1>#REF!</formula1>
    </dataValidation>
    <dataValidation type="whole" allowBlank="1" showInputMessage="1" showErrorMessage="1" sqref="DA317 CY317">
      <formula1>10</formula1>
      <formula2>50</formula2>
    </dataValidation>
    <dataValidation type="whole" allowBlank="1" showInputMessage="1" showErrorMessage="1" sqref="CO317:CW317">
      <formula1>5</formula1>
      <formula2>50</formula2>
    </dataValidation>
    <dataValidation type="list" allowBlank="1" showInputMessage="1" showErrorMessage="1" sqref="Z317:BG317">
      <formula1>$FQ$317:$FR$317</formula1>
    </dataValidation>
    <dataValidation type="list" allowBlank="1" showInputMessage="1" showErrorMessage="1" sqref="DE407:DX407 DE395:DX395 DE399:DX399 DE403:DX403">
      <formula1>$FU$395:$FW$395</formula1>
    </dataValidation>
    <dataValidation type="list" allowBlank="1" showInputMessage="1" showErrorMessage="1" sqref="AW395:BX395 AW399:BX399 AW403:BX403 AW407:BX407">
      <formula1>$FQ$395:$FS$395</formula1>
    </dataValidation>
    <dataValidation type="list" allowBlank="1" showInputMessage="1" showErrorMessage="1" sqref="B30">
      <formula1>$FM$1</formula1>
    </dataValidation>
    <dataValidation type="list" allowBlank="1" showInputMessage="1" showErrorMessage="1" sqref="DZ174:EE174">
      <formula1>$FS$174:$FW$174</formula1>
    </dataValidation>
  </dataValidations>
  <pageMargins left="0.75" right="0.75" top="1" bottom="1" header="0.5" footer="0.5"/>
  <pageSetup paperSize="9" scale="70" orientation="portrait" horizontalDpi="200" verticalDpi="200" r:id="rId1"/>
  <headerFooter alignWithMargins="0">
    <oddFooter>&amp;C- &amp;P -</oddFooter>
  </headerFooter>
  <drawing r:id="rId2"/>
</worksheet>
</file>

<file path=xl/worksheets/sheet6.xml><?xml version="1.0" encoding="utf-8"?>
<worksheet xmlns="http://schemas.openxmlformats.org/spreadsheetml/2006/main" xmlns:r="http://schemas.openxmlformats.org/officeDocument/2006/relationships">
  <dimension ref="A1:HS163"/>
  <sheetViews>
    <sheetView showGridLines="0" zoomScaleNormal="100" workbookViewId="0">
      <selection activeCell="B1" sqref="B1"/>
    </sheetView>
  </sheetViews>
  <sheetFormatPr defaultRowHeight="13.2"/>
  <cols>
    <col min="1" max="1" width="0.6640625" customWidth="1"/>
    <col min="2" max="2" width="3.33203125" customWidth="1"/>
    <col min="3" max="167" width="0.6640625" customWidth="1"/>
    <col min="168" max="168" width="14.6640625" customWidth="1"/>
    <col min="169" max="169" width="6.109375" hidden="1" customWidth="1"/>
    <col min="170" max="170" width="7.44140625" hidden="1" customWidth="1"/>
    <col min="171" max="171" width="5.88671875" hidden="1" customWidth="1"/>
    <col min="172" max="172" width="6.6640625" hidden="1" customWidth="1"/>
    <col min="173" max="173" width="12.44140625" hidden="1" customWidth="1"/>
    <col min="174" max="174" width="10.88671875" hidden="1" customWidth="1"/>
    <col min="175" max="175" width="10.33203125" hidden="1" customWidth="1"/>
    <col min="176" max="176" width="10.6640625" hidden="1" customWidth="1"/>
    <col min="177" max="177" width="10" hidden="1" customWidth="1"/>
    <col min="178" max="180" width="9.109375" hidden="1" customWidth="1"/>
    <col min="181" max="181" width="9.109375" customWidth="1"/>
    <col min="182" max="182" width="23" customWidth="1"/>
    <col min="183" max="183" width="11.33203125" bestFit="1" customWidth="1"/>
    <col min="184" max="185" width="16.88671875" bestFit="1" customWidth="1"/>
    <col min="186" max="186" width="10" customWidth="1"/>
    <col min="187" max="187" width="11.44140625" customWidth="1"/>
    <col min="188" max="188" width="14" bestFit="1" customWidth="1"/>
    <col min="190" max="190" width="14.6640625" bestFit="1" customWidth="1"/>
    <col min="191" max="191" width="11.33203125" bestFit="1" customWidth="1"/>
    <col min="192" max="192" width="12.6640625" bestFit="1" customWidth="1"/>
    <col min="193" max="193" width="10.88671875" bestFit="1" customWidth="1"/>
    <col min="194" max="194" width="12.44140625" bestFit="1" customWidth="1"/>
    <col min="195" max="195" width="9.88671875" customWidth="1"/>
    <col min="197" max="197" width="10.6640625" bestFit="1" customWidth="1"/>
    <col min="200" max="200" width="12.44140625" bestFit="1" customWidth="1"/>
    <col min="201" max="201" width="10" customWidth="1"/>
    <col min="207" max="207" width="13.109375" bestFit="1" customWidth="1"/>
    <col min="210" max="210" width="11.109375" customWidth="1"/>
  </cols>
  <sheetData>
    <row r="1" spans="1:227" ht="24" customHeight="1">
      <c r="A1" s="1"/>
      <c r="B1" s="6"/>
      <c r="C1" s="4"/>
      <c r="D1" s="7" t="str">
        <f ca="1">IF(TODAY()&gt;=Blad1!$A$1,"Uw licentie is verlopen.","")</f>
        <v/>
      </c>
      <c r="E1" s="7"/>
      <c r="F1" s="7"/>
      <c r="G1" s="7"/>
      <c r="H1" s="7"/>
      <c r="I1" s="7"/>
      <c r="J1" s="7"/>
      <c r="K1" s="33"/>
      <c r="L1" s="33"/>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8"/>
      <c r="FL1" s="8"/>
      <c r="FM1" s="47">
        <f>programma!Q3</f>
        <v>1</v>
      </c>
      <c r="FN1" s="48">
        <f ca="1">IF(TODAY()&gt;=Blad1!A1,0,IF(AND(programma!E5="docentversie",programma!A300&lt;&gt;"goltsteindocentversie"),0,1))</f>
        <v>1</v>
      </c>
      <c r="FO1" s="48">
        <f ca="1">IF(programma!B1="X",1,IF(TODAY()&gt;=Blad1!$A$1,0,IF(OR(programma!Q3="",programma!N10="",programma!N12=""),0,1)))</f>
        <v>0</v>
      </c>
      <c r="FP1" s="47"/>
      <c r="FQ1" s="47"/>
      <c r="FR1" s="47"/>
      <c r="FS1" s="47"/>
      <c r="FT1" s="47"/>
      <c r="FU1" s="47"/>
      <c r="FV1" s="47"/>
      <c r="FW1" s="47"/>
      <c r="FX1" s="47"/>
      <c r="FY1" s="47"/>
      <c r="FZ1" s="47"/>
      <c r="GA1" s="47"/>
      <c r="GB1" s="47"/>
      <c r="GC1" s="47"/>
      <c r="GD1" s="47"/>
      <c r="GE1" s="47"/>
      <c r="GF1" s="47"/>
      <c r="GG1" s="47"/>
      <c r="GH1" s="47"/>
      <c r="GI1" s="47"/>
      <c r="GJ1" s="47"/>
      <c r="GK1" s="47"/>
      <c r="GL1" s="47"/>
      <c r="GM1" s="47"/>
      <c r="GN1" s="47"/>
      <c r="GO1" s="47"/>
      <c r="GP1" s="47"/>
      <c r="GQ1" s="47"/>
      <c r="GR1" s="47"/>
      <c r="GS1" s="47"/>
      <c r="GT1" s="47"/>
      <c r="GU1" s="47"/>
      <c r="GV1" s="47"/>
      <c r="GW1" s="47"/>
      <c r="GX1" s="47"/>
      <c r="GY1" s="47"/>
      <c r="GZ1" s="47"/>
      <c r="HA1" s="47"/>
      <c r="HB1" s="47"/>
      <c r="HC1" s="47"/>
      <c r="HD1" s="47"/>
      <c r="HE1" s="47"/>
      <c r="HF1" s="47"/>
      <c r="HG1" s="47"/>
      <c r="HH1" s="47"/>
      <c r="HI1" s="47"/>
      <c r="HJ1" s="47"/>
      <c r="HK1" s="47"/>
      <c r="HL1" s="47"/>
      <c r="HM1" s="47"/>
    </row>
    <row r="2" spans="1:227" ht="5.25" customHeight="1">
      <c r="A2" s="1"/>
      <c r="B2" s="1"/>
      <c r="C2" s="1"/>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13"/>
      <c r="HO2" s="13"/>
      <c r="HP2" s="13"/>
      <c r="HQ2" s="13"/>
      <c r="HR2" s="13"/>
      <c r="HS2" s="13"/>
    </row>
    <row r="3" spans="1:227" ht="20.25" customHeight="1">
      <c r="A3" s="1"/>
      <c r="B3" s="1"/>
      <c r="C3" s="1"/>
      <c r="D3" s="8" t="str">
        <f ca="1">IF(TODAY()&gt;=Blad1!$A$1,"Neem contact op met goltstein@hotmail.com",programma!E3)</f>
        <v>Module: Resultaat bij prijszetting</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7"/>
      <c r="BS3" s="7"/>
      <c r="BT3" s="7"/>
      <c r="BU3" s="7"/>
      <c r="BV3" s="7"/>
      <c r="BW3" s="7"/>
      <c r="BX3" s="7"/>
      <c r="BY3" s="7"/>
      <c r="BZ3" s="7"/>
      <c r="CA3" s="7"/>
      <c r="CB3" s="7"/>
      <c r="CC3" s="7"/>
      <c r="CD3" s="7"/>
      <c r="CE3" s="7"/>
      <c r="CF3" s="7"/>
      <c r="CG3" s="7"/>
      <c r="CH3" s="7"/>
      <c r="CI3" s="7"/>
      <c r="CJ3" s="7"/>
      <c r="CK3" s="7"/>
      <c r="CL3" s="7"/>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614" t="str">
        <f>"versienummer: "&amp;programma!Q3&amp;" "</f>
        <v xml:space="preserve">versienummer: 1 </v>
      </c>
      <c r="EP3" s="530"/>
      <c r="EQ3" s="530"/>
      <c r="ER3" s="530"/>
      <c r="ES3" s="530"/>
      <c r="ET3" s="530"/>
      <c r="EU3" s="530"/>
      <c r="EV3" s="530"/>
      <c r="EW3" s="530"/>
      <c r="EX3" s="530"/>
      <c r="EY3" s="530"/>
      <c r="EZ3" s="530"/>
      <c r="FA3" s="530"/>
      <c r="FB3" s="530"/>
      <c r="FC3" s="530"/>
      <c r="FD3" s="530"/>
      <c r="FE3" s="530"/>
      <c r="FF3" s="530"/>
      <c r="FG3" s="530"/>
      <c r="FH3" s="530"/>
      <c r="FI3" s="530"/>
      <c r="FJ3" s="530"/>
      <c r="FK3" s="530"/>
      <c r="FL3" s="530"/>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row>
    <row r="4" spans="1:227" ht="16.5" customHeight="1">
      <c r="A4" s="1"/>
      <c r="B4" s="1"/>
      <c r="C4" s="1"/>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7"/>
      <c r="BS4" s="7"/>
      <c r="BT4" s="7"/>
      <c r="BU4" s="7"/>
      <c r="BV4" s="7"/>
      <c r="BW4" s="7"/>
      <c r="BX4" s="7"/>
      <c r="BY4" s="7"/>
      <c r="BZ4" s="7"/>
      <c r="CA4" s="7"/>
      <c r="CB4" s="7"/>
      <c r="CC4" s="7"/>
      <c r="CD4" s="7"/>
      <c r="CE4" s="7"/>
      <c r="CF4" s="7"/>
      <c r="CG4" s="7"/>
      <c r="CH4" s="7"/>
      <c r="CI4" s="7"/>
      <c r="CJ4" s="7"/>
      <c r="CK4" s="7"/>
      <c r="CL4" s="7"/>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616"/>
      <c r="EP4" s="617"/>
      <c r="EQ4" s="617"/>
      <c r="ER4" s="617"/>
      <c r="ES4" s="617"/>
      <c r="ET4" s="617"/>
      <c r="EU4" s="617"/>
      <c r="EV4" s="617"/>
      <c r="EW4" s="617"/>
      <c r="EX4" s="617"/>
      <c r="EY4" s="617"/>
      <c r="EZ4" s="617"/>
      <c r="FA4" s="617"/>
      <c r="FB4" s="617"/>
      <c r="FC4" s="617"/>
      <c r="FD4" s="617"/>
      <c r="FE4" s="617"/>
      <c r="FF4" s="617"/>
      <c r="FG4" s="617"/>
      <c r="FH4" s="617"/>
      <c r="FI4" s="617"/>
      <c r="FJ4" s="617"/>
      <c r="FK4" s="522"/>
      <c r="FL4" s="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47"/>
      <c r="GZ4" s="47"/>
      <c r="HA4" s="47"/>
      <c r="HB4" s="47"/>
      <c r="HC4" s="47"/>
      <c r="HD4" s="47"/>
      <c r="HE4" s="47"/>
      <c r="HF4" s="47"/>
      <c r="HG4" s="47"/>
      <c r="HH4" s="47"/>
      <c r="HI4" s="47"/>
      <c r="HJ4" s="47"/>
      <c r="HK4" s="47"/>
      <c r="HL4" s="47"/>
      <c r="HM4" s="47"/>
    </row>
    <row r="5" spans="1:227" ht="19.5" customHeight="1">
      <c r="A5" s="1"/>
      <c r="B5" s="1"/>
      <c r="C5" s="1"/>
      <c r="D5" s="34" t="str">
        <f>" Naam leerling: "&amp; programma!N10</f>
        <v xml:space="preserve"> Naam leerling: </v>
      </c>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7"/>
      <c r="BS5" s="7"/>
      <c r="BT5" s="7"/>
      <c r="BU5" s="7"/>
      <c r="BV5" s="7"/>
      <c r="BW5" s="7"/>
      <c r="BX5" s="7"/>
      <c r="BY5" s="7"/>
      <c r="BZ5" s="7"/>
      <c r="CA5" s="7"/>
      <c r="CB5" s="7"/>
      <c r="CC5" s="7"/>
      <c r="CD5" s="7"/>
      <c r="CE5" s="7"/>
      <c r="CF5" s="7"/>
      <c r="CG5" s="7"/>
      <c r="CH5" s="7"/>
      <c r="CI5" s="7"/>
      <c r="CJ5" s="7"/>
      <c r="CK5" s="7"/>
      <c r="CL5" s="7"/>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534" t="str">
        <f>programma!S5</f>
        <v>© 2021, Goltstein</v>
      </c>
      <c r="EP5" s="532"/>
      <c r="EQ5" s="532"/>
      <c r="ER5" s="532"/>
      <c r="ES5" s="532"/>
      <c r="ET5" s="532"/>
      <c r="EU5" s="532"/>
      <c r="EV5" s="532"/>
      <c r="EW5" s="532"/>
      <c r="EX5" s="532"/>
      <c r="EY5" s="532"/>
      <c r="EZ5" s="532"/>
      <c r="FA5" s="532"/>
      <c r="FB5" s="532"/>
      <c r="FC5" s="532"/>
      <c r="FD5" s="532"/>
      <c r="FE5" s="532"/>
      <c r="FF5" s="532"/>
      <c r="FG5" s="532"/>
      <c r="FH5" s="532"/>
      <c r="FI5" s="532"/>
      <c r="FJ5" s="532"/>
      <c r="FK5" s="532"/>
      <c r="FL5" s="532"/>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row>
    <row r="6" spans="1:227" ht="19.5" customHeight="1">
      <c r="A6" s="1"/>
      <c r="B6" s="1"/>
      <c r="C6" s="1"/>
      <c r="D6" s="9" t="str">
        <f>" Klas: "&amp; programma!N12</f>
        <v xml:space="preserve"> Klas: </v>
      </c>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7"/>
      <c r="BS6" s="7"/>
      <c r="BT6" s="7"/>
      <c r="BU6" s="7"/>
      <c r="BV6" s="7"/>
      <c r="BW6" s="7"/>
      <c r="BX6" s="7"/>
      <c r="BY6" s="7"/>
      <c r="BZ6" s="7"/>
      <c r="CA6" s="7"/>
      <c r="CB6" s="7"/>
      <c r="CC6" s="7"/>
      <c r="CD6" s="7"/>
      <c r="CE6" s="7"/>
      <c r="CF6" s="7"/>
      <c r="CG6" s="7"/>
      <c r="CH6" s="7"/>
      <c r="CI6" s="7"/>
      <c r="CJ6" s="7"/>
      <c r="CK6" s="7"/>
      <c r="CL6" s="7"/>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7"/>
      <c r="EO6" s="9"/>
      <c r="EP6" s="9"/>
      <c r="EQ6" s="9"/>
      <c r="ER6" s="9"/>
      <c r="ES6" s="9"/>
      <c r="ET6" s="9"/>
      <c r="EU6" s="9"/>
      <c r="EV6" s="9"/>
      <c r="EW6" s="9"/>
      <c r="EX6" s="9"/>
      <c r="EY6" s="9"/>
      <c r="EZ6" s="9"/>
      <c r="FA6" s="9"/>
      <c r="FB6" s="9"/>
      <c r="FC6" s="9"/>
      <c r="FD6" s="9"/>
      <c r="FE6" s="9"/>
      <c r="FF6" s="9"/>
      <c r="FG6" s="9"/>
      <c r="FH6" s="9"/>
      <c r="FI6" s="9"/>
      <c r="FJ6" s="7"/>
      <c r="FK6" s="7"/>
      <c r="FL6" s="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row>
    <row r="7" spans="1:227" ht="12" customHeight="1">
      <c r="A7" s="1"/>
      <c r="B7" s="1"/>
      <c r="C7" s="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8"/>
      <c r="FL7" s="8"/>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row>
    <row r="8" spans="1:227" ht="7.5" customHeight="1">
      <c r="A8" s="1"/>
      <c r="B8" s="1"/>
      <c r="C8" s="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row>
    <row r="9" spans="1:227" ht="21" customHeight="1">
      <c r="A9" s="1"/>
      <c r="B9" s="1"/>
      <c r="C9" s="1"/>
      <c r="D9" s="2" t="str">
        <f ca="1">IF(TODAY()&gt;=Blad1!$A$1,"","Pas als je een opdracht goed hebt beantwoord, verschijnt het volgende. Wil je terug naar het programma, klik dan op de paarse knop hierboven.")</f>
        <v>Pas als je een opdracht goed hebt beantwoord, verschijnt het volgende. Wil je terug naar het programma, klik dan op de paarse knop hierboven.</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47"/>
      <c r="FN9" s="47"/>
      <c r="FO9" s="47" t="str">
        <f>IF(FN9=1,1.25,IF(FN9=2,4,IF(FN9=3,2.25,IF(FN9=4,0.75,IF(FN9=5,2.5,IF(FN9=6,0.5,IF(FN9=7,1,IF(FN9=8,3,""))))))))</f>
        <v/>
      </c>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row>
    <row r="10" spans="1:227" ht="16.5" customHeight="1">
      <c r="A10" s="1"/>
      <c r="B10" s="1"/>
      <c r="C10" s="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row>
    <row r="11" spans="1:227" ht="16.5" customHeight="1">
      <c r="A11" s="1"/>
      <c r="B11" s="3"/>
      <c r="C11" s="3"/>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26"/>
      <c r="FL11" s="26"/>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row>
    <row r="12" spans="1:227" ht="10.5" customHeight="1">
      <c r="A12" s="1"/>
      <c r="B12" s="3"/>
      <c r="C12" s="3"/>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26"/>
      <c r="FL12" s="26"/>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row>
    <row r="13" spans="1:227" ht="21.6" customHeight="1">
      <c r="A13" s="1"/>
      <c r="B13" s="3"/>
      <c r="C13" s="3"/>
      <c r="D13" s="35" t="str">
        <f ca="1">IF(FO1=0,"","TVK, TCK en GVK en GCK")</f>
        <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36"/>
      <c r="FL13" s="26"/>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row>
    <row r="14" spans="1:227" ht="16.5" customHeight="1">
      <c r="A14" s="1"/>
      <c r="B14" s="3"/>
      <c r="C14" s="3"/>
      <c r="D14" s="38"/>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26"/>
      <c r="FL14" s="26"/>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row>
    <row r="15" spans="1:227" ht="16.8" customHeight="1">
      <c r="A15" s="1"/>
      <c r="B15" s="3"/>
      <c r="C15" s="3"/>
      <c r="D15" s="38" t="str">
        <f ca="1">IF(FO1=0,"","Omdat geldt dat de gemiddelde variabele kosten gelijk zijn aan de marginale")</f>
        <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25"/>
      <c r="AY15" s="26"/>
      <c r="AZ15" s="41"/>
      <c r="BA15" s="41"/>
      <c r="BB15" s="41"/>
      <c r="BC15" s="41"/>
      <c r="BD15" s="42"/>
      <c r="BE15" s="41"/>
      <c r="BF15" s="41"/>
      <c r="BG15" s="41"/>
      <c r="BH15" s="41"/>
      <c r="BI15" s="41"/>
      <c r="BJ15" s="41"/>
      <c r="BK15" s="42"/>
      <c r="BL15" s="41"/>
      <c r="BM15" s="41"/>
      <c r="BN15" s="41"/>
      <c r="BO15" s="41"/>
      <c r="BP15" s="41"/>
      <c r="BQ15" s="41"/>
      <c r="BR15" s="80"/>
      <c r="BS15" s="79"/>
      <c r="BT15" s="79"/>
      <c r="BU15" s="79"/>
      <c r="BV15" s="79"/>
      <c r="BW15" s="79"/>
      <c r="BX15" s="79"/>
      <c r="BY15" s="79"/>
      <c r="BZ15" s="80"/>
      <c r="CA15" s="80"/>
      <c r="CB15" s="80"/>
      <c r="CC15" s="80"/>
      <c r="CD15" s="80"/>
      <c r="CE15" s="80"/>
      <c r="CF15" s="80"/>
      <c r="CG15" s="80"/>
      <c r="CH15" s="80"/>
      <c r="CI15" s="80"/>
      <c r="CJ15" s="80"/>
      <c r="CK15" s="80"/>
      <c r="CL15" s="80"/>
      <c r="CM15" s="80"/>
      <c r="CN15" s="80"/>
      <c r="CO15" s="80"/>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row>
    <row r="16" spans="1:227" ht="16.8" customHeight="1">
      <c r="A16" s="1"/>
      <c r="B16" s="3"/>
      <c r="C16" s="3"/>
      <c r="D16" s="38" t="str">
        <f ca="1">IF(FO1=0,"","kosten, kun je in een grafiek met gemiddelde en marginale kosten en opbrengst")</f>
        <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25"/>
      <c r="AY16" s="26"/>
      <c r="AZ16" s="41"/>
      <c r="BA16" s="41"/>
      <c r="BB16" s="41"/>
      <c r="BC16" s="41"/>
      <c r="BD16" s="42"/>
      <c r="BE16" s="41"/>
      <c r="BF16" s="41"/>
      <c r="BG16" s="41"/>
      <c r="BH16" s="41"/>
      <c r="BI16" s="41"/>
      <c r="BJ16" s="41"/>
      <c r="BK16" s="42"/>
      <c r="BL16" s="41"/>
      <c r="BM16" s="41"/>
      <c r="BN16" s="41"/>
      <c r="BO16" s="41"/>
      <c r="BP16" s="41"/>
      <c r="BQ16" s="41"/>
      <c r="BR16" s="80"/>
      <c r="BS16" s="79"/>
      <c r="BT16" s="79"/>
      <c r="BU16" s="79"/>
      <c r="BV16" s="79"/>
      <c r="BW16" s="79"/>
      <c r="BX16" s="79"/>
      <c r="BY16" s="79"/>
      <c r="BZ16" s="80"/>
      <c r="CA16" s="80"/>
      <c r="CB16" s="80"/>
      <c r="CC16" s="80"/>
      <c r="CD16" s="80"/>
      <c r="CE16" s="80"/>
      <c r="CF16" s="80"/>
      <c r="CG16" s="80"/>
      <c r="CH16" s="80"/>
      <c r="CI16" s="80"/>
      <c r="CJ16" s="80"/>
      <c r="CK16" s="80"/>
      <c r="CL16" s="80"/>
      <c r="CM16" s="80"/>
      <c r="CN16" s="80"/>
      <c r="CO16" s="80"/>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row>
    <row r="17" spans="1:221" ht="16.8" customHeight="1">
      <c r="A17" s="1"/>
      <c r="B17" s="3"/>
      <c r="C17" s="3"/>
      <c r="D17" s="38" t="str">
        <f ca="1">IF(FO1=0,"","door middel van de oppervlakte van een rechthoek niet alleen de totale")</f>
        <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25"/>
      <c r="AY17" s="26"/>
      <c r="AZ17" s="41"/>
      <c r="BA17" s="41"/>
      <c r="BB17" s="41"/>
      <c r="BC17" s="41"/>
      <c r="BD17" s="42"/>
      <c r="BE17" s="41"/>
      <c r="BF17" s="41"/>
      <c r="BG17" s="41"/>
      <c r="BH17" s="41"/>
      <c r="BI17" s="41"/>
      <c r="BJ17" s="41"/>
      <c r="BK17" s="42"/>
      <c r="BL17" s="41"/>
      <c r="BM17" s="41"/>
      <c r="BN17" s="41"/>
      <c r="BO17" s="41"/>
      <c r="BP17" s="41"/>
      <c r="BQ17" s="41"/>
      <c r="BR17" s="80"/>
      <c r="BS17" s="79"/>
      <c r="BT17" s="79"/>
      <c r="BU17" s="79"/>
      <c r="BV17" s="79"/>
      <c r="BW17" s="79"/>
      <c r="BX17" s="79"/>
      <c r="BY17" s="79"/>
      <c r="BZ17" s="80"/>
      <c r="CA17" s="80"/>
      <c r="CB17" s="80"/>
      <c r="CC17" s="80"/>
      <c r="CD17" s="80"/>
      <c r="CE17" s="80"/>
      <c r="CF17" s="80"/>
      <c r="CG17" s="80"/>
      <c r="CH17" s="80"/>
      <c r="CI17" s="80"/>
      <c r="CJ17" s="80"/>
      <c r="CK17" s="80"/>
      <c r="CL17" s="80"/>
      <c r="CM17" s="80"/>
      <c r="CN17" s="80"/>
      <c r="CO17" s="80"/>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row>
    <row r="18" spans="1:221" ht="16.8" customHeight="1">
      <c r="A18" s="1"/>
      <c r="B18" s="3"/>
      <c r="C18" s="3"/>
      <c r="D18" s="38" t="str">
        <f ca="1">IF(FO1=0,"","opbrengst, de totale kosten en de totale winst aangeven, maar ook de totale")</f>
        <v/>
      </c>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25"/>
      <c r="AY18" s="26"/>
      <c r="AZ18" s="41"/>
      <c r="BA18" s="41"/>
      <c r="BB18" s="41"/>
      <c r="BC18" s="41"/>
      <c r="BD18" s="42"/>
      <c r="BE18" s="41"/>
      <c r="BF18" s="41"/>
      <c r="BG18" s="41"/>
      <c r="BH18" s="41"/>
      <c r="BI18" s="41"/>
      <c r="BJ18" s="41"/>
      <c r="BK18" s="42"/>
      <c r="BL18" s="41"/>
      <c r="BM18" s="41"/>
      <c r="BN18" s="41"/>
      <c r="BO18" s="41"/>
      <c r="BP18" s="41"/>
      <c r="BQ18" s="41"/>
      <c r="BR18" s="80"/>
      <c r="BS18" s="79"/>
      <c r="BT18" s="79"/>
      <c r="BU18" s="79"/>
      <c r="BV18" s="79"/>
      <c r="BW18" s="79"/>
      <c r="BX18" s="79"/>
      <c r="BY18" s="79"/>
      <c r="BZ18" s="80"/>
      <c r="CA18" s="80"/>
      <c r="CB18" s="80"/>
      <c r="CC18" s="80"/>
      <c r="CD18" s="80"/>
      <c r="CE18" s="80"/>
      <c r="CF18" s="80"/>
      <c r="CG18" s="80"/>
      <c r="CH18" s="80"/>
      <c r="CI18" s="80"/>
      <c r="CJ18" s="80"/>
      <c r="CK18" s="80"/>
      <c r="CL18" s="80"/>
      <c r="CM18" s="80"/>
      <c r="CN18" s="80"/>
      <c r="CO18" s="80"/>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row>
    <row r="19" spans="1:221" ht="16.8" customHeight="1">
      <c r="A19" s="1"/>
      <c r="B19" s="3"/>
      <c r="C19" s="3"/>
      <c r="D19" s="373" t="str">
        <f ca="1">IF(FO1=0,"","variabele kosten en de totale constante kosten.")</f>
        <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25"/>
      <c r="AY19" s="26"/>
      <c r="AZ19" s="41"/>
      <c r="BA19" s="41"/>
      <c r="BB19" s="41"/>
      <c r="BC19" s="41"/>
      <c r="BD19" s="42"/>
      <c r="BE19" s="41"/>
      <c r="BF19" s="41"/>
      <c r="BG19" s="41"/>
      <c r="BH19" s="41"/>
      <c r="BI19" s="41"/>
      <c r="BJ19" s="41"/>
      <c r="BK19" s="42"/>
      <c r="BL19" s="41"/>
      <c r="BM19" s="41"/>
      <c r="BN19" s="41"/>
      <c r="BO19" s="41"/>
      <c r="BP19" s="41"/>
      <c r="BQ19" s="41"/>
      <c r="BR19" s="80"/>
      <c r="BS19" s="79"/>
      <c r="BT19" s="79"/>
      <c r="BU19" s="79"/>
      <c r="BV19" s="79"/>
      <c r="BW19" s="79"/>
      <c r="BX19" s="79"/>
      <c r="BY19" s="79"/>
      <c r="BZ19" s="80"/>
      <c r="CA19" s="80"/>
      <c r="CB19" s="80"/>
      <c r="CC19" s="80"/>
      <c r="CD19" s="80"/>
      <c r="CE19" s="80"/>
      <c r="CF19" s="80"/>
      <c r="CG19" s="80"/>
      <c r="CH19" s="80"/>
      <c r="CI19" s="80"/>
      <c r="CJ19" s="80"/>
      <c r="CK19" s="80"/>
      <c r="CL19" s="80"/>
      <c r="CM19" s="80"/>
      <c r="CN19" s="80"/>
      <c r="CO19" s="80"/>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row>
    <row r="20" spans="1:221" ht="16.8" customHeight="1">
      <c r="A20" s="1"/>
      <c r="B20" s="3"/>
      <c r="C20" s="3"/>
      <c r="D20" s="38"/>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25"/>
      <c r="AY20" s="26"/>
      <c r="AZ20" s="41"/>
      <c r="BA20" s="41"/>
      <c r="BB20" s="41"/>
      <c r="BC20" s="41"/>
      <c r="BD20" s="42"/>
      <c r="BE20" s="41"/>
      <c r="BF20" s="41"/>
      <c r="BG20" s="41"/>
      <c r="BH20" s="41"/>
      <c r="BI20" s="41"/>
      <c r="BJ20" s="41"/>
      <c r="BK20" s="42"/>
      <c r="BL20" s="41"/>
      <c r="BM20" s="41"/>
      <c r="BN20" s="41"/>
      <c r="BO20" s="41"/>
      <c r="BP20" s="41"/>
      <c r="BQ20" s="41"/>
      <c r="BR20" s="80"/>
      <c r="BS20" s="79"/>
      <c r="BT20" s="79"/>
      <c r="BU20" s="79"/>
      <c r="BV20" s="79"/>
      <c r="BW20" s="79"/>
      <c r="BX20" s="79"/>
      <c r="BY20" s="79"/>
      <c r="BZ20" s="80"/>
      <c r="CA20" s="80"/>
      <c r="CB20" s="80"/>
      <c r="CC20" s="80"/>
      <c r="CD20" s="80"/>
      <c r="CE20" s="80"/>
      <c r="CF20" s="80"/>
      <c r="CG20" s="80"/>
      <c r="CH20" s="80"/>
      <c r="CI20" s="80"/>
      <c r="CJ20" s="80"/>
      <c r="CK20" s="80"/>
      <c r="CL20" s="80"/>
      <c r="CM20" s="80"/>
      <c r="CN20" s="80"/>
      <c r="CO20" s="80"/>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123"/>
      <c r="FN20" s="47"/>
      <c r="FO20" s="47"/>
      <c r="FP20" s="47"/>
      <c r="FQ20" s="47"/>
      <c r="FR20" s="47"/>
      <c r="FS20" s="47"/>
      <c r="FT20" s="47"/>
      <c r="FU20" s="47"/>
      <c r="FV20" s="47"/>
      <c r="FW20" s="47"/>
      <c r="FX20" s="47"/>
      <c r="FY20" s="47"/>
      <c r="FZ20" s="47"/>
      <c r="GA20" s="47"/>
      <c r="GB20" s="47"/>
      <c r="GC20" s="47">
        <f ca="1">Blad1!AA29</f>
        <v>0</v>
      </c>
      <c r="GD20" s="47" t="e">
        <f ca="1">3*GG32</f>
        <v>#VALUE!</v>
      </c>
      <c r="GE20" s="47" t="e">
        <f ca="1">2*GH32+2*GC32</f>
        <v>#VALUE!</v>
      </c>
      <c r="GF20" s="47" t="e">
        <f ca="1">GI32-GD32</f>
        <v>#VALUE!</v>
      </c>
      <c r="GG20" s="47" t="e">
        <f ca="1">(-GE20+(GE20^2-4*GD20*GF20)^0.5)/(2*GD20)</f>
        <v>#VALUE!</v>
      </c>
      <c r="GH20" s="47"/>
      <c r="GI20" s="47">
        <v>2</v>
      </c>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row>
    <row r="21" spans="1:221" ht="16.8" customHeight="1">
      <c r="A21" s="1"/>
      <c r="B21" s="3"/>
      <c r="C21" s="3"/>
      <c r="D21" s="38" t="str">
        <f ca="1">IF(FO1=0,"","Hieronder is links ook de TVK-lijn ingetekend. Zoals je ziet is al aangegeven")</f>
        <v/>
      </c>
      <c r="E21" s="10"/>
      <c r="F21" s="10"/>
      <c r="G21" s="10"/>
      <c r="H21" s="10"/>
      <c r="I21" s="10"/>
      <c r="J21" s="10"/>
      <c r="K21" s="10"/>
      <c r="L21" s="10"/>
      <c r="M21" s="10"/>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47"/>
      <c r="FN21" s="47"/>
      <c r="FO21" s="47"/>
      <c r="FP21" s="47"/>
      <c r="FQ21" s="47"/>
      <c r="FR21" s="47"/>
      <c r="FS21" s="47"/>
      <c r="FT21" s="47"/>
      <c r="FU21" s="47"/>
      <c r="FV21" s="47"/>
      <c r="FW21" s="47"/>
      <c r="FX21" s="47"/>
      <c r="FY21" s="47"/>
      <c r="FZ21" s="47"/>
      <c r="GA21" s="47"/>
      <c r="GB21" s="47"/>
      <c r="GC21" s="47">
        <f ca="1">GC20*4*Blad1!AA28</f>
        <v>0</v>
      </c>
      <c r="GD21" s="47"/>
      <c r="GE21" s="47" t="e">
        <f ca="1">IF(GF23&gt;GF22,GF22,GF23)</f>
        <v>#DIV/0!</v>
      </c>
      <c r="GF21" s="47" t="e">
        <f ca="1">IF(GF23&gt;GF22,GF23,GF22)</f>
        <v>#DIV/0!</v>
      </c>
      <c r="GG21" s="47" t="e">
        <f ca="1">0.25*GF29</f>
        <v>#DIV/0!</v>
      </c>
      <c r="GH21" s="47"/>
      <c r="GI21" s="47">
        <v>1.7</v>
      </c>
      <c r="GJ21" s="47"/>
      <c r="GK21" s="47"/>
      <c r="GL21" s="47" t="s">
        <v>85</v>
      </c>
      <c r="GM21" s="47" t="e">
        <f ca="1">GD32-GK32</f>
        <v>#VALUE!</v>
      </c>
      <c r="GN21" s="47" t="s">
        <v>38</v>
      </c>
      <c r="GO21" s="47" t="s">
        <v>39</v>
      </c>
      <c r="GP21" s="47" t="s">
        <v>86</v>
      </c>
      <c r="GQ21" s="47" t="e">
        <f ca="1">GD32-GM32</f>
        <v>#VALUE!</v>
      </c>
      <c r="GR21" s="47" t="s">
        <v>38</v>
      </c>
      <c r="GS21" s="47" t="s">
        <v>39</v>
      </c>
      <c r="GT21" s="47"/>
      <c r="GU21" s="47"/>
      <c r="GV21" s="47"/>
      <c r="GW21" s="47"/>
      <c r="GX21" s="47"/>
      <c r="GY21" s="47"/>
      <c r="GZ21" s="47"/>
      <c r="HA21" s="47"/>
      <c r="HB21" s="47"/>
      <c r="HC21" s="47"/>
      <c r="HD21" s="47"/>
      <c r="HE21" s="47"/>
      <c r="HF21" s="47"/>
      <c r="HG21" s="47"/>
      <c r="HH21" s="47"/>
      <c r="HI21" s="47"/>
      <c r="HJ21" s="47"/>
      <c r="HK21" s="47"/>
      <c r="HL21" s="47"/>
      <c r="HM21" s="47"/>
    </row>
    <row r="22" spans="1:221" ht="16.8" customHeight="1">
      <c r="A22" s="1"/>
      <c r="B22" s="3"/>
      <c r="C22" s="3"/>
      <c r="D22" s="38" t="str">
        <f ca="1">IF(FO1=0,"","bij welke afzet maximale winst wordt gemaakt. In het linkse blauwomrande")</f>
        <v/>
      </c>
      <c r="E22" s="10"/>
      <c r="F22" s="10"/>
      <c r="G22" s="10"/>
      <c r="H22" s="10"/>
      <c r="I22" s="10"/>
      <c r="J22" s="10"/>
      <c r="K22" s="10"/>
      <c r="L22" s="10"/>
      <c r="M22" s="10"/>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c r="CJ22" s="79"/>
      <c r="CK22" s="79"/>
      <c r="CL22" s="79"/>
      <c r="CM22" s="79"/>
      <c r="CN22" s="79"/>
      <c r="CO22" s="79"/>
      <c r="CP22" s="79"/>
      <c r="CQ22" s="79"/>
      <c r="CR22" s="79"/>
      <c r="CS22" s="79"/>
      <c r="CT22" s="79"/>
      <c r="CU22" s="79"/>
      <c r="CV22" s="79"/>
      <c r="CW22" s="79"/>
      <c r="CX22" s="79"/>
      <c r="CY22" s="79"/>
      <c r="CZ22" s="79"/>
      <c r="DA22" s="79"/>
      <c r="DB22" s="79"/>
      <c r="DC22" s="79"/>
      <c r="DD22" s="79"/>
      <c r="DE22" s="79"/>
      <c r="DF22" s="79"/>
      <c r="DG22" s="79"/>
      <c r="DH22" s="79"/>
      <c r="DI22" s="79"/>
      <c r="DJ22" s="79"/>
      <c r="DK22" s="79"/>
      <c r="DL22" s="79"/>
      <c r="DM22" s="79"/>
      <c r="DN22" s="79"/>
      <c r="DO22" s="79"/>
      <c r="DP22" s="79"/>
      <c r="DQ22" s="79"/>
      <c r="DR22" s="79"/>
      <c r="DS22" s="79"/>
      <c r="DT22" s="79"/>
      <c r="DU22" s="79"/>
      <c r="DV22" s="79"/>
      <c r="DW22" s="79"/>
      <c r="DX22" s="79"/>
      <c r="DY22" s="79"/>
      <c r="DZ22" s="79"/>
      <c r="EA22" s="79"/>
      <c r="EB22" s="79"/>
      <c r="EC22" s="79"/>
      <c r="ED22" s="79"/>
      <c r="EE22" s="79"/>
      <c r="EF22" s="79"/>
      <c r="EG22" s="79"/>
      <c r="EH22" s="79"/>
      <c r="EI22" s="79"/>
      <c r="EJ22" s="79"/>
      <c r="EK22" s="79"/>
      <c r="EL22" s="79"/>
      <c r="EM22" s="79"/>
      <c r="EN22" s="79"/>
      <c r="EO22" s="79"/>
      <c r="EP22" s="79"/>
      <c r="EQ22" s="79"/>
      <c r="ER22" s="79"/>
      <c r="ES22" s="79"/>
      <c r="ET22" s="79"/>
      <c r="EU22" s="79"/>
      <c r="EV22" s="79"/>
      <c r="EW22" s="79"/>
      <c r="EX22" s="79"/>
      <c r="EY22" s="79"/>
      <c r="EZ22" s="79"/>
      <c r="FA22" s="79"/>
      <c r="FB22" s="79"/>
      <c r="FC22" s="79"/>
      <c r="FD22" s="79"/>
      <c r="FE22" s="79"/>
      <c r="FF22" s="79"/>
      <c r="FG22" s="79"/>
      <c r="FH22" s="79"/>
      <c r="FI22" s="79"/>
      <c r="FJ22" s="79"/>
      <c r="FK22" s="79"/>
      <c r="FL22" s="79"/>
      <c r="FM22" s="47"/>
      <c r="FN22" s="47"/>
      <c r="FO22" s="47"/>
      <c r="FP22" s="47"/>
      <c r="FQ22" s="47"/>
      <c r="FR22" s="47"/>
      <c r="FS22" s="47"/>
      <c r="FT22" s="47"/>
      <c r="FU22" s="47"/>
      <c r="FV22" s="47"/>
      <c r="FW22" s="47"/>
      <c r="FX22" s="47"/>
      <c r="FY22" s="47"/>
      <c r="FZ22" s="47"/>
      <c r="GA22" s="47"/>
      <c r="GB22" s="47"/>
      <c r="GC22" s="47" t="s">
        <v>35</v>
      </c>
      <c r="GD22" s="47"/>
      <c r="GE22" s="47" t="e">
        <f ca="1">IF(0.4*(GG29-GG23)/GE29&gt;0,0.4*(GG29-GG23)/GE29,-0.4*(GG29-GG23)/GE29)</f>
        <v>#DIV/0!</v>
      </c>
      <c r="GF22" s="47" t="e">
        <f ca="1">IF(GE22&lt;1,FLOOR(GE22,0.1),IF(GE22&lt;10,FLOOR(GE22,1),IF(GE22&lt;100,FLOOR(GE22,10),IF(GE22&lt;1000,FLOOR(GE22,100),IF(GE22&lt;10000,FLOOR(GE22,1000),IF(GE22&lt;100000,FLOOR(GE22,10000),FLOOR(GE22,100000)))))))</f>
        <v>#DIV/0!</v>
      </c>
      <c r="GG22" s="47" t="e">
        <f ca="1">IF(GG21&lt;100,FLOOR(GG21,10),IF(GG21&lt;1000,FLOOR(GG21,100),IF(GG21&lt;10000,FLOOR(GG21,1000),IF(GG21&lt;100000,FLOOR(GG21,10000),IF(GG21&lt;1000000,FLOOR(GG21,100000),IF(GG21&lt;10000000,FLOOR(GG21,1000000),FLOOR(GG21,10000000)))))))</f>
        <v>#DIV/0!</v>
      </c>
      <c r="GH22" s="47"/>
      <c r="GI22" s="47">
        <v>0.6</v>
      </c>
      <c r="GJ22" s="47">
        <v>1.7</v>
      </c>
      <c r="GK22" s="47">
        <v>0.6</v>
      </c>
      <c r="GL22" s="47">
        <v>-0.3</v>
      </c>
      <c r="GM22" s="47" t="e">
        <f ca="1">GM21/GL27</f>
        <v>#VALUE!</v>
      </c>
      <c r="GN22" s="47" t="e">
        <f ca="1">(-2*GC32)*GM22+GD32</f>
        <v>#DIV/0!</v>
      </c>
      <c r="GO22" s="47" t="e">
        <f ca="1">2*GJ32*GM22^1+GK32</f>
        <v>#VALUE!</v>
      </c>
      <c r="GP22" s="47">
        <f ca="1">IF(OR(FN31=5,FN31=11,FN31=14,FN31=15,FN31=16,FN31=17,FN31=18,FN31=19,FN31=27,FN31=30,FN31=33,FN31=36,FN31=37,FN31=38,FN31=39,FN31=40),0.9,1.4)</f>
        <v>1.4</v>
      </c>
      <c r="GQ22" s="47" t="e">
        <f ca="1">GQ21/GP27</f>
        <v>#VALUE!</v>
      </c>
      <c r="GR22" s="47" t="e">
        <f ca="1">-2*GC32*GQ22+GD32</f>
        <v>#DIV/0!</v>
      </c>
      <c r="GS22" s="47" t="e">
        <f ca="1">2*GL32*GQ22^1+GM32</f>
        <v>#VALUE!</v>
      </c>
      <c r="GT22" s="47"/>
      <c r="GU22" s="47"/>
      <c r="GV22" s="47"/>
      <c r="GW22" s="47"/>
      <c r="GX22" s="47"/>
      <c r="GY22" s="47"/>
      <c r="GZ22" s="47"/>
      <c r="HA22" s="47"/>
      <c r="HB22" s="47"/>
      <c r="HC22" s="47"/>
      <c r="HD22" s="47"/>
      <c r="HE22" s="47"/>
      <c r="HF22" s="47"/>
      <c r="HG22" s="47"/>
      <c r="HH22" s="47"/>
      <c r="HI22" s="47"/>
      <c r="HJ22" s="47"/>
      <c r="HK22" s="47"/>
      <c r="HL22" s="47"/>
      <c r="HM22" s="47"/>
    </row>
    <row r="23" spans="1:221" ht="16.8" customHeight="1">
      <c r="A23" s="1"/>
      <c r="B23" s="3"/>
      <c r="C23" s="3"/>
      <c r="D23" s="38" t="str">
        <f ca="1">IF(FO1=0,"","vak kun je een ander punt kiezen en in het rechtse blauwomrande vak kun je")</f>
        <v/>
      </c>
      <c r="E23" s="10"/>
      <c r="F23" s="10"/>
      <c r="G23" s="10"/>
      <c r="H23" s="10"/>
      <c r="I23" s="10"/>
      <c r="J23" s="10"/>
      <c r="K23" s="10"/>
      <c r="L23" s="10"/>
      <c r="M23" s="10"/>
      <c r="N23" s="79"/>
      <c r="O23" s="79"/>
      <c r="P23" s="79"/>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47"/>
      <c r="FN23" s="47"/>
      <c r="FO23" s="47"/>
      <c r="FP23" s="47"/>
      <c r="FQ23" s="47"/>
      <c r="FR23" s="47"/>
      <c r="FS23" s="47"/>
      <c r="FT23" s="47"/>
      <c r="FU23" s="47"/>
      <c r="FV23" s="47"/>
      <c r="FW23" s="47"/>
      <c r="FX23" s="47"/>
      <c r="FY23" s="47"/>
      <c r="FZ23" s="47"/>
      <c r="GA23" s="47"/>
      <c r="GB23" s="47"/>
      <c r="GC23" s="47" t="e">
        <f ca="1">GE32*(((ROUND(GC21/GC20,2))-GE32)/(2/GC20))+GF32</f>
        <v>#DIV/0!</v>
      </c>
      <c r="GD23" s="47" t="e">
        <f ca="1">((ROUND(GC21/GC20,2))*(((ROUND(GC21/GC20,2))-GE32)/(2/GC20))-(1/GC20)*(((ROUND(GC21/GC20,2))-GE32)/(2/GC20))^2)-GC23</f>
        <v>#DIV/0!</v>
      </c>
      <c r="GE23" s="47" t="e">
        <f ca="1">(GG28-GG22)/GE29</f>
        <v>#DIV/0!</v>
      </c>
      <c r="GF23" s="47" t="e">
        <f ca="1">IF(GE23&lt;1,FLOOR(GE23,0.1),IF(GE23&lt;10,FLOOR(GE23,1),IF(GE23&lt;100,FLOOR(GE23,10),IF(GE23&lt;1000,FLOOR(GE23,100),IF(GE23&lt;10000,FLOOR(GE23,1000),IF(GE23&lt;100000,FLOOR(GE23,10000),FLOOR(GE23,100000)))))))</f>
        <v>#DIV/0!</v>
      </c>
      <c r="GG23" s="47" t="e">
        <f ca="1">2*GG22</f>
        <v>#DIV/0!</v>
      </c>
      <c r="GH23" s="47" t="e">
        <f ca="1">GG20</f>
        <v>#VALUE!</v>
      </c>
      <c r="GI23" s="47" t="s">
        <v>40</v>
      </c>
      <c r="GJ23" s="47" t="e">
        <f ca="1">0.5*-2*GC32*GH23^2+GD32*GH23</f>
        <v>#DIV/0!</v>
      </c>
      <c r="GK23" s="47" t="e">
        <f ca="1">GJ23-GH23*GH27</f>
        <v>#DIV/0!</v>
      </c>
      <c r="GL23" s="47">
        <v>0.9</v>
      </c>
      <c r="GM23" s="47" t="s">
        <v>40</v>
      </c>
      <c r="GN23" s="47" t="e">
        <f ca="1">0.5*(-2*GC32)*GM22^2+GD32*GM22</f>
        <v>#DIV/0!</v>
      </c>
      <c r="GO23" s="47" t="e">
        <f ca="1">GN23-GM22*GN22</f>
        <v>#DIV/0!</v>
      </c>
      <c r="GP23" s="47">
        <v>0.2</v>
      </c>
      <c r="GQ23" s="47" t="s">
        <v>40</v>
      </c>
      <c r="GR23" s="47" t="e">
        <f ca="1">0.5*(-2*GC32)*GQ22^2+GD32*GQ22</f>
        <v>#DIV/0!</v>
      </c>
      <c r="GS23" s="47" t="e">
        <f ca="1">GR23-GQ22*GR22</f>
        <v>#DIV/0!</v>
      </c>
      <c r="GT23" s="47"/>
      <c r="GU23" s="47"/>
      <c r="GV23" s="47"/>
      <c r="GW23" s="47"/>
      <c r="GX23" s="47"/>
      <c r="GY23" s="47"/>
      <c r="GZ23" s="47"/>
      <c r="HA23" s="47"/>
      <c r="HB23" s="47"/>
      <c r="HC23" s="47"/>
      <c r="HD23" s="47"/>
      <c r="HE23" s="47"/>
      <c r="HF23" s="47"/>
      <c r="HG23" s="47"/>
      <c r="HH23" s="47"/>
      <c r="HI23" s="47"/>
      <c r="HJ23" s="47"/>
      <c r="HK23" s="47"/>
      <c r="HL23" s="47"/>
      <c r="HM23" s="47"/>
    </row>
    <row r="24" spans="1:221" ht="16.8" customHeight="1">
      <c r="A24" s="1"/>
      <c r="B24" s="3"/>
      <c r="C24" s="3"/>
      <c r="D24" s="38" t="str">
        <f ca="1">IF(FO1=0,"","kiezen voor een andere functievoorschriften (om zo te kunnen zien dat het")</f>
        <v/>
      </c>
      <c r="E24" s="10"/>
      <c r="F24" s="10"/>
      <c r="G24" s="10"/>
      <c r="H24" s="10"/>
      <c r="I24" s="10"/>
      <c r="J24" s="10"/>
      <c r="K24" s="10"/>
      <c r="L24" s="10"/>
      <c r="M24" s="10"/>
      <c r="N24" s="79"/>
      <c r="O24" s="79"/>
      <c r="P24" s="79"/>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row>
    <row r="25" spans="1:221" ht="16.8" customHeight="1">
      <c r="A25" s="1"/>
      <c r="B25" s="3"/>
      <c r="C25" s="3"/>
      <c r="D25" s="373" t="str">
        <f ca="1">IF(FO1=0,"","niet uitmaakt welke getallen in de functies staan). Pas als je bij beide vakken")</f>
        <v/>
      </c>
      <c r="E25" s="10"/>
      <c r="F25" s="10"/>
      <c r="G25" s="10"/>
      <c r="H25" s="10"/>
      <c r="I25" s="10"/>
      <c r="J25" s="10"/>
      <c r="K25" s="10"/>
      <c r="L25" s="10"/>
      <c r="M25" s="10"/>
      <c r="N25" s="79"/>
      <c r="O25" s="79"/>
      <c r="P25" s="79"/>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row>
    <row r="26" spans="1:221" ht="16.8" customHeight="1">
      <c r="A26" s="1"/>
      <c r="B26" s="3"/>
      <c r="C26" s="3"/>
      <c r="D26" s="501" t="str">
        <f ca="1">IF(FO1=0,"","iets hebt ingevuld, kun je verder gaan.")</f>
        <v/>
      </c>
      <c r="E26" s="10"/>
      <c r="F26" s="10"/>
      <c r="G26" s="10"/>
      <c r="H26" s="10"/>
      <c r="I26" s="10"/>
      <c r="J26" s="10"/>
      <c r="K26" s="10"/>
      <c r="L26" s="10"/>
      <c r="M26" s="10"/>
      <c r="N26" s="502"/>
      <c r="O26" s="502"/>
      <c r="P26" s="502"/>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502"/>
      <c r="EP26" s="502"/>
      <c r="EQ26" s="502"/>
      <c r="ER26" s="502"/>
      <c r="ES26" s="502"/>
      <c r="ET26" s="502"/>
      <c r="EU26" s="502"/>
      <c r="EV26" s="502"/>
      <c r="EW26" s="502"/>
      <c r="EX26" s="502"/>
      <c r="EY26" s="502"/>
      <c r="EZ26" s="502"/>
      <c r="FA26" s="502"/>
      <c r="FB26" s="502"/>
      <c r="FC26" s="502"/>
      <c r="FD26" s="502"/>
      <c r="FE26" s="502"/>
      <c r="FF26" s="502"/>
      <c r="FG26" s="502"/>
      <c r="FH26" s="502"/>
      <c r="FI26" s="502"/>
      <c r="FJ26" s="502"/>
      <c r="FK26" s="502"/>
      <c r="FL26" s="502"/>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row>
    <row r="27" spans="1:221" ht="16.5" customHeight="1">
      <c r="A27" s="1"/>
      <c r="B27" s="3"/>
      <c r="C27" s="3"/>
      <c r="D27" s="38"/>
      <c r="E27" s="10"/>
      <c r="F27" s="10"/>
      <c r="G27" s="10"/>
      <c r="H27" s="10"/>
      <c r="I27" s="10"/>
      <c r="J27" s="10"/>
      <c r="K27" s="10"/>
      <c r="L27" s="10"/>
      <c r="M27" s="10"/>
      <c r="N27" s="10"/>
      <c r="O27" s="10"/>
      <c r="P27" s="10"/>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97"/>
      <c r="AY27" s="43"/>
      <c r="AZ27" s="41"/>
      <c r="BA27" s="41"/>
      <c r="BB27" s="41"/>
      <c r="BC27" s="41"/>
      <c r="BD27" s="42"/>
      <c r="BE27" s="41"/>
      <c r="BF27" s="41"/>
      <c r="BG27" s="41"/>
      <c r="BH27" s="41"/>
      <c r="BI27" s="41"/>
      <c r="BJ27" s="41"/>
      <c r="BK27" s="42"/>
      <c r="BL27" s="41"/>
      <c r="BM27" s="41"/>
      <c r="BN27" s="41"/>
      <c r="BO27" s="41"/>
      <c r="BP27" s="41"/>
      <c r="BQ27" s="41"/>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47"/>
      <c r="FN27" s="47"/>
      <c r="FO27" s="47"/>
      <c r="FP27" s="47"/>
      <c r="FQ27" s="47"/>
      <c r="FR27" s="47"/>
      <c r="FS27" s="47"/>
      <c r="FT27" s="47"/>
      <c r="FU27" s="47"/>
      <c r="FV27" s="47"/>
      <c r="FW27" s="47"/>
      <c r="FX27" s="47"/>
      <c r="FY27" s="47"/>
      <c r="FZ27" s="47"/>
      <c r="GA27" s="47"/>
      <c r="GB27" s="47"/>
      <c r="GC27" s="47" t="s">
        <v>36</v>
      </c>
      <c r="GD27" s="47"/>
      <c r="GE27" s="47" t="e">
        <f ca="1">ROUND(GC21/GC20,2)</f>
        <v>#DIV/0!</v>
      </c>
      <c r="GF27" s="47" t="e">
        <f ca="1">ROUND(1/GC20,3)</f>
        <v>#DIV/0!</v>
      </c>
      <c r="GG27" s="47" t="e">
        <f ca="1">0.8*GF29</f>
        <v>#DIV/0!</v>
      </c>
      <c r="GH27" s="47" t="e">
        <f ca="1">-2*GC32*GH23+GD32</f>
        <v>#DIV/0!</v>
      </c>
      <c r="GI27" s="47" t="s">
        <v>41</v>
      </c>
      <c r="GJ27" s="47" t="e">
        <f ca="1">GG32*GH23^3+GH32*GH23^2+GI32*GH23+GF32</f>
        <v>#VALUE!</v>
      </c>
      <c r="GK27" s="47" t="e">
        <f ca="1">GJ27-GH23*GH27</f>
        <v>#VALUE!</v>
      </c>
      <c r="GL27" s="47" t="e">
        <f ca="1">2*GJ32-(-2*GC32)</f>
        <v>#VALUE!</v>
      </c>
      <c r="GM27" s="47" t="s">
        <v>41</v>
      </c>
      <c r="GN27" s="47" t="e">
        <f ca="1">GJ32*GM22^2+GK32*GM22+GF32</f>
        <v>#VALUE!</v>
      </c>
      <c r="GO27" s="47" t="e">
        <f ca="1">GN27-GM22*GN22</f>
        <v>#VALUE!</v>
      </c>
      <c r="GP27" s="47" t="e">
        <f ca="1">2*GL32-(-2*GC32)</f>
        <v>#VALUE!</v>
      </c>
      <c r="GQ27" s="47" t="s">
        <v>41</v>
      </c>
      <c r="GR27" s="47" t="e">
        <f ca="1">GL32*GQ22^2+GM32*GQ22+GF32</f>
        <v>#VALUE!</v>
      </c>
      <c r="GS27" s="47" t="e">
        <f ca="1">GR27-GQ22*GR22</f>
        <v>#VALUE!</v>
      </c>
      <c r="GT27" s="47"/>
      <c r="GU27" s="47"/>
      <c r="GV27" s="47"/>
      <c r="GW27" s="47"/>
      <c r="GX27" s="47"/>
      <c r="GY27" s="47"/>
      <c r="GZ27" s="47"/>
      <c r="HA27" s="47"/>
      <c r="HB27" s="47"/>
      <c r="HC27" s="47"/>
      <c r="HD27" s="47"/>
      <c r="HE27" s="47"/>
      <c r="HF27" s="47"/>
      <c r="HG27" s="47"/>
      <c r="HH27" s="47"/>
      <c r="HI27" s="47"/>
      <c r="HJ27" s="47"/>
      <c r="HK27" s="47"/>
      <c r="HL27" s="47"/>
      <c r="HM27" s="47"/>
    </row>
    <row r="28" spans="1:221" ht="3.75" customHeight="1">
      <c r="A28" s="1"/>
      <c r="B28" s="3"/>
      <c r="C28" s="3"/>
      <c r="D28" s="38"/>
      <c r="E28" s="10"/>
      <c r="F28" s="10"/>
      <c r="G28" s="10"/>
      <c r="H28" s="79"/>
      <c r="I28" s="79"/>
      <c r="J28" s="79"/>
      <c r="K28" s="79"/>
      <c r="L28" s="79"/>
      <c r="M28" s="79"/>
      <c r="N28" s="79"/>
      <c r="O28" s="79"/>
      <c r="P28" s="79"/>
      <c r="Q28" s="538" t="str">
        <f ca="1">IF(FO1=0,"",":")</f>
        <v/>
      </c>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538" t="str">
        <f ca="1">IF(FO1=0,"",":")</f>
        <v/>
      </c>
      <c r="DZ28" s="545"/>
      <c r="EA28" s="545"/>
      <c r="EB28" s="545"/>
      <c r="EC28" s="545"/>
      <c r="ED28" s="545"/>
      <c r="EE28" s="545"/>
      <c r="EF28" s="545"/>
      <c r="EG28" s="43"/>
      <c r="EH28" s="43"/>
      <c r="EI28" s="43"/>
      <c r="EJ28" s="43"/>
      <c r="EK28" s="43"/>
      <c r="EL28" s="43"/>
      <c r="EM28" s="43"/>
      <c r="EN28" s="43"/>
      <c r="EO28" s="79"/>
      <c r="EP28" s="79"/>
      <c r="EQ28" s="79"/>
      <c r="ER28" s="79"/>
      <c r="ES28" s="79"/>
      <c r="ET28" s="79"/>
      <c r="EU28" s="79"/>
      <c r="EV28" s="79"/>
      <c r="EW28" s="79"/>
      <c r="EX28" s="79"/>
      <c r="EY28" s="79"/>
      <c r="EZ28" s="79"/>
      <c r="FA28" s="79"/>
      <c r="FB28" s="79"/>
      <c r="FC28" s="79"/>
      <c r="FD28" s="79"/>
      <c r="FE28" s="79"/>
      <c r="FF28" s="79"/>
      <c r="FG28" s="79"/>
      <c r="FH28" s="79"/>
      <c r="FI28" s="79"/>
      <c r="FJ28" s="79"/>
      <c r="FK28" s="79"/>
      <c r="FL28" s="79"/>
      <c r="FM28" s="47"/>
      <c r="FN28" s="119"/>
      <c r="FO28" s="119"/>
      <c r="FP28" s="119"/>
      <c r="FQ28" s="119"/>
      <c r="FR28" s="119"/>
      <c r="FS28" s="119"/>
      <c r="FT28" s="119"/>
      <c r="FU28" s="47"/>
      <c r="FV28" s="47"/>
      <c r="FW28" s="47"/>
      <c r="FX28" s="47"/>
      <c r="FY28" s="47"/>
      <c r="FZ28" s="47"/>
      <c r="GA28" s="47"/>
      <c r="GB28" s="47"/>
      <c r="GC28" s="47"/>
      <c r="GD28" s="47"/>
      <c r="GE28" s="47" t="e">
        <f ca="1">(GC21/GC20)/(1/GC20)</f>
        <v>#DIV/0!</v>
      </c>
      <c r="GF28" s="47" t="e">
        <f ca="1">ROUND(1/GC20,3)</f>
        <v>#DIV/0!</v>
      </c>
      <c r="GG28" s="47" t="e">
        <f ca="1">(GG23+GG29)/2</f>
        <v>#DIV/0!</v>
      </c>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row>
    <row r="29" spans="1:221" ht="16.5" customHeight="1">
      <c r="A29" s="1"/>
      <c r="B29" s="3"/>
      <c r="C29" s="3"/>
      <c r="D29" s="38"/>
      <c r="E29" s="10"/>
      <c r="F29" s="10"/>
      <c r="G29" s="10"/>
      <c r="H29" s="79"/>
      <c r="I29" s="79"/>
      <c r="J29" s="79"/>
      <c r="K29" s="79"/>
      <c r="L29" s="79"/>
      <c r="M29" s="79"/>
      <c r="N29" s="79"/>
      <c r="O29" s="162" t="str">
        <f ca="1">IF(FO1=0,"","Punt:")</f>
        <v/>
      </c>
      <c r="P29" s="79"/>
      <c r="Q29" s="195" t="str">
        <f ca="1">IF(FO1=0,"",":")</f>
        <v/>
      </c>
      <c r="R29" s="624"/>
      <c r="S29" s="625"/>
      <c r="T29" s="625"/>
      <c r="U29" s="625"/>
      <c r="V29" s="625"/>
      <c r="W29" s="625"/>
      <c r="X29" s="625"/>
      <c r="Y29" s="625"/>
      <c r="Z29" s="625"/>
      <c r="AA29" s="625"/>
      <c r="AB29" s="625"/>
      <c r="AC29" s="625"/>
      <c r="AD29" s="625"/>
      <c r="AE29" s="625"/>
      <c r="AF29" s="625"/>
      <c r="AG29" s="625"/>
      <c r="AH29" s="625"/>
      <c r="AI29" s="625"/>
      <c r="AJ29" s="625"/>
      <c r="AK29" s="625"/>
      <c r="AL29" s="625"/>
      <c r="AM29" s="625"/>
      <c r="AN29" s="625"/>
      <c r="AO29" s="625"/>
      <c r="AP29" s="625"/>
      <c r="AQ29" s="625"/>
      <c r="AR29" s="625"/>
      <c r="AS29" s="625"/>
      <c r="AT29" s="625"/>
      <c r="AU29" s="625"/>
      <c r="AV29" s="625"/>
      <c r="AW29" s="625"/>
      <c r="AX29" s="625"/>
      <c r="AY29" s="625"/>
      <c r="AZ29" s="625"/>
      <c r="BA29" s="625"/>
      <c r="BB29" s="625"/>
      <c r="BC29" s="625"/>
      <c r="BD29" s="625"/>
      <c r="BE29" s="625"/>
      <c r="BF29" s="625"/>
      <c r="BG29" s="625"/>
      <c r="BH29" s="625"/>
      <c r="BI29" s="625"/>
      <c r="BJ29" s="625"/>
      <c r="BK29" s="625"/>
      <c r="BL29" s="625"/>
      <c r="BM29" s="625"/>
      <c r="BN29" s="625"/>
      <c r="BO29" s="625"/>
      <c r="BP29" s="625"/>
      <c r="BQ29" s="625"/>
      <c r="BR29" s="626"/>
      <c r="BS29" s="626"/>
      <c r="BT29" s="626"/>
      <c r="BU29" s="626"/>
      <c r="BV29" s="626"/>
      <c r="BW29" s="626"/>
      <c r="BX29" s="626"/>
      <c r="BY29" s="626"/>
      <c r="BZ29" s="626"/>
      <c r="CA29" s="626"/>
      <c r="CB29" s="626"/>
      <c r="CC29" s="195" t="str">
        <f ca="1">IF(FO1=0,"",":")</f>
        <v/>
      </c>
      <c r="CD29" s="165" t="s">
        <v>131</v>
      </c>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201" t="str">
        <f ca="1">IF(FO1=0,"","Functievoorschrift:")</f>
        <v/>
      </c>
      <c r="DX29" s="43"/>
      <c r="DY29" s="195" t="str">
        <f ca="1">IF(FO1=0,"",":")</f>
        <v/>
      </c>
      <c r="DZ29" s="637"/>
      <c r="EA29" s="637"/>
      <c r="EB29" s="637"/>
      <c r="EC29" s="637"/>
      <c r="ED29" s="637"/>
      <c r="EE29" s="637"/>
      <c r="EF29" s="226" t="str">
        <f ca="1">IF(FO1=0,"",":")</f>
        <v/>
      </c>
      <c r="EG29" s="43"/>
      <c r="EH29" s="43"/>
      <c r="EI29" s="43"/>
      <c r="EJ29" s="43"/>
      <c r="EK29" s="43"/>
      <c r="EL29" s="43"/>
      <c r="EM29" s="43"/>
      <c r="EN29" s="43"/>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47"/>
      <c r="FN29" s="119">
        <f>IF(R29=FO29,1,IF(R29=FP29,2,IF(R29=FQ29,3,IF(R29=FR29,4,1))))</f>
        <v>4</v>
      </c>
      <c r="FO29" s="120" t="s">
        <v>75</v>
      </c>
      <c r="FP29" s="119" t="s">
        <v>74</v>
      </c>
      <c r="FQ29" s="120" t="s">
        <v>84</v>
      </c>
      <c r="FR29" s="120"/>
      <c r="FS29" s="120">
        <v>1</v>
      </c>
      <c r="FT29" s="119">
        <v>2</v>
      </c>
      <c r="FU29" s="47">
        <v>3</v>
      </c>
      <c r="FV29" s="47">
        <v>4</v>
      </c>
      <c r="FW29" s="47">
        <v>5</v>
      </c>
      <c r="FX29" s="47"/>
      <c r="FY29" s="47"/>
      <c r="FZ29" s="47"/>
      <c r="GA29" s="47"/>
      <c r="GB29" s="47"/>
      <c r="GC29" s="47" t="e">
        <f ca="1">IF(GG23&gt;GG22,GG22,GG23)</f>
        <v>#DIV/0!</v>
      </c>
      <c r="GD29" s="47" t="e">
        <f ca="1">IF(GG23&gt;GG22,GG23,GG22)</f>
        <v>#DIV/0!</v>
      </c>
      <c r="GE29" s="47" t="e">
        <f ca="1">ROUND(GC21/GC20,2)/(ROUND(1/GC20,3)*2)</f>
        <v>#DIV/0!</v>
      </c>
      <c r="GF29" s="47" t="e">
        <f ca="1">GE27*GE29-GF27*GE29^2</f>
        <v>#DIV/0!</v>
      </c>
      <c r="GG29" s="47" t="e">
        <f ca="1">IF(GG27&lt;100,FLOOR(GG27,10),IF(GG27&lt;1000,FLOOR(GG27,100),IF(GG27&lt;10000,FLOOR(GG27,1000),IF(GG27&lt;100000,FLOOR(GG27,10000),IF(GG27&lt;1000000,FLOOR(GG27,100000),IF(GG27&lt;10000000,FLOOR(GG27,1000000),FLOOR(GG27,10000000)))))))</f>
        <v>#DIV/0!</v>
      </c>
      <c r="GH29" s="47" t="e">
        <f ca="1">3*GG32*GH23^2+2*GH32*GH23^1+GI32</f>
        <v>#VALUE!</v>
      </c>
      <c r="GI29" s="47"/>
      <c r="GJ29" s="47"/>
      <c r="GK29" s="47"/>
      <c r="GL29" s="47"/>
      <c r="GM29" s="47"/>
      <c r="GN29" s="47" t="s">
        <v>20</v>
      </c>
      <c r="GO29" s="47" t="s">
        <v>82</v>
      </c>
      <c r="GP29" s="47" t="s">
        <v>83</v>
      </c>
      <c r="GQ29" s="47"/>
      <c r="GR29" s="47"/>
      <c r="GS29" s="47"/>
      <c r="GT29" s="47"/>
      <c r="GU29" s="47"/>
      <c r="GV29" s="47"/>
      <c r="GW29" s="47"/>
      <c r="GX29" s="47"/>
      <c r="GY29" s="47"/>
      <c r="GZ29" s="47"/>
      <c r="HA29" s="47"/>
      <c r="HB29" s="47"/>
      <c r="HC29" s="47"/>
      <c r="HD29" s="47"/>
      <c r="HE29" s="47"/>
      <c r="HF29" s="47"/>
      <c r="HG29" s="47"/>
      <c r="HH29" s="47"/>
      <c r="HI29" s="47"/>
      <c r="HJ29" s="47"/>
      <c r="HK29" s="47"/>
      <c r="HL29" s="47"/>
      <c r="HM29" s="47"/>
    </row>
    <row r="30" spans="1:221" ht="3.75" customHeight="1">
      <c r="A30" s="1"/>
      <c r="B30" s="3"/>
      <c r="C30" s="3"/>
      <c r="D30" s="38"/>
      <c r="E30" s="10"/>
      <c r="F30" s="10"/>
      <c r="G30" s="10"/>
      <c r="H30" s="79"/>
      <c r="I30" s="79"/>
      <c r="J30" s="79"/>
      <c r="K30" s="79"/>
      <c r="L30" s="79"/>
      <c r="M30" s="79"/>
      <c r="N30" s="79"/>
      <c r="O30" s="79"/>
      <c r="P30" s="79"/>
      <c r="Q30" s="538" t="str">
        <f ca="1">IF(FO1=0,"",":")</f>
        <v/>
      </c>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538" t="str">
        <f ca="1">IF(FO1=0,"",":")</f>
        <v/>
      </c>
      <c r="DZ30" s="545"/>
      <c r="EA30" s="545"/>
      <c r="EB30" s="545"/>
      <c r="EC30" s="545"/>
      <c r="ED30" s="545"/>
      <c r="EE30" s="545"/>
      <c r="EF30" s="545"/>
      <c r="EG30" s="43"/>
      <c r="EH30" s="43"/>
      <c r="EI30" s="43"/>
      <c r="EJ30" s="43"/>
      <c r="EK30" s="43"/>
      <c r="EL30" s="43"/>
      <c r="EM30" s="43"/>
      <c r="EN30" s="43"/>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47"/>
      <c r="FN30" s="119"/>
      <c r="FO30" s="119"/>
      <c r="FP30" s="119"/>
      <c r="FQ30" s="119"/>
      <c r="FR30" s="119"/>
      <c r="FS30" s="119"/>
      <c r="FT30" s="119"/>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row>
    <row r="31" spans="1:221" ht="16.5" customHeight="1">
      <c r="A31" s="1"/>
      <c r="B31" s="3"/>
      <c r="C31" s="3"/>
      <c r="D31" s="38"/>
      <c r="E31" s="10"/>
      <c r="F31" s="10"/>
      <c r="G31" s="10"/>
      <c r="H31" s="10"/>
      <c r="I31" s="10"/>
      <c r="J31" s="10"/>
      <c r="K31" s="10"/>
      <c r="L31" s="10"/>
      <c r="M31" s="10"/>
      <c r="N31" s="10"/>
      <c r="O31" s="10"/>
      <c r="P31" s="10"/>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97"/>
      <c r="AY31" s="43"/>
      <c r="AZ31" s="41"/>
      <c r="BA31" s="41"/>
      <c r="BB31" s="41"/>
      <c r="BC31" s="41"/>
      <c r="BD31" s="42"/>
      <c r="BE31" s="41"/>
      <c r="BF31" s="41"/>
      <c r="BG31" s="41"/>
      <c r="BH31" s="41"/>
      <c r="BI31" s="41"/>
      <c r="BJ31" s="41"/>
      <c r="BK31" s="42"/>
      <c r="BL31" s="41"/>
      <c r="BM31" s="41"/>
      <c r="BN31" s="41"/>
      <c r="BO31" s="41"/>
      <c r="BP31" s="41"/>
      <c r="BQ31" s="41"/>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79">
        <f ca="1">IF(FO1=0,0,IF(DZ29="",1,DZ29))</f>
        <v>0</v>
      </c>
      <c r="FN31" s="206">
        <f ca="1">IF(FO1=0,0,IF(DZ29="",programma!Q3,DZ29))</f>
        <v>0</v>
      </c>
      <c r="FO31" s="48"/>
      <c r="FP31" s="47"/>
      <c r="FQ31" s="47"/>
      <c r="FR31" s="47"/>
      <c r="FS31" s="47"/>
      <c r="FT31" s="47"/>
      <c r="FU31" s="47"/>
      <c r="FV31" s="47"/>
      <c r="FW31" s="47"/>
      <c r="FX31" s="47"/>
      <c r="FY31" s="47"/>
      <c r="FZ31" s="47"/>
      <c r="GA31" s="47"/>
      <c r="GB31" s="47"/>
      <c r="GC31" s="47" t="s">
        <v>77</v>
      </c>
      <c r="GD31" s="47"/>
      <c r="GE31" s="47" t="s">
        <v>78</v>
      </c>
      <c r="GF31" s="47"/>
      <c r="GG31" s="47" t="s">
        <v>79</v>
      </c>
      <c r="GH31" s="47"/>
      <c r="GI31" s="47"/>
      <c r="GJ31" s="47" t="s">
        <v>81</v>
      </c>
      <c r="GK31" s="47"/>
      <c r="GL31" s="47" t="s">
        <v>80</v>
      </c>
      <c r="GM31" s="47"/>
      <c r="GN31" s="47" t="e">
        <f ca="1">-GC32</f>
        <v>#DIV/0!</v>
      </c>
      <c r="GO31" s="47" t="e">
        <f ca="1">GD32-GE32</f>
        <v>#DIV/0!</v>
      </c>
      <c r="GP31" s="47" t="e">
        <f ca="1">-GF32</f>
        <v>#DIV/0!</v>
      </c>
      <c r="GQ31" s="47" t="e">
        <f ca="1">-(GO31-(GO31^2-4*GN31*GP31)^0.5)/(2*GN31)</f>
        <v>#DIV/0!</v>
      </c>
      <c r="GR31" s="47" t="e">
        <f ca="1">-(GO31+(GO31^2-4*GN31*GP31)^0.5)/(2*GN31)</f>
        <v>#DIV/0!</v>
      </c>
      <c r="GS31" s="47"/>
      <c r="GT31" s="47"/>
      <c r="GU31" s="47"/>
      <c r="GV31" s="47"/>
      <c r="GW31" s="47"/>
      <c r="GX31" s="47"/>
      <c r="GY31" s="47"/>
      <c r="GZ31" s="47"/>
      <c r="HA31" s="47"/>
      <c r="HB31" s="47"/>
      <c r="HC31" s="47"/>
      <c r="HD31" s="47"/>
      <c r="HE31" s="47"/>
      <c r="HF31" s="47"/>
      <c r="HG31" s="47"/>
      <c r="HH31" s="47"/>
      <c r="HI31" s="47"/>
      <c r="HJ31" s="47"/>
      <c r="HK31" s="47"/>
      <c r="HL31" s="47"/>
      <c r="HM31" s="47"/>
    </row>
    <row r="32" spans="1:221" ht="16.5" customHeight="1">
      <c r="A32" s="1"/>
      <c r="B32" s="3"/>
      <c r="C32" s="3"/>
      <c r="D32" s="38"/>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25"/>
      <c r="AY32" s="26"/>
      <c r="AZ32" s="41"/>
      <c r="BA32" s="41"/>
      <c r="BB32" s="41"/>
      <c r="BC32" s="41"/>
      <c r="BD32" s="42"/>
      <c r="BE32" s="41"/>
      <c r="BF32" s="41"/>
      <c r="BG32" s="41"/>
      <c r="BH32" s="41"/>
      <c r="BI32" s="41"/>
      <c r="BJ32" s="41"/>
      <c r="BK32" s="42"/>
      <c r="BL32" s="41"/>
      <c r="BM32" s="41"/>
      <c r="BN32" s="41"/>
      <c r="BO32" s="41"/>
      <c r="BP32" s="41"/>
      <c r="BQ32" s="41"/>
      <c r="BR32" s="80"/>
      <c r="BS32" s="79"/>
      <c r="BT32" s="79"/>
      <c r="BU32" s="79"/>
      <c r="BV32" s="79"/>
      <c r="BW32" s="79"/>
      <c r="BX32" s="79"/>
      <c r="BY32" s="79"/>
      <c r="BZ32" s="80"/>
      <c r="CA32" s="80"/>
      <c r="CB32" s="80"/>
      <c r="CC32" s="80"/>
      <c r="CD32" s="80"/>
      <c r="CE32" s="80"/>
      <c r="CF32" s="80"/>
      <c r="CG32" s="80"/>
      <c r="CH32" s="80"/>
      <c r="CI32" s="80"/>
      <c r="CJ32" s="80"/>
      <c r="CK32" s="80"/>
      <c r="CL32" s="80"/>
      <c r="CM32" s="80"/>
      <c r="CN32" s="80"/>
      <c r="CO32" s="80"/>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50"/>
      <c r="FO32" s="79"/>
      <c r="FP32" s="47"/>
      <c r="FQ32" s="47"/>
      <c r="FR32" s="47"/>
      <c r="FS32" s="47"/>
      <c r="FT32" s="47"/>
      <c r="FU32" s="47"/>
      <c r="FV32" s="47"/>
      <c r="FW32" s="47"/>
      <c r="FX32" s="47"/>
      <c r="FY32" s="47"/>
      <c r="FZ32" s="47"/>
      <c r="GA32" s="47"/>
      <c r="GB32" s="47"/>
      <c r="GC32" s="47" t="e">
        <f ca="1">1/(Blad1!AA29)</f>
        <v>#DIV/0!</v>
      </c>
      <c r="GD32" s="47">
        <f ca="1">4*Blad1!AA28</f>
        <v>0</v>
      </c>
      <c r="GE32" s="47" t="e">
        <f ca="1">ROUND((GE21+GF21)/2,0)</f>
        <v>#DIV/0!</v>
      </c>
      <c r="GF32" s="47" t="e">
        <f ca="1">ROUND((GC29+GD29)/2,0)</f>
        <v>#DIV/0!</v>
      </c>
      <c r="GG32" s="47" t="e">
        <f ca="1">GM40*GI20/GB45^3</f>
        <v>#VALUE!</v>
      </c>
      <c r="GH32" s="47" t="e">
        <f ca="1">-GM40*GI21/GB45^2</f>
        <v>#VALUE!</v>
      </c>
      <c r="GI32" s="47" t="e">
        <f ca="1">GM40*GI22/GB45^1</f>
        <v>#VALUE!</v>
      </c>
      <c r="GJ32" s="47" t="e">
        <f ca="1">GM40*GL22/GB45^2</f>
        <v>#VALUE!</v>
      </c>
      <c r="GK32" s="47" t="e">
        <f ca="1">GM40*GL23/GB45^1</f>
        <v>#VALUE!</v>
      </c>
      <c r="GL32" s="47" t="e">
        <f ca="1">GM40*GP22/GB45^2</f>
        <v>#VALUE!</v>
      </c>
      <c r="GM32" s="47" t="e">
        <f ca="1">GM40*GP23/GB45^1</f>
        <v>#VALUE!</v>
      </c>
      <c r="GN32" s="47" t="e">
        <f ca="1">-GC32-GJ32</f>
        <v>#DIV/0!</v>
      </c>
      <c r="GO32" s="47" t="e">
        <f ca="1">GD32-GK32</f>
        <v>#VALUE!</v>
      </c>
      <c r="GP32" s="47" t="e">
        <f ca="1">-GF32</f>
        <v>#DIV/0!</v>
      </c>
      <c r="GQ32" s="47" t="e">
        <f ca="1">-(GO32-(GO32^2-4*GN32*GP32)^0.5)/(2*GN32)</f>
        <v>#VALUE!</v>
      </c>
      <c r="GR32" s="47" t="e">
        <f ca="1">-(GO32+(GO32^2-4*GN32*GP32)^0.5)/(2*GN32)</f>
        <v>#VALUE!</v>
      </c>
      <c r="GS32" s="47"/>
      <c r="GT32" s="47"/>
      <c r="GU32" s="47"/>
      <c r="GV32" s="47"/>
      <c r="GW32" s="47"/>
      <c r="GX32" s="47"/>
      <c r="GY32" s="47"/>
      <c r="GZ32" s="47"/>
      <c r="HA32" s="47"/>
      <c r="HB32" s="47"/>
      <c r="HC32" s="47"/>
      <c r="HD32" s="47"/>
      <c r="HE32" s="47"/>
      <c r="HF32" s="47"/>
      <c r="HG32" s="47"/>
      <c r="HH32" s="47"/>
      <c r="HI32" s="47"/>
      <c r="HJ32" s="47"/>
      <c r="HK32" s="47"/>
      <c r="HL32" s="47"/>
      <c r="HM32" s="47"/>
    </row>
    <row r="33" spans="1:221" ht="16.5" customHeight="1">
      <c r="A33" s="1"/>
      <c r="B33" s="3"/>
      <c r="C33" s="3"/>
      <c r="D33" s="38"/>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25"/>
      <c r="AY33" s="26"/>
      <c r="AZ33" s="41"/>
      <c r="BA33" s="41"/>
      <c r="BB33" s="41"/>
      <c r="BC33" s="41"/>
      <c r="BD33" s="42"/>
      <c r="BE33" s="41"/>
      <c r="BF33" s="41"/>
      <c r="BG33" s="41"/>
      <c r="BH33" s="41"/>
      <c r="BI33" s="41"/>
      <c r="BJ33" s="41"/>
      <c r="BK33" s="42"/>
      <c r="BL33" s="41"/>
      <c r="BM33" s="41"/>
      <c r="BN33" s="41"/>
      <c r="BO33" s="41"/>
      <c r="BP33" s="41"/>
      <c r="BQ33" s="41"/>
      <c r="BR33" s="80"/>
      <c r="BS33" s="79"/>
      <c r="BT33" s="79"/>
      <c r="BU33" s="79"/>
      <c r="BV33" s="79"/>
      <c r="BW33" s="79"/>
      <c r="BX33" s="79"/>
      <c r="BY33" s="79"/>
      <c r="BZ33" s="80"/>
      <c r="CA33" s="80"/>
      <c r="CB33" s="80"/>
      <c r="CC33" s="80"/>
      <c r="CD33" s="80"/>
      <c r="CE33" s="80"/>
      <c r="CF33" s="80"/>
      <c r="CG33" s="80"/>
      <c r="CH33" s="80"/>
      <c r="CI33" s="80"/>
      <c r="CJ33" s="80"/>
      <c r="CK33" s="80"/>
      <c r="CL33" s="80"/>
      <c r="CM33" s="80"/>
      <c r="CN33" s="80"/>
      <c r="CO33" s="80"/>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t="e">
        <f ca="1">-GC32-GL32</f>
        <v>#DIV/0!</v>
      </c>
      <c r="GO33" s="47" t="e">
        <f ca="1">GD32-GM32</f>
        <v>#VALUE!</v>
      </c>
      <c r="GP33" s="47" t="e">
        <f ca="1">-GF32</f>
        <v>#DIV/0!</v>
      </c>
      <c r="GQ33" s="47" t="e">
        <f ca="1">-(GO33-(GO33^2-4*GN33*GP33)^0.5)/(2*GN33)</f>
        <v>#VALUE!</v>
      </c>
      <c r="GR33" s="47" t="e">
        <f ca="1">-(GO33+(GO33^2-4*GN33*GP33)^0.5)/(2*GN33)</f>
        <v>#VALUE!</v>
      </c>
      <c r="GS33" s="47"/>
      <c r="GT33" s="47"/>
      <c r="GU33" s="47"/>
      <c r="GV33" s="47"/>
      <c r="GW33" s="47"/>
      <c r="GX33" s="47"/>
      <c r="GY33" s="47"/>
      <c r="GZ33" s="47"/>
      <c r="HA33" s="47"/>
      <c r="HB33" s="47"/>
      <c r="HC33" s="47"/>
      <c r="HD33" s="47"/>
      <c r="HE33" s="47"/>
      <c r="HF33" s="47"/>
      <c r="HG33" s="47"/>
      <c r="HH33" s="47"/>
      <c r="HI33" s="47"/>
      <c r="HJ33" s="47"/>
      <c r="HK33" s="47"/>
      <c r="HL33" s="47"/>
      <c r="HM33" s="47"/>
    </row>
    <row r="34" spans="1:221" ht="16.5" customHeight="1">
      <c r="A34" s="1"/>
      <c r="B34" s="3"/>
      <c r="C34" s="3"/>
      <c r="D34" s="38"/>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25"/>
      <c r="AY34" s="26"/>
      <c r="AZ34" s="41"/>
      <c r="BA34" s="41"/>
      <c r="BB34" s="41"/>
      <c r="BC34" s="41"/>
      <c r="BD34" s="42"/>
      <c r="BE34" s="41"/>
      <c r="BF34" s="41"/>
      <c r="BG34" s="41"/>
      <c r="BH34" s="41"/>
      <c r="BI34" s="41"/>
      <c r="BJ34" s="41"/>
      <c r="BK34" s="42"/>
      <c r="BL34" s="41"/>
      <c r="BM34" s="41"/>
      <c r="BN34" s="41"/>
      <c r="BO34" s="41"/>
      <c r="BP34" s="41"/>
      <c r="BQ34" s="41"/>
      <c r="BR34" s="80"/>
      <c r="BS34" s="79"/>
      <c r="BT34" s="79"/>
      <c r="BU34" s="79"/>
      <c r="BV34" s="79"/>
      <c r="BW34" s="79"/>
      <c r="BX34" s="79"/>
      <c r="BY34" s="79"/>
      <c r="BZ34" s="80"/>
      <c r="CA34" s="80"/>
      <c r="CB34" s="80"/>
      <c r="CC34" s="80"/>
      <c r="CD34" s="80"/>
      <c r="CE34" s="80"/>
      <c r="CF34" s="80"/>
      <c r="CG34" s="80"/>
      <c r="CH34" s="80"/>
      <c r="CI34" s="80"/>
      <c r="CJ34" s="80"/>
      <c r="CK34" s="80"/>
      <c r="CL34" s="80"/>
      <c r="CM34" s="80"/>
      <c r="CN34" s="80"/>
      <c r="CO34" s="80"/>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47"/>
      <c r="FN34" s="47"/>
      <c r="FO34" s="47"/>
      <c r="FP34" s="47"/>
      <c r="FQ34" s="47"/>
      <c r="FR34" s="47"/>
      <c r="FS34" s="47"/>
      <c r="FT34" s="47"/>
      <c r="FU34" s="47"/>
      <c r="FV34" s="47"/>
      <c r="FW34" s="47"/>
      <c r="FX34" s="47"/>
      <c r="FY34" s="47"/>
      <c r="FZ34" s="47"/>
      <c r="GA34" s="47"/>
      <c r="GB34" s="47" t="s">
        <v>0</v>
      </c>
      <c r="GC34" s="47" t="s">
        <v>22</v>
      </c>
      <c r="GD34" s="47" t="s">
        <v>37</v>
      </c>
      <c r="GE34" s="47" t="s">
        <v>50</v>
      </c>
      <c r="GF34" s="47" t="s">
        <v>57</v>
      </c>
      <c r="GG34" s="47"/>
      <c r="GH34" s="47" t="s">
        <v>60</v>
      </c>
      <c r="GI34" s="47"/>
      <c r="GJ34" s="47" t="s">
        <v>71</v>
      </c>
      <c r="GK34" s="47" t="s">
        <v>72</v>
      </c>
      <c r="GL34" s="47" t="s">
        <v>73</v>
      </c>
      <c r="GM34" s="47" t="s">
        <v>5</v>
      </c>
      <c r="GN34" s="47" t="s">
        <v>3</v>
      </c>
      <c r="GO34" s="47" t="s">
        <v>58</v>
      </c>
      <c r="GP34" s="47" t="s">
        <v>88</v>
      </c>
      <c r="GQ34" s="47" t="s">
        <v>60</v>
      </c>
      <c r="GR34" s="47"/>
      <c r="GS34" s="47" t="s">
        <v>2</v>
      </c>
      <c r="GT34" s="47" t="s">
        <v>73</v>
      </c>
      <c r="GU34" s="47" t="s">
        <v>60</v>
      </c>
      <c r="GV34" s="47"/>
      <c r="GW34" s="47"/>
      <c r="GX34" s="47"/>
      <c r="GY34" s="47"/>
      <c r="GZ34" s="47"/>
      <c r="HA34" s="47" t="s">
        <v>76</v>
      </c>
      <c r="HB34" s="47"/>
      <c r="HC34" s="47"/>
      <c r="HD34" s="47"/>
      <c r="HE34" s="47"/>
      <c r="HF34" s="47"/>
      <c r="HG34" s="47"/>
      <c r="HH34" s="47"/>
      <c r="HI34" s="47"/>
      <c r="HJ34" s="47"/>
      <c r="HK34" s="47"/>
      <c r="HL34" s="47"/>
      <c r="HM34" s="47"/>
    </row>
    <row r="35" spans="1:221" ht="16.5" customHeight="1">
      <c r="A35" s="1"/>
      <c r="B35" s="3"/>
      <c r="C35" s="3"/>
      <c r="D35" s="38"/>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25"/>
      <c r="AY35" s="26"/>
      <c r="AZ35" s="41"/>
      <c r="BA35" s="41"/>
      <c r="BB35" s="41"/>
      <c r="BC35" s="41"/>
      <c r="BD35" s="42"/>
      <c r="BE35" s="41"/>
      <c r="BF35" s="41"/>
      <c r="BG35" s="41"/>
      <c r="BH35" s="41"/>
      <c r="BI35" s="41"/>
      <c r="BJ35" s="41"/>
      <c r="BK35" s="42"/>
      <c r="BL35" s="41"/>
      <c r="BM35" s="41"/>
      <c r="BN35" s="41"/>
      <c r="BO35" s="41"/>
      <c r="BP35" s="41"/>
      <c r="BQ35" s="41"/>
      <c r="BR35" s="80"/>
      <c r="BS35" s="79"/>
      <c r="BT35" s="79"/>
      <c r="BU35" s="79"/>
      <c r="BV35" s="79"/>
      <c r="BW35" s="79"/>
      <c r="BX35" s="79"/>
      <c r="BY35" s="79"/>
      <c r="BZ35" s="80"/>
      <c r="CA35" s="80"/>
      <c r="CB35" s="80"/>
      <c r="CC35" s="80"/>
      <c r="CD35" s="80"/>
      <c r="CE35" s="80"/>
      <c r="CF35" s="80"/>
      <c r="CG35" s="80"/>
      <c r="CH35" s="80"/>
      <c r="CI35" s="80"/>
      <c r="CJ35" s="80"/>
      <c r="CK35" s="80"/>
      <c r="CL35" s="80"/>
      <c r="CM35" s="80"/>
      <c r="CN35" s="80"/>
      <c r="CO35" s="80"/>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47"/>
      <c r="FN35" s="47"/>
      <c r="FO35" s="47"/>
      <c r="FP35" s="47"/>
      <c r="FQ35" s="47"/>
      <c r="FR35" s="47"/>
      <c r="FS35" s="47"/>
      <c r="FT35" s="47"/>
      <c r="FU35" s="47"/>
      <c r="FV35" s="47"/>
      <c r="FW35" s="47"/>
      <c r="FX35" s="47"/>
      <c r="FY35" s="94"/>
      <c r="FZ35" s="47"/>
      <c r="GA35" s="47">
        <f ca="1">IF(FO1=1,GF32/(1.1*GD32-GE32),0)</f>
        <v>0</v>
      </c>
      <c r="GB35" s="47" t="str">
        <f ca="1">IF(FO1=1,0,"")</f>
        <v/>
      </c>
      <c r="GC35" s="47">
        <f ca="1">IF(FO1=1,-GC32*GB35+GD32,0)</f>
        <v>0</v>
      </c>
      <c r="GD35" s="47">
        <f ca="1">IF(FO1=1,-2*GC32*GB35+GD32,0)</f>
        <v>0</v>
      </c>
      <c r="GE35" s="47">
        <f ca="1">IF(FO1=1,GE32+GF32/GA35,0)</f>
        <v>0</v>
      </c>
      <c r="GF35" s="47">
        <f ca="1">IF(FO1=1,GE32,0)</f>
        <v>0</v>
      </c>
      <c r="GG35" s="47"/>
      <c r="GH35" s="47">
        <f ca="1">IF(FO1=0,0,IF(FN29=1,GH45,IF(FN29=2,GB40,IF(FN29=3,GQ45,0))))</f>
        <v>0</v>
      </c>
      <c r="GI35" s="47">
        <f ca="1">0*GI45</f>
        <v>0</v>
      </c>
      <c r="GJ35" s="47">
        <f ca="1">0*GJ45</f>
        <v>0</v>
      </c>
      <c r="GK35" s="47">
        <f ca="1">GK45</f>
        <v>0</v>
      </c>
      <c r="GL35" s="47">
        <f ca="1">GL45</f>
        <v>0</v>
      </c>
      <c r="GM35" s="47">
        <f ca="1">IF(FO1=0,0,-GC32*GB35^2+GD32*GB35)</f>
        <v>0</v>
      </c>
      <c r="GN35" s="47">
        <f ca="1">IF(FO1=0,0,GE32*GB35+GF32)</f>
        <v>0</v>
      </c>
      <c r="GO35" s="47">
        <f ca="1">IF(FO1=0,0,IF(FN29=1,GE32*GP35+GF32+GD23,IF(FN29=2,GM40,0)))</f>
        <v>0</v>
      </c>
      <c r="GP35" s="47">
        <f ca="1">IF(FO1=0,0,IF(FN29=1,GH35-2*GB36,IF(FN29=2,GH35-2*GB36,0)))</f>
        <v>0</v>
      </c>
      <c r="GQ35" s="47">
        <f ca="1">IF(FO1=0,0,IF(FN29=3,GQ31,IF(FN29=2,GB40,IF(FN29=1,GJ45,0))))</f>
        <v>0</v>
      </c>
      <c r="GR35" s="47">
        <f ca="1">0*GR45</f>
        <v>0</v>
      </c>
      <c r="GS35" s="47">
        <f ca="1">IF(FO1=1,GE32*GB35,0)</f>
        <v>0</v>
      </c>
      <c r="GT35" s="47">
        <f ca="1">GT45</f>
        <v>0</v>
      </c>
      <c r="GU35" s="47">
        <f ca="1">IF(FO1=0,0,IF(FN29=3,GU45,0))</f>
        <v>0</v>
      </c>
      <c r="GV35" s="47">
        <f ca="1">0*GV45</f>
        <v>0</v>
      </c>
      <c r="GW35" s="47">
        <f ca="1">0*GW45</f>
        <v>0</v>
      </c>
      <c r="GX35" s="47"/>
      <c r="GY35" s="47"/>
      <c r="GZ35" s="47"/>
      <c r="HA35" s="47" t="str">
        <f ca="1">GB50</f>
        <v/>
      </c>
      <c r="HB35" s="47" t="e">
        <f ca="1">GY49*HA35^3+GY50*HA35^2+GY51*HA35+GY52</f>
        <v>#VALUE!</v>
      </c>
      <c r="HC35" s="47"/>
      <c r="HD35" s="47" t="str">
        <f ca="1">GB41</f>
        <v/>
      </c>
      <c r="HE35" s="47" t="e">
        <f ca="1">GY49*HD35^3+GY50*HD35^2+GY51*HD35+GY52</f>
        <v>#VALUE!</v>
      </c>
      <c r="HF35" s="47"/>
      <c r="HG35" s="47" t="str">
        <f ca="1">GB56</f>
        <v/>
      </c>
      <c r="HH35" s="47" t="e">
        <f ca="1">GG32*HG35^3+GH32*HG35^2+GI32*HG35+GF32+GC61</f>
        <v>#VALUE!</v>
      </c>
      <c r="HI35" s="47"/>
      <c r="HJ35" s="47" t="str">
        <f ca="1">HA35</f>
        <v/>
      </c>
      <c r="HK35" s="47"/>
      <c r="HL35" s="47"/>
      <c r="HM35" s="47"/>
    </row>
    <row r="36" spans="1:221" ht="16.5" customHeight="1">
      <c r="A36" s="1"/>
      <c r="B36" s="3"/>
      <c r="C36" s="3"/>
      <c r="D36" s="38"/>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25"/>
      <c r="AY36" s="26"/>
      <c r="AZ36" s="41"/>
      <c r="BA36" s="41"/>
      <c r="BB36" s="41"/>
      <c r="BC36" s="41"/>
      <c r="BD36" s="42"/>
      <c r="BE36" s="41"/>
      <c r="BF36" s="41"/>
      <c r="BG36" s="41"/>
      <c r="BH36" s="41"/>
      <c r="BI36" s="41"/>
      <c r="BJ36" s="41"/>
      <c r="BK36" s="42"/>
      <c r="BL36" s="41"/>
      <c r="BM36" s="41"/>
      <c r="BN36" s="41"/>
      <c r="BO36" s="41"/>
      <c r="BP36" s="41"/>
      <c r="BQ36" s="41"/>
      <c r="BR36" s="80"/>
      <c r="BS36" s="79"/>
      <c r="BT36" s="79"/>
      <c r="BU36" s="79"/>
      <c r="BV36" s="79"/>
      <c r="BW36" s="79"/>
      <c r="BX36" s="79"/>
      <c r="BY36" s="79"/>
      <c r="BZ36" s="80"/>
      <c r="CA36" s="80"/>
      <c r="CB36" s="80"/>
      <c r="CC36" s="80"/>
      <c r="CD36" s="80"/>
      <c r="CE36" s="80"/>
      <c r="CF36" s="80"/>
      <c r="CG36" s="80"/>
      <c r="CH36" s="80"/>
      <c r="CI36" s="80"/>
      <c r="CJ36" s="80"/>
      <c r="CK36" s="80"/>
      <c r="CL36" s="80"/>
      <c r="CM36" s="80"/>
      <c r="CN36" s="80"/>
      <c r="CO36" s="80"/>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47"/>
      <c r="FN36" s="47"/>
      <c r="FO36" s="47"/>
      <c r="FP36" s="47"/>
      <c r="FQ36" s="47"/>
      <c r="FR36" s="47"/>
      <c r="FS36" s="47"/>
      <c r="FT36" s="47"/>
      <c r="FU36" s="47"/>
      <c r="FV36" s="47"/>
      <c r="FW36" s="47"/>
      <c r="FX36" s="47"/>
      <c r="FY36" s="47"/>
      <c r="FZ36" s="47"/>
      <c r="GA36" s="47">
        <f ca="1">IF(FO1=1,(GA35+GA37)/2,0)</f>
        <v>0</v>
      </c>
      <c r="GB36" s="47" t="str">
        <f ca="1">IF(FO1=1,0.1*(GD32/GC32),"")</f>
        <v/>
      </c>
      <c r="GC36" s="47">
        <f ca="1">IF(FO1=1,-GC32*GB36+GD32,0)</f>
        <v>0</v>
      </c>
      <c r="GD36" s="47">
        <f ca="1">IF(FO1=1,-2*GC32*GB36+GD32,0)</f>
        <v>0</v>
      </c>
      <c r="GE36" s="47">
        <f ca="1">IF(FO1=1,GE32+GF32/GA36,0)</f>
        <v>0</v>
      </c>
      <c r="GF36" s="47">
        <f ca="1">IF(FO1=1,GE32,0)</f>
        <v>0</v>
      </c>
      <c r="GG36" s="47"/>
      <c r="GH36" s="47">
        <f ca="1">IF(FO1=0,0,IF(FN29=1,GH45,IF(FN29=2,GB40,IF(FN29=3,GQ45,0))))</f>
        <v>0</v>
      </c>
      <c r="GI36" s="47">
        <f ca="1">IF(FO1=1,0.1*GI45,0)</f>
        <v>0</v>
      </c>
      <c r="GJ36" s="47">
        <f ca="1">0.1*GJ45</f>
        <v>0</v>
      </c>
      <c r="GK36" s="47">
        <f ca="1">GK45</f>
        <v>0</v>
      </c>
      <c r="GL36" s="47">
        <f ca="1">GL45</f>
        <v>0</v>
      </c>
      <c r="GM36" s="47">
        <f ca="1">IF(FO1=0,0,-GC32*GB36^2+GD32*GB36)</f>
        <v>0</v>
      </c>
      <c r="GN36" s="47">
        <f ca="1">IF(FO1=0,0,GE32*GB36+GF32)</f>
        <v>0</v>
      </c>
      <c r="GO36" s="47">
        <f ca="1">IF(FO1=0,0,IF(FN29=1,GE32*GP36+GF32+GD23,IF(FN29=2,GM40,0)))</f>
        <v>0</v>
      </c>
      <c r="GP36" s="47">
        <f ca="1">IF(FO1=0,0,IF(FN29=1,GH35-1*GB36,IF(FN29=2,GH35-1*GB36,0)))</f>
        <v>0</v>
      </c>
      <c r="GQ36" s="47">
        <f ca="1">IF(FO1=0,0,IF(FN29=3,GQ31,IF(FN29=2,GB40,IF(FN29=1,GJ45,0))))</f>
        <v>0</v>
      </c>
      <c r="GR36" s="47">
        <f ca="1">0.1*GR45</f>
        <v>0</v>
      </c>
      <c r="GS36" s="47">
        <f ca="1">IF(FO1=1,GE32*GB36,0)</f>
        <v>0</v>
      </c>
      <c r="GT36" s="47">
        <f ca="1">GT45</f>
        <v>0</v>
      </c>
      <c r="GU36" s="47">
        <f ca="1">IF(FO1=0,0,IF(FN29=3,GU45,0))</f>
        <v>0</v>
      </c>
      <c r="GV36" s="47">
        <f ca="1">0.1*GV45</f>
        <v>0</v>
      </c>
      <c r="GW36" s="47">
        <f ca="1">IF(FO1=1,0.1*GW45,0)</f>
        <v>0</v>
      </c>
      <c r="GX36" s="47"/>
      <c r="GY36" s="47"/>
      <c r="GZ36" s="47">
        <v>1</v>
      </c>
      <c r="HA36" s="47" t="e">
        <f ca="1">HA35+GZ36*(HA87-HA35)/GZ86</f>
        <v>#VALUE!</v>
      </c>
      <c r="HB36" s="47" t="e">
        <f ca="1">GY49*HA36^3+GY50*HA36^2+GY51*HA36+GY52</f>
        <v>#VALUE!</v>
      </c>
      <c r="HC36" s="47" t="e">
        <f t="shared" ref="HC36:HC78" ca="1" si="0">IF(AND(HB36&gt;=0,HB35&lt;0),HA35-HB35/(HB36-HB35)*(HA36-HA35),0)</f>
        <v>#VALUE!</v>
      </c>
      <c r="HD36" s="47" t="e">
        <f ca="1">HD35+GZ36*(HD87-HD35)/GZ86</f>
        <v>#VALUE!</v>
      </c>
      <c r="HE36" s="47" t="e">
        <f ca="1">GY49*HD36^3+GY50*HD36^2+GY51*HD36+GY52</f>
        <v>#VALUE!</v>
      </c>
      <c r="HF36" s="47" t="e">
        <f t="shared" ref="HF36:HF55" ca="1" si="1">IF(AND(HE36&lt;0,HE35&gt;=0),HD35-HE35/(HE36-HE35)*(HD36-HD35),0)</f>
        <v>#VALUE!</v>
      </c>
      <c r="HG36" s="47" t="e">
        <f ca="1">HG35+GZ36*(HG87-HG35)/GZ86</f>
        <v>#VALUE!</v>
      </c>
      <c r="HH36" s="47" t="e">
        <f ca="1">GG32*HG36^3+GH32*HG36^2+GI32*HG36+GF32+GC61</f>
        <v>#VALUE!</v>
      </c>
      <c r="HI36" s="47" t="e">
        <f t="shared" ref="HI36:HI86" ca="1" si="2">IF(AND(HH36&gt;=0,HH35&lt;0),HG35-HH35/(HH36-HH35)*(HG36-HG35),0)</f>
        <v>#VALUE!</v>
      </c>
      <c r="HJ36" s="47" t="e">
        <f t="shared" ref="HJ36:HJ87" ca="1" si="3">HA36</f>
        <v>#VALUE!</v>
      </c>
      <c r="HK36" s="47" t="e">
        <f t="shared" ref="HK36:HK86" ca="1" si="4">GG$32*HJ36^2+GH$32*HJ36^1+GI$32+GF$32/HJ36-1.1*GD$32</f>
        <v>#VALUE!</v>
      </c>
      <c r="HL36" s="47" t="e">
        <f t="shared" ref="HL36:HL86" ca="1" si="5">IF(AND(HK36&lt;0,HK35&gt;=0),HJ35-HK35/(HK36-HK35)*(HJ36-HJ35),0)</f>
        <v>#VALUE!</v>
      </c>
      <c r="HM36" s="47"/>
    </row>
    <row r="37" spans="1:221" ht="16.5" customHeight="1">
      <c r="A37" s="1"/>
      <c r="B37" s="3"/>
      <c r="C37" s="3"/>
      <c r="D37" s="38"/>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25"/>
      <c r="AY37" s="26"/>
      <c r="AZ37" s="41"/>
      <c r="BA37" s="41"/>
      <c r="BB37" s="41"/>
      <c r="BC37" s="41"/>
      <c r="BD37" s="42"/>
      <c r="BE37" s="41"/>
      <c r="BF37" s="41"/>
      <c r="BG37" s="41"/>
      <c r="BH37" s="41"/>
      <c r="BI37" s="41"/>
      <c r="BJ37" s="41"/>
      <c r="BK37" s="42"/>
      <c r="BL37" s="41"/>
      <c r="BM37" s="41"/>
      <c r="BN37" s="41"/>
      <c r="BO37" s="41"/>
      <c r="BP37" s="41"/>
      <c r="BQ37" s="41"/>
      <c r="BR37" s="80"/>
      <c r="BS37" s="79"/>
      <c r="BT37" s="79"/>
      <c r="BU37" s="79"/>
      <c r="BV37" s="79"/>
      <c r="BW37" s="79"/>
      <c r="BX37" s="79"/>
      <c r="BY37" s="79"/>
      <c r="BZ37" s="80"/>
      <c r="CA37" s="80"/>
      <c r="CB37" s="80"/>
      <c r="CC37" s="80"/>
      <c r="CD37" s="80"/>
      <c r="CE37" s="80"/>
      <c r="CF37" s="80"/>
      <c r="CG37" s="80"/>
      <c r="CH37" s="80"/>
      <c r="CI37" s="80"/>
      <c r="CJ37" s="80"/>
      <c r="CK37" s="80"/>
      <c r="CL37" s="80"/>
      <c r="CM37" s="80"/>
      <c r="CN37" s="80"/>
      <c r="CO37" s="80"/>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47"/>
      <c r="FN37" s="47"/>
      <c r="FO37" s="47"/>
      <c r="FP37" s="47"/>
      <c r="FQ37" s="47"/>
      <c r="FR37" s="47"/>
      <c r="FS37" s="47"/>
      <c r="FT37" s="47"/>
      <c r="FU37" s="47"/>
      <c r="FV37" s="47"/>
      <c r="FW37" s="47"/>
      <c r="FX37" s="47"/>
      <c r="FY37" s="47"/>
      <c r="FZ37" s="47"/>
      <c r="GA37" s="47" t="str">
        <f t="shared" ref="GA37:GA44" ca="1" si="6">GB37</f>
        <v/>
      </c>
      <c r="GB37" s="47" t="str">
        <f ca="1">IF(FO1=1,0.2*(GD32/GC32),"")</f>
        <v/>
      </c>
      <c r="GC37" s="47">
        <f ca="1">IF(FO1=1,-GC32*GB37+GD32,0)</f>
        <v>0</v>
      </c>
      <c r="GD37" s="47">
        <f ca="1">IF(FO1=1,-2*GC32*GB37+GD32,0)</f>
        <v>0</v>
      </c>
      <c r="GE37" s="47">
        <f ca="1">IF(FO1=1,GE32+GF32/GA37,0)</f>
        <v>0</v>
      </c>
      <c r="GF37" s="47">
        <f ca="1">IF(FO1=1,GE32,0)</f>
        <v>0</v>
      </c>
      <c r="GG37" s="47"/>
      <c r="GH37" s="47">
        <f ca="1">IF(FO1=0,0,IF(FN29=1,GH45,IF(FN29=2,GB40,IF(FN29=3,GQ45,0))))</f>
        <v>0</v>
      </c>
      <c r="GI37" s="47">
        <f ca="1">IF(FO1=1,0.2*GI45,0)</f>
        <v>0</v>
      </c>
      <c r="GJ37" s="47">
        <f ca="1">0.2*GJ45</f>
        <v>0</v>
      </c>
      <c r="GK37" s="47">
        <f ca="1">GK45</f>
        <v>0</v>
      </c>
      <c r="GL37" s="47">
        <f ca="1">GL45</f>
        <v>0</v>
      </c>
      <c r="GM37" s="47">
        <f ca="1">IF(FO1=0,0,-GC32*GB37^2+GD32*GB37)</f>
        <v>0</v>
      </c>
      <c r="GN37" s="47">
        <f ca="1">IF(FO1=0,0,GE32*GB37+GF32)</f>
        <v>0</v>
      </c>
      <c r="GO37" s="47">
        <f ca="1">IF(FO1=0,0,IF(FN29=1,GE32*GP37+GF32+GD23,IF(FN29=2,GM40,0)))</f>
        <v>0</v>
      </c>
      <c r="GP37" s="47">
        <f ca="1">IF(FO1=0,0,IF(FN29=1,GH35,IF(FN29=2,GH35,0)))</f>
        <v>0</v>
      </c>
      <c r="GQ37" s="47">
        <f ca="1">IF(FO1=0,0,IF(FN29=3,GQ31,IF(FN29=2,GB40,IF(FN29=1,GJ45,0))))</f>
        <v>0</v>
      </c>
      <c r="GR37" s="47">
        <f ca="1">0.2*GR45</f>
        <v>0</v>
      </c>
      <c r="GS37" s="47">
        <f ca="1">IF(FO1=1,GE32*GB37,0)</f>
        <v>0</v>
      </c>
      <c r="GT37" s="47">
        <f ca="1">GT45</f>
        <v>0</v>
      </c>
      <c r="GU37" s="47">
        <f ca="1">IF(FO1=0,0,IF(FN29=3,GU45,0))</f>
        <v>0</v>
      </c>
      <c r="GV37" s="47">
        <f ca="1">0.2*GV45</f>
        <v>0</v>
      </c>
      <c r="GW37" s="47">
        <f ca="1">IF(FO1=1,0.2*GW45,0)</f>
        <v>0</v>
      </c>
      <c r="GX37" s="47"/>
      <c r="GY37" s="47"/>
      <c r="GZ37" s="47">
        <v>2</v>
      </c>
      <c r="HA37" s="47" t="e">
        <f ca="1">HA35+GZ37*(HA87-HA35)/GZ86</f>
        <v>#VALUE!</v>
      </c>
      <c r="HB37" s="47" t="e">
        <f ca="1">GY49*HA37^3+GY50*HA37^2+GY51*HA37+GY52</f>
        <v>#VALUE!</v>
      </c>
      <c r="HC37" s="47" t="e">
        <f t="shared" ca="1" si="0"/>
        <v>#VALUE!</v>
      </c>
      <c r="HD37" s="47" t="e">
        <f ca="1">HD35+GZ37*(HD87-HD35)/GZ86</f>
        <v>#VALUE!</v>
      </c>
      <c r="HE37" s="47" t="e">
        <f ca="1">GY49*HD37^3+GY50*HD37^2+GY51*HD37+GY52</f>
        <v>#VALUE!</v>
      </c>
      <c r="HF37" s="47" t="e">
        <f t="shared" ca="1" si="1"/>
        <v>#VALUE!</v>
      </c>
      <c r="HG37" s="47" t="e">
        <f ca="1">HG35+GZ37*(HG87-HG35)/GZ86</f>
        <v>#VALUE!</v>
      </c>
      <c r="HH37" s="47" t="e">
        <f ca="1">GG32*HG37^3+GH32*HG37^2+GI32*HG37+GF32+GC61</f>
        <v>#VALUE!</v>
      </c>
      <c r="HI37" s="47" t="e">
        <f t="shared" ca="1" si="2"/>
        <v>#VALUE!</v>
      </c>
      <c r="HJ37" s="47" t="e">
        <f t="shared" ca="1" si="3"/>
        <v>#VALUE!</v>
      </c>
      <c r="HK37" s="47" t="e">
        <f t="shared" ca="1" si="4"/>
        <v>#VALUE!</v>
      </c>
      <c r="HL37" s="47" t="e">
        <f t="shared" ca="1" si="5"/>
        <v>#VALUE!</v>
      </c>
      <c r="HM37" s="47"/>
    </row>
    <row r="38" spans="1:221" ht="16.5" customHeight="1">
      <c r="A38" s="1"/>
      <c r="B38" s="3"/>
      <c r="C38" s="3"/>
      <c r="D38" s="38"/>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25"/>
      <c r="AY38" s="26"/>
      <c r="AZ38" s="41"/>
      <c r="BA38" s="41"/>
      <c r="BB38" s="41"/>
      <c r="BC38" s="41"/>
      <c r="BD38" s="42"/>
      <c r="BE38" s="41"/>
      <c r="BF38" s="41"/>
      <c r="BG38" s="41"/>
      <c r="BH38" s="41"/>
      <c r="BI38" s="41"/>
      <c r="BJ38" s="41"/>
      <c r="BK38" s="42"/>
      <c r="BL38" s="41"/>
      <c r="BM38" s="41"/>
      <c r="BN38" s="41"/>
      <c r="BO38" s="41"/>
      <c r="BP38" s="41"/>
      <c r="BQ38" s="41"/>
      <c r="BR38" s="80"/>
      <c r="BS38" s="79"/>
      <c r="BT38" s="79"/>
      <c r="BU38" s="79"/>
      <c r="BV38" s="79"/>
      <c r="BW38" s="79"/>
      <c r="BX38" s="79"/>
      <c r="BY38" s="79"/>
      <c r="BZ38" s="80"/>
      <c r="CA38" s="80"/>
      <c r="CB38" s="80"/>
      <c r="CC38" s="80"/>
      <c r="CD38" s="80"/>
      <c r="CE38" s="80"/>
      <c r="CF38" s="80"/>
      <c r="CG38" s="80"/>
      <c r="CH38" s="80"/>
      <c r="CI38" s="80"/>
      <c r="CJ38" s="80"/>
      <c r="CK38" s="80"/>
      <c r="CL38" s="80"/>
      <c r="CM38" s="80"/>
      <c r="CN38" s="80"/>
      <c r="CO38" s="80"/>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47"/>
      <c r="FN38" s="47"/>
      <c r="FO38" s="47"/>
      <c r="FP38" s="47"/>
      <c r="FQ38" s="47"/>
      <c r="FR38" s="47"/>
      <c r="FS38" s="47"/>
      <c r="FT38" s="47"/>
      <c r="FU38" s="47"/>
      <c r="FV38" s="47"/>
      <c r="FW38" s="47"/>
      <c r="FX38" s="47"/>
      <c r="FY38" s="47"/>
      <c r="FZ38" s="47"/>
      <c r="GA38" s="47" t="str">
        <f t="shared" ca="1" si="6"/>
        <v/>
      </c>
      <c r="GB38" s="47" t="str">
        <f ca="1">IF(FO1=1,0.3*(GD32/GC32),"")</f>
        <v/>
      </c>
      <c r="GC38" s="47">
        <f ca="1">IF(FO1=1,-GC32*GB38+GD32,0)</f>
        <v>0</v>
      </c>
      <c r="GD38" s="47">
        <f ca="1">IF(FO1=1,-2*GC32*GB38+GD32,0)</f>
        <v>0</v>
      </c>
      <c r="GE38" s="47">
        <f ca="1">IF(FO1=1,GE32+GF32/GA38,0)</f>
        <v>0</v>
      </c>
      <c r="GF38" s="47">
        <f ca="1">IF(FO1=1,GE32,0)</f>
        <v>0</v>
      </c>
      <c r="GG38" s="47"/>
      <c r="GH38" s="47">
        <f ca="1">IF(FO1=0,0,IF(FN29=1,GH45,IF(FN29=2,GB40,IF(FN29=3,GQ45,0))))</f>
        <v>0</v>
      </c>
      <c r="GI38" s="47">
        <f ca="1">IF(FO1=1,0.3*GI45,0)</f>
        <v>0</v>
      </c>
      <c r="GJ38" s="47">
        <f ca="1">0.3*GJ45</f>
        <v>0</v>
      </c>
      <c r="GK38" s="47">
        <f ca="1">GK45</f>
        <v>0</v>
      </c>
      <c r="GL38" s="47">
        <f ca="1">GL45</f>
        <v>0</v>
      </c>
      <c r="GM38" s="47">
        <f ca="1">IF(FO1=0,0,-GC32*GB38^2+GD32*GB38)</f>
        <v>0</v>
      </c>
      <c r="GN38" s="47">
        <f ca="1">IF(FO1=0,0,GE32*GB38+GF32)</f>
        <v>0</v>
      </c>
      <c r="GO38" s="47">
        <f ca="1">IF(FO1=0,0,IF(FN29=1,GE32*GP38+GF32+GD23,IF(FN29=2,GM40,0)))</f>
        <v>0</v>
      </c>
      <c r="GP38" s="47">
        <f ca="1">IF(FO1=0,0,IF(FN29=1,GH35+1*GB36,IF(FN29=2,GH35+1*GB36,0)))</f>
        <v>0</v>
      </c>
      <c r="GQ38" s="47">
        <f ca="1">IF(FO1=0,0,IF(FN29=3,GQ31,IF(FN29=2,GB40,IF(FN29=1,GJ45,0))))</f>
        <v>0</v>
      </c>
      <c r="GR38" s="47">
        <f ca="1">0.3*GR45</f>
        <v>0</v>
      </c>
      <c r="GS38" s="47">
        <f ca="1">IF(FO1=1,GE32*GB38,0)</f>
        <v>0</v>
      </c>
      <c r="GT38" s="47">
        <f ca="1">GT45</f>
        <v>0</v>
      </c>
      <c r="GU38" s="47">
        <f ca="1">IF(FO1=0,0,IF(FN29=3,GU45,0))</f>
        <v>0</v>
      </c>
      <c r="GV38" s="47">
        <f ca="1">0.3*GV45</f>
        <v>0</v>
      </c>
      <c r="GW38" s="47">
        <f ca="1">IF(FO1=1,0.3*GW45,0)</f>
        <v>0</v>
      </c>
      <c r="GX38" s="47"/>
      <c r="GY38" s="47"/>
      <c r="GZ38" s="47">
        <v>3</v>
      </c>
      <c r="HA38" s="47" t="e">
        <f ca="1">HA35+GZ38*(HA87-HA35)/GZ86</f>
        <v>#VALUE!</v>
      </c>
      <c r="HB38" s="47" t="e">
        <f ca="1">GY49*HA38^3+GY50*HA38^2+GY51*HA38+GY52</f>
        <v>#VALUE!</v>
      </c>
      <c r="HC38" s="47" t="e">
        <f t="shared" ca="1" si="0"/>
        <v>#VALUE!</v>
      </c>
      <c r="HD38" s="47" t="e">
        <f ca="1">HD35+GZ38*(HD87-HD35)/GZ86</f>
        <v>#VALUE!</v>
      </c>
      <c r="HE38" s="47" t="e">
        <f ca="1">GY49*HD38^3+GY50*HD38^2+GY51*HD38+GY52</f>
        <v>#VALUE!</v>
      </c>
      <c r="HF38" s="47" t="e">
        <f t="shared" ca="1" si="1"/>
        <v>#VALUE!</v>
      </c>
      <c r="HG38" s="47" t="e">
        <f ca="1">HG35+GZ38*(HG87-HG35)/GZ86</f>
        <v>#VALUE!</v>
      </c>
      <c r="HH38" s="47" t="e">
        <f ca="1">GG32*HG38^3+GH32*HG38^2+GI32*HG38+GF32+GC61</f>
        <v>#VALUE!</v>
      </c>
      <c r="HI38" s="47" t="e">
        <f t="shared" ca="1" si="2"/>
        <v>#VALUE!</v>
      </c>
      <c r="HJ38" s="47" t="e">
        <f t="shared" ca="1" si="3"/>
        <v>#VALUE!</v>
      </c>
      <c r="HK38" s="47" t="e">
        <f t="shared" ca="1" si="4"/>
        <v>#VALUE!</v>
      </c>
      <c r="HL38" s="47" t="e">
        <f t="shared" ca="1" si="5"/>
        <v>#VALUE!</v>
      </c>
      <c r="HM38" s="47"/>
    </row>
    <row r="39" spans="1:221" ht="16.5" customHeight="1">
      <c r="A39" s="1"/>
      <c r="B39" s="3"/>
      <c r="C39" s="3"/>
      <c r="D39" s="38"/>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25"/>
      <c r="AY39" s="26"/>
      <c r="AZ39" s="41"/>
      <c r="BA39" s="41"/>
      <c r="BB39" s="41"/>
      <c r="BC39" s="41"/>
      <c r="BD39" s="42"/>
      <c r="BE39" s="41"/>
      <c r="BF39" s="41"/>
      <c r="BG39" s="41"/>
      <c r="BH39" s="41"/>
      <c r="BI39" s="41"/>
      <c r="BJ39" s="41"/>
      <c r="BK39" s="42"/>
      <c r="BL39" s="41"/>
      <c r="BM39" s="41"/>
      <c r="BN39" s="41"/>
      <c r="BO39" s="41"/>
      <c r="BP39" s="41"/>
      <c r="BQ39" s="41"/>
      <c r="BR39" s="80"/>
      <c r="BS39" s="79"/>
      <c r="BT39" s="79"/>
      <c r="BU39" s="79"/>
      <c r="BV39" s="79"/>
      <c r="BW39" s="79"/>
      <c r="BX39" s="79"/>
      <c r="BY39" s="79"/>
      <c r="BZ39" s="80"/>
      <c r="CA39" s="80"/>
      <c r="CB39" s="80"/>
      <c r="CC39" s="80"/>
      <c r="CD39" s="80"/>
      <c r="CE39" s="80"/>
      <c r="CF39" s="80"/>
      <c r="CG39" s="80"/>
      <c r="CH39" s="80"/>
      <c r="CI39" s="80"/>
      <c r="CJ39" s="80"/>
      <c r="CK39" s="80"/>
      <c r="CL39" s="80"/>
      <c r="CM39" s="80"/>
      <c r="CN39" s="80"/>
      <c r="CO39" s="80"/>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47"/>
      <c r="FN39" s="47"/>
      <c r="FO39" s="47"/>
      <c r="FP39" s="47"/>
      <c r="FQ39" s="47"/>
      <c r="FR39" s="47"/>
      <c r="FS39" s="47"/>
      <c r="FT39" s="47"/>
      <c r="FU39" s="47"/>
      <c r="FV39" s="47"/>
      <c r="FW39" s="47"/>
      <c r="FX39" s="47"/>
      <c r="FY39" s="47"/>
      <c r="FZ39" s="47"/>
      <c r="GA39" s="47" t="str">
        <f t="shared" ca="1" si="6"/>
        <v/>
      </c>
      <c r="GB39" s="47" t="str">
        <f ca="1">IF(FO1=1,0.4*(GD32/GC32),"")</f>
        <v/>
      </c>
      <c r="GC39" s="47">
        <f ca="1">IF(FO1=1,-GC32*GB39+GD32,0)</f>
        <v>0</v>
      </c>
      <c r="GD39" s="47">
        <f ca="1">IF(FO1=1,-2*GC32*GB39+GD32,0)</f>
        <v>0</v>
      </c>
      <c r="GE39" s="47">
        <f ca="1">IF(FO1=1,GE32+GF32/GA39,0)</f>
        <v>0</v>
      </c>
      <c r="GF39" s="47">
        <f ca="1">IF(FO1=1,GE32,0)</f>
        <v>0</v>
      </c>
      <c r="GG39" s="47"/>
      <c r="GH39" s="47">
        <f ca="1">IF(FO1=0,0,IF(FN29=1,GH45,IF(FN29=2,GB40,IF(FN29=3,GQ45,0))))</f>
        <v>0</v>
      </c>
      <c r="GI39" s="47">
        <f ca="1">IF(FO1=1,0.4*GI45,0)</f>
        <v>0</v>
      </c>
      <c r="GJ39" s="47">
        <f ca="1">0.4*GJ45</f>
        <v>0</v>
      </c>
      <c r="GK39" s="47">
        <f ca="1">GK45</f>
        <v>0</v>
      </c>
      <c r="GL39" s="47">
        <f ca="1">GL45</f>
        <v>0</v>
      </c>
      <c r="GM39" s="47">
        <f ca="1">IF(FO1=0,0,-GC32*GB39^2+GD32*GB39)</f>
        <v>0</v>
      </c>
      <c r="GN39" s="47">
        <f ca="1">IF(FO1=0,0,GE32*GB39+GF32)</f>
        <v>0</v>
      </c>
      <c r="GO39" s="47">
        <f ca="1">IF(FO1=0,0,IF(FN29=1,GE32*GP39+GF32+GD23,IF(FN29=2,GM40,0)))</f>
        <v>0</v>
      </c>
      <c r="GP39" s="47">
        <f ca="1">IF(FO1=0,0,IF(FN29=1,GH35+2*GB36,IF(FN29=2,GH35+2*GB36,0)))</f>
        <v>0</v>
      </c>
      <c r="GQ39" s="47">
        <f ca="1">IF(FO1=0,0,IF(FN29=3,GQ31,IF(FN29=2,GB40,IF(FN29=1,GJ45,0))))</f>
        <v>0</v>
      </c>
      <c r="GR39" s="47">
        <f ca="1">0.4*GR45</f>
        <v>0</v>
      </c>
      <c r="GS39" s="47">
        <f ca="1">IF(FO1=1,GE32*GB39,0)</f>
        <v>0</v>
      </c>
      <c r="GT39" s="47">
        <f ca="1">GT45</f>
        <v>0</v>
      </c>
      <c r="GU39" s="47">
        <f ca="1">IF(FO1=0,0,IF(FN29=3,GU45,0))</f>
        <v>0</v>
      </c>
      <c r="GV39" s="47">
        <f ca="1">0.4*GV45</f>
        <v>0</v>
      </c>
      <c r="GW39" s="47">
        <f ca="1">IF(FO1=1,0.4*GW45,0)</f>
        <v>0</v>
      </c>
      <c r="GX39" s="47"/>
      <c r="GY39" s="47"/>
      <c r="GZ39" s="47">
        <v>4</v>
      </c>
      <c r="HA39" s="47" t="e">
        <f ca="1">HA35+GZ39*(HA87-HA35)/GZ86</f>
        <v>#VALUE!</v>
      </c>
      <c r="HB39" s="47" t="e">
        <f ca="1">GY49*HA39^3+GY50*HA39^2+GY51*HA39+GY52</f>
        <v>#VALUE!</v>
      </c>
      <c r="HC39" s="47" t="e">
        <f t="shared" ca="1" si="0"/>
        <v>#VALUE!</v>
      </c>
      <c r="HD39" s="47" t="e">
        <f ca="1">HD35+GZ39*(HD87-HD35)/GZ86</f>
        <v>#VALUE!</v>
      </c>
      <c r="HE39" s="47" t="e">
        <f ca="1">GY49*HD39^3+GY50*HD39^2+GY51*HD39+GY52</f>
        <v>#VALUE!</v>
      </c>
      <c r="HF39" s="47" t="e">
        <f t="shared" ca="1" si="1"/>
        <v>#VALUE!</v>
      </c>
      <c r="HG39" s="47" t="e">
        <f ca="1">HG35+GZ39*(HG87-HG35)/GZ86</f>
        <v>#VALUE!</v>
      </c>
      <c r="HH39" s="47" t="e">
        <f ca="1">GG32*HG39^3+GH32*HG39^2+GI32*HG39+GF32+GC61</f>
        <v>#VALUE!</v>
      </c>
      <c r="HI39" s="47" t="e">
        <f t="shared" ca="1" si="2"/>
        <v>#VALUE!</v>
      </c>
      <c r="HJ39" s="47" t="e">
        <f t="shared" ca="1" si="3"/>
        <v>#VALUE!</v>
      </c>
      <c r="HK39" s="47" t="e">
        <f t="shared" ca="1" si="4"/>
        <v>#VALUE!</v>
      </c>
      <c r="HL39" s="47" t="e">
        <f t="shared" ca="1" si="5"/>
        <v>#VALUE!</v>
      </c>
      <c r="HM39" s="47"/>
    </row>
    <row r="40" spans="1:221" ht="16.5" customHeight="1">
      <c r="A40" s="1"/>
      <c r="B40" s="3"/>
      <c r="C40" s="3"/>
      <c r="D40" s="38"/>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25"/>
      <c r="AY40" s="26"/>
      <c r="AZ40" s="41"/>
      <c r="BA40" s="41"/>
      <c r="BB40" s="41"/>
      <c r="BC40" s="41"/>
      <c r="BD40" s="42"/>
      <c r="BE40" s="41"/>
      <c r="BF40" s="41"/>
      <c r="BG40" s="41"/>
      <c r="BH40" s="41"/>
      <c r="BI40" s="41"/>
      <c r="BJ40" s="41"/>
      <c r="BK40" s="42"/>
      <c r="BL40" s="41"/>
      <c r="BM40" s="41"/>
      <c r="BN40" s="41"/>
      <c r="BO40" s="41"/>
      <c r="BP40" s="41"/>
      <c r="BQ40" s="41"/>
      <c r="BR40" s="80"/>
      <c r="BS40" s="79"/>
      <c r="BT40" s="79"/>
      <c r="BU40" s="79"/>
      <c r="BV40" s="79"/>
      <c r="BW40" s="79"/>
      <c r="BX40" s="79"/>
      <c r="BY40" s="79"/>
      <c r="BZ40" s="80"/>
      <c r="CA40" s="80"/>
      <c r="CB40" s="80"/>
      <c r="CC40" s="80"/>
      <c r="CD40" s="80"/>
      <c r="CE40" s="80"/>
      <c r="CF40" s="80"/>
      <c r="CG40" s="80"/>
      <c r="CH40" s="80"/>
      <c r="CI40" s="80"/>
      <c r="CJ40" s="80"/>
      <c r="CK40" s="80"/>
      <c r="CL40" s="80"/>
      <c r="CM40" s="80"/>
      <c r="CN40" s="80"/>
      <c r="CO40" s="80"/>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47"/>
      <c r="FN40" s="47"/>
      <c r="FO40" s="47"/>
      <c r="FP40" s="47"/>
      <c r="FQ40" s="47"/>
      <c r="FR40" s="47"/>
      <c r="FS40" s="47"/>
      <c r="FT40" s="47"/>
      <c r="FU40" s="47"/>
      <c r="FV40" s="47"/>
      <c r="FW40" s="47"/>
      <c r="FX40" s="47"/>
      <c r="FY40" s="47"/>
      <c r="FZ40" s="47"/>
      <c r="GA40" s="47" t="str">
        <f t="shared" ca="1" si="6"/>
        <v/>
      </c>
      <c r="GB40" s="47" t="str">
        <f ca="1">IF(FO1=1,0.5*(GD32/GC32),"")</f>
        <v/>
      </c>
      <c r="GC40" s="47">
        <f ca="1">IF(FO1=1,-GC32*GB40+GD32,0)</f>
        <v>0</v>
      </c>
      <c r="GD40" s="47">
        <f ca="1">IF(FO1=1,-2*GC32*GB40+GD32,0)</f>
        <v>0</v>
      </c>
      <c r="GE40" s="47">
        <f ca="1">IF(FO1=1,GE32+GF32/GA40,0)</f>
        <v>0</v>
      </c>
      <c r="GF40" s="47">
        <f ca="1">IF(FO1=1,GE32,0)</f>
        <v>0</v>
      </c>
      <c r="GG40" s="47"/>
      <c r="GH40" s="47">
        <f ca="1">IF(FO1=0,0,IF(FN29=1,GH45,IF(FN29=2,GB40,IF(FN29=3,GQ45,0))))</f>
        <v>0</v>
      </c>
      <c r="GI40" s="47">
        <f ca="1">IF(FO1=1,0.5*GI45,0)</f>
        <v>0</v>
      </c>
      <c r="GJ40" s="47">
        <f ca="1">0.5*GJ45</f>
        <v>0</v>
      </c>
      <c r="GK40" s="47">
        <f ca="1">GK45</f>
        <v>0</v>
      </c>
      <c r="GL40" s="47">
        <f ca="1">GL45</f>
        <v>0</v>
      </c>
      <c r="GM40" s="47">
        <f ca="1">IF(FO1=0,0,-GC32*GB40^2+GD32*GB40)</f>
        <v>0</v>
      </c>
      <c r="GN40" s="47">
        <f ca="1">IF(FO1=0,0,GE32*GB40+GF32)</f>
        <v>0</v>
      </c>
      <c r="GO40" s="47"/>
      <c r="GP40" s="47"/>
      <c r="GQ40" s="47">
        <f ca="1">IF(FO1=0,0,IF(FN29=3,GQ31,IF(FN29=2,GB40,IF(FN29=1,GJ45,0))))</f>
        <v>0</v>
      </c>
      <c r="GR40" s="47">
        <f ca="1">0.5*GR45</f>
        <v>0</v>
      </c>
      <c r="GS40" s="47">
        <f ca="1">IF(FO1=1,GE32*GB40,0)</f>
        <v>0</v>
      </c>
      <c r="GT40" s="47">
        <f ca="1">GT45</f>
        <v>0</v>
      </c>
      <c r="GU40" s="47">
        <f ca="1">IF(FO1=0,0,IF(FN29=3,GU45,0))</f>
        <v>0</v>
      </c>
      <c r="GV40" s="47">
        <f ca="1">0.5*GV45</f>
        <v>0</v>
      </c>
      <c r="GW40" s="47">
        <f ca="1">IF(FO1=1,0.5*GW45,0)</f>
        <v>0</v>
      </c>
      <c r="GX40" s="47"/>
      <c r="GY40" s="47"/>
      <c r="GZ40" s="47">
        <v>5</v>
      </c>
      <c r="HA40" s="47" t="e">
        <f ca="1">HA35+GZ40*(HA87-HA35)/GZ86</f>
        <v>#VALUE!</v>
      </c>
      <c r="HB40" s="47" t="e">
        <f ca="1">GY49*HA40^3+GY50*HA40^2+GY51*HA40+GY52</f>
        <v>#VALUE!</v>
      </c>
      <c r="HC40" s="47" t="e">
        <f t="shared" ca="1" si="0"/>
        <v>#VALUE!</v>
      </c>
      <c r="HD40" s="47" t="e">
        <f ca="1">HD35+GZ40*(HD87-HD35)/GZ86</f>
        <v>#VALUE!</v>
      </c>
      <c r="HE40" s="47" t="e">
        <f ca="1">GY49*HD40^3+GY50*HD40^2+GY51*HD40+GY52</f>
        <v>#VALUE!</v>
      </c>
      <c r="HF40" s="47" t="e">
        <f t="shared" ca="1" si="1"/>
        <v>#VALUE!</v>
      </c>
      <c r="HG40" s="47" t="e">
        <f ca="1">HG35+GZ40*(HG87-HG35)/GZ86</f>
        <v>#VALUE!</v>
      </c>
      <c r="HH40" s="47" t="e">
        <f ca="1">GG32*HG40^3+GH32*HG40^2+GI32*HG40+GF32+GC61</f>
        <v>#VALUE!</v>
      </c>
      <c r="HI40" s="47" t="e">
        <f t="shared" ca="1" si="2"/>
        <v>#VALUE!</v>
      </c>
      <c r="HJ40" s="47" t="e">
        <f t="shared" ca="1" si="3"/>
        <v>#VALUE!</v>
      </c>
      <c r="HK40" s="47" t="e">
        <f t="shared" ca="1" si="4"/>
        <v>#VALUE!</v>
      </c>
      <c r="HL40" s="47" t="e">
        <f t="shared" ca="1" si="5"/>
        <v>#VALUE!</v>
      </c>
      <c r="HM40" s="47"/>
    </row>
    <row r="41" spans="1:221" ht="16.5" customHeight="1">
      <c r="A41" s="1"/>
      <c r="B41" s="3"/>
      <c r="C41" s="3"/>
      <c r="D41" s="38"/>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25"/>
      <c r="AY41" s="26"/>
      <c r="AZ41" s="41"/>
      <c r="BA41" s="41"/>
      <c r="BB41" s="41"/>
      <c r="BC41" s="41"/>
      <c r="BD41" s="42"/>
      <c r="BE41" s="41"/>
      <c r="BF41" s="41"/>
      <c r="BG41" s="41"/>
      <c r="BH41" s="41"/>
      <c r="BI41" s="41"/>
      <c r="BJ41" s="41"/>
      <c r="BK41" s="42"/>
      <c r="BL41" s="41"/>
      <c r="BM41" s="41"/>
      <c r="BN41" s="41"/>
      <c r="BO41" s="41"/>
      <c r="BP41" s="41"/>
      <c r="BQ41" s="41"/>
      <c r="BR41" s="80"/>
      <c r="BS41" s="79"/>
      <c r="BT41" s="79"/>
      <c r="BU41" s="79"/>
      <c r="BV41" s="79"/>
      <c r="BW41" s="79"/>
      <c r="BX41" s="79"/>
      <c r="BY41" s="79"/>
      <c r="BZ41" s="80"/>
      <c r="CA41" s="80"/>
      <c r="CB41" s="80"/>
      <c r="CC41" s="80"/>
      <c r="CD41" s="80"/>
      <c r="CE41" s="80"/>
      <c r="CF41" s="80"/>
      <c r="CG41" s="80"/>
      <c r="CH41" s="80"/>
      <c r="CI41" s="80"/>
      <c r="CJ41" s="80"/>
      <c r="CK41" s="80"/>
      <c r="CL41" s="80"/>
      <c r="CM41" s="80"/>
      <c r="CN41" s="80"/>
      <c r="CO41" s="80"/>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47"/>
      <c r="FN41" s="47"/>
      <c r="FO41" s="47"/>
      <c r="FP41" s="47"/>
      <c r="FQ41" s="47"/>
      <c r="FR41" s="47"/>
      <c r="FS41" s="47"/>
      <c r="FT41" s="47"/>
      <c r="FU41" s="47"/>
      <c r="FV41" s="47"/>
      <c r="FW41" s="47"/>
      <c r="FX41" s="47"/>
      <c r="FY41" s="47"/>
      <c r="FZ41" s="47"/>
      <c r="GA41" s="47" t="str">
        <f t="shared" ca="1" si="6"/>
        <v/>
      </c>
      <c r="GB41" s="47" t="str">
        <f ca="1">IF(FO1=1,0.6*(GD32/GC32),"")</f>
        <v/>
      </c>
      <c r="GC41" s="47">
        <f ca="1">IF(FO1=1,-GC32*GB41+GD32,0)</f>
        <v>0</v>
      </c>
      <c r="GD41" s="47"/>
      <c r="GE41" s="47">
        <f ca="1">IF(FO1=1,GE32+GF32/GA41,0)</f>
        <v>0</v>
      </c>
      <c r="GF41" s="47">
        <f ca="1">IF(FO1=1,GE32,0)</f>
        <v>0</v>
      </c>
      <c r="GG41" s="47"/>
      <c r="GH41" s="47">
        <f ca="1">IF(FO1=0,0,IF(FN29=1,GH45,IF(FN29=2,GB40,IF(FN29=3,GQ45,0))))</f>
        <v>0</v>
      </c>
      <c r="GI41" s="47">
        <f ca="1">IF(FO1=1,0.6*GI45,0)</f>
        <v>0</v>
      </c>
      <c r="GJ41" s="47">
        <f ca="1">0.6*GJ45</f>
        <v>0</v>
      </c>
      <c r="GK41" s="47">
        <f ca="1">GK45</f>
        <v>0</v>
      </c>
      <c r="GL41" s="47">
        <f ca="1">GL45</f>
        <v>0</v>
      </c>
      <c r="GM41" s="47">
        <f ca="1">IF(FO1=0,0,-GC32*GB41^2+GD32*GB41)</f>
        <v>0</v>
      </c>
      <c r="GN41" s="47">
        <f ca="1">IF(FO1=0,0,GE32*GB41+GF32)</f>
        <v>0</v>
      </c>
      <c r="GO41" s="47"/>
      <c r="GP41" s="47"/>
      <c r="GQ41" s="47">
        <f ca="1">IF(FO1=0,0,IF(FN29=3,GQ31,IF(FN29=2,GB40,IF(FN29=1,GJ45,0))))</f>
        <v>0</v>
      </c>
      <c r="GR41" s="47">
        <f ca="1">0.6*GR45</f>
        <v>0</v>
      </c>
      <c r="GS41" s="47">
        <f ca="1">IF(FO1=1,GE32*GB41,0)</f>
        <v>0</v>
      </c>
      <c r="GT41" s="47">
        <f ca="1">GT45</f>
        <v>0</v>
      </c>
      <c r="GU41" s="47">
        <f ca="1">IF(FO1=0,0,IF(FN29=3,GU45,0))</f>
        <v>0</v>
      </c>
      <c r="GV41" s="47">
        <f ca="1">0.6*GV45</f>
        <v>0</v>
      </c>
      <c r="GW41" s="47">
        <f ca="1">IF(FO1=1,0.6*GW45,0)</f>
        <v>0</v>
      </c>
      <c r="GX41" s="47"/>
      <c r="GY41" s="47"/>
      <c r="GZ41" s="47">
        <v>6</v>
      </c>
      <c r="HA41" s="47" t="e">
        <f ca="1">HA35+GZ41*(HA87-HA35)/GZ86</f>
        <v>#VALUE!</v>
      </c>
      <c r="HB41" s="47" t="e">
        <f ca="1">GY49*HA41^3+GY50*HA41^2+GY51*HA41+GY52</f>
        <v>#VALUE!</v>
      </c>
      <c r="HC41" s="47" t="e">
        <f t="shared" ca="1" si="0"/>
        <v>#VALUE!</v>
      </c>
      <c r="HD41" s="47" t="e">
        <f ca="1">HD35+GZ41*(HD87-HD35)/GZ86</f>
        <v>#VALUE!</v>
      </c>
      <c r="HE41" s="47" t="e">
        <f ca="1">GY49*HD41^3+GY50*HD41^2+GY51*HD41+GY52</f>
        <v>#VALUE!</v>
      </c>
      <c r="HF41" s="47" t="e">
        <f t="shared" ca="1" si="1"/>
        <v>#VALUE!</v>
      </c>
      <c r="HG41" s="47" t="e">
        <f ca="1">HG35+GZ41*(HG87-HG35)/GZ86</f>
        <v>#VALUE!</v>
      </c>
      <c r="HH41" s="47" t="e">
        <f ca="1">GG32*HG41^3+GH32*HG41^2+GI32*HG41+GF32+GC61</f>
        <v>#VALUE!</v>
      </c>
      <c r="HI41" s="47" t="e">
        <f t="shared" ca="1" si="2"/>
        <v>#VALUE!</v>
      </c>
      <c r="HJ41" s="47" t="e">
        <f t="shared" ca="1" si="3"/>
        <v>#VALUE!</v>
      </c>
      <c r="HK41" s="47" t="e">
        <f t="shared" ca="1" si="4"/>
        <v>#VALUE!</v>
      </c>
      <c r="HL41" s="47" t="e">
        <f t="shared" ca="1" si="5"/>
        <v>#VALUE!</v>
      </c>
      <c r="HM41" s="47"/>
    </row>
    <row r="42" spans="1:221" ht="16.5" customHeight="1">
      <c r="A42" s="1"/>
      <c r="B42" s="3"/>
      <c r="C42" s="3"/>
      <c r="D42" s="38"/>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25"/>
      <c r="AY42" s="26"/>
      <c r="AZ42" s="41"/>
      <c r="BA42" s="41"/>
      <c r="BB42" s="41"/>
      <c r="BC42" s="41"/>
      <c r="BD42" s="42"/>
      <c r="BE42" s="41"/>
      <c r="BF42" s="41"/>
      <c r="BG42" s="41"/>
      <c r="BH42" s="41"/>
      <c r="BI42" s="41"/>
      <c r="BJ42" s="41"/>
      <c r="BK42" s="42"/>
      <c r="BL42" s="41"/>
      <c r="BM42" s="41"/>
      <c r="BN42" s="41"/>
      <c r="BO42" s="41"/>
      <c r="BP42" s="41"/>
      <c r="BQ42" s="41"/>
      <c r="BR42" s="80"/>
      <c r="BS42" s="79"/>
      <c r="BT42" s="79"/>
      <c r="BU42" s="79"/>
      <c r="BV42" s="79"/>
      <c r="BW42" s="79"/>
      <c r="BX42" s="79"/>
      <c r="BY42" s="79"/>
      <c r="BZ42" s="80"/>
      <c r="CA42" s="80"/>
      <c r="CB42" s="80"/>
      <c r="CC42" s="80"/>
      <c r="CD42" s="80"/>
      <c r="CE42" s="80"/>
      <c r="CF42" s="80"/>
      <c r="CG42" s="80"/>
      <c r="CH42" s="80"/>
      <c r="CI42" s="80"/>
      <c r="CJ42" s="80"/>
      <c r="CK42" s="80"/>
      <c r="CL42" s="80"/>
      <c r="CM42" s="80"/>
      <c r="CN42" s="80"/>
      <c r="CO42" s="80"/>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47"/>
      <c r="FN42" s="47"/>
      <c r="FO42" s="47"/>
      <c r="FP42" s="47"/>
      <c r="FQ42" s="47"/>
      <c r="FR42" s="47"/>
      <c r="FS42" s="47"/>
      <c r="FT42" s="47"/>
      <c r="FU42" s="47"/>
      <c r="FV42" s="47"/>
      <c r="FW42" s="47"/>
      <c r="FX42" s="47"/>
      <c r="FY42" s="47"/>
      <c r="FZ42" s="47"/>
      <c r="GA42" s="47" t="str">
        <f t="shared" ca="1" si="6"/>
        <v/>
      </c>
      <c r="GB42" s="47" t="str">
        <f ca="1">IF(FO1=1,0.7*(GD32/GC32),"")</f>
        <v/>
      </c>
      <c r="GC42" s="47">
        <f ca="1">IF(FO1=1,-GC32*GB42+GD32,0)</f>
        <v>0</v>
      </c>
      <c r="GD42" s="47"/>
      <c r="GE42" s="47">
        <f ca="1">IF(FO1=1,GE32+GF32/GA42,0)</f>
        <v>0</v>
      </c>
      <c r="GF42" s="47">
        <f ca="1">IF(FO1=1,GE32,0)</f>
        <v>0</v>
      </c>
      <c r="GG42" s="47"/>
      <c r="GH42" s="47">
        <f ca="1">IF(FO1=0,0,IF(FN29=1,GH45,IF(FN29=2,GB40,IF(FN29=3,GQ45,0))))</f>
        <v>0</v>
      </c>
      <c r="GI42" s="47">
        <f ca="1">IF(FO1=1,0.7*GI45,0)</f>
        <v>0</v>
      </c>
      <c r="GJ42" s="47">
        <f ca="1">0.7*GJ45</f>
        <v>0</v>
      </c>
      <c r="GK42" s="47">
        <f ca="1">GK45</f>
        <v>0</v>
      </c>
      <c r="GL42" s="47">
        <f ca="1">GL45</f>
        <v>0</v>
      </c>
      <c r="GM42" s="47">
        <f ca="1">IF(FO1=0,0,-GC32*GB42^2+GD32*GB42)</f>
        <v>0</v>
      </c>
      <c r="GN42" s="47">
        <f ca="1">IF(FO1=0,0,GE32*GB42+GF32)</f>
        <v>0</v>
      </c>
      <c r="GO42" s="47"/>
      <c r="GP42" s="47"/>
      <c r="GQ42" s="47">
        <f ca="1">IF(FO1=0,0,IF(FN29=3,GQ31,IF(FN29=2,GB40,IF(FN29=1,GJ45,0))))</f>
        <v>0</v>
      </c>
      <c r="GR42" s="47">
        <f ca="1">0.7*GR45</f>
        <v>0</v>
      </c>
      <c r="GS42" s="47">
        <f ca="1">IF(FO1=1,GE32*GB42,0)</f>
        <v>0</v>
      </c>
      <c r="GT42" s="47">
        <f ca="1">GT45</f>
        <v>0</v>
      </c>
      <c r="GU42" s="47">
        <f ca="1">IF(FO1=0,0,IF(FN29=3,GU45,0))</f>
        <v>0</v>
      </c>
      <c r="GV42" s="47">
        <f ca="1">0.7*GV45</f>
        <v>0</v>
      </c>
      <c r="GW42" s="47">
        <f ca="1">IF(FO1=1,0.7*GW45,0)</f>
        <v>0</v>
      </c>
      <c r="GX42" s="47"/>
      <c r="GY42" s="47"/>
      <c r="GZ42" s="47">
        <v>7</v>
      </c>
      <c r="HA42" s="47" t="e">
        <f ca="1">HA35+GZ42*(HA87-HA35)/GZ86</f>
        <v>#VALUE!</v>
      </c>
      <c r="HB42" s="47" t="e">
        <f ca="1">GY49*HA42^3+GY50*HA42^2+GY51*HA42+GY52</f>
        <v>#VALUE!</v>
      </c>
      <c r="HC42" s="47" t="e">
        <f t="shared" ca="1" si="0"/>
        <v>#VALUE!</v>
      </c>
      <c r="HD42" s="47" t="e">
        <f ca="1">HD35+GZ42*(HD87-HD35)/GZ86</f>
        <v>#VALUE!</v>
      </c>
      <c r="HE42" s="47" t="e">
        <f ca="1">GY49*HD42^3+GY50*HD42^2+GY51*HD42+GY52</f>
        <v>#VALUE!</v>
      </c>
      <c r="HF42" s="47" t="e">
        <f t="shared" ca="1" si="1"/>
        <v>#VALUE!</v>
      </c>
      <c r="HG42" s="47" t="e">
        <f ca="1">HG35+GZ42*(HG87-HG35)/GZ86</f>
        <v>#VALUE!</v>
      </c>
      <c r="HH42" s="47" t="e">
        <f ca="1">GG32*HG42^3+GH32*HG42^2+GI32*HG42+GF32+GC61</f>
        <v>#VALUE!</v>
      </c>
      <c r="HI42" s="47" t="e">
        <f t="shared" ca="1" si="2"/>
        <v>#VALUE!</v>
      </c>
      <c r="HJ42" s="47" t="e">
        <f t="shared" ca="1" si="3"/>
        <v>#VALUE!</v>
      </c>
      <c r="HK42" s="47" t="e">
        <f t="shared" ca="1" si="4"/>
        <v>#VALUE!</v>
      </c>
      <c r="HL42" s="47" t="e">
        <f t="shared" ca="1" si="5"/>
        <v>#VALUE!</v>
      </c>
      <c r="HM42" s="47"/>
    </row>
    <row r="43" spans="1:221" ht="16.5" customHeight="1">
      <c r="A43" s="1"/>
      <c r="B43" s="3"/>
      <c r="C43" s="3"/>
      <c r="D43" s="38"/>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25"/>
      <c r="AY43" s="26"/>
      <c r="AZ43" s="41"/>
      <c r="BA43" s="41"/>
      <c r="BB43" s="41"/>
      <c r="BC43" s="41"/>
      <c r="BD43" s="42"/>
      <c r="BE43" s="41"/>
      <c r="BF43" s="41"/>
      <c r="BG43" s="41"/>
      <c r="BH43" s="41"/>
      <c r="BI43" s="41"/>
      <c r="BJ43" s="41"/>
      <c r="BK43" s="42"/>
      <c r="BL43" s="41"/>
      <c r="BM43" s="41"/>
      <c r="BN43" s="41"/>
      <c r="BO43" s="41"/>
      <c r="BP43" s="41"/>
      <c r="BQ43" s="41"/>
      <c r="BR43" s="80"/>
      <c r="BS43" s="79"/>
      <c r="BT43" s="79"/>
      <c r="BU43" s="79"/>
      <c r="BV43" s="79"/>
      <c r="BW43" s="79"/>
      <c r="BX43" s="79"/>
      <c r="BY43" s="79"/>
      <c r="BZ43" s="80"/>
      <c r="CA43" s="80"/>
      <c r="CB43" s="80"/>
      <c r="CC43" s="80"/>
      <c r="CD43" s="80"/>
      <c r="CE43" s="80"/>
      <c r="CF43" s="80"/>
      <c r="CG43" s="80"/>
      <c r="CH43" s="80"/>
      <c r="CI43" s="80"/>
      <c r="CJ43" s="80"/>
      <c r="CK43" s="80"/>
      <c r="CL43" s="80"/>
      <c r="CM43" s="80"/>
      <c r="CN43" s="80"/>
      <c r="CO43" s="80"/>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47"/>
      <c r="FN43" s="47"/>
      <c r="FO43" s="47"/>
      <c r="FP43" s="47"/>
      <c r="FQ43" s="47"/>
      <c r="FR43" s="47"/>
      <c r="FS43" s="47"/>
      <c r="FT43" s="47"/>
      <c r="FU43" s="47"/>
      <c r="FV43" s="47"/>
      <c r="FW43" s="47"/>
      <c r="FX43" s="47"/>
      <c r="FY43" s="47"/>
      <c r="FZ43" s="47"/>
      <c r="GA43" s="47" t="str">
        <f t="shared" ca="1" si="6"/>
        <v/>
      </c>
      <c r="GB43" s="47" t="str">
        <f ca="1">IF(FO1=1,0.8*(GD32/GC32),"")</f>
        <v/>
      </c>
      <c r="GC43" s="47">
        <f ca="1">IF(FO1=1,-GC32*GB43+GD32,0)</f>
        <v>0</v>
      </c>
      <c r="GD43" s="47"/>
      <c r="GE43" s="47">
        <f ca="1">IF(FO1=1,GE32+GF32/GA43,0)</f>
        <v>0</v>
      </c>
      <c r="GF43" s="47">
        <f ca="1">IF(FO1=1,GE32,0)</f>
        <v>0</v>
      </c>
      <c r="GG43" s="47"/>
      <c r="GH43" s="47">
        <f ca="1">IF(FO1=0,0,IF(FN29=1,GH45,IF(FN29=2,GB40,IF(FN29=3,GQ45,0))))</f>
        <v>0</v>
      </c>
      <c r="GI43" s="47">
        <f ca="1">IF(FO1=1,0.8*GI45,0)</f>
        <v>0</v>
      </c>
      <c r="GJ43" s="47">
        <f ca="1">0.8*GJ45</f>
        <v>0</v>
      </c>
      <c r="GK43" s="47">
        <f ca="1">GK45</f>
        <v>0</v>
      </c>
      <c r="GL43" s="47">
        <f ca="1">GL45</f>
        <v>0</v>
      </c>
      <c r="GM43" s="47">
        <f ca="1">IF(FO1=0,0,-GC32*GB43^2+GD32*GB43)</f>
        <v>0</v>
      </c>
      <c r="GN43" s="47">
        <f ca="1">IF(FO1=0,0,GE32*GB43+GF32)</f>
        <v>0</v>
      </c>
      <c r="GO43" s="47"/>
      <c r="GP43" s="47"/>
      <c r="GQ43" s="47">
        <f ca="1">IF(FO1=0,0,IF(FN29=3,GQ31,IF(FN29=2,GB40,IF(FN29=1,GJ45,0))))</f>
        <v>0</v>
      </c>
      <c r="GR43" s="47">
        <f ca="1">0.8*GR45</f>
        <v>0</v>
      </c>
      <c r="GS43" s="47">
        <f ca="1">IF(FO1=1,GE32*GB43,0)</f>
        <v>0</v>
      </c>
      <c r="GT43" s="47">
        <f ca="1">GT45</f>
        <v>0</v>
      </c>
      <c r="GU43" s="47">
        <f ca="1">IF(FO1=0,0,IF(FN29=3,GU45,0))</f>
        <v>0</v>
      </c>
      <c r="GV43" s="47">
        <f ca="1">0.8*GV45</f>
        <v>0</v>
      </c>
      <c r="GW43" s="47">
        <f ca="1">IF(FO1=1,0.8*GW45,0)</f>
        <v>0</v>
      </c>
      <c r="GX43" s="47"/>
      <c r="GY43" s="47"/>
      <c r="GZ43" s="47">
        <v>8</v>
      </c>
      <c r="HA43" s="47" t="e">
        <f ca="1">HA35+GZ43*(HA87-HA35)/GZ86</f>
        <v>#VALUE!</v>
      </c>
      <c r="HB43" s="47" t="e">
        <f ca="1">GY49*HA43^3+GY50*HA43^2+GY51*HA43+GY52</f>
        <v>#VALUE!</v>
      </c>
      <c r="HC43" s="47" t="e">
        <f t="shared" ca="1" si="0"/>
        <v>#VALUE!</v>
      </c>
      <c r="HD43" s="47" t="e">
        <f ca="1">HD35+GZ43*(HD87-HD35)/GZ86</f>
        <v>#VALUE!</v>
      </c>
      <c r="HE43" s="47" t="e">
        <f ca="1">GY49*HD43^3+GY50*HD43^2+GY51*HD43+GY52</f>
        <v>#VALUE!</v>
      </c>
      <c r="HF43" s="47" t="e">
        <f t="shared" ca="1" si="1"/>
        <v>#VALUE!</v>
      </c>
      <c r="HG43" s="47" t="e">
        <f ca="1">HG35+GZ43*(HG87-HG35)/GZ86</f>
        <v>#VALUE!</v>
      </c>
      <c r="HH43" s="47" t="e">
        <f ca="1">GG32*HG43^3+GH32*HG43^2+GI32*HG43+GF32+GC61</f>
        <v>#VALUE!</v>
      </c>
      <c r="HI43" s="47" t="e">
        <f t="shared" ca="1" si="2"/>
        <v>#VALUE!</v>
      </c>
      <c r="HJ43" s="47" t="e">
        <f t="shared" ca="1" si="3"/>
        <v>#VALUE!</v>
      </c>
      <c r="HK43" s="47" t="e">
        <f t="shared" ca="1" si="4"/>
        <v>#VALUE!</v>
      </c>
      <c r="HL43" s="47" t="e">
        <f t="shared" ca="1" si="5"/>
        <v>#VALUE!</v>
      </c>
      <c r="HM43" s="47"/>
    </row>
    <row r="44" spans="1:221" ht="16.5" customHeight="1">
      <c r="A44" s="1"/>
      <c r="B44" s="3"/>
      <c r="C44" s="3"/>
      <c r="D44" s="38"/>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25"/>
      <c r="AY44" s="26"/>
      <c r="AZ44" s="41"/>
      <c r="BA44" s="41"/>
      <c r="BB44" s="41"/>
      <c r="BC44" s="41"/>
      <c r="BD44" s="42"/>
      <c r="BE44" s="41"/>
      <c r="BF44" s="41"/>
      <c r="BG44" s="41"/>
      <c r="BH44" s="41"/>
      <c r="BI44" s="41"/>
      <c r="BJ44" s="41"/>
      <c r="BK44" s="42"/>
      <c r="BL44" s="41"/>
      <c r="BM44" s="41"/>
      <c r="BN44" s="41"/>
      <c r="BO44" s="41"/>
      <c r="BP44" s="41"/>
      <c r="BQ44" s="41"/>
      <c r="BR44" s="80"/>
      <c r="BS44" s="79"/>
      <c r="BT44" s="79"/>
      <c r="BU44" s="79"/>
      <c r="BV44" s="79"/>
      <c r="BW44" s="79"/>
      <c r="BX44" s="79"/>
      <c r="BY44" s="79"/>
      <c r="BZ44" s="80"/>
      <c r="CA44" s="80"/>
      <c r="CB44" s="80"/>
      <c r="CC44" s="80"/>
      <c r="CD44" s="80"/>
      <c r="CE44" s="80"/>
      <c r="CF44" s="80"/>
      <c r="CG44" s="80"/>
      <c r="CH44" s="80"/>
      <c r="CI44" s="80"/>
      <c r="CJ44" s="80"/>
      <c r="CK44" s="80"/>
      <c r="CL44" s="80"/>
      <c r="CM44" s="80"/>
      <c r="CN44" s="80"/>
      <c r="CO44" s="80"/>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47"/>
      <c r="FN44" s="47"/>
      <c r="FO44" s="47"/>
      <c r="FP44" s="47"/>
      <c r="FQ44" s="47"/>
      <c r="FR44" s="47"/>
      <c r="FS44" s="47"/>
      <c r="FT44" s="47"/>
      <c r="FU44" s="47"/>
      <c r="FV44" s="47"/>
      <c r="FW44" s="47"/>
      <c r="FX44" s="47"/>
      <c r="FY44" s="47"/>
      <c r="FZ44" s="47"/>
      <c r="GA44" s="47" t="str">
        <f t="shared" ca="1" si="6"/>
        <v/>
      </c>
      <c r="GB44" s="47" t="str">
        <f ca="1">IF(FO1=1,0.9*(GD32/GC32),"")</f>
        <v/>
      </c>
      <c r="GC44" s="47">
        <f ca="1">IF(FO1=1,-GC32*GB44+GD32,0)</f>
        <v>0</v>
      </c>
      <c r="GD44" s="47"/>
      <c r="GE44" s="47">
        <f ca="1">IF(FO1=1,GE32+GF32/GA44,0)</f>
        <v>0</v>
      </c>
      <c r="GF44" s="47">
        <f ca="1">IF(FO1=1,GE32,0)</f>
        <v>0</v>
      </c>
      <c r="GG44" s="47"/>
      <c r="GH44" s="47">
        <f ca="1">IF(FO1=0,0,IF(FN29=1,GH45,IF(FN29=2,GB40,IF(FN29=3,GQ45,0))))</f>
        <v>0</v>
      </c>
      <c r="GI44" s="47">
        <f ca="1">IF(FO1=1,0.9*GI45,0)</f>
        <v>0</v>
      </c>
      <c r="GJ44" s="47">
        <f ca="1">0.9*GJ45</f>
        <v>0</v>
      </c>
      <c r="GK44" s="47">
        <f ca="1">GK45</f>
        <v>0</v>
      </c>
      <c r="GL44" s="47">
        <f ca="1">GL45</f>
        <v>0</v>
      </c>
      <c r="GM44" s="47">
        <f ca="1">IF(FO1=0,0,-GC32*GB44^2+GD32*GB44)</f>
        <v>0</v>
      </c>
      <c r="GN44" s="47">
        <f ca="1">IF(FO1=0,0,GE32*GB44+GF32)</f>
        <v>0</v>
      </c>
      <c r="GO44" s="47"/>
      <c r="GP44" s="47"/>
      <c r="GQ44" s="47">
        <f ca="1">IF(FO1=0,0,IF(FN29=3,GQ31,IF(FN29=2,GB40,IF(FN29=1,GJ45,0))))</f>
        <v>0</v>
      </c>
      <c r="GR44" s="47">
        <f ca="1">0.9*GR45</f>
        <v>0</v>
      </c>
      <c r="GS44" s="47">
        <f ca="1">IF(FO1=1,GE32*GB44,0)</f>
        <v>0</v>
      </c>
      <c r="GT44" s="47">
        <f ca="1">GT45</f>
        <v>0</v>
      </c>
      <c r="GU44" s="47">
        <f ca="1">IF(FO1=0,0,IF(FN29=3,GU45,0))</f>
        <v>0</v>
      </c>
      <c r="GV44" s="47">
        <f ca="1">0.9*GV45</f>
        <v>0</v>
      </c>
      <c r="GW44" s="47">
        <f ca="1">IF(FO1=1,0.9*GW45,0)</f>
        <v>0</v>
      </c>
      <c r="GX44" s="47"/>
      <c r="GY44" s="47"/>
      <c r="GZ44" s="47">
        <v>9</v>
      </c>
      <c r="HA44" s="47" t="e">
        <f ca="1">HA35+GZ44*(HA87-HA35)/GZ86</f>
        <v>#VALUE!</v>
      </c>
      <c r="HB44" s="47" t="e">
        <f ca="1">GY49*HA44^3+GY50*HA44^2+GY51*HA44+GY52</f>
        <v>#VALUE!</v>
      </c>
      <c r="HC44" s="47" t="e">
        <f t="shared" ca="1" si="0"/>
        <v>#VALUE!</v>
      </c>
      <c r="HD44" s="47" t="e">
        <f ca="1">HD35+GZ44*(HD87-HD35)/GZ86</f>
        <v>#VALUE!</v>
      </c>
      <c r="HE44" s="47" t="e">
        <f ca="1">GY49*HD44^3+GY50*HD44^2+GY51*HD44+GY52</f>
        <v>#VALUE!</v>
      </c>
      <c r="HF44" s="47" t="e">
        <f t="shared" ca="1" si="1"/>
        <v>#VALUE!</v>
      </c>
      <c r="HG44" s="47" t="e">
        <f ca="1">HG35+GZ44*(HG87-HG35)/GZ86</f>
        <v>#VALUE!</v>
      </c>
      <c r="HH44" s="47" t="e">
        <f ca="1">GG32*HG44^3+GH32*HG44^2+GI32*HG44+GF32+GC61</f>
        <v>#VALUE!</v>
      </c>
      <c r="HI44" s="47" t="e">
        <f t="shared" ca="1" si="2"/>
        <v>#VALUE!</v>
      </c>
      <c r="HJ44" s="47" t="e">
        <f t="shared" ca="1" si="3"/>
        <v>#VALUE!</v>
      </c>
      <c r="HK44" s="47" t="e">
        <f t="shared" ca="1" si="4"/>
        <v>#VALUE!</v>
      </c>
      <c r="HL44" s="47" t="e">
        <f t="shared" ca="1" si="5"/>
        <v>#VALUE!</v>
      </c>
      <c r="HM44" s="47"/>
    </row>
    <row r="45" spans="1:221" ht="16.5" customHeight="1">
      <c r="A45" s="1"/>
      <c r="B45" s="3"/>
      <c r="C45" s="3"/>
      <c r="D45" s="38"/>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25"/>
      <c r="AY45" s="26"/>
      <c r="AZ45" s="41"/>
      <c r="BA45" s="41"/>
      <c r="BB45" s="41"/>
      <c r="BC45" s="41"/>
      <c r="BD45" s="42"/>
      <c r="BE45" s="41"/>
      <c r="BF45" s="41"/>
      <c r="BG45" s="41"/>
      <c r="BH45" s="41"/>
      <c r="BI45" s="41"/>
      <c r="BJ45" s="41"/>
      <c r="BK45" s="42"/>
      <c r="BL45" s="41"/>
      <c r="BM45" s="41"/>
      <c r="BN45" s="41"/>
      <c r="BO45" s="41"/>
      <c r="BP45" s="41"/>
      <c r="BQ45" s="41"/>
      <c r="BR45" s="80"/>
      <c r="BS45" s="79"/>
      <c r="BT45" s="79"/>
      <c r="BU45" s="79"/>
      <c r="BV45" s="79"/>
      <c r="BW45" s="79"/>
      <c r="BX45" s="79"/>
      <c r="BY45" s="79"/>
      <c r="BZ45" s="80"/>
      <c r="CA45" s="80"/>
      <c r="CB45" s="80"/>
      <c r="CC45" s="80"/>
      <c r="CD45" s="80"/>
      <c r="CE45" s="80"/>
      <c r="CF45" s="80"/>
      <c r="CG45" s="80"/>
      <c r="CH45" s="80"/>
      <c r="CI45" s="80"/>
      <c r="CJ45" s="80"/>
      <c r="CK45" s="80"/>
      <c r="CL45" s="80"/>
      <c r="CM45" s="80"/>
      <c r="CN45" s="80"/>
      <c r="CO45" s="80"/>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47"/>
      <c r="FN45" s="47"/>
      <c r="FO45" s="47"/>
      <c r="FP45" s="47"/>
      <c r="FQ45" s="47"/>
      <c r="FR45" s="47"/>
      <c r="FS45" s="47"/>
      <c r="FT45" s="47"/>
      <c r="FU45" s="47"/>
      <c r="FV45" s="47"/>
      <c r="FW45" s="47"/>
      <c r="FX45" s="47"/>
      <c r="FY45" s="47"/>
      <c r="FZ45" s="47"/>
      <c r="GA45" s="47" t="str">
        <f ca="1">GB45</f>
        <v/>
      </c>
      <c r="GB45" s="47" t="str">
        <f ca="1">IF(FO1=1,(GD32/GC32),"")</f>
        <v/>
      </c>
      <c r="GC45" s="47">
        <f ca="1">IF(FO1=1,-GC32*GB45+GD32,0)</f>
        <v>0</v>
      </c>
      <c r="GD45" s="47"/>
      <c r="GE45" s="47">
        <f ca="1">IF(FO1=1,GE32+GF32/GA45,0)</f>
        <v>0</v>
      </c>
      <c r="GF45" s="47">
        <f ca="1">IF(FO1=1,GE32,0)</f>
        <v>0</v>
      </c>
      <c r="GG45" s="47"/>
      <c r="GH45" s="47">
        <f ca="1">IF(FO1=0,0,IF(FN29=1,-0.5*(GE32-GD32)/GC32,IF(FN29=2,GB40,IF(FN29=3,GQ45,0))))</f>
        <v>0</v>
      </c>
      <c r="GI45" s="47">
        <f ca="1">IF(FO1=1,-GC32*GH45+GD32,0)</f>
        <v>0</v>
      </c>
      <c r="GJ45" s="47">
        <f ca="1">IF(FO1=0,0,IF(FN29=2,GB40,IF(FN29=1,-0.5*(GE32-GD32)/GC32,0)))</f>
        <v>0</v>
      </c>
      <c r="GK45" s="47">
        <f ca="1">IF(FO1=0,0,IF(FN29=1,GI45,IF(FN29=2,GI45,0)))</f>
        <v>0</v>
      </c>
      <c r="GL45" s="47">
        <f ca="1">IF(FO1=0,0,IF(FN29=1,GE32+GF32/GH45,IF(FN29=2,GE32+GF32/GH45,0)))</f>
        <v>0</v>
      </c>
      <c r="GM45" s="47">
        <f ca="1">IF(FO1=0,0,-GC32*GB45^2+GD32*GB45)</f>
        <v>0</v>
      </c>
      <c r="GN45" s="47">
        <f ca="1">IF(FO1=0,0,GE32*GB45+GF32)</f>
        <v>0</v>
      </c>
      <c r="GO45" s="47"/>
      <c r="GP45" s="47"/>
      <c r="GQ45" s="47">
        <f ca="1">IF(FO1=0,0,IF(FN29=3,GQ31,IF(FN29=2,GB40,IF(FN29=1,GJ45,0))))</f>
        <v>0</v>
      </c>
      <c r="GR45" s="47">
        <f ca="1">IF(FO1=0,0,-GC32*GQ45^2+GD32*GQ45)</f>
        <v>0</v>
      </c>
      <c r="GS45" s="47">
        <f ca="1">IF(FO1=1,GE32*GB45,0)</f>
        <v>0</v>
      </c>
      <c r="GT45" s="47">
        <f ca="1">IF(FO1=0,0,IF(FN29=1,GE32,IF(FN29=2,GE32,0)))</f>
        <v>0</v>
      </c>
      <c r="GU45" s="47">
        <f ca="1">IF(FO1=0,0,IF(FN29=3,GR31,0))</f>
        <v>0</v>
      </c>
      <c r="GV45" s="47">
        <f ca="1">IF(FO1=0,0,-GC32*GU45^2+GD32*GU45)</f>
        <v>0</v>
      </c>
      <c r="GW45" s="47">
        <f ca="1">IF(FO1=1,-GC32*GU45+GD32,0)</f>
        <v>0</v>
      </c>
      <c r="GX45" s="47"/>
      <c r="GY45" s="47"/>
      <c r="GZ45" s="47">
        <v>10</v>
      </c>
      <c r="HA45" s="47" t="e">
        <f ca="1">HA35+GZ45*(HA87-HA35)/GZ86</f>
        <v>#VALUE!</v>
      </c>
      <c r="HB45" s="47" t="e">
        <f ca="1">GY49*HA45^3+GY50*HA45^2+GY51*HA45+GY52</f>
        <v>#VALUE!</v>
      </c>
      <c r="HC45" s="47" t="e">
        <f t="shared" ca="1" si="0"/>
        <v>#VALUE!</v>
      </c>
      <c r="HD45" s="47" t="e">
        <f ca="1">HD35+GZ45*(HD87-HD35)/GZ86</f>
        <v>#VALUE!</v>
      </c>
      <c r="HE45" s="47" t="e">
        <f ca="1">GY49*HD45^3+GY50*HD45^2+GY51*HD45+GY52</f>
        <v>#VALUE!</v>
      </c>
      <c r="HF45" s="47" t="e">
        <f t="shared" ca="1" si="1"/>
        <v>#VALUE!</v>
      </c>
      <c r="HG45" s="47" t="e">
        <f ca="1">HG35+GZ45*(HG87-HG35)/GZ86</f>
        <v>#VALUE!</v>
      </c>
      <c r="HH45" s="47" t="e">
        <f ca="1">GG32*HG45^3+GH32*HG45^2+GI32*HG45+GF32+GC61</f>
        <v>#VALUE!</v>
      </c>
      <c r="HI45" s="47" t="e">
        <f t="shared" ca="1" si="2"/>
        <v>#VALUE!</v>
      </c>
      <c r="HJ45" s="47" t="e">
        <f t="shared" ca="1" si="3"/>
        <v>#VALUE!</v>
      </c>
      <c r="HK45" s="47" t="e">
        <f t="shared" ca="1" si="4"/>
        <v>#VALUE!</v>
      </c>
      <c r="HL45" s="47" t="e">
        <f t="shared" ca="1" si="5"/>
        <v>#VALUE!</v>
      </c>
      <c r="HM45" s="47"/>
    </row>
    <row r="46" spans="1:221" ht="16.5" customHeight="1">
      <c r="A46" s="1"/>
      <c r="B46" s="3"/>
      <c r="C46" s="3"/>
      <c r="D46" s="38"/>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25"/>
      <c r="AY46" s="26"/>
      <c r="AZ46" s="41"/>
      <c r="BA46" s="41"/>
      <c r="BB46" s="41"/>
      <c r="BC46" s="41"/>
      <c r="BD46" s="42"/>
      <c r="BE46" s="41"/>
      <c r="BF46" s="41"/>
      <c r="BG46" s="41"/>
      <c r="BH46" s="41"/>
      <c r="BI46" s="41"/>
      <c r="BJ46" s="41"/>
      <c r="BK46" s="42"/>
      <c r="BL46" s="41"/>
      <c r="BM46" s="41"/>
      <c r="BN46" s="41"/>
      <c r="BO46" s="41"/>
      <c r="BP46" s="41"/>
      <c r="BQ46" s="41"/>
      <c r="BR46" s="80"/>
      <c r="BS46" s="79"/>
      <c r="BT46" s="79"/>
      <c r="BU46" s="79"/>
      <c r="BV46" s="79"/>
      <c r="BW46" s="79"/>
      <c r="BX46" s="79"/>
      <c r="BY46" s="79"/>
      <c r="BZ46" s="80"/>
      <c r="CA46" s="80"/>
      <c r="CB46" s="80"/>
      <c r="CC46" s="80"/>
      <c r="CD46" s="80"/>
      <c r="CE46" s="80"/>
      <c r="CF46" s="80"/>
      <c r="CG46" s="80"/>
      <c r="CH46" s="80"/>
      <c r="CI46" s="80"/>
      <c r="CJ46" s="80"/>
      <c r="CK46" s="80"/>
      <c r="CL46" s="80"/>
      <c r="CM46" s="80"/>
      <c r="CN46" s="80"/>
      <c r="CO46" s="80"/>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47"/>
      <c r="FN46" s="47"/>
      <c r="FO46" s="47"/>
      <c r="FP46" s="47"/>
      <c r="FQ46" s="47"/>
      <c r="FR46" s="47"/>
      <c r="FS46" s="47"/>
      <c r="FT46" s="47"/>
      <c r="FU46" s="47"/>
      <c r="FV46" s="47"/>
      <c r="FW46" s="47"/>
      <c r="FX46" s="47"/>
      <c r="FY46" s="47"/>
      <c r="FZ46" s="47"/>
      <c r="GA46" s="47" t="e">
        <f ca="1">GA45+GA36</f>
        <v>#VALUE!</v>
      </c>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v>11</v>
      </c>
      <c r="HA46" s="47" t="e">
        <f ca="1">HA35+GZ46*(HA87-HA35)/GZ86</f>
        <v>#VALUE!</v>
      </c>
      <c r="HB46" s="47" t="e">
        <f ca="1">GY49*HA46^3+GY50*HA46^2+GY51*HA46+GY52</f>
        <v>#VALUE!</v>
      </c>
      <c r="HC46" s="47" t="e">
        <f t="shared" ca="1" si="0"/>
        <v>#VALUE!</v>
      </c>
      <c r="HD46" s="47" t="e">
        <f ca="1">HD35+GZ46*(HD87-HD35)/GZ86</f>
        <v>#VALUE!</v>
      </c>
      <c r="HE46" s="47" t="e">
        <f ca="1">GY49*HD46^3+GY50*HD46^2+GY51*HD46+GY52</f>
        <v>#VALUE!</v>
      </c>
      <c r="HF46" s="47" t="e">
        <f t="shared" ca="1" si="1"/>
        <v>#VALUE!</v>
      </c>
      <c r="HG46" s="47" t="e">
        <f ca="1">HG35+GZ46*(HG87-HG35)/GZ86</f>
        <v>#VALUE!</v>
      </c>
      <c r="HH46" s="47" t="e">
        <f ca="1">GG32*HG46^3+GH32*HG46^2+GI32*HG46+GF32+GC61</f>
        <v>#VALUE!</v>
      </c>
      <c r="HI46" s="47" t="e">
        <f t="shared" ca="1" si="2"/>
        <v>#VALUE!</v>
      </c>
      <c r="HJ46" s="47" t="e">
        <f t="shared" ca="1" si="3"/>
        <v>#VALUE!</v>
      </c>
      <c r="HK46" s="47" t="e">
        <f t="shared" ca="1" si="4"/>
        <v>#VALUE!</v>
      </c>
      <c r="HL46" s="47" t="e">
        <f t="shared" ca="1" si="5"/>
        <v>#VALUE!</v>
      </c>
      <c r="HM46" s="47"/>
    </row>
    <row r="47" spans="1:221" ht="8.25" customHeight="1">
      <c r="A47" s="1"/>
      <c r="B47" s="3"/>
      <c r="C47" s="3"/>
      <c r="D47" s="38"/>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25"/>
      <c r="AY47" s="26"/>
      <c r="AZ47" s="41"/>
      <c r="BA47" s="41"/>
      <c r="BB47" s="41"/>
      <c r="BC47" s="41"/>
      <c r="BD47" s="42"/>
      <c r="BE47" s="41"/>
      <c r="BF47" s="41"/>
      <c r="BG47" s="41"/>
      <c r="BH47" s="41"/>
      <c r="BI47" s="41"/>
      <c r="BJ47" s="41"/>
      <c r="BK47" s="42"/>
      <c r="BL47" s="41"/>
      <c r="BM47" s="41"/>
      <c r="BN47" s="41"/>
      <c r="BO47" s="41"/>
      <c r="BP47" s="41"/>
      <c r="BQ47" s="41"/>
      <c r="BR47" s="80"/>
      <c r="BS47" s="79"/>
      <c r="BT47" s="79"/>
      <c r="BU47" s="79"/>
      <c r="BV47" s="79"/>
      <c r="BW47" s="79"/>
      <c r="BX47" s="79"/>
      <c r="BY47" s="79"/>
      <c r="BZ47" s="80"/>
      <c r="CA47" s="80"/>
      <c r="CB47" s="80"/>
      <c r="CC47" s="80"/>
      <c r="CD47" s="80"/>
      <c r="CE47" s="80"/>
      <c r="CF47" s="80"/>
      <c r="CG47" s="80"/>
      <c r="CH47" s="80"/>
      <c r="CI47" s="80"/>
      <c r="CJ47" s="80"/>
      <c r="CK47" s="80"/>
      <c r="CL47" s="80"/>
      <c r="CM47" s="80"/>
      <c r="CN47" s="80"/>
      <c r="CO47" s="80"/>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v>12</v>
      </c>
      <c r="HA47" s="47" t="e">
        <f ca="1">HA35+GZ47*(HA87-HA35)/GZ86</f>
        <v>#VALUE!</v>
      </c>
      <c r="HB47" s="47" t="e">
        <f ca="1">GY49*HA47^3+GY50*HA47^2+GY51*HA47+GY52</f>
        <v>#VALUE!</v>
      </c>
      <c r="HC47" s="47" t="e">
        <f t="shared" ca="1" si="0"/>
        <v>#VALUE!</v>
      </c>
      <c r="HD47" s="47" t="e">
        <f ca="1">HD35+GZ47*(HD87-HD35)/GZ86</f>
        <v>#VALUE!</v>
      </c>
      <c r="HE47" s="47" t="e">
        <f ca="1">GY49*HD47^3+GY50*HD47^2+GY51*HD47+GY52</f>
        <v>#VALUE!</v>
      </c>
      <c r="HF47" s="47" t="e">
        <f t="shared" ca="1" si="1"/>
        <v>#VALUE!</v>
      </c>
      <c r="HG47" s="47" t="e">
        <f ca="1">HG35+GZ47*(HG87-HG35)/GZ86</f>
        <v>#VALUE!</v>
      </c>
      <c r="HH47" s="47" t="e">
        <f ca="1">GG32*HG47^3+GH32*HG47^2+GI32*HG47+GF32+GC61</f>
        <v>#VALUE!</v>
      </c>
      <c r="HI47" s="47" t="e">
        <f t="shared" ca="1" si="2"/>
        <v>#VALUE!</v>
      </c>
      <c r="HJ47" s="47" t="e">
        <f t="shared" ca="1" si="3"/>
        <v>#VALUE!</v>
      </c>
      <c r="HK47" s="47" t="e">
        <f t="shared" ca="1" si="4"/>
        <v>#VALUE!</v>
      </c>
      <c r="HL47" s="47" t="e">
        <f t="shared" ca="1" si="5"/>
        <v>#VALUE!</v>
      </c>
      <c r="HM47" s="47"/>
    </row>
    <row r="48" spans="1:221" ht="9" customHeight="1">
      <c r="A48" s="1"/>
      <c r="B48" s="3"/>
      <c r="C48" s="3"/>
      <c r="D48" s="38"/>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25"/>
      <c r="AY48" s="26"/>
      <c r="AZ48" s="41"/>
      <c r="BA48" s="41"/>
      <c r="BB48" s="41"/>
      <c r="BC48" s="41"/>
      <c r="BD48" s="42"/>
      <c r="BE48" s="41"/>
      <c r="BF48" s="41"/>
      <c r="BG48" s="41"/>
      <c r="BH48" s="41"/>
      <c r="BI48" s="41"/>
      <c r="BJ48" s="41"/>
      <c r="BK48" s="42"/>
      <c r="BL48" s="41"/>
      <c r="BM48" s="41"/>
      <c r="BN48" s="41"/>
      <c r="BO48" s="41"/>
      <c r="BP48" s="41"/>
      <c r="BQ48" s="41"/>
      <c r="BR48" s="80"/>
      <c r="BS48" s="79"/>
      <c r="BT48" s="79"/>
      <c r="BU48" s="79"/>
      <c r="BV48" s="79"/>
      <c r="BW48" s="79"/>
      <c r="BX48" s="79"/>
      <c r="BY48" s="79"/>
      <c r="BZ48" s="80"/>
      <c r="CA48" s="80"/>
      <c r="CB48" s="80"/>
      <c r="CC48" s="80"/>
      <c r="CD48" s="80"/>
      <c r="CE48" s="80"/>
      <c r="CF48" s="80"/>
      <c r="CG48" s="80"/>
      <c r="CH48" s="80"/>
      <c r="CI48" s="80"/>
      <c r="CJ48" s="80"/>
      <c r="CK48" s="80"/>
      <c r="CL48" s="80"/>
      <c r="CM48" s="80"/>
      <c r="CN48" s="80"/>
      <c r="CO48" s="80"/>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95">
        <f ca="1">IF(programma!B1="X",1,IF(FO1=0,0,IF(OR(R29="",DZ29=""),0,1)))</f>
        <v>0</v>
      </c>
      <c r="FN48" s="48"/>
      <c r="FO48" s="48"/>
      <c r="FP48" s="48"/>
      <c r="FQ48" s="48"/>
      <c r="FR48" s="48"/>
      <c r="FS48" s="48"/>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v>13</v>
      </c>
      <c r="HA48" s="47" t="e">
        <f ca="1">HA35+GZ48*(HA87-HA35)/GZ86</f>
        <v>#VALUE!</v>
      </c>
      <c r="HB48" s="47" t="e">
        <f ca="1">GY49*HA48^3+GY50*HA48^2+GY51*HA48+GY52</f>
        <v>#VALUE!</v>
      </c>
      <c r="HC48" s="47" t="e">
        <f t="shared" ca="1" si="0"/>
        <v>#VALUE!</v>
      </c>
      <c r="HD48" s="47" t="e">
        <f ca="1">HD35+GZ48*(HD87-HD35)/GZ86</f>
        <v>#VALUE!</v>
      </c>
      <c r="HE48" s="47" t="e">
        <f ca="1">GY49*HD48^3+GY50*HD48^2+GY51*HD48+GY52</f>
        <v>#VALUE!</v>
      </c>
      <c r="HF48" s="47" t="e">
        <f t="shared" ca="1" si="1"/>
        <v>#VALUE!</v>
      </c>
      <c r="HG48" s="47" t="e">
        <f ca="1">HG35+GZ48*(HG87-HG35)/GZ86</f>
        <v>#VALUE!</v>
      </c>
      <c r="HH48" s="47" t="e">
        <f ca="1">GG32*HG48^3+GH32*HG48^2+GI32*HG48+GF32+GC61</f>
        <v>#VALUE!</v>
      </c>
      <c r="HI48" s="47" t="e">
        <f t="shared" ca="1" si="2"/>
        <v>#VALUE!</v>
      </c>
      <c r="HJ48" s="47" t="e">
        <f t="shared" ca="1" si="3"/>
        <v>#VALUE!</v>
      </c>
      <c r="HK48" s="47" t="e">
        <f t="shared" ca="1" si="4"/>
        <v>#VALUE!</v>
      </c>
      <c r="HL48" s="47" t="e">
        <f t="shared" ca="1" si="5"/>
        <v>#VALUE!</v>
      </c>
      <c r="HM48" s="47"/>
    </row>
    <row r="49" spans="1:222" ht="16.5" customHeight="1">
      <c r="A49" s="1"/>
      <c r="B49" s="3"/>
      <c r="C49" s="3"/>
      <c r="D49" s="38" t="str">
        <f ca="1">IF(FM48=0,"","Geef hieronder aan hoe je aan de hand van een grafiek met gemiddelden en")</f>
        <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25"/>
      <c r="AY49" s="26"/>
      <c r="AZ49" s="41"/>
      <c r="BA49" s="41"/>
      <c r="BB49" s="41"/>
      <c r="BC49" s="41"/>
      <c r="BD49" s="42"/>
      <c r="BE49" s="41"/>
      <c r="BF49" s="41"/>
      <c r="BG49" s="41"/>
      <c r="BH49" s="41"/>
      <c r="BI49" s="41"/>
      <c r="BJ49" s="41"/>
      <c r="BK49" s="42"/>
      <c r="BL49" s="41"/>
      <c r="BM49" s="41"/>
      <c r="BN49" s="41"/>
      <c r="BO49" s="41"/>
      <c r="BP49" s="41"/>
      <c r="BQ49" s="41"/>
      <c r="BR49" s="80"/>
      <c r="BS49" s="79"/>
      <c r="BT49" s="79"/>
      <c r="BU49" s="79"/>
      <c r="BV49" s="79"/>
      <c r="BW49" s="79"/>
      <c r="BX49" s="79"/>
      <c r="BY49" s="79"/>
      <c r="BZ49" s="80"/>
      <c r="CA49" s="80"/>
      <c r="CB49" s="80"/>
      <c r="CC49" s="80"/>
      <c r="CD49" s="80"/>
      <c r="CE49" s="80"/>
      <c r="CF49" s="80"/>
      <c r="CG49" s="80"/>
      <c r="CH49" s="80"/>
      <c r="CI49" s="80"/>
      <c r="CJ49" s="80"/>
      <c r="CK49" s="80"/>
      <c r="CL49" s="80"/>
      <c r="CM49" s="80"/>
      <c r="CN49" s="80"/>
      <c r="CO49" s="80"/>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47"/>
      <c r="FN49" s="47"/>
      <c r="FO49" s="47"/>
      <c r="FP49" s="47"/>
      <c r="FQ49" s="47"/>
      <c r="FR49" s="47"/>
      <c r="FS49" s="47"/>
      <c r="FT49" s="47"/>
      <c r="FU49" s="47"/>
      <c r="FV49" s="47"/>
      <c r="FW49" s="47"/>
      <c r="FX49" s="47"/>
      <c r="FY49" s="47"/>
      <c r="FZ49" s="47"/>
      <c r="GA49" s="47"/>
      <c r="GB49" s="47"/>
      <c r="GC49" s="47"/>
      <c r="GD49" s="47"/>
      <c r="GE49" s="47" t="s">
        <v>51</v>
      </c>
      <c r="GF49" s="47" t="s">
        <v>52</v>
      </c>
      <c r="GG49" s="47" t="s">
        <v>26</v>
      </c>
      <c r="GH49" s="47" t="s">
        <v>60</v>
      </c>
      <c r="GI49" s="47"/>
      <c r="GJ49" s="47" t="s">
        <v>71</v>
      </c>
      <c r="GK49" s="47" t="s">
        <v>72</v>
      </c>
      <c r="GL49" s="47" t="s">
        <v>73</v>
      </c>
      <c r="GM49" s="47" t="s">
        <v>5</v>
      </c>
      <c r="GN49" s="47" t="s">
        <v>3</v>
      </c>
      <c r="GO49" s="47" t="s">
        <v>58</v>
      </c>
      <c r="GP49" s="47" t="s">
        <v>59</v>
      </c>
      <c r="GQ49" s="47" t="s">
        <v>60</v>
      </c>
      <c r="GR49" s="47"/>
      <c r="GS49" s="47" t="s">
        <v>2</v>
      </c>
      <c r="GT49" s="47" t="s">
        <v>73</v>
      </c>
      <c r="GU49" s="47" t="s">
        <v>60</v>
      </c>
      <c r="GV49" s="47"/>
      <c r="GW49" s="47"/>
      <c r="GX49" s="47"/>
      <c r="GY49" s="47" t="e">
        <f ca="1">-GG32*1^3</f>
        <v>#VALUE!</v>
      </c>
      <c r="GZ49" s="47">
        <v>14</v>
      </c>
      <c r="HA49" s="47" t="e">
        <f ca="1">HA35+GZ49*(HA87-HA35)/GZ86</f>
        <v>#VALUE!</v>
      </c>
      <c r="HB49" s="47" t="e">
        <f ca="1">GY49*HA49^3+GY50*HA49^2+GY51*HA49+GY52</f>
        <v>#VALUE!</v>
      </c>
      <c r="HC49" s="47" t="e">
        <f t="shared" ca="1" si="0"/>
        <v>#VALUE!</v>
      </c>
      <c r="HD49" s="47" t="e">
        <f ca="1">HD35+GZ49*(HD87-HD35)/GZ86</f>
        <v>#VALUE!</v>
      </c>
      <c r="HE49" s="47" t="e">
        <f ca="1">GY49*HD49^3+GY50*HD49^2+GY51*HD49+GY52</f>
        <v>#VALUE!</v>
      </c>
      <c r="HF49" s="47" t="e">
        <f t="shared" ca="1" si="1"/>
        <v>#VALUE!</v>
      </c>
      <c r="HG49" s="47" t="e">
        <f ca="1">HG35+GZ49*(HG87-HG35)/GZ86</f>
        <v>#VALUE!</v>
      </c>
      <c r="HH49" s="47" t="e">
        <f ca="1">GG32*HG49^3+GH32*HG49^2+GI32*HG49+GF32+GC61</f>
        <v>#VALUE!</v>
      </c>
      <c r="HI49" s="47" t="e">
        <f t="shared" ca="1" si="2"/>
        <v>#VALUE!</v>
      </c>
      <c r="HJ49" s="47" t="e">
        <f t="shared" ca="1" si="3"/>
        <v>#VALUE!</v>
      </c>
      <c r="HK49" s="47" t="e">
        <f t="shared" ca="1" si="4"/>
        <v>#VALUE!</v>
      </c>
      <c r="HL49" s="47" t="e">
        <f t="shared" ca="1" si="5"/>
        <v>#VALUE!</v>
      </c>
      <c r="HM49" s="47"/>
    </row>
    <row r="50" spans="1:222" ht="16.5" customHeight="1">
      <c r="A50" s="1"/>
      <c r="B50" s="3"/>
      <c r="C50" s="3"/>
      <c r="D50" s="38" t="str">
        <f ca="1">IF(FM48=0,"","marginalen de totale opbrengst, de totale winst, de totale dekkingsbijdrage")</f>
        <v/>
      </c>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25"/>
      <c r="AY50" s="26"/>
      <c r="AZ50" s="41"/>
      <c r="BA50" s="41"/>
      <c r="BB50" s="41"/>
      <c r="BC50" s="41"/>
      <c r="BD50" s="42"/>
      <c r="BE50" s="41"/>
      <c r="BF50" s="41"/>
      <c r="BG50" s="41"/>
      <c r="BH50" s="41"/>
      <c r="BI50" s="41"/>
      <c r="BJ50" s="41"/>
      <c r="BK50" s="42"/>
      <c r="BL50" s="41"/>
      <c r="BM50" s="41"/>
      <c r="BN50" s="41"/>
      <c r="BO50" s="41"/>
      <c r="BP50" s="41"/>
      <c r="BQ50" s="41"/>
      <c r="BR50" s="80"/>
      <c r="BS50" s="79"/>
      <c r="BT50" s="79"/>
      <c r="BU50" s="79"/>
      <c r="BV50" s="79"/>
      <c r="BW50" s="79"/>
      <c r="BX50" s="79"/>
      <c r="BY50" s="79"/>
      <c r="BZ50" s="80"/>
      <c r="CA50" s="80"/>
      <c r="CB50" s="80"/>
      <c r="CC50" s="80"/>
      <c r="CD50" s="80"/>
      <c r="CE50" s="80"/>
      <c r="CF50" s="80"/>
      <c r="CG50" s="80"/>
      <c r="CH50" s="80"/>
      <c r="CI50" s="80"/>
      <c r="CJ50" s="80"/>
      <c r="CK50" s="80"/>
      <c r="CL50" s="80"/>
      <c r="CM50" s="80"/>
      <c r="CN50" s="80"/>
      <c r="CO50" s="80"/>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47"/>
      <c r="FN50" s="47"/>
      <c r="FO50" s="47"/>
      <c r="FP50" s="47"/>
      <c r="FQ50" s="47"/>
      <c r="FR50" s="47"/>
      <c r="FS50" s="47"/>
      <c r="FT50" s="47"/>
      <c r="FU50" s="47"/>
      <c r="FV50" s="47"/>
      <c r="FW50" s="47"/>
      <c r="FX50" s="47"/>
      <c r="FY50" s="47"/>
      <c r="FZ50" s="47"/>
      <c r="GA50" s="47">
        <f ca="1">IF(FO1=1,HL87,0)</f>
        <v>0</v>
      </c>
      <c r="GB50" s="47" t="str">
        <f ca="1">GB35</f>
        <v/>
      </c>
      <c r="GC50" s="47" t="str">
        <f ca="1">GB50</f>
        <v/>
      </c>
      <c r="GD50" s="47">
        <f ca="1">IF(FO1=0,0,IF(FN29=1,GD52-2*GB36,IF(FN29=2,GH60-2*GB36,0)))</f>
        <v>0</v>
      </c>
      <c r="GE50" s="47">
        <f ca="1">IF(FO1=1,GG32*GA50^2+GH32*GA50^1+GI32+GF32/GA50,0)</f>
        <v>0</v>
      </c>
      <c r="GF50" s="47">
        <f ca="1">IF(FO1=1,GG32*GB35^2+GH32*GB35^1+GI32,0)</f>
        <v>0</v>
      </c>
      <c r="GG50" s="47">
        <f ca="1">IF(FO1=1,3*GG32*GB35^2+2*GH32*GB35^1+GI32,0)</f>
        <v>0</v>
      </c>
      <c r="GH50" s="47">
        <f ca="1">GH60</f>
        <v>0</v>
      </c>
      <c r="GI50" s="47">
        <f ca="1">0*GI60</f>
        <v>0</v>
      </c>
      <c r="GJ50" s="47">
        <f ca="1">0*GJ60</f>
        <v>0</v>
      </c>
      <c r="GK50" s="47">
        <f ca="1">GK60</f>
        <v>0</v>
      </c>
      <c r="GL50" s="47">
        <f ca="1">GL60</f>
        <v>0</v>
      </c>
      <c r="GM50" s="47">
        <f ca="1">IF(FO1=0,0,-GC32*GB35^2+GD32*GB35)</f>
        <v>0</v>
      </c>
      <c r="GN50" s="47">
        <f ca="1">IF(FO1=0,0,GG32*GC50^3+GH32*GC50^2+GI32*GC50+GF32)</f>
        <v>0</v>
      </c>
      <c r="GO50" s="47">
        <f ca="1">IF(FO1=0,0,IF(FN29=2,GM40,IF(FN29=1,GH27*GD50+GK23,0)))</f>
        <v>0</v>
      </c>
      <c r="GP50" s="47">
        <f ca="1">IF(FO1=0,0,IF(FN29=1,GH29*GD50+GK27,0))</f>
        <v>0</v>
      </c>
      <c r="GQ50" s="47">
        <f ca="1">IF(FO1=0,0,IF(FN29=2,GB40,IF(FN29=3,HC87,IF(FN29=1,GH23,0))))</f>
        <v>0</v>
      </c>
      <c r="GR50" s="47">
        <f ca="1">0*GR60</f>
        <v>0</v>
      </c>
      <c r="GS50" s="47">
        <f ca="1">IF(FO1=1,GG32*GB35^3+GH32*GB35^2+GI32*GB35,0)</f>
        <v>0</v>
      </c>
      <c r="GT50" s="47">
        <f ca="1">GT60</f>
        <v>0</v>
      </c>
      <c r="GU50" s="47">
        <f ca="1">IF(FO1=0,0,IF(FN29=3,GU60,0))</f>
        <v>0</v>
      </c>
      <c r="GV50" s="47">
        <f ca="1">0*GV60</f>
        <v>0</v>
      </c>
      <c r="GW50" s="47">
        <f ca="1">0*GW60</f>
        <v>0</v>
      </c>
      <c r="GX50" s="47"/>
      <c r="GY50" s="47" t="e">
        <f ca="1">-GC32*1^2-GH32*1^2</f>
        <v>#DIV/0!</v>
      </c>
      <c r="GZ50" s="47">
        <v>15</v>
      </c>
      <c r="HA50" s="47" t="e">
        <f ca="1">HA35+GZ50*(HA87-HA35)/GZ86</f>
        <v>#VALUE!</v>
      </c>
      <c r="HB50" s="47" t="e">
        <f ca="1">GY49*HA50^3+GY50*HA50^2+GY51*HA50+GY52</f>
        <v>#VALUE!</v>
      </c>
      <c r="HC50" s="47" t="e">
        <f t="shared" ca="1" si="0"/>
        <v>#VALUE!</v>
      </c>
      <c r="HD50" s="47" t="e">
        <f ca="1">HD35+GZ50*(HD87-HD35)/GZ86</f>
        <v>#VALUE!</v>
      </c>
      <c r="HE50" s="47" t="e">
        <f ca="1">GY49*HD50^3+GY50*HD50^2+GY51*HD50+GY52</f>
        <v>#VALUE!</v>
      </c>
      <c r="HF50" s="47" t="e">
        <f t="shared" ca="1" si="1"/>
        <v>#VALUE!</v>
      </c>
      <c r="HG50" s="47" t="e">
        <f ca="1">HG35+GZ50*(HG87-HG35)/GZ86</f>
        <v>#VALUE!</v>
      </c>
      <c r="HH50" s="47" t="e">
        <f ca="1">GG32*HG50^3+GH32*HG50^2+GI32*HG50+GF32+GC61</f>
        <v>#VALUE!</v>
      </c>
      <c r="HI50" s="47" t="e">
        <f t="shared" ca="1" si="2"/>
        <v>#VALUE!</v>
      </c>
      <c r="HJ50" s="47" t="e">
        <f t="shared" ca="1" si="3"/>
        <v>#VALUE!</v>
      </c>
      <c r="HK50" s="47" t="e">
        <f t="shared" ca="1" si="4"/>
        <v>#VALUE!</v>
      </c>
      <c r="HL50" s="47" t="e">
        <f t="shared" ca="1" si="5"/>
        <v>#VALUE!</v>
      </c>
      <c r="HM50" s="47"/>
    </row>
    <row r="51" spans="1:222" ht="16.5" customHeight="1">
      <c r="A51" s="1"/>
      <c r="B51" s="3"/>
      <c r="C51" s="3"/>
      <c r="D51" s="38" t="str">
        <f ca="1">IF(FM48=0,"","en de totale constante kosten kunt berekenen. Pas als je ze alle vier hebt")</f>
        <v/>
      </c>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25"/>
      <c r="AY51" s="26"/>
      <c r="AZ51" s="41"/>
      <c r="BA51" s="41"/>
      <c r="BB51" s="41"/>
      <c r="BC51" s="41"/>
      <c r="BD51" s="42"/>
      <c r="BE51" s="41"/>
      <c r="BF51" s="41"/>
      <c r="BG51" s="41"/>
      <c r="BH51" s="41"/>
      <c r="BI51" s="41"/>
      <c r="BJ51" s="41"/>
      <c r="BK51" s="42"/>
      <c r="BL51" s="41"/>
      <c r="BM51" s="41"/>
      <c r="BN51" s="41"/>
      <c r="BO51" s="41"/>
      <c r="BP51" s="41"/>
      <c r="BQ51" s="41"/>
      <c r="BR51" s="80"/>
      <c r="BS51" s="79"/>
      <c r="BT51" s="79"/>
      <c r="BU51" s="79"/>
      <c r="BV51" s="79"/>
      <c r="BW51" s="79"/>
      <c r="BX51" s="79"/>
      <c r="BY51" s="79"/>
      <c r="BZ51" s="80"/>
      <c r="CA51" s="80"/>
      <c r="CB51" s="80"/>
      <c r="CC51" s="80"/>
      <c r="CD51" s="80"/>
      <c r="CE51" s="80"/>
      <c r="CF51" s="80"/>
      <c r="CG51" s="80"/>
      <c r="CH51" s="80"/>
      <c r="CI51" s="80"/>
      <c r="CJ51" s="80"/>
      <c r="CK51" s="80"/>
      <c r="CL51" s="80"/>
      <c r="CM51" s="80"/>
      <c r="CN51" s="80"/>
      <c r="CO51" s="80"/>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47"/>
      <c r="FN51" s="48"/>
      <c r="FO51" s="47"/>
      <c r="FP51" s="47"/>
      <c r="FQ51" s="47"/>
      <c r="FR51" s="47"/>
      <c r="FS51" s="47"/>
      <c r="FT51" s="47"/>
      <c r="FU51" s="47"/>
      <c r="FV51" s="47"/>
      <c r="FW51" s="47"/>
      <c r="FX51" s="47"/>
      <c r="FY51" s="47"/>
      <c r="FZ51" s="47"/>
      <c r="GA51" s="47">
        <f ca="1">IF(FO1=1,(GA50+GA52)/2,0)</f>
        <v>0</v>
      </c>
      <c r="GB51" s="47" t="str">
        <f t="shared" ref="GB51:GB60" ca="1" si="7">GB36</f>
        <v/>
      </c>
      <c r="GC51" s="47" t="e">
        <f ca="1">0.1*GC60</f>
        <v>#VALUE!</v>
      </c>
      <c r="GD51" s="47">
        <f ca="1">IF(FO1=0,0,IF(FN29=1,GD52-1*GB36,IF(FN29=2,GH60-1*GB36,0)))</f>
        <v>0</v>
      </c>
      <c r="GE51" s="47">
        <f ca="1">IF(FO1=1,GG32*GA51^2+GH32*GA51^1+GI32+GF32/GA51,0)</f>
        <v>0</v>
      </c>
      <c r="GF51" s="47">
        <f ca="1">IF(FO1=1,GG32*GB36^2+GH32*GB36^1+GI32,0)</f>
        <v>0</v>
      </c>
      <c r="GG51" s="47">
        <f ca="1">IF(FO1=1,3*GG32*GB36^2+2*GH32*GB36^1+GI32,0)</f>
        <v>0</v>
      </c>
      <c r="GH51" s="47">
        <f ca="1">GH60</f>
        <v>0</v>
      </c>
      <c r="GI51" s="47">
        <f ca="1">0.1*GI60</f>
        <v>0</v>
      </c>
      <c r="GJ51" s="47">
        <f ca="1">0.1*GJ60</f>
        <v>0</v>
      </c>
      <c r="GK51" s="47">
        <f ca="1">GK60</f>
        <v>0</v>
      </c>
      <c r="GL51" s="47">
        <f ca="1">GL60</f>
        <v>0</v>
      </c>
      <c r="GM51" s="47">
        <f ca="1">IF(FO1=0,0,-GC32*GB36^2+GD32*GB36)</f>
        <v>0</v>
      </c>
      <c r="GN51" s="47">
        <f ca="1">IF(FO1=0,0,GG32*GC51^3+GH32*GC51^2+GI32*GC51+GF32)</f>
        <v>0</v>
      </c>
      <c r="GO51" s="47">
        <f ca="1">IF(FO1=0,0,IF(FN29=2,GM40,IF(FN29=1,GH27*GD51+GK23,0)))</f>
        <v>0</v>
      </c>
      <c r="GP51" s="47">
        <f ca="1">IF(FO1=0,0,IF(FN29=1,GH29*GD51+GK27,0))</f>
        <v>0</v>
      </c>
      <c r="GQ51" s="47">
        <f ca="1">IF(FO1=0,0,IF(FN29=2,GB40,IF(FN29=3,HC87,IF(FN29=1,GH23,0))))</f>
        <v>0</v>
      </c>
      <c r="GR51" s="47">
        <f ca="1">0.1*GR60</f>
        <v>0</v>
      </c>
      <c r="GS51" s="47">
        <f ca="1">IF(FO1=1,GG32*GB36^3+GH32*GB36^2+GI32*GB36,0)</f>
        <v>0</v>
      </c>
      <c r="GT51" s="47">
        <f ca="1">GT60</f>
        <v>0</v>
      </c>
      <c r="GU51" s="47">
        <f ca="1">IF(FO1=0,0,IF(FN29=3,GU60,0))</f>
        <v>0</v>
      </c>
      <c r="GV51" s="47">
        <f ca="1">0.1*GV60</f>
        <v>0</v>
      </c>
      <c r="GW51" s="47">
        <f ca="1">IF(FO1=1,0.1*GW60,0)</f>
        <v>0</v>
      </c>
      <c r="GX51" s="47"/>
      <c r="GY51" s="47" t="e">
        <f ca="1">GD32*1-GI32*1</f>
        <v>#VALUE!</v>
      </c>
      <c r="GZ51" s="47">
        <v>16</v>
      </c>
      <c r="HA51" s="47" t="e">
        <f ca="1">HA35+GZ51*(HA87-HA35)/GZ86</f>
        <v>#VALUE!</v>
      </c>
      <c r="HB51" s="47" t="e">
        <f ca="1">GY49*HA51^3+GY50*HA51^2+GY51*HA51+GY52</f>
        <v>#VALUE!</v>
      </c>
      <c r="HC51" s="47" t="e">
        <f t="shared" ca="1" si="0"/>
        <v>#VALUE!</v>
      </c>
      <c r="HD51" s="47" t="e">
        <f ca="1">HD35+GZ51*(HD87-HD35)/GZ86</f>
        <v>#VALUE!</v>
      </c>
      <c r="HE51" s="47" t="e">
        <f ca="1">GY49*HD51^3+GY50*HD51^2+GY51*HD51+GY52</f>
        <v>#VALUE!</v>
      </c>
      <c r="HF51" s="47" t="e">
        <f t="shared" ca="1" si="1"/>
        <v>#VALUE!</v>
      </c>
      <c r="HG51" s="47" t="e">
        <f ca="1">HG35+GZ51*(HG87-HG35)/GZ86</f>
        <v>#VALUE!</v>
      </c>
      <c r="HH51" s="47" t="e">
        <f ca="1">GG32*HG51^3+GH32*HG51^2+GI32*HG51+GF32+GC61</f>
        <v>#VALUE!</v>
      </c>
      <c r="HI51" s="47" t="e">
        <f t="shared" ca="1" si="2"/>
        <v>#VALUE!</v>
      </c>
      <c r="HJ51" s="47" t="e">
        <f t="shared" ca="1" si="3"/>
        <v>#VALUE!</v>
      </c>
      <c r="HK51" s="47" t="e">
        <f t="shared" ca="1" si="4"/>
        <v>#VALUE!</v>
      </c>
      <c r="HL51" s="47" t="e">
        <f t="shared" ca="1" si="5"/>
        <v>#VALUE!</v>
      </c>
      <c r="HM51" s="47"/>
    </row>
    <row r="52" spans="1:222" ht="16.5" customHeight="1">
      <c r="A52" s="1"/>
      <c r="B52" s="3"/>
      <c r="C52" s="3"/>
      <c r="D52" s="38" t="str">
        <f ca="1">IF(FM48=0,"","ingevuld, krijg je te zien hoe je het gedaan hebt.")</f>
        <v/>
      </c>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25"/>
      <c r="AY52" s="26"/>
      <c r="AZ52" s="41"/>
      <c r="BA52" s="41"/>
      <c r="BB52" s="41"/>
      <c r="BC52" s="41"/>
      <c r="BD52" s="42"/>
      <c r="BE52" s="41"/>
      <c r="BF52" s="41"/>
      <c r="BG52" s="41"/>
      <c r="BH52" s="41"/>
      <c r="BI52" s="41"/>
      <c r="BJ52" s="41"/>
      <c r="BK52" s="42"/>
      <c r="BL52" s="41"/>
      <c r="BM52" s="41"/>
      <c r="BN52" s="41"/>
      <c r="BO52" s="41"/>
      <c r="BP52" s="41"/>
      <c r="BQ52" s="41"/>
      <c r="BR52" s="80"/>
      <c r="BS52" s="79"/>
      <c r="BT52" s="79"/>
      <c r="BU52" s="79"/>
      <c r="BV52" s="79"/>
      <c r="BW52" s="79"/>
      <c r="BX52" s="79"/>
      <c r="BY52" s="79"/>
      <c r="BZ52" s="80"/>
      <c r="CA52" s="80"/>
      <c r="CB52" s="80"/>
      <c r="CC52" s="80"/>
      <c r="CD52" s="80"/>
      <c r="CE52" s="80"/>
      <c r="CF52" s="80"/>
      <c r="CG52" s="80"/>
      <c r="CH52" s="80"/>
      <c r="CI52" s="80"/>
      <c r="CJ52" s="80"/>
      <c r="CK52" s="80"/>
      <c r="CL52" s="80"/>
      <c r="CM52" s="80"/>
      <c r="CN52" s="80"/>
      <c r="CO52" s="80"/>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47"/>
      <c r="FN52" s="48"/>
      <c r="FO52" s="47"/>
      <c r="FP52" s="47"/>
      <c r="FQ52" s="47"/>
      <c r="FR52" s="47"/>
      <c r="FS52" s="47"/>
      <c r="FT52" s="47"/>
      <c r="FU52" s="47"/>
      <c r="FV52" s="47"/>
      <c r="FW52" s="47"/>
      <c r="FX52" s="47"/>
      <c r="FY52" s="47"/>
      <c r="FZ52" s="47"/>
      <c r="GA52" s="47" t="str">
        <f t="shared" ref="GA52:GA59" ca="1" si="8">GB52</f>
        <v/>
      </c>
      <c r="GB52" s="47" t="str">
        <f t="shared" ca="1" si="7"/>
        <v/>
      </c>
      <c r="GC52" s="47" t="e">
        <f ca="1">0.2*GC60</f>
        <v>#VALUE!</v>
      </c>
      <c r="GD52" s="47">
        <f ca="1">IF(FO1=0,0,IF(FN29=1,GH60,IF(FN29=2,GH60,0)))</f>
        <v>0</v>
      </c>
      <c r="GE52" s="47">
        <f ca="1">IF(FO1=1,GG32*GB37^2+GH32*GB37^1+GI32+GF32/GA37,0)</f>
        <v>0</v>
      </c>
      <c r="GF52" s="47">
        <f ca="1">IF(FO1=1,GG32*GB37^2+GH32*GB37^1+GI32,0)</f>
        <v>0</v>
      </c>
      <c r="GG52" s="47">
        <f ca="1">IF(FO1=1,3*GG32*GB37^2+2*GH32*GB37^1+GI32,0)</f>
        <v>0</v>
      </c>
      <c r="GH52" s="47">
        <f ca="1">GH60</f>
        <v>0</v>
      </c>
      <c r="GI52" s="47">
        <f ca="1">0.2*GI60</f>
        <v>0</v>
      </c>
      <c r="GJ52" s="47">
        <f ca="1">0.2*GJ60</f>
        <v>0</v>
      </c>
      <c r="GK52" s="47">
        <f ca="1">GK60</f>
        <v>0</v>
      </c>
      <c r="GL52" s="47">
        <f ca="1">GL60</f>
        <v>0</v>
      </c>
      <c r="GM52" s="47">
        <f ca="1">IF(FO1=0,0,-GC32*GB37^2+GD32*GB37)</f>
        <v>0</v>
      </c>
      <c r="GN52" s="47">
        <f ca="1">IF(FO1=0,0,GG32*GC52^3+GH32*GC52^2+GI32*GC52+GF32)</f>
        <v>0</v>
      </c>
      <c r="GO52" s="47">
        <f ca="1">IF(FO1=0,0,IF(FN29=2,GM40,IF(FN29=1,GH27*GD52+GK23,0)))</f>
        <v>0</v>
      </c>
      <c r="GP52" s="47">
        <f ca="1">IF(FO1=0,0,IF(FN29=1,GH29*GD52+GK27,0))</f>
        <v>0</v>
      </c>
      <c r="GQ52" s="47">
        <f ca="1">IF(FO1=0,0,IF(FN29=2,GB40,IF(FN29=3,HC87,IF(FN29=1,GH23,0))))</f>
        <v>0</v>
      </c>
      <c r="GR52" s="47">
        <f ca="1">0.2*GR60</f>
        <v>0</v>
      </c>
      <c r="GS52" s="47">
        <f ca="1">IF(FO1=1,GG32*GB37^3+GH32*GB37^2+GI32*GB37,0)</f>
        <v>0</v>
      </c>
      <c r="GT52" s="47">
        <f ca="1">GT60</f>
        <v>0</v>
      </c>
      <c r="GU52" s="47">
        <f ca="1">IF(FO1=0,0,IF(FN29=3,GU60,0))</f>
        <v>0</v>
      </c>
      <c r="GV52" s="47">
        <f ca="1">0.2*GV60</f>
        <v>0</v>
      </c>
      <c r="GW52" s="47">
        <f ca="1">IF(FO1=1,0.2*GW60,0)</f>
        <v>0</v>
      </c>
      <c r="GX52" s="47"/>
      <c r="GY52" s="47" t="e">
        <f ca="1">-GF32</f>
        <v>#DIV/0!</v>
      </c>
      <c r="GZ52" s="47">
        <v>17</v>
      </c>
      <c r="HA52" s="47" t="e">
        <f ca="1">HA35+GZ52*(HA87-HA35)/GZ86</f>
        <v>#VALUE!</v>
      </c>
      <c r="HB52" s="47" t="e">
        <f ca="1">GY49*HA52^3+GY50*HA52^2+GY51*HA52+GY52</f>
        <v>#VALUE!</v>
      </c>
      <c r="HC52" s="47" t="e">
        <f t="shared" ca="1" si="0"/>
        <v>#VALUE!</v>
      </c>
      <c r="HD52" s="47" t="e">
        <f ca="1">HD35+GZ52*(HD87-HD35)/GZ86</f>
        <v>#VALUE!</v>
      </c>
      <c r="HE52" s="47" t="e">
        <f ca="1">GY49*HD52^3+GY50*HD52^2+GY51*HD52+GY52</f>
        <v>#VALUE!</v>
      </c>
      <c r="HF52" s="47" t="e">
        <f t="shared" ca="1" si="1"/>
        <v>#VALUE!</v>
      </c>
      <c r="HG52" s="47" t="e">
        <f ca="1">HG35+GZ52*(HG87-HG35)/GZ86</f>
        <v>#VALUE!</v>
      </c>
      <c r="HH52" s="47" t="e">
        <f ca="1">GG32*HG52^3+GH32*HG52^2+GI32*HG52+GF32+GC61</f>
        <v>#VALUE!</v>
      </c>
      <c r="HI52" s="47" t="e">
        <f t="shared" ca="1" si="2"/>
        <v>#VALUE!</v>
      </c>
      <c r="HJ52" s="47" t="e">
        <f t="shared" ca="1" si="3"/>
        <v>#VALUE!</v>
      </c>
      <c r="HK52" s="47" t="e">
        <f t="shared" ca="1" si="4"/>
        <v>#VALUE!</v>
      </c>
      <c r="HL52" s="47" t="e">
        <f t="shared" ca="1" si="5"/>
        <v>#VALUE!</v>
      </c>
      <c r="HM52" s="47"/>
    </row>
    <row r="53" spans="1:222" ht="10.5" customHeight="1">
      <c r="A53" s="1"/>
      <c r="B53" s="3"/>
      <c r="C53" s="3"/>
      <c r="D53" s="38"/>
      <c r="E53" s="10"/>
      <c r="F53" s="10"/>
      <c r="G53" s="10"/>
      <c r="H53" s="10"/>
      <c r="I53" s="10"/>
      <c r="J53" s="10"/>
      <c r="K53" s="10"/>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0"/>
      <c r="ET53" s="10"/>
      <c r="EU53" s="10"/>
      <c r="EV53" s="10"/>
      <c r="EW53" s="10"/>
      <c r="EX53" s="10"/>
      <c r="EY53" s="10"/>
      <c r="EZ53" s="10"/>
      <c r="FA53" s="10"/>
      <c r="FB53" s="10"/>
      <c r="FC53" s="10"/>
      <c r="FD53" s="10"/>
      <c r="FE53" s="10"/>
      <c r="FF53" s="10"/>
      <c r="FG53" s="10"/>
      <c r="FH53" s="10"/>
      <c r="FI53" s="10"/>
      <c r="FJ53" s="10"/>
      <c r="FK53" s="26"/>
      <c r="FL53" s="26"/>
      <c r="FM53" s="47"/>
      <c r="FN53" s="47"/>
      <c r="FO53" s="47"/>
      <c r="FP53" s="112" t="s">
        <v>64</v>
      </c>
      <c r="FQ53" s="47"/>
      <c r="FR53" s="49"/>
      <c r="FS53" s="49"/>
      <c r="FT53" s="49"/>
      <c r="FU53" s="49"/>
      <c r="FV53" s="49"/>
      <c r="FW53" s="49"/>
      <c r="FX53" s="47"/>
      <c r="FY53" s="47"/>
      <c r="FZ53" s="47"/>
      <c r="GA53" s="47" t="str">
        <f t="shared" ca="1" si="8"/>
        <v/>
      </c>
      <c r="GB53" s="47" t="str">
        <f t="shared" ca="1" si="7"/>
        <v/>
      </c>
      <c r="GC53" s="47" t="e">
        <f ca="1">0.3*GC60</f>
        <v>#VALUE!</v>
      </c>
      <c r="GD53" s="47">
        <f ca="1">IF(FO1=0,0,IF(FN29=1,GD52+1*GB36,IF(FN29=2,GH60+1*GB36,0)))</f>
        <v>0</v>
      </c>
      <c r="GE53" s="47">
        <f ca="1">IF(FO1=1,GG32*GB38^2+GH32*GB38^1+GI32+GF32/GA38,0)</f>
        <v>0</v>
      </c>
      <c r="GF53" s="47">
        <f ca="1">IF(FO1=1,GG32*GB38^2+GH32*GB38^1+GI32,0)</f>
        <v>0</v>
      </c>
      <c r="GG53" s="47">
        <f ca="1">IF(FO1=1,3*GG32*GB38^2+2*GH32*GB38^1+GI32,0)</f>
        <v>0</v>
      </c>
      <c r="GH53" s="47">
        <f ca="1">GH60</f>
        <v>0</v>
      </c>
      <c r="GI53" s="47">
        <f ca="1">0.3*GI60</f>
        <v>0</v>
      </c>
      <c r="GJ53" s="47">
        <f ca="1">0.3*GJ60</f>
        <v>0</v>
      </c>
      <c r="GK53" s="47">
        <f ca="1">GK60</f>
        <v>0</v>
      </c>
      <c r="GL53" s="47">
        <f ca="1">GL60</f>
        <v>0</v>
      </c>
      <c r="GM53" s="47">
        <f ca="1">IF(FO1=0,0,-GC32*GB38^2+GD32*GB38)</f>
        <v>0</v>
      </c>
      <c r="GN53" s="47">
        <f ca="1">IF(FO1=0,0,GG32*GC53^3+GH32*GC53^2+GI32*GC53+GF32)</f>
        <v>0</v>
      </c>
      <c r="GO53" s="47">
        <f ca="1">IF(FO1=0,0,IF(FN29=2,GM40,IF(FN29=1,GH27*GD53+GK23,0)))</f>
        <v>0</v>
      </c>
      <c r="GP53" s="47">
        <f ca="1">IF(FO1=0,0,IF(FN29=1,GH29*GD53+GK27,0))</f>
        <v>0</v>
      </c>
      <c r="GQ53" s="47">
        <f ca="1">IF(FO1=0,0,IF(FN29=2,GB40,IF(FN29=3,HC87,IF(FN29=1,GH23,0))))</f>
        <v>0</v>
      </c>
      <c r="GR53" s="47">
        <f ca="1">0.3*GR60</f>
        <v>0</v>
      </c>
      <c r="GS53" s="47">
        <f ca="1">IF(FO1=1,GG32*GB38^3+GH32*GB38^2+GI32*GB38,0)</f>
        <v>0</v>
      </c>
      <c r="GT53" s="47">
        <f ca="1">GT60</f>
        <v>0</v>
      </c>
      <c r="GU53" s="47">
        <f ca="1">IF(FO1=0,0,IF(FN29=3,GU60,0))</f>
        <v>0</v>
      </c>
      <c r="GV53" s="47">
        <f ca="1">0.3*GV60</f>
        <v>0</v>
      </c>
      <c r="GW53" s="47">
        <f ca="1">IF(FO1=1,0.3*GW60,0)</f>
        <v>0</v>
      </c>
      <c r="GX53" s="47"/>
      <c r="GY53" s="47"/>
      <c r="GZ53" s="47">
        <v>18</v>
      </c>
      <c r="HA53" s="47" t="e">
        <f ca="1">HA35+GZ53*(HA87-HA35)/GZ86</f>
        <v>#VALUE!</v>
      </c>
      <c r="HB53" s="47" t="e">
        <f ca="1">GY49*HA53^3+GY50*HA53^2+GY51*HA53+GY52</f>
        <v>#VALUE!</v>
      </c>
      <c r="HC53" s="47" t="e">
        <f t="shared" ca="1" si="0"/>
        <v>#VALUE!</v>
      </c>
      <c r="HD53" s="47" t="e">
        <f ca="1">HD35+GZ53*(HD87-HD35)/GZ86</f>
        <v>#VALUE!</v>
      </c>
      <c r="HE53" s="47" t="e">
        <f ca="1">GY49*HD53^3+GY50*HD53^2+GY51*HD53+GY52</f>
        <v>#VALUE!</v>
      </c>
      <c r="HF53" s="47" t="e">
        <f t="shared" ca="1" si="1"/>
        <v>#VALUE!</v>
      </c>
      <c r="HG53" s="47" t="e">
        <f ca="1">HG35+GZ53*(HG87-HG35)/GZ86</f>
        <v>#VALUE!</v>
      </c>
      <c r="HH53" s="47" t="e">
        <f ca="1">GG32*HG53^3+GH32*HG53^2+GI32*HG53+GF32+GC61</f>
        <v>#VALUE!</v>
      </c>
      <c r="HI53" s="47" t="e">
        <f t="shared" ca="1" si="2"/>
        <v>#VALUE!</v>
      </c>
      <c r="HJ53" s="47" t="e">
        <f t="shared" ca="1" si="3"/>
        <v>#VALUE!</v>
      </c>
      <c r="HK53" s="47" t="e">
        <f t="shared" ca="1" si="4"/>
        <v>#VALUE!</v>
      </c>
      <c r="HL53" s="47" t="e">
        <f t="shared" ca="1" si="5"/>
        <v>#VALUE!</v>
      </c>
      <c r="HM53" s="47"/>
    </row>
    <row r="54" spans="1:222" ht="3.75" customHeight="1">
      <c r="A54" s="1"/>
      <c r="B54" s="3"/>
      <c r="C54" s="3"/>
      <c r="D54" s="38"/>
      <c r="E54" s="10"/>
      <c r="F54" s="10"/>
      <c r="G54" s="10"/>
      <c r="H54" s="10"/>
      <c r="I54" s="10"/>
      <c r="J54" s="10"/>
      <c r="K54" s="10"/>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43"/>
      <c r="AR54" s="43"/>
      <c r="AS54" s="43"/>
      <c r="AT54" s="43"/>
      <c r="AU54" s="43"/>
      <c r="AV54" s="43"/>
      <c r="AW54" s="43"/>
      <c r="AX54" s="43"/>
      <c r="AY54" s="43"/>
      <c r="AZ54" s="43"/>
      <c r="BA54" s="43"/>
      <c r="BB54" s="538" t="str">
        <f ca="1">IF(FM48=0,"",".")</f>
        <v/>
      </c>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126"/>
      <c r="CG54" s="126"/>
      <c r="CH54" s="126"/>
      <c r="CI54" s="126"/>
      <c r="CJ54" s="43"/>
      <c r="CK54" s="43"/>
      <c r="CL54" s="43"/>
      <c r="CM54" s="43"/>
      <c r="CN54" s="43"/>
      <c r="CO54" s="43"/>
      <c r="CP54" s="43"/>
      <c r="CQ54" s="196"/>
      <c r="CR54" s="196"/>
      <c r="CS54" s="196"/>
      <c r="CT54" s="196"/>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196"/>
      <c r="EG54" s="196"/>
      <c r="EH54" s="196"/>
      <c r="EI54" s="196"/>
      <c r="EJ54" s="196"/>
      <c r="EK54" s="196"/>
      <c r="EL54" s="196"/>
      <c r="EM54" s="196"/>
      <c r="EN54" s="196"/>
      <c r="EO54" s="196"/>
      <c r="EP54" s="196"/>
      <c r="EQ54" s="196"/>
      <c r="ER54" s="196"/>
      <c r="ES54" s="196"/>
      <c r="ET54" s="196"/>
      <c r="EU54" s="196"/>
      <c r="EV54" s="196"/>
      <c r="EW54" s="196"/>
      <c r="EX54" s="196"/>
      <c r="EY54" s="196"/>
      <c r="EZ54" s="10"/>
      <c r="FA54" s="10"/>
      <c r="FB54" s="10"/>
      <c r="FC54" s="10"/>
      <c r="FD54" s="10"/>
      <c r="FE54" s="10"/>
      <c r="FF54" s="10"/>
      <c r="FG54" s="10"/>
      <c r="FH54" s="10"/>
      <c r="FI54" s="10"/>
      <c r="FJ54" s="10"/>
      <c r="FK54" s="26"/>
      <c r="FL54" s="26"/>
      <c r="FM54" s="47"/>
      <c r="FN54" s="47"/>
      <c r="FO54" s="47"/>
      <c r="FP54" s="47"/>
      <c r="FQ54" s="47"/>
      <c r="FR54" s="49"/>
      <c r="FS54" s="49"/>
      <c r="FT54" s="49"/>
      <c r="FU54" s="49"/>
      <c r="FV54" s="49"/>
      <c r="FW54" s="49"/>
      <c r="FX54" s="47"/>
      <c r="FY54" s="47"/>
      <c r="FZ54" s="47"/>
      <c r="GA54" s="47" t="str">
        <f t="shared" ca="1" si="8"/>
        <v/>
      </c>
      <c r="GB54" s="47" t="str">
        <f t="shared" ca="1" si="7"/>
        <v/>
      </c>
      <c r="GC54" s="47" t="e">
        <f ca="1">0.4*GC60</f>
        <v>#VALUE!</v>
      </c>
      <c r="GD54" s="47">
        <f ca="1">IF(FO1=0,0,IF(FN29=1,GD52+2*GB36,IF(FN29=2,GH60+2*GB36,0)))</f>
        <v>0</v>
      </c>
      <c r="GE54" s="47">
        <f ca="1">IF(FO1=1,GG32*GB39^2+GH32*GB39^1+GI32+GF32/GA39,0)</f>
        <v>0</v>
      </c>
      <c r="GF54" s="47">
        <f ca="1">IF(FO1=1,GG32*GB39^2+GH32*GB39^1+GI32,0)</f>
        <v>0</v>
      </c>
      <c r="GG54" s="47">
        <f ca="1">IF(FO1=1,3*GG32*GB39^2+2*GH32*GB39^1+GI32,0)</f>
        <v>0</v>
      </c>
      <c r="GH54" s="47">
        <f ca="1">GH60</f>
        <v>0</v>
      </c>
      <c r="GI54" s="47">
        <f ca="1">0.4*GI60</f>
        <v>0</v>
      </c>
      <c r="GJ54" s="47">
        <f ca="1">0.4*GJ60</f>
        <v>0</v>
      </c>
      <c r="GK54" s="47">
        <f ca="1">GK60</f>
        <v>0</v>
      </c>
      <c r="GL54" s="47">
        <f ca="1">GL60</f>
        <v>0</v>
      </c>
      <c r="GM54" s="47">
        <f ca="1">IF(FO1=0,0,-GC32*GB39^2+GD32*GB39)</f>
        <v>0</v>
      </c>
      <c r="GN54" s="47">
        <f ca="1">IF(FO1=0,0,GG32*GC54^3+GH32*GC54^2+GI32*GC54+GF32)</f>
        <v>0</v>
      </c>
      <c r="GO54" s="47">
        <f ca="1">IF(FO1=0,0,IF(FN29=2,GM40,IF(FN29=1,GH27*GD54+GK23,0)))</f>
        <v>0</v>
      </c>
      <c r="GP54" s="47">
        <f ca="1">IF(FO1=0,0,IF(FN29=1,GH29*GD54+GK27,0))</f>
        <v>0</v>
      </c>
      <c r="GQ54" s="47">
        <f ca="1">IF(FO1=0,0,IF(FN29=2,GB40,IF(FN29=3,HC87,IF(FN29=1,GH23,0))))</f>
        <v>0</v>
      </c>
      <c r="GR54" s="47">
        <f ca="1">0.4*GR60</f>
        <v>0</v>
      </c>
      <c r="GS54" s="47">
        <f ca="1">IF(FO1=1,GG32*GB39^3+GH32*GB39^2+GI32*GB39,0)</f>
        <v>0</v>
      </c>
      <c r="GT54" s="47">
        <f ca="1">GT60</f>
        <v>0</v>
      </c>
      <c r="GU54" s="47">
        <f ca="1">IF(FO1=0,0,IF(FN29=3,GU60,0))</f>
        <v>0</v>
      </c>
      <c r="GV54" s="47">
        <f ca="1">0.4*GV60</f>
        <v>0</v>
      </c>
      <c r="GW54" s="47">
        <f ca="1">IF(FO1=1,0.4*GW60,0)</f>
        <v>0</v>
      </c>
      <c r="GX54" s="47"/>
      <c r="GY54" s="47"/>
      <c r="GZ54" s="47">
        <v>19</v>
      </c>
      <c r="HA54" s="47" t="e">
        <f ca="1">HA35+GZ54*(HA87-HA35)/GZ86</f>
        <v>#VALUE!</v>
      </c>
      <c r="HB54" s="47" t="e">
        <f ca="1">GY49*HA54^3+GY50*HA54^2+GY51*HA54+GY52</f>
        <v>#VALUE!</v>
      </c>
      <c r="HC54" s="47" t="e">
        <f t="shared" ca="1" si="0"/>
        <v>#VALUE!</v>
      </c>
      <c r="HD54" s="47" t="e">
        <f ca="1">HD35+GZ54*(HD87-HD35)/GZ86</f>
        <v>#VALUE!</v>
      </c>
      <c r="HE54" s="47" t="e">
        <f ca="1">GY49*HD54^3+GY50*HD54^2+GY51*HD54+GY52</f>
        <v>#VALUE!</v>
      </c>
      <c r="HF54" s="47" t="e">
        <f t="shared" ca="1" si="1"/>
        <v>#VALUE!</v>
      </c>
      <c r="HG54" s="47" t="e">
        <f ca="1">HG35+GZ54*(HG87-HG35)/GZ86</f>
        <v>#VALUE!</v>
      </c>
      <c r="HH54" s="47" t="e">
        <f ca="1">GG32*HG54^3+GH32*HG54^2+GI32*HG54+GF32+GC61</f>
        <v>#VALUE!</v>
      </c>
      <c r="HI54" s="47" t="e">
        <f t="shared" ca="1" si="2"/>
        <v>#VALUE!</v>
      </c>
      <c r="HJ54" s="47" t="e">
        <f t="shared" ca="1" si="3"/>
        <v>#VALUE!</v>
      </c>
      <c r="HK54" s="47" t="e">
        <f t="shared" ca="1" si="4"/>
        <v>#VALUE!</v>
      </c>
      <c r="HL54" s="47" t="e">
        <f t="shared" ca="1" si="5"/>
        <v>#VALUE!</v>
      </c>
      <c r="HM54" s="47"/>
    </row>
    <row r="55" spans="1:222" ht="16.5" customHeight="1">
      <c r="A55" s="1"/>
      <c r="B55" s="3"/>
      <c r="C55" s="3"/>
      <c r="D55" s="43"/>
      <c r="E55" s="10"/>
      <c r="F55" s="10"/>
      <c r="G55" s="10"/>
      <c r="H55" s="10"/>
      <c r="I55" s="10"/>
      <c r="J55" s="111" t="str">
        <f ca="1">IF(FM48=0,"","Totale opbrengst:")</f>
        <v/>
      </c>
      <c r="K55" s="10"/>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43"/>
      <c r="AR55" s="43"/>
      <c r="AS55" s="43"/>
      <c r="AT55" s="43"/>
      <c r="AU55" s="43"/>
      <c r="AV55" s="43"/>
      <c r="AW55" s="43"/>
      <c r="AX55" s="43"/>
      <c r="AY55" s="43"/>
      <c r="AZ55" s="43"/>
      <c r="BA55" s="43"/>
      <c r="BB55" s="195" t="str">
        <f ca="1">IF(FM48=0,"",".")</f>
        <v/>
      </c>
      <c r="BC55" s="684"/>
      <c r="BD55" s="636"/>
      <c r="BE55" s="636"/>
      <c r="BF55" s="636"/>
      <c r="BG55" s="636"/>
      <c r="BH55" s="636"/>
      <c r="BI55" s="636"/>
      <c r="BJ55" s="636"/>
      <c r="BK55" s="636"/>
      <c r="BL55" s="636"/>
      <c r="BM55" s="636"/>
      <c r="BN55" s="636"/>
      <c r="BO55" s="636"/>
      <c r="BP55" s="636"/>
      <c r="BQ55" s="636"/>
      <c r="BR55" s="636"/>
      <c r="BS55" s="636"/>
      <c r="BT55" s="636"/>
      <c r="BU55" s="636"/>
      <c r="BV55" s="636"/>
      <c r="BW55" s="636"/>
      <c r="BX55" s="636"/>
      <c r="BY55" s="629"/>
      <c r="BZ55" s="629"/>
      <c r="CA55" s="629"/>
      <c r="CB55" s="629"/>
      <c r="CC55" s="629"/>
      <c r="CD55" s="629"/>
      <c r="CE55" s="195" t="str">
        <f ca="1">IF(FM48=0,"",".")</f>
        <v/>
      </c>
      <c r="CF55" s="126"/>
      <c r="CG55" s="207" t="str">
        <f ca="1">IF(FM48=0,"",IF(BC55="","",IF(OR(BC55="",BC59="",BC63="",BC67=""),"",IF(FN55=1,"Goed!","Fout! Probeer het opnieuw."))))</f>
        <v/>
      </c>
      <c r="CH55" s="126"/>
      <c r="CI55" s="126"/>
      <c r="CJ55" s="43"/>
      <c r="CK55" s="43"/>
      <c r="CL55" s="43"/>
      <c r="CM55" s="43"/>
      <c r="CN55" s="43"/>
      <c r="CO55" s="43"/>
      <c r="CP55" s="43"/>
      <c r="CQ55" s="196"/>
      <c r="CR55" s="43"/>
      <c r="CS55" s="196"/>
      <c r="CT55" s="196"/>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196"/>
      <c r="EG55" s="196"/>
      <c r="EH55" s="196"/>
      <c r="EI55" s="196"/>
      <c r="EJ55" s="196"/>
      <c r="EK55" s="196"/>
      <c r="EL55" s="196"/>
      <c r="EM55" s="196"/>
      <c r="EN55" s="196"/>
      <c r="EO55" s="196"/>
      <c r="EP55" s="196"/>
      <c r="EQ55" s="196"/>
      <c r="ER55" s="196"/>
      <c r="ES55" s="196"/>
      <c r="ET55" s="196"/>
      <c r="EU55" s="196"/>
      <c r="EV55" s="196"/>
      <c r="EW55" s="196"/>
      <c r="EX55" s="196"/>
      <c r="EY55" s="195"/>
      <c r="EZ55" s="10"/>
      <c r="FA55" s="10"/>
      <c r="FB55" s="10"/>
      <c r="FC55" s="10"/>
      <c r="FD55" s="10"/>
      <c r="FE55" s="10"/>
      <c r="FF55" s="10"/>
      <c r="FG55" s="10"/>
      <c r="FH55" s="10"/>
      <c r="FI55" s="10"/>
      <c r="FJ55" s="10"/>
      <c r="FK55" s="26"/>
      <c r="FL55" s="26"/>
      <c r="FM55" s="47"/>
      <c r="FN55" s="48">
        <f ca="1">IF(FM48=0,0,IF(BC55=FO55,1,0))</f>
        <v>0</v>
      </c>
      <c r="FO55" s="135" t="str">
        <f ca="1">IF(FN1=0,"",FQ55)</f>
        <v>GO × q</v>
      </c>
      <c r="FP55" s="79"/>
      <c r="FQ55" s="48" t="s">
        <v>65</v>
      </c>
      <c r="FR55" s="48" t="s">
        <v>68</v>
      </c>
      <c r="FS55" s="48" t="s">
        <v>134</v>
      </c>
      <c r="FT55" s="48" t="s">
        <v>66</v>
      </c>
      <c r="FU55" s="48" t="s">
        <v>67</v>
      </c>
      <c r="FV55" s="48" t="s">
        <v>69</v>
      </c>
      <c r="FW55" s="48" t="s">
        <v>70</v>
      </c>
      <c r="FX55" s="49"/>
      <c r="FY55" s="47"/>
      <c r="FZ55" s="47"/>
      <c r="GA55" s="47" t="str">
        <f t="shared" ca="1" si="8"/>
        <v/>
      </c>
      <c r="GB55" s="47" t="str">
        <f t="shared" ca="1" si="7"/>
        <v/>
      </c>
      <c r="GC55" s="47" t="e">
        <f ca="1">0.5*GC60</f>
        <v>#VALUE!</v>
      </c>
      <c r="GD55" s="47"/>
      <c r="GE55" s="47">
        <f ca="1">IF(FO1=1,GG32*GB40^2+GH32*GB40^1+GI32+GF32/GA40,0)</f>
        <v>0</v>
      </c>
      <c r="GF55" s="47">
        <f ca="1">IF(FO1=1,GG32*GB40^2+GH32*GB40^1+GI32,0)</f>
        <v>0</v>
      </c>
      <c r="GG55" s="47">
        <f ca="1">IF(FO1=1,3*GG32*GB40^2+2*GH32*GB40^1+GI32,0)</f>
        <v>0</v>
      </c>
      <c r="GH55" s="47">
        <f ca="1">GH60</f>
        <v>0</v>
      </c>
      <c r="GI55" s="47">
        <f ca="1">0.5*GI60</f>
        <v>0</v>
      </c>
      <c r="GJ55" s="47">
        <f ca="1">0.5*GJ60</f>
        <v>0</v>
      </c>
      <c r="GK55" s="47">
        <f ca="1">GK60</f>
        <v>0</v>
      </c>
      <c r="GL55" s="47">
        <f ca="1">GL60</f>
        <v>0</v>
      </c>
      <c r="GM55" s="47">
        <f ca="1">IF(FO1=0,0,-GC32*GB40^2+GD32*GB40)</f>
        <v>0</v>
      </c>
      <c r="GN55" s="47">
        <f ca="1">IF(FO1=0,0,GG32*GC55^3+GH32*GC55^2+GI32*GC55+GF32)</f>
        <v>0</v>
      </c>
      <c r="GO55" s="47"/>
      <c r="GP55" s="47"/>
      <c r="GQ55" s="47">
        <f ca="1">IF(FO1=0,0,IF(FN29=2,GB40,IF(FN29=3,HC87,IF(FN29=1,GH23,0))))</f>
        <v>0</v>
      </c>
      <c r="GR55" s="47">
        <f ca="1">0.5*GR60</f>
        <v>0</v>
      </c>
      <c r="GS55" s="47">
        <f ca="1">IF(FO1=1,GG32*GB40^3+GH32*GB40^2+GI32*GB40,0)</f>
        <v>0</v>
      </c>
      <c r="GT55" s="47">
        <f ca="1">GT60</f>
        <v>0</v>
      </c>
      <c r="GU55" s="47">
        <f ca="1">IF(FO1=0,0,IF(FN29=3,GU60,0))</f>
        <v>0</v>
      </c>
      <c r="GV55" s="47">
        <f ca="1">0.5*GV60</f>
        <v>0</v>
      </c>
      <c r="GW55" s="47">
        <f ca="1">IF(FO1=1,0.5*GW60,0)</f>
        <v>0</v>
      </c>
      <c r="GX55" s="47"/>
      <c r="GY55" s="47"/>
      <c r="GZ55" s="47">
        <v>20</v>
      </c>
      <c r="HA55" s="47" t="e">
        <f ca="1">HA35+GZ55*(HA87-HA35)/GZ86</f>
        <v>#VALUE!</v>
      </c>
      <c r="HB55" s="47" t="e">
        <f ca="1">GY49*HA55^3+GY50*HA55^2+GY51*HA55+GY52</f>
        <v>#VALUE!</v>
      </c>
      <c r="HC55" s="47" t="e">
        <f t="shared" ca="1" si="0"/>
        <v>#VALUE!</v>
      </c>
      <c r="HD55" s="47" t="e">
        <f ca="1">HD35+GZ55*(HD87-HD35)/GZ86</f>
        <v>#VALUE!</v>
      </c>
      <c r="HE55" s="47" t="e">
        <f ca="1">GY49*HD55^3+GY50*HD55^2+GY51*HD55+GY52</f>
        <v>#VALUE!</v>
      </c>
      <c r="HF55" s="47" t="e">
        <f t="shared" ca="1" si="1"/>
        <v>#VALUE!</v>
      </c>
      <c r="HG55" s="47" t="e">
        <f ca="1">HG35+GZ55*(HG87-HG35)/GZ86</f>
        <v>#VALUE!</v>
      </c>
      <c r="HH55" s="47" t="e">
        <f ca="1">GG32*HG55^3+GH32*HG55^2+GI32*HG55+GF32+GC61</f>
        <v>#VALUE!</v>
      </c>
      <c r="HI55" s="47" t="e">
        <f t="shared" ca="1" si="2"/>
        <v>#VALUE!</v>
      </c>
      <c r="HJ55" s="47" t="e">
        <f t="shared" ca="1" si="3"/>
        <v>#VALUE!</v>
      </c>
      <c r="HK55" s="47" t="e">
        <f t="shared" ca="1" si="4"/>
        <v>#VALUE!</v>
      </c>
      <c r="HL55" s="47" t="e">
        <f t="shared" ca="1" si="5"/>
        <v>#VALUE!</v>
      </c>
      <c r="HM55" s="47"/>
    </row>
    <row r="56" spans="1:222" ht="3.75" customHeight="1">
      <c r="A56" s="1"/>
      <c r="B56" s="3"/>
      <c r="C56" s="3"/>
      <c r="D56" s="38"/>
      <c r="E56" s="10"/>
      <c r="F56" s="10"/>
      <c r="G56" s="10"/>
      <c r="H56" s="10"/>
      <c r="I56" s="10"/>
      <c r="J56" s="10"/>
      <c r="K56" s="10"/>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43"/>
      <c r="AR56" s="43"/>
      <c r="AS56" s="43"/>
      <c r="AT56" s="43"/>
      <c r="AU56" s="43"/>
      <c r="AV56" s="43"/>
      <c r="AW56" s="43"/>
      <c r="AX56" s="43"/>
      <c r="AY56" s="43"/>
      <c r="AZ56" s="43"/>
      <c r="BA56" s="43"/>
      <c r="BB56" s="538" t="str">
        <f ca="1">IF(FM48=0,"",".")</f>
        <v/>
      </c>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126"/>
      <c r="CG56" s="126"/>
      <c r="CH56" s="126"/>
      <c r="CI56" s="126"/>
      <c r="CJ56" s="43"/>
      <c r="CK56" s="43"/>
      <c r="CL56" s="43"/>
      <c r="CM56" s="43"/>
      <c r="CN56" s="43"/>
      <c r="CO56" s="43"/>
      <c r="CP56" s="43"/>
      <c r="CQ56" s="196"/>
      <c r="CR56" s="196"/>
      <c r="CS56" s="196"/>
      <c r="CT56" s="196"/>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196"/>
      <c r="EG56" s="196"/>
      <c r="EH56" s="196"/>
      <c r="EI56" s="196"/>
      <c r="EJ56" s="196"/>
      <c r="EK56" s="196"/>
      <c r="EL56" s="196"/>
      <c r="EM56" s="196"/>
      <c r="EN56" s="196"/>
      <c r="EO56" s="196"/>
      <c r="EP56" s="196"/>
      <c r="EQ56" s="196"/>
      <c r="ER56" s="196"/>
      <c r="ES56" s="196"/>
      <c r="ET56" s="196"/>
      <c r="EU56" s="196"/>
      <c r="EV56" s="196"/>
      <c r="EW56" s="196"/>
      <c r="EX56" s="196"/>
      <c r="EY56" s="196"/>
      <c r="EZ56" s="10"/>
      <c r="FA56" s="10"/>
      <c r="FB56" s="10"/>
      <c r="FC56" s="10"/>
      <c r="FD56" s="10"/>
      <c r="FE56" s="10"/>
      <c r="FF56" s="10"/>
      <c r="FG56" s="10"/>
      <c r="FH56" s="10"/>
      <c r="FI56" s="10"/>
      <c r="FJ56" s="10"/>
      <c r="FK56" s="26"/>
      <c r="FL56" s="26"/>
      <c r="FM56" s="47"/>
      <c r="FN56" s="47"/>
      <c r="FO56" s="47"/>
      <c r="FP56" s="47"/>
      <c r="FQ56" s="47"/>
      <c r="FR56" s="49"/>
      <c r="FS56" s="49"/>
      <c r="FT56" s="49"/>
      <c r="FU56" s="49"/>
      <c r="FV56" s="49"/>
      <c r="FW56" s="49"/>
      <c r="FX56" s="47"/>
      <c r="FY56" s="47"/>
      <c r="FZ56" s="47"/>
      <c r="GA56" s="47" t="str">
        <f t="shared" ca="1" si="8"/>
        <v/>
      </c>
      <c r="GB56" s="47" t="str">
        <f t="shared" ca="1" si="7"/>
        <v/>
      </c>
      <c r="GC56" s="47" t="e">
        <f ca="1">0.6*GC60</f>
        <v>#VALUE!</v>
      </c>
      <c r="GD56" s="47"/>
      <c r="GE56" s="47">
        <f ca="1">IF(FO1=1,GG32*GB41^2+GH32*GB41^1+GI32+GF32/GA41,0)</f>
        <v>0</v>
      </c>
      <c r="GF56" s="47">
        <f ca="1">IF(FO1=1,GG32*GB41^2+GH32*GB41^1+GI32,0)</f>
        <v>0</v>
      </c>
      <c r="GG56" s="47">
        <f ca="1">IF(FO1=1,3*GG32*GB41^2+2*GH32*GB41^1+GI32,0)</f>
        <v>0</v>
      </c>
      <c r="GH56" s="47">
        <f ca="1">GH60</f>
        <v>0</v>
      </c>
      <c r="GI56" s="47">
        <f ca="1">0.6*GI60</f>
        <v>0</v>
      </c>
      <c r="GJ56" s="47">
        <f ca="1">0.6*GJ60</f>
        <v>0</v>
      </c>
      <c r="GK56" s="47">
        <f ca="1">GK60</f>
        <v>0</v>
      </c>
      <c r="GL56" s="47">
        <f ca="1">GL60</f>
        <v>0</v>
      </c>
      <c r="GM56" s="47">
        <f ca="1">IF(FO1=0,0,-GC32*GB41^2+GD32*GB41)</f>
        <v>0</v>
      </c>
      <c r="GN56" s="47">
        <f ca="1">IF(FO1=0,0,GG32*GC56^3+GH32*GC56^2+GI32*GC56+GF32)</f>
        <v>0</v>
      </c>
      <c r="GO56" s="47"/>
      <c r="GP56" s="47"/>
      <c r="GQ56" s="47">
        <f ca="1">IF(FO1=0,0,IF(FN29=2,GB40,IF(FN29=3,HC87,IF(FN29=1,GH23,0))))</f>
        <v>0</v>
      </c>
      <c r="GR56" s="47">
        <f ca="1">0.6*GR60</f>
        <v>0</v>
      </c>
      <c r="GS56" s="47">
        <f ca="1">IF(FO1=1,GG32*GB41^3+GH32*GB41^2+GI32*GB41,0)</f>
        <v>0</v>
      </c>
      <c r="GT56" s="47">
        <f ca="1">GT60</f>
        <v>0</v>
      </c>
      <c r="GU56" s="47">
        <f ca="1">IF(FO1=0,0,IF(FN29=3,GU60,0))</f>
        <v>0</v>
      </c>
      <c r="GV56" s="47">
        <f ca="1">0.6*GV60</f>
        <v>0</v>
      </c>
      <c r="GW56" s="47">
        <f ca="1">IF(FO1=1,0.6*GW60,0)</f>
        <v>0</v>
      </c>
      <c r="GX56" s="47"/>
      <c r="GY56" s="47"/>
      <c r="GZ56" s="47">
        <v>21</v>
      </c>
      <c r="HA56" s="47" t="e">
        <f ca="1">HA35+GZ56*(HA87-HA35)/GZ86</f>
        <v>#VALUE!</v>
      </c>
      <c r="HB56" s="47" t="e">
        <f ca="1">GY49*HA56^3+GY50*HA56^2+GY51*HA56+GY52</f>
        <v>#VALUE!</v>
      </c>
      <c r="HC56" s="47" t="e">
        <f t="shared" ca="1" si="0"/>
        <v>#VALUE!</v>
      </c>
      <c r="HD56" s="47" t="e">
        <f ca="1">HD35+GZ56*(HD87-HD35)/GZ86</f>
        <v>#VALUE!</v>
      </c>
      <c r="HE56" s="47" t="e">
        <f ca="1">GY49*HD56^3+GY50*HD56^2+GY51*HD56+GY52</f>
        <v>#VALUE!</v>
      </c>
      <c r="HF56" s="47" t="e">
        <f ca="1">IF(AND(HE56&lt;0,HE55&gt;=0),HD55-HE55/(HE56-HE55)*(HD56-HD55),0)</f>
        <v>#VALUE!</v>
      </c>
      <c r="HG56" s="47" t="e">
        <f ca="1">HG35+GZ56*(HG87-HG35)/GZ86</f>
        <v>#VALUE!</v>
      </c>
      <c r="HH56" s="47" t="e">
        <f ca="1">GG32*HG56^3+GH32*HG56^2+GI32*HG56+GF32+GC61</f>
        <v>#VALUE!</v>
      </c>
      <c r="HI56" s="47" t="e">
        <f t="shared" ca="1" si="2"/>
        <v>#VALUE!</v>
      </c>
      <c r="HJ56" s="47" t="e">
        <f t="shared" ca="1" si="3"/>
        <v>#VALUE!</v>
      </c>
      <c r="HK56" s="47" t="e">
        <f t="shared" ca="1" si="4"/>
        <v>#VALUE!</v>
      </c>
      <c r="HL56" s="47" t="e">
        <f t="shared" ca="1" si="5"/>
        <v>#VALUE!</v>
      </c>
      <c r="HM56" s="47"/>
    </row>
    <row r="57" spans="1:222" ht="7.5" customHeight="1">
      <c r="A57" s="1"/>
      <c r="B57" s="3"/>
      <c r="C57" s="3"/>
      <c r="D57" s="38"/>
      <c r="E57" s="10"/>
      <c r="F57" s="10"/>
      <c r="G57" s="10"/>
      <c r="H57" s="10"/>
      <c r="I57" s="10"/>
      <c r="J57" s="10"/>
      <c r="K57" s="10"/>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43"/>
      <c r="AR57" s="43"/>
      <c r="AS57" s="43"/>
      <c r="AT57" s="43"/>
      <c r="AU57" s="43"/>
      <c r="AV57" s="43"/>
      <c r="AW57" s="43"/>
      <c r="AX57" s="43"/>
      <c r="AY57" s="43"/>
      <c r="AZ57" s="43"/>
      <c r="BA57" s="43"/>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126"/>
      <c r="EG57" s="126"/>
      <c r="EH57" s="126"/>
      <c r="EI57" s="126"/>
      <c r="EJ57" s="126"/>
      <c r="EK57" s="126"/>
      <c r="EL57" s="126"/>
      <c r="EM57" s="126"/>
      <c r="EN57" s="126"/>
      <c r="EO57" s="126"/>
      <c r="EP57" s="126"/>
      <c r="EQ57" s="126"/>
      <c r="ER57" s="126"/>
      <c r="ES57" s="10"/>
      <c r="ET57" s="10"/>
      <c r="EU57" s="10"/>
      <c r="EV57" s="10"/>
      <c r="EW57" s="10"/>
      <c r="EX57" s="10"/>
      <c r="EY57" s="10"/>
      <c r="EZ57" s="10"/>
      <c r="FA57" s="10"/>
      <c r="FB57" s="10"/>
      <c r="FC57" s="10"/>
      <c r="FD57" s="10"/>
      <c r="FE57" s="10"/>
      <c r="FF57" s="10"/>
      <c r="FG57" s="10"/>
      <c r="FH57" s="10"/>
      <c r="FI57" s="10"/>
      <c r="FJ57" s="10"/>
      <c r="FK57" s="26"/>
      <c r="FL57" s="26"/>
      <c r="FM57" s="47"/>
      <c r="FN57" s="47"/>
      <c r="FO57" s="47"/>
      <c r="FP57" s="112" t="s">
        <v>64</v>
      </c>
      <c r="FQ57" s="47"/>
      <c r="FR57" s="49"/>
      <c r="FS57" s="49"/>
      <c r="FT57" s="49"/>
      <c r="FU57" s="49"/>
      <c r="FV57" s="49"/>
      <c r="FW57" s="49"/>
      <c r="FX57" s="47"/>
      <c r="FY57" s="47"/>
      <c r="FZ57" s="47"/>
      <c r="GA57" s="47" t="str">
        <f t="shared" ca="1" si="8"/>
        <v/>
      </c>
      <c r="GB57" s="47" t="str">
        <f t="shared" ca="1" si="7"/>
        <v/>
      </c>
      <c r="GC57" s="47" t="e">
        <f ca="1">0.7*GC60</f>
        <v>#VALUE!</v>
      </c>
      <c r="GD57" s="47"/>
      <c r="GE57" s="47">
        <f ca="1">IF(FO1=1,GG32*GB42^2+GH32*GB42^1+GI32+GF32/GA42,0)</f>
        <v>0</v>
      </c>
      <c r="GF57" s="47">
        <f ca="1">IF(FO1=1,GG32*GB42^2+GH32*GB42^1+GI32,0)</f>
        <v>0</v>
      </c>
      <c r="GG57" s="47">
        <f ca="1">IF(FO1=1,3*GG32*GB42^2+2*GH32*GB42^1+GI32,0)</f>
        <v>0</v>
      </c>
      <c r="GH57" s="47">
        <f ca="1">GH60</f>
        <v>0</v>
      </c>
      <c r="GI57" s="47">
        <f ca="1">0.7*GI60</f>
        <v>0</v>
      </c>
      <c r="GJ57" s="47">
        <f ca="1">0.7*GJ60</f>
        <v>0</v>
      </c>
      <c r="GK57" s="47">
        <f ca="1">GK60</f>
        <v>0</v>
      </c>
      <c r="GL57" s="47">
        <f ca="1">GL60</f>
        <v>0</v>
      </c>
      <c r="GM57" s="47">
        <f ca="1">IF(FO1=0,0,-GC32*GB42^2+GD32*GB42)</f>
        <v>0</v>
      </c>
      <c r="GN57" s="47">
        <f ca="1">IF(FO1=0,0,GG32*GC57^3+GH32*GC57^2+GI32*GC57+GF32)</f>
        <v>0</v>
      </c>
      <c r="GO57" s="47"/>
      <c r="GP57" s="47"/>
      <c r="GQ57" s="47">
        <f ca="1">IF(FO1=0,0,IF(FN29=2,GB40,IF(FN29=3,HC87,IF(FN29=1,GH23,0))))</f>
        <v>0</v>
      </c>
      <c r="GR57" s="47">
        <f ca="1">0.7*GR60</f>
        <v>0</v>
      </c>
      <c r="GS57" s="47">
        <f ca="1">IF(FO1=1,GG32*GB42^3+GH32*GB42^2+GI32*GB42,0)</f>
        <v>0</v>
      </c>
      <c r="GT57" s="47">
        <f ca="1">GT60</f>
        <v>0</v>
      </c>
      <c r="GU57" s="47">
        <f ca="1">IF(FO1=0,0,IF(FN29=3,GU60,0))</f>
        <v>0</v>
      </c>
      <c r="GV57" s="47">
        <f ca="1">0.7*GV60</f>
        <v>0</v>
      </c>
      <c r="GW57" s="47">
        <f ca="1">IF(FO1=1,0.7*GW60,0)</f>
        <v>0</v>
      </c>
      <c r="GX57" s="47"/>
      <c r="GY57" s="47"/>
      <c r="GZ57" s="47">
        <v>22</v>
      </c>
      <c r="HA57" s="47" t="e">
        <f ca="1">HA35+GZ57*(HA87-HA35)/GZ86</f>
        <v>#VALUE!</v>
      </c>
      <c r="HB57" s="47" t="e">
        <f ca="1">GY49*HA57^3+GY50*HA57^2+GY51*HA57+GY52</f>
        <v>#VALUE!</v>
      </c>
      <c r="HC57" s="47" t="e">
        <f t="shared" ca="1" si="0"/>
        <v>#VALUE!</v>
      </c>
      <c r="HD57" s="47" t="e">
        <f ca="1">HD35+GZ57*(HD87-HD35)/GZ86</f>
        <v>#VALUE!</v>
      </c>
      <c r="HE57" s="47" t="e">
        <f ca="1">GY49*HD57^3+GY50*HD57^2+GY51*HD57+GY52</f>
        <v>#VALUE!</v>
      </c>
      <c r="HF57" s="47" t="e">
        <f t="shared" ref="HF57:HF86" ca="1" si="9">IF(AND(HE57&lt;0,HE56&gt;=0),HD56-HE56/(HE57-HE56)*(HD57-HD56),0)</f>
        <v>#VALUE!</v>
      </c>
      <c r="HG57" s="47" t="e">
        <f ca="1">HG35+GZ57*(HG87-HG35)/GZ86</f>
        <v>#VALUE!</v>
      </c>
      <c r="HH57" s="47" t="e">
        <f ca="1">GG32*HG57^3+GH32*HG57^2+GI32*HG57+GF32+GC61</f>
        <v>#VALUE!</v>
      </c>
      <c r="HI57" s="47" t="e">
        <f t="shared" ca="1" si="2"/>
        <v>#VALUE!</v>
      </c>
      <c r="HJ57" s="47" t="e">
        <f t="shared" ca="1" si="3"/>
        <v>#VALUE!</v>
      </c>
      <c r="HK57" s="47" t="e">
        <f t="shared" ca="1" si="4"/>
        <v>#VALUE!</v>
      </c>
      <c r="HL57" s="47" t="e">
        <f t="shared" ca="1" si="5"/>
        <v>#VALUE!</v>
      </c>
      <c r="HM57" s="47"/>
    </row>
    <row r="58" spans="1:222" ht="3.75" customHeight="1">
      <c r="A58" s="1"/>
      <c r="B58" s="3"/>
      <c r="C58" s="3"/>
      <c r="D58" s="38"/>
      <c r="E58" s="10"/>
      <c r="F58" s="10"/>
      <c r="G58" s="10"/>
      <c r="H58" s="10"/>
      <c r="I58" s="10"/>
      <c r="J58" s="10"/>
      <c r="K58" s="10"/>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43"/>
      <c r="AR58" s="43"/>
      <c r="AS58" s="43"/>
      <c r="AT58" s="43"/>
      <c r="AU58" s="43"/>
      <c r="AV58" s="43"/>
      <c r="AW58" s="43"/>
      <c r="AX58" s="43"/>
      <c r="AY58" s="43"/>
      <c r="AZ58" s="43"/>
      <c r="BA58" s="43"/>
      <c r="BB58" s="538" t="str">
        <f ca="1">IF(FM48=0,"",".")</f>
        <v/>
      </c>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126"/>
      <c r="CG58" s="126"/>
      <c r="CH58" s="126"/>
      <c r="CI58" s="126"/>
      <c r="CJ58" s="43"/>
      <c r="CK58" s="43"/>
      <c r="CL58" s="43"/>
      <c r="CM58" s="43"/>
      <c r="CN58" s="43"/>
      <c r="CO58" s="43"/>
      <c r="CP58" s="43"/>
      <c r="CQ58" s="196"/>
      <c r="CR58" s="196"/>
      <c r="CS58" s="196"/>
      <c r="CT58" s="196"/>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196"/>
      <c r="EG58" s="196"/>
      <c r="EH58" s="196"/>
      <c r="EI58" s="196"/>
      <c r="EJ58" s="196"/>
      <c r="EK58" s="196"/>
      <c r="EL58" s="196"/>
      <c r="EM58" s="196"/>
      <c r="EN58" s="196"/>
      <c r="EO58" s="196"/>
      <c r="EP58" s="196"/>
      <c r="EQ58" s="196"/>
      <c r="ER58" s="196"/>
      <c r="ES58" s="196"/>
      <c r="ET58" s="196"/>
      <c r="EU58" s="196"/>
      <c r="EV58" s="196"/>
      <c r="EW58" s="196"/>
      <c r="EX58" s="196"/>
      <c r="EY58" s="196"/>
      <c r="EZ58" s="10"/>
      <c r="FA58" s="10"/>
      <c r="FB58" s="10"/>
      <c r="FC58" s="10"/>
      <c r="FD58" s="10"/>
      <c r="FE58" s="10"/>
      <c r="FF58" s="10"/>
      <c r="FG58" s="10"/>
      <c r="FH58" s="10"/>
      <c r="FI58" s="10"/>
      <c r="FJ58" s="10"/>
      <c r="FK58" s="26"/>
      <c r="FL58" s="26"/>
      <c r="FM58" s="47"/>
      <c r="FN58" s="47"/>
      <c r="FO58" s="47"/>
      <c r="FP58" s="47"/>
      <c r="FQ58" s="47"/>
      <c r="FR58" s="49"/>
      <c r="FS58" s="49"/>
      <c r="FT58" s="49"/>
      <c r="FU58" s="49"/>
      <c r="FV58" s="49"/>
      <c r="FW58" s="49"/>
      <c r="FX58" s="47"/>
      <c r="FY58" s="47"/>
      <c r="FZ58" s="47"/>
      <c r="GA58" s="47" t="str">
        <f t="shared" ca="1" si="8"/>
        <v/>
      </c>
      <c r="GB58" s="47" t="str">
        <f t="shared" ca="1" si="7"/>
        <v/>
      </c>
      <c r="GC58" s="47" t="e">
        <f ca="1">0.8*GC60</f>
        <v>#VALUE!</v>
      </c>
      <c r="GD58" s="47"/>
      <c r="GE58" s="47">
        <f ca="1">IF(FO1=1,GG32*GB43^2+GH32*GB43^1+GI32+GF32/GA43,0)</f>
        <v>0</v>
      </c>
      <c r="GF58" s="47">
        <f ca="1">IF(FO1=1,GG32*GB43^2+GH32*GB43^1+GI32,0)</f>
        <v>0</v>
      </c>
      <c r="GG58" s="47">
        <f ca="1">IF(FO1=1,3*GG32*GB43^2+2*GH32*GB43^1+GI32,0)</f>
        <v>0</v>
      </c>
      <c r="GH58" s="47">
        <f ca="1">GH60</f>
        <v>0</v>
      </c>
      <c r="GI58" s="47">
        <f ca="1">0.8*GI60</f>
        <v>0</v>
      </c>
      <c r="GJ58" s="47">
        <f ca="1">0.8*GJ60</f>
        <v>0</v>
      </c>
      <c r="GK58" s="47">
        <f ca="1">GK60</f>
        <v>0</v>
      </c>
      <c r="GL58" s="47">
        <f ca="1">GL60</f>
        <v>0</v>
      </c>
      <c r="GM58" s="47">
        <f ca="1">IF(FO1=0,0,-GC32*GB43^2+GD32*GB43)</f>
        <v>0</v>
      </c>
      <c r="GN58" s="47">
        <f ca="1">IF(FO1=0,0,GG32*GC58^3+GH32*GC58^2+GI32*GC58+GF32)</f>
        <v>0</v>
      </c>
      <c r="GO58" s="47"/>
      <c r="GP58" s="47"/>
      <c r="GQ58" s="47">
        <f ca="1">IF(FO1=0,0,IF(FN29=2,GB40,IF(FN29=3,HC87,IF(FN29=1,GH23,0))))</f>
        <v>0</v>
      </c>
      <c r="GR58" s="47">
        <f ca="1">0.8*GR60</f>
        <v>0</v>
      </c>
      <c r="GS58" s="47">
        <f ca="1">IF(FO1=1,GG32*GB43^3+GH32*GB43^2+GI32*GB43,0)</f>
        <v>0</v>
      </c>
      <c r="GT58" s="47">
        <f ca="1">GT60</f>
        <v>0</v>
      </c>
      <c r="GU58" s="47">
        <f ca="1">IF(FO1=0,0,IF(FN29=3,GU60,0))</f>
        <v>0</v>
      </c>
      <c r="GV58" s="47">
        <f ca="1">0.8*GV60</f>
        <v>0</v>
      </c>
      <c r="GW58" s="47">
        <f ca="1">IF(FO1=1,0.8*GW60,0)</f>
        <v>0</v>
      </c>
      <c r="GX58" s="47"/>
      <c r="GY58" s="47"/>
      <c r="GZ58" s="47">
        <v>23</v>
      </c>
      <c r="HA58" s="47" t="e">
        <f ca="1">HA35+GZ58*(HA87-HA35)/GZ86</f>
        <v>#VALUE!</v>
      </c>
      <c r="HB58" s="47" t="e">
        <f ca="1">GY49*HA58^3+GY50*HA58^2+GY51*HA58+GY52</f>
        <v>#VALUE!</v>
      </c>
      <c r="HC58" s="47" t="e">
        <f t="shared" ca="1" si="0"/>
        <v>#VALUE!</v>
      </c>
      <c r="HD58" s="47" t="e">
        <f ca="1">HD35+GZ58*(HD87-HD35)/GZ86</f>
        <v>#VALUE!</v>
      </c>
      <c r="HE58" s="47" t="e">
        <f ca="1">GY49*HD58^3+GY50*HD58^2+GY51*HD58+GY52</f>
        <v>#VALUE!</v>
      </c>
      <c r="HF58" s="47" t="e">
        <f t="shared" ca="1" si="9"/>
        <v>#VALUE!</v>
      </c>
      <c r="HG58" s="47" t="e">
        <f ca="1">HG35+GZ58*(HG87-HG35)/GZ86</f>
        <v>#VALUE!</v>
      </c>
      <c r="HH58" s="47" t="e">
        <f ca="1">GG32*HG58^3+GH32*HG58^2+GI32*HG58+GF32+GC61</f>
        <v>#VALUE!</v>
      </c>
      <c r="HI58" s="47" t="e">
        <f t="shared" ca="1" si="2"/>
        <v>#VALUE!</v>
      </c>
      <c r="HJ58" s="47" t="e">
        <f t="shared" ca="1" si="3"/>
        <v>#VALUE!</v>
      </c>
      <c r="HK58" s="47" t="e">
        <f t="shared" ca="1" si="4"/>
        <v>#VALUE!</v>
      </c>
      <c r="HL58" s="47" t="e">
        <f t="shared" ca="1" si="5"/>
        <v>#VALUE!</v>
      </c>
      <c r="HM58" s="47"/>
    </row>
    <row r="59" spans="1:222" ht="16.5" customHeight="1">
      <c r="A59" s="1"/>
      <c r="B59" s="3"/>
      <c r="C59" s="3"/>
      <c r="D59" s="43"/>
      <c r="E59" s="10"/>
      <c r="F59" s="10"/>
      <c r="G59" s="10"/>
      <c r="H59" s="10"/>
      <c r="I59" s="10"/>
      <c r="J59" s="111" t="str">
        <f ca="1">IF(FM48=0,"","Totale winst:")</f>
        <v/>
      </c>
      <c r="K59" s="10"/>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43"/>
      <c r="AR59" s="43"/>
      <c r="AS59" s="43"/>
      <c r="AT59" s="43"/>
      <c r="AU59" s="43"/>
      <c r="AV59" s="43"/>
      <c r="AW59" s="43"/>
      <c r="AX59" s="43"/>
      <c r="AY59" s="43"/>
      <c r="AZ59" s="43"/>
      <c r="BA59" s="43"/>
      <c r="BB59" s="195" t="str">
        <f ca="1">IF(FM48=0,"",".")</f>
        <v/>
      </c>
      <c r="BC59" s="684"/>
      <c r="BD59" s="636"/>
      <c r="BE59" s="636"/>
      <c r="BF59" s="636"/>
      <c r="BG59" s="636"/>
      <c r="BH59" s="636"/>
      <c r="BI59" s="636"/>
      <c r="BJ59" s="636"/>
      <c r="BK59" s="636"/>
      <c r="BL59" s="636"/>
      <c r="BM59" s="636"/>
      <c r="BN59" s="636"/>
      <c r="BO59" s="636"/>
      <c r="BP59" s="636"/>
      <c r="BQ59" s="636"/>
      <c r="BR59" s="636"/>
      <c r="BS59" s="636"/>
      <c r="BT59" s="636"/>
      <c r="BU59" s="636"/>
      <c r="BV59" s="636"/>
      <c r="BW59" s="636"/>
      <c r="BX59" s="636"/>
      <c r="BY59" s="629"/>
      <c r="BZ59" s="629"/>
      <c r="CA59" s="629"/>
      <c r="CB59" s="629"/>
      <c r="CC59" s="629"/>
      <c r="CD59" s="629"/>
      <c r="CE59" s="195" t="str">
        <f ca="1">IF(FM48=0,"",".")</f>
        <v/>
      </c>
      <c r="CF59" s="126"/>
      <c r="CG59" s="207" t="str">
        <f ca="1">IF(FM48=0,"",IF(BC59="","",IF(OR(BC55="",BC59="",BC63="",BC67=""),"",IF(FN59=1,"Goed!",IF(BC59=FT59,"Fout! Van beide gemiddelden moet je totalen maken door ze met q te vermenigvuldigen.","Fout! Probeer het opnieuw.")))))</f>
        <v/>
      </c>
      <c r="CH59" s="126"/>
      <c r="CI59" s="126"/>
      <c r="CJ59" s="43"/>
      <c r="CK59" s="43"/>
      <c r="CL59" s="43"/>
      <c r="CM59" s="43"/>
      <c r="CN59" s="43"/>
      <c r="CO59" s="43"/>
      <c r="CP59" s="43"/>
      <c r="CQ59" s="196"/>
      <c r="CR59" s="43"/>
      <c r="CS59" s="196"/>
      <c r="CT59" s="196"/>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196"/>
      <c r="EG59" s="196"/>
      <c r="EH59" s="196"/>
      <c r="EI59" s="196"/>
      <c r="EJ59" s="196"/>
      <c r="EK59" s="196"/>
      <c r="EL59" s="196"/>
      <c r="EM59" s="196"/>
      <c r="EN59" s="196"/>
      <c r="EO59" s="196"/>
      <c r="EP59" s="196"/>
      <c r="EQ59" s="196"/>
      <c r="ER59" s="196"/>
      <c r="ES59" s="196"/>
      <c r="ET59" s="196"/>
      <c r="EU59" s="196"/>
      <c r="EV59" s="196"/>
      <c r="EW59" s="196"/>
      <c r="EX59" s="196"/>
      <c r="EY59" s="195"/>
      <c r="EZ59" s="10"/>
      <c r="FA59" s="10"/>
      <c r="FB59" s="10"/>
      <c r="FC59" s="10"/>
      <c r="FD59" s="10"/>
      <c r="FE59" s="10"/>
      <c r="FF59" s="10"/>
      <c r="FG59" s="10"/>
      <c r="FH59" s="10"/>
      <c r="FI59" s="10"/>
      <c r="FJ59" s="10"/>
      <c r="FK59" s="26"/>
      <c r="FL59" s="26"/>
      <c r="FM59" s="47"/>
      <c r="FN59" s="48">
        <f ca="1">IF(FM48=0,0,IF(BC59=FO59,1,0))</f>
        <v>0</v>
      </c>
      <c r="FO59" s="135" t="str">
        <f ca="1">IF(FN1=0,"",FU59)</f>
        <v>(GO - GTK) × q</v>
      </c>
      <c r="FP59" s="79"/>
      <c r="FQ59" s="48" t="s">
        <v>65</v>
      </c>
      <c r="FR59" s="48" t="s">
        <v>68</v>
      </c>
      <c r="FS59" s="48" t="s">
        <v>134</v>
      </c>
      <c r="FT59" s="48" t="s">
        <v>66</v>
      </c>
      <c r="FU59" s="48" t="s">
        <v>67</v>
      </c>
      <c r="FV59" s="48" t="s">
        <v>69</v>
      </c>
      <c r="FW59" s="48" t="s">
        <v>70</v>
      </c>
      <c r="FX59" s="49"/>
      <c r="FY59" s="47"/>
      <c r="FZ59" s="47"/>
      <c r="GA59" s="47" t="str">
        <f t="shared" ca="1" si="8"/>
        <v/>
      </c>
      <c r="GB59" s="47" t="str">
        <f t="shared" ca="1" si="7"/>
        <v/>
      </c>
      <c r="GC59" s="47" t="e">
        <f ca="1">0.9*GC60</f>
        <v>#VALUE!</v>
      </c>
      <c r="GD59" s="47"/>
      <c r="GE59" s="47">
        <f ca="1">IF(FO1=1,GG32*GB44^2+GH32*GB44^1+GI32+GF32/GA44,0)</f>
        <v>0</v>
      </c>
      <c r="GF59" s="47">
        <f ca="1">IF(FO1=1,GG32*GB44^2+GH32*GB44^1+GI32,0)</f>
        <v>0</v>
      </c>
      <c r="GG59" s="47">
        <f ca="1">IF(FO1=1,3*GG32*GB44^2+2*GH32*GB44^1+GI32,0)</f>
        <v>0</v>
      </c>
      <c r="GH59" s="47">
        <f ca="1">GH60</f>
        <v>0</v>
      </c>
      <c r="GI59" s="47">
        <f ca="1">0.9*GI60</f>
        <v>0</v>
      </c>
      <c r="GJ59" s="47">
        <f ca="1">0.9*GJ60</f>
        <v>0</v>
      </c>
      <c r="GK59" s="47">
        <f ca="1">GK60</f>
        <v>0</v>
      </c>
      <c r="GL59" s="47">
        <f ca="1">GL60</f>
        <v>0</v>
      </c>
      <c r="GM59" s="47">
        <f ca="1">IF(FO1=0,0,-GC32*GB44^2+GD32*GB44)</f>
        <v>0</v>
      </c>
      <c r="GN59" s="47">
        <f ca="1">IF(FO1=0,0,GG32*GC59^3+GH32*GC59^2+GI32*GC59+GF32)</f>
        <v>0</v>
      </c>
      <c r="GO59" s="47"/>
      <c r="GP59" s="47"/>
      <c r="GQ59" s="47">
        <f ca="1">IF(FO1=0,0,IF(FN29=2,GB40,IF(FN29=3,HC87,IF(FN29=1,GH23,0))))</f>
        <v>0</v>
      </c>
      <c r="GR59" s="47">
        <f ca="1">0.9*GR60</f>
        <v>0</v>
      </c>
      <c r="GS59" s="47">
        <f ca="1">IF(FO1=1,GG32*GB44^3+GH32*GB44^2+GI32*GB44,0)</f>
        <v>0</v>
      </c>
      <c r="GT59" s="47">
        <f ca="1">GT60</f>
        <v>0</v>
      </c>
      <c r="GU59" s="47">
        <f ca="1">IF(FO1=0,0,IF(FN29=3,GU60,0))</f>
        <v>0</v>
      </c>
      <c r="GV59" s="47">
        <f ca="1">0.9*GV60</f>
        <v>0</v>
      </c>
      <c r="GW59" s="47">
        <f ca="1">IF(FO1=1,0.9*GW60,0)</f>
        <v>0</v>
      </c>
      <c r="GX59" s="47"/>
      <c r="GY59" s="47"/>
      <c r="GZ59" s="47">
        <v>24</v>
      </c>
      <c r="HA59" s="47" t="e">
        <f ca="1">HA35+GZ59*(HA87-HA35)/GZ86</f>
        <v>#VALUE!</v>
      </c>
      <c r="HB59" s="47" t="e">
        <f ca="1">GY49*HA59^3+GY50*HA59^2+GY51*HA59+GY52</f>
        <v>#VALUE!</v>
      </c>
      <c r="HC59" s="47" t="e">
        <f t="shared" ca="1" si="0"/>
        <v>#VALUE!</v>
      </c>
      <c r="HD59" s="47" t="e">
        <f ca="1">HD35+GZ59*(HD87-HD35)/GZ86</f>
        <v>#VALUE!</v>
      </c>
      <c r="HE59" s="47" t="e">
        <f ca="1">GY49*HD59^3+GY50*HD59^2+GY51*HD59+GY52</f>
        <v>#VALUE!</v>
      </c>
      <c r="HF59" s="47" t="e">
        <f t="shared" ca="1" si="9"/>
        <v>#VALUE!</v>
      </c>
      <c r="HG59" s="47" t="e">
        <f ca="1">HG35+GZ59*(HG87-HG35)/GZ86</f>
        <v>#VALUE!</v>
      </c>
      <c r="HH59" s="47" t="e">
        <f ca="1">GG32*HG59^3+GH32*HG59^2+GI32*HG59+GF32+GC61</f>
        <v>#VALUE!</v>
      </c>
      <c r="HI59" s="47" t="e">
        <f t="shared" ca="1" si="2"/>
        <v>#VALUE!</v>
      </c>
      <c r="HJ59" s="47" t="e">
        <f t="shared" ca="1" si="3"/>
        <v>#VALUE!</v>
      </c>
      <c r="HK59" s="47" t="e">
        <f ca="1">GG$32*HJ59^2+GH$32*HJ59^1+GI$32+GF$32/HJ59-1.1*GD$32</f>
        <v>#VALUE!</v>
      </c>
      <c r="HL59" s="47" t="e">
        <f t="shared" ca="1" si="5"/>
        <v>#VALUE!</v>
      </c>
      <c r="HM59" s="47"/>
      <c r="HN59" s="5"/>
    </row>
    <row r="60" spans="1:222" ht="3.75" customHeight="1">
      <c r="A60" s="1"/>
      <c r="B60" s="3"/>
      <c r="C60" s="3"/>
      <c r="D60" s="38"/>
      <c r="E60" s="10"/>
      <c r="F60" s="10"/>
      <c r="G60" s="10"/>
      <c r="H60" s="10"/>
      <c r="I60" s="10"/>
      <c r="J60" s="10"/>
      <c r="K60" s="10"/>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43"/>
      <c r="AR60" s="43"/>
      <c r="AS60" s="43"/>
      <c r="AT60" s="43"/>
      <c r="AU60" s="43"/>
      <c r="AV60" s="43"/>
      <c r="AW60" s="43"/>
      <c r="AX60" s="43"/>
      <c r="AY60" s="43"/>
      <c r="AZ60" s="43"/>
      <c r="BA60" s="43"/>
      <c r="BB60" s="538" t="str">
        <f ca="1">IF(FM48=0,"",".")</f>
        <v/>
      </c>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126"/>
      <c r="CG60" s="126"/>
      <c r="CH60" s="126"/>
      <c r="CI60" s="126"/>
      <c r="CJ60" s="43"/>
      <c r="CK60" s="43"/>
      <c r="CL60" s="43"/>
      <c r="CM60" s="43"/>
      <c r="CN60" s="43"/>
      <c r="CO60" s="43"/>
      <c r="CP60" s="43"/>
      <c r="CQ60" s="196"/>
      <c r="CR60" s="196"/>
      <c r="CS60" s="196"/>
      <c r="CT60" s="196"/>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196"/>
      <c r="EG60" s="196"/>
      <c r="EH60" s="196"/>
      <c r="EI60" s="196"/>
      <c r="EJ60" s="196"/>
      <c r="EK60" s="196"/>
      <c r="EL60" s="196"/>
      <c r="EM60" s="196"/>
      <c r="EN60" s="196"/>
      <c r="EO60" s="196"/>
      <c r="EP60" s="196"/>
      <c r="EQ60" s="196"/>
      <c r="ER60" s="196"/>
      <c r="ES60" s="196"/>
      <c r="ET60" s="196"/>
      <c r="EU60" s="196"/>
      <c r="EV60" s="196"/>
      <c r="EW60" s="196"/>
      <c r="EX60" s="196"/>
      <c r="EY60" s="196"/>
      <c r="EZ60" s="10"/>
      <c r="FA60" s="10"/>
      <c r="FB60" s="10"/>
      <c r="FC60" s="10"/>
      <c r="FD60" s="10"/>
      <c r="FE60" s="10"/>
      <c r="FF60" s="10"/>
      <c r="FG60" s="10"/>
      <c r="FH60" s="10"/>
      <c r="FI60" s="10"/>
      <c r="FJ60" s="10"/>
      <c r="FK60" s="26"/>
      <c r="FL60" s="26"/>
      <c r="FM60" s="47"/>
      <c r="FN60" s="47"/>
      <c r="FO60" s="47"/>
      <c r="FP60" s="47"/>
      <c r="FQ60" s="47"/>
      <c r="FR60" s="49"/>
      <c r="FS60" s="49"/>
      <c r="FT60" s="49"/>
      <c r="FU60" s="49"/>
      <c r="FV60" s="49"/>
      <c r="FW60" s="49"/>
      <c r="FX60" s="47"/>
      <c r="FY60" s="47"/>
      <c r="FZ60" s="47"/>
      <c r="GA60" s="47" t="str">
        <f ca="1">GB60</f>
        <v/>
      </c>
      <c r="GB60" s="47" t="str">
        <f t="shared" ca="1" si="7"/>
        <v/>
      </c>
      <c r="GC60" s="47" t="e">
        <f ca="1">IF(HI87&lt;GB60,HI87,GC21)</f>
        <v>#VALUE!</v>
      </c>
      <c r="GD60" s="47"/>
      <c r="GE60" s="47">
        <f ca="1">IF(FO1=1,GG32*GB45^2+GH32*GB45^1+GI32+GF32/GA45,0)</f>
        <v>0</v>
      </c>
      <c r="GF60" s="47">
        <f ca="1">IF(FO1=1,GG32*GB45^2+GH32*GB45^1+GI32,0)</f>
        <v>0</v>
      </c>
      <c r="GG60" s="47">
        <f ca="1">IF(FO1=1,3*GG32*GB45^2+2*GH32*GB45^1+GI32,0)</f>
        <v>0</v>
      </c>
      <c r="GH60" s="47">
        <f ca="1">IF(FO1=0,0,IF(FN29=1,GG20,IF(FN29=2,GB40,IF(FN29=3,HC87,0))))</f>
        <v>0</v>
      </c>
      <c r="GI60" s="47">
        <f ca="1">IF(FO1=1,-GC32*GH60+GD32,0)</f>
        <v>0</v>
      </c>
      <c r="GJ60" s="47">
        <f ca="1">IF(FO1=0,0,IF(FN29=1,GH60,IF(FN29=2,GH60,0)))</f>
        <v>0</v>
      </c>
      <c r="GK60" s="47">
        <f ca="1">IF(FO1=0,0,IF(FN29=1,GI60,IF(FN29=2,GI60,0)))</f>
        <v>0</v>
      </c>
      <c r="GL60" s="47">
        <f ca="1">IF(FO1=0,0,IF(FN29=1,GG32*GH60^2+GH32*GH60^1+GI32+GF32/GH60,IF(FN29=2,GG32*GH60^2+GH32*GH60^1+GI32+GF32/GH60,0)))</f>
        <v>0</v>
      </c>
      <c r="GM60" s="47">
        <f ca="1">IF(FO1=0,0,-GC32*GB45^2+GD32*GB45)</f>
        <v>0</v>
      </c>
      <c r="GN60" s="47">
        <f ca="1">IF(FO1=0,0,GG32*GC60^3+GH32*GC60^2+GI32*GC60+GF32)</f>
        <v>0</v>
      </c>
      <c r="GO60" s="47"/>
      <c r="GP60" s="47"/>
      <c r="GQ60" s="47">
        <f ca="1">IF(FO1=0,0,IF(FN29=2,GB40,IF(FN29=3,HC87,IF(FN29=1,GH23,0))))</f>
        <v>0</v>
      </c>
      <c r="GR60" s="47">
        <f ca="1">IF(FO1=0,0,-GC32*GQ60^2+GD32*GQ60)</f>
        <v>0</v>
      </c>
      <c r="GS60" s="47">
        <f ca="1">IF(FO1=1,GG32*GB45^3+GH32*GB45^2+GI32*GB45,0)</f>
        <v>0</v>
      </c>
      <c r="GT60" s="47">
        <f ca="1">IF(FO1=0,0,IF(FN29=1,GG32*GG20^2+GH32*GG20^1+GI32,IF(FN29=2,GG32*GG20^2+GH32*GG20^1+GI32,0)))</f>
        <v>0</v>
      </c>
      <c r="GU60" s="47">
        <f ca="1">IF(FO1=0,0,IF(FN29=3,HF87,0))</f>
        <v>0</v>
      </c>
      <c r="GV60" s="47">
        <f ca="1">IF(FO1=0,0,IF(FN29=3,GG32*GU60^3+GH32*GU60^2+GI32*GU60+GF32,0))</f>
        <v>0</v>
      </c>
      <c r="GW60" s="47">
        <f ca="1">IF(FO1=0,0,IF(FN29=3,GG32*GU60^2+GH32*GU60^1+GI32+GF32/GU60,0))</f>
        <v>0</v>
      </c>
      <c r="GX60" s="47"/>
      <c r="GY60" s="47"/>
      <c r="GZ60" s="47">
        <v>25</v>
      </c>
      <c r="HA60" s="47" t="e">
        <f ca="1">HA35+GZ60*(HA87-HA35)/GZ86</f>
        <v>#VALUE!</v>
      </c>
      <c r="HB60" s="47" t="e">
        <f ca="1">GY49*HA60^3+GY50*HA60^2+GY51*HA60+GY52</f>
        <v>#VALUE!</v>
      </c>
      <c r="HC60" s="47" t="e">
        <f t="shared" ca="1" si="0"/>
        <v>#VALUE!</v>
      </c>
      <c r="HD60" s="47" t="e">
        <f ca="1">HD35+GZ60*(HD87-HD35)/GZ86</f>
        <v>#VALUE!</v>
      </c>
      <c r="HE60" s="47" t="e">
        <f ca="1">GY49*HD60^3+GY50*HD60^2+GY51*HD60+GY52</f>
        <v>#VALUE!</v>
      </c>
      <c r="HF60" s="47" t="e">
        <f t="shared" ca="1" si="9"/>
        <v>#VALUE!</v>
      </c>
      <c r="HG60" s="47" t="e">
        <f ca="1">HG35+GZ60*(HG87-HG35)/GZ86</f>
        <v>#VALUE!</v>
      </c>
      <c r="HH60" s="47" t="e">
        <f ca="1">GG32*HG60^3+GH32*HG60^2+GI32*HG60+GF32+GC61</f>
        <v>#VALUE!</v>
      </c>
      <c r="HI60" s="47" t="e">
        <f t="shared" ca="1" si="2"/>
        <v>#VALUE!</v>
      </c>
      <c r="HJ60" s="47" t="e">
        <f t="shared" ca="1" si="3"/>
        <v>#VALUE!</v>
      </c>
      <c r="HK60" s="47" t="e">
        <f t="shared" ca="1" si="4"/>
        <v>#VALUE!</v>
      </c>
      <c r="HL60" s="47" t="e">
        <f t="shared" ca="1" si="5"/>
        <v>#VALUE!</v>
      </c>
      <c r="HM60" s="47"/>
    </row>
    <row r="61" spans="1:222" ht="7.5" customHeight="1">
      <c r="A61" s="1"/>
      <c r="B61" s="3"/>
      <c r="C61" s="3"/>
      <c r="D61" s="38"/>
      <c r="E61" s="10"/>
      <c r="F61" s="10"/>
      <c r="G61" s="10"/>
      <c r="H61" s="10"/>
      <c r="I61" s="10"/>
      <c r="J61" s="10"/>
      <c r="K61" s="10"/>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43"/>
      <c r="AR61" s="43"/>
      <c r="AS61" s="43"/>
      <c r="AT61" s="43"/>
      <c r="AU61" s="43"/>
      <c r="AV61" s="43"/>
      <c r="AW61" s="43"/>
      <c r="AX61" s="43"/>
      <c r="AY61" s="43"/>
      <c r="AZ61" s="43"/>
      <c r="BA61" s="43"/>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126"/>
      <c r="EG61" s="126"/>
      <c r="EH61" s="126"/>
      <c r="EI61" s="126"/>
      <c r="EJ61" s="126"/>
      <c r="EK61" s="126"/>
      <c r="EL61" s="126"/>
      <c r="EM61" s="126"/>
      <c r="EN61" s="126"/>
      <c r="EO61" s="126"/>
      <c r="EP61" s="126"/>
      <c r="EQ61" s="126"/>
      <c r="ER61" s="126"/>
      <c r="ES61" s="10"/>
      <c r="ET61" s="10"/>
      <c r="EU61" s="10"/>
      <c r="EV61" s="10"/>
      <c r="EW61" s="10"/>
      <c r="EX61" s="10"/>
      <c r="EY61" s="10"/>
      <c r="EZ61" s="10"/>
      <c r="FA61" s="10"/>
      <c r="FB61" s="10"/>
      <c r="FC61" s="10"/>
      <c r="FD61" s="10"/>
      <c r="FE61" s="10"/>
      <c r="FF61" s="10"/>
      <c r="FG61" s="10"/>
      <c r="FH61" s="10"/>
      <c r="FI61" s="10"/>
      <c r="FJ61" s="10"/>
      <c r="FK61" s="26"/>
      <c r="FL61" s="26"/>
      <c r="FM61" s="47"/>
      <c r="FN61" s="47"/>
      <c r="FO61" s="47"/>
      <c r="FP61" s="112" t="s">
        <v>64</v>
      </c>
      <c r="FQ61" s="47"/>
      <c r="FR61" s="49"/>
      <c r="FS61" s="49"/>
      <c r="FT61" s="49"/>
      <c r="FU61" s="49"/>
      <c r="FV61" s="49"/>
      <c r="FW61" s="49"/>
      <c r="FX61" s="47"/>
      <c r="FY61" s="47"/>
      <c r="FZ61" s="47"/>
      <c r="GA61" s="47"/>
      <c r="GB61" s="47"/>
      <c r="GC61" s="47">
        <f ca="1">-1.1*GM55</f>
        <v>0</v>
      </c>
      <c r="GD61" s="47">
        <f ca="1">-1*GM55</f>
        <v>0</v>
      </c>
      <c r="GE61" s="47"/>
      <c r="GF61" s="47"/>
      <c r="GG61" s="47"/>
      <c r="GH61" s="47"/>
      <c r="GI61" s="47"/>
      <c r="GJ61" s="47"/>
      <c r="GK61" s="47"/>
      <c r="GL61" s="47"/>
      <c r="GM61" s="47"/>
      <c r="GN61" s="47"/>
      <c r="GO61" s="47"/>
      <c r="GP61" s="47"/>
      <c r="GQ61" s="47"/>
      <c r="GR61" s="47"/>
      <c r="GS61" s="47"/>
      <c r="GT61" s="47"/>
      <c r="GU61" s="47"/>
      <c r="GV61" s="47"/>
      <c r="GW61" s="47"/>
      <c r="GX61" s="47"/>
      <c r="GY61" s="47"/>
      <c r="GZ61" s="47">
        <v>26</v>
      </c>
      <c r="HA61" s="47" t="e">
        <f ca="1">HA35+GZ61*(HA87-HA35)/GZ86</f>
        <v>#VALUE!</v>
      </c>
      <c r="HB61" s="47" t="e">
        <f ca="1">GY49*HA61^3+GY50*HA61^2+GY51*HA61+GY52</f>
        <v>#VALUE!</v>
      </c>
      <c r="HC61" s="47" t="e">
        <f t="shared" ca="1" si="0"/>
        <v>#VALUE!</v>
      </c>
      <c r="HD61" s="47" t="e">
        <f ca="1">HD35+GZ61*(HD87-HD35)/GZ86</f>
        <v>#VALUE!</v>
      </c>
      <c r="HE61" s="47" t="e">
        <f ca="1">GY49*HD61^3+GY50*HD61^2+GY51*HD61+GY52</f>
        <v>#VALUE!</v>
      </c>
      <c r="HF61" s="47" t="e">
        <f t="shared" ca="1" si="9"/>
        <v>#VALUE!</v>
      </c>
      <c r="HG61" s="47" t="e">
        <f ca="1">HG35+GZ61*(HG87-HG35)/GZ86</f>
        <v>#VALUE!</v>
      </c>
      <c r="HH61" s="47" t="e">
        <f ca="1">GG32*HG61^3+GH32*HG61^2+GI32*HG61+GF32+GC61</f>
        <v>#VALUE!</v>
      </c>
      <c r="HI61" s="47" t="e">
        <f t="shared" ca="1" si="2"/>
        <v>#VALUE!</v>
      </c>
      <c r="HJ61" s="47" t="e">
        <f t="shared" ca="1" si="3"/>
        <v>#VALUE!</v>
      </c>
      <c r="HK61" s="47" t="e">
        <f t="shared" ca="1" si="4"/>
        <v>#VALUE!</v>
      </c>
      <c r="HL61" s="47" t="e">
        <f t="shared" ca="1" si="5"/>
        <v>#VALUE!</v>
      </c>
      <c r="HM61" s="47"/>
    </row>
    <row r="62" spans="1:222" ht="3.75" customHeight="1">
      <c r="A62" s="1"/>
      <c r="B62" s="3"/>
      <c r="C62" s="3"/>
      <c r="D62" s="38"/>
      <c r="E62" s="10"/>
      <c r="F62" s="10"/>
      <c r="G62" s="10"/>
      <c r="H62" s="10"/>
      <c r="I62" s="10"/>
      <c r="J62" s="10"/>
      <c r="K62" s="10"/>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43"/>
      <c r="AR62" s="43"/>
      <c r="AS62" s="43"/>
      <c r="AT62" s="43"/>
      <c r="AU62" s="43"/>
      <c r="AV62" s="43"/>
      <c r="AW62" s="43"/>
      <c r="AX62" s="43"/>
      <c r="AY62" s="43"/>
      <c r="AZ62" s="43"/>
      <c r="BA62" s="43"/>
      <c r="BB62" s="538" t="str">
        <f ca="1">IF(FM48=0,"",".")</f>
        <v/>
      </c>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126"/>
      <c r="CG62" s="126"/>
      <c r="CH62" s="126"/>
      <c r="CI62" s="126"/>
      <c r="CJ62" s="43"/>
      <c r="CK62" s="43"/>
      <c r="CL62" s="43"/>
      <c r="CM62" s="43"/>
      <c r="CN62" s="43"/>
      <c r="CO62" s="43"/>
      <c r="CP62" s="43"/>
      <c r="CQ62" s="196"/>
      <c r="CR62" s="196"/>
      <c r="CS62" s="196"/>
      <c r="CT62" s="196"/>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196"/>
      <c r="EG62" s="196"/>
      <c r="EH62" s="196"/>
      <c r="EI62" s="196"/>
      <c r="EJ62" s="196"/>
      <c r="EK62" s="196"/>
      <c r="EL62" s="196"/>
      <c r="EM62" s="196"/>
      <c r="EN62" s="196"/>
      <c r="EO62" s="196"/>
      <c r="EP62" s="196"/>
      <c r="EQ62" s="196"/>
      <c r="ER62" s="196"/>
      <c r="ES62" s="196"/>
      <c r="ET62" s="196"/>
      <c r="EU62" s="196"/>
      <c r="EV62" s="196"/>
      <c r="EW62" s="196"/>
      <c r="EX62" s="196"/>
      <c r="EY62" s="196"/>
      <c r="EZ62" s="10"/>
      <c r="FA62" s="10"/>
      <c r="FB62" s="10"/>
      <c r="FC62" s="10"/>
      <c r="FD62" s="10"/>
      <c r="FE62" s="10"/>
      <c r="FF62" s="10"/>
      <c r="FG62" s="10"/>
      <c r="FH62" s="10"/>
      <c r="FI62" s="10"/>
      <c r="FJ62" s="10"/>
      <c r="FK62" s="26"/>
      <c r="FL62" s="26"/>
      <c r="FM62" s="47"/>
      <c r="FN62" s="47"/>
      <c r="FO62" s="47"/>
      <c r="FP62" s="47"/>
      <c r="FQ62" s="47"/>
      <c r="FR62" s="49"/>
      <c r="FS62" s="49"/>
      <c r="FT62" s="49"/>
      <c r="FU62" s="49"/>
      <c r="FV62" s="49"/>
      <c r="FW62" s="49"/>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v>27</v>
      </c>
      <c r="HA62" s="47" t="e">
        <f ca="1">HA35+GZ62*(HA87-HA35)/GZ86</f>
        <v>#VALUE!</v>
      </c>
      <c r="HB62" s="47" t="e">
        <f ca="1">GY49*HA62^3+GY50*HA62^2+GY51*HA62+GY52</f>
        <v>#VALUE!</v>
      </c>
      <c r="HC62" s="47" t="e">
        <f t="shared" ca="1" si="0"/>
        <v>#VALUE!</v>
      </c>
      <c r="HD62" s="47" t="e">
        <f ca="1">HD35+GZ62*(HD87-HD35)/GZ86</f>
        <v>#VALUE!</v>
      </c>
      <c r="HE62" s="47" t="e">
        <f ca="1">GY49*HD62^3+GY50*HD62^2+GY51*HD62+GY52</f>
        <v>#VALUE!</v>
      </c>
      <c r="HF62" s="47" t="e">
        <f t="shared" ca="1" si="9"/>
        <v>#VALUE!</v>
      </c>
      <c r="HG62" s="47" t="e">
        <f ca="1">HG35+GZ62*(HG87-HG35)/GZ86</f>
        <v>#VALUE!</v>
      </c>
      <c r="HH62" s="47" t="e">
        <f ca="1">GG32*HG62^3+GH32*HG62^2+GI32*HG62+GF32+GC61</f>
        <v>#VALUE!</v>
      </c>
      <c r="HI62" s="47" t="e">
        <f t="shared" ca="1" si="2"/>
        <v>#VALUE!</v>
      </c>
      <c r="HJ62" s="47" t="e">
        <f t="shared" ca="1" si="3"/>
        <v>#VALUE!</v>
      </c>
      <c r="HK62" s="47" t="e">
        <f t="shared" ca="1" si="4"/>
        <v>#VALUE!</v>
      </c>
      <c r="HL62" s="47" t="e">
        <f t="shared" ca="1" si="5"/>
        <v>#VALUE!</v>
      </c>
      <c r="HM62" s="47"/>
    </row>
    <row r="63" spans="1:222" ht="16.5" customHeight="1">
      <c r="A63" s="1"/>
      <c r="B63" s="3"/>
      <c r="C63" s="3"/>
      <c r="D63" s="43"/>
      <c r="E63" s="10"/>
      <c r="F63" s="10"/>
      <c r="G63" s="10"/>
      <c r="H63" s="10"/>
      <c r="I63" s="10"/>
      <c r="J63" s="111" t="str">
        <f ca="1">IF(FM48=0,"","Totale variabele kosten:")</f>
        <v/>
      </c>
      <c r="K63" s="10"/>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43"/>
      <c r="AR63" s="43"/>
      <c r="AS63" s="43"/>
      <c r="AT63" s="43"/>
      <c r="AU63" s="43"/>
      <c r="AV63" s="43"/>
      <c r="AW63" s="43"/>
      <c r="AX63" s="43"/>
      <c r="AY63" s="43"/>
      <c r="AZ63" s="43"/>
      <c r="BA63" s="43"/>
      <c r="BB63" s="195" t="str">
        <f ca="1">IF(FM48=0,"",".")</f>
        <v/>
      </c>
      <c r="BC63" s="684"/>
      <c r="BD63" s="636"/>
      <c r="BE63" s="636"/>
      <c r="BF63" s="636"/>
      <c r="BG63" s="636"/>
      <c r="BH63" s="636"/>
      <c r="BI63" s="636"/>
      <c r="BJ63" s="636"/>
      <c r="BK63" s="636"/>
      <c r="BL63" s="636"/>
      <c r="BM63" s="636"/>
      <c r="BN63" s="636"/>
      <c r="BO63" s="636"/>
      <c r="BP63" s="636"/>
      <c r="BQ63" s="636"/>
      <c r="BR63" s="636"/>
      <c r="BS63" s="636"/>
      <c r="BT63" s="636"/>
      <c r="BU63" s="636"/>
      <c r="BV63" s="636"/>
      <c r="BW63" s="636"/>
      <c r="BX63" s="636"/>
      <c r="BY63" s="629"/>
      <c r="BZ63" s="629"/>
      <c r="CA63" s="629"/>
      <c r="CB63" s="629"/>
      <c r="CC63" s="629"/>
      <c r="CD63" s="629"/>
      <c r="CE63" s="195" t="str">
        <f ca="1">IF(FM48=0,"",".")</f>
        <v/>
      </c>
      <c r="CF63" s="126"/>
      <c r="CG63" s="207" t="str">
        <f ca="1">IF(FM48=0,"",IF(BC63="","",IF(OR(BC55="",BC59="",BC63="",BC67=""),"",IF(FN63=1,"Goed!",IF(BC63=FR63,"Fout! Van beide gemiddelden moet je totalen maken door ze met q te vermenigvuldigen.","Fout! Probeer het opnieuw.")))))</f>
        <v/>
      </c>
      <c r="CH63" s="126"/>
      <c r="CI63" s="126"/>
      <c r="CJ63" s="43"/>
      <c r="CK63" s="43"/>
      <c r="CL63" s="43"/>
      <c r="CM63" s="43"/>
      <c r="CN63" s="43"/>
      <c r="CO63" s="43"/>
      <c r="CP63" s="43"/>
      <c r="CQ63" s="196"/>
      <c r="CR63" s="43"/>
      <c r="CS63" s="196"/>
      <c r="CT63" s="196"/>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196"/>
      <c r="EG63" s="196"/>
      <c r="EH63" s="196"/>
      <c r="EI63" s="196"/>
      <c r="EJ63" s="196"/>
      <c r="EK63" s="196"/>
      <c r="EL63" s="196"/>
      <c r="EM63" s="196"/>
      <c r="EN63" s="196"/>
      <c r="EO63" s="196"/>
      <c r="EP63" s="196"/>
      <c r="EQ63" s="196"/>
      <c r="ER63" s="196"/>
      <c r="ES63" s="196"/>
      <c r="ET63" s="196"/>
      <c r="EU63" s="196"/>
      <c r="EV63" s="196"/>
      <c r="EW63" s="196"/>
      <c r="EX63" s="196"/>
      <c r="EY63" s="195"/>
      <c r="EZ63" s="10"/>
      <c r="FA63" s="10"/>
      <c r="FB63" s="10"/>
      <c r="FC63" s="10"/>
      <c r="FD63" s="10"/>
      <c r="FE63" s="10"/>
      <c r="FF63" s="10"/>
      <c r="FG63" s="10"/>
      <c r="FH63" s="10"/>
      <c r="FI63" s="10"/>
      <c r="FJ63" s="10"/>
      <c r="FK63" s="26"/>
      <c r="FL63" s="26"/>
      <c r="FM63" s="47"/>
      <c r="FN63" s="48">
        <f ca="1">IF(FM48=0,0,IF(BC63=FO63,1,0))</f>
        <v>0</v>
      </c>
      <c r="FO63" s="135" t="str">
        <f ca="1">IF(FN1=0,"",FS63)</f>
        <v>GVK × q</v>
      </c>
      <c r="FP63" s="79"/>
      <c r="FQ63" s="48" t="s">
        <v>65</v>
      </c>
      <c r="FR63" s="48" t="s">
        <v>68</v>
      </c>
      <c r="FS63" s="48" t="s">
        <v>134</v>
      </c>
      <c r="FT63" s="48" t="s">
        <v>66</v>
      </c>
      <c r="FU63" s="48" t="s">
        <v>67</v>
      </c>
      <c r="FV63" s="48" t="s">
        <v>69</v>
      </c>
      <c r="FW63" s="48" t="s">
        <v>70</v>
      </c>
      <c r="FX63" s="49"/>
      <c r="FY63" s="47"/>
      <c r="FZ63" s="47"/>
      <c r="GA63" s="47"/>
      <c r="GB63" s="47"/>
      <c r="GC63" s="47"/>
      <c r="GD63" s="47"/>
      <c r="GE63" s="47" t="s">
        <v>53</v>
      </c>
      <c r="GF63" s="47" t="s">
        <v>55</v>
      </c>
      <c r="GG63" s="47" t="s">
        <v>26</v>
      </c>
      <c r="GH63" s="47" t="s">
        <v>60</v>
      </c>
      <c r="GI63" s="47"/>
      <c r="GJ63" s="47" t="s">
        <v>71</v>
      </c>
      <c r="GK63" s="47" t="s">
        <v>72</v>
      </c>
      <c r="GL63" s="47" t="s">
        <v>73</v>
      </c>
      <c r="GM63" s="47" t="s">
        <v>5</v>
      </c>
      <c r="GN63" s="47" t="s">
        <v>3</v>
      </c>
      <c r="GO63" s="47" t="s">
        <v>58</v>
      </c>
      <c r="GP63" s="47" t="s">
        <v>59</v>
      </c>
      <c r="GQ63" s="47" t="s">
        <v>60</v>
      </c>
      <c r="GR63" s="47"/>
      <c r="GS63" s="47" t="s">
        <v>2</v>
      </c>
      <c r="GT63" s="47" t="s">
        <v>87</v>
      </c>
      <c r="GU63" s="47" t="s">
        <v>60</v>
      </c>
      <c r="GV63" s="47"/>
      <c r="GW63" s="47"/>
      <c r="GX63" s="47"/>
      <c r="GY63" s="47"/>
      <c r="GZ63" s="47">
        <v>28</v>
      </c>
      <c r="HA63" s="47" t="e">
        <f ca="1">HA35+GZ63*(HA87-HA35)/GZ86</f>
        <v>#VALUE!</v>
      </c>
      <c r="HB63" s="47" t="e">
        <f ca="1">GY49*HA63^3+GY50*HA63^2+GY51*HA63+GY52</f>
        <v>#VALUE!</v>
      </c>
      <c r="HC63" s="47" t="e">
        <f t="shared" ca="1" si="0"/>
        <v>#VALUE!</v>
      </c>
      <c r="HD63" s="47" t="e">
        <f ca="1">HD35+GZ63*(HD87-HD35)/GZ86</f>
        <v>#VALUE!</v>
      </c>
      <c r="HE63" s="47" t="e">
        <f ca="1">GY49*HD63^3+GY50*HD63^2+GY51*HD63+GY52</f>
        <v>#VALUE!</v>
      </c>
      <c r="HF63" s="47" t="e">
        <f t="shared" ca="1" si="9"/>
        <v>#VALUE!</v>
      </c>
      <c r="HG63" s="47" t="e">
        <f ca="1">HG35+GZ63*(HG87-HG35)/GZ86</f>
        <v>#VALUE!</v>
      </c>
      <c r="HH63" s="47" t="e">
        <f ca="1">GG32*HG63^3+GH32*HG63^2+GI32*HG63+GF32+GC61</f>
        <v>#VALUE!</v>
      </c>
      <c r="HI63" s="47" t="e">
        <f t="shared" ca="1" si="2"/>
        <v>#VALUE!</v>
      </c>
      <c r="HJ63" s="47" t="e">
        <f t="shared" ca="1" si="3"/>
        <v>#VALUE!</v>
      </c>
      <c r="HK63" s="47" t="e">
        <f t="shared" ca="1" si="4"/>
        <v>#VALUE!</v>
      </c>
      <c r="HL63" s="47" t="e">
        <f t="shared" ca="1" si="5"/>
        <v>#VALUE!</v>
      </c>
      <c r="HM63" s="47"/>
    </row>
    <row r="64" spans="1:222" ht="3.75" customHeight="1">
      <c r="A64" s="1"/>
      <c r="B64" s="3"/>
      <c r="C64" s="3"/>
      <c r="D64" s="38"/>
      <c r="E64" s="10"/>
      <c r="F64" s="10"/>
      <c r="G64" s="10"/>
      <c r="H64" s="10"/>
      <c r="I64" s="10"/>
      <c r="J64" s="10"/>
      <c r="K64" s="10"/>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43"/>
      <c r="AR64" s="43"/>
      <c r="AS64" s="43"/>
      <c r="AT64" s="43"/>
      <c r="AU64" s="43"/>
      <c r="AV64" s="43"/>
      <c r="AW64" s="43"/>
      <c r="AX64" s="43"/>
      <c r="AY64" s="43"/>
      <c r="AZ64" s="43"/>
      <c r="BA64" s="43"/>
      <c r="BB64" s="538" t="str">
        <f ca="1">IF(FM48=0,"",".")</f>
        <v/>
      </c>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126"/>
      <c r="CG64" s="126"/>
      <c r="CH64" s="126"/>
      <c r="CI64" s="126"/>
      <c r="CJ64" s="43"/>
      <c r="CK64" s="43"/>
      <c r="CL64" s="43"/>
      <c r="CM64" s="43"/>
      <c r="CN64" s="43"/>
      <c r="CO64" s="43"/>
      <c r="CP64" s="43"/>
      <c r="CQ64" s="196"/>
      <c r="CR64" s="196"/>
      <c r="CS64" s="196"/>
      <c r="CT64" s="196"/>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196"/>
      <c r="EG64" s="196"/>
      <c r="EH64" s="196"/>
      <c r="EI64" s="196"/>
      <c r="EJ64" s="196"/>
      <c r="EK64" s="196"/>
      <c r="EL64" s="196"/>
      <c r="EM64" s="196"/>
      <c r="EN64" s="196"/>
      <c r="EO64" s="196"/>
      <c r="EP64" s="196"/>
      <c r="EQ64" s="196"/>
      <c r="ER64" s="196"/>
      <c r="ES64" s="196"/>
      <c r="ET64" s="196"/>
      <c r="EU64" s="196"/>
      <c r="EV64" s="196"/>
      <c r="EW64" s="196"/>
      <c r="EX64" s="196"/>
      <c r="EY64" s="196"/>
      <c r="EZ64" s="10"/>
      <c r="FA64" s="10"/>
      <c r="FB64" s="10"/>
      <c r="FC64" s="10"/>
      <c r="FD64" s="10"/>
      <c r="FE64" s="10"/>
      <c r="FF64" s="10"/>
      <c r="FG64" s="10"/>
      <c r="FH64" s="10"/>
      <c r="FI64" s="10"/>
      <c r="FJ64" s="10"/>
      <c r="FK64" s="26"/>
      <c r="FL64" s="26"/>
      <c r="FM64" s="47"/>
      <c r="FN64" s="47"/>
      <c r="FO64" s="47"/>
      <c r="FP64" s="47"/>
      <c r="FQ64" s="47"/>
      <c r="FR64" s="49"/>
      <c r="FS64" s="49"/>
      <c r="FT64" s="49"/>
      <c r="FU64" s="49"/>
      <c r="FV64" s="49"/>
      <c r="FW64" s="49"/>
      <c r="FX64" s="47"/>
      <c r="FY64" s="47"/>
      <c r="FZ64" s="47"/>
      <c r="GA64" s="47"/>
      <c r="GB64" s="47" t="str">
        <f ca="1">GB35</f>
        <v/>
      </c>
      <c r="GC64" s="47"/>
      <c r="GD64" s="47">
        <f ca="1">IF(FO1=0,0,IF(FN29=1,GH75-2*GB36,IF(FN29=2,GH75-2*GB36,0)))</f>
        <v>0</v>
      </c>
      <c r="GE64" s="47">
        <f t="shared" ref="GE64:GE75" ca="1" si="10">IF(FO$1=1,GJ$32*GA64^1+GK$32+GF$32/GA64,0)</f>
        <v>0</v>
      </c>
      <c r="GF64" s="47">
        <f t="shared" ref="GF64:GF75" ca="1" si="11">IF(FO$1=1,GJ$32*GB64^1+GK$32,0)</f>
        <v>0</v>
      </c>
      <c r="GG64" s="47">
        <f ca="1">IF(FO1=1,2*GJ32*GB35^1+GK32,0)</f>
        <v>0</v>
      </c>
      <c r="GH64" s="47">
        <f ca="1">GH75</f>
        <v>0</v>
      </c>
      <c r="GI64" s="47">
        <f ca="1">0*GI75</f>
        <v>0</v>
      </c>
      <c r="GJ64" s="47">
        <f ca="1">0*GJ75</f>
        <v>0</v>
      </c>
      <c r="GK64" s="47">
        <f ca="1">GK75</f>
        <v>0</v>
      </c>
      <c r="GL64" s="47">
        <f ca="1">GL75</f>
        <v>0</v>
      </c>
      <c r="GM64" s="47">
        <f ca="1">IF(FO1=0,0,-GC32*GB35^2+GD32*GB35)</f>
        <v>0</v>
      </c>
      <c r="GN64" s="47">
        <f t="shared" ref="GN64:GN75" ca="1" si="12">IF(FO$1=1,GJ$32*GB64^2+GK$32*GB64+GF$32,0)</f>
        <v>0</v>
      </c>
      <c r="GO64" s="47">
        <f ca="1">IF(FO1=0,0,IF(FN29=2,GM40,IF(FN29=1,GN22*GD64+GO23,0)))</f>
        <v>0</v>
      </c>
      <c r="GP64" s="47">
        <f ca="1">IF(FO1=0,0,IF(FN29=1,GO22*GD64+GO27,0))</f>
        <v>0</v>
      </c>
      <c r="GQ64" s="47">
        <f ca="1">GQ75</f>
        <v>0</v>
      </c>
      <c r="GR64" s="47">
        <f ca="1">0*GR75</f>
        <v>0</v>
      </c>
      <c r="GS64" s="47">
        <f t="shared" ref="GS64:GS71" ca="1" si="13">IF(FO$1=1,GJ$32*GB35^2+GK$32*GB35,0)</f>
        <v>0</v>
      </c>
      <c r="GT64" s="47">
        <f ca="1">GT75</f>
        <v>0</v>
      </c>
      <c r="GU64" s="47">
        <f ca="1">IF(FO1=0,0,IF(FN29=3,GU75,0))</f>
        <v>0</v>
      </c>
      <c r="GV64" s="47">
        <f ca="1">0*GV75</f>
        <v>0</v>
      </c>
      <c r="GW64" s="47">
        <f ca="1">0*GW75</f>
        <v>0</v>
      </c>
      <c r="GX64" s="47"/>
      <c r="GY64" s="47"/>
      <c r="GZ64" s="47">
        <v>29</v>
      </c>
      <c r="HA64" s="47" t="e">
        <f ca="1">HA35+GZ64*(HA87-HA35)/GZ86</f>
        <v>#VALUE!</v>
      </c>
      <c r="HB64" s="47" t="e">
        <f ca="1">GY49*HA64^3+GY50*HA64^2+GY51*HA64+GY52</f>
        <v>#VALUE!</v>
      </c>
      <c r="HC64" s="47" t="e">
        <f t="shared" ca="1" si="0"/>
        <v>#VALUE!</v>
      </c>
      <c r="HD64" s="47" t="e">
        <f ca="1">HD35+GZ64*(HD87-HD35)/GZ86</f>
        <v>#VALUE!</v>
      </c>
      <c r="HE64" s="47" t="e">
        <f ca="1">GY49*HD64^3+GY50*HD64^2+GY51*HD64+GY52</f>
        <v>#VALUE!</v>
      </c>
      <c r="HF64" s="47" t="e">
        <f t="shared" ca="1" si="9"/>
        <v>#VALUE!</v>
      </c>
      <c r="HG64" s="47" t="e">
        <f ca="1">HG35+GZ64*(HG87-HG35)/GZ86</f>
        <v>#VALUE!</v>
      </c>
      <c r="HH64" s="47" t="e">
        <f ca="1">GG32*HG64^3+GH32*HG64^2+GI32*HG64+GF32+GC61</f>
        <v>#VALUE!</v>
      </c>
      <c r="HI64" s="47" t="e">
        <f t="shared" ca="1" si="2"/>
        <v>#VALUE!</v>
      </c>
      <c r="HJ64" s="47" t="e">
        <f t="shared" ca="1" si="3"/>
        <v>#VALUE!</v>
      </c>
      <c r="HK64" s="47" t="e">
        <f t="shared" ca="1" si="4"/>
        <v>#VALUE!</v>
      </c>
      <c r="HL64" s="47" t="e">
        <f t="shared" ca="1" si="5"/>
        <v>#VALUE!</v>
      </c>
      <c r="HM64" s="47"/>
    </row>
    <row r="65" spans="1:221" ht="7.5" customHeight="1">
      <c r="A65" s="1"/>
      <c r="B65" s="3"/>
      <c r="C65" s="3"/>
      <c r="D65" s="38"/>
      <c r="E65" s="10"/>
      <c r="F65" s="10"/>
      <c r="G65" s="10"/>
      <c r="H65" s="10"/>
      <c r="I65" s="10"/>
      <c r="J65" s="10"/>
      <c r="K65" s="10"/>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43"/>
      <c r="AR65" s="43"/>
      <c r="AS65" s="43"/>
      <c r="AT65" s="43"/>
      <c r="AU65" s="43"/>
      <c r="AV65" s="43"/>
      <c r="AW65" s="43"/>
      <c r="AX65" s="43"/>
      <c r="AY65" s="43"/>
      <c r="AZ65" s="43"/>
      <c r="BA65" s="43"/>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126"/>
      <c r="EG65" s="126"/>
      <c r="EH65" s="126"/>
      <c r="EI65" s="126"/>
      <c r="EJ65" s="126"/>
      <c r="EK65" s="126"/>
      <c r="EL65" s="126"/>
      <c r="EM65" s="126"/>
      <c r="EN65" s="126"/>
      <c r="EO65" s="126"/>
      <c r="EP65" s="126"/>
      <c r="EQ65" s="126"/>
      <c r="ER65" s="126"/>
      <c r="ES65" s="10"/>
      <c r="ET65" s="10"/>
      <c r="EU65" s="10"/>
      <c r="EV65" s="10"/>
      <c r="EW65" s="10"/>
      <c r="EX65" s="10"/>
      <c r="EY65" s="10"/>
      <c r="EZ65" s="10"/>
      <c r="FA65" s="10"/>
      <c r="FB65" s="10"/>
      <c r="FC65" s="10"/>
      <c r="FD65" s="10"/>
      <c r="FE65" s="10"/>
      <c r="FF65" s="10"/>
      <c r="FG65" s="10"/>
      <c r="FH65" s="10"/>
      <c r="FI65" s="10"/>
      <c r="FJ65" s="10"/>
      <c r="FK65" s="26"/>
      <c r="FL65" s="26"/>
      <c r="FM65" s="47"/>
      <c r="FN65" s="47"/>
      <c r="FO65" s="47"/>
      <c r="FP65" s="112" t="s">
        <v>64</v>
      </c>
      <c r="FQ65" s="47"/>
      <c r="FR65" s="49"/>
      <c r="FS65" s="49"/>
      <c r="FT65" s="49"/>
      <c r="FU65" s="49"/>
      <c r="FV65" s="49"/>
      <c r="FW65" s="49"/>
      <c r="FX65" s="47"/>
      <c r="FY65" s="47"/>
      <c r="FZ65" s="47"/>
      <c r="GA65" s="47">
        <f ca="1">IF(FO1=1,(GA64+GA66)/2,0)</f>
        <v>0</v>
      </c>
      <c r="GB65" s="47" t="str">
        <f t="shared" ref="GB65:GB71" ca="1" si="14">GB36</f>
        <v/>
      </c>
      <c r="GC65" s="47"/>
      <c r="GD65" s="47">
        <f ca="1">IF(FO1=0,0,IF(FN29=1,GH75-1*GB36,IF(FN29=2,GH75-1*GB36,0)))</f>
        <v>0</v>
      </c>
      <c r="GE65" s="47">
        <f t="shared" ca="1" si="10"/>
        <v>0</v>
      </c>
      <c r="GF65" s="47">
        <f t="shared" ca="1" si="11"/>
        <v>0</v>
      </c>
      <c r="GG65" s="47">
        <f ca="1">IF(FO1=1,2*GJ32*GB36^1+GK32,0)</f>
        <v>0</v>
      </c>
      <c r="GH65" s="47">
        <f ca="1">GH75</f>
        <v>0</v>
      </c>
      <c r="GI65" s="47">
        <f ca="1">0.1*GI75</f>
        <v>0</v>
      </c>
      <c r="GJ65" s="47">
        <f ca="1">0.1*GJ75</f>
        <v>0</v>
      </c>
      <c r="GK65" s="47">
        <f ca="1">GK75</f>
        <v>0</v>
      </c>
      <c r="GL65" s="47">
        <f ca="1">GL75</f>
        <v>0</v>
      </c>
      <c r="GM65" s="47">
        <f ca="1">IF(FO1=0,0,-GC32*GB36^2+GD32*GB36)</f>
        <v>0</v>
      </c>
      <c r="GN65" s="47">
        <f t="shared" ca="1" si="12"/>
        <v>0</v>
      </c>
      <c r="GO65" s="47">
        <f ca="1">IF(FO1=0,0,IF(FN29=2,GM40,IF(FN29=1,GN22*GD65+GO23,0)))</f>
        <v>0</v>
      </c>
      <c r="GP65" s="47">
        <f ca="1">IF(FO1=0,0,IF(FN29=1,GO22*GD65+GO27,0))</f>
        <v>0</v>
      </c>
      <c r="GQ65" s="47">
        <f ca="1">GQ75</f>
        <v>0</v>
      </c>
      <c r="GR65" s="47">
        <f ca="1">0.1*GR75</f>
        <v>0</v>
      </c>
      <c r="GS65" s="47">
        <f t="shared" ca="1" si="13"/>
        <v>0</v>
      </c>
      <c r="GT65" s="47">
        <f ca="1">GT75</f>
        <v>0</v>
      </c>
      <c r="GU65" s="47">
        <f ca="1">IF(FO1=0,0,IF(FN29=3,GU75,0))</f>
        <v>0</v>
      </c>
      <c r="GV65" s="47">
        <f ca="1">0.1*GV75</f>
        <v>0</v>
      </c>
      <c r="GW65" s="47">
        <f ca="1">IF(FO1=1,0.1*GW75,0)</f>
        <v>0</v>
      </c>
      <c r="GX65" s="47"/>
      <c r="GY65" s="47"/>
      <c r="GZ65" s="47">
        <v>30</v>
      </c>
      <c r="HA65" s="47" t="e">
        <f ca="1">HA35+GZ65*(HA87-HA35)/GZ86</f>
        <v>#VALUE!</v>
      </c>
      <c r="HB65" s="47" t="e">
        <f ca="1">GY49*HA65^3+GY50*HA65^2+GY51*HA65+GY52</f>
        <v>#VALUE!</v>
      </c>
      <c r="HC65" s="47" t="e">
        <f t="shared" ca="1" si="0"/>
        <v>#VALUE!</v>
      </c>
      <c r="HD65" s="47" t="e">
        <f ca="1">HD35+GZ65*(HD87-HD35)/GZ86</f>
        <v>#VALUE!</v>
      </c>
      <c r="HE65" s="47" t="e">
        <f ca="1">GY49*HD65^3+GY50*HD65^2+GY51*HD65+GY52</f>
        <v>#VALUE!</v>
      </c>
      <c r="HF65" s="47" t="e">
        <f t="shared" ca="1" si="9"/>
        <v>#VALUE!</v>
      </c>
      <c r="HG65" s="47" t="e">
        <f ca="1">HG35+GZ65*(HG87-HG35)/GZ86</f>
        <v>#VALUE!</v>
      </c>
      <c r="HH65" s="47" t="e">
        <f ca="1">GG32*HG65^3+GH32*HG65^2+GI32*HG65+GF32+GC61</f>
        <v>#VALUE!</v>
      </c>
      <c r="HI65" s="47" t="e">
        <f t="shared" ca="1" si="2"/>
        <v>#VALUE!</v>
      </c>
      <c r="HJ65" s="47" t="e">
        <f t="shared" ca="1" si="3"/>
        <v>#VALUE!</v>
      </c>
      <c r="HK65" s="47" t="e">
        <f t="shared" ca="1" si="4"/>
        <v>#VALUE!</v>
      </c>
      <c r="HL65" s="47" t="e">
        <f t="shared" ca="1" si="5"/>
        <v>#VALUE!</v>
      </c>
      <c r="HM65" s="47"/>
    </row>
    <row r="66" spans="1:221" ht="3.75" customHeight="1">
      <c r="A66" s="1"/>
      <c r="B66" s="3"/>
      <c r="C66" s="3"/>
      <c r="D66" s="38"/>
      <c r="E66" s="10"/>
      <c r="F66" s="10"/>
      <c r="G66" s="10"/>
      <c r="H66" s="10"/>
      <c r="I66" s="10"/>
      <c r="J66" s="10"/>
      <c r="K66" s="10"/>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43"/>
      <c r="AR66" s="43"/>
      <c r="AS66" s="43"/>
      <c r="AT66" s="43"/>
      <c r="AU66" s="43"/>
      <c r="AV66" s="43"/>
      <c r="AW66" s="43"/>
      <c r="AX66" s="43"/>
      <c r="AY66" s="43"/>
      <c r="AZ66" s="43"/>
      <c r="BA66" s="43"/>
      <c r="BB66" s="538" t="str">
        <f ca="1">IF(FM48=0,"",".")</f>
        <v/>
      </c>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126"/>
      <c r="CG66" s="126"/>
      <c r="CH66" s="126"/>
      <c r="CI66" s="126"/>
      <c r="CJ66" s="43"/>
      <c r="CK66" s="43"/>
      <c r="CL66" s="43"/>
      <c r="CM66" s="43"/>
      <c r="CN66" s="43"/>
      <c r="CO66" s="43"/>
      <c r="CP66" s="43"/>
      <c r="CQ66" s="196"/>
      <c r="CR66" s="196"/>
      <c r="CS66" s="196"/>
      <c r="CT66" s="196"/>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196"/>
      <c r="EG66" s="196"/>
      <c r="EH66" s="196"/>
      <c r="EI66" s="196"/>
      <c r="EJ66" s="196"/>
      <c r="EK66" s="196"/>
      <c r="EL66" s="196"/>
      <c r="EM66" s="196"/>
      <c r="EN66" s="196"/>
      <c r="EO66" s="196"/>
      <c r="EP66" s="196"/>
      <c r="EQ66" s="196"/>
      <c r="ER66" s="196"/>
      <c r="ES66" s="196"/>
      <c r="ET66" s="196"/>
      <c r="EU66" s="196"/>
      <c r="EV66" s="196"/>
      <c r="EW66" s="196"/>
      <c r="EX66" s="196"/>
      <c r="EY66" s="196"/>
      <c r="EZ66" s="10"/>
      <c r="FA66" s="10"/>
      <c r="FB66" s="10"/>
      <c r="FC66" s="10"/>
      <c r="FD66" s="10"/>
      <c r="FE66" s="10"/>
      <c r="FF66" s="10"/>
      <c r="FG66" s="10"/>
      <c r="FH66" s="10"/>
      <c r="FI66" s="10"/>
      <c r="FJ66" s="10"/>
      <c r="FK66" s="26"/>
      <c r="FL66" s="26"/>
      <c r="FM66" s="47"/>
      <c r="FN66" s="47"/>
      <c r="FO66" s="47"/>
      <c r="FP66" s="47"/>
      <c r="FQ66" s="47"/>
      <c r="FR66" s="49"/>
      <c r="FS66" s="49"/>
      <c r="FT66" s="49"/>
      <c r="FU66" s="49"/>
      <c r="FV66" s="49"/>
      <c r="FW66" s="49"/>
      <c r="FX66" s="47"/>
      <c r="FY66" s="47"/>
      <c r="FZ66" s="47"/>
      <c r="GA66" s="47" t="str">
        <f t="shared" ref="GA66:GA74" ca="1" si="15">GB66</f>
        <v/>
      </c>
      <c r="GB66" s="47" t="str">
        <f t="shared" ca="1" si="14"/>
        <v/>
      </c>
      <c r="GC66" s="47"/>
      <c r="GD66" s="47">
        <f ca="1">IF(FO1=0,0,IF(FN29=1,GH75,IF(FN29=2,GH75,0)))</f>
        <v>0</v>
      </c>
      <c r="GE66" s="47">
        <f t="shared" ca="1" si="10"/>
        <v>0</v>
      </c>
      <c r="GF66" s="47">
        <f t="shared" ca="1" si="11"/>
        <v>0</v>
      </c>
      <c r="GG66" s="47">
        <f ca="1">IF(FO1=1,2*GJ32*GB37^1+GK32,0)</f>
        <v>0</v>
      </c>
      <c r="GH66" s="47">
        <f ca="1">GH75</f>
        <v>0</v>
      </c>
      <c r="GI66" s="47">
        <f ca="1">0.2*GI75</f>
        <v>0</v>
      </c>
      <c r="GJ66" s="47">
        <f ca="1">0.2*GJ75</f>
        <v>0</v>
      </c>
      <c r="GK66" s="47">
        <f ca="1">GK75</f>
        <v>0</v>
      </c>
      <c r="GL66" s="47">
        <f ca="1">GL75</f>
        <v>0</v>
      </c>
      <c r="GM66" s="47">
        <f ca="1">IF(FO1=0,0,-GC32*GB37^2+GD32*GB37)</f>
        <v>0</v>
      </c>
      <c r="GN66" s="47">
        <f t="shared" ca="1" si="12"/>
        <v>0</v>
      </c>
      <c r="GO66" s="47">
        <f ca="1">IF(FO1=0,0,IF(FN29=2,GM40,IF(FN29=1,GN22*GD66+GO23,0)))</f>
        <v>0</v>
      </c>
      <c r="GP66" s="47">
        <f ca="1">IF(FO1=0,0,IF(FN29=1,GO22*GD66+GO27,0))</f>
        <v>0</v>
      </c>
      <c r="GQ66" s="47">
        <f ca="1">GQ75</f>
        <v>0</v>
      </c>
      <c r="GR66" s="47">
        <f ca="1">0.2*GR75</f>
        <v>0</v>
      </c>
      <c r="GS66" s="47">
        <f t="shared" ca="1" si="13"/>
        <v>0</v>
      </c>
      <c r="GT66" s="47">
        <f ca="1">GT75</f>
        <v>0</v>
      </c>
      <c r="GU66" s="47">
        <f ca="1">IF(FO1=0,0,IF(FN29=3,GU75,0))</f>
        <v>0</v>
      </c>
      <c r="GV66" s="47">
        <f ca="1">0.2*GV75</f>
        <v>0</v>
      </c>
      <c r="GW66" s="47">
        <f ca="1">IF(FO1=1,0.2*GW75,0)</f>
        <v>0</v>
      </c>
      <c r="GX66" s="47"/>
      <c r="GY66" s="47"/>
      <c r="GZ66" s="47">
        <v>31</v>
      </c>
      <c r="HA66" s="47" t="e">
        <f ca="1">HA35+GZ66*(HA87-HA35)/GZ86</f>
        <v>#VALUE!</v>
      </c>
      <c r="HB66" s="47" t="e">
        <f ca="1">GY49*HA66^3+GY50*HA66^2+GY51*HA66+GY52</f>
        <v>#VALUE!</v>
      </c>
      <c r="HC66" s="47" t="e">
        <f t="shared" ca="1" si="0"/>
        <v>#VALUE!</v>
      </c>
      <c r="HD66" s="47" t="e">
        <f ca="1">HD35+GZ66*(HD87-HD35)/GZ86</f>
        <v>#VALUE!</v>
      </c>
      <c r="HE66" s="47" t="e">
        <f ca="1">GY49*HD66^3+GY50*HD66^2+GY51*HD66+GY52</f>
        <v>#VALUE!</v>
      </c>
      <c r="HF66" s="47" t="e">
        <f t="shared" ca="1" si="9"/>
        <v>#VALUE!</v>
      </c>
      <c r="HG66" s="47" t="e">
        <f ca="1">HG35+GZ66*(HG87-HG35)/GZ86</f>
        <v>#VALUE!</v>
      </c>
      <c r="HH66" s="47" t="e">
        <f ca="1">GG32*HG66^3+GH32*HG66^2+GI32*HG66+GF32+GC61</f>
        <v>#VALUE!</v>
      </c>
      <c r="HI66" s="47" t="e">
        <f t="shared" ca="1" si="2"/>
        <v>#VALUE!</v>
      </c>
      <c r="HJ66" s="47" t="e">
        <f t="shared" ca="1" si="3"/>
        <v>#VALUE!</v>
      </c>
      <c r="HK66" s="47" t="e">
        <f t="shared" ca="1" si="4"/>
        <v>#VALUE!</v>
      </c>
      <c r="HL66" s="47" t="e">
        <f t="shared" ca="1" si="5"/>
        <v>#VALUE!</v>
      </c>
      <c r="HM66" s="47"/>
    </row>
    <row r="67" spans="1:221" ht="16.5" customHeight="1">
      <c r="A67" s="1"/>
      <c r="B67" s="3"/>
      <c r="C67" s="3"/>
      <c r="D67" s="43"/>
      <c r="E67" s="10"/>
      <c r="F67" s="10"/>
      <c r="G67" s="10"/>
      <c r="H67" s="10"/>
      <c r="I67" s="10"/>
      <c r="J67" s="111" t="str">
        <f ca="1">IF(FM48=0,"","Totale constante kosten:")</f>
        <v/>
      </c>
      <c r="K67" s="10"/>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43"/>
      <c r="AR67" s="43"/>
      <c r="AS67" s="43"/>
      <c r="AT67" s="43"/>
      <c r="AU67" s="43"/>
      <c r="AV67" s="43"/>
      <c r="AW67" s="43"/>
      <c r="AX67" s="43"/>
      <c r="AY67" s="43"/>
      <c r="AZ67" s="43"/>
      <c r="BA67" s="43"/>
      <c r="BB67" s="195" t="str">
        <f ca="1">IF(FM48=0,"",".")</f>
        <v/>
      </c>
      <c r="BC67" s="684"/>
      <c r="BD67" s="636"/>
      <c r="BE67" s="636"/>
      <c r="BF67" s="636"/>
      <c r="BG67" s="636"/>
      <c r="BH67" s="636"/>
      <c r="BI67" s="636"/>
      <c r="BJ67" s="636"/>
      <c r="BK67" s="636"/>
      <c r="BL67" s="636"/>
      <c r="BM67" s="636"/>
      <c r="BN67" s="636"/>
      <c r="BO67" s="636"/>
      <c r="BP67" s="636"/>
      <c r="BQ67" s="636"/>
      <c r="BR67" s="636"/>
      <c r="BS67" s="636"/>
      <c r="BT67" s="636"/>
      <c r="BU67" s="636"/>
      <c r="BV67" s="636"/>
      <c r="BW67" s="636"/>
      <c r="BX67" s="636"/>
      <c r="BY67" s="629"/>
      <c r="BZ67" s="629"/>
      <c r="CA67" s="629"/>
      <c r="CB67" s="629"/>
      <c r="CC67" s="629"/>
      <c r="CD67" s="629"/>
      <c r="CE67" s="195" t="str">
        <f ca="1">IF(FM48=0,"",".")</f>
        <v/>
      </c>
      <c r="CF67" s="126"/>
      <c r="CG67" s="207" t="str">
        <f ca="1">IF(FM48=0,"",IF(BC67="","",IF(OR(BC55="",BC59="",BC63="",BC67=""),"",IF(FN67=1,"Goed!",IF(BC67=FV67,"Fout! Van beide gemiddelden moet je totalen maken door ze met q te vermenigvuldigen.","Fout! Probeer het opnieuw.")))))</f>
        <v/>
      </c>
      <c r="CH67" s="126"/>
      <c r="CI67" s="126"/>
      <c r="CJ67" s="43"/>
      <c r="CK67" s="43"/>
      <c r="CL67" s="43"/>
      <c r="CM67" s="43"/>
      <c r="CN67" s="43"/>
      <c r="CO67" s="43"/>
      <c r="CP67" s="43"/>
      <c r="CQ67" s="196"/>
      <c r="CR67" s="43"/>
      <c r="CS67" s="196"/>
      <c r="CT67" s="196"/>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196"/>
      <c r="EG67" s="196"/>
      <c r="EH67" s="196"/>
      <c r="EI67" s="196"/>
      <c r="EJ67" s="196"/>
      <c r="EK67" s="196"/>
      <c r="EL67" s="196"/>
      <c r="EM67" s="196"/>
      <c r="EN67" s="196"/>
      <c r="EO67" s="196"/>
      <c r="EP67" s="196"/>
      <c r="EQ67" s="196"/>
      <c r="ER67" s="196"/>
      <c r="ES67" s="196"/>
      <c r="ET67" s="196"/>
      <c r="EU67" s="196"/>
      <c r="EV67" s="196"/>
      <c r="EW67" s="196"/>
      <c r="EX67" s="196"/>
      <c r="EY67" s="195"/>
      <c r="EZ67" s="10"/>
      <c r="FA67" s="10"/>
      <c r="FB67" s="10"/>
      <c r="FC67" s="10"/>
      <c r="FD67" s="10"/>
      <c r="FE67" s="10"/>
      <c r="FF67" s="10"/>
      <c r="FG67" s="10"/>
      <c r="FH67" s="10"/>
      <c r="FI67" s="10"/>
      <c r="FJ67" s="10"/>
      <c r="FK67" s="26"/>
      <c r="FL67" s="26"/>
      <c r="FM67" s="47"/>
      <c r="FN67" s="48">
        <f ca="1">IF(FM48=0,0,IF(BC67=FO67,1,0))</f>
        <v>0</v>
      </c>
      <c r="FO67" s="135" t="str">
        <f ca="1">IF(FN1=0,"",FW67)</f>
        <v>(GTK - GVK) × q</v>
      </c>
      <c r="FP67" s="79"/>
      <c r="FQ67" s="48" t="s">
        <v>65</v>
      </c>
      <c r="FR67" s="48" t="s">
        <v>68</v>
      </c>
      <c r="FS67" s="48" t="s">
        <v>134</v>
      </c>
      <c r="FT67" s="48" t="s">
        <v>66</v>
      </c>
      <c r="FU67" s="48" t="s">
        <v>67</v>
      </c>
      <c r="FV67" s="48" t="s">
        <v>69</v>
      </c>
      <c r="FW67" s="48" t="s">
        <v>70</v>
      </c>
      <c r="FX67" s="49"/>
      <c r="FY67" s="47"/>
      <c r="FZ67" s="47"/>
      <c r="GA67" s="47" t="str">
        <f t="shared" ca="1" si="15"/>
        <v/>
      </c>
      <c r="GB67" s="47" t="str">
        <f t="shared" ca="1" si="14"/>
        <v/>
      </c>
      <c r="GC67" s="47"/>
      <c r="GD67" s="47">
        <f ca="1">IF(FO1=0,0,IF(FN29=1,GD66+1*GB36,IF(FN29=2,GH75+1*GB36,0)))</f>
        <v>0</v>
      </c>
      <c r="GE67" s="47">
        <f t="shared" ca="1" si="10"/>
        <v>0</v>
      </c>
      <c r="GF67" s="47">
        <f t="shared" ca="1" si="11"/>
        <v>0</v>
      </c>
      <c r="GG67" s="47">
        <f ca="1">IF(FO1=1,2*GJ32*GB38^1+GK32,0)</f>
        <v>0</v>
      </c>
      <c r="GH67" s="47">
        <f ca="1">GH75</f>
        <v>0</v>
      </c>
      <c r="GI67" s="47">
        <f ca="1">0.3*GI75</f>
        <v>0</v>
      </c>
      <c r="GJ67" s="47">
        <f ca="1">0.3*GJ75</f>
        <v>0</v>
      </c>
      <c r="GK67" s="47">
        <f ca="1">GK75</f>
        <v>0</v>
      </c>
      <c r="GL67" s="47">
        <f ca="1">GL75</f>
        <v>0</v>
      </c>
      <c r="GM67" s="47">
        <f ca="1">IF(FO1=0,0,-GC32*GB38^2+GD32*GB38)</f>
        <v>0</v>
      </c>
      <c r="GN67" s="47">
        <f t="shared" ca="1" si="12"/>
        <v>0</v>
      </c>
      <c r="GO67" s="47">
        <f ca="1">IF(FO1=0,0,IF(FN29=2,GM40,IF(FN29=1,GN22*GD67+GO23,0)))</f>
        <v>0</v>
      </c>
      <c r="GP67" s="47">
        <f ca="1">IF(FO1=0,0,IF(FN29=1,GO22*GD67+GO27,0))</f>
        <v>0</v>
      </c>
      <c r="GQ67" s="47">
        <f ca="1">GQ75</f>
        <v>0</v>
      </c>
      <c r="GR67" s="47">
        <f ca="1">0.3*GR75</f>
        <v>0</v>
      </c>
      <c r="GS67" s="47">
        <f t="shared" ca="1" si="13"/>
        <v>0</v>
      </c>
      <c r="GT67" s="47">
        <f ca="1">GT75</f>
        <v>0</v>
      </c>
      <c r="GU67" s="47">
        <f ca="1">IF(FO1=0,0,IF(FN29=3,GU75,0))</f>
        <v>0</v>
      </c>
      <c r="GV67" s="47">
        <f ca="1">0.3*GV75</f>
        <v>0</v>
      </c>
      <c r="GW67" s="47">
        <f ca="1">IF(FO1=1,0.3*GW75,0)</f>
        <v>0</v>
      </c>
      <c r="GX67" s="47"/>
      <c r="GY67" s="47"/>
      <c r="GZ67" s="47">
        <v>32</v>
      </c>
      <c r="HA67" s="47" t="e">
        <f ca="1">HA35+GZ67*(HA87-HA35)/GZ86</f>
        <v>#VALUE!</v>
      </c>
      <c r="HB67" s="47" t="e">
        <f ca="1">GY49*HA67^3+GY50*HA67^2+GY51*HA67+GY52</f>
        <v>#VALUE!</v>
      </c>
      <c r="HC67" s="47" t="e">
        <f t="shared" ca="1" si="0"/>
        <v>#VALUE!</v>
      </c>
      <c r="HD67" s="47" t="e">
        <f ca="1">HD35+GZ67*(HD87-HD35)/GZ86</f>
        <v>#VALUE!</v>
      </c>
      <c r="HE67" s="47" t="e">
        <f ca="1">GY49*HD67^3+GY50*HD67^2+GY51*HD67+GY52</f>
        <v>#VALUE!</v>
      </c>
      <c r="HF67" s="47" t="e">
        <f t="shared" ca="1" si="9"/>
        <v>#VALUE!</v>
      </c>
      <c r="HG67" s="47" t="e">
        <f ca="1">HG35+GZ67*(HG87-HG35)/GZ86</f>
        <v>#VALUE!</v>
      </c>
      <c r="HH67" s="47" t="e">
        <f ca="1">GG32*HG67^3+GH32*HG67^2+GI32*HG67+GF32+GC61</f>
        <v>#VALUE!</v>
      </c>
      <c r="HI67" s="47" t="e">
        <f t="shared" ca="1" si="2"/>
        <v>#VALUE!</v>
      </c>
      <c r="HJ67" s="47" t="e">
        <f t="shared" ca="1" si="3"/>
        <v>#VALUE!</v>
      </c>
      <c r="HK67" s="47" t="e">
        <f t="shared" ca="1" si="4"/>
        <v>#VALUE!</v>
      </c>
      <c r="HL67" s="47" t="e">
        <f t="shared" ca="1" si="5"/>
        <v>#VALUE!</v>
      </c>
      <c r="HM67" s="47"/>
    </row>
    <row r="68" spans="1:221" ht="3.75" customHeight="1">
      <c r="A68" s="1"/>
      <c r="B68" s="3"/>
      <c r="C68" s="3"/>
      <c r="D68" s="38"/>
      <c r="E68" s="10"/>
      <c r="F68" s="10"/>
      <c r="G68" s="10"/>
      <c r="H68" s="10"/>
      <c r="I68" s="10"/>
      <c r="J68" s="10"/>
      <c r="K68" s="10"/>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43"/>
      <c r="AR68" s="43"/>
      <c r="AS68" s="43"/>
      <c r="AT68" s="43"/>
      <c r="AU68" s="43"/>
      <c r="AV68" s="43"/>
      <c r="AW68" s="43"/>
      <c r="AX68" s="43"/>
      <c r="AY68" s="43"/>
      <c r="AZ68" s="43"/>
      <c r="BA68" s="43"/>
      <c r="BB68" s="538" t="str">
        <f ca="1">IF(FM48=0,"",".")</f>
        <v/>
      </c>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126"/>
      <c r="CG68" s="126"/>
      <c r="CH68" s="126"/>
      <c r="CI68" s="126"/>
      <c r="CJ68" s="43"/>
      <c r="CK68" s="43"/>
      <c r="CL68" s="43"/>
      <c r="CM68" s="43"/>
      <c r="CN68" s="43"/>
      <c r="CO68" s="43"/>
      <c r="CP68" s="43"/>
      <c r="CQ68" s="196"/>
      <c r="CR68" s="196"/>
      <c r="CS68" s="196"/>
      <c r="CT68" s="196"/>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196"/>
      <c r="EG68" s="196"/>
      <c r="EH68" s="196"/>
      <c r="EI68" s="196"/>
      <c r="EJ68" s="196"/>
      <c r="EK68" s="196"/>
      <c r="EL68" s="196"/>
      <c r="EM68" s="196"/>
      <c r="EN68" s="196"/>
      <c r="EO68" s="196"/>
      <c r="EP68" s="196"/>
      <c r="EQ68" s="196"/>
      <c r="ER68" s="196"/>
      <c r="ES68" s="196"/>
      <c r="ET68" s="196"/>
      <c r="EU68" s="196"/>
      <c r="EV68" s="196"/>
      <c r="EW68" s="196"/>
      <c r="EX68" s="196"/>
      <c r="EY68" s="196"/>
      <c r="EZ68" s="10"/>
      <c r="FA68" s="10"/>
      <c r="FB68" s="10"/>
      <c r="FC68" s="10"/>
      <c r="FD68" s="10"/>
      <c r="FE68" s="10"/>
      <c r="FF68" s="10"/>
      <c r="FG68" s="10"/>
      <c r="FH68" s="10"/>
      <c r="FI68" s="10"/>
      <c r="FJ68" s="10"/>
      <c r="FK68" s="26"/>
      <c r="FL68" s="26"/>
      <c r="FM68" s="47"/>
      <c r="FN68" s="47"/>
      <c r="FO68" s="47"/>
      <c r="FP68" s="47"/>
      <c r="FQ68" s="47"/>
      <c r="FR68" s="49"/>
      <c r="FS68" s="49"/>
      <c r="FT68" s="49"/>
      <c r="FU68" s="49"/>
      <c r="FV68" s="49"/>
      <c r="FW68" s="49"/>
      <c r="FX68" s="47"/>
      <c r="FY68" s="47"/>
      <c r="FZ68" s="47"/>
      <c r="GA68" s="47" t="str">
        <f t="shared" ca="1" si="15"/>
        <v/>
      </c>
      <c r="GB68" s="47" t="str">
        <f t="shared" ca="1" si="14"/>
        <v/>
      </c>
      <c r="GC68" s="47"/>
      <c r="GD68" s="47">
        <f ca="1">IF(FO1=0,0,IF(FN29=1,GD66+2*GB36,IF(FN29=2,GH75+2*GB36,0)))</f>
        <v>0</v>
      </c>
      <c r="GE68" s="47">
        <f t="shared" ca="1" si="10"/>
        <v>0</v>
      </c>
      <c r="GF68" s="47">
        <f t="shared" ca="1" si="11"/>
        <v>0</v>
      </c>
      <c r="GG68" s="47">
        <f ca="1">IF(FO1=1,2*GJ32*GB39^1+GK32,0)</f>
        <v>0</v>
      </c>
      <c r="GH68" s="47">
        <f ca="1">GH75</f>
        <v>0</v>
      </c>
      <c r="GI68" s="47">
        <f ca="1">0.4*GI75</f>
        <v>0</v>
      </c>
      <c r="GJ68" s="47">
        <f ca="1">0.4*GJ75</f>
        <v>0</v>
      </c>
      <c r="GK68" s="47">
        <f ca="1">GK75</f>
        <v>0</v>
      </c>
      <c r="GL68" s="47">
        <f ca="1">GL75</f>
        <v>0</v>
      </c>
      <c r="GM68" s="47">
        <f ca="1">IF(FO1=0,0,-GC32*GB39^2+GD32*GB39)</f>
        <v>0</v>
      </c>
      <c r="GN68" s="47">
        <f t="shared" ca="1" si="12"/>
        <v>0</v>
      </c>
      <c r="GO68" s="47">
        <f ca="1">IF(FO1=0,0,IF(FN29=2,GM40,IF(FN29=1,GN22*GD68+GO23,0)))</f>
        <v>0</v>
      </c>
      <c r="GP68" s="47">
        <f ca="1">IF(FO1=0,0,IF(FN29=1,GO22*GD68+GO27,0))</f>
        <v>0</v>
      </c>
      <c r="GQ68" s="47">
        <f ca="1">GQ75</f>
        <v>0</v>
      </c>
      <c r="GR68" s="47">
        <f ca="1">0.4*GR75</f>
        <v>0</v>
      </c>
      <c r="GS68" s="47">
        <f t="shared" ca="1" si="13"/>
        <v>0</v>
      </c>
      <c r="GT68" s="47">
        <f ca="1">GT75</f>
        <v>0</v>
      </c>
      <c r="GU68" s="47">
        <f ca="1">IF(FO1=0,0,IF(FN29=3,GU75,0))</f>
        <v>0</v>
      </c>
      <c r="GV68" s="47">
        <f ca="1">0.4*GV75</f>
        <v>0</v>
      </c>
      <c r="GW68" s="47">
        <f ca="1">IF(FO1=1,0.4*GW75,0)</f>
        <v>0</v>
      </c>
      <c r="GX68" s="47"/>
      <c r="GY68" s="47"/>
      <c r="GZ68" s="47">
        <v>33</v>
      </c>
      <c r="HA68" s="47" t="e">
        <f ca="1">HA35+GZ68*(HA87-HA35)/GZ86</f>
        <v>#VALUE!</v>
      </c>
      <c r="HB68" s="47" t="e">
        <f ca="1">GY49*HA68^3+GY50*HA68^2+GY51*HA68+GY52</f>
        <v>#VALUE!</v>
      </c>
      <c r="HC68" s="47" t="e">
        <f t="shared" ca="1" si="0"/>
        <v>#VALUE!</v>
      </c>
      <c r="HD68" s="47" t="e">
        <f ca="1">HD35+GZ68*(HD87-HD35)/GZ86</f>
        <v>#VALUE!</v>
      </c>
      <c r="HE68" s="47" t="e">
        <f ca="1">GY49*HD68^3+GY50*HD68^2+GY51*HD68+GY52</f>
        <v>#VALUE!</v>
      </c>
      <c r="HF68" s="47" t="e">
        <f t="shared" ca="1" si="9"/>
        <v>#VALUE!</v>
      </c>
      <c r="HG68" s="47" t="e">
        <f ca="1">HG35+GZ68*(HG87-HG35)/GZ86</f>
        <v>#VALUE!</v>
      </c>
      <c r="HH68" s="47" t="e">
        <f ca="1">GG32*HG68^3+GH32*HG68^2+GI32*HG68+GF32+GC61</f>
        <v>#VALUE!</v>
      </c>
      <c r="HI68" s="47" t="e">
        <f t="shared" ca="1" si="2"/>
        <v>#VALUE!</v>
      </c>
      <c r="HJ68" s="47" t="e">
        <f t="shared" ca="1" si="3"/>
        <v>#VALUE!</v>
      </c>
      <c r="HK68" s="47" t="e">
        <f t="shared" ca="1" si="4"/>
        <v>#VALUE!</v>
      </c>
      <c r="HL68" s="47" t="e">
        <f t="shared" ca="1" si="5"/>
        <v>#VALUE!</v>
      </c>
      <c r="HM68" s="47"/>
    </row>
    <row r="69" spans="1:221" ht="16.5" customHeight="1">
      <c r="A69" s="1"/>
      <c r="B69" s="3"/>
      <c r="C69" s="3"/>
      <c r="D69" s="38"/>
      <c r="E69" s="10"/>
      <c r="F69" s="10"/>
      <c r="G69" s="10"/>
      <c r="H69" s="10"/>
      <c r="I69" s="10"/>
      <c r="J69" s="10"/>
      <c r="K69" s="10"/>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97"/>
      <c r="AY69" s="43"/>
      <c r="AZ69" s="41"/>
      <c r="BA69" s="41"/>
      <c r="BB69" s="41"/>
      <c r="BC69" s="41"/>
      <c r="BD69" s="42"/>
      <c r="BE69" s="41"/>
      <c r="BF69" s="41"/>
      <c r="BG69" s="41"/>
      <c r="BH69" s="41"/>
      <c r="BI69" s="41"/>
      <c r="BJ69" s="41"/>
      <c r="BK69" s="42"/>
      <c r="BL69" s="41"/>
      <c r="BM69" s="41"/>
      <c r="BN69" s="41"/>
      <c r="BO69" s="41"/>
      <c r="BP69" s="41"/>
      <c r="BQ69" s="41"/>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79"/>
      <c r="EQ69" s="79"/>
      <c r="ER69" s="79"/>
      <c r="ES69" s="79"/>
      <c r="ET69" s="79"/>
      <c r="EU69" s="79"/>
      <c r="EV69" s="79"/>
      <c r="EW69" s="79"/>
      <c r="EX69" s="79"/>
      <c r="EY69" s="79"/>
      <c r="EZ69" s="79"/>
      <c r="FA69" s="79"/>
      <c r="FB69" s="79"/>
      <c r="FC69" s="79"/>
      <c r="FD69" s="79"/>
      <c r="FE69" s="79"/>
      <c r="FF69" s="79"/>
      <c r="FG69" s="79"/>
      <c r="FH69" s="79"/>
      <c r="FI69" s="79"/>
      <c r="FJ69" s="79"/>
      <c r="FK69" s="79"/>
      <c r="FL69" s="79"/>
      <c r="FM69" s="47"/>
      <c r="FN69" s="47"/>
      <c r="FO69" s="47"/>
      <c r="FP69" s="47"/>
      <c r="FQ69" s="47"/>
      <c r="FR69" s="47"/>
      <c r="FS69" s="47"/>
      <c r="FT69" s="47"/>
      <c r="FU69" s="47"/>
      <c r="FV69" s="47"/>
      <c r="FW69" s="47"/>
      <c r="FX69" s="47"/>
      <c r="FY69" s="47"/>
      <c r="FZ69" s="47"/>
      <c r="GA69" s="47" t="str">
        <f t="shared" ca="1" si="15"/>
        <v/>
      </c>
      <c r="GB69" s="47" t="str">
        <f t="shared" ca="1" si="14"/>
        <v/>
      </c>
      <c r="GC69" s="47"/>
      <c r="GD69" s="47"/>
      <c r="GE69" s="47">
        <f t="shared" ca="1" si="10"/>
        <v>0</v>
      </c>
      <c r="GF69" s="47">
        <f t="shared" ca="1" si="11"/>
        <v>0</v>
      </c>
      <c r="GG69" s="47">
        <f ca="1">IF(FO1=1,2*GJ32*GB40^1+GK32,0)</f>
        <v>0</v>
      </c>
      <c r="GH69" s="47">
        <f ca="1">GH75</f>
        <v>0</v>
      </c>
      <c r="GI69" s="47">
        <f ca="1">0.5*GI75</f>
        <v>0</v>
      </c>
      <c r="GJ69" s="47">
        <f ca="1">0.5*GJ75</f>
        <v>0</v>
      </c>
      <c r="GK69" s="47">
        <f ca="1">GK75</f>
        <v>0</v>
      </c>
      <c r="GL69" s="47">
        <f ca="1">GL75</f>
        <v>0</v>
      </c>
      <c r="GM69" s="47">
        <f ca="1">IF(FO1=0,0,-GC32*GB40^2+GD32*GB40)</f>
        <v>0</v>
      </c>
      <c r="GN69" s="47">
        <f t="shared" ca="1" si="12"/>
        <v>0</v>
      </c>
      <c r="GO69" s="47"/>
      <c r="GP69" s="47"/>
      <c r="GQ69" s="47">
        <f ca="1">GQ75</f>
        <v>0</v>
      </c>
      <c r="GR69" s="47">
        <f ca="1">0.5*GR75</f>
        <v>0</v>
      </c>
      <c r="GS69" s="47">
        <f t="shared" ca="1" si="13"/>
        <v>0</v>
      </c>
      <c r="GT69" s="47">
        <f ca="1">GT75</f>
        <v>0</v>
      </c>
      <c r="GU69" s="47">
        <f ca="1">IF(FO1=0,0,IF(FN29=3,GU75,0))</f>
        <v>0</v>
      </c>
      <c r="GV69" s="47">
        <f ca="1">0.5*GV75</f>
        <v>0</v>
      </c>
      <c r="GW69" s="47">
        <f ca="1">IF(FO1=1,0.5*GW75,0)</f>
        <v>0</v>
      </c>
      <c r="GX69" s="47"/>
      <c r="GY69" s="47"/>
      <c r="GZ69" s="47">
        <v>34</v>
      </c>
      <c r="HA69" s="47" t="e">
        <f ca="1">HA35+GZ69*(HA87-HA35)/GZ86</f>
        <v>#VALUE!</v>
      </c>
      <c r="HB69" s="47" t="e">
        <f ca="1">GY49*HA69^3+GY50*HA69^2+GY51*HA69+GY52</f>
        <v>#VALUE!</v>
      </c>
      <c r="HC69" s="47" t="e">
        <f t="shared" ca="1" si="0"/>
        <v>#VALUE!</v>
      </c>
      <c r="HD69" s="47" t="e">
        <f ca="1">HD35+GZ69*(HD87-HD35)/GZ86</f>
        <v>#VALUE!</v>
      </c>
      <c r="HE69" s="47" t="e">
        <f ca="1">GY49*HD69^3+GY50*HD69^2+GY51*HD69+GY52</f>
        <v>#VALUE!</v>
      </c>
      <c r="HF69" s="47" t="e">
        <f t="shared" ca="1" si="9"/>
        <v>#VALUE!</v>
      </c>
      <c r="HG69" s="47" t="e">
        <f ca="1">HG35+GZ69*(HG87-HG35)/GZ86</f>
        <v>#VALUE!</v>
      </c>
      <c r="HH69" s="47" t="e">
        <f ca="1">GG32*HG69^3+GH32*HG69^2+GI32*HG69+GF32+GC61</f>
        <v>#VALUE!</v>
      </c>
      <c r="HI69" s="47" t="e">
        <f t="shared" ca="1" si="2"/>
        <v>#VALUE!</v>
      </c>
      <c r="HJ69" s="47" t="e">
        <f t="shared" ca="1" si="3"/>
        <v>#VALUE!</v>
      </c>
      <c r="HK69" s="47" t="e">
        <f t="shared" ca="1" si="4"/>
        <v>#VALUE!</v>
      </c>
      <c r="HL69" s="47" t="e">
        <f t="shared" ca="1" si="5"/>
        <v>#VALUE!</v>
      </c>
      <c r="HM69" s="47"/>
    </row>
    <row r="70" spans="1:221" ht="16.5" customHeight="1">
      <c r="A70" s="1"/>
      <c r="B70" s="3"/>
      <c r="C70" s="3"/>
      <c r="D70" s="38" t="str">
        <f ca="1">IF(FM70=0,"","Hieronder zijn vier vlakken aangegeven in een situatie van prijszetting waarbij")</f>
        <v/>
      </c>
      <c r="E70" s="24"/>
      <c r="F70" s="24"/>
      <c r="G70" s="24"/>
      <c r="H70" s="24"/>
      <c r="I70" s="12"/>
      <c r="J70" s="12"/>
      <c r="K70" s="12"/>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14"/>
      <c r="EQ70" s="14"/>
      <c r="ER70" s="14"/>
      <c r="ES70" s="14"/>
      <c r="ET70" s="14"/>
      <c r="EU70" s="14"/>
      <c r="EV70" s="14"/>
      <c r="EW70" s="14"/>
      <c r="EX70" s="14"/>
      <c r="EY70" s="14"/>
      <c r="EZ70" s="14"/>
      <c r="FA70" s="14"/>
      <c r="FB70" s="14"/>
      <c r="FC70" s="14"/>
      <c r="FD70" s="14"/>
      <c r="FE70" s="14"/>
      <c r="FF70" s="14"/>
      <c r="FG70" s="14"/>
      <c r="FH70" s="14"/>
      <c r="FI70" s="14"/>
      <c r="FJ70" s="25"/>
      <c r="FK70" s="14"/>
      <c r="FL70" s="14"/>
      <c r="FM70" s="48">
        <f ca="1">IF(programma!B1="X",1,IF(FM48=0,0,IF(FN55+FN59+FN63+FN67=4,1,0)))</f>
        <v>0</v>
      </c>
      <c r="FN70" s="48"/>
      <c r="FO70" s="48"/>
      <c r="FP70" s="48"/>
      <c r="FQ70" s="48"/>
      <c r="FR70" s="48"/>
      <c r="FS70" s="48"/>
      <c r="FT70" s="47"/>
      <c r="FU70" s="47"/>
      <c r="FV70" s="47"/>
      <c r="FW70" s="47"/>
      <c r="FX70" s="47"/>
      <c r="FY70" s="47"/>
      <c r="FZ70" s="47"/>
      <c r="GA70" s="47" t="str">
        <f t="shared" ca="1" si="15"/>
        <v/>
      </c>
      <c r="GB70" s="47" t="str">
        <f t="shared" ca="1" si="14"/>
        <v/>
      </c>
      <c r="GC70" s="47"/>
      <c r="GD70" s="47"/>
      <c r="GE70" s="47">
        <f t="shared" ca="1" si="10"/>
        <v>0</v>
      </c>
      <c r="GF70" s="47">
        <f t="shared" ca="1" si="11"/>
        <v>0</v>
      </c>
      <c r="GG70" s="47">
        <f ca="1">IF(FO1=1,2*GJ32*GB41^1+GK32,0)</f>
        <v>0</v>
      </c>
      <c r="GH70" s="47">
        <f ca="1">GH75</f>
        <v>0</v>
      </c>
      <c r="GI70" s="47">
        <f ca="1">0.6*GI75</f>
        <v>0</v>
      </c>
      <c r="GJ70" s="47">
        <f ca="1">0.6*GJ75</f>
        <v>0</v>
      </c>
      <c r="GK70" s="47">
        <f ca="1">GK75</f>
        <v>0</v>
      </c>
      <c r="GL70" s="47">
        <f ca="1">GL75</f>
        <v>0</v>
      </c>
      <c r="GM70" s="47">
        <f ca="1">IF(FO1=0,0,-GC32*GB41^2+GD32*GB41)</f>
        <v>0</v>
      </c>
      <c r="GN70" s="47">
        <f t="shared" ca="1" si="12"/>
        <v>0</v>
      </c>
      <c r="GO70" s="47"/>
      <c r="GP70" s="47"/>
      <c r="GQ70" s="47">
        <f ca="1">GQ75</f>
        <v>0</v>
      </c>
      <c r="GR70" s="47">
        <f ca="1">0.6*GR75</f>
        <v>0</v>
      </c>
      <c r="GS70" s="47">
        <f t="shared" ca="1" si="13"/>
        <v>0</v>
      </c>
      <c r="GT70" s="47">
        <f ca="1">GT75</f>
        <v>0</v>
      </c>
      <c r="GU70" s="47">
        <f ca="1">IF(FO1=0,0,IF(FN29=3,GU75,0))</f>
        <v>0</v>
      </c>
      <c r="GV70" s="47">
        <f ca="1">0.6*GV75</f>
        <v>0</v>
      </c>
      <c r="GW70" s="47">
        <f ca="1">IF(FO1=1,0.6*GW75,0)</f>
        <v>0</v>
      </c>
      <c r="GX70" s="47"/>
      <c r="GY70" s="47"/>
      <c r="GZ70" s="47">
        <v>35</v>
      </c>
      <c r="HA70" s="47" t="e">
        <f ca="1">HA35+GZ70*(HA87-HA35)/GZ86</f>
        <v>#VALUE!</v>
      </c>
      <c r="HB70" s="47" t="e">
        <f ca="1">GY49*HA70^3+GY50*HA70^2+GY51*HA70+GY52</f>
        <v>#VALUE!</v>
      </c>
      <c r="HC70" s="47" t="e">
        <f t="shared" ca="1" si="0"/>
        <v>#VALUE!</v>
      </c>
      <c r="HD70" s="47" t="e">
        <f ca="1">HD35+GZ70*(HD87-HD35)/GZ86</f>
        <v>#VALUE!</v>
      </c>
      <c r="HE70" s="47" t="e">
        <f ca="1">GY49*HD70^3+GY50*HD70^2+GY51*HD70+GY52</f>
        <v>#VALUE!</v>
      </c>
      <c r="HF70" s="47" t="e">
        <f t="shared" ca="1" si="9"/>
        <v>#VALUE!</v>
      </c>
      <c r="HG70" s="47" t="e">
        <f ca="1">HG35+GZ70*(HG87-HG35)/GZ86</f>
        <v>#VALUE!</v>
      </c>
      <c r="HH70" s="47" t="e">
        <f ca="1">GG32*HG70^3+GH32*HG70^2+GI32*HG70+GF32+GC61</f>
        <v>#VALUE!</v>
      </c>
      <c r="HI70" s="47" t="e">
        <f t="shared" ca="1" si="2"/>
        <v>#VALUE!</v>
      </c>
      <c r="HJ70" s="47" t="e">
        <f t="shared" ca="1" si="3"/>
        <v>#VALUE!</v>
      </c>
      <c r="HK70" s="47" t="e">
        <f t="shared" ca="1" si="4"/>
        <v>#VALUE!</v>
      </c>
      <c r="HL70" s="47" t="e">
        <f t="shared" ca="1" si="5"/>
        <v>#VALUE!</v>
      </c>
      <c r="HM70" s="47"/>
    </row>
    <row r="71" spans="1:221" ht="16.5" customHeight="1">
      <c r="A71" s="1"/>
      <c r="B71" s="3"/>
      <c r="C71" s="3"/>
      <c r="D71" s="38" t="str">
        <f ca="1">IF(FM70=0,"","gestreefd wordt naar maximale winst en sprake is van proportioneel variabele")</f>
        <v/>
      </c>
      <c r="E71" s="24"/>
      <c r="F71" s="24"/>
      <c r="G71" s="24"/>
      <c r="H71" s="24"/>
      <c r="I71" s="12"/>
      <c r="J71" s="12"/>
      <c r="K71" s="12"/>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14"/>
      <c r="EQ71" s="14"/>
      <c r="ER71" s="14"/>
      <c r="ES71" s="14"/>
      <c r="ET71" s="14"/>
      <c r="EU71" s="14"/>
      <c r="EV71" s="14"/>
      <c r="EW71" s="14"/>
      <c r="EX71" s="14"/>
      <c r="EY71" s="14"/>
      <c r="EZ71" s="14"/>
      <c r="FA71" s="14"/>
      <c r="FB71" s="14"/>
      <c r="FC71" s="14"/>
      <c r="FD71" s="14"/>
      <c r="FE71" s="14"/>
      <c r="FF71" s="14"/>
      <c r="FG71" s="14"/>
      <c r="FH71" s="14"/>
      <c r="FI71" s="14"/>
      <c r="FJ71" s="25"/>
      <c r="FK71" s="14"/>
      <c r="FL71" s="14"/>
      <c r="FM71" s="48"/>
      <c r="FN71" s="48"/>
      <c r="FO71" s="48"/>
      <c r="FP71" s="48"/>
      <c r="FQ71" s="48"/>
      <c r="FR71" s="48"/>
      <c r="FS71" s="48"/>
      <c r="FT71" s="47"/>
      <c r="FU71" s="47"/>
      <c r="FV71" s="47"/>
      <c r="FW71" s="47"/>
      <c r="FX71" s="47"/>
      <c r="FY71" s="47"/>
      <c r="FZ71" s="47"/>
      <c r="GA71" s="47" t="str">
        <f t="shared" ca="1" si="15"/>
        <v/>
      </c>
      <c r="GB71" s="47" t="str">
        <f t="shared" ca="1" si="14"/>
        <v/>
      </c>
      <c r="GC71" s="47"/>
      <c r="GD71" s="47"/>
      <c r="GE71" s="47">
        <f t="shared" ca="1" si="10"/>
        <v>0</v>
      </c>
      <c r="GF71" s="47">
        <f t="shared" ca="1" si="11"/>
        <v>0</v>
      </c>
      <c r="GG71" s="47">
        <f ca="1">IF(FO1=1,2*GJ32*GB42^1+GK32,0)</f>
        <v>0</v>
      </c>
      <c r="GH71" s="47">
        <f ca="1">GH75</f>
        <v>0</v>
      </c>
      <c r="GI71" s="47">
        <f ca="1">0.7*GI75</f>
        <v>0</v>
      </c>
      <c r="GJ71" s="47">
        <f ca="1">0.7*GJ75</f>
        <v>0</v>
      </c>
      <c r="GK71" s="47">
        <f ca="1">GK75</f>
        <v>0</v>
      </c>
      <c r="GL71" s="47">
        <f ca="1">GL75</f>
        <v>0</v>
      </c>
      <c r="GM71" s="47">
        <f ca="1">IF(FO1=0,0,-GC32*GB42^2+GD32*GB42)</f>
        <v>0</v>
      </c>
      <c r="GN71" s="47">
        <f t="shared" ca="1" si="12"/>
        <v>0</v>
      </c>
      <c r="GO71" s="47"/>
      <c r="GP71" s="47"/>
      <c r="GQ71" s="47">
        <f ca="1">GQ75</f>
        <v>0</v>
      </c>
      <c r="GR71" s="47">
        <f ca="1">0.7*GR75</f>
        <v>0</v>
      </c>
      <c r="GS71" s="47">
        <f t="shared" ca="1" si="13"/>
        <v>0</v>
      </c>
      <c r="GT71" s="47">
        <f ca="1">GT75</f>
        <v>0</v>
      </c>
      <c r="GU71" s="47">
        <f ca="1">IF(FO1=0,0,IF(FN29=3,GU75,0))</f>
        <v>0</v>
      </c>
      <c r="GV71" s="47">
        <f ca="1">0.7*GV75</f>
        <v>0</v>
      </c>
      <c r="GW71" s="47">
        <f ca="1">IF(FO1=1,0.7*GW75,0)</f>
        <v>0</v>
      </c>
      <c r="GX71" s="47"/>
      <c r="GY71" s="47"/>
      <c r="GZ71" s="47">
        <v>36</v>
      </c>
      <c r="HA71" s="47" t="e">
        <f ca="1">HA35+GZ71*(HA87-HA35)/GZ86</f>
        <v>#VALUE!</v>
      </c>
      <c r="HB71" s="47" t="e">
        <f ca="1">GY49*HA71^3+GY50*HA71^2+GY51*HA71+GY52</f>
        <v>#VALUE!</v>
      </c>
      <c r="HC71" s="47" t="e">
        <f t="shared" ca="1" si="0"/>
        <v>#VALUE!</v>
      </c>
      <c r="HD71" s="47" t="e">
        <f ca="1">HD35+GZ71*(HD87-HD35)/GZ86</f>
        <v>#VALUE!</v>
      </c>
      <c r="HE71" s="47" t="e">
        <f ca="1">GY49*HD71^3+GY50*HD71^2+GY51*HD71+GY52</f>
        <v>#VALUE!</v>
      </c>
      <c r="HF71" s="47" t="e">
        <f t="shared" ca="1" si="9"/>
        <v>#VALUE!</v>
      </c>
      <c r="HG71" s="47" t="e">
        <f ca="1">HG35+GZ71*(HG87-HG35)/GZ86</f>
        <v>#VALUE!</v>
      </c>
      <c r="HH71" s="47" t="e">
        <f ca="1">GG32*HG71^3+GH32*HG71^2+GI32*HG71+GF32+GC61</f>
        <v>#VALUE!</v>
      </c>
      <c r="HI71" s="47" t="e">
        <f t="shared" ca="1" si="2"/>
        <v>#VALUE!</v>
      </c>
      <c r="HJ71" s="47" t="e">
        <f t="shared" ca="1" si="3"/>
        <v>#VALUE!</v>
      </c>
      <c r="HK71" s="47" t="e">
        <f t="shared" ca="1" si="4"/>
        <v>#VALUE!</v>
      </c>
      <c r="HL71" s="47" t="e">
        <f t="shared" ca="1" si="5"/>
        <v>#VALUE!</v>
      </c>
      <c r="HM71" s="47"/>
    </row>
    <row r="72" spans="1:221" ht="16.5" customHeight="1">
      <c r="A72" s="1"/>
      <c r="B72" s="3"/>
      <c r="C72" s="3"/>
      <c r="D72" s="373" t="str">
        <f ca="1">IF(FM70=1,"kosten. Wat stelt elk vlak voor? Je krijgt pas te zien hoe je het hebt gedaan als","")</f>
        <v/>
      </c>
      <c r="E72" s="24"/>
      <c r="F72" s="24"/>
      <c r="G72" s="24"/>
      <c r="H72" s="24"/>
      <c r="I72" s="12"/>
      <c r="J72" s="12"/>
      <c r="K72" s="12"/>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c r="BV72" s="373"/>
      <c r="BW72" s="373"/>
      <c r="BX72" s="373"/>
      <c r="BY72" s="373"/>
      <c r="BZ72" s="373"/>
      <c r="CA72" s="373"/>
      <c r="CB72" s="373"/>
      <c r="CC72" s="373"/>
      <c r="CD72" s="373"/>
      <c r="CE72" s="373"/>
      <c r="CF72" s="373"/>
      <c r="CG72" s="373"/>
      <c r="CH72" s="373"/>
      <c r="CI72" s="373"/>
      <c r="CJ72" s="373"/>
      <c r="CK72" s="373"/>
      <c r="CL72" s="373"/>
      <c r="CM72" s="373"/>
      <c r="CN72" s="373"/>
      <c r="CO72" s="373"/>
      <c r="CP72" s="373"/>
      <c r="CQ72" s="373"/>
      <c r="CR72" s="373"/>
      <c r="CS72" s="373"/>
      <c r="CT72" s="373"/>
      <c r="CU72" s="373"/>
      <c r="CV72" s="373"/>
      <c r="CW72" s="373"/>
      <c r="CX72" s="373"/>
      <c r="CY72" s="373"/>
      <c r="CZ72" s="373"/>
      <c r="DA72" s="373"/>
      <c r="DB72" s="373"/>
      <c r="DC72" s="373"/>
      <c r="DD72" s="373"/>
      <c r="DE72" s="373"/>
      <c r="DF72" s="373"/>
      <c r="DG72" s="373"/>
      <c r="DH72" s="373"/>
      <c r="DI72" s="373"/>
      <c r="DJ72" s="373"/>
      <c r="DK72" s="373"/>
      <c r="DL72" s="373"/>
      <c r="DM72" s="373"/>
      <c r="DN72" s="373"/>
      <c r="DO72" s="373"/>
      <c r="DP72" s="373"/>
      <c r="DQ72" s="373"/>
      <c r="DR72" s="373"/>
      <c r="DS72" s="373"/>
      <c r="DT72" s="373"/>
      <c r="DU72" s="373"/>
      <c r="DV72" s="373"/>
      <c r="DW72" s="373"/>
      <c r="DX72" s="373"/>
      <c r="DY72" s="373"/>
      <c r="DZ72" s="373"/>
      <c r="EA72" s="373"/>
      <c r="EB72" s="373"/>
      <c r="EC72" s="373"/>
      <c r="ED72" s="373"/>
      <c r="EE72" s="373"/>
      <c r="EF72" s="373"/>
      <c r="EG72" s="373"/>
      <c r="EH72" s="373"/>
      <c r="EI72" s="373"/>
      <c r="EJ72" s="373"/>
      <c r="EK72" s="373"/>
      <c r="EL72" s="373"/>
      <c r="EM72" s="373"/>
      <c r="EN72" s="373"/>
      <c r="EO72" s="373"/>
      <c r="EP72" s="14"/>
      <c r="EQ72" s="14"/>
      <c r="ER72" s="14"/>
      <c r="ES72" s="14"/>
      <c r="ET72" s="14"/>
      <c r="EU72" s="14"/>
      <c r="EV72" s="14"/>
      <c r="EW72" s="14"/>
      <c r="EX72" s="14"/>
      <c r="EY72" s="14"/>
      <c r="EZ72" s="14"/>
      <c r="FA72" s="14"/>
      <c r="FB72" s="14"/>
      <c r="FC72" s="14"/>
      <c r="FD72" s="14"/>
      <c r="FE72" s="14"/>
      <c r="FF72" s="14"/>
      <c r="FG72" s="14"/>
      <c r="FH72" s="14"/>
      <c r="FI72" s="14"/>
      <c r="FJ72" s="25"/>
      <c r="FK72" s="14"/>
      <c r="FL72" s="14"/>
      <c r="FM72" s="48"/>
      <c r="FN72" s="48"/>
      <c r="FO72" s="48"/>
      <c r="FP72" s="48"/>
      <c r="FQ72" s="48"/>
      <c r="FR72" s="48"/>
      <c r="FS72" s="48"/>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row>
    <row r="73" spans="1:221" ht="16.5" customHeight="1">
      <c r="A73" s="1"/>
      <c r="B73" s="3"/>
      <c r="C73" s="3"/>
      <c r="D73" s="38" t="str">
        <f ca="1">IF(FM70=1,"je alles hebt ingevuld.","")</f>
        <v/>
      </c>
      <c r="E73" s="24"/>
      <c r="F73" s="24"/>
      <c r="G73" s="24"/>
      <c r="H73" s="24"/>
      <c r="I73" s="12"/>
      <c r="J73" s="12"/>
      <c r="K73" s="12"/>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14"/>
      <c r="EQ73" s="14"/>
      <c r="ER73" s="14"/>
      <c r="ES73" s="14"/>
      <c r="ET73" s="14"/>
      <c r="EU73" s="14"/>
      <c r="EV73" s="14"/>
      <c r="EW73" s="14"/>
      <c r="EX73" s="14"/>
      <c r="EY73" s="14"/>
      <c r="EZ73" s="14"/>
      <c r="FA73" s="14"/>
      <c r="FB73" s="14"/>
      <c r="FC73" s="14"/>
      <c r="FD73" s="14"/>
      <c r="FE73" s="14"/>
      <c r="FF73" s="14"/>
      <c r="FG73" s="14"/>
      <c r="FH73" s="14"/>
      <c r="FI73" s="14"/>
      <c r="FJ73" s="25"/>
      <c r="FK73" s="14"/>
      <c r="FL73" s="14"/>
      <c r="FM73" s="48"/>
      <c r="FN73" s="48"/>
      <c r="FO73" s="48"/>
      <c r="FP73" s="48"/>
      <c r="FQ73" s="48"/>
      <c r="FR73" s="48"/>
      <c r="FS73" s="48"/>
      <c r="FT73" s="47"/>
      <c r="FU73" s="47"/>
      <c r="FV73" s="47"/>
      <c r="FW73" s="47"/>
      <c r="FX73" s="47"/>
      <c r="FY73" s="47"/>
      <c r="FZ73" s="47"/>
      <c r="GA73" s="47" t="str">
        <f t="shared" ca="1" si="15"/>
        <v/>
      </c>
      <c r="GB73" s="47" t="str">
        <f ca="1">GB43</f>
        <v/>
      </c>
      <c r="GC73" s="47"/>
      <c r="GD73" s="47"/>
      <c r="GE73" s="47">
        <f t="shared" ca="1" si="10"/>
        <v>0</v>
      </c>
      <c r="GF73" s="47">
        <f t="shared" ca="1" si="11"/>
        <v>0</v>
      </c>
      <c r="GG73" s="47">
        <f ca="1">IF(FO1=1,2*GJ32*GB43^1+GK32,0)</f>
        <v>0</v>
      </c>
      <c r="GH73" s="47">
        <f ca="1">GH75</f>
        <v>0</v>
      </c>
      <c r="GI73" s="47">
        <f ca="1">0.8*GI75</f>
        <v>0</v>
      </c>
      <c r="GJ73" s="47">
        <f ca="1">0.8*GJ75</f>
        <v>0</v>
      </c>
      <c r="GK73" s="47">
        <f ca="1">GK75</f>
        <v>0</v>
      </c>
      <c r="GL73" s="47">
        <f ca="1">GL75</f>
        <v>0</v>
      </c>
      <c r="GM73" s="47">
        <f ca="1">IF(FO1=0,0,-GC32*GB43^2+GD32*GB43)</f>
        <v>0</v>
      </c>
      <c r="GN73" s="47">
        <f t="shared" ca="1" si="12"/>
        <v>0</v>
      </c>
      <c r="GO73" s="47"/>
      <c r="GP73" s="47"/>
      <c r="GQ73" s="47">
        <f ca="1">GQ75</f>
        <v>0</v>
      </c>
      <c r="GR73" s="47">
        <f ca="1">0.8*GR75</f>
        <v>0</v>
      </c>
      <c r="GS73" s="47">
        <f ca="1">IF(FO$1=1,GJ$32*GB43^2+GK$32*GB43,0)</f>
        <v>0</v>
      </c>
      <c r="GT73" s="47">
        <f ca="1">GT75</f>
        <v>0</v>
      </c>
      <c r="GU73" s="47">
        <f ca="1">IF(FO1=0,0,IF(FN29=3,GU75,0))</f>
        <v>0</v>
      </c>
      <c r="GV73" s="47">
        <f ca="1">0.8*GV75</f>
        <v>0</v>
      </c>
      <c r="GW73" s="47">
        <f ca="1">IF(FO1=1,0.8*GW75,0)</f>
        <v>0</v>
      </c>
      <c r="GX73" s="47"/>
      <c r="GY73" s="47"/>
      <c r="GZ73" s="47">
        <v>37</v>
      </c>
      <c r="HA73" s="47" t="e">
        <f ca="1">HA35+GZ73*(HA87-HA35)/GZ86</f>
        <v>#VALUE!</v>
      </c>
      <c r="HB73" s="47" t="e">
        <f ca="1">GY49*HA73^3+GY50*HA73^2+GY51*HA73+GY52</f>
        <v>#VALUE!</v>
      </c>
      <c r="HC73" s="47" t="e">
        <f ca="1">IF(AND(HB73&gt;=0,HB71&lt;0),HA71-HB71/(HB73-HB71)*(HA73-HA71),0)</f>
        <v>#VALUE!</v>
      </c>
      <c r="HD73" s="47" t="e">
        <f ca="1">HD35+GZ73*(HD87-HD35)/GZ86</f>
        <v>#VALUE!</v>
      </c>
      <c r="HE73" s="47" t="e">
        <f ca="1">GY49*HD73^3+GY50*HD73^2+GY51*HD73+GY52</f>
        <v>#VALUE!</v>
      </c>
      <c r="HF73" s="47" t="e">
        <f ca="1">IF(AND(HE73&lt;0,HE71&gt;=0),HD71-HE71/(HE73-HE71)*(HD73-HD71),0)</f>
        <v>#VALUE!</v>
      </c>
      <c r="HG73" s="47" t="e">
        <f ca="1">HG35+GZ73*(HG87-HG35)/GZ86</f>
        <v>#VALUE!</v>
      </c>
      <c r="HH73" s="47" t="e">
        <f ca="1">GG32*HG73^3+GH32*HG73^2+GI32*HG73+GF32+GC61</f>
        <v>#VALUE!</v>
      </c>
      <c r="HI73" s="47" t="e">
        <f ca="1">IF(AND(HH73&gt;=0,HH71&lt;0),HG71-HH71/(HH73-HH71)*(HG73-HG71),0)</f>
        <v>#VALUE!</v>
      </c>
      <c r="HJ73" s="47" t="e">
        <f t="shared" ca="1" si="3"/>
        <v>#VALUE!</v>
      </c>
      <c r="HK73" s="47" t="e">
        <f t="shared" ca="1" si="4"/>
        <v>#VALUE!</v>
      </c>
      <c r="HL73" s="47" t="e">
        <f ca="1">IF(AND(HK73&lt;0,HK71&gt;=0),HJ71-HK71/(HK73-HK71)*(HJ73-HJ71),0)</f>
        <v>#VALUE!</v>
      </c>
      <c r="HM73" s="47"/>
    </row>
    <row r="74" spans="1:221" ht="16.5" customHeight="1">
      <c r="A74" s="1"/>
      <c r="B74" s="3"/>
      <c r="C74" s="3"/>
      <c r="D74" s="621" t="str">
        <f ca="1">IF($FM$70=0,"`","")</f>
        <v>`</v>
      </c>
      <c r="E74" s="554"/>
      <c r="F74" s="554"/>
      <c r="G74" s="554"/>
      <c r="H74" s="554"/>
      <c r="I74" s="554"/>
      <c r="J74" s="554"/>
      <c r="K74" s="554"/>
      <c r="L74" s="554"/>
      <c r="M74" s="554"/>
      <c r="N74" s="554"/>
      <c r="O74" s="554"/>
      <c r="P74" s="554"/>
      <c r="Q74" s="554"/>
      <c r="R74" s="554"/>
      <c r="S74" s="554"/>
      <c r="T74" s="554"/>
      <c r="U74" s="554"/>
      <c r="V74" s="554"/>
      <c r="W74" s="554"/>
      <c r="X74" s="554"/>
      <c r="Y74" s="554"/>
      <c r="Z74" s="554"/>
      <c r="AA74" s="554"/>
      <c r="AB74" s="554"/>
      <c r="AC74" s="554"/>
      <c r="AD74" s="554"/>
      <c r="AE74" s="554"/>
      <c r="AF74" s="554"/>
      <c r="AG74" s="554"/>
      <c r="AH74" s="554"/>
      <c r="AI74" s="554"/>
      <c r="AJ74" s="554"/>
      <c r="AK74" s="554"/>
      <c r="AL74" s="554"/>
      <c r="AM74" s="554"/>
      <c r="AN74" s="554"/>
      <c r="AO74" s="554"/>
      <c r="AP74" s="554"/>
      <c r="AQ74" s="554"/>
      <c r="AR74" s="554"/>
      <c r="AS74" s="554"/>
      <c r="AT74" s="554"/>
      <c r="AU74" s="554"/>
      <c r="AV74" s="554"/>
      <c r="AW74" s="554"/>
      <c r="AX74" s="554"/>
      <c r="AY74" s="554"/>
      <c r="AZ74" s="554"/>
      <c r="BA74" s="554"/>
      <c r="BB74" s="554"/>
      <c r="BC74" s="554"/>
      <c r="BD74" s="554"/>
      <c r="BE74" s="554"/>
      <c r="BF74" s="554"/>
      <c r="BG74" s="554"/>
      <c r="BH74" s="554"/>
      <c r="BI74" s="554"/>
      <c r="BJ74" s="554"/>
      <c r="BK74" s="554"/>
      <c r="BL74" s="554"/>
      <c r="BM74" s="554"/>
      <c r="BN74" s="554"/>
      <c r="BO74" s="554"/>
      <c r="BP74" s="554"/>
      <c r="BQ74" s="554"/>
      <c r="BR74" s="554"/>
      <c r="BS74" s="554"/>
      <c r="BT74" s="554"/>
      <c r="BU74" s="554"/>
      <c r="BV74" s="554"/>
      <c r="BW74" s="554"/>
      <c r="BX74" s="554"/>
      <c r="BY74" s="554"/>
      <c r="BZ74" s="554"/>
      <c r="CA74" s="554"/>
      <c r="CB74" s="554"/>
      <c r="CC74" s="554"/>
      <c r="CD74" s="554"/>
      <c r="CE74" s="554"/>
      <c r="CF74" s="554"/>
      <c r="CG74" s="554"/>
      <c r="CH74" s="554"/>
      <c r="CI74" s="554"/>
      <c r="CJ74" s="554"/>
      <c r="CK74" s="554"/>
      <c r="CL74" s="554"/>
      <c r="CM74" s="554"/>
      <c r="CN74" s="554"/>
      <c r="CO74" s="554"/>
      <c r="CP74" s="554"/>
      <c r="CQ74" s="554"/>
      <c r="CR74" s="554"/>
      <c r="CS74" s="554"/>
      <c r="CT74" s="554"/>
      <c r="CU74" s="554"/>
      <c r="CV74" s="554"/>
      <c r="CW74" s="554"/>
      <c r="CX74" s="554"/>
      <c r="CY74" s="554"/>
      <c r="CZ74" s="554"/>
      <c r="DA74" s="554"/>
      <c r="DB74" s="554"/>
      <c r="DC74" s="554"/>
      <c r="DD74" s="554"/>
      <c r="DE74" s="554"/>
      <c r="DF74" s="554"/>
      <c r="DG74" s="554"/>
      <c r="DH74" s="554"/>
      <c r="DI74" s="554"/>
      <c r="DJ74" s="554"/>
      <c r="DK74" s="554"/>
      <c r="DL74" s="554"/>
      <c r="DM74" s="554"/>
      <c r="DN74" s="554"/>
      <c r="DO74" s="554"/>
      <c r="DP74" s="554"/>
      <c r="DQ74" s="554"/>
      <c r="DR74" s="554"/>
      <c r="DS74" s="554"/>
      <c r="DT74" s="554"/>
      <c r="DU74" s="554"/>
      <c r="DV74" s="554"/>
      <c r="DW74" s="554"/>
      <c r="DX74" s="554"/>
      <c r="DY74" s="554"/>
      <c r="DZ74" s="554"/>
      <c r="EA74" s="554"/>
      <c r="EB74" s="554"/>
      <c r="EC74" s="554"/>
      <c r="ED74" s="554"/>
      <c r="EE74" s="554"/>
      <c r="EF74" s="554"/>
      <c r="EG74" s="554"/>
      <c r="EH74" s="554"/>
      <c r="EI74" s="554"/>
      <c r="EJ74" s="554"/>
      <c r="EK74" s="554"/>
      <c r="EL74" s="554"/>
      <c r="EM74" s="554"/>
      <c r="EN74" s="554"/>
      <c r="EO74" s="554"/>
      <c r="EP74" s="554"/>
      <c r="EQ74" s="554"/>
      <c r="ER74" s="554"/>
      <c r="ES74" s="554"/>
      <c r="ET74" s="554"/>
      <c r="EU74" s="554"/>
      <c r="EV74" s="554"/>
      <c r="EW74" s="554"/>
      <c r="EX74" s="554"/>
      <c r="EY74" s="554"/>
      <c r="EZ74" s="554"/>
      <c r="FA74" s="554"/>
      <c r="FB74" s="554"/>
      <c r="FC74" s="554"/>
      <c r="FD74" s="554"/>
      <c r="FE74" s="554"/>
      <c r="FF74" s="554"/>
      <c r="FG74" s="554"/>
      <c r="FH74" s="554"/>
      <c r="FI74" s="554"/>
      <c r="FJ74" s="554"/>
      <c r="FK74" s="554"/>
      <c r="FL74" s="554"/>
      <c r="FM74" s="48"/>
      <c r="FN74" s="48"/>
      <c r="FO74" s="48"/>
      <c r="FP74" s="48"/>
      <c r="FQ74" s="48"/>
      <c r="FR74" s="48"/>
      <c r="FS74" s="48"/>
      <c r="FT74" s="47"/>
      <c r="FU74" s="47"/>
      <c r="FV74" s="47"/>
      <c r="FW74" s="47"/>
      <c r="FX74" s="47"/>
      <c r="FY74" s="47"/>
      <c r="FZ74" s="47"/>
      <c r="GA74" s="47" t="str">
        <f t="shared" ca="1" si="15"/>
        <v/>
      </c>
      <c r="GB74" s="47" t="str">
        <f ca="1">GB44</f>
        <v/>
      </c>
      <c r="GC74" s="47"/>
      <c r="GD74" s="47"/>
      <c r="GE74" s="47">
        <f t="shared" ca="1" si="10"/>
        <v>0</v>
      </c>
      <c r="GF74" s="47">
        <f t="shared" ca="1" si="11"/>
        <v>0</v>
      </c>
      <c r="GG74" s="47">
        <f ca="1">IF(FO1=1,2*GJ32*GB44^1+GK32,0)</f>
        <v>0</v>
      </c>
      <c r="GH74" s="47">
        <f ca="1">GH75</f>
        <v>0</v>
      </c>
      <c r="GI74" s="47">
        <f ca="1">0.9*GI75</f>
        <v>0</v>
      </c>
      <c r="GJ74" s="47">
        <f ca="1">0.9*GJ75</f>
        <v>0</v>
      </c>
      <c r="GK74" s="47">
        <f ca="1">GK75</f>
        <v>0</v>
      </c>
      <c r="GL74" s="47">
        <f ca="1">GL75</f>
        <v>0</v>
      </c>
      <c r="GM74" s="47">
        <f ca="1">IF(FO1=0,0,-GC32*GB44^2+GD32*GB44)</f>
        <v>0</v>
      </c>
      <c r="GN74" s="47">
        <f t="shared" ca="1" si="12"/>
        <v>0</v>
      </c>
      <c r="GO74" s="47"/>
      <c r="GP74" s="47"/>
      <c r="GQ74" s="47">
        <f ca="1">GQ75</f>
        <v>0</v>
      </c>
      <c r="GR74" s="47">
        <f ca="1">0.9*GR75</f>
        <v>0</v>
      </c>
      <c r="GS74" s="47">
        <f ca="1">IF(FO$1=1,GJ$32*GB44^2+GK$32*GB44,0)</f>
        <v>0</v>
      </c>
      <c r="GT74" s="47">
        <f ca="1">GT75</f>
        <v>0</v>
      </c>
      <c r="GU74" s="47">
        <f ca="1">IF(FO1=0,0,IF(FN29=3,GU75,0))</f>
        <v>0</v>
      </c>
      <c r="GV74" s="47">
        <f ca="1">0.9*GV75</f>
        <v>0</v>
      </c>
      <c r="GW74" s="47">
        <f ca="1">IF(FO1=1,0.9*GW75,0)</f>
        <v>0</v>
      </c>
      <c r="GX74" s="47"/>
      <c r="GY74" s="47"/>
      <c r="GZ74" s="47">
        <v>38</v>
      </c>
      <c r="HA74" s="47" t="e">
        <f ca="1">HA35+GZ74*(HA87-HA35)/GZ86</f>
        <v>#VALUE!</v>
      </c>
      <c r="HB74" s="47" t="e">
        <f ca="1">GY49*HA74^3+GY50*HA74^2+GY51*HA74+GY52</f>
        <v>#VALUE!</v>
      </c>
      <c r="HC74" s="47" t="e">
        <f t="shared" ca="1" si="0"/>
        <v>#VALUE!</v>
      </c>
      <c r="HD74" s="47" t="e">
        <f ca="1">HD35+GZ74*(HD87-HD35)/GZ86</f>
        <v>#VALUE!</v>
      </c>
      <c r="HE74" s="47" t="e">
        <f ca="1">GY49*HD74^3+GY50*HD74^2+GY51*HD74+GY52</f>
        <v>#VALUE!</v>
      </c>
      <c r="HF74" s="47" t="e">
        <f t="shared" ca="1" si="9"/>
        <v>#VALUE!</v>
      </c>
      <c r="HG74" s="47" t="e">
        <f ca="1">HG35+GZ74*(HG87-HG35)/GZ86</f>
        <v>#VALUE!</v>
      </c>
      <c r="HH74" s="47" t="e">
        <f ca="1">GG32*HG74^3+GH32*HG74^2+GI32*HG74+GF32+GC61</f>
        <v>#VALUE!</v>
      </c>
      <c r="HI74" s="47" t="e">
        <f t="shared" ca="1" si="2"/>
        <v>#VALUE!</v>
      </c>
      <c r="HJ74" s="47" t="e">
        <f t="shared" ca="1" si="3"/>
        <v>#VALUE!</v>
      </c>
      <c r="HK74" s="47" t="e">
        <f t="shared" ca="1" si="4"/>
        <v>#VALUE!</v>
      </c>
      <c r="HL74" s="47" t="e">
        <f t="shared" ca="1" si="5"/>
        <v>#VALUE!</v>
      </c>
      <c r="HM74" s="47"/>
    </row>
    <row r="75" spans="1:221" ht="16.5" customHeight="1">
      <c r="A75" s="1"/>
      <c r="B75" s="3"/>
      <c r="C75" s="3"/>
      <c r="D75" s="554"/>
      <c r="E75" s="554"/>
      <c r="F75" s="554"/>
      <c r="G75" s="554"/>
      <c r="H75" s="554"/>
      <c r="I75" s="554"/>
      <c r="J75" s="554"/>
      <c r="K75" s="554"/>
      <c r="L75" s="554"/>
      <c r="M75" s="554"/>
      <c r="N75" s="554"/>
      <c r="O75" s="554"/>
      <c r="P75" s="554"/>
      <c r="Q75" s="554"/>
      <c r="R75" s="554"/>
      <c r="S75" s="554"/>
      <c r="T75" s="554"/>
      <c r="U75" s="554"/>
      <c r="V75" s="554"/>
      <c r="W75" s="554"/>
      <c r="X75" s="554"/>
      <c r="Y75" s="554"/>
      <c r="Z75" s="554"/>
      <c r="AA75" s="554"/>
      <c r="AB75" s="554"/>
      <c r="AC75" s="554"/>
      <c r="AD75" s="554"/>
      <c r="AE75" s="554"/>
      <c r="AF75" s="554"/>
      <c r="AG75" s="554"/>
      <c r="AH75" s="554"/>
      <c r="AI75" s="554"/>
      <c r="AJ75" s="554"/>
      <c r="AK75" s="554"/>
      <c r="AL75" s="554"/>
      <c r="AM75" s="554"/>
      <c r="AN75" s="554"/>
      <c r="AO75" s="554"/>
      <c r="AP75" s="554"/>
      <c r="AQ75" s="554"/>
      <c r="AR75" s="554"/>
      <c r="AS75" s="554"/>
      <c r="AT75" s="554"/>
      <c r="AU75" s="554"/>
      <c r="AV75" s="554"/>
      <c r="AW75" s="554"/>
      <c r="AX75" s="554"/>
      <c r="AY75" s="554"/>
      <c r="AZ75" s="554"/>
      <c r="BA75" s="554"/>
      <c r="BB75" s="554"/>
      <c r="BC75" s="554"/>
      <c r="BD75" s="554"/>
      <c r="BE75" s="554"/>
      <c r="BF75" s="554"/>
      <c r="BG75" s="554"/>
      <c r="BH75" s="554"/>
      <c r="BI75" s="554"/>
      <c r="BJ75" s="554"/>
      <c r="BK75" s="554"/>
      <c r="BL75" s="554"/>
      <c r="BM75" s="554"/>
      <c r="BN75" s="554"/>
      <c r="BO75" s="554"/>
      <c r="BP75" s="554"/>
      <c r="BQ75" s="554"/>
      <c r="BR75" s="554"/>
      <c r="BS75" s="554"/>
      <c r="BT75" s="554"/>
      <c r="BU75" s="554"/>
      <c r="BV75" s="554"/>
      <c r="BW75" s="554"/>
      <c r="BX75" s="554"/>
      <c r="BY75" s="554"/>
      <c r="BZ75" s="554"/>
      <c r="CA75" s="554"/>
      <c r="CB75" s="554"/>
      <c r="CC75" s="554"/>
      <c r="CD75" s="554"/>
      <c r="CE75" s="554"/>
      <c r="CF75" s="554"/>
      <c r="CG75" s="554"/>
      <c r="CH75" s="554"/>
      <c r="CI75" s="554"/>
      <c r="CJ75" s="554"/>
      <c r="CK75" s="554"/>
      <c r="CL75" s="554"/>
      <c r="CM75" s="554"/>
      <c r="CN75" s="554"/>
      <c r="CO75" s="554"/>
      <c r="CP75" s="554"/>
      <c r="CQ75" s="554"/>
      <c r="CR75" s="554"/>
      <c r="CS75" s="554"/>
      <c r="CT75" s="554"/>
      <c r="CU75" s="554"/>
      <c r="CV75" s="554"/>
      <c r="CW75" s="554"/>
      <c r="CX75" s="554"/>
      <c r="CY75" s="554"/>
      <c r="CZ75" s="554"/>
      <c r="DA75" s="554"/>
      <c r="DB75" s="554"/>
      <c r="DC75" s="554"/>
      <c r="DD75" s="554"/>
      <c r="DE75" s="554"/>
      <c r="DF75" s="554"/>
      <c r="DG75" s="554"/>
      <c r="DH75" s="554"/>
      <c r="DI75" s="554"/>
      <c r="DJ75" s="554"/>
      <c r="DK75" s="554"/>
      <c r="DL75" s="554"/>
      <c r="DM75" s="554"/>
      <c r="DN75" s="554"/>
      <c r="DO75" s="554"/>
      <c r="DP75" s="554"/>
      <c r="DQ75" s="554"/>
      <c r="DR75" s="554"/>
      <c r="DS75" s="554"/>
      <c r="DT75" s="554"/>
      <c r="DU75" s="554"/>
      <c r="DV75" s="554"/>
      <c r="DW75" s="554"/>
      <c r="DX75" s="554"/>
      <c r="DY75" s="554"/>
      <c r="DZ75" s="554"/>
      <c r="EA75" s="554"/>
      <c r="EB75" s="554"/>
      <c r="EC75" s="554"/>
      <c r="ED75" s="554"/>
      <c r="EE75" s="554"/>
      <c r="EF75" s="554"/>
      <c r="EG75" s="554"/>
      <c r="EH75" s="554"/>
      <c r="EI75" s="554"/>
      <c r="EJ75" s="554"/>
      <c r="EK75" s="554"/>
      <c r="EL75" s="554"/>
      <c r="EM75" s="554"/>
      <c r="EN75" s="554"/>
      <c r="EO75" s="554"/>
      <c r="EP75" s="554"/>
      <c r="EQ75" s="554"/>
      <c r="ER75" s="554"/>
      <c r="ES75" s="554"/>
      <c r="ET75" s="554"/>
      <c r="EU75" s="554"/>
      <c r="EV75" s="554"/>
      <c r="EW75" s="554"/>
      <c r="EX75" s="554"/>
      <c r="EY75" s="554"/>
      <c r="EZ75" s="554"/>
      <c r="FA75" s="554"/>
      <c r="FB75" s="554"/>
      <c r="FC75" s="554"/>
      <c r="FD75" s="554"/>
      <c r="FE75" s="554"/>
      <c r="FF75" s="554"/>
      <c r="FG75" s="554"/>
      <c r="FH75" s="554"/>
      <c r="FI75" s="554"/>
      <c r="FJ75" s="554"/>
      <c r="FK75" s="554"/>
      <c r="FL75" s="554"/>
      <c r="FM75" s="47"/>
      <c r="FN75" s="47"/>
      <c r="FO75" s="47"/>
      <c r="FP75" s="47"/>
      <c r="FQ75" s="47"/>
      <c r="FR75" s="47"/>
      <c r="FS75" s="47"/>
      <c r="FT75" s="47"/>
      <c r="FU75" s="47"/>
      <c r="FV75" s="47"/>
      <c r="FW75" s="47"/>
      <c r="FX75" s="47"/>
      <c r="FY75" s="47"/>
      <c r="FZ75" s="47"/>
      <c r="GA75" s="47" t="str">
        <f ca="1">GB75</f>
        <v/>
      </c>
      <c r="GB75" s="47" t="str">
        <f ca="1">GB45</f>
        <v/>
      </c>
      <c r="GC75" s="47"/>
      <c r="GD75" s="47"/>
      <c r="GE75" s="47">
        <f t="shared" ca="1" si="10"/>
        <v>0</v>
      </c>
      <c r="GF75" s="47">
        <f t="shared" ca="1" si="11"/>
        <v>0</v>
      </c>
      <c r="GG75" s="47">
        <f ca="1">IF(FO1=1,2*GJ32*GB45^1+GK32,0)</f>
        <v>0</v>
      </c>
      <c r="GH75" s="47">
        <f ca="1">IF(FO1=0,0,IF(FN29=2,GB40,IF(FN29=1,GM22,IF(FN29=3,GQ32,0))))</f>
        <v>0</v>
      </c>
      <c r="GI75" s="47">
        <f ca="1">IF(FO1=1,-GC32*GH75+GD32,0)</f>
        <v>0</v>
      </c>
      <c r="GJ75" s="47">
        <f ca="1">IF(FO1=0,0,IF(FN29=1,GH75,IF(FN29=2,GH75,0)))</f>
        <v>0</v>
      </c>
      <c r="GK75" s="47">
        <f ca="1">IF(FO1=0,0,IF(FN29=1,GI75,IF(FN29=2,GI75,0)))</f>
        <v>0</v>
      </c>
      <c r="GL75" s="47">
        <f ca="1">IF(FO1=0,0,IF(FN29=1,GJ32*GH75^1+GK32+GF32/GH75,IF(FN29=2,GJ32*GH75^1+GK32+GF32/GH75,0)))</f>
        <v>0</v>
      </c>
      <c r="GM75" s="47">
        <f ca="1">IF(FO1=0,0,-GC32*GB45^2+GD32*GB45)</f>
        <v>0</v>
      </c>
      <c r="GN75" s="47">
        <f t="shared" ca="1" si="12"/>
        <v>0</v>
      </c>
      <c r="GO75" s="47"/>
      <c r="GP75" s="47"/>
      <c r="GQ75" s="47">
        <f ca="1">IF(FO1=0,0,IF(FN29=2,GB40,IF(FN29=1,GH75,IF(FN29=3,GH75,0))))</f>
        <v>0</v>
      </c>
      <c r="GR75" s="47">
        <f ca="1">IF(FO1=0,0,-GC32*GQ75^2+GD32*GQ75)</f>
        <v>0</v>
      </c>
      <c r="GS75" s="47">
        <f ca="1">IF(FO$1=1,GJ$32*GB45^2+GK$32*GB45,0)</f>
        <v>0</v>
      </c>
      <c r="GT75" s="47">
        <f ca="1">IF(FO1=0,0,IF(FN29=1,GJ32*GQ75^1+GK32,IF(FN29=2,GJ32*GQ75^1+GK32,0)))</f>
        <v>0</v>
      </c>
      <c r="GU75" s="47">
        <f ca="1">IF(FO1=0,0,IF(FN29=3,GR32,0))</f>
        <v>0</v>
      </c>
      <c r="GV75" s="47">
        <f ca="1">IF(FO1=0,0,IF(FN29=3,GJ32*GU75^2+GK32*GU75+GF32,0))</f>
        <v>0</v>
      </c>
      <c r="GW75" s="47">
        <f ca="1">IF(FO1=0,0,IF(FN29=3,GJ32*GU75^1+GK32+GF32/GU75,0))</f>
        <v>0</v>
      </c>
      <c r="GX75" s="47"/>
      <c r="GY75" s="47"/>
      <c r="GZ75" s="47">
        <v>39</v>
      </c>
      <c r="HA75" s="47" t="e">
        <f ca="1">HA35+GZ75*(HA87-HA35)/GZ86</f>
        <v>#VALUE!</v>
      </c>
      <c r="HB75" s="47" t="e">
        <f ca="1">GY49*HA75^3+GY50*HA75^2+GY51*HA75+GY52</f>
        <v>#VALUE!</v>
      </c>
      <c r="HC75" s="47" t="e">
        <f t="shared" ca="1" si="0"/>
        <v>#VALUE!</v>
      </c>
      <c r="HD75" s="47" t="e">
        <f ca="1">HD35+GZ75*(HD87-HD35)/GZ86</f>
        <v>#VALUE!</v>
      </c>
      <c r="HE75" s="47" t="e">
        <f ca="1">GY49*HD75^3+GY50*HD75^2+GY51*HD75+GY52</f>
        <v>#VALUE!</v>
      </c>
      <c r="HF75" s="47" t="e">
        <f t="shared" ca="1" si="9"/>
        <v>#VALUE!</v>
      </c>
      <c r="HG75" s="47" t="e">
        <f ca="1">HG35+GZ75*(HG87-HG35)/GZ86</f>
        <v>#VALUE!</v>
      </c>
      <c r="HH75" s="47" t="e">
        <f ca="1">GG32*HG75^3+GH32*HG75^2+GI32*HG75+GF32+GC61</f>
        <v>#VALUE!</v>
      </c>
      <c r="HI75" s="47" t="e">
        <f t="shared" ca="1" si="2"/>
        <v>#VALUE!</v>
      </c>
      <c r="HJ75" s="47" t="e">
        <f t="shared" ca="1" si="3"/>
        <v>#VALUE!</v>
      </c>
      <c r="HK75" s="47" t="e">
        <f t="shared" ca="1" si="4"/>
        <v>#VALUE!</v>
      </c>
      <c r="HL75" s="47" t="e">
        <f t="shared" ca="1" si="5"/>
        <v>#VALUE!</v>
      </c>
      <c r="HM75" s="47"/>
    </row>
    <row r="76" spans="1:221" ht="16.5" customHeight="1">
      <c r="A76" s="1"/>
      <c r="B76" s="3"/>
      <c r="C76" s="3"/>
      <c r="D76" s="554"/>
      <c r="E76" s="554"/>
      <c r="F76" s="554"/>
      <c r="G76" s="554"/>
      <c r="H76" s="554"/>
      <c r="I76" s="554"/>
      <c r="J76" s="554"/>
      <c r="K76" s="554"/>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554"/>
      <c r="AY76" s="554"/>
      <c r="AZ76" s="554"/>
      <c r="BA76" s="554"/>
      <c r="BB76" s="554"/>
      <c r="BC76" s="554"/>
      <c r="BD76" s="554"/>
      <c r="BE76" s="554"/>
      <c r="BF76" s="554"/>
      <c r="BG76" s="554"/>
      <c r="BH76" s="554"/>
      <c r="BI76" s="554"/>
      <c r="BJ76" s="554"/>
      <c r="BK76" s="554"/>
      <c r="BL76" s="554"/>
      <c r="BM76" s="554"/>
      <c r="BN76" s="554"/>
      <c r="BO76" s="554"/>
      <c r="BP76" s="554"/>
      <c r="BQ76" s="554"/>
      <c r="BR76" s="554"/>
      <c r="BS76" s="554"/>
      <c r="BT76" s="554"/>
      <c r="BU76" s="554"/>
      <c r="BV76" s="554"/>
      <c r="BW76" s="554"/>
      <c r="BX76" s="554"/>
      <c r="BY76" s="554"/>
      <c r="BZ76" s="554"/>
      <c r="CA76" s="554"/>
      <c r="CB76" s="554"/>
      <c r="CC76" s="554"/>
      <c r="CD76" s="554"/>
      <c r="CE76" s="554"/>
      <c r="CF76" s="554"/>
      <c r="CG76" s="554"/>
      <c r="CH76" s="554"/>
      <c r="CI76" s="554"/>
      <c r="CJ76" s="554"/>
      <c r="CK76" s="554"/>
      <c r="CL76" s="554"/>
      <c r="CM76" s="554"/>
      <c r="CN76" s="554"/>
      <c r="CO76" s="554"/>
      <c r="CP76" s="554"/>
      <c r="CQ76" s="554"/>
      <c r="CR76" s="554"/>
      <c r="CS76" s="554"/>
      <c r="CT76" s="554"/>
      <c r="CU76" s="554"/>
      <c r="CV76" s="554"/>
      <c r="CW76" s="554"/>
      <c r="CX76" s="554"/>
      <c r="CY76" s="554"/>
      <c r="CZ76" s="554"/>
      <c r="DA76" s="554"/>
      <c r="DB76" s="554"/>
      <c r="DC76" s="554"/>
      <c r="DD76" s="554"/>
      <c r="DE76" s="554"/>
      <c r="DF76" s="554"/>
      <c r="DG76" s="554"/>
      <c r="DH76" s="554"/>
      <c r="DI76" s="554"/>
      <c r="DJ76" s="554"/>
      <c r="DK76" s="554"/>
      <c r="DL76" s="554"/>
      <c r="DM76" s="554"/>
      <c r="DN76" s="554"/>
      <c r="DO76" s="554"/>
      <c r="DP76" s="554"/>
      <c r="DQ76" s="554"/>
      <c r="DR76" s="554"/>
      <c r="DS76" s="554"/>
      <c r="DT76" s="554"/>
      <c r="DU76" s="554"/>
      <c r="DV76" s="554"/>
      <c r="DW76" s="554"/>
      <c r="DX76" s="554"/>
      <c r="DY76" s="554"/>
      <c r="DZ76" s="554"/>
      <c r="EA76" s="554"/>
      <c r="EB76" s="554"/>
      <c r="EC76" s="554"/>
      <c r="ED76" s="554"/>
      <c r="EE76" s="554"/>
      <c r="EF76" s="554"/>
      <c r="EG76" s="554"/>
      <c r="EH76" s="554"/>
      <c r="EI76" s="554"/>
      <c r="EJ76" s="554"/>
      <c r="EK76" s="554"/>
      <c r="EL76" s="554"/>
      <c r="EM76" s="554"/>
      <c r="EN76" s="554"/>
      <c r="EO76" s="554"/>
      <c r="EP76" s="554"/>
      <c r="EQ76" s="554"/>
      <c r="ER76" s="554"/>
      <c r="ES76" s="554"/>
      <c r="ET76" s="554"/>
      <c r="EU76" s="554"/>
      <c r="EV76" s="554"/>
      <c r="EW76" s="554"/>
      <c r="EX76" s="554"/>
      <c r="EY76" s="554"/>
      <c r="EZ76" s="554"/>
      <c r="FA76" s="554"/>
      <c r="FB76" s="554"/>
      <c r="FC76" s="554"/>
      <c r="FD76" s="554"/>
      <c r="FE76" s="554"/>
      <c r="FF76" s="554"/>
      <c r="FG76" s="554"/>
      <c r="FH76" s="554"/>
      <c r="FI76" s="554"/>
      <c r="FJ76" s="554"/>
      <c r="FK76" s="554"/>
      <c r="FL76" s="554"/>
      <c r="FM76" s="47"/>
      <c r="FN76" s="47"/>
      <c r="FO76" s="47"/>
      <c r="FP76" s="47"/>
      <c r="FQ76" s="47"/>
      <c r="FR76" s="47"/>
      <c r="FS76" s="47"/>
      <c r="FT76" s="47"/>
      <c r="FU76" s="47"/>
      <c r="FV76" s="47"/>
      <c r="FW76" s="47"/>
      <c r="FX76" s="47"/>
      <c r="FY76" s="47"/>
      <c r="FZ76" s="47"/>
      <c r="GA76" s="47"/>
      <c r="GB76" s="47"/>
      <c r="GC76" s="47"/>
      <c r="GD76" s="47"/>
      <c r="GE76" s="47"/>
      <c r="GF76" s="47"/>
      <c r="GG76" s="47"/>
      <c r="GH76" s="47"/>
      <c r="GI76" s="47"/>
      <c r="GJ76" s="47"/>
      <c r="GK76" s="47"/>
      <c r="GL76" s="47"/>
      <c r="GM76" s="47"/>
      <c r="GN76" s="47"/>
      <c r="GO76" s="47"/>
      <c r="GP76" s="47"/>
      <c r="GQ76" s="47"/>
      <c r="GR76" s="47"/>
      <c r="GS76" s="47"/>
      <c r="GT76" s="47"/>
      <c r="GU76" s="47"/>
      <c r="GV76" s="47"/>
      <c r="GW76" s="47"/>
      <c r="GX76" s="47"/>
      <c r="GY76" s="47"/>
      <c r="GZ76" s="47">
        <v>40</v>
      </c>
      <c r="HA76" s="47" t="e">
        <f ca="1">HA35+GZ76*(HA87-HA35)/GZ86</f>
        <v>#VALUE!</v>
      </c>
      <c r="HB76" s="47" t="e">
        <f ca="1">GY49*HA76^3+GY50*HA76^2+GY51*HA76+GY52</f>
        <v>#VALUE!</v>
      </c>
      <c r="HC76" s="47" t="e">
        <f t="shared" ca="1" si="0"/>
        <v>#VALUE!</v>
      </c>
      <c r="HD76" s="47" t="e">
        <f ca="1">HD35+GZ76*(HD87-HD35)/GZ86</f>
        <v>#VALUE!</v>
      </c>
      <c r="HE76" s="47" t="e">
        <f ca="1">GY49*HD76^3+GY50*HD76^2+GY51*HD76+GY52</f>
        <v>#VALUE!</v>
      </c>
      <c r="HF76" s="47" t="e">
        <f t="shared" ca="1" si="9"/>
        <v>#VALUE!</v>
      </c>
      <c r="HG76" s="47" t="e">
        <f ca="1">HG35+GZ76*(HG87-HG35)/GZ86</f>
        <v>#VALUE!</v>
      </c>
      <c r="HH76" s="47" t="e">
        <f ca="1">GG32*HG76^3+GH32*HG76^2+GI32*HG76+GF32+GC61</f>
        <v>#VALUE!</v>
      </c>
      <c r="HI76" s="47" t="e">
        <f t="shared" ca="1" si="2"/>
        <v>#VALUE!</v>
      </c>
      <c r="HJ76" s="47" t="e">
        <f t="shared" ca="1" si="3"/>
        <v>#VALUE!</v>
      </c>
      <c r="HK76" s="47" t="e">
        <f t="shared" ca="1" si="4"/>
        <v>#VALUE!</v>
      </c>
      <c r="HL76" s="47" t="e">
        <f t="shared" ca="1" si="5"/>
        <v>#VALUE!</v>
      </c>
      <c r="HM76" s="47"/>
    </row>
    <row r="77" spans="1:221" ht="16.5" customHeight="1">
      <c r="A77" s="1"/>
      <c r="B77" s="3"/>
      <c r="C77" s="3"/>
      <c r="D77" s="554"/>
      <c r="E77" s="554"/>
      <c r="F77" s="554"/>
      <c r="G77" s="554"/>
      <c r="H77" s="554"/>
      <c r="I77" s="554"/>
      <c r="J77" s="554"/>
      <c r="K77" s="554"/>
      <c r="L77" s="554"/>
      <c r="M77" s="554"/>
      <c r="N77" s="554"/>
      <c r="O77" s="554"/>
      <c r="P77" s="554"/>
      <c r="Q77" s="554"/>
      <c r="R77" s="554"/>
      <c r="S77" s="554"/>
      <c r="T77" s="554"/>
      <c r="U77" s="554"/>
      <c r="V77" s="554"/>
      <c r="W77" s="554"/>
      <c r="X77" s="554"/>
      <c r="Y77" s="554"/>
      <c r="Z77" s="554"/>
      <c r="AA77" s="554"/>
      <c r="AB77" s="554"/>
      <c r="AC77" s="554"/>
      <c r="AD77" s="554"/>
      <c r="AE77" s="554"/>
      <c r="AF77" s="554"/>
      <c r="AG77" s="554"/>
      <c r="AH77" s="554"/>
      <c r="AI77" s="554"/>
      <c r="AJ77" s="554"/>
      <c r="AK77" s="554"/>
      <c r="AL77" s="554"/>
      <c r="AM77" s="554"/>
      <c r="AN77" s="554"/>
      <c r="AO77" s="554"/>
      <c r="AP77" s="554"/>
      <c r="AQ77" s="554"/>
      <c r="AR77" s="554"/>
      <c r="AS77" s="554"/>
      <c r="AT77" s="554"/>
      <c r="AU77" s="554"/>
      <c r="AV77" s="554"/>
      <c r="AW77" s="554"/>
      <c r="AX77" s="554"/>
      <c r="AY77" s="554"/>
      <c r="AZ77" s="554"/>
      <c r="BA77" s="554"/>
      <c r="BB77" s="554"/>
      <c r="BC77" s="554"/>
      <c r="BD77" s="554"/>
      <c r="BE77" s="554"/>
      <c r="BF77" s="554"/>
      <c r="BG77" s="554"/>
      <c r="BH77" s="554"/>
      <c r="BI77" s="554"/>
      <c r="BJ77" s="554"/>
      <c r="BK77" s="554"/>
      <c r="BL77" s="554"/>
      <c r="BM77" s="554"/>
      <c r="BN77" s="554"/>
      <c r="BO77" s="554"/>
      <c r="BP77" s="554"/>
      <c r="BQ77" s="554"/>
      <c r="BR77" s="554"/>
      <c r="BS77" s="554"/>
      <c r="BT77" s="554"/>
      <c r="BU77" s="554"/>
      <c r="BV77" s="554"/>
      <c r="BW77" s="554"/>
      <c r="BX77" s="554"/>
      <c r="BY77" s="554"/>
      <c r="BZ77" s="554"/>
      <c r="CA77" s="554"/>
      <c r="CB77" s="554"/>
      <c r="CC77" s="554"/>
      <c r="CD77" s="554"/>
      <c r="CE77" s="554"/>
      <c r="CF77" s="554"/>
      <c r="CG77" s="554"/>
      <c r="CH77" s="554"/>
      <c r="CI77" s="554"/>
      <c r="CJ77" s="554"/>
      <c r="CK77" s="554"/>
      <c r="CL77" s="554"/>
      <c r="CM77" s="554"/>
      <c r="CN77" s="554"/>
      <c r="CO77" s="554"/>
      <c r="CP77" s="554"/>
      <c r="CQ77" s="554"/>
      <c r="CR77" s="554"/>
      <c r="CS77" s="554"/>
      <c r="CT77" s="554"/>
      <c r="CU77" s="554"/>
      <c r="CV77" s="554"/>
      <c r="CW77" s="554"/>
      <c r="CX77" s="554"/>
      <c r="CY77" s="554"/>
      <c r="CZ77" s="554"/>
      <c r="DA77" s="554"/>
      <c r="DB77" s="554"/>
      <c r="DC77" s="554"/>
      <c r="DD77" s="554"/>
      <c r="DE77" s="554"/>
      <c r="DF77" s="554"/>
      <c r="DG77" s="554"/>
      <c r="DH77" s="554"/>
      <c r="DI77" s="554"/>
      <c r="DJ77" s="554"/>
      <c r="DK77" s="554"/>
      <c r="DL77" s="554"/>
      <c r="DM77" s="554"/>
      <c r="DN77" s="554"/>
      <c r="DO77" s="554"/>
      <c r="DP77" s="554"/>
      <c r="DQ77" s="554"/>
      <c r="DR77" s="554"/>
      <c r="DS77" s="554"/>
      <c r="DT77" s="554"/>
      <c r="DU77" s="554"/>
      <c r="DV77" s="554"/>
      <c r="DW77" s="554"/>
      <c r="DX77" s="554"/>
      <c r="DY77" s="554"/>
      <c r="DZ77" s="554"/>
      <c r="EA77" s="554"/>
      <c r="EB77" s="554"/>
      <c r="EC77" s="554"/>
      <c r="ED77" s="554"/>
      <c r="EE77" s="554"/>
      <c r="EF77" s="554"/>
      <c r="EG77" s="554"/>
      <c r="EH77" s="554"/>
      <c r="EI77" s="554"/>
      <c r="EJ77" s="554"/>
      <c r="EK77" s="554"/>
      <c r="EL77" s="554"/>
      <c r="EM77" s="554"/>
      <c r="EN77" s="554"/>
      <c r="EO77" s="554"/>
      <c r="EP77" s="554"/>
      <c r="EQ77" s="554"/>
      <c r="ER77" s="554"/>
      <c r="ES77" s="554"/>
      <c r="ET77" s="554"/>
      <c r="EU77" s="554"/>
      <c r="EV77" s="554"/>
      <c r="EW77" s="554"/>
      <c r="EX77" s="554"/>
      <c r="EY77" s="554"/>
      <c r="EZ77" s="554"/>
      <c r="FA77" s="554"/>
      <c r="FB77" s="554"/>
      <c r="FC77" s="554"/>
      <c r="FD77" s="554"/>
      <c r="FE77" s="554"/>
      <c r="FF77" s="554"/>
      <c r="FG77" s="554"/>
      <c r="FH77" s="554"/>
      <c r="FI77" s="554"/>
      <c r="FJ77" s="554"/>
      <c r="FK77" s="554"/>
      <c r="FL77" s="554"/>
      <c r="FM77" s="48"/>
      <c r="FN77" s="48"/>
      <c r="FO77" s="48"/>
      <c r="FP77" s="48"/>
      <c r="FQ77" s="48"/>
      <c r="FR77" s="48"/>
      <c r="FS77" s="48"/>
      <c r="FT77" s="48"/>
      <c r="FU77" s="48"/>
      <c r="FV77" s="48"/>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v>41</v>
      </c>
      <c r="HA77" s="47" t="e">
        <f ca="1">HA35+GZ77*(HA87-HA35)/GZ86</f>
        <v>#VALUE!</v>
      </c>
      <c r="HB77" s="47" t="e">
        <f ca="1">GY49*HA77^3+GY50*HA77^2+GY51*HA77+GY52</f>
        <v>#VALUE!</v>
      </c>
      <c r="HC77" s="47" t="e">
        <f t="shared" ca="1" si="0"/>
        <v>#VALUE!</v>
      </c>
      <c r="HD77" s="47" t="e">
        <f ca="1">HD35+GZ77*(HD87-HD35)/GZ86</f>
        <v>#VALUE!</v>
      </c>
      <c r="HE77" s="47" t="e">
        <f ca="1">GY49*HD77^3+GY50*HD77^2+GY51*HD77+GY52</f>
        <v>#VALUE!</v>
      </c>
      <c r="HF77" s="47" t="e">
        <f t="shared" ca="1" si="9"/>
        <v>#VALUE!</v>
      </c>
      <c r="HG77" s="47" t="e">
        <f ca="1">HG35+GZ77*(HG87-HG35)/GZ86</f>
        <v>#VALUE!</v>
      </c>
      <c r="HH77" s="47" t="e">
        <f ca="1">GG32*HG77^3+GH32*HG77^2+GI32*HG77+GF32+GC61</f>
        <v>#VALUE!</v>
      </c>
      <c r="HI77" s="47" t="e">
        <f t="shared" ca="1" si="2"/>
        <v>#VALUE!</v>
      </c>
      <c r="HJ77" s="47" t="e">
        <f t="shared" ca="1" si="3"/>
        <v>#VALUE!</v>
      </c>
      <c r="HK77" s="47" t="e">
        <f t="shared" ca="1" si="4"/>
        <v>#VALUE!</v>
      </c>
      <c r="HL77" s="47" t="e">
        <f t="shared" ca="1" si="5"/>
        <v>#VALUE!</v>
      </c>
      <c r="HM77" s="47"/>
    </row>
    <row r="78" spans="1:221" ht="16.5" customHeight="1">
      <c r="A78" s="1"/>
      <c r="B78" s="3"/>
      <c r="C78" s="3"/>
      <c r="D78" s="554"/>
      <c r="E78" s="554"/>
      <c r="F78" s="554"/>
      <c r="G78" s="554"/>
      <c r="H78" s="554"/>
      <c r="I78" s="554"/>
      <c r="J78" s="554"/>
      <c r="K78" s="554"/>
      <c r="L78" s="554"/>
      <c r="M78" s="554"/>
      <c r="N78" s="554"/>
      <c r="O78" s="554"/>
      <c r="P78" s="554"/>
      <c r="Q78" s="554"/>
      <c r="R78" s="554"/>
      <c r="S78" s="554"/>
      <c r="T78" s="554"/>
      <c r="U78" s="554"/>
      <c r="V78" s="554"/>
      <c r="W78" s="554"/>
      <c r="X78" s="554"/>
      <c r="Y78" s="554"/>
      <c r="Z78" s="554"/>
      <c r="AA78" s="554"/>
      <c r="AB78" s="554"/>
      <c r="AC78" s="554"/>
      <c r="AD78" s="554"/>
      <c r="AE78" s="554"/>
      <c r="AF78" s="554"/>
      <c r="AG78" s="554"/>
      <c r="AH78" s="554"/>
      <c r="AI78" s="554"/>
      <c r="AJ78" s="554"/>
      <c r="AK78" s="554"/>
      <c r="AL78" s="554"/>
      <c r="AM78" s="554"/>
      <c r="AN78" s="554"/>
      <c r="AO78" s="554"/>
      <c r="AP78" s="554"/>
      <c r="AQ78" s="554"/>
      <c r="AR78" s="554"/>
      <c r="AS78" s="554"/>
      <c r="AT78" s="554"/>
      <c r="AU78" s="554"/>
      <c r="AV78" s="554"/>
      <c r="AW78" s="554"/>
      <c r="AX78" s="554"/>
      <c r="AY78" s="554"/>
      <c r="AZ78" s="554"/>
      <c r="BA78" s="554"/>
      <c r="BB78" s="554"/>
      <c r="BC78" s="554"/>
      <c r="BD78" s="554"/>
      <c r="BE78" s="554"/>
      <c r="BF78" s="554"/>
      <c r="BG78" s="554"/>
      <c r="BH78" s="554"/>
      <c r="BI78" s="554"/>
      <c r="BJ78" s="554"/>
      <c r="BK78" s="554"/>
      <c r="BL78" s="554"/>
      <c r="BM78" s="554"/>
      <c r="BN78" s="554"/>
      <c r="BO78" s="554"/>
      <c r="BP78" s="554"/>
      <c r="BQ78" s="554"/>
      <c r="BR78" s="554"/>
      <c r="BS78" s="554"/>
      <c r="BT78" s="554"/>
      <c r="BU78" s="554"/>
      <c r="BV78" s="554"/>
      <c r="BW78" s="554"/>
      <c r="BX78" s="554"/>
      <c r="BY78" s="554"/>
      <c r="BZ78" s="554"/>
      <c r="CA78" s="554"/>
      <c r="CB78" s="554"/>
      <c r="CC78" s="554"/>
      <c r="CD78" s="554"/>
      <c r="CE78" s="554"/>
      <c r="CF78" s="554"/>
      <c r="CG78" s="554"/>
      <c r="CH78" s="554"/>
      <c r="CI78" s="554"/>
      <c r="CJ78" s="554"/>
      <c r="CK78" s="554"/>
      <c r="CL78" s="554"/>
      <c r="CM78" s="554"/>
      <c r="CN78" s="554"/>
      <c r="CO78" s="554"/>
      <c r="CP78" s="554"/>
      <c r="CQ78" s="554"/>
      <c r="CR78" s="554"/>
      <c r="CS78" s="554"/>
      <c r="CT78" s="554"/>
      <c r="CU78" s="554"/>
      <c r="CV78" s="554"/>
      <c r="CW78" s="554"/>
      <c r="CX78" s="554"/>
      <c r="CY78" s="554"/>
      <c r="CZ78" s="554"/>
      <c r="DA78" s="554"/>
      <c r="DB78" s="554"/>
      <c r="DC78" s="554"/>
      <c r="DD78" s="554"/>
      <c r="DE78" s="554"/>
      <c r="DF78" s="554"/>
      <c r="DG78" s="554"/>
      <c r="DH78" s="554"/>
      <c r="DI78" s="554"/>
      <c r="DJ78" s="554"/>
      <c r="DK78" s="554"/>
      <c r="DL78" s="554"/>
      <c r="DM78" s="554"/>
      <c r="DN78" s="554"/>
      <c r="DO78" s="554"/>
      <c r="DP78" s="554"/>
      <c r="DQ78" s="554"/>
      <c r="DR78" s="554"/>
      <c r="DS78" s="554"/>
      <c r="DT78" s="554"/>
      <c r="DU78" s="554"/>
      <c r="DV78" s="554"/>
      <c r="DW78" s="554"/>
      <c r="DX78" s="554"/>
      <c r="DY78" s="554"/>
      <c r="DZ78" s="554"/>
      <c r="EA78" s="554"/>
      <c r="EB78" s="554"/>
      <c r="EC78" s="554"/>
      <c r="ED78" s="554"/>
      <c r="EE78" s="554"/>
      <c r="EF78" s="554"/>
      <c r="EG78" s="554"/>
      <c r="EH78" s="554"/>
      <c r="EI78" s="554"/>
      <c r="EJ78" s="554"/>
      <c r="EK78" s="554"/>
      <c r="EL78" s="554"/>
      <c r="EM78" s="554"/>
      <c r="EN78" s="554"/>
      <c r="EO78" s="554"/>
      <c r="EP78" s="554"/>
      <c r="EQ78" s="554"/>
      <c r="ER78" s="554"/>
      <c r="ES78" s="554"/>
      <c r="ET78" s="554"/>
      <c r="EU78" s="554"/>
      <c r="EV78" s="554"/>
      <c r="EW78" s="554"/>
      <c r="EX78" s="554"/>
      <c r="EY78" s="554"/>
      <c r="EZ78" s="554"/>
      <c r="FA78" s="554"/>
      <c r="FB78" s="554"/>
      <c r="FC78" s="554"/>
      <c r="FD78" s="554"/>
      <c r="FE78" s="554"/>
      <c r="FF78" s="554"/>
      <c r="FG78" s="554"/>
      <c r="FH78" s="554"/>
      <c r="FI78" s="554"/>
      <c r="FJ78" s="554"/>
      <c r="FK78" s="554"/>
      <c r="FL78" s="554"/>
      <c r="FM78" s="48"/>
      <c r="FN78" s="48"/>
      <c r="FO78" s="48"/>
      <c r="FP78" s="48"/>
      <c r="FQ78" s="48"/>
      <c r="FR78" s="48"/>
      <c r="FS78" s="48"/>
      <c r="FT78" s="48"/>
      <c r="FU78" s="48"/>
      <c r="FV78" s="48"/>
      <c r="FW78" s="47"/>
      <c r="FX78" s="47"/>
      <c r="FY78" s="47"/>
      <c r="FZ78" s="47"/>
      <c r="GA78" s="47"/>
      <c r="GB78" s="47"/>
      <c r="GC78" s="47"/>
      <c r="GD78" s="47"/>
      <c r="GE78" s="47" t="s">
        <v>54</v>
      </c>
      <c r="GF78" s="47" t="s">
        <v>56</v>
      </c>
      <c r="GG78" s="47" t="s">
        <v>26</v>
      </c>
      <c r="GH78" s="47" t="s">
        <v>60</v>
      </c>
      <c r="GI78" s="47"/>
      <c r="GJ78" s="47" t="s">
        <v>71</v>
      </c>
      <c r="GK78" s="47" t="s">
        <v>72</v>
      </c>
      <c r="GL78" s="47" t="s">
        <v>73</v>
      </c>
      <c r="GM78" s="47" t="s">
        <v>5</v>
      </c>
      <c r="GN78" s="47" t="s">
        <v>3</v>
      </c>
      <c r="GO78" s="47" t="s">
        <v>58</v>
      </c>
      <c r="GP78" s="47" t="s">
        <v>59</v>
      </c>
      <c r="GQ78" s="47" t="s">
        <v>60</v>
      </c>
      <c r="GR78" s="47"/>
      <c r="GS78" s="47" t="s">
        <v>2</v>
      </c>
      <c r="GT78" s="47" t="s">
        <v>87</v>
      </c>
      <c r="GU78" s="47" t="s">
        <v>60</v>
      </c>
      <c r="GV78" s="47"/>
      <c r="GW78" s="47"/>
      <c r="GX78" s="47"/>
      <c r="GY78" s="47"/>
      <c r="GZ78" s="47">
        <v>42</v>
      </c>
      <c r="HA78" s="47" t="e">
        <f ca="1">HA35+GZ78*(HA87-HA35)/GZ86</f>
        <v>#VALUE!</v>
      </c>
      <c r="HB78" s="47" t="e">
        <f ca="1">GY49*HA78^3+GY50*HA78^2+GY51*HA78+GY52</f>
        <v>#VALUE!</v>
      </c>
      <c r="HC78" s="47" t="e">
        <f t="shared" ca="1" si="0"/>
        <v>#VALUE!</v>
      </c>
      <c r="HD78" s="47" t="e">
        <f ca="1">HD35+GZ78*(HD87-HD35)/GZ86</f>
        <v>#VALUE!</v>
      </c>
      <c r="HE78" s="47" t="e">
        <f ca="1">GY49*HD78^3+GY50*HD78^2+GY51*HD78+GY52</f>
        <v>#VALUE!</v>
      </c>
      <c r="HF78" s="47" t="e">
        <f t="shared" ca="1" si="9"/>
        <v>#VALUE!</v>
      </c>
      <c r="HG78" s="47" t="e">
        <f ca="1">HG35+GZ78*(HG87-HG35)/GZ86</f>
        <v>#VALUE!</v>
      </c>
      <c r="HH78" s="47" t="e">
        <f ca="1">GG32*HG78^3+GH32*HG78^2+GI32*HG78+GF32+GC61</f>
        <v>#VALUE!</v>
      </c>
      <c r="HI78" s="47" t="e">
        <f t="shared" ca="1" si="2"/>
        <v>#VALUE!</v>
      </c>
      <c r="HJ78" s="47" t="e">
        <f t="shared" ca="1" si="3"/>
        <v>#VALUE!</v>
      </c>
      <c r="HK78" s="47" t="e">
        <f t="shared" ca="1" si="4"/>
        <v>#VALUE!</v>
      </c>
      <c r="HL78" s="47" t="e">
        <f t="shared" ca="1" si="5"/>
        <v>#VALUE!</v>
      </c>
      <c r="HM78" s="47"/>
    </row>
    <row r="79" spans="1:221" ht="16.5" customHeight="1">
      <c r="A79" s="1"/>
      <c r="B79" s="3"/>
      <c r="C79" s="3"/>
      <c r="D79" s="554"/>
      <c r="E79" s="554"/>
      <c r="F79" s="554"/>
      <c r="G79" s="554"/>
      <c r="H79" s="554"/>
      <c r="I79" s="554"/>
      <c r="J79" s="554"/>
      <c r="K79" s="554"/>
      <c r="L79" s="554"/>
      <c r="M79" s="554"/>
      <c r="N79" s="554"/>
      <c r="O79" s="554"/>
      <c r="P79" s="554"/>
      <c r="Q79" s="554"/>
      <c r="R79" s="554"/>
      <c r="S79" s="554"/>
      <c r="T79" s="554"/>
      <c r="U79" s="554"/>
      <c r="V79" s="554"/>
      <c r="W79" s="554"/>
      <c r="X79" s="554"/>
      <c r="Y79" s="554"/>
      <c r="Z79" s="554"/>
      <c r="AA79" s="554"/>
      <c r="AB79" s="554"/>
      <c r="AC79" s="554"/>
      <c r="AD79" s="554"/>
      <c r="AE79" s="554"/>
      <c r="AF79" s="554"/>
      <c r="AG79" s="554"/>
      <c r="AH79" s="554"/>
      <c r="AI79" s="554"/>
      <c r="AJ79" s="554"/>
      <c r="AK79" s="554"/>
      <c r="AL79" s="554"/>
      <c r="AM79" s="554"/>
      <c r="AN79" s="554"/>
      <c r="AO79" s="554"/>
      <c r="AP79" s="554"/>
      <c r="AQ79" s="554"/>
      <c r="AR79" s="554"/>
      <c r="AS79" s="554"/>
      <c r="AT79" s="554"/>
      <c r="AU79" s="554"/>
      <c r="AV79" s="554"/>
      <c r="AW79" s="554"/>
      <c r="AX79" s="554"/>
      <c r="AY79" s="554"/>
      <c r="AZ79" s="554"/>
      <c r="BA79" s="554"/>
      <c r="BB79" s="554"/>
      <c r="BC79" s="554"/>
      <c r="BD79" s="554"/>
      <c r="BE79" s="554"/>
      <c r="BF79" s="554"/>
      <c r="BG79" s="554"/>
      <c r="BH79" s="554"/>
      <c r="BI79" s="554"/>
      <c r="BJ79" s="554"/>
      <c r="BK79" s="554"/>
      <c r="BL79" s="554"/>
      <c r="BM79" s="554"/>
      <c r="BN79" s="554"/>
      <c r="BO79" s="554"/>
      <c r="BP79" s="554"/>
      <c r="BQ79" s="554"/>
      <c r="BR79" s="554"/>
      <c r="BS79" s="554"/>
      <c r="BT79" s="554"/>
      <c r="BU79" s="554"/>
      <c r="BV79" s="554"/>
      <c r="BW79" s="554"/>
      <c r="BX79" s="554"/>
      <c r="BY79" s="554"/>
      <c r="BZ79" s="554"/>
      <c r="CA79" s="554"/>
      <c r="CB79" s="554"/>
      <c r="CC79" s="554"/>
      <c r="CD79" s="554"/>
      <c r="CE79" s="554"/>
      <c r="CF79" s="554"/>
      <c r="CG79" s="554"/>
      <c r="CH79" s="554"/>
      <c r="CI79" s="554"/>
      <c r="CJ79" s="554"/>
      <c r="CK79" s="554"/>
      <c r="CL79" s="554"/>
      <c r="CM79" s="554"/>
      <c r="CN79" s="554"/>
      <c r="CO79" s="554"/>
      <c r="CP79" s="554"/>
      <c r="CQ79" s="554"/>
      <c r="CR79" s="554"/>
      <c r="CS79" s="554"/>
      <c r="CT79" s="554"/>
      <c r="CU79" s="554"/>
      <c r="CV79" s="554"/>
      <c r="CW79" s="554"/>
      <c r="CX79" s="554"/>
      <c r="CY79" s="554"/>
      <c r="CZ79" s="554"/>
      <c r="DA79" s="554"/>
      <c r="DB79" s="554"/>
      <c r="DC79" s="554"/>
      <c r="DD79" s="554"/>
      <c r="DE79" s="554"/>
      <c r="DF79" s="554"/>
      <c r="DG79" s="554"/>
      <c r="DH79" s="554"/>
      <c r="DI79" s="554"/>
      <c r="DJ79" s="554"/>
      <c r="DK79" s="554"/>
      <c r="DL79" s="554"/>
      <c r="DM79" s="554"/>
      <c r="DN79" s="554"/>
      <c r="DO79" s="554"/>
      <c r="DP79" s="554"/>
      <c r="DQ79" s="554"/>
      <c r="DR79" s="554"/>
      <c r="DS79" s="554"/>
      <c r="DT79" s="554"/>
      <c r="DU79" s="554"/>
      <c r="DV79" s="554"/>
      <c r="DW79" s="554"/>
      <c r="DX79" s="554"/>
      <c r="DY79" s="554"/>
      <c r="DZ79" s="554"/>
      <c r="EA79" s="554"/>
      <c r="EB79" s="554"/>
      <c r="EC79" s="554"/>
      <c r="ED79" s="554"/>
      <c r="EE79" s="554"/>
      <c r="EF79" s="554"/>
      <c r="EG79" s="554"/>
      <c r="EH79" s="554"/>
      <c r="EI79" s="554"/>
      <c r="EJ79" s="554"/>
      <c r="EK79" s="554"/>
      <c r="EL79" s="554"/>
      <c r="EM79" s="554"/>
      <c r="EN79" s="554"/>
      <c r="EO79" s="554"/>
      <c r="EP79" s="554"/>
      <c r="EQ79" s="554"/>
      <c r="ER79" s="554"/>
      <c r="ES79" s="554"/>
      <c r="ET79" s="554"/>
      <c r="EU79" s="554"/>
      <c r="EV79" s="554"/>
      <c r="EW79" s="554"/>
      <c r="EX79" s="554"/>
      <c r="EY79" s="554"/>
      <c r="EZ79" s="554"/>
      <c r="FA79" s="554"/>
      <c r="FB79" s="554"/>
      <c r="FC79" s="554"/>
      <c r="FD79" s="554"/>
      <c r="FE79" s="554"/>
      <c r="FF79" s="554"/>
      <c r="FG79" s="554"/>
      <c r="FH79" s="554"/>
      <c r="FI79" s="554"/>
      <c r="FJ79" s="554"/>
      <c r="FK79" s="554"/>
      <c r="FL79" s="554"/>
      <c r="FM79" s="48"/>
      <c r="FN79" s="48"/>
      <c r="FO79" s="48"/>
      <c r="FP79" s="48"/>
      <c r="FQ79" s="48"/>
      <c r="FR79" s="48"/>
      <c r="FS79" s="48"/>
      <c r="FT79" s="48"/>
      <c r="FU79" s="48"/>
      <c r="FV79" s="48"/>
      <c r="FW79" s="47"/>
      <c r="FX79" s="47"/>
      <c r="FY79" s="47"/>
      <c r="FZ79" s="47"/>
      <c r="GA79" s="47"/>
      <c r="GB79" s="47" t="str">
        <f ca="1">GB35</f>
        <v/>
      </c>
      <c r="GC79" s="47" t="str">
        <f ca="1">GB79</f>
        <v/>
      </c>
      <c r="GD79" s="47">
        <f ca="1">IF(FO1=0,0,IF(FN29=1,GH89-2*GB36,IF(FN29=2,GH89-2*GB36,0)))</f>
        <v>0</v>
      </c>
      <c r="GE79" s="47">
        <f t="shared" ref="GE79:GE89" ca="1" si="16">IF(FO$1=1,GL$32*GA79^1+GM$32+GF$32/GA79,0)</f>
        <v>0</v>
      </c>
      <c r="GF79" s="47">
        <f t="shared" ref="GF79:GF89" ca="1" si="17">IF(FO$1=1,GL$32*GB79^1+GM$32,0)</f>
        <v>0</v>
      </c>
      <c r="GG79" s="47">
        <f t="shared" ref="GG79:GG89" ca="1" si="18">IF(FO$1=1,2*GL$32*GB35^1+GM$32,0)</f>
        <v>0</v>
      </c>
      <c r="GH79" s="47">
        <f ca="1">GH89</f>
        <v>0</v>
      </c>
      <c r="GI79" s="47">
        <f ca="1">0*GI89</f>
        <v>0</v>
      </c>
      <c r="GJ79" s="47">
        <f ca="1">0*GJ89</f>
        <v>0</v>
      </c>
      <c r="GK79" s="47">
        <f ca="1">GK89</f>
        <v>0</v>
      </c>
      <c r="GL79" s="47">
        <f ca="1">GL89</f>
        <v>0</v>
      </c>
      <c r="GM79" s="47">
        <f ca="1">IF(FO1=0,0,-GC32*GB35^2+GD32*GB35)</f>
        <v>0</v>
      </c>
      <c r="GN79" s="47">
        <f ca="1">IF(FO1=1,GL32*GC79^2+GM32*GC79^1+GF32,0)</f>
        <v>0</v>
      </c>
      <c r="GO79" s="47">
        <f ca="1">IF(FO1=0,0,IF(FN29=2,GM40,IF(FN29=1,GR22*GD79+GS23,0)))</f>
        <v>0</v>
      </c>
      <c r="GP79" s="47">
        <f ca="1">IF(FO1=0,0,IF(FN29=1,GS22*GD79+GS27,0))</f>
        <v>0</v>
      </c>
      <c r="GQ79" s="47">
        <f ca="1">GQ89</f>
        <v>0</v>
      </c>
      <c r="GR79" s="47">
        <f ca="1">0*GR89</f>
        <v>0</v>
      </c>
      <c r="GS79" s="47">
        <f t="shared" ref="GS79:GS89" ca="1" si="19">IF(FO$1=1,GL$32*GC79^2+GM$32*GC79,0)</f>
        <v>0</v>
      </c>
      <c r="GT79" s="47">
        <f ca="1">GT89</f>
        <v>0</v>
      </c>
      <c r="GU79" s="47">
        <f ca="1">IF(FO1=0,0,IF(FN29=3,GU89,0))</f>
        <v>0</v>
      </c>
      <c r="GV79" s="47">
        <f ca="1">0*GV89</f>
        <v>0</v>
      </c>
      <c r="GW79" s="47">
        <f ca="1">0*GW89</f>
        <v>0</v>
      </c>
      <c r="GX79" s="47"/>
      <c r="GY79" s="47"/>
      <c r="GZ79" s="47">
        <v>43</v>
      </c>
      <c r="HA79" s="47" t="e">
        <f ca="1">HA35+GZ79*(HA87-HA35)/GZ86</f>
        <v>#VALUE!</v>
      </c>
      <c r="HB79" s="47" t="e">
        <f ca="1">GY49*HA79^3+GY50*HA79^2+GY51*HA79+GY52</f>
        <v>#VALUE!</v>
      </c>
      <c r="HC79" s="47" t="e">
        <f ca="1">IF(AND(HB79&gt;=0,HB78&lt;0),HA78-HB78/(HB79-HB78)*(HA79-HA78),0)</f>
        <v>#VALUE!</v>
      </c>
      <c r="HD79" s="47" t="e">
        <f ca="1">HD35+GZ79*(HD87-HD35)/GZ86</f>
        <v>#VALUE!</v>
      </c>
      <c r="HE79" s="47" t="e">
        <f ca="1">GY49*HD79^3+GY50*HD79^2+GY51*HD79+GY52</f>
        <v>#VALUE!</v>
      </c>
      <c r="HF79" s="47" t="e">
        <f t="shared" ca="1" si="9"/>
        <v>#VALUE!</v>
      </c>
      <c r="HG79" s="47" t="e">
        <f ca="1">HG35+GZ79*(HG87-HG35)/GZ86</f>
        <v>#VALUE!</v>
      </c>
      <c r="HH79" s="47" t="e">
        <f ca="1">GG32*HG79^3+GH32*HG79^2+GI32*HG79+GF32+GC61</f>
        <v>#VALUE!</v>
      </c>
      <c r="HI79" s="47" t="e">
        <f t="shared" ca="1" si="2"/>
        <v>#VALUE!</v>
      </c>
      <c r="HJ79" s="47" t="e">
        <f t="shared" ca="1" si="3"/>
        <v>#VALUE!</v>
      </c>
      <c r="HK79" s="47" t="e">
        <f t="shared" ca="1" si="4"/>
        <v>#VALUE!</v>
      </c>
      <c r="HL79" s="47" t="e">
        <f t="shared" ca="1" si="5"/>
        <v>#VALUE!</v>
      </c>
      <c r="HM79" s="47"/>
    </row>
    <row r="80" spans="1:221" ht="16.5" customHeight="1">
      <c r="A80" s="1"/>
      <c r="B80" s="3"/>
      <c r="C80" s="3"/>
      <c r="D80" s="554"/>
      <c r="E80" s="554"/>
      <c r="F80" s="554"/>
      <c r="G80" s="554"/>
      <c r="H80" s="554"/>
      <c r="I80" s="554"/>
      <c r="J80" s="554"/>
      <c r="K80" s="554"/>
      <c r="L80" s="554"/>
      <c r="M80" s="554"/>
      <c r="N80" s="554"/>
      <c r="O80" s="554"/>
      <c r="P80" s="554"/>
      <c r="Q80" s="554"/>
      <c r="R80" s="554"/>
      <c r="S80" s="554"/>
      <c r="T80" s="554"/>
      <c r="U80" s="554"/>
      <c r="V80" s="554"/>
      <c r="W80" s="554"/>
      <c r="X80" s="554"/>
      <c r="Y80" s="554"/>
      <c r="Z80" s="554"/>
      <c r="AA80" s="554"/>
      <c r="AB80" s="554"/>
      <c r="AC80" s="554"/>
      <c r="AD80" s="554"/>
      <c r="AE80" s="554"/>
      <c r="AF80" s="554"/>
      <c r="AG80" s="554"/>
      <c r="AH80" s="554"/>
      <c r="AI80" s="554"/>
      <c r="AJ80" s="554"/>
      <c r="AK80" s="554"/>
      <c r="AL80" s="554"/>
      <c r="AM80" s="554"/>
      <c r="AN80" s="554"/>
      <c r="AO80" s="554"/>
      <c r="AP80" s="554"/>
      <c r="AQ80" s="554"/>
      <c r="AR80" s="554"/>
      <c r="AS80" s="554"/>
      <c r="AT80" s="554"/>
      <c r="AU80" s="554"/>
      <c r="AV80" s="554"/>
      <c r="AW80" s="554"/>
      <c r="AX80" s="554"/>
      <c r="AY80" s="554"/>
      <c r="AZ80" s="554"/>
      <c r="BA80" s="554"/>
      <c r="BB80" s="554"/>
      <c r="BC80" s="554"/>
      <c r="BD80" s="554"/>
      <c r="BE80" s="554"/>
      <c r="BF80" s="554"/>
      <c r="BG80" s="554"/>
      <c r="BH80" s="554"/>
      <c r="BI80" s="554"/>
      <c r="BJ80" s="554"/>
      <c r="BK80" s="554"/>
      <c r="BL80" s="554"/>
      <c r="BM80" s="554"/>
      <c r="BN80" s="554"/>
      <c r="BO80" s="554"/>
      <c r="BP80" s="554"/>
      <c r="BQ80" s="554"/>
      <c r="BR80" s="554"/>
      <c r="BS80" s="554"/>
      <c r="BT80" s="554"/>
      <c r="BU80" s="554"/>
      <c r="BV80" s="554"/>
      <c r="BW80" s="554"/>
      <c r="BX80" s="554"/>
      <c r="BY80" s="554"/>
      <c r="BZ80" s="554"/>
      <c r="CA80" s="554"/>
      <c r="CB80" s="554"/>
      <c r="CC80" s="554"/>
      <c r="CD80" s="554"/>
      <c r="CE80" s="554"/>
      <c r="CF80" s="554"/>
      <c r="CG80" s="554"/>
      <c r="CH80" s="554"/>
      <c r="CI80" s="554"/>
      <c r="CJ80" s="554"/>
      <c r="CK80" s="554"/>
      <c r="CL80" s="554"/>
      <c r="CM80" s="554"/>
      <c r="CN80" s="554"/>
      <c r="CO80" s="554"/>
      <c r="CP80" s="554"/>
      <c r="CQ80" s="554"/>
      <c r="CR80" s="554"/>
      <c r="CS80" s="554"/>
      <c r="CT80" s="554"/>
      <c r="CU80" s="554"/>
      <c r="CV80" s="554"/>
      <c r="CW80" s="554"/>
      <c r="CX80" s="554"/>
      <c r="CY80" s="554"/>
      <c r="CZ80" s="554"/>
      <c r="DA80" s="554"/>
      <c r="DB80" s="554"/>
      <c r="DC80" s="554"/>
      <c r="DD80" s="554"/>
      <c r="DE80" s="554"/>
      <c r="DF80" s="554"/>
      <c r="DG80" s="554"/>
      <c r="DH80" s="554"/>
      <c r="DI80" s="554"/>
      <c r="DJ80" s="554"/>
      <c r="DK80" s="554"/>
      <c r="DL80" s="554"/>
      <c r="DM80" s="554"/>
      <c r="DN80" s="554"/>
      <c r="DO80" s="554"/>
      <c r="DP80" s="554"/>
      <c r="DQ80" s="554"/>
      <c r="DR80" s="554"/>
      <c r="DS80" s="554"/>
      <c r="DT80" s="554"/>
      <c r="DU80" s="554"/>
      <c r="DV80" s="554"/>
      <c r="DW80" s="554"/>
      <c r="DX80" s="554"/>
      <c r="DY80" s="554"/>
      <c r="DZ80" s="554"/>
      <c r="EA80" s="554"/>
      <c r="EB80" s="554"/>
      <c r="EC80" s="554"/>
      <c r="ED80" s="554"/>
      <c r="EE80" s="554"/>
      <c r="EF80" s="554"/>
      <c r="EG80" s="554"/>
      <c r="EH80" s="554"/>
      <c r="EI80" s="554"/>
      <c r="EJ80" s="554"/>
      <c r="EK80" s="554"/>
      <c r="EL80" s="554"/>
      <c r="EM80" s="554"/>
      <c r="EN80" s="554"/>
      <c r="EO80" s="554"/>
      <c r="EP80" s="554"/>
      <c r="EQ80" s="554"/>
      <c r="ER80" s="554"/>
      <c r="ES80" s="554"/>
      <c r="ET80" s="554"/>
      <c r="EU80" s="554"/>
      <c r="EV80" s="554"/>
      <c r="EW80" s="554"/>
      <c r="EX80" s="554"/>
      <c r="EY80" s="554"/>
      <c r="EZ80" s="554"/>
      <c r="FA80" s="554"/>
      <c r="FB80" s="554"/>
      <c r="FC80" s="554"/>
      <c r="FD80" s="554"/>
      <c r="FE80" s="554"/>
      <c r="FF80" s="554"/>
      <c r="FG80" s="554"/>
      <c r="FH80" s="554"/>
      <c r="FI80" s="554"/>
      <c r="FJ80" s="554"/>
      <c r="FK80" s="554"/>
      <c r="FL80" s="554"/>
      <c r="FM80" s="48"/>
      <c r="FN80" s="48"/>
      <c r="FO80" s="48"/>
      <c r="FP80" s="48"/>
      <c r="FQ80" s="48"/>
      <c r="FR80" s="48"/>
      <c r="FS80" s="48"/>
      <c r="FT80" s="48"/>
      <c r="FU80" s="48"/>
      <c r="FV80" s="48"/>
      <c r="FW80" s="47"/>
      <c r="FX80" s="47"/>
      <c r="FY80" s="47"/>
      <c r="FZ80" s="47"/>
      <c r="GA80" s="47">
        <f ca="1">IF(FO1=1,(GA79+GA81)/2,0)</f>
        <v>0</v>
      </c>
      <c r="GB80" s="47" t="e">
        <f ca="1">0.1*GB89</f>
        <v>#VALUE!</v>
      </c>
      <c r="GC80" s="47" t="e">
        <f ca="1">0.1*GC89</f>
        <v>#VALUE!</v>
      </c>
      <c r="GD80" s="47">
        <f ca="1">IF(FO1=0,0,IF(FN29=1,GH89-1*GB36,IF(FN29=2,GH89-1*GB36,0)))</f>
        <v>0</v>
      </c>
      <c r="GE80" s="47">
        <f t="shared" ca="1" si="16"/>
        <v>0</v>
      </c>
      <c r="GF80" s="47">
        <f t="shared" ca="1" si="17"/>
        <v>0</v>
      </c>
      <c r="GG80" s="47">
        <f t="shared" ca="1" si="18"/>
        <v>0</v>
      </c>
      <c r="GH80" s="47">
        <f ca="1">GH89</f>
        <v>0</v>
      </c>
      <c r="GI80" s="47">
        <f ca="1">0.1*GI89</f>
        <v>0</v>
      </c>
      <c r="GJ80" s="47">
        <f ca="1">0.1*GJ89</f>
        <v>0</v>
      </c>
      <c r="GK80" s="47">
        <f ca="1">GK89</f>
        <v>0</v>
      </c>
      <c r="GL80" s="47">
        <f ca="1">GL89</f>
        <v>0</v>
      </c>
      <c r="GM80" s="47">
        <f ca="1">IF(FO1=0,0,-GC32*GB36^2+GD32*GB36)</f>
        <v>0</v>
      </c>
      <c r="GN80" s="47">
        <f ca="1">IF(FO1=1,GL32*GC80^2+GM32*GC80^1+GF32,0)</f>
        <v>0</v>
      </c>
      <c r="GO80" s="47">
        <f ca="1">IF(FO1=0,0,IF(FN29=2,GM40,IF(FN29=1,GR22*GD80+GS23,0)))</f>
        <v>0</v>
      </c>
      <c r="GP80" s="47">
        <f ca="1">IF(FO1=0,0,IF(FN29=1,GS22*GD80+GS27,0))</f>
        <v>0</v>
      </c>
      <c r="GQ80" s="47">
        <f ca="1">GQ89</f>
        <v>0</v>
      </c>
      <c r="GR80" s="47">
        <f ca="1">0.1*GR89</f>
        <v>0</v>
      </c>
      <c r="GS80" s="47">
        <f t="shared" ca="1" si="19"/>
        <v>0</v>
      </c>
      <c r="GT80" s="47">
        <f ca="1">GT89</f>
        <v>0</v>
      </c>
      <c r="GU80" s="47">
        <f ca="1">IF(FO1=0,0,IF(FN29=3,GU89,0))</f>
        <v>0</v>
      </c>
      <c r="GV80" s="47">
        <f ca="1">0.1*GV89</f>
        <v>0</v>
      </c>
      <c r="GW80" s="47">
        <f ca="1">IF(FO1=1,0.1*GW89,0)</f>
        <v>0</v>
      </c>
      <c r="GX80" s="47"/>
      <c r="GY80" s="47"/>
      <c r="GZ80" s="47">
        <v>44</v>
      </c>
      <c r="HA80" s="47" t="e">
        <f ca="1">HA35+GZ80*(HA87-HA35)/GZ86</f>
        <v>#VALUE!</v>
      </c>
      <c r="HB80" s="47" t="e">
        <f ca="1">GY49*HA80^3+GY50*HA80^2+GY51*HA80+GY52</f>
        <v>#VALUE!</v>
      </c>
      <c r="HC80" s="47" t="e">
        <f t="shared" ref="HC80:HC86" ca="1" si="20">IF(AND(HB80&gt;=0,HB79&lt;0),HA79-HB79/(HB80-HB79)*(HA80-HA79),0)</f>
        <v>#VALUE!</v>
      </c>
      <c r="HD80" s="47" t="e">
        <f ca="1">HD35+GZ80*(HD87-HD35)/GZ86</f>
        <v>#VALUE!</v>
      </c>
      <c r="HE80" s="47" t="e">
        <f ca="1">GY49*HD80^3+GY50*HD80^2+GY51*HD80+GY52</f>
        <v>#VALUE!</v>
      </c>
      <c r="HF80" s="47" t="e">
        <f t="shared" ca="1" si="9"/>
        <v>#VALUE!</v>
      </c>
      <c r="HG80" s="47" t="e">
        <f ca="1">HG35+GZ80*(HG87-HG35)/GZ86</f>
        <v>#VALUE!</v>
      </c>
      <c r="HH80" s="47" t="e">
        <f ca="1">GG32*HG80^3+GH32*HG80^2+GI32*HG80+GF32+GC61</f>
        <v>#VALUE!</v>
      </c>
      <c r="HI80" s="47" t="e">
        <f t="shared" ca="1" si="2"/>
        <v>#VALUE!</v>
      </c>
      <c r="HJ80" s="47" t="e">
        <f t="shared" ca="1" si="3"/>
        <v>#VALUE!</v>
      </c>
      <c r="HK80" s="47" t="e">
        <f t="shared" ca="1" si="4"/>
        <v>#VALUE!</v>
      </c>
      <c r="HL80" s="47" t="e">
        <f t="shared" ca="1" si="5"/>
        <v>#VALUE!</v>
      </c>
      <c r="HM80" s="47"/>
    </row>
    <row r="81" spans="1:221" ht="16.5" customHeight="1">
      <c r="A81" s="1"/>
      <c r="B81" s="3"/>
      <c r="C81" s="3"/>
      <c r="D81" s="554"/>
      <c r="E81" s="554"/>
      <c r="F81" s="554"/>
      <c r="G81" s="554"/>
      <c r="H81" s="554"/>
      <c r="I81" s="554"/>
      <c r="J81" s="554"/>
      <c r="K81" s="554"/>
      <c r="L81" s="554"/>
      <c r="M81" s="554"/>
      <c r="N81" s="554"/>
      <c r="O81" s="554"/>
      <c r="P81" s="554"/>
      <c r="Q81" s="554"/>
      <c r="R81" s="554"/>
      <c r="S81" s="554"/>
      <c r="T81" s="554"/>
      <c r="U81" s="554"/>
      <c r="V81" s="554"/>
      <c r="W81" s="554"/>
      <c r="X81" s="554"/>
      <c r="Y81" s="554"/>
      <c r="Z81" s="554"/>
      <c r="AA81" s="554"/>
      <c r="AB81" s="554"/>
      <c r="AC81" s="554"/>
      <c r="AD81" s="554"/>
      <c r="AE81" s="554"/>
      <c r="AF81" s="554"/>
      <c r="AG81" s="554"/>
      <c r="AH81" s="554"/>
      <c r="AI81" s="554"/>
      <c r="AJ81" s="554"/>
      <c r="AK81" s="554"/>
      <c r="AL81" s="554"/>
      <c r="AM81" s="554"/>
      <c r="AN81" s="554"/>
      <c r="AO81" s="554"/>
      <c r="AP81" s="554"/>
      <c r="AQ81" s="554"/>
      <c r="AR81" s="554"/>
      <c r="AS81" s="554"/>
      <c r="AT81" s="554"/>
      <c r="AU81" s="554"/>
      <c r="AV81" s="554"/>
      <c r="AW81" s="554"/>
      <c r="AX81" s="554"/>
      <c r="AY81" s="554"/>
      <c r="AZ81" s="554"/>
      <c r="BA81" s="554"/>
      <c r="BB81" s="554"/>
      <c r="BC81" s="554"/>
      <c r="BD81" s="554"/>
      <c r="BE81" s="554"/>
      <c r="BF81" s="554"/>
      <c r="BG81" s="554"/>
      <c r="BH81" s="554"/>
      <c r="BI81" s="554"/>
      <c r="BJ81" s="554"/>
      <c r="BK81" s="554"/>
      <c r="BL81" s="554"/>
      <c r="BM81" s="554"/>
      <c r="BN81" s="554"/>
      <c r="BO81" s="554"/>
      <c r="BP81" s="554"/>
      <c r="BQ81" s="554"/>
      <c r="BR81" s="554"/>
      <c r="BS81" s="554"/>
      <c r="BT81" s="554"/>
      <c r="BU81" s="554"/>
      <c r="BV81" s="554"/>
      <c r="BW81" s="554"/>
      <c r="BX81" s="554"/>
      <c r="BY81" s="554"/>
      <c r="BZ81" s="554"/>
      <c r="CA81" s="554"/>
      <c r="CB81" s="554"/>
      <c r="CC81" s="554"/>
      <c r="CD81" s="554"/>
      <c r="CE81" s="554"/>
      <c r="CF81" s="554"/>
      <c r="CG81" s="554"/>
      <c r="CH81" s="554"/>
      <c r="CI81" s="554"/>
      <c r="CJ81" s="554"/>
      <c r="CK81" s="554"/>
      <c r="CL81" s="554"/>
      <c r="CM81" s="554"/>
      <c r="CN81" s="554"/>
      <c r="CO81" s="554"/>
      <c r="CP81" s="554"/>
      <c r="CQ81" s="554"/>
      <c r="CR81" s="554"/>
      <c r="CS81" s="554"/>
      <c r="CT81" s="554"/>
      <c r="CU81" s="554"/>
      <c r="CV81" s="554"/>
      <c r="CW81" s="554"/>
      <c r="CX81" s="554"/>
      <c r="CY81" s="554"/>
      <c r="CZ81" s="554"/>
      <c r="DA81" s="554"/>
      <c r="DB81" s="554"/>
      <c r="DC81" s="554"/>
      <c r="DD81" s="554"/>
      <c r="DE81" s="554"/>
      <c r="DF81" s="554"/>
      <c r="DG81" s="554"/>
      <c r="DH81" s="554"/>
      <c r="DI81" s="554"/>
      <c r="DJ81" s="554"/>
      <c r="DK81" s="554"/>
      <c r="DL81" s="554"/>
      <c r="DM81" s="554"/>
      <c r="DN81" s="554"/>
      <c r="DO81" s="554"/>
      <c r="DP81" s="554"/>
      <c r="DQ81" s="554"/>
      <c r="DR81" s="554"/>
      <c r="DS81" s="554"/>
      <c r="DT81" s="554"/>
      <c r="DU81" s="554"/>
      <c r="DV81" s="554"/>
      <c r="DW81" s="554"/>
      <c r="DX81" s="554"/>
      <c r="DY81" s="554"/>
      <c r="DZ81" s="554"/>
      <c r="EA81" s="554"/>
      <c r="EB81" s="554"/>
      <c r="EC81" s="554"/>
      <c r="ED81" s="554"/>
      <c r="EE81" s="554"/>
      <c r="EF81" s="554"/>
      <c r="EG81" s="554"/>
      <c r="EH81" s="554"/>
      <c r="EI81" s="554"/>
      <c r="EJ81" s="554"/>
      <c r="EK81" s="554"/>
      <c r="EL81" s="554"/>
      <c r="EM81" s="554"/>
      <c r="EN81" s="554"/>
      <c r="EO81" s="554"/>
      <c r="EP81" s="554"/>
      <c r="EQ81" s="554"/>
      <c r="ER81" s="554"/>
      <c r="ES81" s="554"/>
      <c r="ET81" s="554"/>
      <c r="EU81" s="554"/>
      <c r="EV81" s="554"/>
      <c r="EW81" s="554"/>
      <c r="EX81" s="554"/>
      <c r="EY81" s="554"/>
      <c r="EZ81" s="554"/>
      <c r="FA81" s="554"/>
      <c r="FB81" s="554"/>
      <c r="FC81" s="554"/>
      <c r="FD81" s="554"/>
      <c r="FE81" s="554"/>
      <c r="FF81" s="554"/>
      <c r="FG81" s="554"/>
      <c r="FH81" s="554"/>
      <c r="FI81" s="554"/>
      <c r="FJ81" s="554"/>
      <c r="FK81" s="554"/>
      <c r="FL81" s="554"/>
      <c r="FM81" s="48"/>
      <c r="FN81" s="48"/>
      <c r="FO81" s="48"/>
      <c r="FP81" s="48"/>
      <c r="FQ81" s="48"/>
      <c r="FR81" s="48"/>
      <c r="FS81" s="48"/>
      <c r="FT81" s="48"/>
      <c r="FU81" s="48"/>
      <c r="FV81" s="48"/>
      <c r="FW81" s="47"/>
      <c r="FX81" s="47"/>
      <c r="FY81" s="47"/>
      <c r="FZ81" s="47"/>
      <c r="GA81" s="47">
        <f ca="1">0.2*GA89</f>
        <v>0</v>
      </c>
      <c r="GB81" s="47" t="e">
        <f ca="1">0.2*GB89</f>
        <v>#VALUE!</v>
      </c>
      <c r="GC81" s="47" t="e">
        <f ca="1">0.2*GC89</f>
        <v>#VALUE!</v>
      </c>
      <c r="GD81" s="47">
        <f ca="1">IF(FO1=0,0,IF(FN29=1,GH89,IF(FN29=2,GH89,0)))</f>
        <v>0</v>
      </c>
      <c r="GE81" s="47">
        <f t="shared" ca="1" si="16"/>
        <v>0</v>
      </c>
      <c r="GF81" s="47">
        <f t="shared" ca="1" si="17"/>
        <v>0</v>
      </c>
      <c r="GG81" s="47">
        <f t="shared" ca="1" si="18"/>
        <v>0</v>
      </c>
      <c r="GH81" s="47">
        <f ca="1">GH89</f>
        <v>0</v>
      </c>
      <c r="GI81" s="47">
        <f ca="1">0.2*GI89</f>
        <v>0</v>
      </c>
      <c r="GJ81" s="47">
        <f ca="1">0.2*GJ89</f>
        <v>0</v>
      </c>
      <c r="GK81" s="47">
        <f ca="1">GK89</f>
        <v>0</v>
      </c>
      <c r="GL81" s="47">
        <f ca="1">GL89</f>
        <v>0</v>
      </c>
      <c r="GM81" s="47">
        <f ca="1">IF(FO1=0,0,-GC32*GB37^2+GD32*GB37)</f>
        <v>0</v>
      </c>
      <c r="GN81" s="47">
        <f ca="1">IF(FO1=1,GL32*GC81^2+GM32*GC81^1+GF32,0)</f>
        <v>0</v>
      </c>
      <c r="GO81" s="47">
        <f ca="1">IF(FO1=0,0,IF(FN29=2,GM40,IF(FN29=1,GR22*GD81+GS23,0)))</f>
        <v>0</v>
      </c>
      <c r="GP81" s="47">
        <f ca="1">IF(FO1=0,0,IF(FN29=1,GS22*GD81+GS27,0))</f>
        <v>0</v>
      </c>
      <c r="GQ81" s="47">
        <f ca="1">GQ89</f>
        <v>0</v>
      </c>
      <c r="GR81" s="47">
        <f ca="1">0.2*GR89</f>
        <v>0</v>
      </c>
      <c r="GS81" s="47">
        <f t="shared" ca="1" si="19"/>
        <v>0</v>
      </c>
      <c r="GT81" s="47">
        <f ca="1">GT89</f>
        <v>0</v>
      </c>
      <c r="GU81" s="47">
        <f ca="1">IF(FO1=0,0,IF(FN29=3,GU89,0))</f>
        <v>0</v>
      </c>
      <c r="GV81" s="47">
        <f ca="1">0.2*GV89</f>
        <v>0</v>
      </c>
      <c r="GW81" s="47">
        <f ca="1">IF(FO1=1,0.2*GW89,0)</f>
        <v>0</v>
      </c>
      <c r="GX81" s="47"/>
      <c r="GY81" s="47"/>
      <c r="GZ81" s="47">
        <v>45</v>
      </c>
      <c r="HA81" s="47" t="e">
        <f ca="1">HA35+GZ81*(HA87-HA35)/GZ86</f>
        <v>#VALUE!</v>
      </c>
      <c r="HB81" s="47" t="e">
        <f ca="1">GY49*HA81^3+GY50*HA81^2+GY51*HA81+GY52</f>
        <v>#VALUE!</v>
      </c>
      <c r="HC81" s="47" t="e">
        <f t="shared" ca="1" si="20"/>
        <v>#VALUE!</v>
      </c>
      <c r="HD81" s="47" t="e">
        <f ca="1">HD35+GZ81*(HD87-HD35)/GZ86</f>
        <v>#VALUE!</v>
      </c>
      <c r="HE81" s="47" t="e">
        <f ca="1">GY49*HD81^3+GY50*HD81^2+GY51*HD81+GY52</f>
        <v>#VALUE!</v>
      </c>
      <c r="HF81" s="47" t="e">
        <f t="shared" ca="1" si="9"/>
        <v>#VALUE!</v>
      </c>
      <c r="HG81" s="47" t="e">
        <f ca="1">HG35+GZ81*(HG87-HG35)/GZ86</f>
        <v>#VALUE!</v>
      </c>
      <c r="HH81" s="47" t="e">
        <f ca="1">GG32*HG81^3+GH32*HG81^2+GI32*HG81+GF32+GC61</f>
        <v>#VALUE!</v>
      </c>
      <c r="HI81" s="47" t="e">
        <f t="shared" ca="1" si="2"/>
        <v>#VALUE!</v>
      </c>
      <c r="HJ81" s="47" t="e">
        <f t="shared" ca="1" si="3"/>
        <v>#VALUE!</v>
      </c>
      <c r="HK81" s="47" t="e">
        <f t="shared" ca="1" si="4"/>
        <v>#VALUE!</v>
      </c>
      <c r="HL81" s="47" t="e">
        <f t="shared" ca="1" si="5"/>
        <v>#VALUE!</v>
      </c>
      <c r="HM81" s="47"/>
    </row>
    <row r="82" spans="1:221" ht="16.5" customHeight="1">
      <c r="A82" s="1"/>
      <c r="B82" s="3"/>
      <c r="C82" s="3"/>
      <c r="D82" s="554"/>
      <c r="E82" s="554"/>
      <c r="F82" s="554"/>
      <c r="G82" s="554"/>
      <c r="H82" s="554"/>
      <c r="I82" s="554"/>
      <c r="J82" s="554"/>
      <c r="K82" s="554"/>
      <c r="L82" s="554"/>
      <c r="M82" s="554"/>
      <c r="N82" s="554"/>
      <c r="O82" s="554"/>
      <c r="P82" s="554"/>
      <c r="Q82" s="554"/>
      <c r="R82" s="554"/>
      <c r="S82" s="554"/>
      <c r="T82" s="554"/>
      <c r="U82" s="554"/>
      <c r="V82" s="554"/>
      <c r="W82" s="554"/>
      <c r="X82" s="554"/>
      <c r="Y82" s="554"/>
      <c r="Z82" s="554"/>
      <c r="AA82" s="554"/>
      <c r="AB82" s="554"/>
      <c r="AC82" s="554"/>
      <c r="AD82" s="554"/>
      <c r="AE82" s="554"/>
      <c r="AF82" s="554"/>
      <c r="AG82" s="554"/>
      <c r="AH82" s="554"/>
      <c r="AI82" s="554"/>
      <c r="AJ82" s="554"/>
      <c r="AK82" s="554"/>
      <c r="AL82" s="554"/>
      <c r="AM82" s="554"/>
      <c r="AN82" s="554"/>
      <c r="AO82" s="554"/>
      <c r="AP82" s="554"/>
      <c r="AQ82" s="554"/>
      <c r="AR82" s="554"/>
      <c r="AS82" s="554"/>
      <c r="AT82" s="554"/>
      <c r="AU82" s="554"/>
      <c r="AV82" s="554"/>
      <c r="AW82" s="554"/>
      <c r="AX82" s="554"/>
      <c r="AY82" s="554"/>
      <c r="AZ82" s="554"/>
      <c r="BA82" s="554"/>
      <c r="BB82" s="554"/>
      <c r="BC82" s="554"/>
      <c r="BD82" s="554"/>
      <c r="BE82" s="554"/>
      <c r="BF82" s="554"/>
      <c r="BG82" s="554"/>
      <c r="BH82" s="554"/>
      <c r="BI82" s="554"/>
      <c r="BJ82" s="554"/>
      <c r="BK82" s="554"/>
      <c r="BL82" s="554"/>
      <c r="BM82" s="554"/>
      <c r="BN82" s="554"/>
      <c r="BO82" s="554"/>
      <c r="BP82" s="554"/>
      <c r="BQ82" s="554"/>
      <c r="BR82" s="554"/>
      <c r="BS82" s="554"/>
      <c r="BT82" s="554"/>
      <c r="BU82" s="554"/>
      <c r="BV82" s="554"/>
      <c r="BW82" s="554"/>
      <c r="BX82" s="554"/>
      <c r="BY82" s="554"/>
      <c r="BZ82" s="554"/>
      <c r="CA82" s="554"/>
      <c r="CB82" s="554"/>
      <c r="CC82" s="554"/>
      <c r="CD82" s="554"/>
      <c r="CE82" s="554"/>
      <c r="CF82" s="554"/>
      <c r="CG82" s="554"/>
      <c r="CH82" s="554"/>
      <c r="CI82" s="554"/>
      <c r="CJ82" s="554"/>
      <c r="CK82" s="554"/>
      <c r="CL82" s="554"/>
      <c r="CM82" s="554"/>
      <c r="CN82" s="554"/>
      <c r="CO82" s="554"/>
      <c r="CP82" s="554"/>
      <c r="CQ82" s="554"/>
      <c r="CR82" s="554"/>
      <c r="CS82" s="554"/>
      <c r="CT82" s="554"/>
      <c r="CU82" s="554"/>
      <c r="CV82" s="554"/>
      <c r="CW82" s="554"/>
      <c r="CX82" s="554"/>
      <c r="CY82" s="554"/>
      <c r="CZ82" s="554"/>
      <c r="DA82" s="554"/>
      <c r="DB82" s="554"/>
      <c r="DC82" s="554"/>
      <c r="DD82" s="554"/>
      <c r="DE82" s="554"/>
      <c r="DF82" s="554"/>
      <c r="DG82" s="554"/>
      <c r="DH82" s="554"/>
      <c r="DI82" s="554"/>
      <c r="DJ82" s="554"/>
      <c r="DK82" s="554"/>
      <c r="DL82" s="554"/>
      <c r="DM82" s="554"/>
      <c r="DN82" s="554"/>
      <c r="DO82" s="554"/>
      <c r="DP82" s="554"/>
      <c r="DQ82" s="554"/>
      <c r="DR82" s="554"/>
      <c r="DS82" s="554"/>
      <c r="DT82" s="554"/>
      <c r="DU82" s="554"/>
      <c r="DV82" s="554"/>
      <c r="DW82" s="554"/>
      <c r="DX82" s="554"/>
      <c r="DY82" s="554"/>
      <c r="DZ82" s="554"/>
      <c r="EA82" s="554"/>
      <c r="EB82" s="554"/>
      <c r="EC82" s="554"/>
      <c r="ED82" s="554"/>
      <c r="EE82" s="554"/>
      <c r="EF82" s="554"/>
      <c r="EG82" s="554"/>
      <c r="EH82" s="554"/>
      <c r="EI82" s="554"/>
      <c r="EJ82" s="554"/>
      <c r="EK82" s="554"/>
      <c r="EL82" s="554"/>
      <c r="EM82" s="554"/>
      <c r="EN82" s="554"/>
      <c r="EO82" s="554"/>
      <c r="EP82" s="554"/>
      <c r="EQ82" s="554"/>
      <c r="ER82" s="554"/>
      <c r="ES82" s="554"/>
      <c r="ET82" s="554"/>
      <c r="EU82" s="554"/>
      <c r="EV82" s="554"/>
      <c r="EW82" s="554"/>
      <c r="EX82" s="554"/>
      <c r="EY82" s="554"/>
      <c r="EZ82" s="554"/>
      <c r="FA82" s="554"/>
      <c r="FB82" s="554"/>
      <c r="FC82" s="554"/>
      <c r="FD82" s="554"/>
      <c r="FE82" s="554"/>
      <c r="FF82" s="554"/>
      <c r="FG82" s="554"/>
      <c r="FH82" s="554"/>
      <c r="FI82" s="554"/>
      <c r="FJ82" s="554"/>
      <c r="FK82" s="554"/>
      <c r="FL82" s="554"/>
      <c r="FM82" s="48"/>
      <c r="FN82" s="48"/>
      <c r="FO82" s="48"/>
      <c r="FP82" s="48"/>
      <c r="FQ82" s="48"/>
      <c r="FR82" s="48"/>
      <c r="FS82" s="48"/>
      <c r="FT82" s="48"/>
      <c r="FU82" s="48"/>
      <c r="FV82" s="48"/>
      <c r="FW82" s="47"/>
      <c r="FX82" s="47"/>
      <c r="FY82" s="47"/>
      <c r="FZ82" s="47"/>
      <c r="GA82" s="47">
        <f ca="1">0.3*GA89</f>
        <v>0</v>
      </c>
      <c r="GB82" s="47" t="e">
        <f ca="1">0.3*GB89</f>
        <v>#VALUE!</v>
      </c>
      <c r="GC82" s="47" t="e">
        <f ca="1">0.3*GC89</f>
        <v>#VALUE!</v>
      </c>
      <c r="GD82" s="47">
        <f ca="1">IF(FO1=0,0,IF(FN29=1,GD81+1*GB36,IF(FN29=2,GH89+1*GB36,0)))</f>
        <v>0</v>
      </c>
      <c r="GE82" s="47">
        <f t="shared" ca="1" si="16"/>
        <v>0</v>
      </c>
      <c r="GF82" s="47">
        <f t="shared" ca="1" si="17"/>
        <v>0</v>
      </c>
      <c r="GG82" s="47">
        <f t="shared" ca="1" si="18"/>
        <v>0</v>
      </c>
      <c r="GH82" s="47">
        <f ca="1">GH89</f>
        <v>0</v>
      </c>
      <c r="GI82" s="47">
        <f ca="1">0.3*GI89</f>
        <v>0</v>
      </c>
      <c r="GJ82" s="47">
        <f ca="1">0.3*GJ89</f>
        <v>0</v>
      </c>
      <c r="GK82" s="47">
        <f ca="1">GK89</f>
        <v>0</v>
      </c>
      <c r="GL82" s="47">
        <f ca="1">GL89</f>
        <v>0</v>
      </c>
      <c r="GM82" s="47">
        <f ca="1">IF(FO1=0,0,-GC32*GB38^2+GD32*GB38)</f>
        <v>0</v>
      </c>
      <c r="GN82" s="47">
        <f ca="1">IF(FO1=1,GL32*GC82^2+GM32*GC82^1+GF32,0)</f>
        <v>0</v>
      </c>
      <c r="GO82" s="47">
        <f ca="1">IF(FO1=0,0,IF(FN29=2,GM40,IF(FN29=1,GR22*GD82+GS23,0)))</f>
        <v>0</v>
      </c>
      <c r="GP82" s="47">
        <f ca="1">IF(FO1=0,0,IF(FN29=1,GS22*GD82+GS27,0))</f>
        <v>0</v>
      </c>
      <c r="GQ82" s="47">
        <f ca="1">GQ89</f>
        <v>0</v>
      </c>
      <c r="GR82" s="47">
        <f ca="1">0.3*GR89</f>
        <v>0</v>
      </c>
      <c r="GS82" s="47">
        <f t="shared" ca="1" si="19"/>
        <v>0</v>
      </c>
      <c r="GT82" s="47">
        <f ca="1">GT89</f>
        <v>0</v>
      </c>
      <c r="GU82" s="47">
        <f ca="1">IF(FO1=0,0,IF(FN29=3,GU89,0))</f>
        <v>0</v>
      </c>
      <c r="GV82" s="47">
        <f ca="1">0.3*GV89</f>
        <v>0</v>
      </c>
      <c r="GW82" s="47">
        <f ca="1">IF(FO1=1,0.3*GW89,0)</f>
        <v>0</v>
      </c>
      <c r="GX82" s="47"/>
      <c r="GY82" s="47"/>
      <c r="GZ82" s="47">
        <v>46</v>
      </c>
      <c r="HA82" s="47" t="e">
        <f ca="1">HA35+GZ82*(HA87-HA35)/GZ86</f>
        <v>#VALUE!</v>
      </c>
      <c r="HB82" s="47" t="e">
        <f ca="1">GY49*HA82^3+GY50*HA82^2+GY51*HA82+GY52</f>
        <v>#VALUE!</v>
      </c>
      <c r="HC82" s="47" t="e">
        <f t="shared" ca="1" si="20"/>
        <v>#VALUE!</v>
      </c>
      <c r="HD82" s="47" t="e">
        <f ca="1">HD35+GZ82*(HD87-HD35)/GZ86</f>
        <v>#VALUE!</v>
      </c>
      <c r="HE82" s="47" t="e">
        <f ca="1">GY49*HD82^3+GY50*HD82^2+GY51*HD82+GY52</f>
        <v>#VALUE!</v>
      </c>
      <c r="HF82" s="47" t="e">
        <f t="shared" ca="1" si="9"/>
        <v>#VALUE!</v>
      </c>
      <c r="HG82" s="47" t="e">
        <f ca="1">HG35+GZ82*(HG87-HG35)/GZ86</f>
        <v>#VALUE!</v>
      </c>
      <c r="HH82" s="47" t="e">
        <f ca="1">GG32*HG82^3+GH32*HG82^2+GI32*HG82+GF32+GC61</f>
        <v>#VALUE!</v>
      </c>
      <c r="HI82" s="47" t="e">
        <f t="shared" ca="1" si="2"/>
        <v>#VALUE!</v>
      </c>
      <c r="HJ82" s="47" t="e">
        <f t="shared" ca="1" si="3"/>
        <v>#VALUE!</v>
      </c>
      <c r="HK82" s="47" t="e">
        <f t="shared" ca="1" si="4"/>
        <v>#VALUE!</v>
      </c>
      <c r="HL82" s="47" t="e">
        <f t="shared" ca="1" si="5"/>
        <v>#VALUE!</v>
      </c>
      <c r="HM82" s="47"/>
    </row>
    <row r="83" spans="1:221" ht="16.5" customHeight="1">
      <c r="A83" s="1"/>
      <c r="B83" s="3"/>
      <c r="C83" s="3"/>
      <c r="D83" s="43" t="str">
        <f t="shared" ref="D83:M83" ca="1" si="21">IF($FM$70=0,"`","")</f>
        <v>`</v>
      </c>
      <c r="E83" s="43" t="str">
        <f t="shared" ca="1" si="21"/>
        <v>`</v>
      </c>
      <c r="F83" s="43" t="str">
        <f t="shared" ca="1" si="21"/>
        <v>`</v>
      </c>
      <c r="G83" s="43" t="str">
        <f t="shared" ca="1" si="21"/>
        <v>`</v>
      </c>
      <c r="H83" s="43" t="str">
        <f t="shared" ca="1" si="21"/>
        <v>`</v>
      </c>
      <c r="I83" s="43" t="str">
        <f t="shared" ca="1" si="21"/>
        <v>`</v>
      </c>
      <c r="J83" s="43" t="str">
        <f t="shared" ca="1" si="21"/>
        <v>`</v>
      </c>
      <c r="K83" s="43" t="str">
        <f t="shared" ca="1" si="21"/>
        <v>`</v>
      </c>
      <c r="L83" s="43" t="str">
        <f t="shared" ca="1" si="21"/>
        <v>`</v>
      </c>
      <c r="M83" s="43" t="str">
        <f t="shared" ca="1" si="21"/>
        <v>`</v>
      </c>
      <c r="N83" s="43" t="str">
        <f t="shared" ref="N83:W83" ca="1" si="22">IF($FM$70=0,"`","")</f>
        <v>`</v>
      </c>
      <c r="O83" s="43" t="str">
        <f t="shared" ca="1" si="22"/>
        <v>`</v>
      </c>
      <c r="P83" s="43" t="str">
        <f t="shared" ca="1" si="22"/>
        <v>`</v>
      </c>
      <c r="Q83" s="43" t="str">
        <f t="shared" ca="1" si="22"/>
        <v>`</v>
      </c>
      <c r="R83" s="43" t="str">
        <f t="shared" ca="1" si="22"/>
        <v>`</v>
      </c>
      <c r="S83" s="43" t="str">
        <f t="shared" ca="1" si="22"/>
        <v>`</v>
      </c>
      <c r="T83" s="43" t="str">
        <f t="shared" ca="1" si="22"/>
        <v>`</v>
      </c>
      <c r="U83" s="43" t="str">
        <f t="shared" ca="1" si="22"/>
        <v>`</v>
      </c>
      <c r="V83" s="43" t="str">
        <f t="shared" ca="1" si="22"/>
        <v>`</v>
      </c>
      <c r="W83" s="43" t="str">
        <f t="shared" ca="1" si="22"/>
        <v>`</v>
      </c>
      <c r="X83" s="43" t="str">
        <f t="shared" ref="X83:AG83" ca="1" si="23">IF($FM$70=0,"`","")</f>
        <v>`</v>
      </c>
      <c r="Y83" s="43" t="str">
        <f t="shared" ca="1" si="23"/>
        <v>`</v>
      </c>
      <c r="Z83" s="43" t="str">
        <f t="shared" ca="1" si="23"/>
        <v>`</v>
      </c>
      <c r="AA83" s="43" t="str">
        <f t="shared" ca="1" si="23"/>
        <v>`</v>
      </c>
      <c r="AB83" s="43" t="str">
        <f t="shared" ca="1" si="23"/>
        <v>`</v>
      </c>
      <c r="AC83" s="43" t="str">
        <f t="shared" ca="1" si="23"/>
        <v>`</v>
      </c>
      <c r="AD83" s="43" t="str">
        <f t="shared" ca="1" si="23"/>
        <v>`</v>
      </c>
      <c r="AE83" s="43" t="str">
        <f t="shared" ca="1" si="23"/>
        <v>`</v>
      </c>
      <c r="AF83" s="43" t="str">
        <f t="shared" ca="1" si="23"/>
        <v>`</v>
      </c>
      <c r="AG83" s="43" t="str">
        <f t="shared" ca="1" si="23"/>
        <v>`</v>
      </c>
      <c r="AH83" s="43" t="str">
        <f t="shared" ref="AH83:AQ83" ca="1" si="24">IF($FM$70=0,"`","")</f>
        <v>`</v>
      </c>
      <c r="AI83" s="43" t="str">
        <f t="shared" ca="1" si="24"/>
        <v>`</v>
      </c>
      <c r="AJ83" s="43" t="str">
        <f t="shared" ca="1" si="24"/>
        <v>`</v>
      </c>
      <c r="AK83" s="43" t="str">
        <f t="shared" ca="1" si="24"/>
        <v>`</v>
      </c>
      <c r="AL83" s="43" t="str">
        <f t="shared" ca="1" si="24"/>
        <v>`</v>
      </c>
      <c r="AM83" s="43" t="str">
        <f t="shared" ca="1" si="24"/>
        <v>`</v>
      </c>
      <c r="AN83" s="43" t="str">
        <f t="shared" ca="1" si="24"/>
        <v>`</v>
      </c>
      <c r="AO83" s="43" t="str">
        <f t="shared" ca="1" si="24"/>
        <v>`</v>
      </c>
      <c r="AP83" s="43" t="str">
        <f t="shared" ca="1" si="24"/>
        <v>`</v>
      </c>
      <c r="AQ83" s="43" t="str">
        <f t="shared" ca="1" si="24"/>
        <v>`</v>
      </c>
      <c r="AR83" s="43" t="str">
        <f t="shared" ref="AR83:BA83" ca="1" si="25">IF($FM$70=0,"`","")</f>
        <v>`</v>
      </c>
      <c r="AS83" s="43" t="str">
        <f t="shared" ca="1" si="25"/>
        <v>`</v>
      </c>
      <c r="AT83" s="43" t="str">
        <f t="shared" ca="1" si="25"/>
        <v>`</v>
      </c>
      <c r="AU83" s="43" t="str">
        <f t="shared" ca="1" si="25"/>
        <v>`</v>
      </c>
      <c r="AV83" s="43" t="str">
        <f t="shared" ca="1" si="25"/>
        <v>`</v>
      </c>
      <c r="AW83" s="43" t="str">
        <f t="shared" ca="1" si="25"/>
        <v>`</v>
      </c>
      <c r="AX83" s="43" t="str">
        <f t="shared" ca="1" si="25"/>
        <v>`</v>
      </c>
      <c r="AY83" s="43" t="str">
        <f t="shared" ca="1" si="25"/>
        <v>`</v>
      </c>
      <c r="AZ83" s="43" t="str">
        <f t="shared" ca="1" si="25"/>
        <v>`</v>
      </c>
      <c r="BA83" s="43" t="str">
        <f t="shared" ca="1" si="25"/>
        <v>`</v>
      </c>
      <c r="BB83" s="43" t="str">
        <f t="shared" ref="BB83:BK83" ca="1" si="26">IF($FM$70=0,"`","")</f>
        <v>`</v>
      </c>
      <c r="BC83" s="43" t="str">
        <f t="shared" ca="1" si="26"/>
        <v>`</v>
      </c>
      <c r="BD83" s="43" t="str">
        <f t="shared" ca="1" si="26"/>
        <v>`</v>
      </c>
      <c r="BE83" s="43" t="str">
        <f t="shared" ca="1" si="26"/>
        <v>`</v>
      </c>
      <c r="BF83" s="43" t="str">
        <f t="shared" ca="1" si="26"/>
        <v>`</v>
      </c>
      <c r="BG83" s="43" t="str">
        <f t="shared" ca="1" si="26"/>
        <v>`</v>
      </c>
      <c r="BH83" s="43" t="str">
        <f t="shared" ca="1" si="26"/>
        <v>`</v>
      </c>
      <c r="BI83" s="43" t="str">
        <f t="shared" ca="1" si="26"/>
        <v>`</v>
      </c>
      <c r="BJ83" s="43" t="str">
        <f t="shared" ca="1" si="26"/>
        <v>`</v>
      </c>
      <c r="BK83" s="43" t="str">
        <f t="shared" ca="1" si="26"/>
        <v>`</v>
      </c>
      <c r="BL83" s="43" t="str">
        <f t="shared" ref="BL83:BU83" ca="1" si="27">IF($FM$70=0,"`","")</f>
        <v>`</v>
      </c>
      <c r="BM83" s="43" t="str">
        <f t="shared" ca="1" si="27"/>
        <v>`</v>
      </c>
      <c r="BN83" s="43" t="str">
        <f t="shared" ca="1" si="27"/>
        <v>`</v>
      </c>
      <c r="BO83" s="43" t="str">
        <f t="shared" ca="1" si="27"/>
        <v>`</v>
      </c>
      <c r="BP83" s="43" t="str">
        <f t="shared" ca="1" si="27"/>
        <v>`</v>
      </c>
      <c r="BQ83" s="43" t="str">
        <f t="shared" ca="1" si="27"/>
        <v>`</v>
      </c>
      <c r="BR83" s="43" t="str">
        <f t="shared" ca="1" si="27"/>
        <v>`</v>
      </c>
      <c r="BS83" s="43" t="str">
        <f t="shared" ca="1" si="27"/>
        <v>`</v>
      </c>
      <c r="BT83" s="43" t="str">
        <f t="shared" ca="1" si="27"/>
        <v>`</v>
      </c>
      <c r="BU83" s="43" t="str">
        <f t="shared" ca="1" si="27"/>
        <v>`</v>
      </c>
      <c r="BV83" s="43" t="str">
        <f t="shared" ref="BV83:CE83" ca="1" si="28">IF($FM$70=0,"`","")</f>
        <v>`</v>
      </c>
      <c r="BW83" s="43" t="str">
        <f t="shared" ca="1" si="28"/>
        <v>`</v>
      </c>
      <c r="BX83" s="43" t="str">
        <f t="shared" ca="1" si="28"/>
        <v>`</v>
      </c>
      <c r="BY83" s="43" t="str">
        <f t="shared" ca="1" si="28"/>
        <v>`</v>
      </c>
      <c r="BZ83" s="43" t="str">
        <f t="shared" ca="1" si="28"/>
        <v>`</v>
      </c>
      <c r="CA83" s="43" t="str">
        <f t="shared" ca="1" si="28"/>
        <v>`</v>
      </c>
      <c r="CB83" s="43" t="str">
        <f t="shared" ca="1" si="28"/>
        <v>`</v>
      </c>
      <c r="CC83" s="43" t="str">
        <f t="shared" ca="1" si="28"/>
        <v>`</v>
      </c>
      <c r="CD83" s="43" t="str">
        <f t="shared" ca="1" si="28"/>
        <v>`</v>
      </c>
      <c r="CE83" s="43" t="str">
        <f t="shared" ca="1" si="28"/>
        <v>`</v>
      </c>
      <c r="CF83" s="43" t="str">
        <f t="shared" ref="CF83:CO83" ca="1" si="29">IF($FM$70=0,"`","")</f>
        <v>`</v>
      </c>
      <c r="CG83" s="43" t="str">
        <f t="shared" ca="1" si="29"/>
        <v>`</v>
      </c>
      <c r="CH83" s="43" t="str">
        <f t="shared" ca="1" si="29"/>
        <v>`</v>
      </c>
      <c r="CI83" s="43" t="str">
        <f t="shared" ca="1" si="29"/>
        <v>`</v>
      </c>
      <c r="CJ83" s="43" t="str">
        <f t="shared" ca="1" si="29"/>
        <v>`</v>
      </c>
      <c r="CK83" s="43" t="str">
        <f t="shared" ca="1" si="29"/>
        <v>`</v>
      </c>
      <c r="CL83" s="43" t="str">
        <f t="shared" ca="1" si="29"/>
        <v>`</v>
      </c>
      <c r="CM83" s="43" t="str">
        <f t="shared" ca="1" si="29"/>
        <v>`</v>
      </c>
      <c r="CN83" s="43" t="str">
        <f t="shared" ca="1" si="29"/>
        <v>`</v>
      </c>
      <c r="CO83" s="43" t="str">
        <f t="shared" ca="1" si="29"/>
        <v>`</v>
      </c>
      <c r="CP83" s="43" t="str">
        <f t="shared" ref="CP83:CY83" ca="1" si="30">IF($FM$70=0,"`","")</f>
        <v>`</v>
      </c>
      <c r="CQ83" s="43" t="str">
        <f t="shared" ca="1" si="30"/>
        <v>`</v>
      </c>
      <c r="CR83" s="43" t="str">
        <f t="shared" ca="1" si="30"/>
        <v>`</v>
      </c>
      <c r="CS83" s="43" t="str">
        <f t="shared" ca="1" si="30"/>
        <v>`</v>
      </c>
      <c r="CT83" s="43" t="str">
        <f t="shared" ca="1" si="30"/>
        <v>`</v>
      </c>
      <c r="CU83" s="43" t="str">
        <f t="shared" ca="1" si="30"/>
        <v>`</v>
      </c>
      <c r="CV83" s="43" t="str">
        <f t="shared" ca="1" si="30"/>
        <v>`</v>
      </c>
      <c r="CW83" s="43" t="str">
        <f t="shared" ca="1" si="30"/>
        <v>`</v>
      </c>
      <c r="CX83" s="43" t="str">
        <f t="shared" ca="1" si="30"/>
        <v>`</v>
      </c>
      <c r="CY83" s="43" t="str">
        <f t="shared" ca="1" si="30"/>
        <v>`</v>
      </c>
      <c r="CZ83" s="43" t="str">
        <f t="shared" ref="CZ83:DI83" ca="1" si="31">IF($FM$70=0,"`","")</f>
        <v>`</v>
      </c>
      <c r="DA83" s="43" t="str">
        <f t="shared" ca="1" si="31"/>
        <v>`</v>
      </c>
      <c r="DB83" s="43" t="str">
        <f t="shared" ca="1" si="31"/>
        <v>`</v>
      </c>
      <c r="DC83" s="43" t="str">
        <f t="shared" ca="1" si="31"/>
        <v>`</v>
      </c>
      <c r="DD83" s="43" t="str">
        <f t="shared" ca="1" si="31"/>
        <v>`</v>
      </c>
      <c r="DE83" s="43" t="str">
        <f t="shared" ca="1" si="31"/>
        <v>`</v>
      </c>
      <c r="DF83" s="43" t="str">
        <f t="shared" ca="1" si="31"/>
        <v>`</v>
      </c>
      <c r="DG83" s="43" t="str">
        <f t="shared" ca="1" si="31"/>
        <v>`</v>
      </c>
      <c r="DH83" s="43" t="str">
        <f t="shared" ca="1" si="31"/>
        <v>`</v>
      </c>
      <c r="DI83" s="43" t="str">
        <f t="shared" ca="1" si="31"/>
        <v>`</v>
      </c>
      <c r="DJ83" s="43" t="str">
        <f t="shared" ref="DJ83:DS83" ca="1" si="32">IF($FM$70=0,"`","")</f>
        <v>`</v>
      </c>
      <c r="DK83" s="43" t="str">
        <f t="shared" ca="1" si="32"/>
        <v>`</v>
      </c>
      <c r="DL83" s="43" t="str">
        <f t="shared" ca="1" si="32"/>
        <v>`</v>
      </c>
      <c r="DM83" s="43" t="str">
        <f t="shared" ca="1" si="32"/>
        <v>`</v>
      </c>
      <c r="DN83" s="43" t="str">
        <f t="shared" ca="1" si="32"/>
        <v>`</v>
      </c>
      <c r="DO83" s="43" t="str">
        <f t="shared" ca="1" si="32"/>
        <v>`</v>
      </c>
      <c r="DP83" s="43" t="str">
        <f t="shared" ca="1" si="32"/>
        <v>`</v>
      </c>
      <c r="DQ83" s="43" t="str">
        <f t="shared" ca="1" si="32"/>
        <v>`</v>
      </c>
      <c r="DR83" s="43" t="str">
        <f t="shared" ca="1" si="32"/>
        <v>`</v>
      </c>
      <c r="DS83" s="43" t="str">
        <f t="shared" ca="1" si="32"/>
        <v>`</v>
      </c>
      <c r="DT83" s="43" t="str">
        <f t="shared" ref="DT83:EC83" ca="1" si="33">IF($FM$70=0,"`","")</f>
        <v>`</v>
      </c>
      <c r="DU83" s="43" t="str">
        <f t="shared" ca="1" si="33"/>
        <v>`</v>
      </c>
      <c r="DV83" s="43" t="str">
        <f t="shared" ca="1" si="33"/>
        <v>`</v>
      </c>
      <c r="DW83" s="43" t="str">
        <f t="shared" ca="1" si="33"/>
        <v>`</v>
      </c>
      <c r="DX83" s="43" t="str">
        <f t="shared" ca="1" si="33"/>
        <v>`</v>
      </c>
      <c r="DY83" s="43" t="str">
        <f t="shared" ca="1" si="33"/>
        <v>`</v>
      </c>
      <c r="DZ83" s="43" t="str">
        <f t="shared" ca="1" si="33"/>
        <v>`</v>
      </c>
      <c r="EA83" s="43" t="str">
        <f t="shared" ca="1" si="33"/>
        <v>`</v>
      </c>
      <c r="EB83" s="43" t="str">
        <f t="shared" ca="1" si="33"/>
        <v>`</v>
      </c>
      <c r="EC83" s="43" t="str">
        <f t="shared" ca="1" si="33"/>
        <v>`</v>
      </c>
      <c r="ED83" s="43" t="str">
        <f t="shared" ref="ED83:EM83" ca="1" si="34">IF($FM$70=0,"`","")</f>
        <v>`</v>
      </c>
      <c r="EE83" s="43" t="str">
        <f t="shared" ca="1" si="34"/>
        <v>`</v>
      </c>
      <c r="EF83" s="43" t="str">
        <f t="shared" ca="1" si="34"/>
        <v>`</v>
      </c>
      <c r="EG83" s="43" t="str">
        <f t="shared" ca="1" si="34"/>
        <v>`</v>
      </c>
      <c r="EH83" s="43" t="str">
        <f t="shared" ca="1" si="34"/>
        <v>`</v>
      </c>
      <c r="EI83" s="43" t="str">
        <f t="shared" ca="1" si="34"/>
        <v>`</v>
      </c>
      <c r="EJ83" s="43" t="str">
        <f t="shared" ca="1" si="34"/>
        <v>`</v>
      </c>
      <c r="EK83" s="43" t="str">
        <f t="shared" ca="1" si="34"/>
        <v>`</v>
      </c>
      <c r="EL83" s="43" t="str">
        <f t="shared" ca="1" si="34"/>
        <v>`</v>
      </c>
      <c r="EM83" s="43" t="str">
        <f t="shared" ca="1" si="34"/>
        <v>`</v>
      </c>
      <c r="EN83" s="43" t="str">
        <f t="shared" ref="EN83:EW83" ca="1" si="35">IF($FM$70=0,"`","")</f>
        <v>`</v>
      </c>
      <c r="EO83" s="43" t="str">
        <f t="shared" ca="1" si="35"/>
        <v>`</v>
      </c>
      <c r="EP83" s="43" t="str">
        <f t="shared" ca="1" si="35"/>
        <v>`</v>
      </c>
      <c r="EQ83" s="43" t="str">
        <f t="shared" ca="1" si="35"/>
        <v>`</v>
      </c>
      <c r="ER83" s="43" t="str">
        <f t="shared" ca="1" si="35"/>
        <v>`</v>
      </c>
      <c r="ES83" s="43" t="str">
        <f t="shared" ca="1" si="35"/>
        <v>`</v>
      </c>
      <c r="ET83" s="43" t="str">
        <f t="shared" ca="1" si="35"/>
        <v>`</v>
      </c>
      <c r="EU83" s="43" t="str">
        <f t="shared" ca="1" si="35"/>
        <v>`</v>
      </c>
      <c r="EV83" s="43" t="str">
        <f t="shared" ca="1" si="35"/>
        <v>`</v>
      </c>
      <c r="EW83" s="43" t="str">
        <f t="shared" ca="1" si="35"/>
        <v>`</v>
      </c>
      <c r="EX83" s="43" t="str">
        <f t="shared" ref="EX83:FL83" ca="1" si="36">IF($FM$70=0,"`","")</f>
        <v>`</v>
      </c>
      <c r="EY83" s="43" t="str">
        <f t="shared" ca="1" si="36"/>
        <v>`</v>
      </c>
      <c r="EZ83" s="43" t="str">
        <f t="shared" ca="1" si="36"/>
        <v>`</v>
      </c>
      <c r="FA83" s="43" t="str">
        <f t="shared" ca="1" si="36"/>
        <v>`</v>
      </c>
      <c r="FB83" s="43" t="str">
        <f t="shared" ca="1" si="36"/>
        <v>`</v>
      </c>
      <c r="FC83" s="43" t="str">
        <f t="shared" ca="1" si="36"/>
        <v>`</v>
      </c>
      <c r="FD83" s="43" t="str">
        <f t="shared" ca="1" si="36"/>
        <v>`</v>
      </c>
      <c r="FE83" s="43" t="str">
        <f t="shared" ca="1" si="36"/>
        <v>`</v>
      </c>
      <c r="FF83" s="43" t="str">
        <f t="shared" ca="1" si="36"/>
        <v>`</v>
      </c>
      <c r="FG83" s="43" t="str">
        <f t="shared" ca="1" si="36"/>
        <v>`</v>
      </c>
      <c r="FH83" s="43" t="str">
        <f t="shared" ca="1" si="36"/>
        <v>`</v>
      </c>
      <c r="FI83" s="43" t="str">
        <f t="shared" ca="1" si="36"/>
        <v>`</v>
      </c>
      <c r="FJ83" s="43" t="str">
        <f t="shared" ca="1" si="36"/>
        <v>`</v>
      </c>
      <c r="FK83" s="43" t="str">
        <f t="shared" ca="1" si="36"/>
        <v>`</v>
      </c>
      <c r="FL83" s="43" t="str">
        <f t="shared" ca="1" si="36"/>
        <v>`</v>
      </c>
      <c r="FM83" s="48"/>
      <c r="FN83" s="48"/>
      <c r="FO83" s="48"/>
      <c r="FP83" s="48"/>
      <c r="FQ83" s="48"/>
      <c r="FR83" s="48"/>
      <c r="FS83" s="48"/>
      <c r="FT83" s="48"/>
      <c r="FU83" s="48"/>
      <c r="FV83" s="48"/>
      <c r="FW83" s="47"/>
      <c r="FX83" s="47"/>
      <c r="FY83" s="47"/>
      <c r="FZ83" s="47"/>
      <c r="GA83" s="47">
        <f ca="1">0.4*GA89</f>
        <v>0</v>
      </c>
      <c r="GB83" s="47" t="e">
        <f ca="1">0.4*GB89</f>
        <v>#VALUE!</v>
      </c>
      <c r="GC83" s="47" t="e">
        <f ca="1">0.4*GC89</f>
        <v>#VALUE!</v>
      </c>
      <c r="GD83" s="47">
        <f ca="1">IF(FO1=0,0,IF(FN29=1,GD81+2*GB36,IF(FN29=2,GH89+2*GB36,0)))</f>
        <v>0</v>
      </c>
      <c r="GE83" s="47">
        <f t="shared" ca="1" si="16"/>
        <v>0</v>
      </c>
      <c r="GF83" s="47">
        <f t="shared" ca="1" si="17"/>
        <v>0</v>
      </c>
      <c r="GG83" s="47">
        <f t="shared" ca="1" si="18"/>
        <v>0</v>
      </c>
      <c r="GH83" s="47">
        <f ca="1">GH89</f>
        <v>0</v>
      </c>
      <c r="GI83" s="47">
        <f ca="1">0.4*GI89</f>
        <v>0</v>
      </c>
      <c r="GJ83" s="47">
        <f ca="1">0.4*GJ89</f>
        <v>0</v>
      </c>
      <c r="GK83" s="47">
        <f ca="1">GK89</f>
        <v>0</v>
      </c>
      <c r="GL83" s="47">
        <f ca="1">GL89</f>
        <v>0</v>
      </c>
      <c r="GM83" s="47">
        <f ca="1">IF(FO1=0,0,-GC32*GB39^2+GD32*GB39)</f>
        <v>0</v>
      </c>
      <c r="GN83" s="47">
        <f ca="1">IF(FO1=1,GL32*GC83^2+GM32*GC83^1+GF32,0)</f>
        <v>0</v>
      </c>
      <c r="GO83" s="47">
        <f ca="1">IF(FO1=0,0,IF(FN29=2,GM40,IF(FN29=1,GR22*GD83+GS23,0)))</f>
        <v>0</v>
      </c>
      <c r="GP83" s="47">
        <f ca="1">IF(FO1=0,0,IF(FN29=1,GS22*GD83+GS27,0))</f>
        <v>0</v>
      </c>
      <c r="GQ83" s="47">
        <f ca="1">GQ89</f>
        <v>0</v>
      </c>
      <c r="GR83" s="47">
        <f ca="1">0.4*GR89</f>
        <v>0</v>
      </c>
      <c r="GS83" s="47">
        <f t="shared" ca="1" si="19"/>
        <v>0</v>
      </c>
      <c r="GT83" s="47">
        <f ca="1">GT89</f>
        <v>0</v>
      </c>
      <c r="GU83" s="47">
        <f ca="1">IF(FO1=0,0,IF(FN29=3,GU89,0))</f>
        <v>0</v>
      </c>
      <c r="GV83" s="47">
        <f ca="1">0.4*GV89</f>
        <v>0</v>
      </c>
      <c r="GW83" s="47">
        <f ca="1">IF(FO1=1,0.4*GW89,0)</f>
        <v>0</v>
      </c>
      <c r="GX83" s="47"/>
      <c r="GY83" s="47"/>
      <c r="GZ83" s="47">
        <v>47</v>
      </c>
      <c r="HA83" s="47" t="e">
        <f ca="1">HA35+GZ83*(HA87-HA35)/GZ86</f>
        <v>#VALUE!</v>
      </c>
      <c r="HB83" s="47" t="e">
        <f ca="1">GY49*HA83^3+GY50*HA83^2+GY51*HA83+GY52</f>
        <v>#VALUE!</v>
      </c>
      <c r="HC83" s="47" t="e">
        <f t="shared" ca="1" si="20"/>
        <v>#VALUE!</v>
      </c>
      <c r="HD83" s="47" t="e">
        <f ca="1">HD35+GZ83*(HD87-HD35)/GZ86</f>
        <v>#VALUE!</v>
      </c>
      <c r="HE83" s="47" t="e">
        <f ca="1">GY49*HD83^3+GY50*HD83^2+GY51*HD83+GY52</f>
        <v>#VALUE!</v>
      </c>
      <c r="HF83" s="47" t="e">
        <f t="shared" ca="1" si="9"/>
        <v>#VALUE!</v>
      </c>
      <c r="HG83" s="47" t="e">
        <f ca="1">HG35+GZ83*(HG87-HG35)/GZ86</f>
        <v>#VALUE!</v>
      </c>
      <c r="HH83" s="47" t="e">
        <f ca="1">GG32*HG83^3+GH32*HG83^2+GI32*HG83+GF32+GC61</f>
        <v>#VALUE!</v>
      </c>
      <c r="HI83" s="47" t="e">
        <f t="shared" ca="1" si="2"/>
        <v>#VALUE!</v>
      </c>
      <c r="HJ83" s="47" t="e">
        <f t="shared" ca="1" si="3"/>
        <v>#VALUE!</v>
      </c>
      <c r="HK83" s="47" t="e">
        <f t="shared" ca="1" si="4"/>
        <v>#VALUE!</v>
      </c>
      <c r="HL83" s="47" t="e">
        <f t="shared" ca="1" si="5"/>
        <v>#VALUE!</v>
      </c>
      <c r="HM83" s="47"/>
    </row>
    <row r="84" spans="1:221" ht="3.75" customHeight="1">
      <c r="A84" s="1"/>
      <c r="B84" s="3"/>
      <c r="C84" s="3"/>
      <c r="D84" s="43"/>
      <c r="E84" s="43"/>
      <c r="F84" s="43"/>
      <c r="G84" s="43"/>
      <c r="H84" s="43"/>
      <c r="I84" s="43"/>
      <c r="J84" s="43"/>
      <c r="K84" s="43"/>
      <c r="L84" s="429"/>
      <c r="M84" s="430"/>
      <c r="N84" s="430"/>
      <c r="O84" s="430"/>
      <c r="P84" s="430"/>
      <c r="Q84" s="430"/>
      <c r="R84" s="430"/>
      <c r="S84" s="430"/>
      <c r="T84" s="430"/>
      <c r="U84" s="430"/>
      <c r="V84" s="430"/>
      <c r="W84" s="430"/>
      <c r="X84" s="544" t="str">
        <f ca="1">IF(FM70=1,".","")</f>
        <v/>
      </c>
      <c r="Y84" s="544"/>
      <c r="Z84" s="544"/>
      <c r="AA84" s="544"/>
      <c r="AB84" s="544"/>
      <c r="AC84" s="544"/>
      <c r="AD84" s="544"/>
      <c r="AE84" s="544"/>
      <c r="AF84" s="544"/>
      <c r="AG84" s="544"/>
      <c r="AH84" s="544"/>
      <c r="AI84" s="544"/>
      <c r="AJ84" s="544"/>
      <c r="AK84" s="544"/>
      <c r="AL84" s="544"/>
      <c r="AM84" s="544"/>
      <c r="AN84" s="544"/>
      <c r="AO84" s="544"/>
      <c r="AP84" s="544"/>
      <c r="AQ84" s="544"/>
      <c r="AR84" s="544"/>
      <c r="AS84" s="544"/>
      <c r="AT84" s="544"/>
      <c r="AU84" s="544"/>
      <c r="AV84" s="544"/>
      <c r="AW84" s="544"/>
      <c r="AX84" s="544"/>
      <c r="AY84" s="544"/>
      <c r="AZ84" s="544"/>
      <c r="BA84" s="544"/>
      <c r="BB84" s="544"/>
      <c r="BC84" s="544"/>
      <c r="BD84" s="544"/>
      <c r="BE84" s="544"/>
      <c r="BF84" s="544"/>
      <c r="BG84" s="544"/>
      <c r="BH84" s="544"/>
      <c r="BI84" s="544"/>
      <c r="BJ84" s="544"/>
      <c r="BK84" s="544"/>
      <c r="BL84" s="544"/>
      <c r="BM84" s="544"/>
      <c r="BN84" s="544"/>
      <c r="BO84" s="544"/>
      <c r="BP84" s="544"/>
      <c r="BQ84" s="544"/>
      <c r="BR84" s="544"/>
      <c r="BS84" s="544"/>
      <c r="BT84" s="544"/>
      <c r="BU84" s="544"/>
      <c r="BV84" s="544"/>
      <c r="BW84" s="544"/>
      <c r="BX84" s="544"/>
      <c r="BY84" s="544"/>
      <c r="BZ84" s="544"/>
      <c r="CA84" s="544"/>
      <c r="CB84" s="544"/>
      <c r="CC84" s="544"/>
      <c r="CD84" s="544"/>
      <c r="CE84" s="544"/>
      <c r="CF84" s="544"/>
      <c r="CG84" s="544"/>
      <c r="CH84" s="544"/>
      <c r="CI84" s="544"/>
      <c r="CJ84" s="544"/>
      <c r="CK84" s="544"/>
      <c r="CL84" s="544"/>
      <c r="CM84" s="544"/>
      <c r="CN84" s="544"/>
      <c r="CO84" s="544"/>
      <c r="CP84" s="544"/>
      <c r="CQ84" s="544"/>
      <c r="CR84" s="544"/>
      <c r="CS84" s="544"/>
      <c r="CT84" s="544"/>
      <c r="CU84" s="544"/>
      <c r="CV84" s="544"/>
      <c r="CW84" s="544"/>
      <c r="CX84" s="544"/>
      <c r="CY84" s="544"/>
      <c r="CZ84" s="544"/>
      <c r="DA84" s="544"/>
      <c r="DB84" s="544"/>
      <c r="DC84" s="544"/>
      <c r="DD84" s="544"/>
      <c r="DE84" s="544"/>
      <c r="DF84" s="544"/>
      <c r="DG84" s="544"/>
      <c r="DH84" s="544"/>
      <c r="DI84" s="544"/>
      <c r="DJ84" s="544"/>
      <c r="DK84" s="544"/>
      <c r="DL84" s="544"/>
      <c r="DM84" s="544"/>
      <c r="DN84" s="544"/>
      <c r="DO84" s="544"/>
      <c r="DP84" s="544"/>
      <c r="DQ84" s="544"/>
      <c r="DR84" s="544"/>
      <c r="DS84" s="544"/>
      <c r="DT84" s="544"/>
      <c r="DU84" s="544"/>
      <c r="DV84" s="544"/>
      <c r="DW84" s="544"/>
      <c r="DX84" s="544"/>
      <c r="DY84" s="544"/>
      <c r="DZ84" s="544"/>
      <c r="EA84" s="544"/>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8"/>
      <c r="FN84" s="48"/>
      <c r="FO84" s="48"/>
      <c r="FP84" s="48"/>
      <c r="FQ84" s="48"/>
      <c r="FR84" s="48"/>
      <c r="FS84" s="48"/>
      <c r="FT84" s="48"/>
      <c r="FU84" s="48"/>
      <c r="FV84" s="48"/>
      <c r="FW84" s="47"/>
      <c r="FX84" s="47"/>
      <c r="FY84" s="47"/>
      <c r="FZ84" s="47"/>
      <c r="GA84" s="47">
        <f ca="1">0.5*GA89</f>
        <v>0</v>
      </c>
      <c r="GB84" s="47" t="e">
        <f ca="1">0.5*GB89</f>
        <v>#VALUE!</v>
      </c>
      <c r="GC84" s="47" t="e">
        <f ca="1">0.5*GC89</f>
        <v>#VALUE!</v>
      </c>
      <c r="GD84" s="47"/>
      <c r="GE84" s="47">
        <f t="shared" ca="1" si="16"/>
        <v>0</v>
      </c>
      <c r="GF84" s="47">
        <f t="shared" ca="1" si="17"/>
        <v>0</v>
      </c>
      <c r="GG84" s="47">
        <f t="shared" ca="1" si="18"/>
        <v>0</v>
      </c>
      <c r="GH84" s="47">
        <f ca="1">GH89</f>
        <v>0</v>
      </c>
      <c r="GI84" s="47">
        <f ca="1">0.5*GI89</f>
        <v>0</v>
      </c>
      <c r="GJ84" s="47">
        <f ca="1">0.5*GJ89</f>
        <v>0</v>
      </c>
      <c r="GK84" s="47">
        <f ca="1">GK89</f>
        <v>0</v>
      </c>
      <c r="GL84" s="47">
        <f ca="1">GL89</f>
        <v>0</v>
      </c>
      <c r="GM84" s="47">
        <f ca="1">IF(FO1=0,0,-GC32*GB40^2+GD32*GB40)</f>
        <v>0</v>
      </c>
      <c r="GN84" s="47">
        <f ca="1">IF(FO1=1,GL32*GC84^2+GM32*GC84^1+GF32,0)</f>
        <v>0</v>
      </c>
      <c r="GO84" s="47"/>
      <c r="GP84" s="47"/>
      <c r="GQ84" s="47">
        <f ca="1">GQ89</f>
        <v>0</v>
      </c>
      <c r="GR84" s="47">
        <f ca="1">0.5*GR89</f>
        <v>0</v>
      </c>
      <c r="GS84" s="47">
        <f t="shared" ca="1" si="19"/>
        <v>0</v>
      </c>
      <c r="GT84" s="47">
        <f ca="1">GT89</f>
        <v>0</v>
      </c>
      <c r="GU84" s="47">
        <f ca="1">IF(FO1=0,0,IF(FN29=3,GU89,0))</f>
        <v>0</v>
      </c>
      <c r="GV84" s="47">
        <f ca="1">0.5*GV89</f>
        <v>0</v>
      </c>
      <c r="GW84" s="47">
        <f ca="1">IF(FO1=1,0.5*GW89,0)</f>
        <v>0</v>
      </c>
      <c r="GX84" s="47"/>
      <c r="GY84" s="47"/>
      <c r="GZ84" s="47">
        <v>48</v>
      </c>
      <c r="HA84" s="47" t="e">
        <f ca="1">HA35+GZ84*(HA87-HA35)/GZ86</f>
        <v>#VALUE!</v>
      </c>
      <c r="HB84" s="47" t="e">
        <f ca="1">GY49*HA84^3+GY50*HA84^2+GY51*HA84+GY52</f>
        <v>#VALUE!</v>
      </c>
      <c r="HC84" s="47" t="e">
        <f t="shared" ca="1" si="20"/>
        <v>#VALUE!</v>
      </c>
      <c r="HD84" s="47" t="e">
        <f ca="1">HD35+GZ84*(HD87-HD35)/GZ86</f>
        <v>#VALUE!</v>
      </c>
      <c r="HE84" s="47" t="e">
        <f ca="1">GY49*HD84^3+GY50*HD84^2+GY51*HD84+GY52</f>
        <v>#VALUE!</v>
      </c>
      <c r="HF84" s="47" t="e">
        <f t="shared" ca="1" si="9"/>
        <v>#VALUE!</v>
      </c>
      <c r="HG84" s="47" t="e">
        <f ca="1">HG35+GZ84*(HG87-HG35)/GZ86</f>
        <v>#VALUE!</v>
      </c>
      <c r="HH84" s="47" t="e">
        <f ca="1">GG32*HG84^3+GH32*HG84^2+GI32*HG84+GF32+GC61</f>
        <v>#VALUE!</v>
      </c>
      <c r="HI84" s="47" t="e">
        <f t="shared" ca="1" si="2"/>
        <v>#VALUE!</v>
      </c>
      <c r="HJ84" s="47" t="e">
        <f t="shared" ca="1" si="3"/>
        <v>#VALUE!</v>
      </c>
      <c r="HK84" s="47" t="e">
        <f t="shared" ca="1" si="4"/>
        <v>#VALUE!</v>
      </c>
      <c r="HL84" s="47" t="e">
        <f t="shared" ca="1" si="5"/>
        <v>#VALUE!</v>
      </c>
      <c r="HM84" s="47"/>
    </row>
    <row r="85" spans="1:221" ht="16.5" customHeight="1">
      <c r="A85" s="1"/>
      <c r="B85" s="3"/>
      <c r="C85" s="3"/>
      <c r="D85" s="43"/>
      <c r="E85" s="43"/>
      <c r="F85" s="43"/>
      <c r="G85" s="43"/>
      <c r="H85" s="43"/>
      <c r="I85" s="43"/>
      <c r="J85" s="43"/>
      <c r="K85" s="43"/>
      <c r="L85" s="429"/>
      <c r="M85" s="430"/>
      <c r="N85" s="430"/>
      <c r="O85" s="430"/>
      <c r="P85" s="430"/>
      <c r="Q85" s="430"/>
      <c r="R85" s="430"/>
      <c r="S85" s="430"/>
      <c r="T85" s="430"/>
      <c r="U85" s="430"/>
      <c r="V85" s="430"/>
      <c r="W85" s="133" t="str">
        <f ca="1">IF(FM70=1,"A:  ","")</f>
        <v/>
      </c>
      <c r="X85" s="427" t="str">
        <f ca="1">IF(FM70=1,".","")</f>
        <v/>
      </c>
      <c r="Y85" s="602"/>
      <c r="Z85" s="602"/>
      <c r="AA85" s="602"/>
      <c r="AB85" s="602"/>
      <c r="AC85" s="602"/>
      <c r="AD85" s="602"/>
      <c r="AE85" s="602"/>
      <c r="AF85" s="602"/>
      <c r="AG85" s="602"/>
      <c r="AH85" s="602"/>
      <c r="AI85" s="602"/>
      <c r="AJ85" s="602"/>
      <c r="AK85" s="602"/>
      <c r="AL85" s="602"/>
      <c r="AM85" s="602"/>
      <c r="AN85" s="602"/>
      <c r="AO85" s="602"/>
      <c r="AP85" s="602"/>
      <c r="AQ85" s="602"/>
      <c r="AR85" s="602"/>
      <c r="AS85" s="602"/>
      <c r="AT85" s="602"/>
      <c r="AU85" s="602"/>
      <c r="AV85" s="602"/>
      <c r="AW85" s="602"/>
      <c r="AX85" s="602"/>
      <c r="AY85" s="602"/>
      <c r="AZ85" s="602"/>
      <c r="BA85" s="602"/>
      <c r="BB85" s="602"/>
      <c r="BC85" s="602"/>
      <c r="BD85" s="602"/>
      <c r="BE85" s="602"/>
      <c r="BF85" s="602"/>
      <c r="BG85" s="602"/>
      <c r="BH85" s="602"/>
      <c r="BI85" s="602"/>
      <c r="BJ85" s="602"/>
      <c r="BK85" s="602"/>
      <c r="BL85" s="602"/>
      <c r="BM85" s="602"/>
      <c r="BN85" s="602"/>
      <c r="BO85" s="602"/>
      <c r="BP85" s="602"/>
      <c r="BQ85" s="602"/>
      <c r="BR85" s="602"/>
      <c r="BS85" s="602"/>
      <c r="BT85" s="602"/>
      <c r="BU85" s="602"/>
      <c r="BV85" s="602"/>
      <c r="BW85" s="602"/>
      <c r="BX85" s="602"/>
      <c r="BY85" s="602"/>
      <c r="BZ85" s="602"/>
      <c r="CA85" s="602"/>
      <c r="CB85" s="602"/>
      <c r="CC85" s="602"/>
      <c r="CD85" s="602"/>
      <c r="CE85" s="602"/>
      <c r="CF85" s="602"/>
      <c r="CG85" s="602"/>
      <c r="CH85" s="602"/>
      <c r="CI85" s="602"/>
      <c r="CJ85" s="602"/>
      <c r="CK85" s="602"/>
      <c r="CL85" s="602"/>
      <c r="CM85" s="602"/>
      <c r="CN85" s="602"/>
      <c r="CO85" s="602"/>
      <c r="CP85" s="602"/>
      <c r="CQ85" s="602"/>
      <c r="CR85" s="602"/>
      <c r="CS85" s="602"/>
      <c r="CT85" s="602"/>
      <c r="CU85" s="602"/>
      <c r="CV85" s="602"/>
      <c r="CW85" s="602"/>
      <c r="CX85" s="602"/>
      <c r="CY85" s="602"/>
      <c r="CZ85" s="602"/>
      <c r="DA85" s="602"/>
      <c r="DB85" s="602"/>
      <c r="DC85" s="602"/>
      <c r="DD85" s="602"/>
      <c r="DE85" s="602"/>
      <c r="DF85" s="602"/>
      <c r="DG85" s="602"/>
      <c r="DH85" s="602"/>
      <c r="DI85" s="602"/>
      <c r="DJ85" s="602"/>
      <c r="DK85" s="602"/>
      <c r="DL85" s="602"/>
      <c r="DM85" s="602"/>
      <c r="DN85" s="602"/>
      <c r="DO85" s="602"/>
      <c r="DP85" s="602"/>
      <c r="DQ85" s="602"/>
      <c r="DR85" s="602"/>
      <c r="DS85" s="602"/>
      <c r="DT85" s="602"/>
      <c r="DU85" s="602"/>
      <c r="DV85" s="602"/>
      <c r="DW85" s="602"/>
      <c r="DX85" s="602"/>
      <c r="DY85" s="602"/>
      <c r="DZ85" s="602"/>
      <c r="EA85" s="427" t="str">
        <f ca="1">IF(FM70=1,".","")</f>
        <v/>
      </c>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8"/>
      <c r="FN85" s="48" t="str">
        <f>IF(Y85="","",IF(AND(FM70=1,Y85=FR85),1,0))</f>
        <v/>
      </c>
      <c r="FO85" s="48" t="s">
        <v>17</v>
      </c>
      <c r="FP85" s="48" t="s">
        <v>18</v>
      </c>
      <c r="FQ85" s="48" t="s">
        <v>135</v>
      </c>
      <c r="FR85" s="48" t="s">
        <v>19</v>
      </c>
      <c r="FS85" s="48"/>
      <c r="FT85" s="48"/>
      <c r="FU85" s="48"/>
      <c r="FV85" s="48"/>
      <c r="FW85" s="47"/>
      <c r="FX85" s="47"/>
      <c r="FY85" s="47"/>
      <c r="FZ85" s="47"/>
      <c r="GA85" s="47">
        <f ca="1">0.6*GA89</f>
        <v>0</v>
      </c>
      <c r="GB85" s="47" t="e">
        <f ca="1">0.6*GB89</f>
        <v>#VALUE!</v>
      </c>
      <c r="GC85" s="47" t="e">
        <f ca="1">0.6*GC89</f>
        <v>#VALUE!</v>
      </c>
      <c r="GD85" s="47"/>
      <c r="GE85" s="47">
        <f t="shared" ca="1" si="16"/>
        <v>0</v>
      </c>
      <c r="GF85" s="47">
        <f t="shared" ca="1" si="17"/>
        <v>0</v>
      </c>
      <c r="GG85" s="47">
        <f t="shared" ca="1" si="18"/>
        <v>0</v>
      </c>
      <c r="GH85" s="47">
        <f ca="1">GH89</f>
        <v>0</v>
      </c>
      <c r="GI85" s="47">
        <f ca="1">0.6*GI89</f>
        <v>0</v>
      </c>
      <c r="GJ85" s="47">
        <f ca="1">0.6*GJ89</f>
        <v>0</v>
      </c>
      <c r="GK85" s="47">
        <f ca="1">GK89</f>
        <v>0</v>
      </c>
      <c r="GL85" s="47">
        <f ca="1">GL89</f>
        <v>0</v>
      </c>
      <c r="GM85" s="47">
        <f ca="1">IF(FO1=0,0,-GC32*GB41^2+GD32*GB41)</f>
        <v>0</v>
      </c>
      <c r="GN85" s="47">
        <f ca="1">IF(FO1=1,GL32*GC85^2+GM32*GC85^1+GF32,0)</f>
        <v>0</v>
      </c>
      <c r="GO85" s="47"/>
      <c r="GP85" s="47"/>
      <c r="GQ85" s="47">
        <f ca="1">GQ89</f>
        <v>0</v>
      </c>
      <c r="GR85" s="47">
        <f ca="1">0.6*GR89</f>
        <v>0</v>
      </c>
      <c r="GS85" s="47">
        <f t="shared" ca="1" si="19"/>
        <v>0</v>
      </c>
      <c r="GT85" s="47">
        <f ca="1">GT89</f>
        <v>0</v>
      </c>
      <c r="GU85" s="47">
        <f ca="1">IF(FO1=0,0,IF(FN29=3,GU89,0))</f>
        <v>0</v>
      </c>
      <c r="GV85" s="47">
        <f ca="1">0.6*GV89</f>
        <v>0</v>
      </c>
      <c r="GW85" s="47">
        <f ca="1">IF(FO1=1,0.6*GW89,0)</f>
        <v>0</v>
      </c>
      <c r="GX85" s="47"/>
      <c r="GY85" s="47"/>
      <c r="GZ85" s="47">
        <v>49</v>
      </c>
      <c r="HA85" s="47" t="e">
        <f ca="1">HA35+GZ85*(HA87-HA35)/GZ86</f>
        <v>#VALUE!</v>
      </c>
      <c r="HB85" s="47" t="e">
        <f ca="1">GY49*HA85^3+GY50*HA85^2+GY51*HA85+GY52</f>
        <v>#VALUE!</v>
      </c>
      <c r="HC85" s="47" t="e">
        <f t="shared" ca="1" si="20"/>
        <v>#VALUE!</v>
      </c>
      <c r="HD85" s="47" t="e">
        <f ca="1">HD35+GZ85*(HD87-HD35)/GZ86</f>
        <v>#VALUE!</v>
      </c>
      <c r="HE85" s="47" t="e">
        <f ca="1">GY49*HD85^3+GY50*HD85^2+GY51*HD85+GY52</f>
        <v>#VALUE!</v>
      </c>
      <c r="HF85" s="47" t="e">
        <f t="shared" ca="1" si="9"/>
        <v>#VALUE!</v>
      </c>
      <c r="HG85" s="47" t="e">
        <f ca="1">HG35+GZ85*(HG87-HG35)/GZ86</f>
        <v>#VALUE!</v>
      </c>
      <c r="HH85" s="47" t="e">
        <f ca="1">GG32*HG85^3+GH32*HG85^2+GI32*HG85+GF32+GC61</f>
        <v>#VALUE!</v>
      </c>
      <c r="HI85" s="47" t="e">
        <f t="shared" ca="1" si="2"/>
        <v>#VALUE!</v>
      </c>
      <c r="HJ85" s="47" t="e">
        <f t="shared" ca="1" si="3"/>
        <v>#VALUE!</v>
      </c>
      <c r="HK85" s="47" t="e">
        <f t="shared" ca="1" si="4"/>
        <v>#VALUE!</v>
      </c>
      <c r="HL85" s="47" t="e">
        <f t="shared" ca="1" si="5"/>
        <v>#VALUE!</v>
      </c>
      <c r="HM85" s="47"/>
    </row>
    <row r="86" spans="1:221" ht="3.75" customHeight="1">
      <c r="A86" s="1"/>
      <c r="B86" s="3"/>
      <c r="C86" s="3"/>
      <c r="D86" s="43"/>
      <c r="E86" s="43"/>
      <c r="F86" s="43"/>
      <c r="G86" s="43"/>
      <c r="H86" s="43"/>
      <c r="I86" s="43"/>
      <c r="J86" s="43"/>
      <c r="K86" s="43"/>
      <c r="L86" s="429"/>
      <c r="M86" s="430"/>
      <c r="N86" s="430"/>
      <c r="O86" s="430"/>
      <c r="P86" s="430"/>
      <c r="Q86" s="430"/>
      <c r="R86" s="430"/>
      <c r="S86" s="430"/>
      <c r="T86" s="430"/>
      <c r="U86" s="430"/>
      <c r="V86" s="430"/>
      <c r="W86" s="430"/>
      <c r="X86" s="544" t="str">
        <f ca="1">IF(FM70=1,".","")</f>
        <v/>
      </c>
      <c r="Y86" s="544"/>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44"/>
      <c r="BZ86" s="544"/>
      <c r="CA86" s="544"/>
      <c r="CB86" s="544"/>
      <c r="CC86" s="544"/>
      <c r="CD86" s="544"/>
      <c r="CE86" s="544"/>
      <c r="CF86" s="544"/>
      <c r="CG86" s="544"/>
      <c r="CH86" s="544"/>
      <c r="CI86" s="544"/>
      <c r="CJ86" s="544"/>
      <c r="CK86" s="544"/>
      <c r="CL86" s="544"/>
      <c r="CM86" s="544"/>
      <c r="CN86" s="544"/>
      <c r="CO86" s="544"/>
      <c r="CP86" s="544"/>
      <c r="CQ86" s="544"/>
      <c r="CR86" s="544"/>
      <c r="CS86" s="544"/>
      <c r="CT86" s="544"/>
      <c r="CU86" s="544"/>
      <c r="CV86" s="544"/>
      <c r="CW86" s="544"/>
      <c r="CX86" s="544"/>
      <c r="CY86" s="544"/>
      <c r="CZ86" s="544"/>
      <c r="DA86" s="544"/>
      <c r="DB86" s="544"/>
      <c r="DC86" s="544"/>
      <c r="DD86" s="544"/>
      <c r="DE86" s="544"/>
      <c r="DF86" s="544"/>
      <c r="DG86" s="544"/>
      <c r="DH86" s="544"/>
      <c r="DI86" s="544"/>
      <c r="DJ86" s="544"/>
      <c r="DK86" s="544"/>
      <c r="DL86" s="544"/>
      <c r="DM86" s="544"/>
      <c r="DN86" s="544"/>
      <c r="DO86" s="544"/>
      <c r="DP86" s="544"/>
      <c r="DQ86" s="544"/>
      <c r="DR86" s="544"/>
      <c r="DS86" s="544"/>
      <c r="DT86" s="544"/>
      <c r="DU86" s="544"/>
      <c r="DV86" s="544"/>
      <c r="DW86" s="544"/>
      <c r="DX86" s="544"/>
      <c r="DY86" s="544"/>
      <c r="DZ86" s="544"/>
      <c r="EA86" s="544"/>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8"/>
      <c r="FN86" s="48"/>
      <c r="FO86" s="48"/>
      <c r="FP86" s="48"/>
      <c r="FQ86" s="48"/>
      <c r="FR86" s="48"/>
      <c r="FS86" s="48"/>
      <c r="FT86" s="48"/>
      <c r="FU86" s="48"/>
      <c r="FV86" s="48"/>
      <c r="FW86" s="47"/>
      <c r="FX86" s="47"/>
      <c r="FY86" s="47"/>
      <c r="FZ86" s="47"/>
      <c r="GA86" s="47">
        <f ca="1">0.7*GA89</f>
        <v>0</v>
      </c>
      <c r="GB86" s="47" t="e">
        <f ca="1">0.7*GB89</f>
        <v>#VALUE!</v>
      </c>
      <c r="GC86" s="47" t="e">
        <f ca="1">0.7*GC89</f>
        <v>#VALUE!</v>
      </c>
      <c r="GD86" s="47"/>
      <c r="GE86" s="47">
        <f t="shared" ca="1" si="16"/>
        <v>0</v>
      </c>
      <c r="GF86" s="47">
        <f t="shared" ca="1" si="17"/>
        <v>0</v>
      </c>
      <c r="GG86" s="47">
        <f t="shared" ca="1" si="18"/>
        <v>0</v>
      </c>
      <c r="GH86" s="47">
        <f ca="1">GH89</f>
        <v>0</v>
      </c>
      <c r="GI86" s="47">
        <f ca="1">0.7*GI89</f>
        <v>0</v>
      </c>
      <c r="GJ86" s="47">
        <f ca="1">0.7*GJ89</f>
        <v>0</v>
      </c>
      <c r="GK86" s="47">
        <f ca="1">GK89</f>
        <v>0</v>
      </c>
      <c r="GL86" s="47">
        <f ca="1">GL89</f>
        <v>0</v>
      </c>
      <c r="GM86" s="47">
        <f ca="1">IF(FO1=0,0,-GC32*GB42^2+GD32*GB42)</f>
        <v>0</v>
      </c>
      <c r="GN86" s="47">
        <f ca="1">IF(FO1=1,GL32*GC86^2+GM32*GC86^1+GF32,0)</f>
        <v>0</v>
      </c>
      <c r="GO86" s="47"/>
      <c r="GP86" s="47"/>
      <c r="GQ86" s="47">
        <f ca="1">GQ89</f>
        <v>0</v>
      </c>
      <c r="GR86" s="47">
        <f ca="1">0.7*GR89</f>
        <v>0</v>
      </c>
      <c r="GS86" s="47">
        <f t="shared" ca="1" si="19"/>
        <v>0</v>
      </c>
      <c r="GT86" s="47">
        <f ca="1">GT89</f>
        <v>0</v>
      </c>
      <c r="GU86" s="47">
        <f ca="1">IF(FO1=0,0,IF(FN29=3,GU89,0))</f>
        <v>0</v>
      </c>
      <c r="GV86" s="47">
        <f ca="1">0.7*GV89</f>
        <v>0</v>
      </c>
      <c r="GW86" s="47">
        <f ca="1">IF(FO1=1,0.7*GW89,0)</f>
        <v>0</v>
      </c>
      <c r="GX86" s="47"/>
      <c r="GY86" s="47"/>
      <c r="GZ86" s="47">
        <v>50</v>
      </c>
      <c r="HA86" s="47" t="e">
        <f ca="1">HA35+GZ86*(HA87-HA35)/GZ86</f>
        <v>#VALUE!</v>
      </c>
      <c r="HB86" s="47" t="e">
        <f ca="1">GY49*HA86^3+GY50*HA86^2+GY51*HA86+GY52</f>
        <v>#VALUE!</v>
      </c>
      <c r="HC86" s="47" t="e">
        <f t="shared" ca="1" si="20"/>
        <v>#VALUE!</v>
      </c>
      <c r="HD86" s="47" t="e">
        <f ca="1">HD35+GZ86*(HD87-HD35)/GZ86</f>
        <v>#VALUE!</v>
      </c>
      <c r="HE86" s="47" t="e">
        <f ca="1">GY49*HD86^3+GY50*HD86^2+GY51*HD86+GY52</f>
        <v>#VALUE!</v>
      </c>
      <c r="HF86" s="47" t="e">
        <f t="shared" ca="1" si="9"/>
        <v>#VALUE!</v>
      </c>
      <c r="HG86" s="47" t="e">
        <f ca="1">HG35+GZ86*(HG87-HG35)/GZ86</f>
        <v>#VALUE!</v>
      </c>
      <c r="HH86" s="47" t="e">
        <f ca="1">GG32*HG86^3+GH32*HG86^2+GI32*HG86+GF32+GC61</f>
        <v>#VALUE!</v>
      </c>
      <c r="HI86" s="47" t="e">
        <f t="shared" ca="1" si="2"/>
        <v>#VALUE!</v>
      </c>
      <c r="HJ86" s="47" t="e">
        <f t="shared" ca="1" si="3"/>
        <v>#VALUE!</v>
      </c>
      <c r="HK86" s="47" t="e">
        <f t="shared" ca="1" si="4"/>
        <v>#VALUE!</v>
      </c>
      <c r="HL86" s="47" t="e">
        <f t="shared" ca="1" si="5"/>
        <v>#VALUE!</v>
      </c>
      <c r="HM86" s="47"/>
    </row>
    <row r="87" spans="1:221" ht="7.5" customHeight="1">
      <c r="A87" s="1"/>
      <c r="B87" s="3"/>
      <c r="C87" s="3"/>
      <c r="D87" s="43"/>
      <c r="E87" s="43"/>
      <c r="F87" s="43"/>
      <c r="G87" s="43"/>
      <c r="H87" s="43"/>
      <c r="I87" s="43"/>
      <c r="J87" s="43"/>
      <c r="K87" s="43"/>
      <c r="L87" s="429"/>
      <c r="M87" s="430"/>
      <c r="N87" s="430"/>
      <c r="O87" s="430"/>
      <c r="P87" s="430"/>
      <c r="Q87" s="430"/>
      <c r="R87" s="430"/>
      <c r="S87" s="430"/>
      <c r="T87" s="430"/>
      <c r="U87" s="430"/>
      <c r="V87" s="430"/>
      <c r="W87" s="430"/>
      <c r="X87" s="430"/>
      <c r="Y87" s="430"/>
      <c r="Z87" s="430"/>
      <c r="AA87" s="430"/>
      <c r="AB87" s="430"/>
      <c r="AC87" s="430"/>
      <c r="AD87" s="430"/>
      <c r="AE87" s="430"/>
      <c r="AF87" s="430"/>
      <c r="AG87" s="430"/>
      <c r="AH87" s="430"/>
      <c r="AI87" s="430"/>
      <c r="AJ87" s="430"/>
      <c r="AK87" s="430"/>
      <c r="AL87" s="430"/>
      <c r="AM87" s="430"/>
      <c r="AN87" s="430"/>
      <c r="AO87" s="430"/>
      <c r="AP87" s="430"/>
      <c r="AQ87" s="430"/>
      <c r="AR87" s="430"/>
      <c r="AS87" s="430"/>
      <c r="AT87" s="430"/>
      <c r="AU87" s="430"/>
      <c r="AV87" s="430"/>
      <c r="AW87" s="430"/>
      <c r="AX87" s="430"/>
      <c r="AY87" s="430"/>
      <c r="AZ87" s="430"/>
      <c r="BA87" s="430"/>
      <c r="BB87" s="430"/>
      <c r="BC87" s="430"/>
      <c r="BD87" s="430"/>
      <c r="BE87" s="430"/>
      <c r="BF87" s="430"/>
      <c r="BG87" s="430"/>
      <c r="BH87" s="430"/>
      <c r="BI87" s="430"/>
      <c r="BJ87" s="430"/>
      <c r="BK87" s="430"/>
      <c r="BL87" s="430"/>
      <c r="BM87" s="430"/>
      <c r="BN87" s="430"/>
      <c r="BO87" s="430"/>
      <c r="BP87" s="430"/>
      <c r="BQ87" s="430"/>
      <c r="BR87" s="430"/>
      <c r="BS87" s="430"/>
      <c r="BT87" s="430"/>
      <c r="BU87" s="430"/>
      <c r="BV87" s="430"/>
      <c r="BW87" s="430"/>
      <c r="BX87" s="430"/>
      <c r="BY87" s="430"/>
      <c r="BZ87" s="430"/>
      <c r="CA87" s="430"/>
      <c r="CB87" s="430"/>
      <c r="CC87" s="430"/>
      <c r="CD87" s="430"/>
      <c r="CE87" s="430"/>
      <c r="CF87" s="430"/>
      <c r="CG87" s="430"/>
      <c r="CH87" s="430"/>
      <c r="CI87" s="430"/>
      <c r="CJ87" s="430"/>
      <c r="CK87" s="430"/>
      <c r="CL87" s="430"/>
      <c r="CM87" s="430"/>
      <c r="CN87" s="430"/>
      <c r="CO87" s="430"/>
      <c r="CP87" s="430"/>
      <c r="CQ87" s="430"/>
      <c r="CR87" s="430"/>
      <c r="CS87" s="430"/>
      <c r="CT87" s="430"/>
      <c r="CU87" s="430"/>
      <c r="CV87" s="430"/>
      <c r="CW87" s="430"/>
      <c r="CX87" s="430"/>
      <c r="CY87" s="430"/>
      <c r="CZ87" s="430"/>
      <c r="DA87" s="430"/>
      <c r="DB87" s="430"/>
      <c r="DC87" s="430"/>
      <c r="DD87" s="430"/>
      <c r="DE87" s="430"/>
      <c r="DF87" s="430"/>
      <c r="DG87" s="430"/>
      <c r="DH87" s="430"/>
      <c r="DI87" s="430"/>
      <c r="DJ87" s="430"/>
      <c r="DK87" s="430"/>
      <c r="DL87" s="430"/>
      <c r="DM87" s="430"/>
      <c r="DN87" s="430"/>
      <c r="DO87" s="430"/>
      <c r="DP87" s="430"/>
      <c r="DQ87" s="430"/>
      <c r="DR87" s="430"/>
      <c r="DS87" s="430"/>
      <c r="DT87" s="430"/>
      <c r="DU87" s="430"/>
      <c r="DV87" s="430"/>
      <c r="DW87" s="430"/>
      <c r="DX87" s="430"/>
      <c r="DY87" s="430"/>
      <c r="DZ87" s="430"/>
      <c r="EA87" s="430"/>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8"/>
      <c r="FN87" s="48"/>
      <c r="FO87" s="48"/>
      <c r="FP87" s="48"/>
      <c r="FQ87" s="48"/>
      <c r="FR87" s="48"/>
      <c r="FS87" s="48"/>
      <c r="FT87" s="48"/>
      <c r="FU87" s="48"/>
      <c r="FV87" s="48"/>
      <c r="FW87" s="47"/>
      <c r="FX87" s="47"/>
      <c r="FY87" s="47"/>
      <c r="FZ87" s="47"/>
      <c r="GA87" s="47">
        <f ca="1">0.8*GA89</f>
        <v>0</v>
      </c>
      <c r="GB87" s="47" t="e">
        <f ca="1">0.8*GB89</f>
        <v>#VALUE!</v>
      </c>
      <c r="GC87" s="47" t="e">
        <f ca="1">0.8*GC89</f>
        <v>#VALUE!</v>
      </c>
      <c r="GD87" s="47"/>
      <c r="GE87" s="47">
        <f t="shared" ca="1" si="16"/>
        <v>0</v>
      </c>
      <c r="GF87" s="47">
        <f t="shared" ca="1" si="17"/>
        <v>0</v>
      </c>
      <c r="GG87" s="47">
        <f t="shared" ca="1" si="18"/>
        <v>0</v>
      </c>
      <c r="GH87" s="47">
        <f ca="1">GH89</f>
        <v>0</v>
      </c>
      <c r="GI87" s="47">
        <f ca="1">0.8*GI89</f>
        <v>0</v>
      </c>
      <c r="GJ87" s="47">
        <f ca="1">0.8*GJ89</f>
        <v>0</v>
      </c>
      <c r="GK87" s="47">
        <f ca="1">GK89</f>
        <v>0</v>
      </c>
      <c r="GL87" s="47">
        <f ca="1">GL89</f>
        <v>0</v>
      </c>
      <c r="GM87" s="47">
        <f ca="1">IF(FO1=0,0,-GC32*GB43^2+GD32*GB43)</f>
        <v>0</v>
      </c>
      <c r="GN87" s="47">
        <f ca="1">IF(FO1=1,GL32*GC87^2+GM32*GC87^1+GF32,0)</f>
        <v>0</v>
      </c>
      <c r="GO87" s="47"/>
      <c r="GP87" s="47"/>
      <c r="GQ87" s="47">
        <f ca="1">GQ89</f>
        <v>0</v>
      </c>
      <c r="GR87" s="47">
        <f ca="1">0.8*GR89</f>
        <v>0</v>
      </c>
      <c r="GS87" s="47">
        <f t="shared" ca="1" si="19"/>
        <v>0</v>
      </c>
      <c r="GT87" s="47">
        <f ca="1">GT89</f>
        <v>0</v>
      </c>
      <c r="GU87" s="47">
        <f ca="1">IF(FO1=0,0,IF(FN29=3,GU89,0))</f>
        <v>0</v>
      </c>
      <c r="GV87" s="47">
        <f ca="1">0.8*GV89</f>
        <v>0</v>
      </c>
      <c r="GW87" s="47">
        <f ca="1">IF(FO1=1,0.8*GW89,0)</f>
        <v>0</v>
      </c>
      <c r="GX87" s="47"/>
      <c r="GY87" s="47"/>
      <c r="GZ87" s="47"/>
      <c r="HA87" s="47" t="str">
        <f ca="1">GA37</f>
        <v/>
      </c>
      <c r="HB87" s="47"/>
      <c r="HC87" s="47" t="e">
        <f ca="1">MAX(HC36:HC86)</f>
        <v>#VALUE!</v>
      </c>
      <c r="HD87" s="47" t="str">
        <f ca="1">GA45</f>
        <v/>
      </c>
      <c r="HE87" s="47"/>
      <c r="HF87" s="47" t="e">
        <f ca="1">MAX(HF36:HF86)</f>
        <v>#VALUE!</v>
      </c>
      <c r="HG87" s="47" t="str">
        <f ca="1">GB60</f>
        <v/>
      </c>
      <c r="HH87" s="47"/>
      <c r="HI87" s="47" t="e">
        <f ca="1">MAX(HI36:HI86)</f>
        <v>#VALUE!</v>
      </c>
      <c r="HJ87" s="47" t="str">
        <f t="shared" ca="1" si="3"/>
        <v/>
      </c>
      <c r="HK87" s="47"/>
      <c r="HL87" s="47" t="e">
        <f ca="1">MAX(HL36:HL86)</f>
        <v>#VALUE!</v>
      </c>
      <c r="HM87" s="47"/>
    </row>
    <row r="88" spans="1:221" ht="3.75" customHeight="1">
      <c r="A88" s="1"/>
      <c r="B88" s="3"/>
      <c r="C88" s="3"/>
      <c r="D88" s="43"/>
      <c r="E88" s="43"/>
      <c r="F88" s="43"/>
      <c r="G88" s="43"/>
      <c r="H88" s="43"/>
      <c r="I88" s="43"/>
      <c r="J88" s="43"/>
      <c r="K88" s="43"/>
      <c r="L88" s="429"/>
      <c r="M88" s="430"/>
      <c r="N88" s="430"/>
      <c r="O88" s="430"/>
      <c r="P88" s="430"/>
      <c r="Q88" s="430"/>
      <c r="R88" s="430"/>
      <c r="S88" s="430"/>
      <c r="T88" s="430"/>
      <c r="U88" s="430"/>
      <c r="V88" s="430"/>
      <c r="W88" s="430"/>
      <c r="X88" s="544" t="str">
        <f ca="1">IF(FM70=1,".","")</f>
        <v/>
      </c>
      <c r="Y88" s="544"/>
      <c r="Z88" s="544"/>
      <c r="AA88" s="544"/>
      <c r="AB88" s="544"/>
      <c r="AC88" s="544"/>
      <c r="AD88" s="544"/>
      <c r="AE88" s="544"/>
      <c r="AF88" s="544"/>
      <c r="AG88" s="544"/>
      <c r="AH88" s="544"/>
      <c r="AI88" s="544"/>
      <c r="AJ88" s="544"/>
      <c r="AK88" s="544"/>
      <c r="AL88" s="544"/>
      <c r="AM88" s="544"/>
      <c r="AN88" s="544"/>
      <c r="AO88" s="544"/>
      <c r="AP88" s="544"/>
      <c r="AQ88" s="544"/>
      <c r="AR88" s="544"/>
      <c r="AS88" s="544"/>
      <c r="AT88" s="544"/>
      <c r="AU88" s="544"/>
      <c r="AV88" s="544"/>
      <c r="AW88" s="544"/>
      <c r="AX88" s="544"/>
      <c r="AY88" s="544"/>
      <c r="AZ88" s="544"/>
      <c r="BA88" s="544"/>
      <c r="BB88" s="544"/>
      <c r="BC88" s="544"/>
      <c r="BD88" s="544"/>
      <c r="BE88" s="544"/>
      <c r="BF88" s="544"/>
      <c r="BG88" s="544"/>
      <c r="BH88" s="544"/>
      <c r="BI88" s="544"/>
      <c r="BJ88" s="544"/>
      <c r="BK88" s="544"/>
      <c r="BL88" s="544"/>
      <c r="BM88" s="544"/>
      <c r="BN88" s="544"/>
      <c r="BO88" s="544"/>
      <c r="BP88" s="544"/>
      <c r="BQ88" s="544"/>
      <c r="BR88" s="544"/>
      <c r="BS88" s="544"/>
      <c r="BT88" s="544"/>
      <c r="BU88" s="544"/>
      <c r="BV88" s="544"/>
      <c r="BW88" s="544"/>
      <c r="BX88" s="544"/>
      <c r="BY88" s="544"/>
      <c r="BZ88" s="544"/>
      <c r="CA88" s="544"/>
      <c r="CB88" s="544"/>
      <c r="CC88" s="544"/>
      <c r="CD88" s="544"/>
      <c r="CE88" s="544"/>
      <c r="CF88" s="544"/>
      <c r="CG88" s="544"/>
      <c r="CH88" s="544"/>
      <c r="CI88" s="544"/>
      <c r="CJ88" s="544"/>
      <c r="CK88" s="544"/>
      <c r="CL88" s="544"/>
      <c r="CM88" s="544"/>
      <c r="CN88" s="544"/>
      <c r="CO88" s="544"/>
      <c r="CP88" s="544"/>
      <c r="CQ88" s="544"/>
      <c r="CR88" s="544"/>
      <c r="CS88" s="544"/>
      <c r="CT88" s="544"/>
      <c r="CU88" s="544"/>
      <c r="CV88" s="544"/>
      <c r="CW88" s="544"/>
      <c r="CX88" s="544"/>
      <c r="CY88" s="544"/>
      <c r="CZ88" s="544"/>
      <c r="DA88" s="544"/>
      <c r="DB88" s="544"/>
      <c r="DC88" s="544"/>
      <c r="DD88" s="544"/>
      <c r="DE88" s="544"/>
      <c r="DF88" s="544"/>
      <c r="DG88" s="544"/>
      <c r="DH88" s="544"/>
      <c r="DI88" s="544"/>
      <c r="DJ88" s="544"/>
      <c r="DK88" s="544"/>
      <c r="DL88" s="544"/>
      <c r="DM88" s="544"/>
      <c r="DN88" s="544"/>
      <c r="DO88" s="544"/>
      <c r="DP88" s="544"/>
      <c r="DQ88" s="544"/>
      <c r="DR88" s="544"/>
      <c r="DS88" s="544"/>
      <c r="DT88" s="544"/>
      <c r="DU88" s="544"/>
      <c r="DV88" s="544"/>
      <c r="DW88" s="544"/>
      <c r="DX88" s="544"/>
      <c r="DY88" s="544"/>
      <c r="DZ88" s="544"/>
      <c r="EA88" s="544"/>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8"/>
      <c r="FN88" s="48"/>
      <c r="FO88" s="48"/>
      <c r="FP88" s="48"/>
      <c r="FQ88" s="48"/>
      <c r="FR88" s="48"/>
      <c r="FS88" s="48"/>
      <c r="FT88" s="48"/>
      <c r="FU88" s="48"/>
      <c r="FV88" s="48"/>
      <c r="FW88" s="47"/>
      <c r="FX88" s="47"/>
      <c r="FY88" s="47"/>
      <c r="FZ88" s="47"/>
      <c r="GA88" s="47">
        <f ca="1">0.9*GA89</f>
        <v>0</v>
      </c>
      <c r="GB88" s="47" t="e">
        <f ca="1">0.9*GB89</f>
        <v>#VALUE!</v>
      </c>
      <c r="GC88" s="47" t="e">
        <f ca="1">0.9*GC89</f>
        <v>#VALUE!</v>
      </c>
      <c r="GD88" s="47"/>
      <c r="GE88" s="47">
        <f t="shared" ca="1" si="16"/>
        <v>0</v>
      </c>
      <c r="GF88" s="47">
        <f t="shared" ca="1" si="17"/>
        <v>0</v>
      </c>
      <c r="GG88" s="47">
        <f t="shared" ca="1" si="18"/>
        <v>0</v>
      </c>
      <c r="GH88" s="47">
        <f ca="1">GH89</f>
        <v>0</v>
      </c>
      <c r="GI88" s="47">
        <f ca="1">0.9*GI89</f>
        <v>0</v>
      </c>
      <c r="GJ88" s="47">
        <f ca="1">0.9*GJ89</f>
        <v>0</v>
      </c>
      <c r="GK88" s="47">
        <f ca="1">GK89</f>
        <v>0</v>
      </c>
      <c r="GL88" s="47">
        <f ca="1">GL89</f>
        <v>0</v>
      </c>
      <c r="GM88" s="47">
        <f ca="1">IF(FO1=0,0,-GC32*GB44^2+GD32*GB44)</f>
        <v>0</v>
      </c>
      <c r="GN88" s="47">
        <f ca="1">IF(FO1=1,GL32*GC88^2+GM32*GC88^1+GF32,0)</f>
        <v>0</v>
      </c>
      <c r="GO88" s="47"/>
      <c r="GP88" s="47"/>
      <c r="GQ88" s="47">
        <f ca="1">GQ89</f>
        <v>0</v>
      </c>
      <c r="GR88" s="47">
        <f ca="1">0.9*GR89</f>
        <v>0</v>
      </c>
      <c r="GS88" s="47">
        <f t="shared" ca="1" si="19"/>
        <v>0</v>
      </c>
      <c r="GT88" s="47">
        <f ca="1">GT89</f>
        <v>0</v>
      </c>
      <c r="GU88" s="47">
        <f ca="1">IF(FO1=0,0,IF(FN29=3,GU89,0))</f>
        <v>0</v>
      </c>
      <c r="GV88" s="47">
        <f ca="1">0.9*GV89</f>
        <v>0</v>
      </c>
      <c r="GW88" s="47">
        <f ca="1">IF(FO1=1,0.9*GW89,0)</f>
        <v>0</v>
      </c>
      <c r="GX88" s="47"/>
      <c r="GY88" s="47"/>
      <c r="GZ88" s="47"/>
      <c r="HA88" s="47"/>
      <c r="HB88" s="47"/>
      <c r="HC88" s="47"/>
      <c r="HD88" s="47"/>
      <c r="HE88" s="47"/>
      <c r="HF88" s="47"/>
      <c r="HG88" s="47"/>
      <c r="HH88" s="47"/>
      <c r="HI88" s="47"/>
      <c r="HJ88" s="47"/>
      <c r="HK88" s="47"/>
      <c r="HL88" s="47"/>
      <c r="HM88" s="47"/>
    </row>
    <row r="89" spans="1:221" ht="16.5" customHeight="1">
      <c r="A89" s="1"/>
      <c r="B89" s="3"/>
      <c r="C89" s="3"/>
      <c r="D89" s="43"/>
      <c r="E89" s="43"/>
      <c r="F89" s="43"/>
      <c r="G89" s="43"/>
      <c r="H89" s="43"/>
      <c r="I89" s="43"/>
      <c r="J89" s="43"/>
      <c r="K89" s="43"/>
      <c r="L89" s="429"/>
      <c r="M89" s="430"/>
      <c r="N89" s="430"/>
      <c r="O89" s="430"/>
      <c r="P89" s="430"/>
      <c r="Q89" s="430"/>
      <c r="R89" s="430"/>
      <c r="S89" s="430"/>
      <c r="T89" s="430"/>
      <c r="U89" s="430"/>
      <c r="V89" s="430"/>
      <c r="W89" s="133" t="str">
        <f ca="1">IF(FM70=1,"B:  ","")</f>
        <v/>
      </c>
      <c r="X89" s="427" t="str">
        <f ca="1">IF(FM70=1,".","")</f>
        <v/>
      </c>
      <c r="Y89" s="602"/>
      <c r="Z89" s="602"/>
      <c r="AA89" s="602"/>
      <c r="AB89" s="602"/>
      <c r="AC89" s="602"/>
      <c r="AD89" s="602"/>
      <c r="AE89" s="602"/>
      <c r="AF89" s="602"/>
      <c r="AG89" s="602"/>
      <c r="AH89" s="602"/>
      <c r="AI89" s="602"/>
      <c r="AJ89" s="602"/>
      <c r="AK89" s="602"/>
      <c r="AL89" s="602"/>
      <c r="AM89" s="602"/>
      <c r="AN89" s="602"/>
      <c r="AO89" s="602"/>
      <c r="AP89" s="602"/>
      <c r="AQ89" s="602"/>
      <c r="AR89" s="602"/>
      <c r="AS89" s="602"/>
      <c r="AT89" s="602"/>
      <c r="AU89" s="602"/>
      <c r="AV89" s="602"/>
      <c r="AW89" s="602"/>
      <c r="AX89" s="602"/>
      <c r="AY89" s="602"/>
      <c r="AZ89" s="602"/>
      <c r="BA89" s="602"/>
      <c r="BB89" s="602"/>
      <c r="BC89" s="602"/>
      <c r="BD89" s="602"/>
      <c r="BE89" s="602"/>
      <c r="BF89" s="602"/>
      <c r="BG89" s="602"/>
      <c r="BH89" s="602"/>
      <c r="BI89" s="602"/>
      <c r="BJ89" s="602"/>
      <c r="BK89" s="602"/>
      <c r="BL89" s="602"/>
      <c r="BM89" s="602"/>
      <c r="BN89" s="602"/>
      <c r="BO89" s="602"/>
      <c r="BP89" s="602"/>
      <c r="BQ89" s="602"/>
      <c r="BR89" s="602"/>
      <c r="BS89" s="602"/>
      <c r="BT89" s="602"/>
      <c r="BU89" s="602"/>
      <c r="BV89" s="602"/>
      <c r="BW89" s="602"/>
      <c r="BX89" s="602"/>
      <c r="BY89" s="602"/>
      <c r="BZ89" s="602"/>
      <c r="CA89" s="602"/>
      <c r="CB89" s="602"/>
      <c r="CC89" s="602"/>
      <c r="CD89" s="602"/>
      <c r="CE89" s="602"/>
      <c r="CF89" s="602"/>
      <c r="CG89" s="602"/>
      <c r="CH89" s="602"/>
      <c r="CI89" s="602"/>
      <c r="CJ89" s="602"/>
      <c r="CK89" s="602"/>
      <c r="CL89" s="602"/>
      <c r="CM89" s="602"/>
      <c r="CN89" s="602"/>
      <c r="CO89" s="602"/>
      <c r="CP89" s="602"/>
      <c r="CQ89" s="602"/>
      <c r="CR89" s="602"/>
      <c r="CS89" s="602"/>
      <c r="CT89" s="602"/>
      <c r="CU89" s="602"/>
      <c r="CV89" s="602"/>
      <c r="CW89" s="602"/>
      <c r="CX89" s="602"/>
      <c r="CY89" s="602"/>
      <c r="CZ89" s="602"/>
      <c r="DA89" s="602"/>
      <c r="DB89" s="602"/>
      <c r="DC89" s="602"/>
      <c r="DD89" s="602"/>
      <c r="DE89" s="602"/>
      <c r="DF89" s="602"/>
      <c r="DG89" s="602"/>
      <c r="DH89" s="602"/>
      <c r="DI89" s="602"/>
      <c r="DJ89" s="602"/>
      <c r="DK89" s="602"/>
      <c r="DL89" s="602"/>
      <c r="DM89" s="602"/>
      <c r="DN89" s="602"/>
      <c r="DO89" s="602"/>
      <c r="DP89" s="602"/>
      <c r="DQ89" s="602"/>
      <c r="DR89" s="602"/>
      <c r="DS89" s="602"/>
      <c r="DT89" s="602"/>
      <c r="DU89" s="602"/>
      <c r="DV89" s="602"/>
      <c r="DW89" s="602"/>
      <c r="DX89" s="602"/>
      <c r="DY89" s="602"/>
      <c r="DZ89" s="602"/>
      <c r="EA89" s="427" t="str">
        <f ca="1">IF(FM70=1,".","")</f>
        <v/>
      </c>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8"/>
      <c r="FN89" s="48" t="str">
        <f>IF(Y89="","",IF(AND(FM70=1,Y89=FQ85),1,0))</f>
        <v/>
      </c>
      <c r="FO89" s="48"/>
      <c r="FP89" s="94" t="str">
        <f ca="1">IF(FN1=0,"",FR85)</f>
        <v>de totale winst bij maximale winst</v>
      </c>
      <c r="FQ89" s="94" t="str">
        <f ca="1">IF(FN1=0,"",FQ85)</f>
        <v>de totale variabele kosten bij maximale winst</v>
      </c>
      <c r="FR89" s="94" t="str">
        <f ca="1">IF(FN1=0,"",FP85)</f>
        <v>de totale constante kosten (bij maximale winst)</v>
      </c>
      <c r="FS89" s="94" t="str">
        <f ca="1">IF(FN1=0,"",FO85)</f>
        <v>de totale opbrengst (omzet) bij maximale winst</v>
      </c>
      <c r="FT89" s="48"/>
      <c r="FU89" s="48"/>
      <c r="FV89" s="48"/>
      <c r="FW89" s="47"/>
      <c r="FX89" s="47"/>
      <c r="FY89" s="47"/>
      <c r="FZ89" s="47"/>
      <c r="GA89" s="47">
        <f ca="1">IF(FZ90&lt;GC21,FZ90,GC21)</f>
        <v>0</v>
      </c>
      <c r="GB89" s="47" t="str">
        <f ca="1">GB45</f>
        <v/>
      </c>
      <c r="GC89" s="47" t="e">
        <f ca="1">IF(GC90&lt;GC21,GC90,GC21)</f>
        <v>#VALUE!</v>
      </c>
      <c r="GD89" s="47"/>
      <c r="GE89" s="47">
        <f t="shared" ca="1" si="16"/>
        <v>0</v>
      </c>
      <c r="GF89" s="47">
        <f t="shared" ca="1" si="17"/>
        <v>0</v>
      </c>
      <c r="GG89" s="47">
        <f t="shared" ca="1" si="18"/>
        <v>0</v>
      </c>
      <c r="GH89" s="47">
        <f ca="1">IF(FO1=0,0,IF(FN29=2,GB40,IF(FN29=1,GQ22,IF(FN29=3,GQ33,0))))</f>
        <v>0</v>
      </c>
      <c r="GI89" s="47">
        <f ca="1">IF(FO1=1,-GC32*GH89+GD32,0)</f>
        <v>0</v>
      </c>
      <c r="GJ89" s="47">
        <f ca="1">IF(FO1=0,0,IF(FN29=1,GH89,IF(FN29=2,GH89,0)))</f>
        <v>0</v>
      </c>
      <c r="GK89" s="47">
        <f ca="1">IF(FO1=0,0,IF(FN29=1,GI89,IF(FN29=2,GI89,0)))</f>
        <v>0</v>
      </c>
      <c r="GL89" s="47">
        <f ca="1">IF(FO1=0,0,IF(FN29=1,GL32*GJ89^1+GM32+GF32/GJ89,IF(FN29=2,GL32*GJ89^1+GM32+GF32/GJ89,0)))</f>
        <v>0</v>
      </c>
      <c r="GM89" s="47">
        <f ca="1">IF(FO1=0,0,-GC32*GB45^2+GD32*GB45)</f>
        <v>0</v>
      </c>
      <c r="GN89" s="47">
        <f ca="1">IF(FO1=1,GL32*GC89^2+GM32*GC89^1+GF32,0)</f>
        <v>0</v>
      </c>
      <c r="GO89" s="47"/>
      <c r="GP89" s="47"/>
      <c r="GQ89" s="47">
        <f ca="1">IF(FO1=0,0,IF(FN29=1,GH89,IF(FN29=2,GH89,IF(FN29=3,GH89,0))))</f>
        <v>0</v>
      </c>
      <c r="GR89" s="47">
        <f ca="1">IF(FO1=0,0,-GC32*GQ89^2+GD32*GQ89)</f>
        <v>0</v>
      </c>
      <c r="GS89" s="47">
        <f t="shared" ca="1" si="19"/>
        <v>0</v>
      </c>
      <c r="GT89" s="47">
        <f ca="1">IF(FO1=0,0,IF(FN29=1,GL32*GQ89^1+GM32,IF(FN29=2,GL32*GQ89^1+GM32,0)))</f>
        <v>0</v>
      </c>
      <c r="GU89" s="47">
        <f ca="1">IF(FO1=0,0,IF(FN29=3,GR33,0))</f>
        <v>0</v>
      </c>
      <c r="GV89" s="47">
        <f ca="1">IF(FO1=0,0,IF(FN29=3,GL32*GU89^2+GM32*GU89^1+GF32,0))</f>
        <v>0</v>
      </c>
      <c r="GW89" s="47">
        <f ca="1">IF(FO1=0,0,IF(FN29=3,GL32*GU89^1+GM32+GF32/GU89,0))</f>
        <v>0</v>
      </c>
      <c r="GX89" s="47"/>
      <c r="GY89" s="47"/>
      <c r="GZ89" s="47"/>
      <c r="HA89" s="47"/>
      <c r="HB89" s="47"/>
      <c r="HC89" s="47"/>
      <c r="HD89" s="47"/>
      <c r="HE89" s="47"/>
      <c r="HF89" s="47"/>
      <c r="HG89" s="47"/>
      <c r="HH89" s="47"/>
      <c r="HI89" s="47"/>
      <c r="HJ89" s="47"/>
      <c r="HK89" s="47"/>
      <c r="HL89" s="47"/>
      <c r="HM89" s="47"/>
    </row>
    <row r="90" spans="1:221" ht="3.75" customHeight="1">
      <c r="A90" s="1"/>
      <c r="B90" s="3"/>
      <c r="C90" s="3"/>
      <c r="D90" s="43"/>
      <c r="E90" s="43"/>
      <c r="F90" s="43"/>
      <c r="G90" s="43"/>
      <c r="H90" s="43"/>
      <c r="I90" s="43"/>
      <c r="J90" s="43"/>
      <c r="K90" s="43"/>
      <c r="L90" s="429"/>
      <c r="M90" s="430"/>
      <c r="N90" s="430"/>
      <c r="O90" s="430"/>
      <c r="P90" s="430"/>
      <c r="Q90" s="430"/>
      <c r="R90" s="430"/>
      <c r="S90" s="430"/>
      <c r="T90" s="430"/>
      <c r="U90" s="430"/>
      <c r="V90" s="430"/>
      <c r="W90" s="430"/>
      <c r="X90" s="544" t="str">
        <f ca="1">IF(FM70=1,".","")</f>
        <v/>
      </c>
      <c r="Y90" s="544"/>
      <c r="Z90" s="544"/>
      <c r="AA90" s="544"/>
      <c r="AB90" s="544"/>
      <c r="AC90" s="544"/>
      <c r="AD90" s="544"/>
      <c r="AE90" s="544"/>
      <c r="AF90" s="544"/>
      <c r="AG90" s="544"/>
      <c r="AH90" s="544"/>
      <c r="AI90" s="544"/>
      <c r="AJ90" s="544"/>
      <c r="AK90" s="544"/>
      <c r="AL90" s="544"/>
      <c r="AM90" s="544"/>
      <c r="AN90" s="544"/>
      <c r="AO90" s="544"/>
      <c r="AP90" s="544"/>
      <c r="AQ90" s="544"/>
      <c r="AR90" s="544"/>
      <c r="AS90" s="544"/>
      <c r="AT90" s="544"/>
      <c r="AU90" s="544"/>
      <c r="AV90" s="544"/>
      <c r="AW90" s="544"/>
      <c r="AX90" s="544"/>
      <c r="AY90" s="544"/>
      <c r="AZ90" s="544"/>
      <c r="BA90" s="544"/>
      <c r="BB90" s="544"/>
      <c r="BC90" s="544"/>
      <c r="BD90" s="544"/>
      <c r="BE90" s="544"/>
      <c r="BF90" s="544"/>
      <c r="BG90" s="544"/>
      <c r="BH90" s="544"/>
      <c r="BI90" s="544"/>
      <c r="BJ90" s="544"/>
      <c r="BK90" s="544"/>
      <c r="BL90" s="544"/>
      <c r="BM90" s="544"/>
      <c r="BN90" s="544"/>
      <c r="BO90" s="544"/>
      <c r="BP90" s="544"/>
      <c r="BQ90" s="544"/>
      <c r="BR90" s="544"/>
      <c r="BS90" s="544"/>
      <c r="BT90" s="544"/>
      <c r="BU90" s="544"/>
      <c r="BV90" s="544"/>
      <c r="BW90" s="544"/>
      <c r="BX90" s="544"/>
      <c r="BY90" s="544"/>
      <c r="BZ90" s="544"/>
      <c r="CA90" s="544"/>
      <c r="CB90" s="544"/>
      <c r="CC90" s="544"/>
      <c r="CD90" s="544"/>
      <c r="CE90" s="544"/>
      <c r="CF90" s="544"/>
      <c r="CG90" s="544"/>
      <c r="CH90" s="544"/>
      <c r="CI90" s="544"/>
      <c r="CJ90" s="544"/>
      <c r="CK90" s="544"/>
      <c r="CL90" s="544"/>
      <c r="CM90" s="544"/>
      <c r="CN90" s="544"/>
      <c r="CO90" s="544"/>
      <c r="CP90" s="544"/>
      <c r="CQ90" s="544"/>
      <c r="CR90" s="544"/>
      <c r="CS90" s="544"/>
      <c r="CT90" s="544"/>
      <c r="CU90" s="544"/>
      <c r="CV90" s="544"/>
      <c r="CW90" s="544"/>
      <c r="CX90" s="544"/>
      <c r="CY90" s="544"/>
      <c r="CZ90" s="544"/>
      <c r="DA90" s="544"/>
      <c r="DB90" s="544"/>
      <c r="DC90" s="544"/>
      <c r="DD90" s="544"/>
      <c r="DE90" s="544"/>
      <c r="DF90" s="544"/>
      <c r="DG90" s="544"/>
      <c r="DH90" s="544"/>
      <c r="DI90" s="544"/>
      <c r="DJ90" s="544"/>
      <c r="DK90" s="544"/>
      <c r="DL90" s="544"/>
      <c r="DM90" s="544"/>
      <c r="DN90" s="544"/>
      <c r="DO90" s="544"/>
      <c r="DP90" s="544"/>
      <c r="DQ90" s="544"/>
      <c r="DR90" s="544"/>
      <c r="DS90" s="544"/>
      <c r="DT90" s="544"/>
      <c r="DU90" s="544"/>
      <c r="DV90" s="544"/>
      <c r="DW90" s="544"/>
      <c r="DX90" s="544"/>
      <c r="DY90" s="544"/>
      <c r="DZ90" s="544"/>
      <c r="EA90" s="544"/>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8"/>
      <c r="FN90" s="48"/>
      <c r="FO90" s="48"/>
      <c r="FP90" s="48"/>
      <c r="FQ90" s="48"/>
      <c r="FR90" s="48"/>
      <c r="FS90" s="48"/>
      <c r="FT90" s="48"/>
      <c r="FU90" s="48"/>
      <c r="FV90" s="48"/>
      <c r="FW90" s="47"/>
      <c r="FX90" s="47"/>
      <c r="FY90" s="47"/>
      <c r="FZ90" s="47"/>
      <c r="GA90" s="47" t="e">
        <f ca="1">-(GC92-(GC92^2-4*GC91*GA92)^0.5)/(2*GC91)</f>
        <v>#VALUE!</v>
      </c>
      <c r="GB90" s="47"/>
      <c r="GC90" s="47" t="e">
        <f ca="1">-(GC92-(GC92^2-4*GC91*GD92)^0.5)/(2*GC91)</f>
        <v>#VALUE!</v>
      </c>
      <c r="GD90" s="47"/>
      <c r="GE90" s="47"/>
      <c r="GF90" s="47"/>
      <c r="GG90" s="47"/>
      <c r="GH90" s="47"/>
      <c r="GI90" s="47"/>
      <c r="GJ90" s="47"/>
      <c r="GK90" s="47"/>
      <c r="GL90" s="47">
        <v>4</v>
      </c>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row>
    <row r="91" spans="1:221" ht="7.5" customHeight="1">
      <c r="A91" s="1"/>
      <c r="B91" s="3"/>
      <c r="C91" s="3"/>
      <c r="D91" s="43"/>
      <c r="E91" s="43"/>
      <c r="F91" s="43"/>
      <c r="G91" s="43"/>
      <c r="H91" s="43"/>
      <c r="I91" s="43"/>
      <c r="J91" s="43"/>
      <c r="K91" s="43"/>
      <c r="L91" s="429"/>
      <c r="M91" s="430"/>
      <c r="N91" s="430"/>
      <c r="O91" s="430"/>
      <c r="P91" s="430"/>
      <c r="Q91" s="430"/>
      <c r="R91" s="430"/>
      <c r="S91" s="430"/>
      <c r="T91" s="430"/>
      <c r="U91" s="430"/>
      <c r="V91" s="430"/>
      <c r="W91" s="430"/>
      <c r="X91" s="430"/>
      <c r="Y91" s="430"/>
      <c r="Z91" s="430"/>
      <c r="AA91" s="430"/>
      <c r="AB91" s="430"/>
      <c r="AC91" s="430"/>
      <c r="AD91" s="430"/>
      <c r="AE91" s="430"/>
      <c r="AF91" s="430"/>
      <c r="AG91" s="430"/>
      <c r="AH91" s="430"/>
      <c r="AI91" s="430"/>
      <c r="AJ91" s="430"/>
      <c r="AK91" s="430"/>
      <c r="AL91" s="430"/>
      <c r="AM91" s="430"/>
      <c r="AN91" s="430"/>
      <c r="AO91" s="430"/>
      <c r="AP91" s="430"/>
      <c r="AQ91" s="430"/>
      <c r="AR91" s="430"/>
      <c r="AS91" s="430"/>
      <c r="AT91" s="430"/>
      <c r="AU91" s="430"/>
      <c r="AV91" s="430"/>
      <c r="AW91" s="430"/>
      <c r="AX91" s="430"/>
      <c r="AY91" s="430"/>
      <c r="AZ91" s="430"/>
      <c r="BA91" s="430"/>
      <c r="BB91" s="430"/>
      <c r="BC91" s="430"/>
      <c r="BD91" s="430"/>
      <c r="BE91" s="430"/>
      <c r="BF91" s="430"/>
      <c r="BG91" s="430"/>
      <c r="BH91" s="430"/>
      <c r="BI91" s="430"/>
      <c r="BJ91" s="430"/>
      <c r="BK91" s="430"/>
      <c r="BL91" s="430"/>
      <c r="BM91" s="430"/>
      <c r="BN91" s="430"/>
      <c r="BO91" s="430"/>
      <c r="BP91" s="430"/>
      <c r="BQ91" s="430"/>
      <c r="BR91" s="430"/>
      <c r="BS91" s="430"/>
      <c r="BT91" s="430"/>
      <c r="BU91" s="430"/>
      <c r="BV91" s="430"/>
      <c r="BW91" s="430"/>
      <c r="BX91" s="430"/>
      <c r="BY91" s="430"/>
      <c r="BZ91" s="430"/>
      <c r="CA91" s="430"/>
      <c r="CB91" s="430"/>
      <c r="CC91" s="430"/>
      <c r="CD91" s="430"/>
      <c r="CE91" s="430"/>
      <c r="CF91" s="430"/>
      <c r="CG91" s="430"/>
      <c r="CH91" s="430"/>
      <c r="CI91" s="430"/>
      <c r="CJ91" s="430"/>
      <c r="CK91" s="430"/>
      <c r="CL91" s="430"/>
      <c r="CM91" s="430"/>
      <c r="CN91" s="430"/>
      <c r="CO91" s="430"/>
      <c r="CP91" s="430"/>
      <c r="CQ91" s="430"/>
      <c r="CR91" s="430"/>
      <c r="CS91" s="430"/>
      <c r="CT91" s="430"/>
      <c r="CU91" s="430"/>
      <c r="CV91" s="430"/>
      <c r="CW91" s="430"/>
      <c r="CX91" s="430"/>
      <c r="CY91" s="430"/>
      <c r="CZ91" s="430"/>
      <c r="DA91" s="430"/>
      <c r="DB91" s="430"/>
      <c r="DC91" s="430"/>
      <c r="DD91" s="430"/>
      <c r="DE91" s="430"/>
      <c r="DF91" s="430"/>
      <c r="DG91" s="430"/>
      <c r="DH91" s="430"/>
      <c r="DI91" s="430"/>
      <c r="DJ91" s="430"/>
      <c r="DK91" s="430"/>
      <c r="DL91" s="430"/>
      <c r="DM91" s="430"/>
      <c r="DN91" s="430"/>
      <c r="DO91" s="430"/>
      <c r="DP91" s="430"/>
      <c r="DQ91" s="430"/>
      <c r="DR91" s="430"/>
      <c r="DS91" s="430"/>
      <c r="DT91" s="430"/>
      <c r="DU91" s="430"/>
      <c r="DV91" s="430"/>
      <c r="DW91" s="430"/>
      <c r="DX91" s="430"/>
      <c r="DY91" s="430"/>
      <c r="DZ91" s="430"/>
      <c r="EA91" s="430"/>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8"/>
      <c r="FN91" s="48"/>
      <c r="FO91" s="48"/>
      <c r="FP91" s="48"/>
      <c r="FQ91" s="48"/>
      <c r="FR91" s="48"/>
      <c r="FS91" s="48"/>
      <c r="FT91" s="48"/>
      <c r="FU91" s="48"/>
      <c r="FV91" s="48"/>
      <c r="FW91" s="47"/>
      <c r="FX91" s="47"/>
      <c r="FY91" s="47"/>
      <c r="FZ91" s="47"/>
      <c r="GA91" s="47"/>
      <c r="GB91" s="47"/>
      <c r="GC91" s="47" t="e">
        <f ca="1">GL32</f>
        <v>#VALUE!</v>
      </c>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row>
    <row r="92" spans="1:221" ht="3.75" customHeight="1">
      <c r="A92" s="1"/>
      <c r="B92" s="3"/>
      <c r="C92" s="3"/>
      <c r="D92" s="43"/>
      <c r="E92" s="43"/>
      <c r="F92" s="43"/>
      <c r="G92" s="43"/>
      <c r="H92" s="43"/>
      <c r="I92" s="43"/>
      <c r="J92" s="43"/>
      <c r="K92" s="43"/>
      <c r="L92" s="429"/>
      <c r="M92" s="430"/>
      <c r="N92" s="430"/>
      <c r="O92" s="430"/>
      <c r="P92" s="430"/>
      <c r="Q92" s="430"/>
      <c r="R92" s="430"/>
      <c r="S92" s="430"/>
      <c r="T92" s="430"/>
      <c r="U92" s="430"/>
      <c r="V92" s="430"/>
      <c r="W92" s="430"/>
      <c r="X92" s="544" t="str">
        <f ca="1">IF(FM70=1,".","")</f>
        <v/>
      </c>
      <c r="Y92" s="544"/>
      <c r="Z92" s="544"/>
      <c r="AA92" s="544"/>
      <c r="AB92" s="544"/>
      <c r="AC92" s="544"/>
      <c r="AD92" s="544"/>
      <c r="AE92" s="544"/>
      <c r="AF92" s="544"/>
      <c r="AG92" s="544"/>
      <c r="AH92" s="544"/>
      <c r="AI92" s="544"/>
      <c r="AJ92" s="544"/>
      <c r="AK92" s="544"/>
      <c r="AL92" s="544"/>
      <c r="AM92" s="544"/>
      <c r="AN92" s="544"/>
      <c r="AO92" s="544"/>
      <c r="AP92" s="544"/>
      <c r="AQ92" s="544"/>
      <c r="AR92" s="544"/>
      <c r="AS92" s="544"/>
      <c r="AT92" s="544"/>
      <c r="AU92" s="544"/>
      <c r="AV92" s="544"/>
      <c r="AW92" s="544"/>
      <c r="AX92" s="544"/>
      <c r="AY92" s="544"/>
      <c r="AZ92" s="544"/>
      <c r="BA92" s="544"/>
      <c r="BB92" s="544"/>
      <c r="BC92" s="544"/>
      <c r="BD92" s="544"/>
      <c r="BE92" s="544"/>
      <c r="BF92" s="544"/>
      <c r="BG92" s="544"/>
      <c r="BH92" s="544"/>
      <c r="BI92" s="544"/>
      <c r="BJ92" s="544"/>
      <c r="BK92" s="544"/>
      <c r="BL92" s="544"/>
      <c r="BM92" s="544"/>
      <c r="BN92" s="544"/>
      <c r="BO92" s="544"/>
      <c r="BP92" s="544"/>
      <c r="BQ92" s="544"/>
      <c r="BR92" s="544"/>
      <c r="BS92" s="544"/>
      <c r="BT92" s="544"/>
      <c r="BU92" s="544"/>
      <c r="BV92" s="544"/>
      <c r="BW92" s="544"/>
      <c r="BX92" s="544"/>
      <c r="BY92" s="544"/>
      <c r="BZ92" s="544"/>
      <c r="CA92" s="544"/>
      <c r="CB92" s="544"/>
      <c r="CC92" s="544"/>
      <c r="CD92" s="544"/>
      <c r="CE92" s="544"/>
      <c r="CF92" s="544"/>
      <c r="CG92" s="544"/>
      <c r="CH92" s="544"/>
      <c r="CI92" s="544"/>
      <c r="CJ92" s="544"/>
      <c r="CK92" s="544"/>
      <c r="CL92" s="544"/>
      <c r="CM92" s="544"/>
      <c r="CN92" s="544"/>
      <c r="CO92" s="544"/>
      <c r="CP92" s="544"/>
      <c r="CQ92" s="544"/>
      <c r="CR92" s="544"/>
      <c r="CS92" s="544"/>
      <c r="CT92" s="544"/>
      <c r="CU92" s="544"/>
      <c r="CV92" s="544"/>
      <c r="CW92" s="544"/>
      <c r="CX92" s="544"/>
      <c r="CY92" s="544"/>
      <c r="CZ92" s="544"/>
      <c r="DA92" s="544"/>
      <c r="DB92" s="544"/>
      <c r="DC92" s="544"/>
      <c r="DD92" s="544"/>
      <c r="DE92" s="544"/>
      <c r="DF92" s="544"/>
      <c r="DG92" s="544"/>
      <c r="DH92" s="544"/>
      <c r="DI92" s="544"/>
      <c r="DJ92" s="544"/>
      <c r="DK92" s="544"/>
      <c r="DL92" s="544"/>
      <c r="DM92" s="544"/>
      <c r="DN92" s="544"/>
      <c r="DO92" s="544"/>
      <c r="DP92" s="544"/>
      <c r="DQ92" s="544"/>
      <c r="DR92" s="544"/>
      <c r="DS92" s="544"/>
      <c r="DT92" s="544"/>
      <c r="DU92" s="544"/>
      <c r="DV92" s="544"/>
      <c r="DW92" s="544"/>
      <c r="DX92" s="544"/>
      <c r="DY92" s="544"/>
      <c r="DZ92" s="544"/>
      <c r="EA92" s="544"/>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8"/>
      <c r="FN92" s="48"/>
      <c r="FO92" s="48"/>
      <c r="FP92" s="48"/>
      <c r="FQ92" s="48"/>
      <c r="FR92" s="48"/>
      <c r="FS92" s="48"/>
      <c r="FT92" s="48"/>
      <c r="FU92" s="48"/>
      <c r="FV92" s="48"/>
      <c r="FW92" s="47"/>
      <c r="FX92" s="47"/>
      <c r="FY92" s="47"/>
      <c r="FZ92" s="47"/>
      <c r="GA92" s="47">
        <f ca="1">-1.05*GM84</f>
        <v>0</v>
      </c>
      <c r="GB92" s="47"/>
      <c r="GC92" s="47" t="e">
        <f ca="1">GM32</f>
        <v>#VALUE!</v>
      </c>
      <c r="GD92" s="47" t="e">
        <f ca="1">GF32-1.1*GM84</f>
        <v>#DIV/0!</v>
      </c>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row>
    <row r="93" spans="1:221" ht="16.5" customHeight="1">
      <c r="A93" s="1"/>
      <c r="B93" s="3"/>
      <c r="C93" s="3"/>
      <c r="D93" s="43"/>
      <c r="E93" s="43"/>
      <c r="F93" s="43"/>
      <c r="G93" s="43"/>
      <c r="H93" s="43"/>
      <c r="I93" s="43"/>
      <c r="J93" s="43"/>
      <c r="K93" s="43"/>
      <c r="L93" s="429"/>
      <c r="M93" s="430"/>
      <c r="N93" s="430"/>
      <c r="O93" s="430"/>
      <c r="P93" s="430"/>
      <c r="Q93" s="430"/>
      <c r="R93" s="430"/>
      <c r="S93" s="430"/>
      <c r="T93" s="430"/>
      <c r="U93" s="430"/>
      <c r="V93" s="430"/>
      <c r="W93" s="133" t="str">
        <f ca="1">IF(FM70=1,"C:  ","")</f>
        <v/>
      </c>
      <c r="X93" s="427" t="str">
        <f ca="1">IF(FM70=1,".","")</f>
        <v/>
      </c>
      <c r="Y93" s="602"/>
      <c r="Z93" s="602"/>
      <c r="AA93" s="602"/>
      <c r="AB93" s="602"/>
      <c r="AC93" s="602"/>
      <c r="AD93" s="602"/>
      <c r="AE93" s="602"/>
      <c r="AF93" s="602"/>
      <c r="AG93" s="602"/>
      <c r="AH93" s="602"/>
      <c r="AI93" s="602"/>
      <c r="AJ93" s="602"/>
      <c r="AK93" s="602"/>
      <c r="AL93" s="602"/>
      <c r="AM93" s="602"/>
      <c r="AN93" s="602"/>
      <c r="AO93" s="602"/>
      <c r="AP93" s="602"/>
      <c r="AQ93" s="602"/>
      <c r="AR93" s="602"/>
      <c r="AS93" s="602"/>
      <c r="AT93" s="602"/>
      <c r="AU93" s="602"/>
      <c r="AV93" s="602"/>
      <c r="AW93" s="602"/>
      <c r="AX93" s="602"/>
      <c r="AY93" s="602"/>
      <c r="AZ93" s="602"/>
      <c r="BA93" s="602"/>
      <c r="BB93" s="602"/>
      <c r="BC93" s="602"/>
      <c r="BD93" s="602"/>
      <c r="BE93" s="602"/>
      <c r="BF93" s="602"/>
      <c r="BG93" s="602"/>
      <c r="BH93" s="602"/>
      <c r="BI93" s="602"/>
      <c r="BJ93" s="602"/>
      <c r="BK93" s="602"/>
      <c r="BL93" s="602"/>
      <c r="BM93" s="602"/>
      <c r="BN93" s="602"/>
      <c r="BO93" s="602"/>
      <c r="BP93" s="602"/>
      <c r="BQ93" s="602"/>
      <c r="BR93" s="602"/>
      <c r="BS93" s="602"/>
      <c r="BT93" s="602"/>
      <c r="BU93" s="602"/>
      <c r="BV93" s="602"/>
      <c r="BW93" s="602"/>
      <c r="BX93" s="602"/>
      <c r="BY93" s="602"/>
      <c r="BZ93" s="602"/>
      <c r="CA93" s="602"/>
      <c r="CB93" s="602"/>
      <c r="CC93" s="602"/>
      <c r="CD93" s="602"/>
      <c r="CE93" s="602"/>
      <c r="CF93" s="602"/>
      <c r="CG93" s="602"/>
      <c r="CH93" s="602"/>
      <c r="CI93" s="602"/>
      <c r="CJ93" s="602"/>
      <c r="CK93" s="602"/>
      <c r="CL93" s="602"/>
      <c r="CM93" s="602"/>
      <c r="CN93" s="602"/>
      <c r="CO93" s="602"/>
      <c r="CP93" s="602"/>
      <c r="CQ93" s="602"/>
      <c r="CR93" s="602"/>
      <c r="CS93" s="602"/>
      <c r="CT93" s="602"/>
      <c r="CU93" s="602"/>
      <c r="CV93" s="602"/>
      <c r="CW93" s="602"/>
      <c r="CX93" s="602"/>
      <c r="CY93" s="602"/>
      <c r="CZ93" s="602"/>
      <c r="DA93" s="602"/>
      <c r="DB93" s="602"/>
      <c r="DC93" s="602"/>
      <c r="DD93" s="602"/>
      <c r="DE93" s="602"/>
      <c r="DF93" s="602"/>
      <c r="DG93" s="602"/>
      <c r="DH93" s="602"/>
      <c r="DI93" s="602"/>
      <c r="DJ93" s="602"/>
      <c r="DK93" s="602"/>
      <c r="DL93" s="602"/>
      <c r="DM93" s="602"/>
      <c r="DN93" s="602"/>
      <c r="DO93" s="602"/>
      <c r="DP93" s="602"/>
      <c r="DQ93" s="602"/>
      <c r="DR93" s="602"/>
      <c r="DS93" s="602"/>
      <c r="DT93" s="602"/>
      <c r="DU93" s="602"/>
      <c r="DV93" s="602"/>
      <c r="DW93" s="602"/>
      <c r="DX93" s="602"/>
      <c r="DY93" s="602"/>
      <c r="DZ93" s="602"/>
      <c r="EA93" s="427" t="str">
        <f ca="1">IF(FM70=1,".","")</f>
        <v/>
      </c>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8"/>
      <c r="FN93" s="48" t="str">
        <f>IF(Y93="","",IF(AND(FM70=1,Y93=FP85),1,0))</f>
        <v/>
      </c>
      <c r="FO93" s="48"/>
      <c r="FP93" s="48"/>
      <c r="FQ93" s="48"/>
      <c r="FR93" s="48"/>
      <c r="FS93" s="48"/>
      <c r="FT93" s="48"/>
      <c r="FU93" s="48"/>
      <c r="FV93" s="48"/>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row>
    <row r="94" spans="1:221" ht="3.75" customHeight="1">
      <c r="A94" s="1"/>
      <c r="B94" s="3"/>
      <c r="C94" s="3"/>
      <c r="D94" s="43"/>
      <c r="E94" s="43"/>
      <c r="F94" s="43"/>
      <c r="G94" s="43"/>
      <c r="H94" s="43"/>
      <c r="I94" s="43"/>
      <c r="J94" s="43"/>
      <c r="K94" s="43"/>
      <c r="L94" s="429"/>
      <c r="M94" s="430"/>
      <c r="N94" s="430"/>
      <c r="O94" s="430"/>
      <c r="P94" s="430"/>
      <c r="Q94" s="430"/>
      <c r="R94" s="430"/>
      <c r="S94" s="430"/>
      <c r="T94" s="430"/>
      <c r="U94" s="430"/>
      <c r="V94" s="430"/>
      <c r="W94" s="430"/>
      <c r="X94" s="544" t="str">
        <f ca="1">IF(FM70=1,".","")</f>
        <v/>
      </c>
      <c r="Y94" s="544"/>
      <c r="Z94" s="544"/>
      <c r="AA94" s="544"/>
      <c r="AB94" s="544"/>
      <c r="AC94" s="544"/>
      <c r="AD94" s="544"/>
      <c r="AE94" s="544"/>
      <c r="AF94" s="544"/>
      <c r="AG94" s="544"/>
      <c r="AH94" s="544"/>
      <c r="AI94" s="544"/>
      <c r="AJ94" s="544"/>
      <c r="AK94" s="544"/>
      <c r="AL94" s="544"/>
      <c r="AM94" s="544"/>
      <c r="AN94" s="544"/>
      <c r="AO94" s="544"/>
      <c r="AP94" s="544"/>
      <c r="AQ94" s="544"/>
      <c r="AR94" s="544"/>
      <c r="AS94" s="544"/>
      <c r="AT94" s="544"/>
      <c r="AU94" s="544"/>
      <c r="AV94" s="544"/>
      <c r="AW94" s="544"/>
      <c r="AX94" s="544"/>
      <c r="AY94" s="544"/>
      <c r="AZ94" s="544"/>
      <c r="BA94" s="544"/>
      <c r="BB94" s="544"/>
      <c r="BC94" s="544"/>
      <c r="BD94" s="544"/>
      <c r="BE94" s="544"/>
      <c r="BF94" s="544"/>
      <c r="BG94" s="544"/>
      <c r="BH94" s="544"/>
      <c r="BI94" s="544"/>
      <c r="BJ94" s="544"/>
      <c r="BK94" s="544"/>
      <c r="BL94" s="544"/>
      <c r="BM94" s="544"/>
      <c r="BN94" s="544"/>
      <c r="BO94" s="544"/>
      <c r="BP94" s="544"/>
      <c r="BQ94" s="544"/>
      <c r="BR94" s="544"/>
      <c r="BS94" s="544"/>
      <c r="BT94" s="544"/>
      <c r="BU94" s="544"/>
      <c r="BV94" s="544"/>
      <c r="BW94" s="544"/>
      <c r="BX94" s="544"/>
      <c r="BY94" s="544"/>
      <c r="BZ94" s="544"/>
      <c r="CA94" s="544"/>
      <c r="CB94" s="544"/>
      <c r="CC94" s="544"/>
      <c r="CD94" s="544"/>
      <c r="CE94" s="544"/>
      <c r="CF94" s="544"/>
      <c r="CG94" s="544"/>
      <c r="CH94" s="544"/>
      <c r="CI94" s="544"/>
      <c r="CJ94" s="544"/>
      <c r="CK94" s="544"/>
      <c r="CL94" s="544"/>
      <c r="CM94" s="544"/>
      <c r="CN94" s="544"/>
      <c r="CO94" s="544"/>
      <c r="CP94" s="544"/>
      <c r="CQ94" s="544"/>
      <c r="CR94" s="544"/>
      <c r="CS94" s="544"/>
      <c r="CT94" s="544"/>
      <c r="CU94" s="544"/>
      <c r="CV94" s="544"/>
      <c r="CW94" s="544"/>
      <c r="CX94" s="544"/>
      <c r="CY94" s="544"/>
      <c r="CZ94" s="544"/>
      <c r="DA94" s="544"/>
      <c r="DB94" s="544"/>
      <c r="DC94" s="544"/>
      <c r="DD94" s="544"/>
      <c r="DE94" s="544"/>
      <c r="DF94" s="544"/>
      <c r="DG94" s="544"/>
      <c r="DH94" s="544"/>
      <c r="DI94" s="544"/>
      <c r="DJ94" s="544"/>
      <c r="DK94" s="544"/>
      <c r="DL94" s="544"/>
      <c r="DM94" s="544"/>
      <c r="DN94" s="544"/>
      <c r="DO94" s="544"/>
      <c r="DP94" s="544"/>
      <c r="DQ94" s="544"/>
      <c r="DR94" s="544"/>
      <c r="DS94" s="544"/>
      <c r="DT94" s="544"/>
      <c r="DU94" s="544"/>
      <c r="DV94" s="544"/>
      <c r="DW94" s="544"/>
      <c r="DX94" s="544"/>
      <c r="DY94" s="544"/>
      <c r="DZ94" s="544"/>
      <c r="EA94" s="544"/>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8"/>
      <c r="FN94" s="48"/>
      <c r="FO94" s="48"/>
      <c r="FP94" s="48"/>
      <c r="FQ94" s="48"/>
      <c r="FR94" s="48"/>
      <c r="FS94" s="48"/>
      <c r="FT94" s="48"/>
      <c r="FU94" s="48"/>
      <c r="FV94" s="48"/>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row>
    <row r="95" spans="1:221" ht="7.5" customHeight="1">
      <c r="A95" s="1"/>
      <c r="B95" s="3"/>
      <c r="C95" s="3"/>
      <c r="D95" s="43"/>
      <c r="E95" s="43"/>
      <c r="F95" s="43"/>
      <c r="G95" s="43"/>
      <c r="H95" s="43"/>
      <c r="I95" s="43"/>
      <c r="J95" s="43"/>
      <c r="K95" s="43"/>
      <c r="L95" s="429"/>
      <c r="M95" s="430"/>
      <c r="N95" s="430"/>
      <c r="O95" s="430"/>
      <c r="P95" s="430"/>
      <c r="Q95" s="430"/>
      <c r="R95" s="430"/>
      <c r="S95" s="430"/>
      <c r="T95" s="430"/>
      <c r="U95" s="430"/>
      <c r="V95" s="430"/>
      <c r="W95" s="430"/>
      <c r="X95" s="430"/>
      <c r="Y95" s="430"/>
      <c r="Z95" s="430"/>
      <c r="AA95" s="430"/>
      <c r="AB95" s="430"/>
      <c r="AC95" s="430"/>
      <c r="AD95" s="430"/>
      <c r="AE95" s="430"/>
      <c r="AF95" s="430"/>
      <c r="AG95" s="430"/>
      <c r="AH95" s="430"/>
      <c r="AI95" s="430"/>
      <c r="AJ95" s="430"/>
      <c r="AK95" s="430"/>
      <c r="AL95" s="430"/>
      <c r="AM95" s="430"/>
      <c r="AN95" s="430"/>
      <c r="AO95" s="430"/>
      <c r="AP95" s="430"/>
      <c r="AQ95" s="430"/>
      <c r="AR95" s="430"/>
      <c r="AS95" s="430"/>
      <c r="AT95" s="430"/>
      <c r="AU95" s="430"/>
      <c r="AV95" s="430"/>
      <c r="AW95" s="430"/>
      <c r="AX95" s="430"/>
      <c r="AY95" s="430"/>
      <c r="AZ95" s="430"/>
      <c r="BA95" s="430"/>
      <c r="BB95" s="430"/>
      <c r="BC95" s="430"/>
      <c r="BD95" s="430"/>
      <c r="BE95" s="430"/>
      <c r="BF95" s="430"/>
      <c r="BG95" s="430"/>
      <c r="BH95" s="430"/>
      <c r="BI95" s="430"/>
      <c r="BJ95" s="430"/>
      <c r="BK95" s="430"/>
      <c r="BL95" s="430"/>
      <c r="BM95" s="430"/>
      <c r="BN95" s="430"/>
      <c r="BO95" s="430"/>
      <c r="BP95" s="430"/>
      <c r="BQ95" s="430"/>
      <c r="BR95" s="430"/>
      <c r="BS95" s="430"/>
      <c r="BT95" s="430"/>
      <c r="BU95" s="430"/>
      <c r="BV95" s="430"/>
      <c r="BW95" s="430"/>
      <c r="BX95" s="430"/>
      <c r="BY95" s="430"/>
      <c r="BZ95" s="430"/>
      <c r="CA95" s="430"/>
      <c r="CB95" s="430"/>
      <c r="CC95" s="430"/>
      <c r="CD95" s="430"/>
      <c r="CE95" s="430"/>
      <c r="CF95" s="430"/>
      <c r="CG95" s="430"/>
      <c r="CH95" s="430"/>
      <c r="CI95" s="430"/>
      <c r="CJ95" s="430"/>
      <c r="CK95" s="430"/>
      <c r="CL95" s="430"/>
      <c r="CM95" s="430"/>
      <c r="CN95" s="430"/>
      <c r="CO95" s="430"/>
      <c r="CP95" s="430"/>
      <c r="CQ95" s="430"/>
      <c r="CR95" s="430"/>
      <c r="CS95" s="430"/>
      <c r="CT95" s="430"/>
      <c r="CU95" s="430"/>
      <c r="CV95" s="430"/>
      <c r="CW95" s="430"/>
      <c r="CX95" s="430"/>
      <c r="CY95" s="430"/>
      <c r="CZ95" s="430"/>
      <c r="DA95" s="430"/>
      <c r="DB95" s="430"/>
      <c r="DC95" s="430"/>
      <c r="DD95" s="430"/>
      <c r="DE95" s="430"/>
      <c r="DF95" s="430"/>
      <c r="DG95" s="430"/>
      <c r="DH95" s="430"/>
      <c r="DI95" s="430"/>
      <c r="DJ95" s="430"/>
      <c r="DK95" s="430"/>
      <c r="DL95" s="430"/>
      <c r="DM95" s="430"/>
      <c r="DN95" s="430"/>
      <c r="DO95" s="430"/>
      <c r="DP95" s="430"/>
      <c r="DQ95" s="430"/>
      <c r="DR95" s="430"/>
      <c r="DS95" s="430"/>
      <c r="DT95" s="430"/>
      <c r="DU95" s="430"/>
      <c r="DV95" s="430"/>
      <c r="DW95" s="430"/>
      <c r="DX95" s="430"/>
      <c r="DY95" s="430"/>
      <c r="DZ95" s="430"/>
      <c r="EA95" s="430"/>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8"/>
      <c r="FN95" s="48"/>
      <c r="FO95" s="48"/>
      <c r="FP95" s="48"/>
      <c r="FQ95" s="48"/>
      <c r="FR95" s="48"/>
      <c r="FS95" s="48"/>
      <c r="FT95" s="48"/>
      <c r="FU95" s="48"/>
      <c r="FV95" s="48"/>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row>
    <row r="96" spans="1:221" ht="3.75" customHeight="1">
      <c r="A96" s="1"/>
      <c r="B96" s="3"/>
      <c r="C96" s="3"/>
      <c r="D96" s="43"/>
      <c r="E96" s="43"/>
      <c r="F96" s="43"/>
      <c r="G96" s="43"/>
      <c r="H96" s="43"/>
      <c r="I96" s="43"/>
      <c r="J96" s="43"/>
      <c r="K96" s="43"/>
      <c r="L96" s="429"/>
      <c r="M96" s="430"/>
      <c r="N96" s="430"/>
      <c r="O96" s="430"/>
      <c r="P96" s="430"/>
      <c r="Q96" s="430"/>
      <c r="R96" s="430"/>
      <c r="S96" s="430"/>
      <c r="T96" s="430"/>
      <c r="U96" s="430"/>
      <c r="V96" s="430"/>
      <c r="W96" s="430"/>
      <c r="X96" s="544" t="str">
        <f ca="1">IF(FM70=1,".","")</f>
        <v/>
      </c>
      <c r="Y96" s="544"/>
      <c r="Z96" s="544"/>
      <c r="AA96" s="544"/>
      <c r="AB96" s="544"/>
      <c r="AC96" s="544"/>
      <c r="AD96" s="544"/>
      <c r="AE96" s="544"/>
      <c r="AF96" s="544"/>
      <c r="AG96" s="544"/>
      <c r="AH96" s="544"/>
      <c r="AI96" s="544"/>
      <c r="AJ96" s="544"/>
      <c r="AK96" s="544"/>
      <c r="AL96" s="544"/>
      <c r="AM96" s="544"/>
      <c r="AN96" s="544"/>
      <c r="AO96" s="544"/>
      <c r="AP96" s="544"/>
      <c r="AQ96" s="544"/>
      <c r="AR96" s="544"/>
      <c r="AS96" s="544"/>
      <c r="AT96" s="544"/>
      <c r="AU96" s="544"/>
      <c r="AV96" s="544"/>
      <c r="AW96" s="544"/>
      <c r="AX96" s="544"/>
      <c r="AY96" s="544"/>
      <c r="AZ96" s="544"/>
      <c r="BA96" s="544"/>
      <c r="BB96" s="544"/>
      <c r="BC96" s="544"/>
      <c r="BD96" s="544"/>
      <c r="BE96" s="544"/>
      <c r="BF96" s="544"/>
      <c r="BG96" s="544"/>
      <c r="BH96" s="544"/>
      <c r="BI96" s="544"/>
      <c r="BJ96" s="544"/>
      <c r="BK96" s="544"/>
      <c r="BL96" s="544"/>
      <c r="BM96" s="544"/>
      <c r="BN96" s="544"/>
      <c r="BO96" s="544"/>
      <c r="BP96" s="544"/>
      <c r="BQ96" s="544"/>
      <c r="BR96" s="544"/>
      <c r="BS96" s="544"/>
      <c r="BT96" s="544"/>
      <c r="BU96" s="544"/>
      <c r="BV96" s="544"/>
      <c r="BW96" s="544"/>
      <c r="BX96" s="544"/>
      <c r="BY96" s="544"/>
      <c r="BZ96" s="544"/>
      <c r="CA96" s="544"/>
      <c r="CB96" s="544"/>
      <c r="CC96" s="544"/>
      <c r="CD96" s="544"/>
      <c r="CE96" s="544"/>
      <c r="CF96" s="544"/>
      <c r="CG96" s="544"/>
      <c r="CH96" s="544"/>
      <c r="CI96" s="544"/>
      <c r="CJ96" s="544"/>
      <c r="CK96" s="544"/>
      <c r="CL96" s="544"/>
      <c r="CM96" s="544"/>
      <c r="CN96" s="544"/>
      <c r="CO96" s="544"/>
      <c r="CP96" s="544"/>
      <c r="CQ96" s="544"/>
      <c r="CR96" s="544"/>
      <c r="CS96" s="544"/>
      <c r="CT96" s="544"/>
      <c r="CU96" s="544"/>
      <c r="CV96" s="544"/>
      <c r="CW96" s="544"/>
      <c r="CX96" s="544"/>
      <c r="CY96" s="544"/>
      <c r="CZ96" s="544"/>
      <c r="DA96" s="544"/>
      <c r="DB96" s="544"/>
      <c r="DC96" s="544"/>
      <c r="DD96" s="544"/>
      <c r="DE96" s="544"/>
      <c r="DF96" s="544"/>
      <c r="DG96" s="544"/>
      <c r="DH96" s="544"/>
      <c r="DI96" s="544"/>
      <c r="DJ96" s="544"/>
      <c r="DK96" s="544"/>
      <c r="DL96" s="544"/>
      <c r="DM96" s="544"/>
      <c r="DN96" s="544"/>
      <c r="DO96" s="544"/>
      <c r="DP96" s="544"/>
      <c r="DQ96" s="544"/>
      <c r="DR96" s="544"/>
      <c r="DS96" s="544"/>
      <c r="DT96" s="544"/>
      <c r="DU96" s="544"/>
      <c r="DV96" s="544"/>
      <c r="DW96" s="544"/>
      <c r="DX96" s="544"/>
      <c r="DY96" s="544"/>
      <c r="DZ96" s="544"/>
      <c r="EA96" s="544"/>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8"/>
      <c r="FN96" s="48"/>
      <c r="FO96" s="48"/>
      <c r="FP96" s="48"/>
      <c r="FQ96" s="48"/>
      <c r="FR96" s="48"/>
      <c r="FS96" s="48"/>
      <c r="FT96" s="48"/>
      <c r="FU96" s="48"/>
      <c r="FV96" s="48"/>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row>
    <row r="97" spans="1:221" ht="16.5" customHeight="1">
      <c r="A97" s="1"/>
      <c r="B97" s="3"/>
      <c r="C97" s="3"/>
      <c r="D97" s="43"/>
      <c r="E97" s="43"/>
      <c r="F97" s="43"/>
      <c r="G97" s="43"/>
      <c r="H97" s="43"/>
      <c r="I97" s="43"/>
      <c r="J97" s="43"/>
      <c r="K97" s="43"/>
      <c r="L97" s="429"/>
      <c r="M97" s="430"/>
      <c r="N97" s="430"/>
      <c r="O97" s="430"/>
      <c r="P97" s="430"/>
      <c r="Q97" s="430"/>
      <c r="R97" s="430"/>
      <c r="S97" s="430"/>
      <c r="T97" s="430"/>
      <c r="U97" s="430"/>
      <c r="V97" s="430"/>
      <c r="W97" s="133" t="str">
        <f ca="1">IF(FM70=1,"D:  ","")</f>
        <v/>
      </c>
      <c r="X97" s="427" t="str">
        <f ca="1">IF(FM70=1,".","")</f>
        <v/>
      </c>
      <c r="Y97" s="602"/>
      <c r="Z97" s="602"/>
      <c r="AA97" s="602"/>
      <c r="AB97" s="602"/>
      <c r="AC97" s="602"/>
      <c r="AD97" s="602"/>
      <c r="AE97" s="602"/>
      <c r="AF97" s="602"/>
      <c r="AG97" s="602"/>
      <c r="AH97" s="602"/>
      <c r="AI97" s="602"/>
      <c r="AJ97" s="602"/>
      <c r="AK97" s="602"/>
      <c r="AL97" s="602"/>
      <c r="AM97" s="602"/>
      <c r="AN97" s="602"/>
      <c r="AO97" s="602"/>
      <c r="AP97" s="602"/>
      <c r="AQ97" s="602"/>
      <c r="AR97" s="602"/>
      <c r="AS97" s="602"/>
      <c r="AT97" s="602"/>
      <c r="AU97" s="602"/>
      <c r="AV97" s="602"/>
      <c r="AW97" s="602"/>
      <c r="AX97" s="602"/>
      <c r="AY97" s="602"/>
      <c r="AZ97" s="602"/>
      <c r="BA97" s="602"/>
      <c r="BB97" s="602"/>
      <c r="BC97" s="602"/>
      <c r="BD97" s="602"/>
      <c r="BE97" s="602"/>
      <c r="BF97" s="602"/>
      <c r="BG97" s="602"/>
      <c r="BH97" s="602"/>
      <c r="BI97" s="602"/>
      <c r="BJ97" s="602"/>
      <c r="BK97" s="602"/>
      <c r="BL97" s="602"/>
      <c r="BM97" s="602"/>
      <c r="BN97" s="602"/>
      <c r="BO97" s="602"/>
      <c r="BP97" s="602"/>
      <c r="BQ97" s="602"/>
      <c r="BR97" s="602"/>
      <c r="BS97" s="602"/>
      <c r="BT97" s="602"/>
      <c r="BU97" s="602"/>
      <c r="BV97" s="602"/>
      <c r="BW97" s="602"/>
      <c r="BX97" s="602"/>
      <c r="BY97" s="602"/>
      <c r="BZ97" s="602"/>
      <c r="CA97" s="602"/>
      <c r="CB97" s="602"/>
      <c r="CC97" s="602"/>
      <c r="CD97" s="602"/>
      <c r="CE97" s="602"/>
      <c r="CF97" s="602"/>
      <c r="CG97" s="602"/>
      <c r="CH97" s="602"/>
      <c r="CI97" s="602"/>
      <c r="CJ97" s="602"/>
      <c r="CK97" s="602"/>
      <c r="CL97" s="602"/>
      <c r="CM97" s="602"/>
      <c r="CN97" s="602"/>
      <c r="CO97" s="602"/>
      <c r="CP97" s="602"/>
      <c r="CQ97" s="602"/>
      <c r="CR97" s="602"/>
      <c r="CS97" s="602"/>
      <c r="CT97" s="602"/>
      <c r="CU97" s="602"/>
      <c r="CV97" s="602"/>
      <c r="CW97" s="602"/>
      <c r="CX97" s="602"/>
      <c r="CY97" s="602"/>
      <c r="CZ97" s="602"/>
      <c r="DA97" s="602"/>
      <c r="DB97" s="602"/>
      <c r="DC97" s="602"/>
      <c r="DD97" s="602"/>
      <c r="DE97" s="602"/>
      <c r="DF97" s="602"/>
      <c r="DG97" s="602"/>
      <c r="DH97" s="602"/>
      <c r="DI97" s="602"/>
      <c r="DJ97" s="602"/>
      <c r="DK97" s="602"/>
      <c r="DL97" s="602"/>
      <c r="DM97" s="602"/>
      <c r="DN97" s="602"/>
      <c r="DO97" s="602"/>
      <c r="DP97" s="602"/>
      <c r="DQ97" s="602"/>
      <c r="DR97" s="602"/>
      <c r="DS97" s="602"/>
      <c r="DT97" s="602"/>
      <c r="DU97" s="602"/>
      <c r="DV97" s="602"/>
      <c r="DW97" s="602"/>
      <c r="DX97" s="602"/>
      <c r="DY97" s="602"/>
      <c r="DZ97" s="602"/>
      <c r="EA97" s="427" t="str">
        <f ca="1">IF(FM70=1,".","")</f>
        <v/>
      </c>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8">
        <f>IF(programma!B1="X",1,IF(OR(Y85="",Y89="",Y93="",Y97=""),0,IF(FN85+FN89+FN93+FN97=4,1,0)))</f>
        <v>0</v>
      </c>
      <c r="FN97" s="48" t="str">
        <f>IF(Y97="","",IF(AND(FM70=1,Y97=FO85),1,0))</f>
        <v/>
      </c>
      <c r="FO97" s="48"/>
      <c r="FP97" s="48"/>
      <c r="FQ97" s="48"/>
      <c r="FR97" s="48"/>
      <c r="FS97" s="48"/>
      <c r="FT97" s="48"/>
      <c r="FU97" s="48"/>
      <c r="FV97" s="48"/>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row>
    <row r="98" spans="1:221" ht="3.75" customHeight="1">
      <c r="A98" s="1"/>
      <c r="B98" s="3"/>
      <c r="C98" s="3"/>
      <c r="D98" s="43"/>
      <c r="E98" s="43"/>
      <c r="F98" s="43"/>
      <c r="G98" s="43"/>
      <c r="H98" s="43"/>
      <c r="I98" s="43"/>
      <c r="J98" s="43"/>
      <c r="K98" s="43"/>
      <c r="L98" s="429"/>
      <c r="M98" s="430"/>
      <c r="N98" s="430"/>
      <c r="O98" s="430"/>
      <c r="P98" s="430"/>
      <c r="Q98" s="430"/>
      <c r="R98" s="430"/>
      <c r="S98" s="430"/>
      <c r="T98" s="430"/>
      <c r="U98" s="430"/>
      <c r="V98" s="430"/>
      <c r="W98" s="430"/>
      <c r="X98" s="544" t="str">
        <f ca="1">IF(FM70=1,".","")</f>
        <v/>
      </c>
      <c r="Y98" s="545"/>
      <c r="Z98" s="545"/>
      <c r="AA98" s="545"/>
      <c r="AB98" s="545"/>
      <c r="AC98" s="545"/>
      <c r="AD98" s="545"/>
      <c r="AE98" s="545"/>
      <c r="AF98" s="545"/>
      <c r="AG98" s="545"/>
      <c r="AH98" s="545"/>
      <c r="AI98" s="545"/>
      <c r="AJ98" s="545"/>
      <c r="AK98" s="545"/>
      <c r="AL98" s="545"/>
      <c r="AM98" s="545"/>
      <c r="AN98" s="545"/>
      <c r="AO98" s="545"/>
      <c r="AP98" s="545"/>
      <c r="AQ98" s="545"/>
      <c r="AR98" s="545"/>
      <c r="AS98" s="545"/>
      <c r="AT98" s="545"/>
      <c r="AU98" s="545"/>
      <c r="AV98" s="545"/>
      <c r="AW98" s="545"/>
      <c r="AX98" s="545"/>
      <c r="AY98" s="545"/>
      <c r="AZ98" s="545"/>
      <c r="BA98" s="545"/>
      <c r="BB98" s="545"/>
      <c r="BC98" s="545"/>
      <c r="BD98" s="545"/>
      <c r="BE98" s="545"/>
      <c r="BF98" s="545"/>
      <c r="BG98" s="545"/>
      <c r="BH98" s="545"/>
      <c r="BI98" s="545"/>
      <c r="BJ98" s="545"/>
      <c r="BK98" s="545"/>
      <c r="BL98" s="545"/>
      <c r="BM98" s="545"/>
      <c r="BN98" s="545"/>
      <c r="BO98" s="545"/>
      <c r="BP98" s="545"/>
      <c r="BQ98" s="545"/>
      <c r="BR98" s="545"/>
      <c r="BS98" s="545"/>
      <c r="BT98" s="545"/>
      <c r="BU98" s="545"/>
      <c r="BV98" s="545"/>
      <c r="BW98" s="545"/>
      <c r="BX98" s="545"/>
      <c r="BY98" s="545"/>
      <c r="BZ98" s="545"/>
      <c r="CA98" s="545"/>
      <c r="CB98" s="545"/>
      <c r="CC98" s="545"/>
      <c r="CD98" s="545"/>
      <c r="CE98" s="545"/>
      <c r="CF98" s="545"/>
      <c r="CG98" s="545"/>
      <c r="CH98" s="545"/>
      <c r="CI98" s="545"/>
      <c r="CJ98" s="545"/>
      <c r="CK98" s="545"/>
      <c r="CL98" s="545"/>
      <c r="CM98" s="545"/>
      <c r="CN98" s="545"/>
      <c r="CO98" s="545"/>
      <c r="CP98" s="545"/>
      <c r="CQ98" s="545"/>
      <c r="CR98" s="545"/>
      <c r="CS98" s="545"/>
      <c r="CT98" s="545"/>
      <c r="CU98" s="545"/>
      <c r="CV98" s="545"/>
      <c r="CW98" s="545"/>
      <c r="CX98" s="545"/>
      <c r="CY98" s="545"/>
      <c r="CZ98" s="545"/>
      <c r="DA98" s="545"/>
      <c r="DB98" s="545"/>
      <c r="DC98" s="545"/>
      <c r="DD98" s="545"/>
      <c r="DE98" s="545"/>
      <c r="DF98" s="545"/>
      <c r="DG98" s="545"/>
      <c r="DH98" s="545"/>
      <c r="DI98" s="545"/>
      <c r="DJ98" s="545"/>
      <c r="DK98" s="545"/>
      <c r="DL98" s="545"/>
      <c r="DM98" s="545"/>
      <c r="DN98" s="545"/>
      <c r="DO98" s="545"/>
      <c r="DP98" s="545"/>
      <c r="DQ98" s="545"/>
      <c r="DR98" s="545"/>
      <c r="DS98" s="545"/>
      <c r="DT98" s="545"/>
      <c r="DU98" s="545"/>
      <c r="DV98" s="545"/>
      <c r="DW98" s="545"/>
      <c r="DX98" s="545"/>
      <c r="DY98" s="545"/>
      <c r="DZ98" s="545"/>
      <c r="EA98" s="545"/>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8"/>
      <c r="FN98" s="48"/>
      <c r="FO98" s="48"/>
      <c r="FP98" s="48"/>
      <c r="FQ98" s="48"/>
      <c r="FR98" s="48"/>
      <c r="FS98" s="48"/>
      <c r="FT98" s="48"/>
      <c r="FU98" s="48"/>
      <c r="FV98" s="48"/>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row>
    <row r="99" spans="1:221" ht="21.75" customHeight="1">
      <c r="A99" s="1"/>
      <c r="B99" s="3"/>
      <c r="C99" s="3"/>
      <c r="D99" s="91" t="str">
        <f ca="1">IF(FM70=0,"",IF(OR(Y85="",Y89="",Y93="",Y97=""),"",IF(FM97=1,"Prima! Je hebt ze allemaal goed.",IF(FN85+FN89+FN93+FN97=3,"Je hebt er één fout!",IF(FN85+FN89+FN93+FN97=2,"Je hebt er twee fout!",IF(FN85+FN89+FN93+FN97=1,"Je hebt er drie fout!",IF(FN85+FN89+FN93+FN97=0,"Je hebt ze allemaal fout!","")))))))</f>
        <v/>
      </c>
      <c r="E99" s="430"/>
      <c r="F99" s="430"/>
      <c r="G99" s="430"/>
      <c r="H99" s="430"/>
      <c r="I99" s="430"/>
      <c r="J99" s="430"/>
      <c r="K99" s="430"/>
      <c r="L99" s="430"/>
      <c r="M99" s="430"/>
      <c r="N99" s="430"/>
      <c r="O99" s="430"/>
      <c r="P99" s="430"/>
      <c r="Q99" s="430"/>
      <c r="R99" s="430"/>
      <c r="S99" s="430"/>
      <c r="T99" s="430"/>
      <c r="U99" s="430"/>
      <c r="V99" s="430"/>
      <c r="W99" s="430"/>
      <c r="X99" s="430"/>
      <c r="Y99" s="430"/>
      <c r="Z99" s="430"/>
      <c r="AA99" s="430"/>
      <c r="AB99" s="430"/>
      <c r="AC99" s="430"/>
      <c r="AD99" s="430"/>
      <c r="AE99" s="430"/>
      <c r="AF99" s="430"/>
      <c r="AG99" s="430"/>
      <c r="AH99" s="430"/>
      <c r="AI99" s="430"/>
      <c r="AJ99" s="430"/>
      <c r="AK99" s="430"/>
      <c r="AL99" s="430"/>
      <c r="AM99" s="430"/>
      <c r="AN99" s="430"/>
      <c r="AO99" s="430"/>
      <c r="AP99" s="430"/>
      <c r="AQ99" s="430"/>
      <c r="AR99" s="430"/>
      <c r="AS99" s="430"/>
      <c r="AT99" s="430"/>
      <c r="AU99" s="430"/>
      <c r="AV99" s="430"/>
      <c r="AW99" s="430"/>
      <c r="AX99" s="428"/>
      <c r="AY99" s="43"/>
      <c r="AZ99" s="41"/>
      <c r="BA99" s="41"/>
      <c r="BB99" s="41"/>
      <c r="BC99" s="41"/>
      <c r="BD99" s="42"/>
      <c r="BE99" s="41"/>
      <c r="BF99" s="41"/>
      <c r="BG99" s="41"/>
      <c r="BH99" s="41"/>
      <c r="BI99" s="41"/>
      <c r="BJ99" s="41"/>
      <c r="BK99" s="42"/>
      <c r="BL99" s="41"/>
      <c r="BM99" s="41"/>
      <c r="BN99" s="41"/>
      <c r="BO99" s="41"/>
      <c r="BP99" s="41"/>
      <c r="BQ99" s="41"/>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8"/>
      <c r="FN99" s="48"/>
      <c r="FO99" s="48"/>
      <c r="FP99" s="48"/>
      <c r="FQ99" s="48"/>
      <c r="FR99" s="48"/>
      <c r="FS99" s="48"/>
      <c r="FT99" s="48"/>
      <c r="FU99" s="48"/>
      <c r="FV99" s="48"/>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row>
    <row r="100" spans="1:221" ht="16.5" customHeight="1">
      <c r="A100" s="1"/>
      <c r="B100" s="3"/>
      <c r="C100" s="3"/>
      <c r="D100" s="38"/>
      <c r="E100" s="24"/>
      <c r="F100" s="24"/>
      <c r="G100" s="24"/>
      <c r="H100" s="24"/>
      <c r="I100" s="12"/>
      <c r="J100" s="12"/>
      <c r="K100" s="12"/>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14"/>
      <c r="EQ100" s="14"/>
      <c r="ER100" s="14"/>
      <c r="ES100" s="14"/>
      <c r="ET100" s="14"/>
      <c r="EU100" s="14"/>
      <c r="EV100" s="14"/>
      <c r="EW100" s="14"/>
      <c r="EX100" s="14"/>
      <c r="EY100" s="14"/>
      <c r="EZ100" s="14"/>
      <c r="FA100" s="14"/>
      <c r="FB100" s="14"/>
      <c r="FC100" s="14"/>
      <c r="FD100" s="14"/>
      <c r="FE100" s="14"/>
      <c r="FF100" s="14"/>
      <c r="FG100" s="14"/>
      <c r="FH100" s="14"/>
      <c r="FI100" s="14"/>
      <c r="FJ100" s="25"/>
      <c r="FK100" s="14"/>
      <c r="FL100" s="14"/>
      <c r="FM100" s="48"/>
      <c r="FN100" s="48"/>
      <c r="FO100" s="48"/>
      <c r="FP100" s="48"/>
      <c r="FQ100" s="48"/>
      <c r="FR100" s="48"/>
      <c r="FS100" s="48"/>
      <c r="FT100" s="48"/>
      <c r="FU100" s="48"/>
      <c r="FV100" s="48"/>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row>
    <row r="101" spans="1:221" ht="16.5" customHeight="1">
      <c r="A101" s="1"/>
      <c r="B101" s="3"/>
      <c r="C101" s="3"/>
      <c r="D101" s="38" t="str">
        <f>IF(FM97=1,"Geef nu aan waarvoor de je volgende punten kunt gebruiken. Je krijgt pas te","")</f>
        <v/>
      </c>
      <c r="E101" s="10"/>
      <c r="F101" s="10"/>
      <c r="G101" s="10"/>
      <c r="H101" s="10"/>
      <c r="I101" s="10"/>
      <c r="J101" s="10"/>
      <c r="K101" s="10"/>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97"/>
      <c r="AY101" s="43"/>
      <c r="AZ101" s="41"/>
      <c r="BA101" s="41"/>
      <c r="BB101" s="41"/>
      <c r="BC101" s="41"/>
      <c r="BD101" s="42"/>
      <c r="BE101" s="41"/>
      <c r="BF101" s="41"/>
      <c r="BG101" s="41"/>
      <c r="BH101" s="41"/>
      <c r="BI101" s="41"/>
      <c r="BJ101" s="41"/>
      <c r="BK101" s="42"/>
      <c r="BL101" s="41"/>
      <c r="BM101" s="41"/>
      <c r="BN101" s="41"/>
      <c r="BO101" s="41"/>
      <c r="BP101" s="41"/>
      <c r="BQ101" s="41"/>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79"/>
      <c r="EQ101" s="79"/>
      <c r="ER101" s="79"/>
      <c r="ES101" s="79"/>
      <c r="ET101" s="79"/>
      <c r="EU101" s="79"/>
      <c r="EV101" s="79"/>
      <c r="EW101" s="79"/>
      <c r="EX101" s="79"/>
      <c r="EY101" s="79"/>
      <c r="EZ101" s="79"/>
      <c r="FA101" s="79"/>
      <c r="FB101" s="79"/>
      <c r="FC101" s="79"/>
      <c r="FD101" s="79"/>
      <c r="FE101" s="79"/>
      <c r="FF101" s="79"/>
      <c r="FG101" s="79"/>
      <c r="FH101" s="79"/>
      <c r="FI101" s="79"/>
      <c r="FJ101" s="79"/>
      <c r="FK101" s="79"/>
      <c r="FL101" s="79"/>
      <c r="FM101" s="48"/>
      <c r="FN101" s="48"/>
      <c r="FO101" s="48"/>
      <c r="FP101" s="48"/>
      <c r="FQ101" s="48"/>
      <c r="FR101" s="48"/>
      <c r="FS101" s="48"/>
      <c r="FT101" s="48"/>
      <c r="FU101" s="48"/>
      <c r="FV101" s="48"/>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row>
    <row r="102" spans="1:221" ht="16.5" customHeight="1">
      <c r="A102" s="1"/>
      <c r="B102" s="3"/>
      <c r="C102" s="3"/>
      <c r="D102" s="38" t="str">
        <f>IF(FM97=1,"zien hoe je het hebt gedaan als je weer alle vakken ingevuld.","")</f>
        <v/>
      </c>
      <c r="E102" s="10"/>
      <c r="F102" s="10"/>
      <c r="G102" s="10"/>
      <c r="H102" s="10"/>
      <c r="I102" s="10"/>
      <c r="J102" s="10"/>
      <c r="K102" s="10"/>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97"/>
      <c r="AY102" s="43"/>
      <c r="AZ102" s="41"/>
      <c r="BA102" s="41"/>
      <c r="BB102" s="41"/>
      <c r="BC102" s="41"/>
      <c r="BD102" s="42"/>
      <c r="BE102" s="41"/>
      <c r="BF102" s="41"/>
      <c r="BG102" s="41"/>
      <c r="BH102" s="41"/>
      <c r="BI102" s="41"/>
      <c r="BJ102" s="41"/>
      <c r="BK102" s="42"/>
      <c r="BL102" s="41"/>
      <c r="BM102" s="41"/>
      <c r="BN102" s="41"/>
      <c r="BO102" s="41"/>
      <c r="BP102" s="41"/>
      <c r="BQ102" s="41"/>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79"/>
      <c r="EQ102" s="79"/>
      <c r="ER102" s="79"/>
      <c r="ES102" s="79"/>
      <c r="ET102" s="79"/>
      <c r="EU102" s="79"/>
      <c r="EV102" s="79"/>
      <c r="EW102" s="79"/>
      <c r="EX102" s="79"/>
      <c r="EY102" s="79"/>
      <c r="EZ102" s="79"/>
      <c r="FA102" s="79"/>
      <c r="FB102" s="79"/>
      <c r="FC102" s="79"/>
      <c r="FD102" s="79"/>
      <c r="FE102" s="79"/>
      <c r="FF102" s="79"/>
      <c r="FG102" s="79"/>
      <c r="FH102" s="79"/>
      <c r="FI102" s="79"/>
      <c r="FJ102" s="79"/>
      <c r="FK102" s="79"/>
      <c r="FL102" s="79"/>
      <c r="FM102" s="48"/>
      <c r="FN102" s="48"/>
      <c r="FO102" s="48"/>
      <c r="FP102" s="48"/>
      <c r="FQ102" s="48"/>
      <c r="FR102" s="48"/>
      <c r="FS102" s="48"/>
      <c r="FT102" s="48"/>
      <c r="FU102" s="48"/>
      <c r="FV102" s="48"/>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row>
    <row r="103" spans="1:221" ht="16.5" customHeight="1">
      <c r="A103" s="1"/>
      <c r="B103" s="3"/>
      <c r="C103" s="3"/>
      <c r="D103" s="43"/>
      <c r="E103" s="43"/>
      <c r="F103" s="79"/>
      <c r="G103" s="79"/>
      <c r="H103" s="79"/>
      <c r="I103" s="79"/>
      <c r="J103" s="79"/>
      <c r="K103" s="79"/>
      <c r="L103" s="38"/>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c r="BY103" s="126"/>
      <c r="BZ103" s="126"/>
      <c r="CA103" s="126"/>
      <c r="CB103" s="126"/>
      <c r="CC103" s="126"/>
      <c r="CD103" s="126"/>
      <c r="CE103" s="126"/>
      <c r="CF103" s="126"/>
      <c r="CG103" s="126"/>
      <c r="CH103" s="126"/>
      <c r="CI103" s="126"/>
      <c r="CJ103" s="126"/>
      <c r="CK103" s="126"/>
      <c r="CL103" s="126"/>
      <c r="CM103" s="126"/>
      <c r="CN103" s="126"/>
      <c r="CO103" s="126"/>
      <c r="CP103" s="126"/>
      <c r="CQ103" s="126"/>
      <c r="CR103" s="126"/>
      <c r="CS103" s="126"/>
      <c r="CT103" s="126"/>
      <c r="CU103" s="126"/>
      <c r="CV103" s="126"/>
      <c r="CW103" s="126"/>
      <c r="CX103" s="126"/>
      <c r="CY103" s="126"/>
      <c r="CZ103" s="126"/>
      <c r="DA103" s="126"/>
      <c r="DB103" s="126"/>
      <c r="DC103" s="126"/>
      <c r="DD103" s="126"/>
      <c r="DE103" s="126"/>
      <c r="DF103" s="126"/>
      <c r="DG103" s="126"/>
      <c r="DH103" s="126"/>
      <c r="DI103" s="126"/>
      <c r="DJ103" s="126"/>
      <c r="DK103" s="126"/>
      <c r="DL103" s="126"/>
      <c r="DM103" s="126"/>
      <c r="DN103" s="126"/>
      <c r="DO103" s="126"/>
      <c r="DP103" s="126"/>
      <c r="DQ103" s="126"/>
      <c r="DR103" s="126"/>
      <c r="DS103" s="126"/>
      <c r="DT103" s="126"/>
      <c r="DU103" s="126"/>
      <c r="DV103" s="126"/>
      <c r="DW103" s="126"/>
      <c r="DX103" s="126"/>
      <c r="DY103" s="126"/>
      <c r="DZ103" s="126"/>
      <c r="EA103" s="126"/>
      <c r="EB103" s="43"/>
      <c r="EC103" s="43"/>
      <c r="ED103" s="43"/>
      <c r="EE103" s="43"/>
      <c r="EF103" s="43"/>
      <c r="EG103" s="43"/>
      <c r="EH103" s="43"/>
      <c r="EI103" s="43"/>
      <c r="EJ103" s="43"/>
      <c r="EK103" s="43"/>
      <c r="EL103" s="43"/>
      <c r="EM103" s="43"/>
      <c r="EN103" s="43"/>
      <c r="EO103" s="43"/>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48"/>
      <c r="FN103" s="48"/>
      <c r="FO103" s="48"/>
      <c r="FP103" s="48"/>
      <c r="FQ103" s="48"/>
      <c r="FR103" s="48"/>
      <c r="FS103" s="48"/>
      <c r="FT103" s="48"/>
      <c r="FU103" s="48"/>
      <c r="FV103" s="48"/>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row>
    <row r="104" spans="1:221" ht="3.75" customHeight="1">
      <c r="A104" s="1"/>
      <c r="B104" s="3"/>
      <c r="C104" s="3"/>
      <c r="D104" s="43"/>
      <c r="E104" s="43"/>
      <c r="F104" s="79"/>
      <c r="G104" s="79"/>
      <c r="H104" s="79"/>
      <c r="I104" s="79"/>
      <c r="J104" s="79"/>
      <c r="K104" s="79"/>
      <c r="L104" s="38"/>
      <c r="M104" s="126"/>
      <c r="N104" s="126"/>
      <c r="O104" s="126"/>
      <c r="P104" s="126"/>
      <c r="Q104" s="126"/>
      <c r="R104" s="126"/>
      <c r="S104" s="126"/>
      <c r="T104" s="126"/>
      <c r="U104" s="126"/>
      <c r="V104" s="126"/>
      <c r="W104" s="126"/>
      <c r="X104" s="544" t="str">
        <f>IF(FM97=1,".","")</f>
        <v/>
      </c>
      <c r="Y104" s="544"/>
      <c r="Z104" s="544"/>
      <c r="AA104" s="544"/>
      <c r="AB104" s="544"/>
      <c r="AC104" s="544"/>
      <c r="AD104" s="544"/>
      <c r="AE104" s="544"/>
      <c r="AF104" s="544"/>
      <c r="AG104" s="544"/>
      <c r="AH104" s="544"/>
      <c r="AI104" s="544"/>
      <c r="AJ104" s="544"/>
      <c r="AK104" s="544"/>
      <c r="AL104" s="544"/>
      <c r="AM104" s="544"/>
      <c r="AN104" s="544"/>
      <c r="AO104" s="544"/>
      <c r="AP104" s="544"/>
      <c r="AQ104" s="544"/>
      <c r="AR104" s="544"/>
      <c r="AS104" s="544"/>
      <c r="AT104" s="544"/>
      <c r="AU104" s="544"/>
      <c r="AV104" s="544"/>
      <c r="AW104" s="544"/>
      <c r="AX104" s="544"/>
      <c r="AY104" s="544"/>
      <c r="AZ104" s="544"/>
      <c r="BA104" s="544"/>
      <c r="BB104" s="544"/>
      <c r="BC104" s="544"/>
      <c r="BD104" s="544"/>
      <c r="BE104" s="544"/>
      <c r="BF104" s="544"/>
      <c r="BG104" s="544"/>
      <c r="BH104" s="544"/>
      <c r="BI104" s="544"/>
      <c r="BJ104" s="544"/>
      <c r="BK104" s="544"/>
      <c r="BL104" s="544"/>
      <c r="BM104" s="544"/>
      <c r="BN104" s="544"/>
      <c r="BO104" s="544"/>
      <c r="BP104" s="544"/>
      <c r="BQ104" s="544"/>
      <c r="BR104" s="544"/>
      <c r="BS104" s="544"/>
      <c r="BT104" s="544"/>
      <c r="BU104" s="544"/>
      <c r="BV104" s="544"/>
      <c r="BW104" s="544"/>
      <c r="BX104" s="544"/>
      <c r="BY104" s="544"/>
      <c r="BZ104" s="544"/>
      <c r="CA104" s="544"/>
      <c r="CB104" s="544"/>
      <c r="CC104" s="544"/>
      <c r="CD104" s="544"/>
      <c r="CE104" s="544"/>
      <c r="CF104" s="544"/>
      <c r="CG104" s="544"/>
      <c r="CH104" s="544"/>
      <c r="CI104" s="544"/>
      <c r="CJ104" s="544"/>
      <c r="CK104" s="544"/>
      <c r="CL104" s="544"/>
      <c r="CM104" s="544"/>
      <c r="CN104" s="544"/>
      <c r="CO104" s="544"/>
      <c r="CP104" s="544"/>
      <c r="CQ104" s="544"/>
      <c r="CR104" s="544"/>
      <c r="CS104" s="544"/>
      <c r="CT104" s="544"/>
      <c r="CU104" s="544"/>
      <c r="CV104" s="544"/>
      <c r="CW104" s="544"/>
      <c r="CX104" s="544"/>
      <c r="CY104" s="544"/>
      <c r="CZ104" s="544"/>
      <c r="DA104" s="544"/>
      <c r="DB104" s="544"/>
      <c r="DC104" s="544"/>
      <c r="DD104" s="544"/>
      <c r="DE104" s="544"/>
      <c r="DF104" s="544"/>
      <c r="DG104" s="544"/>
      <c r="DH104" s="544"/>
      <c r="DI104" s="544"/>
      <c r="DJ104" s="544"/>
      <c r="DK104" s="544"/>
      <c r="DL104" s="544"/>
      <c r="DM104" s="544"/>
      <c r="DN104" s="544"/>
      <c r="DO104" s="544"/>
      <c r="DP104" s="544"/>
      <c r="DQ104" s="544"/>
      <c r="DR104" s="544"/>
      <c r="DS104" s="544"/>
      <c r="DT104" s="544"/>
      <c r="DU104" s="544"/>
      <c r="DV104" s="544"/>
      <c r="DW104" s="544"/>
      <c r="DX104" s="544"/>
      <c r="DY104" s="544"/>
      <c r="DZ104" s="544"/>
      <c r="EA104" s="544"/>
      <c r="EB104" s="43"/>
      <c r="EC104" s="43"/>
      <c r="ED104" s="43"/>
      <c r="EE104" s="43"/>
      <c r="EF104" s="43"/>
      <c r="EG104" s="43"/>
      <c r="EH104" s="43"/>
      <c r="EI104" s="43"/>
      <c r="EJ104" s="43"/>
      <c r="EK104" s="43"/>
      <c r="EL104" s="43"/>
      <c r="EM104" s="43"/>
      <c r="EN104" s="43"/>
      <c r="EO104" s="43"/>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48"/>
      <c r="FN104" s="48"/>
      <c r="FO104" s="48"/>
      <c r="FP104" s="48"/>
      <c r="FQ104" s="48"/>
      <c r="FR104" s="48"/>
      <c r="FS104" s="48"/>
      <c r="FT104" s="48"/>
      <c r="FU104" s="48"/>
      <c r="FV104" s="48"/>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row>
    <row r="105" spans="1:221" ht="16.5" customHeight="1">
      <c r="A105" s="1"/>
      <c r="B105" s="3"/>
      <c r="C105" s="3"/>
      <c r="D105" s="43"/>
      <c r="E105" s="43"/>
      <c r="F105" s="79"/>
      <c r="G105" s="79"/>
      <c r="H105" s="79"/>
      <c r="I105" s="79"/>
      <c r="J105" s="79"/>
      <c r="K105" s="79"/>
      <c r="L105" s="38"/>
      <c r="M105" s="126"/>
      <c r="N105" s="126"/>
      <c r="O105" s="126"/>
      <c r="P105" s="126"/>
      <c r="Q105" s="126"/>
      <c r="R105" s="126"/>
      <c r="S105" s="126"/>
      <c r="T105" s="126"/>
      <c r="U105" s="126"/>
      <c r="V105" s="126"/>
      <c r="W105" s="133" t="str">
        <f>IF(FM97=1,"TO = TK ","")</f>
        <v/>
      </c>
      <c r="X105" s="198" t="str">
        <f>IF(FM97=1,".","")</f>
        <v/>
      </c>
      <c r="Y105" s="602"/>
      <c r="Z105" s="602"/>
      <c r="AA105" s="602"/>
      <c r="AB105" s="602"/>
      <c r="AC105" s="602"/>
      <c r="AD105" s="602"/>
      <c r="AE105" s="602"/>
      <c r="AF105" s="602"/>
      <c r="AG105" s="602"/>
      <c r="AH105" s="602"/>
      <c r="AI105" s="602"/>
      <c r="AJ105" s="602"/>
      <c r="AK105" s="602"/>
      <c r="AL105" s="602"/>
      <c r="AM105" s="602"/>
      <c r="AN105" s="602"/>
      <c r="AO105" s="602"/>
      <c r="AP105" s="602"/>
      <c r="AQ105" s="602"/>
      <c r="AR105" s="602"/>
      <c r="AS105" s="602"/>
      <c r="AT105" s="602"/>
      <c r="AU105" s="602"/>
      <c r="AV105" s="602"/>
      <c r="AW105" s="602"/>
      <c r="AX105" s="602"/>
      <c r="AY105" s="602"/>
      <c r="AZ105" s="602"/>
      <c r="BA105" s="602"/>
      <c r="BB105" s="602"/>
      <c r="BC105" s="602"/>
      <c r="BD105" s="602"/>
      <c r="BE105" s="602"/>
      <c r="BF105" s="602"/>
      <c r="BG105" s="602"/>
      <c r="BH105" s="602"/>
      <c r="BI105" s="602"/>
      <c r="BJ105" s="602"/>
      <c r="BK105" s="602"/>
      <c r="BL105" s="602"/>
      <c r="BM105" s="602"/>
      <c r="BN105" s="602"/>
      <c r="BO105" s="602"/>
      <c r="BP105" s="602"/>
      <c r="BQ105" s="602"/>
      <c r="BR105" s="602"/>
      <c r="BS105" s="602"/>
      <c r="BT105" s="602"/>
      <c r="BU105" s="602"/>
      <c r="BV105" s="602"/>
      <c r="BW105" s="602"/>
      <c r="BX105" s="602"/>
      <c r="BY105" s="602"/>
      <c r="BZ105" s="602"/>
      <c r="CA105" s="602"/>
      <c r="CB105" s="602"/>
      <c r="CC105" s="602"/>
      <c r="CD105" s="602"/>
      <c r="CE105" s="602"/>
      <c r="CF105" s="602"/>
      <c r="CG105" s="602"/>
      <c r="CH105" s="602"/>
      <c r="CI105" s="602"/>
      <c r="CJ105" s="602"/>
      <c r="CK105" s="602"/>
      <c r="CL105" s="602"/>
      <c r="CM105" s="602"/>
      <c r="CN105" s="602"/>
      <c r="CO105" s="602"/>
      <c r="CP105" s="602"/>
      <c r="CQ105" s="602"/>
      <c r="CR105" s="602"/>
      <c r="CS105" s="602"/>
      <c r="CT105" s="602"/>
      <c r="CU105" s="602"/>
      <c r="CV105" s="602"/>
      <c r="CW105" s="602"/>
      <c r="CX105" s="602"/>
      <c r="CY105" s="602"/>
      <c r="CZ105" s="602"/>
      <c r="DA105" s="602"/>
      <c r="DB105" s="602"/>
      <c r="DC105" s="602"/>
      <c r="DD105" s="602"/>
      <c r="DE105" s="602"/>
      <c r="DF105" s="602"/>
      <c r="DG105" s="602"/>
      <c r="DH105" s="602"/>
      <c r="DI105" s="602"/>
      <c r="DJ105" s="602"/>
      <c r="DK105" s="602"/>
      <c r="DL105" s="602"/>
      <c r="DM105" s="602"/>
      <c r="DN105" s="602"/>
      <c r="DO105" s="602"/>
      <c r="DP105" s="602"/>
      <c r="DQ105" s="602"/>
      <c r="DR105" s="602"/>
      <c r="DS105" s="602"/>
      <c r="DT105" s="602"/>
      <c r="DU105" s="602"/>
      <c r="DV105" s="602"/>
      <c r="DW105" s="602"/>
      <c r="DX105" s="602"/>
      <c r="DY105" s="602"/>
      <c r="DZ105" s="602"/>
      <c r="EA105" s="198" t="str">
        <f>IF(FM97=1,".","")</f>
        <v/>
      </c>
      <c r="EB105" s="43"/>
      <c r="EC105" s="43"/>
      <c r="ED105" s="43"/>
      <c r="EE105" s="43"/>
      <c r="EF105" s="43"/>
      <c r="EG105" s="43"/>
      <c r="EH105" s="43"/>
      <c r="EI105" s="43"/>
      <c r="EJ105" s="43"/>
      <c r="EK105" s="43"/>
      <c r="EL105" s="43"/>
      <c r="EM105" s="43"/>
      <c r="EN105" s="43"/>
      <c r="EO105" s="43"/>
      <c r="EP105" s="79"/>
      <c r="EQ105" s="79"/>
      <c r="ER105" s="79"/>
      <c r="ES105" s="79"/>
      <c r="ET105" s="79"/>
      <c r="EU105" s="79"/>
      <c r="EV105" s="79"/>
      <c r="EW105" s="79"/>
      <c r="EX105" s="79"/>
      <c r="EY105" s="79"/>
      <c r="EZ105" s="79"/>
      <c r="FA105" s="79"/>
      <c r="FB105" s="79"/>
      <c r="FC105" s="79"/>
      <c r="FD105" s="79"/>
      <c r="FE105" s="79"/>
      <c r="FF105" s="79"/>
      <c r="FG105" s="79"/>
      <c r="FH105" s="79"/>
      <c r="FI105" s="79"/>
      <c r="FJ105" s="79"/>
      <c r="FK105" s="79"/>
      <c r="FL105" s="79"/>
      <c r="FM105" s="48"/>
      <c r="FN105" s="48" t="str">
        <f>IF(Y105="","",IF(AND(FM97=1,Y105=FQ105),1,0))</f>
        <v/>
      </c>
      <c r="FO105" s="48" t="s">
        <v>16</v>
      </c>
      <c r="FP105" s="48" t="s">
        <v>10</v>
      </c>
      <c r="FQ105" s="48" t="s">
        <v>11</v>
      </c>
      <c r="FR105" s="48"/>
      <c r="FS105" s="48"/>
      <c r="FT105" s="48"/>
      <c r="FU105" s="48"/>
      <c r="FV105" s="48"/>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row>
    <row r="106" spans="1:221" ht="3.75" customHeight="1">
      <c r="A106" s="1"/>
      <c r="B106" s="3"/>
      <c r="C106" s="3"/>
      <c r="D106" s="43"/>
      <c r="E106" s="43"/>
      <c r="F106" s="79"/>
      <c r="G106" s="79"/>
      <c r="H106" s="79"/>
      <c r="I106" s="79"/>
      <c r="J106" s="79"/>
      <c r="K106" s="79"/>
      <c r="L106" s="38"/>
      <c r="M106" s="126"/>
      <c r="N106" s="126"/>
      <c r="O106" s="126"/>
      <c r="P106" s="126"/>
      <c r="Q106" s="126"/>
      <c r="R106" s="126"/>
      <c r="S106" s="126"/>
      <c r="T106" s="126"/>
      <c r="U106" s="126"/>
      <c r="V106" s="126"/>
      <c r="W106" s="126"/>
      <c r="X106" s="544" t="str">
        <f>IF(FM97=1,".","")</f>
        <v/>
      </c>
      <c r="Y106" s="544"/>
      <c r="Z106" s="544"/>
      <c r="AA106" s="544"/>
      <c r="AB106" s="544"/>
      <c r="AC106" s="544"/>
      <c r="AD106" s="544"/>
      <c r="AE106" s="544"/>
      <c r="AF106" s="544"/>
      <c r="AG106" s="544"/>
      <c r="AH106" s="544"/>
      <c r="AI106" s="544"/>
      <c r="AJ106" s="544"/>
      <c r="AK106" s="544"/>
      <c r="AL106" s="544"/>
      <c r="AM106" s="544"/>
      <c r="AN106" s="544"/>
      <c r="AO106" s="544"/>
      <c r="AP106" s="544"/>
      <c r="AQ106" s="544"/>
      <c r="AR106" s="544"/>
      <c r="AS106" s="544"/>
      <c r="AT106" s="544"/>
      <c r="AU106" s="544"/>
      <c r="AV106" s="544"/>
      <c r="AW106" s="544"/>
      <c r="AX106" s="544"/>
      <c r="AY106" s="544"/>
      <c r="AZ106" s="544"/>
      <c r="BA106" s="544"/>
      <c r="BB106" s="544"/>
      <c r="BC106" s="544"/>
      <c r="BD106" s="544"/>
      <c r="BE106" s="544"/>
      <c r="BF106" s="544"/>
      <c r="BG106" s="544"/>
      <c r="BH106" s="544"/>
      <c r="BI106" s="544"/>
      <c r="BJ106" s="544"/>
      <c r="BK106" s="544"/>
      <c r="BL106" s="544"/>
      <c r="BM106" s="544"/>
      <c r="BN106" s="544"/>
      <c r="BO106" s="544"/>
      <c r="BP106" s="544"/>
      <c r="BQ106" s="544"/>
      <c r="BR106" s="544"/>
      <c r="BS106" s="544"/>
      <c r="BT106" s="544"/>
      <c r="BU106" s="544"/>
      <c r="BV106" s="544"/>
      <c r="BW106" s="544"/>
      <c r="BX106" s="544"/>
      <c r="BY106" s="544"/>
      <c r="BZ106" s="544"/>
      <c r="CA106" s="544"/>
      <c r="CB106" s="544"/>
      <c r="CC106" s="544"/>
      <c r="CD106" s="544"/>
      <c r="CE106" s="544"/>
      <c r="CF106" s="544"/>
      <c r="CG106" s="544"/>
      <c r="CH106" s="544"/>
      <c r="CI106" s="544"/>
      <c r="CJ106" s="544"/>
      <c r="CK106" s="544"/>
      <c r="CL106" s="544"/>
      <c r="CM106" s="544"/>
      <c r="CN106" s="544"/>
      <c r="CO106" s="544"/>
      <c r="CP106" s="544"/>
      <c r="CQ106" s="544"/>
      <c r="CR106" s="544"/>
      <c r="CS106" s="544"/>
      <c r="CT106" s="544"/>
      <c r="CU106" s="544"/>
      <c r="CV106" s="544"/>
      <c r="CW106" s="544"/>
      <c r="CX106" s="544"/>
      <c r="CY106" s="544"/>
      <c r="CZ106" s="544"/>
      <c r="DA106" s="544"/>
      <c r="DB106" s="544"/>
      <c r="DC106" s="544"/>
      <c r="DD106" s="544"/>
      <c r="DE106" s="544"/>
      <c r="DF106" s="544"/>
      <c r="DG106" s="544"/>
      <c r="DH106" s="544"/>
      <c r="DI106" s="544"/>
      <c r="DJ106" s="544"/>
      <c r="DK106" s="544"/>
      <c r="DL106" s="544"/>
      <c r="DM106" s="544"/>
      <c r="DN106" s="544"/>
      <c r="DO106" s="544"/>
      <c r="DP106" s="544"/>
      <c r="DQ106" s="544"/>
      <c r="DR106" s="544"/>
      <c r="DS106" s="544"/>
      <c r="DT106" s="544"/>
      <c r="DU106" s="544"/>
      <c r="DV106" s="544"/>
      <c r="DW106" s="544"/>
      <c r="DX106" s="544"/>
      <c r="DY106" s="544"/>
      <c r="DZ106" s="544"/>
      <c r="EA106" s="544"/>
      <c r="EB106" s="43"/>
      <c r="EC106" s="43"/>
      <c r="ED106" s="43"/>
      <c r="EE106" s="43"/>
      <c r="EF106" s="43"/>
      <c r="EG106" s="43"/>
      <c r="EH106" s="43"/>
      <c r="EI106" s="43"/>
      <c r="EJ106" s="43"/>
      <c r="EK106" s="43"/>
      <c r="EL106" s="43"/>
      <c r="EM106" s="43"/>
      <c r="EN106" s="43"/>
      <c r="EO106" s="43"/>
      <c r="EP106" s="79"/>
      <c r="EQ106" s="79"/>
      <c r="ER106" s="79"/>
      <c r="ES106" s="79"/>
      <c r="ET106" s="79"/>
      <c r="EU106" s="79"/>
      <c r="EV106" s="79"/>
      <c r="EW106" s="79"/>
      <c r="EX106" s="79"/>
      <c r="EY106" s="79"/>
      <c r="EZ106" s="79"/>
      <c r="FA106" s="79"/>
      <c r="FB106" s="79"/>
      <c r="FC106" s="79"/>
      <c r="FD106" s="79"/>
      <c r="FE106" s="79"/>
      <c r="FF106" s="79"/>
      <c r="FG106" s="79"/>
      <c r="FH106" s="79"/>
      <c r="FI106" s="79"/>
      <c r="FJ106" s="79"/>
      <c r="FK106" s="79"/>
      <c r="FL106" s="79"/>
      <c r="FM106" s="48"/>
      <c r="FN106" s="48"/>
      <c r="FO106" s="48"/>
      <c r="FP106" s="48"/>
      <c r="FQ106" s="48"/>
      <c r="FR106" s="48"/>
      <c r="FS106" s="48"/>
      <c r="FT106" s="48"/>
      <c r="FU106" s="48"/>
      <c r="FV106" s="48"/>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row>
    <row r="107" spans="1:221" ht="7.5" customHeight="1">
      <c r="A107" s="1"/>
      <c r="B107" s="3"/>
      <c r="C107" s="3"/>
      <c r="D107" s="43"/>
      <c r="E107" s="43"/>
      <c r="F107" s="79"/>
      <c r="G107" s="79"/>
      <c r="H107" s="79"/>
      <c r="I107" s="79"/>
      <c r="J107" s="79"/>
      <c r="K107" s="79"/>
      <c r="L107" s="38"/>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c r="CG107" s="126"/>
      <c r="CH107" s="126"/>
      <c r="CI107" s="126"/>
      <c r="CJ107" s="126"/>
      <c r="CK107" s="126"/>
      <c r="CL107" s="126"/>
      <c r="CM107" s="126"/>
      <c r="CN107" s="126"/>
      <c r="CO107" s="126"/>
      <c r="CP107" s="126"/>
      <c r="CQ107" s="126"/>
      <c r="CR107" s="126"/>
      <c r="CS107" s="126"/>
      <c r="CT107" s="126"/>
      <c r="CU107" s="126"/>
      <c r="CV107" s="126"/>
      <c r="CW107" s="126"/>
      <c r="CX107" s="126"/>
      <c r="CY107" s="126"/>
      <c r="CZ107" s="126"/>
      <c r="DA107" s="126"/>
      <c r="DB107" s="126"/>
      <c r="DC107" s="126"/>
      <c r="DD107" s="126"/>
      <c r="DE107" s="126"/>
      <c r="DF107" s="126"/>
      <c r="DG107" s="126"/>
      <c r="DH107" s="126"/>
      <c r="DI107" s="126"/>
      <c r="DJ107" s="126"/>
      <c r="DK107" s="126"/>
      <c r="DL107" s="126"/>
      <c r="DM107" s="126"/>
      <c r="DN107" s="126"/>
      <c r="DO107" s="126"/>
      <c r="DP107" s="126"/>
      <c r="DQ107" s="126"/>
      <c r="DR107" s="126"/>
      <c r="DS107" s="126"/>
      <c r="DT107" s="126"/>
      <c r="DU107" s="126"/>
      <c r="DV107" s="126"/>
      <c r="DW107" s="126"/>
      <c r="DX107" s="126"/>
      <c r="DY107" s="126"/>
      <c r="DZ107" s="126"/>
      <c r="EA107" s="126"/>
      <c r="EB107" s="43"/>
      <c r="EC107" s="43"/>
      <c r="ED107" s="43"/>
      <c r="EE107" s="43"/>
      <c r="EF107" s="43"/>
      <c r="EG107" s="43"/>
      <c r="EH107" s="43"/>
      <c r="EI107" s="43"/>
      <c r="EJ107" s="43"/>
      <c r="EK107" s="43"/>
      <c r="EL107" s="43"/>
      <c r="EM107" s="43"/>
      <c r="EN107" s="43"/>
      <c r="EO107" s="43"/>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48"/>
      <c r="FN107" s="48"/>
      <c r="FO107" s="48"/>
      <c r="FP107" s="48"/>
      <c r="FQ107" s="48"/>
      <c r="FR107" s="48"/>
      <c r="FS107" s="48"/>
      <c r="FT107" s="48"/>
      <c r="FU107" s="48"/>
      <c r="FV107" s="48"/>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row>
    <row r="108" spans="1:221" ht="3.75" customHeight="1">
      <c r="A108" s="1"/>
      <c r="B108" s="3"/>
      <c r="C108" s="3"/>
      <c r="D108" s="43"/>
      <c r="E108" s="43"/>
      <c r="F108" s="79"/>
      <c r="G108" s="79"/>
      <c r="H108" s="79"/>
      <c r="I108" s="79"/>
      <c r="J108" s="79"/>
      <c r="K108" s="79"/>
      <c r="L108" s="38"/>
      <c r="M108" s="126"/>
      <c r="N108" s="126"/>
      <c r="O108" s="126"/>
      <c r="P108" s="126"/>
      <c r="Q108" s="126"/>
      <c r="R108" s="126"/>
      <c r="S108" s="126"/>
      <c r="T108" s="126"/>
      <c r="U108" s="126"/>
      <c r="V108" s="126"/>
      <c r="W108" s="126"/>
      <c r="X108" s="544" t="str">
        <f>IF(FM97=1,".","")</f>
        <v/>
      </c>
      <c r="Y108" s="545"/>
      <c r="Z108" s="545"/>
      <c r="AA108" s="545"/>
      <c r="AB108" s="545"/>
      <c r="AC108" s="545"/>
      <c r="AD108" s="545"/>
      <c r="AE108" s="545"/>
      <c r="AF108" s="545"/>
      <c r="AG108" s="545"/>
      <c r="AH108" s="545"/>
      <c r="AI108" s="545"/>
      <c r="AJ108" s="545"/>
      <c r="AK108" s="545"/>
      <c r="AL108" s="545"/>
      <c r="AM108" s="545"/>
      <c r="AN108" s="545"/>
      <c r="AO108" s="545"/>
      <c r="AP108" s="545"/>
      <c r="AQ108" s="545"/>
      <c r="AR108" s="545"/>
      <c r="AS108" s="545"/>
      <c r="AT108" s="545"/>
      <c r="AU108" s="545"/>
      <c r="AV108" s="545"/>
      <c r="AW108" s="545"/>
      <c r="AX108" s="545"/>
      <c r="AY108" s="545"/>
      <c r="AZ108" s="545"/>
      <c r="BA108" s="545"/>
      <c r="BB108" s="545"/>
      <c r="BC108" s="545"/>
      <c r="BD108" s="545"/>
      <c r="BE108" s="545"/>
      <c r="BF108" s="545"/>
      <c r="BG108" s="545"/>
      <c r="BH108" s="545"/>
      <c r="BI108" s="545"/>
      <c r="BJ108" s="545"/>
      <c r="BK108" s="545"/>
      <c r="BL108" s="545"/>
      <c r="BM108" s="545"/>
      <c r="BN108" s="545"/>
      <c r="BO108" s="545"/>
      <c r="BP108" s="545"/>
      <c r="BQ108" s="545"/>
      <c r="BR108" s="545"/>
      <c r="BS108" s="545"/>
      <c r="BT108" s="545"/>
      <c r="BU108" s="545"/>
      <c r="BV108" s="545"/>
      <c r="BW108" s="545"/>
      <c r="BX108" s="545"/>
      <c r="BY108" s="545"/>
      <c r="BZ108" s="545"/>
      <c r="CA108" s="545"/>
      <c r="CB108" s="545"/>
      <c r="CC108" s="545"/>
      <c r="CD108" s="545"/>
      <c r="CE108" s="545"/>
      <c r="CF108" s="545"/>
      <c r="CG108" s="545"/>
      <c r="CH108" s="545"/>
      <c r="CI108" s="545"/>
      <c r="CJ108" s="545"/>
      <c r="CK108" s="545"/>
      <c r="CL108" s="545"/>
      <c r="CM108" s="545"/>
      <c r="CN108" s="545"/>
      <c r="CO108" s="545"/>
      <c r="CP108" s="545"/>
      <c r="CQ108" s="545"/>
      <c r="CR108" s="545"/>
      <c r="CS108" s="545"/>
      <c r="CT108" s="545"/>
      <c r="CU108" s="545"/>
      <c r="CV108" s="545"/>
      <c r="CW108" s="545"/>
      <c r="CX108" s="545"/>
      <c r="CY108" s="545"/>
      <c r="CZ108" s="545"/>
      <c r="DA108" s="545"/>
      <c r="DB108" s="545"/>
      <c r="DC108" s="545"/>
      <c r="DD108" s="545"/>
      <c r="DE108" s="545"/>
      <c r="DF108" s="545"/>
      <c r="DG108" s="545"/>
      <c r="DH108" s="545"/>
      <c r="DI108" s="545"/>
      <c r="DJ108" s="545"/>
      <c r="DK108" s="545"/>
      <c r="DL108" s="545"/>
      <c r="DM108" s="545"/>
      <c r="DN108" s="545"/>
      <c r="DO108" s="545"/>
      <c r="DP108" s="545"/>
      <c r="DQ108" s="545"/>
      <c r="DR108" s="545"/>
      <c r="DS108" s="545"/>
      <c r="DT108" s="545"/>
      <c r="DU108" s="545"/>
      <c r="DV108" s="545"/>
      <c r="DW108" s="545"/>
      <c r="DX108" s="545"/>
      <c r="DY108" s="545"/>
      <c r="DZ108" s="545"/>
      <c r="EA108" s="545"/>
      <c r="EB108" s="43"/>
      <c r="EC108" s="43"/>
      <c r="ED108" s="43"/>
      <c r="EE108" s="43"/>
      <c r="EF108" s="43"/>
      <c r="EG108" s="43"/>
      <c r="EH108" s="43"/>
      <c r="EI108" s="43"/>
      <c r="EJ108" s="43"/>
      <c r="EK108" s="43"/>
      <c r="EL108" s="43"/>
      <c r="EM108" s="43"/>
      <c r="EN108" s="43"/>
      <c r="EO108" s="43"/>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48"/>
      <c r="FN108" s="48"/>
      <c r="FO108" s="48"/>
      <c r="FP108" s="48"/>
      <c r="FQ108" s="48"/>
      <c r="FR108" s="48"/>
      <c r="FS108" s="48"/>
      <c r="FT108" s="48"/>
      <c r="FU108" s="48"/>
      <c r="FV108" s="48"/>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row>
    <row r="109" spans="1:221" ht="16.5" customHeight="1">
      <c r="A109" s="1"/>
      <c r="B109" s="3"/>
      <c r="C109" s="3"/>
      <c r="D109" s="43"/>
      <c r="E109" s="43"/>
      <c r="F109" s="79"/>
      <c r="G109" s="79"/>
      <c r="H109" s="79"/>
      <c r="I109" s="79"/>
      <c r="J109" s="79"/>
      <c r="K109" s="79"/>
      <c r="L109" s="38"/>
      <c r="M109" s="126"/>
      <c r="N109" s="126"/>
      <c r="O109" s="126"/>
      <c r="P109" s="126"/>
      <c r="Q109" s="126"/>
      <c r="R109" s="126"/>
      <c r="S109" s="126"/>
      <c r="T109" s="126"/>
      <c r="U109" s="126"/>
      <c r="V109" s="126"/>
      <c r="W109" s="133" t="str">
        <f>IF(FM97=1,"MO = 0 ","")</f>
        <v/>
      </c>
      <c r="X109" s="198" t="str">
        <f>IF(FM97=1,".","")</f>
        <v/>
      </c>
      <c r="Y109" s="602"/>
      <c r="Z109" s="602"/>
      <c r="AA109" s="602"/>
      <c r="AB109" s="602"/>
      <c r="AC109" s="602"/>
      <c r="AD109" s="602"/>
      <c r="AE109" s="602"/>
      <c r="AF109" s="602"/>
      <c r="AG109" s="602"/>
      <c r="AH109" s="602"/>
      <c r="AI109" s="602"/>
      <c r="AJ109" s="602"/>
      <c r="AK109" s="602"/>
      <c r="AL109" s="602"/>
      <c r="AM109" s="602"/>
      <c r="AN109" s="602"/>
      <c r="AO109" s="602"/>
      <c r="AP109" s="602"/>
      <c r="AQ109" s="602"/>
      <c r="AR109" s="602"/>
      <c r="AS109" s="602"/>
      <c r="AT109" s="602"/>
      <c r="AU109" s="602"/>
      <c r="AV109" s="602"/>
      <c r="AW109" s="602"/>
      <c r="AX109" s="602"/>
      <c r="AY109" s="602"/>
      <c r="AZ109" s="602"/>
      <c r="BA109" s="602"/>
      <c r="BB109" s="602"/>
      <c r="BC109" s="602"/>
      <c r="BD109" s="602"/>
      <c r="BE109" s="602"/>
      <c r="BF109" s="602"/>
      <c r="BG109" s="602"/>
      <c r="BH109" s="602"/>
      <c r="BI109" s="602"/>
      <c r="BJ109" s="602"/>
      <c r="BK109" s="602"/>
      <c r="BL109" s="602"/>
      <c r="BM109" s="602"/>
      <c r="BN109" s="602"/>
      <c r="BO109" s="602"/>
      <c r="BP109" s="602"/>
      <c r="BQ109" s="602"/>
      <c r="BR109" s="602"/>
      <c r="BS109" s="602"/>
      <c r="BT109" s="602"/>
      <c r="BU109" s="602"/>
      <c r="BV109" s="602"/>
      <c r="BW109" s="602"/>
      <c r="BX109" s="602"/>
      <c r="BY109" s="602"/>
      <c r="BZ109" s="602"/>
      <c r="CA109" s="602"/>
      <c r="CB109" s="602"/>
      <c r="CC109" s="602"/>
      <c r="CD109" s="602"/>
      <c r="CE109" s="602"/>
      <c r="CF109" s="602"/>
      <c r="CG109" s="602"/>
      <c r="CH109" s="602"/>
      <c r="CI109" s="602"/>
      <c r="CJ109" s="602"/>
      <c r="CK109" s="602"/>
      <c r="CL109" s="602"/>
      <c r="CM109" s="602"/>
      <c r="CN109" s="602"/>
      <c r="CO109" s="602"/>
      <c r="CP109" s="602"/>
      <c r="CQ109" s="602"/>
      <c r="CR109" s="602"/>
      <c r="CS109" s="602"/>
      <c r="CT109" s="602"/>
      <c r="CU109" s="602"/>
      <c r="CV109" s="602"/>
      <c r="CW109" s="602"/>
      <c r="CX109" s="602"/>
      <c r="CY109" s="602"/>
      <c r="CZ109" s="602"/>
      <c r="DA109" s="602"/>
      <c r="DB109" s="602"/>
      <c r="DC109" s="602"/>
      <c r="DD109" s="602"/>
      <c r="DE109" s="602"/>
      <c r="DF109" s="602"/>
      <c r="DG109" s="602"/>
      <c r="DH109" s="602"/>
      <c r="DI109" s="602"/>
      <c r="DJ109" s="602"/>
      <c r="DK109" s="602"/>
      <c r="DL109" s="602"/>
      <c r="DM109" s="602"/>
      <c r="DN109" s="602"/>
      <c r="DO109" s="602"/>
      <c r="DP109" s="602"/>
      <c r="DQ109" s="602"/>
      <c r="DR109" s="602"/>
      <c r="DS109" s="602"/>
      <c r="DT109" s="602"/>
      <c r="DU109" s="602"/>
      <c r="DV109" s="602"/>
      <c r="DW109" s="602"/>
      <c r="DX109" s="602"/>
      <c r="DY109" s="602"/>
      <c r="DZ109" s="602"/>
      <c r="EA109" s="198" t="str">
        <f>IF(FM97=1,".","")</f>
        <v/>
      </c>
      <c r="EB109" s="43"/>
      <c r="EC109" s="43"/>
      <c r="ED109" s="43"/>
      <c r="EE109" s="43"/>
      <c r="EF109" s="43"/>
      <c r="EG109" s="43"/>
      <c r="EH109" s="43"/>
      <c r="EI109" s="43"/>
      <c r="EJ109" s="43"/>
      <c r="EK109" s="43"/>
      <c r="EL109" s="43"/>
      <c r="EM109" s="43"/>
      <c r="EN109" s="43"/>
      <c r="EO109" s="43"/>
      <c r="EP109" s="79"/>
      <c r="EQ109" s="79"/>
      <c r="ER109" s="79"/>
      <c r="ES109" s="79"/>
      <c r="ET109" s="79"/>
      <c r="EU109" s="79"/>
      <c r="EV109" s="79"/>
      <c r="EW109" s="79"/>
      <c r="EX109" s="79"/>
      <c r="EY109" s="79"/>
      <c r="EZ109" s="79"/>
      <c r="FA109" s="79"/>
      <c r="FB109" s="79"/>
      <c r="FC109" s="79"/>
      <c r="FD109" s="79"/>
      <c r="FE109" s="79"/>
      <c r="FF109" s="79"/>
      <c r="FG109" s="79"/>
      <c r="FH109" s="79"/>
      <c r="FI109" s="79"/>
      <c r="FJ109" s="79"/>
      <c r="FK109" s="79"/>
      <c r="FL109" s="79"/>
      <c r="FM109" s="48"/>
      <c r="FN109" s="48" t="str">
        <f>IF(Y109="","",IF(AND(FM97=1,Y109=FP105),1,0))</f>
        <v/>
      </c>
      <c r="FO109" s="48"/>
      <c r="FP109" s="94" t="str">
        <f ca="1">IF(FN1=0,"",FQ105)</f>
        <v>de hoeveelheid waarbij het break-even-punt (BEP) wordt bereikt</v>
      </c>
      <c r="FQ109" s="94" t="str">
        <f ca="1">IF(FN1=0,"",FP105)</f>
        <v>de hoeveelheid waarbij de omzet maximaal is</v>
      </c>
      <c r="FR109" s="94" t="str">
        <f ca="1">IF(FN1=0,"",FQ105)</f>
        <v>de hoeveelheid waarbij het break-even-punt (BEP) wordt bereikt</v>
      </c>
      <c r="FS109" s="94" t="str">
        <f ca="1">IF(FN1=0,"",FO105)</f>
        <v>de hoeveelheid waarbij maximale winst wordt gemaakt</v>
      </c>
      <c r="FT109" s="48"/>
      <c r="FU109" s="48"/>
      <c r="FV109" s="48"/>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row>
    <row r="110" spans="1:221" ht="3.75" customHeight="1">
      <c r="A110" s="1"/>
      <c r="B110" s="3"/>
      <c r="C110" s="3"/>
      <c r="D110" s="43"/>
      <c r="E110" s="43"/>
      <c r="F110" s="79"/>
      <c r="G110" s="79"/>
      <c r="H110" s="79"/>
      <c r="I110" s="79"/>
      <c r="J110" s="79"/>
      <c r="K110" s="79"/>
      <c r="L110" s="38"/>
      <c r="M110" s="126"/>
      <c r="N110" s="126"/>
      <c r="O110" s="126"/>
      <c r="P110" s="126"/>
      <c r="Q110" s="126"/>
      <c r="R110" s="126"/>
      <c r="S110" s="126"/>
      <c r="T110" s="126"/>
      <c r="U110" s="126"/>
      <c r="V110" s="126"/>
      <c r="W110" s="126"/>
      <c r="X110" s="544" t="str">
        <f>IF(FM97=1,".","")</f>
        <v/>
      </c>
      <c r="Y110" s="545"/>
      <c r="Z110" s="545"/>
      <c r="AA110" s="545"/>
      <c r="AB110" s="545"/>
      <c r="AC110" s="545"/>
      <c r="AD110" s="545"/>
      <c r="AE110" s="545"/>
      <c r="AF110" s="545"/>
      <c r="AG110" s="545"/>
      <c r="AH110" s="545"/>
      <c r="AI110" s="545"/>
      <c r="AJ110" s="545"/>
      <c r="AK110" s="545"/>
      <c r="AL110" s="545"/>
      <c r="AM110" s="545"/>
      <c r="AN110" s="545"/>
      <c r="AO110" s="545"/>
      <c r="AP110" s="545"/>
      <c r="AQ110" s="545"/>
      <c r="AR110" s="545"/>
      <c r="AS110" s="545"/>
      <c r="AT110" s="545"/>
      <c r="AU110" s="545"/>
      <c r="AV110" s="545"/>
      <c r="AW110" s="545"/>
      <c r="AX110" s="545"/>
      <c r="AY110" s="545"/>
      <c r="AZ110" s="545"/>
      <c r="BA110" s="545"/>
      <c r="BB110" s="545"/>
      <c r="BC110" s="545"/>
      <c r="BD110" s="545"/>
      <c r="BE110" s="545"/>
      <c r="BF110" s="545"/>
      <c r="BG110" s="545"/>
      <c r="BH110" s="545"/>
      <c r="BI110" s="545"/>
      <c r="BJ110" s="545"/>
      <c r="BK110" s="545"/>
      <c r="BL110" s="545"/>
      <c r="BM110" s="545"/>
      <c r="BN110" s="545"/>
      <c r="BO110" s="545"/>
      <c r="BP110" s="545"/>
      <c r="BQ110" s="545"/>
      <c r="BR110" s="545"/>
      <c r="BS110" s="545"/>
      <c r="BT110" s="545"/>
      <c r="BU110" s="545"/>
      <c r="BV110" s="545"/>
      <c r="BW110" s="545"/>
      <c r="BX110" s="545"/>
      <c r="BY110" s="545"/>
      <c r="BZ110" s="545"/>
      <c r="CA110" s="545"/>
      <c r="CB110" s="545"/>
      <c r="CC110" s="545"/>
      <c r="CD110" s="545"/>
      <c r="CE110" s="545"/>
      <c r="CF110" s="545"/>
      <c r="CG110" s="545"/>
      <c r="CH110" s="545"/>
      <c r="CI110" s="545"/>
      <c r="CJ110" s="545"/>
      <c r="CK110" s="545"/>
      <c r="CL110" s="545"/>
      <c r="CM110" s="545"/>
      <c r="CN110" s="545"/>
      <c r="CO110" s="545"/>
      <c r="CP110" s="545"/>
      <c r="CQ110" s="545"/>
      <c r="CR110" s="545"/>
      <c r="CS110" s="545"/>
      <c r="CT110" s="545"/>
      <c r="CU110" s="545"/>
      <c r="CV110" s="545"/>
      <c r="CW110" s="545"/>
      <c r="CX110" s="545"/>
      <c r="CY110" s="545"/>
      <c r="CZ110" s="545"/>
      <c r="DA110" s="545"/>
      <c r="DB110" s="545"/>
      <c r="DC110" s="545"/>
      <c r="DD110" s="545"/>
      <c r="DE110" s="545"/>
      <c r="DF110" s="545"/>
      <c r="DG110" s="545"/>
      <c r="DH110" s="545"/>
      <c r="DI110" s="545"/>
      <c r="DJ110" s="545"/>
      <c r="DK110" s="545"/>
      <c r="DL110" s="545"/>
      <c r="DM110" s="545"/>
      <c r="DN110" s="545"/>
      <c r="DO110" s="545"/>
      <c r="DP110" s="545"/>
      <c r="DQ110" s="545"/>
      <c r="DR110" s="545"/>
      <c r="DS110" s="545"/>
      <c r="DT110" s="545"/>
      <c r="DU110" s="545"/>
      <c r="DV110" s="545"/>
      <c r="DW110" s="545"/>
      <c r="DX110" s="545"/>
      <c r="DY110" s="545"/>
      <c r="DZ110" s="545"/>
      <c r="EA110" s="545"/>
      <c r="EB110" s="43"/>
      <c r="EC110" s="43"/>
      <c r="ED110" s="43"/>
      <c r="EE110" s="43"/>
      <c r="EF110" s="43"/>
      <c r="EG110" s="43"/>
      <c r="EH110" s="43"/>
      <c r="EI110" s="43"/>
      <c r="EJ110" s="43"/>
      <c r="EK110" s="43"/>
      <c r="EL110" s="43"/>
      <c r="EM110" s="43"/>
      <c r="EN110" s="43"/>
      <c r="EO110" s="43"/>
      <c r="EP110" s="79"/>
      <c r="EQ110" s="79"/>
      <c r="ER110" s="79"/>
      <c r="ES110" s="79"/>
      <c r="ET110" s="79"/>
      <c r="EU110" s="79"/>
      <c r="EV110" s="79"/>
      <c r="EW110" s="79"/>
      <c r="EX110" s="79"/>
      <c r="EY110" s="79"/>
      <c r="EZ110" s="79"/>
      <c r="FA110" s="79"/>
      <c r="FB110" s="79"/>
      <c r="FC110" s="79"/>
      <c r="FD110" s="79"/>
      <c r="FE110" s="79"/>
      <c r="FF110" s="79"/>
      <c r="FG110" s="79"/>
      <c r="FH110" s="79"/>
      <c r="FI110" s="79"/>
      <c r="FJ110" s="79"/>
      <c r="FK110" s="79"/>
      <c r="FL110" s="79"/>
      <c r="FM110" s="48"/>
      <c r="FN110" s="48"/>
      <c r="FO110" s="48"/>
      <c r="FP110" s="48"/>
      <c r="FQ110" s="48"/>
      <c r="FR110" s="48"/>
      <c r="FS110" s="48"/>
      <c r="FT110" s="48"/>
      <c r="FU110" s="48"/>
      <c r="FV110" s="48"/>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row>
    <row r="111" spans="1:221" ht="7.5" customHeight="1">
      <c r="A111" s="1"/>
      <c r="B111" s="3"/>
      <c r="C111" s="3"/>
      <c r="D111" s="43"/>
      <c r="E111" s="43"/>
      <c r="F111" s="79"/>
      <c r="G111" s="79"/>
      <c r="H111" s="79"/>
      <c r="I111" s="79"/>
      <c r="J111" s="79"/>
      <c r="K111" s="79"/>
      <c r="L111" s="38"/>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6"/>
      <c r="CT111" s="126"/>
      <c r="CU111" s="126"/>
      <c r="CV111" s="126"/>
      <c r="CW111" s="126"/>
      <c r="CX111" s="126"/>
      <c r="CY111" s="126"/>
      <c r="CZ111" s="126"/>
      <c r="DA111" s="126"/>
      <c r="DB111" s="126"/>
      <c r="DC111" s="126"/>
      <c r="DD111" s="126"/>
      <c r="DE111" s="126"/>
      <c r="DF111" s="126"/>
      <c r="DG111" s="126"/>
      <c r="DH111" s="126"/>
      <c r="DI111" s="126"/>
      <c r="DJ111" s="126"/>
      <c r="DK111" s="126"/>
      <c r="DL111" s="126"/>
      <c r="DM111" s="126"/>
      <c r="DN111" s="126"/>
      <c r="DO111" s="126"/>
      <c r="DP111" s="126"/>
      <c r="DQ111" s="126"/>
      <c r="DR111" s="126"/>
      <c r="DS111" s="126"/>
      <c r="DT111" s="126"/>
      <c r="DU111" s="126"/>
      <c r="DV111" s="126"/>
      <c r="DW111" s="126"/>
      <c r="DX111" s="126"/>
      <c r="DY111" s="126"/>
      <c r="DZ111" s="126"/>
      <c r="EA111" s="126"/>
      <c r="EB111" s="43"/>
      <c r="EC111" s="43"/>
      <c r="ED111" s="43"/>
      <c r="EE111" s="43"/>
      <c r="EF111" s="43"/>
      <c r="EG111" s="43"/>
      <c r="EH111" s="43"/>
      <c r="EI111" s="43"/>
      <c r="EJ111" s="43"/>
      <c r="EK111" s="43"/>
      <c r="EL111" s="43"/>
      <c r="EM111" s="43"/>
      <c r="EN111" s="43"/>
      <c r="EO111" s="43"/>
      <c r="EP111" s="79"/>
      <c r="EQ111" s="79"/>
      <c r="ER111" s="79"/>
      <c r="ES111" s="79"/>
      <c r="ET111" s="79"/>
      <c r="EU111" s="79"/>
      <c r="EV111" s="79"/>
      <c r="EW111" s="79"/>
      <c r="EX111" s="79"/>
      <c r="EY111" s="79"/>
      <c r="EZ111" s="79"/>
      <c r="FA111" s="79"/>
      <c r="FB111" s="79"/>
      <c r="FC111" s="79"/>
      <c r="FD111" s="79"/>
      <c r="FE111" s="79"/>
      <c r="FF111" s="79"/>
      <c r="FG111" s="79"/>
      <c r="FH111" s="79"/>
      <c r="FI111" s="79"/>
      <c r="FJ111" s="79"/>
      <c r="FK111" s="79"/>
      <c r="FL111" s="79"/>
      <c r="FM111" s="48"/>
      <c r="FN111" s="48"/>
      <c r="FO111" s="48"/>
      <c r="FP111" s="48"/>
      <c r="FQ111" s="48"/>
      <c r="FR111" s="48"/>
      <c r="FS111" s="48"/>
      <c r="FT111" s="48"/>
      <c r="FU111" s="48"/>
      <c r="FV111" s="48"/>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row>
    <row r="112" spans="1:221" ht="3.75" customHeight="1">
      <c r="A112" s="1"/>
      <c r="B112" s="3"/>
      <c r="C112" s="3"/>
      <c r="D112" s="43"/>
      <c r="E112" s="43"/>
      <c r="F112" s="79"/>
      <c r="G112" s="79"/>
      <c r="H112" s="79"/>
      <c r="I112" s="79"/>
      <c r="J112" s="79"/>
      <c r="K112" s="79"/>
      <c r="L112" s="38"/>
      <c r="M112" s="126"/>
      <c r="N112" s="126"/>
      <c r="O112" s="126"/>
      <c r="P112" s="126"/>
      <c r="Q112" s="126"/>
      <c r="R112" s="126"/>
      <c r="S112" s="126"/>
      <c r="T112" s="126"/>
      <c r="U112" s="126"/>
      <c r="V112" s="126"/>
      <c r="W112" s="126"/>
      <c r="X112" s="544" t="str">
        <f>IF(FM97=1,".","")</f>
        <v/>
      </c>
      <c r="Y112" s="545"/>
      <c r="Z112" s="545"/>
      <c r="AA112" s="545"/>
      <c r="AB112" s="545"/>
      <c r="AC112" s="545"/>
      <c r="AD112" s="545"/>
      <c r="AE112" s="545"/>
      <c r="AF112" s="545"/>
      <c r="AG112" s="545"/>
      <c r="AH112" s="545"/>
      <c r="AI112" s="545"/>
      <c r="AJ112" s="545"/>
      <c r="AK112" s="545"/>
      <c r="AL112" s="545"/>
      <c r="AM112" s="545"/>
      <c r="AN112" s="545"/>
      <c r="AO112" s="545"/>
      <c r="AP112" s="545"/>
      <c r="AQ112" s="545"/>
      <c r="AR112" s="545"/>
      <c r="AS112" s="545"/>
      <c r="AT112" s="545"/>
      <c r="AU112" s="545"/>
      <c r="AV112" s="545"/>
      <c r="AW112" s="545"/>
      <c r="AX112" s="545"/>
      <c r="AY112" s="545"/>
      <c r="AZ112" s="545"/>
      <c r="BA112" s="545"/>
      <c r="BB112" s="545"/>
      <c r="BC112" s="545"/>
      <c r="BD112" s="545"/>
      <c r="BE112" s="545"/>
      <c r="BF112" s="545"/>
      <c r="BG112" s="545"/>
      <c r="BH112" s="545"/>
      <c r="BI112" s="545"/>
      <c r="BJ112" s="545"/>
      <c r="BK112" s="545"/>
      <c r="BL112" s="545"/>
      <c r="BM112" s="545"/>
      <c r="BN112" s="545"/>
      <c r="BO112" s="545"/>
      <c r="BP112" s="545"/>
      <c r="BQ112" s="545"/>
      <c r="BR112" s="545"/>
      <c r="BS112" s="545"/>
      <c r="BT112" s="545"/>
      <c r="BU112" s="545"/>
      <c r="BV112" s="545"/>
      <c r="BW112" s="545"/>
      <c r="BX112" s="545"/>
      <c r="BY112" s="545"/>
      <c r="BZ112" s="545"/>
      <c r="CA112" s="545"/>
      <c r="CB112" s="545"/>
      <c r="CC112" s="545"/>
      <c r="CD112" s="545"/>
      <c r="CE112" s="545"/>
      <c r="CF112" s="545"/>
      <c r="CG112" s="545"/>
      <c r="CH112" s="545"/>
      <c r="CI112" s="545"/>
      <c r="CJ112" s="545"/>
      <c r="CK112" s="545"/>
      <c r="CL112" s="545"/>
      <c r="CM112" s="545"/>
      <c r="CN112" s="545"/>
      <c r="CO112" s="545"/>
      <c r="CP112" s="545"/>
      <c r="CQ112" s="545"/>
      <c r="CR112" s="545"/>
      <c r="CS112" s="545"/>
      <c r="CT112" s="545"/>
      <c r="CU112" s="545"/>
      <c r="CV112" s="545"/>
      <c r="CW112" s="545"/>
      <c r="CX112" s="545"/>
      <c r="CY112" s="545"/>
      <c r="CZ112" s="545"/>
      <c r="DA112" s="545"/>
      <c r="DB112" s="545"/>
      <c r="DC112" s="545"/>
      <c r="DD112" s="545"/>
      <c r="DE112" s="545"/>
      <c r="DF112" s="545"/>
      <c r="DG112" s="545"/>
      <c r="DH112" s="545"/>
      <c r="DI112" s="545"/>
      <c r="DJ112" s="545"/>
      <c r="DK112" s="545"/>
      <c r="DL112" s="545"/>
      <c r="DM112" s="545"/>
      <c r="DN112" s="545"/>
      <c r="DO112" s="545"/>
      <c r="DP112" s="545"/>
      <c r="DQ112" s="545"/>
      <c r="DR112" s="545"/>
      <c r="DS112" s="545"/>
      <c r="DT112" s="545"/>
      <c r="DU112" s="545"/>
      <c r="DV112" s="545"/>
      <c r="DW112" s="545"/>
      <c r="DX112" s="545"/>
      <c r="DY112" s="545"/>
      <c r="DZ112" s="545"/>
      <c r="EA112" s="545"/>
      <c r="EB112" s="43"/>
      <c r="EC112" s="43"/>
      <c r="ED112" s="43"/>
      <c r="EE112" s="43"/>
      <c r="EF112" s="43"/>
      <c r="EG112" s="43"/>
      <c r="EH112" s="43"/>
      <c r="EI112" s="43"/>
      <c r="EJ112" s="43"/>
      <c r="EK112" s="43"/>
      <c r="EL112" s="43"/>
      <c r="EM112" s="43"/>
      <c r="EN112" s="43"/>
      <c r="EO112" s="43"/>
      <c r="EP112" s="79"/>
      <c r="EQ112" s="79"/>
      <c r="ER112" s="79"/>
      <c r="ES112" s="79"/>
      <c r="ET112" s="79"/>
      <c r="EU112" s="79"/>
      <c r="EV112" s="79"/>
      <c r="EW112" s="79"/>
      <c r="EX112" s="79"/>
      <c r="EY112" s="79"/>
      <c r="EZ112" s="79"/>
      <c r="FA112" s="79"/>
      <c r="FB112" s="79"/>
      <c r="FC112" s="79"/>
      <c r="FD112" s="79"/>
      <c r="FE112" s="79"/>
      <c r="FF112" s="79"/>
      <c r="FG112" s="79"/>
      <c r="FH112" s="79"/>
      <c r="FI112" s="79"/>
      <c r="FJ112" s="79"/>
      <c r="FK112" s="79"/>
      <c r="FL112" s="79"/>
      <c r="FM112" s="48"/>
      <c r="FN112" s="48"/>
      <c r="FO112" s="48"/>
      <c r="FP112" s="48"/>
      <c r="FQ112" s="48"/>
      <c r="FR112" s="48"/>
      <c r="FS112" s="48"/>
      <c r="FT112" s="48"/>
      <c r="FU112" s="48"/>
      <c r="FV112" s="48"/>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row>
    <row r="113" spans="1:221" ht="16.5" customHeight="1">
      <c r="A113" s="1"/>
      <c r="B113" s="3"/>
      <c r="C113" s="3"/>
      <c r="D113" s="43"/>
      <c r="E113" s="43"/>
      <c r="F113" s="79"/>
      <c r="G113" s="79"/>
      <c r="H113" s="79"/>
      <c r="I113" s="79"/>
      <c r="J113" s="79"/>
      <c r="K113" s="79"/>
      <c r="L113" s="38"/>
      <c r="M113" s="126"/>
      <c r="N113" s="126"/>
      <c r="O113" s="126"/>
      <c r="P113" s="126"/>
      <c r="Q113" s="126"/>
      <c r="R113" s="126"/>
      <c r="S113" s="126"/>
      <c r="T113" s="126"/>
      <c r="U113" s="126"/>
      <c r="V113" s="126"/>
      <c r="W113" s="133" t="str">
        <f>IF(FM97=1,"GO = GTK ","")</f>
        <v/>
      </c>
      <c r="X113" s="198" t="str">
        <f>IF(FM97=1,".","")</f>
        <v/>
      </c>
      <c r="Y113" s="602"/>
      <c r="Z113" s="602"/>
      <c r="AA113" s="602"/>
      <c r="AB113" s="602"/>
      <c r="AC113" s="602"/>
      <c r="AD113" s="602"/>
      <c r="AE113" s="602"/>
      <c r="AF113" s="602"/>
      <c r="AG113" s="602"/>
      <c r="AH113" s="602"/>
      <c r="AI113" s="602"/>
      <c r="AJ113" s="602"/>
      <c r="AK113" s="602"/>
      <c r="AL113" s="602"/>
      <c r="AM113" s="602"/>
      <c r="AN113" s="602"/>
      <c r="AO113" s="602"/>
      <c r="AP113" s="602"/>
      <c r="AQ113" s="602"/>
      <c r="AR113" s="602"/>
      <c r="AS113" s="602"/>
      <c r="AT113" s="602"/>
      <c r="AU113" s="602"/>
      <c r="AV113" s="602"/>
      <c r="AW113" s="602"/>
      <c r="AX113" s="602"/>
      <c r="AY113" s="602"/>
      <c r="AZ113" s="602"/>
      <c r="BA113" s="602"/>
      <c r="BB113" s="602"/>
      <c r="BC113" s="602"/>
      <c r="BD113" s="602"/>
      <c r="BE113" s="602"/>
      <c r="BF113" s="602"/>
      <c r="BG113" s="602"/>
      <c r="BH113" s="602"/>
      <c r="BI113" s="602"/>
      <c r="BJ113" s="602"/>
      <c r="BK113" s="602"/>
      <c r="BL113" s="602"/>
      <c r="BM113" s="602"/>
      <c r="BN113" s="602"/>
      <c r="BO113" s="602"/>
      <c r="BP113" s="602"/>
      <c r="BQ113" s="602"/>
      <c r="BR113" s="602"/>
      <c r="BS113" s="602"/>
      <c r="BT113" s="602"/>
      <c r="BU113" s="602"/>
      <c r="BV113" s="602"/>
      <c r="BW113" s="602"/>
      <c r="BX113" s="602"/>
      <c r="BY113" s="602"/>
      <c r="BZ113" s="602"/>
      <c r="CA113" s="602"/>
      <c r="CB113" s="602"/>
      <c r="CC113" s="602"/>
      <c r="CD113" s="602"/>
      <c r="CE113" s="602"/>
      <c r="CF113" s="602"/>
      <c r="CG113" s="602"/>
      <c r="CH113" s="602"/>
      <c r="CI113" s="602"/>
      <c r="CJ113" s="602"/>
      <c r="CK113" s="602"/>
      <c r="CL113" s="602"/>
      <c r="CM113" s="602"/>
      <c r="CN113" s="602"/>
      <c r="CO113" s="602"/>
      <c r="CP113" s="602"/>
      <c r="CQ113" s="602"/>
      <c r="CR113" s="602"/>
      <c r="CS113" s="602"/>
      <c r="CT113" s="602"/>
      <c r="CU113" s="602"/>
      <c r="CV113" s="602"/>
      <c r="CW113" s="602"/>
      <c r="CX113" s="602"/>
      <c r="CY113" s="602"/>
      <c r="CZ113" s="602"/>
      <c r="DA113" s="602"/>
      <c r="DB113" s="602"/>
      <c r="DC113" s="602"/>
      <c r="DD113" s="602"/>
      <c r="DE113" s="602"/>
      <c r="DF113" s="602"/>
      <c r="DG113" s="602"/>
      <c r="DH113" s="602"/>
      <c r="DI113" s="602"/>
      <c r="DJ113" s="602"/>
      <c r="DK113" s="602"/>
      <c r="DL113" s="602"/>
      <c r="DM113" s="602"/>
      <c r="DN113" s="602"/>
      <c r="DO113" s="602"/>
      <c r="DP113" s="602"/>
      <c r="DQ113" s="602"/>
      <c r="DR113" s="602"/>
      <c r="DS113" s="602"/>
      <c r="DT113" s="602"/>
      <c r="DU113" s="602"/>
      <c r="DV113" s="602"/>
      <c r="DW113" s="602"/>
      <c r="DX113" s="602"/>
      <c r="DY113" s="602"/>
      <c r="DZ113" s="602"/>
      <c r="EA113" s="198" t="str">
        <f>IF(FM97=1,".","")</f>
        <v/>
      </c>
      <c r="EB113" s="43"/>
      <c r="EC113" s="43"/>
      <c r="ED113" s="43"/>
      <c r="EE113" s="43"/>
      <c r="EF113" s="43"/>
      <c r="EG113" s="43"/>
      <c r="EH113" s="43"/>
      <c r="EI113" s="43"/>
      <c r="EJ113" s="43"/>
      <c r="EK113" s="43"/>
      <c r="EL113" s="43"/>
      <c r="EM113" s="43"/>
      <c r="EN113" s="43"/>
      <c r="EO113" s="43"/>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50"/>
      <c r="FN113" s="48">
        <f>IF(Y113="",0,IF(AND(FM97=1,Y113=FQ105),1,0))</f>
        <v>0</v>
      </c>
      <c r="FO113" s="48"/>
      <c r="FP113" s="48"/>
      <c r="FQ113" s="48"/>
      <c r="FR113" s="48"/>
      <c r="FS113" s="48"/>
      <c r="FT113" s="48"/>
      <c r="FU113" s="48"/>
      <c r="FV113" s="48"/>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row>
    <row r="114" spans="1:221" ht="3.75" customHeight="1">
      <c r="A114" s="1"/>
      <c r="B114" s="3"/>
      <c r="C114" s="3"/>
      <c r="D114" s="43"/>
      <c r="E114" s="43"/>
      <c r="F114" s="79"/>
      <c r="G114" s="79"/>
      <c r="H114" s="79"/>
      <c r="I114" s="79"/>
      <c r="J114" s="79"/>
      <c r="K114" s="79"/>
      <c r="L114" s="38"/>
      <c r="M114" s="126"/>
      <c r="N114" s="126"/>
      <c r="O114" s="126"/>
      <c r="P114" s="126"/>
      <c r="Q114" s="126"/>
      <c r="R114" s="126"/>
      <c r="S114" s="126"/>
      <c r="T114" s="126"/>
      <c r="U114" s="126"/>
      <c r="V114" s="126"/>
      <c r="W114" s="126"/>
      <c r="X114" s="544" t="str">
        <f>IF(FM97=1,".","")</f>
        <v/>
      </c>
      <c r="Y114" s="545"/>
      <c r="Z114" s="545"/>
      <c r="AA114" s="545"/>
      <c r="AB114" s="545"/>
      <c r="AC114" s="545"/>
      <c r="AD114" s="545"/>
      <c r="AE114" s="545"/>
      <c r="AF114" s="545"/>
      <c r="AG114" s="545"/>
      <c r="AH114" s="545"/>
      <c r="AI114" s="545"/>
      <c r="AJ114" s="545"/>
      <c r="AK114" s="545"/>
      <c r="AL114" s="545"/>
      <c r="AM114" s="545"/>
      <c r="AN114" s="545"/>
      <c r="AO114" s="545"/>
      <c r="AP114" s="545"/>
      <c r="AQ114" s="545"/>
      <c r="AR114" s="545"/>
      <c r="AS114" s="545"/>
      <c r="AT114" s="545"/>
      <c r="AU114" s="545"/>
      <c r="AV114" s="545"/>
      <c r="AW114" s="545"/>
      <c r="AX114" s="545"/>
      <c r="AY114" s="545"/>
      <c r="AZ114" s="545"/>
      <c r="BA114" s="545"/>
      <c r="BB114" s="545"/>
      <c r="BC114" s="545"/>
      <c r="BD114" s="545"/>
      <c r="BE114" s="545"/>
      <c r="BF114" s="545"/>
      <c r="BG114" s="545"/>
      <c r="BH114" s="545"/>
      <c r="BI114" s="545"/>
      <c r="BJ114" s="545"/>
      <c r="BK114" s="545"/>
      <c r="BL114" s="545"/>
      <c r="BM114" s="545"/>
      <c r="BN114" s="545"/>
      <c r="BO114" s="545"/>
      <c r="BP114" s="545"/>
      <c r="BQ114" s="545"/>
      <c r="BR114" s="545"/>
      <c r="BS114" s="545"/>
      <c r="BT114" s="545"/>
      <c r="BU114" s="545"/>
      <c r="BV114" s="545"/>
      <c r="BW114" s="545"/>
      <c r="BX114" s="545"/>
      <c r="BY114" s="545"/>
      <c r="BZ114" s="545"/>
      <c r="CA114" s="545"/>
      <c r="CB114" s="545"/>
      <c r="CC114" s="545"/>
      <c r="CD114" s="545"/>
      <c r="CE114" s="545"/>
      <c r="CF114" s="545"/>
      <c r="CG114" s="545"/>
      <c r="CH114" s="545"/>
      <c r="CI114" s="545"/>
      <c r="CJ114" s="545"/>
      <c r="CK114" s="545"/>
      <c r="CL114" s="545"/>
      <c r="CM114" s="545"/>
      <c r="CN114" s="545"/>
      <c r="CO114" s="545"/>
      <c r="CP114" s="545"/>
      <c r="CQ114" s="545"/>
      <c r="CR114" s="545"/>
      <c r="CS114" s="545"/>
      <c r="CT114" s="545"/>
      <c r="CU114" s="545"/>
      <c r="CV114" s="545"/>
      <c r="CW114" s="545"/>
      <c r="CX114" s="545"/>
      <c r="CY114" s="545"/>
      <c r="CZ114" s="545"/>
      <c r="DA114" s="545"/>
      <c r="DB114" s="545"/>
      <c r="DC114" s="545"/>
      <c r="DD114" s="545"/>
      <c r="DE114" s="545"/>
      <c r="DF114" s="545"/>
      <c r="DG114" s="545"/>
      <c r="DH114" s="545"/>
      <c r="DI114" s="545"/>
      <c r="DJ114" s="545"/>
      <c r="DK114" s="545"/>
      <c r="DL114" s="545"/>
      <c r="DM114" s="545"/>
      <c r="DN114" s="545"/>
      <c r="DO114" s="545"/>
      <c r="DP114" s="545"/>
      <c r="DQ114" s="545"/>
      <c r="DR114" s="545"/>
      <c r="DS114" s="545"/>
      <c r="DT114" s="545"/>
      <c r="DU114" s="545"/>
      <c r="DV114" s="545"/>
      <c r="DW114" s="545"/>
      <c r="DX114" s="545"/>
      <c r="DY114" s="545"/>
      <c r="DZ114" s="545"/>
      <c r="EA114" s="545"/>
      <c r="EB114" s="43"/>
      <c r="EC114" s="43"/>
      <c r="ED114" s="43"/>
      <c r="EE114" s="43"/>
      <c r="EF114" s="43"/>
      <c r="EG114" s="43"/>
      <c r="EH114" s="43"/>
      <c r="EI114" s="43"/>
      <c r="EJ114" s="43"/>
      <c r="EK114" s="43"/>
      <c r="EL114" s="43"/>
      <c r="EM114" s="43"/>
      <c r="EN114" s="43"/>
      <c r="EO114" s="43"/>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48"/>
      <c r="FN114" s="48"/>
      <c r="FO114" s="48"/>
      <c r="FP114" s="48"/>
      <c r="FQ114" s="48"/>
      <c r="FR114" s="48"/>
      <c r="FS114" s="48"/>
      <c r="FT114" s="48"/>
      <c r="FU114" s="48"/>
      <c r="FV114" s="48"/>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row>
    <row r="115" spans="1:221" ht="7.5" customHeight="1">
      <c r="A115" s="1"/>
      <c r="B115" s="3"/>
      <c r="C115" s="3"/>
      <c r="D115" s="43"/>
      <c r="E115" s="43"/>
      <c r="F115" s="79"/>
      <c r="G115" s="79"/>
      <c r="H115" s="79"/>
      <c r="I115" s="79"/>
      <c r="J115" s="79"/>
      <c r="K115" s="79"/>
      <c r="L115" s="38"/>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26"/>
      <c r="BZ115" s="126"/>
      <c r="CA115" s="126"/>
      <c r="CB115" s="126"/>
      <c r="CC115" s="126"/>
      <c r="CD115" s="126"/>
      <c r="CE115" s="126"/>
      <c r="CF115" s="126"/>
      <c r="CG115" s="126"/>
      <c r="CH115" s="126"/>
      <c r="CI115" s="126"/>
      <c r="CJ115" s="126"/>
      <c r="CK115" s="126"/>
      <c r="CL115" s="126"/>
      <c r="CM115" s="126"/>
      <c r="CN115" s="126"/>
      <c r="CO115" s="126"/>
      <c r="CP115" s="126"/>
      <c r="CQ115" s="126"/>
      <c r="CR115" s="126"/>
      <c r="CS115" s="126"/>
      <c r="CT115" s="126"/>
      <c r="CU115" s="126"/>
      <c r="CV115" s="126"/>
      <c r="CW115" s="126"/>
      <c r="CX115" s="126"/>
      <c r="CY115" s="126"/>
      <c r="CZ115" s="126"/>
      <c r="DA115" s="126"/>
      <c r="DB115" s="126"/>
      <c r="DC115" s="126"/>
      <c r="DD115" s="126"/>
      <c r="DE115" s="126"/>
      <c r="DF115" s="126"/>
      <c r="DG115" s="126"/>
      <c r="DH115" s="126"/>
      <c r="DI115" s="126"/>
      <c r="DJ115" s="126"/>
      <c r="DK115" s="126"/>
      <c r="DL115" s="126"/>
      <c r="DM115" s="126"/>
      <c r="DN115" s="126"/>
      <c r="DO115" s="126"/>
      <c r="DP115" s="126"/>
      <c r="DQ115" s="126"/>
      <c r="DR115" s="126"/>
      <c r="DS115" s="126"/>
      <c r="DT115" s="126"/>
      <c r="DU115" s="126"/>
      <c r="DV115" s="126"/>
      <c r="DW115" s="126"/>
      <c r="DX115" s="126"/>
      <c r="DY115" s="126"/>
      <c r="DZ115" s="126"/>
      <c r="EA115" s="126"/>
      <c r="EB115" s="43"/>
      <c r="EC115" s="43"/>
      <c r="ED115" s="43"/>
      <c r="EE115" s="43"/>
      <c r="EF115" s="43"/>
      <c r="EG115" s="43"/>
      <c r="EH115" s="43"/>
      <c r="EI115" s="43"/>
      <c r="EJ115" s="43"/>
      <c r="EK115" s="43"/>
      <c r="EL115" s="43"/>
      <c r="EM115" s="43"/>
      <c r="EN115" s="43"/>
      <c r="EO115" s="43"/>
      <c r="EP115" s="79"/>
      <c r="EQ115" s="79"/>
      <c r="ER115" s="79"/>
      <c r="ES115" s="79"/>
      <c r="ET115" s="79"/>
      <c r="EU115" s="79"/>
      <c r="EV115" s="79"/>
      <c r="EW115" s="79"/>
      <c r="EX115" s="79"/>
      <c r="EY115" s="79"/>
      <c r="EZ115" s="79"/>
      <c r="FA115" s="79"/>
      <c r="FB115" s="79"/>
      <c r="FC115" s="79"/>
      <c r="FD115" s="79"/>
      <c r="FE115" s="79"/>
      <c r="FF115" s="79"/>
      <c r="FG115" s="79"/>
      <c r="FH115" s="79"/>
      <c r="FI115" s="79"/>
      <c r="FJ115" s="79"/>
      <c r="FK115" s="79"/>
      <c r="FL115" s="79"/>
      <c r="FM115" s="48"/>
      <c r="FN115" s="48"/>
      <c r="FO115" s="48"/>
      <c r="FP115" s="48"/>
      <c r="FQ115" s="48"/>
      <c r="FR115" s="48"/>
      <c r="FS115" s="48"/>
      <c r="FT115" s="48"/>
      <c r="FU115" s="48"/>
      <c r="FV115" s="48"/>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row>
    <row r="116" spans="1:221" ht="3.75" customHeight="1">
      <c r="A116" s="1"/>
      <c r="B116" s="3"/>
      <c r="C116" s="3"/>
      <c r="D116" s="43"/>
      <c r="E116" s="43"/>
      <c r="F116" s="79"/>
      <c r="G116" s="79"/>
      <c r="H116" s="79"/>
      <c r="I116" s="79"/>
      <c r="J116" s="79"/>
      <c r="K116" s="79"/>
      <c r="L116" s="38"/>
      <c r="M116" s="126"/>
      <c r="N116" s="126"/>
      <c r="O116" s="126"/>
      <c r="P116" s="126"/>
      <c r="Q116" s="126"/>
      <c r="R116" s="126"/>
      <c r="S116" s="126"/>
      <c r="T116" s="126"/>
      <c r="U116" s="126"/>
      <c r="V116" s="126"/>
      <c r="W116" s="126"/>
      <c r="X116" s="544" t="str">
        <f>IF(FM97=1,".","")</f>
        <v/>
      </c>
      <c r="Y116" s="545"/>
      <c r="Z116" s="545"/>
      <c r="AA116" s="545"/>
      <c r="AB116" s="545"/>
      <c r="AC116" s="545"/>
      <c r="AD116" s="545"/>
      <c r="AE116" s="545"/>
      <c r="AF116" s="545"/>
      <c r="AG116" s="545"/>
      <c r="AH116" s="545"/>
      <c r="AI116" s="545"/>
      <c r="AJ116" s="545"/>
      <c r="AK116" s="545"/>
      <c r="AL116" s="545"/>
      <c r="AM116" s="545"/>
      <c r="AN116" s="545"/>
      <c r="AO116" s="545"/>
      <c r="AP116" s="545"/>
      <c r="AQ116" s="545"/>
      <c r="AR116" s="545"/>
      <c r="AS116" s="545"/>
      <c r="AT116" s="545"/>
      <c r="AU116" s="545"/>
      <c r="AV116" s="545"/>
      <c r="AW116" s="545"/>
      <c r="AX116" s="545"/>
      <c r="AY116" s="545"/>
      <c r="AZ116" s="545"/>
      <c r="BA116" s="545"/>
      <c r="BB116" s="545"/>
      <c r="BC116" s="545"/>
      <c r="BD116" s="545"/>
      <c r="BE116" s="545"/>
      <c r="BF116" s="545"/>
      <c r="BG116" s="545"/>
      <c r="BH116" s="545"/>
      <c r="BI116" s="545"/>
      <c r="BJ116" s="545"/>
      <c r="BK116" s="545"/>
      <c r="BL116" s="545"/>
      <c r="BM116" s="545"/>
      <c r="BN116" s="545"/>
      <c r="BO116" s="545"/>
      <c r="BP116" s="545"/>
      <c r="BQ116" s="545"/>
      <c r="BR116" s="545"/>
      <c r="BS116" s="545"/>
      <c r="BT116" s="545"/>
      <c r="BU116" s="545"/>
      <c r="BV116" s="545"/>
      <c r="BW116" s="545"/>
      <c r="BX116" s="545"/>
      <c r="BY116" s="545"/>
      <c r="BZ116" s="545"/>
      <c r="CA116" s="545"/>
      <c r="CB116" s="545"/>
      <c r="CC116" s="545"/>
      <c r="CD116" s="545"/>
      <c r="CE116" s="545"/>
      <c r="CF116" s="545"/>
      <c r="CG116" s="545"/>
      <c r="CH116" s="545"/>
      <c r="CI116" s="545"/>
      <c r="CJ116" s="545"/>
      <c r="CK116" s="545"/>
      <c r="CL116" s="545"/>
      <c r="CM116" s="545"/>
      <c r="CN116" s="545"/>
      <c r="CO116" s="545"/>
      <c r="CP116" s="545"/>
      <c r="CQ116" s="545"/>
      <c r="CR116" s="545"/>
      <c r="CS116" s="545"/>
      <c r="CT116" s="545"/>
      <c r="CU116" s="545"/>
      <c r="CV116" s="545"/>
      <c r="CW116" s="545"/>
      <c r="CX116" s="545"/>
      <c r="CY116" s="545"/>
      <c r="CZ116" s="545"/>
      <c r="DA116" s="545"/>
      <c r="DB116" s="545"/>
      <c r="DC116" s="545"/>
      <c r="DD116" s="545"/>
      <c r="DE116" s="545"/>
      <c r="DF116" s="545"/>
      <c r="DG116" s="545"/>
      <c r="DH116" s="545"/>
      <c r="DI116" s="545"/>
      <c r="DJ116" s="545"/>
      <c r="DK116" s="545"/>
      <c r="DL116" s="545"/>
      <c r="DM116" s="545"/>
      <c r="DN116" s="545"/>
      <c r="DO116" s="545"/>
      <c r="DP116" s="545"/>
      <c r="DQ116" s="545"/>
      <c r="DR116" s="545"/>
      <c r="DS116" s="545"/>
      <c r="DT116" s="545"/>
      <c r="DU116" s="545"/>
      <c r="DV116" s="545"/>
      <c r="DW116" s="545"/>
      <c r="DX116" s="545"/>
      <c r="DY116" s="545"/>
      <c r="DZ116" s="545"/>
      <c r="EA116" s="545"/>
      <c r="EB116" s="43"/>
      <c r="EC116" s="43"/>
      <c r="ED116" s="43"/>
      <c r="EE116" s="43"/>
      <c r="EF116" s="43"/>
      <c r="EG116" s="43"/>
      <c r="EH116" s="43"/>
      <c r="EI116" s="43"/>
      <c r="EJ116" s="43"/>
      <c r="EK116" s="43"/>
      <c r="EL116" s="43"/>
      <c r="EM116" s="43"/>
      <c r="EN116" s="43"/>
      <c r="EO116" s="43"/>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48"/>
      <c r="FN116" s="48"/>
      <c r="FO116" s="48"/>
      <c r="FP116" s="48"/>
      <c r="FQ116" s="48"/>
      <c r="FR116" s="48"/>
      <c r="FS116" s="48"/>
      <c r="FT116" s="48"/>
      <c r="FU116" s="48"/>
      <c r="FV116" s="48"/>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row>
    <row r="117" spans="1:221" ht="16.5" customHeight="1">
      <c r="A117" s="1"/>
      <c r="B117" s="3"/>
      <c r="C117" s="3"/>
      <c r="D117" s="43"/>
      <c r="E117" s="43"/>
      <c r="F117" s="79"/>
      <c r="G117" s="79"/>
      <c r="H117" s="79"/>
      <c r="I117" s="79"/>
      <c r="J117" s="79"/>
      <c r="K117" s="79"/>
      <c r="L117" s="38"/>
      <c r="M117" s="126"/>
      <c r="N117" s="126"/>
      <c r="O117" s="126"/>
      <c r="P117" s="126"/>
      <c r="Q117" s="126"/>
      <c r="R117" s="126"/>
      <c r="S117" s="126"/>
      <c r="T117" s="126"/>
      <c r="U117" s="126"/>
      <c r="V117" s="126"/>
      <c r="W117" s="133" t="str">
        <f>IF(FM97=1,"MO = MK ","")</f>
        <v/>
      </c>
      <c r="X117" s="198" t="str">
        <f>IF(FM97=1,".","")</f>
        <v/>
      </c>
      <c r="Y117" s="602"/>
      <c r="Z117" s="602"/>
      <c r="AA117" s="602"/>
      <c r="AB117" s="602"/>
      <c r="AC117" s="602"/>
      <c r="AD117" s="602"/>
      <c r="AE117" s="602"/>
      <c r="AF117" s="602"/>
      <c r="AG117" s="602"/>
      <c r="AH117" s="602"/>
      <c r="AI117" s="602"/>
      <c r="AJ117" s="602"/>
      <c r="AK117" s="602"/>
      <c r="AL117" s="602"/>
      <c r="AM117" s="602"/>
      <c r="AN117" s="602"/>
      <c r="AO117" s="602"/>
      <c r="AP117" s="602"/>
      <c r="AQ117" s="602"/>
      <c r="AR117" s="602"/>
      <c r="AS117" s="602"/>
      <c r="AT117" s="602"/>
      <c r="AU117" s="602"/>
      <c r="AV117" s="602"/>
      <c r="AW117" s="602"/>
      <c r="AX117" s="602"/>
      <c r="AY117" s="602"/>
      <c r="AZ117" s="602"/>
      <c r="BA117" s="602"/>
      <c r="BB117" s="602"/>
      <c r="BC117" s="602"/>
      <c r="BD117" s="602"/>
      <c r="BE117" s="602"/>
      <c r="BF117" s="602"/>
      <c r="BG117" s="602"/>
      <c r="BH117" s="602"/>
      <c r="BI117" s="602"/>
      <c r="BJ117" s="602"/>
      <c r="BK117" s="602"/>
      <c r="BL117" s="602"/>
      <c r="BM117" s="602"/>
      <c r="BN117" s="602"/>
      <c r="BO117" s="602"/>
      <c r="BP117" s="602"/>
      <c r="BQ117" s="602"/>
      <c r="BR117" s="602"/>
      <c r="BS117" s="602"/>
      <c r="BT117" s="602"/>
      <c r="BU117" s="602"/>
      <c r="BV117" s="602"/>
      <c r="BW117" s="602"/>
      <c r="BX117" s="602"/>
      <c r="BY117" s="602"/>
      <c r="BZ117" s="602"/>
      <c r="CA117" s="602"/>
      <c r="CB117" s="602"/>
      <c r="CC117" s="602"/>
      <c r="CD117" s="602"/>
      <c r="CE117" s="602"/>
      <c r="CF117" s="602"/>
      <c r="CG117" s="602"/>
      <c r="CH117" s="602"/>
      <c r="CI117" s="602"/>
      <c r="CJ117" s="602"/>
      <c r="CK117" s="602"/>
      <c r="CL117" s="602"/>
      <c r="CM117" s="602"/>
      <c r="CN117" s="602"/>
      <c r="CO117" s="602"/>
      <c r="CP117" s="602"/>
      <c r="CQ117" s="602"/>
      <c r="CR117" s="602"/>
      <c r="CS117" s="602"/>
      <c r="CT117" s="602"/>
      <c r="CU117" s="602"/>
      <c r="CV117" s="602"/>
      <c r="CW117" s="602"/>
      <c r="CX117" s="602"/>
      <c r="CY117" s="602"/>
      <c r="CZ117" s="602"/>
      <c r="DA117" s="602"/>
      <c r="DB117" s="602"/>
      <c r="DC117" s="602"/>
      <c r="DD117" s="602"/>
      <c r="DE117" s="602"/>
      <c r="DF117" s="602"/>
      <c r="DG117" s="602"/>
      <c r="DH117" s="602"/>
      <c r="DI117" s="602"/>
      <c r="DJ117" s="602"/>
      <c r="DK117" s="602"/>
      <c r="DL117" s="602"/>
      <c r="DM117" s="602"/>
      <c r="DN117" s="602"/>
      <c r="DO117" s="602"/>
      <c r="DP117" s="602"/>
      <c r="DQ117" s="602"/>
      <c r="DR117" s="602"/>
      <c r="DS117" s="602"/>
      <c r="DT117" s="602"/>
      <c r="DU117" s="602"/>
      <c r="DV117" s="602"/>
      <c r="DW117" s="602"/>
      <c r="DX117" s="602"/>
      <c r="DY117" s="602"/>
      <c r="DZ117" s="602"/>
      <c r="EA117" s="198" t="str">
        <f>IF(FM97=1,".","")</f>
        <v/>
      </c>
      <c r="EB117" s="43"/>
      <c r="EC117" s="43"/>
      <c r="ED117" s="43"/>
      <c r="EE117" s="43"/>
      <c r="EF117" s="43"/>
      <c r="EG117" s="43"/>
      <c r="EH117" s="43"/>
      <c r="EI117" s="43"/>
      <c r="EJ117" s="43"/>
      <c r="EK117" s="43"/>
      <c r="EL117" s="43"/>
      <c r="EM117" s="43"/>
      <c r="EN117" s="43"/>
      <c r="EO117" s="43"/>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48">
        <f>IF(OR(Y105="",Y109="",Y113="",Y117=""),0,IF(FN105+FN109+FN113+FN117=4,1,0))</f>
        <v>0</v>
      </c>
      <c r="FN117" s="48">
        <f>IF(programma!B1="X",1,IF(Y117="",0,IF(AND(FM97=1,Y117=FO105,FM97=1),1,0)))</f>
        <v>0</v>
      </c>
      <c r="FO117" s="48"/>
      <c r="FP117" s="48"/>
      <c r="FQ117" s="48"/>
      <c r="FR117" s="48"/>
      <c r="FS117" s="48"/>
      <c r="FT117" s="48"/>
      <c r="FU117" s="48"/>
      <c r="FV117" s="48"/>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row>
    <row r="118" spans="1:221" ht="3.75" customHeight="1">
      <c r="A118" s="1"/>
      <c r="B118" s="3"/>
      <c r="C118" s="3"/>
      <c r="D118" s="43"/>
      <c r="E118" s="43"/>
      <c r="F118" s="79"/>
      <c r="G118" s="79"/>
      <c r="H118" s="79"/>
      <c r="I118" s="79"/>
      <c r="J118" s="79"/>
      <c r="K118" s="79"/>
      <c r="L118" s="38"/>
      <c r="M118" s="126"/>
      <c r="N118" s="126"/>
      <c r="O118" s="126"/>
      <c r="P118" s="126"/>
      <c r="Q118" s="126"/>
      <c r="R118" s="126"/>
      <c r="S118" s="126"/>
      <c r="T118" s="126"/>
      <c r="U118" s="126"/>
      <c r="V118" s="126"/>
      <c r="W118" s="126"/>
      <c r="X118" s="544" t="str">
        <f>IF(FM97=1,".","")</f>
        <v/>
      </c>
      <c r="Y118" s="545"/>
      <c r="Z118" s="545"/>
      <c r="AA118" s="545"/>
      <c r="AB118" s="545"/>
      <c r="AC118" s="545"/>
      <c r="AD118" s="545"/>
      <c r="AE118" s="545"/>
      <c r="AF118" s="545"/>
      <c r="AG118" s="545"/>
      <c r="AH118" s="545"/>
      <c r="AI118" s="545"/>
      <c r="AJ118" s="545"/>
      <c r="AK118" s="545"/>
      <c r="AL118" s="545"/>
      <c r="AM118" s="545"/>
      <c r="AN118" s="545"/>
      <c r="AO118" s="545"/>
      <c r="AP118" s="545"/>
      <c r="AQ118" s="545"/>
      <c r="AR118" s="545"/>
      <c r="AS118" s="545"/>
      <c r="AT118" s="545"/>
      <c r="AU118" s="545"/>
      <c r="AV118" s="545"/>
      <c r="AW118" s="545"/>
      <c r="AX118" s="545"/>
      <c r="AY118" s="545"/>
      <c r="AZ118" s="545"/>
      <c r="BA118" s="545"/>
      <c r="BB118" s="545"/>
      <c r="BC118" s="545"/>
      <c r="BD118" s="545"/>
      <c r="BE118" s="545"/>
      <c r="BF118" s="545"/>
      <c r="BG118" s="545"/>
      <c r="BH118" s="545"/>
      <c r="BI118" s="545"/>
      <c r="BJ118" s="545"/>
      <c r="BK118" s="545"/>
      <c r="BL118" s="545"/>
      <c r="BM118" s="545"/>
      <c r="BN118" s="545"/>
      <c r="BO118" s="545"/>
      <c r="BP118" s="545"/>
      <c r="BQ118" s="545"/>
      <c r="BR118" s="545"/>
      <c r="BS118" s="545"/>
      <c r="BT118" s="545"/>
      <c r="BU118" s="545"/>
      <c r="BV118" s="545"/>
      <c r="BW118" s="545"/>
      <c r="BX118" s="545"/>
      <c r="BY118" s="545"/>
      <c r="BZ118" s="545"/>
      <c r="CA118" s="545"/>
      <c r="CB118" s="545"/>
      <c r="CC118" s="545"/>
      <c r="CD118" s="545"/>
      <c r="CE118" s="545"/>
      <c r="CF118" s="545"/>
      <c r="CG118" s="545"/>
      <c r="CH118" s="545"/>
      <c r="CI118" s="545"/>
      <c r="CJ118" s="545"/>
      <c r="CK118" s="545"/>
      <c r="CL118" s="545"/>
      <c r="CM118" s="545"/>
      <c r="CN118" s="545"/>
      <c r="CO118" s="545"/>
      <c r="CP118" s="545"/>
      <c r="CQ118" s="545"/>
      <c r="CR118" s="545"/>
      <c r="CS118" s="545"/>
      <c r="CT118" s="545"/>
      <c r="CU118" s="545"/>
      <c r="CV118" s="545"/>
      <c r="CW118" s="545"/>
      <c r="CX118" s="545"/>
      <c r="CY118" s="545"/>
      <c r="CZ118" s="545"/>
      <c r="DA118" s="545"/>
      <c r="DB118" s="545"/>
      <c r="DC118" s="545"/>
      <c r="DD118" s="545"/>
      <c r="DE118" s="545"/>
      <c r="DF118" s="545"/>
      <c r="DG118" s="545"/>
      <c r="DH118" s="545"/>
      <c r="DI118" s="545"/>
      <c r="DJ118" s="545"/>
      <c r="DK118" s="545"/>
      <c r="DL118" s="545"/>
      <c r="DM118" s="545"/>
      <c r="DN118" s="545"/>
      <c r="DO118" s="545"/>
      <c r="DP118" s="545"/>
      <c r="DQ118" s="545"/>
      <c r="DR118" s="545"/>
      <c r="DS118" s="545"/>
      <c r="DT118" s="545"/>
      <c r="DU118" s="545"/>
      <c r="DV118" s="545"/>
      <c r="DW118" s="545"/>
      <c r="DX118" s="545"/>
      <c r="DY118" s="545"/>
      <c r="DZ118" s="545"/>
      <c r="EA118" s="545"/>
      <c r="EB118" s="43"/>
      <c r="EC118" s="43"/>
      <c r="ED118" s="43"/>
      <c r="EE118" s="43"/>
      <c r="EF118" s="43"/>
      <c r="EG118" s="43"/>
      <c r="EH118" s="43"/>
      <c r="EI118" s="43"/>
      <c r="EJ118" s="43"/>
      <c r="EK118" s="43"/>
      <c r="EL118" s="43"/>
      <c r="EM118" s="43"/>
      <c r="EN118" s="43"/>
      <c r="EO118" s="43"/>
      <c r="EP118" s="79"/>
      <c r="EQ118" s="79"/>
      <c r="ER118" s="79"/>
      <c r="ES118" s="79"/>
      <c r="ET118" s="79"/>
      <c r="EU118" s="79"/>
      <c r="EV118" s="79"/>
      <c r="EW118" s="79"/>
      <c r="EX118" s="79"/>
      <c r="EY118" s="79"/>
      <c r="EZ118" s="79"/>
      <c r="FA118" s="79"/>
      <c r="FB118" s="79"/>
      <c r="FC118" s="79"/>
      <c r="FD118" s="79"/>
      <c r="FE118" s="79"/>
      <c r="FF118" s="79"/>
      <c r="FG118" s="79"/>
      <c r="FH118" s="79"/>
      <c r="FI118" s="79"/>
      <c r="FJ118" s="79"/>
      <c r="FK118" s="79"/>
      <c r="FL118" s="79"/>
      <c r="FM118" s="48"/>
      <c r="FN118" s="48"/>
      <c r="FO118" s="48"/>
      <c r="FP118" s="48"/>
      <c r="FQ118" s="48"/>
      <c r="FR118" s="48"/>
      <c r="FS118" s="48"/>
      <c r="FT118" s="48"/>
      <c r="FU118" s="48"/>
      <c r="FV118" s="48"/>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row>
    <row r="119" spans="1:221" ht="21.75" customHeight="1">
      <c r="A119" s="1"/>
      <c r="B119" s="3"/>
      <c r="C119" s="3"/>
      <c r="D119" s="91" t="str">
        <f>IF(FM97=0,"",IF(OR(Y105="",Y109="",Y113="",Y117=""),"",IF(FM117=1,"Prima! Je hebt ze allemaal goed.",IF(FN105+FN109+FN113+FN117=3,"Je hebt er één fout!",IF(FN105+FN109+FN113+FN117=2,"Je hebt er twee fout!",IF(FN105+FN109+FN113+FN117=1,"Je hebt er drie fout!",IF(FN105+FN109+FN113+FN117=0,"Je hebt ze allemaal fout!","")))))))</f>
        <v/>
      </c>
      <c r="E119" s="126"/>
      <c r="F119" s="10"/>
      <c r="G119" s="10"/>
      <c r="H119" s="10"/>
      <c r="I119" s="10"/>
      <c r="J119" s="10"/>
      <c r="K119" s="10"/>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97"/>
      <c r="AY119" s="43"/>
      <c r="AZ119" s="41"/>
      <c r="BA119" s="41"/>
      <c r="BB119" s="41"/>
      <c r="BC119" s="41"/>
      <c r="BD119" s="42"/>
      <c r="BE119" s="41"/>
      <c r="BF119" s="41"/>
      <c r="BG119" s="41"/>
      <c r="BH119" s="41"/>
      <c r="BI119" s="41"/>
      <c r="BJ119" s="41"/>
      <c r="BK119" s="42"/>
      <c r="BL119" s="41"/>
      <c r="BM119" s="41"/>
      <c r="BN119" s="41"/>
      <c r="BO119" s="41"/>
      <c r="BP119" s="41"/>
      <c r="BQ119" s="41"/>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79"/>
      <c r="EQ119" s="79"/>
      <c r="ER119" s="79"/>
      <c r="ES119" s="79"/>
      <c r="ET119" s="79"/>
      <c r="EU119" s="79"/>
      <c r="EV119" s="79"/>
      <c r="EW119" s="79"/>
      <c r="EX119" s="79"/>
      <c r="EY119" s="79"/>
      <c r="EZ119" s="79"/>
      <c r="FA119" s="79"/>
      <c r="FB119" s="79"/>
      <c r="FC119" s="79"/>
      <c r="FD119" s="79"/>
      <c r="FE119" s="79"/>
      <c r="FF119" s="79"/>
      <c r="FG119" s="79"/>
      <c r="FH119" s="79"/>
      <c r="FI119" s="79"/>
      <c r="FJ119" s="79"/>
      <c r="FK119" s="79"/>
      <c r="FL119" s="79"/>
      <c r="FM119" s="48"/>
      <c r="FN119" s="48"/>
      <c r="FO119" s="48"/>
      <c r="FP119" s="48"/>
      <c r="FQ119" s="48"/>
      <c r="FR119" s="48"/>
      <c r="FS119" s="48"/>
      <c r="FT119" s="48"/>
      <c r="FU119" s="48"/>
      <c r="FV119" s="48"/>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row>
    <row r="120" spans="1:221" ht="16.5" customHeight="1">
      <c r="A120" s="1"/>
      <c r="B120" s="3"/>
      <c r="C120" s="3"/>
      <c r="D120" s="38"/>
      <c r="E120" s="24"/>
      <c r="F120" s="24"/>
      <c r="G120" s="24"/>
      <c r="H120" s="24"/>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4"/>
      <c r="EQ120" s="14"/>
      <c r="ER120" s="14"/>
      <c r="ES120" s="14"/>
      <c r="ET120" s="14"/>
      <c r="EU120" s="14"/>
      <c r="EV120" s="14"/>
      <c r="EW120" s="14"/>
      <c r="EX120" s="14"/>
      <c r="EY120" s="14"/>
      <c r="EZ120" s="14"/>
      <c r="FA120" s="14"/>
      <c r="FB120" s="14"/>
      <c r="FC120" s="14"/>
      <c r="FD120" s="14"/>
      <c r="FE120" s="14"/>
      <c r="FF120" s="14"/>
      <c r="FG120" s="14"/>
      <c r="FH120" s="14"/>
      <c r="FI120" s="14"/>
      <c r="FJ120" s="25"/>
      <c r="FK120" s="14"/>
      <c r="FL120" s="14"/>
      <c r="FM120" s="48"/>
      <c r="FN120" s="48"/>
      <c r="FO120" s="48"/>
      <c r="FP120" s="48"/>
      <c r="FQ120" s="48"/>
      <c r="FR120" s="48"/>
      <c r="FS120" s="48"/>
      <c r="FT120" s="48"/>
      <c r="FU120" s="48"/>
      <c r="FV120" s="48"/>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row>
    <row r="121" spans="1:221" ht="16.5" customHeight="1">
      <c r="A121" s="1"/>
      <c r="B121" s="3"/>
      <c r="C121" s="3"/>
      <c r="D121" s="38" t="str">
        <f>IF(FN117=0,"","Je bent nu klaar met dit onderwerp. Ga naar het volgende onderwerp door")</f>
        <v/>
      </c>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25"/>
      <c r="AY121" s="26"/>
      <c r="AZ121" s="41"/>
      <c r="BA121" s="41"/>
      <c r="BB121" s="41"/>
      <c r="BC121" s="41"/>
      <c r="BD121" s="42"/>
      <c r="BE121" s="41"/>
      <c r="BF121" s="41"/>
      <c r="BG121" s="41"/>
      <c r="BH121" s="41"/>
      <c r="BI121" s="41"/>
      <c r="BJ121" s="41"/>
      <c r="BK121" s="42"/>
      <c r="BL121" s="41"/>
      <c r="BM121" s="41"/>
      <c r="BN121" s="41"/>
      <c r="BO121" s="41"/>
      <c r="BP121" s="41"/>
      <c r="BQ121" s="41"/>
      <c r="BR121" s="80"/>
      <c r="BS121" s="79"/>
      <c r="BT121" s="79"/>
      <c r="BU121" s="79"/>
      <c r="BV121" s="79"/>
      <c r="BW121" s="79"/>
      <c r="BX121" s="79"/>
      <c r="BY121" s="79"/>
      <c r="BZ121" s="80"/>
      <c r="CA121" s="80"/>
      <c r="CB121" s="80"/>
      <c r="CC121" s="80"/>
      <c r="CD121" s="80"/>
      <c r="CE121" s="80"/>
      <c r="CF121" s="80"/>
      <c r="CG121" s="80"/>
      <c r="CH121" s="80"/>
      <c r="CI121" s="80"/>
      <c r="CJ121" s="80"/>
      <c r="CK121" s="80"/>
      <c r="CL121" s="80"/>
      <c r="CM121" s="80"/>
      <c r="CN121" s="80"/>
      <c r="CO121" s="80"/>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48"/>
      <c r="FN121" s="48"/>
      <c r="FO121" s="48"/>
      <c r="FP121" s="48"/>
      <c r="FQ121" s="48"/>
      <c r="FR121" s="48"/>
      <c r="FS121" s="48"/>
      <c r="FT121" s="48"/>
      <c r="FU121" s="48"/>
      <c r="FV121" s="48"/>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row>
    <row r="122" spans="1:221" ht="16.5" customHeight="1">
      <c r="A122" s="1"/>
      <c r="B122" s="3"/>
      <c r="C122" s="3"/>
      <c r="D122" s="38" t="str">
        <f>IF(FN117=0,"","op het betreffende tabblad te klikken.")</f>
        <v/>
      </c>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25"/>
      <c r="AY122" s="26"/>
      <c r="AZ122" s="41"/>
      <c r="BA122" s="41"/>
      <c r="BB122" s="41"/>
      <c r="BC122" s="41"/>
      <c r="BD122" s="42"/>
      <c r="BE122" s="41"/>
      <c r="BF122" s="41"/>
      <c r="BG122" s="41"/>
      <c r="BH122" s="41"/>
      <c r="BI122" s="41"/>
      <c r="BJ122" s="41"/>
      <c r="BK122" s="42"/>
      <c r="BL122" s="41"/>
      <c r="BM122" s="41"/>
      <c r="BN122" s="41"/>
      <c r="BO122" s="41"/>
      <c r="BP122" s="41"/>
      <c r="BQ122" s="41"/>
      <c r="BR122" s="80"/>
      <c r="BS122" s="79"/>
      <c r="BT122" s="79"/>
      <c r="BU122" s="79"/>
      <c r="BV122" s="79"/>
      <c r="BW122" s="79"/>
      <c r="BX122" s="79"/>
      <c r="BY122" s="79"/>
      <c r="BZ122" s="80"/>
      <c r="CA122" s="80"/>
      <c r="CB122" s="80"/>
      <c r="CC122" s="80"/>
      <c r="CD122" s="80"/>
      <c r="CE122" s="80"/>
      <c r="CF122" s="80"/>
      <c r="CG122" s="80"/>
      <c r="CH122" s="80"/>
      <c r="CI122" s="80"/>
      <c r="CJ122" s="80"/>
      <c r="CK122" s="80"/>
      <c r="CL122" s="80"/>
      <c r="CM122" s="80"/>
      <c r="CN122" s="80"/>
      <c r="CO122" s="80"/>
      <c r="CP122" s="79"/>
      <c r="CQ122" s="79"/>
      <c r="CR122" s="79"/>
      <c r="CS122" s="79"/>
      <c r="CT122" s="79"/>
      <c r="CU122" s="79"/>
      <c r="CV122" s="79"/>
      <c r="CW122" s="79"/>
      <c r="CX122" s="79"/>
      <c r="CY122" s="79"/>
      <c r="CZ122" s="79"/>
      <c r="DA122" s="79"/>
      <c r="DB122" s="79"/>
      <c r="DC122" s="79"/>
      <c r="DD122" s="79"/>
      <c r="DE122" s="79"/>
      <c r="DF122" s="79"/>
      <c r="DG122" s="79"/>
      <c r="DH122" s="79"/>
      <c r="DI122" s="79"/>
      <c r="DJ122" s="79"/>
      <c r="DK122" s="79"/>
      <c r="DL122" s="79"/>
      <c r="DM122" s="79"/>
      <c r="DN122" s="79"/>
      <c r="DO122" s="79"/>
      <c r="DP122" s="79"/>
      <c r="DQ122" s="79"/>
      <c r="DR122" s="79"/>
      <c r="DS122" s="79"/>
      <c r="DT122" s="79"/>
      <c r="DU122" s="79"/>
      <c r="DV122" s="79"/>
      <c r="DW122" s="79"/>
      <c r="DX122" s="79"/>
      <c r="DY122" s="79"/>
      <c r="DZ122" s="79"/>
      <c r="EA122" s="79"/>
      <c r="EB122" s="79"/>
      <c r="EC122" s="79"/>
      <c r="ED122" s="79"/>
      <c r="EE122" s="79"/>
      <c r="EF122" s="79"/>
      <c r="EG122" s="79"/>
      <c r="EH122" s="79"/>
      <c r="EI122" s="79"/>
      <c r="EJ122" s="79"/>
      <c r="EK122" s="79"/>
      <c r="EL122" s="79"/>
      <c r="EM122" s="79"/>
      <c r="EN122" s="79"/>
      <c r="EO122" s="79"/>
      <c r="EP122" s="79"/>
      <c r="EQ122" s="79"/>
      <c r="ER122" s="79"/>
      <c r="ES122" s="79"/>
      <c r="ET122" s="79"/>
      <c r="EU122" s="79"/>
      <c r="EV122" s="79"/>
      <c r="EW122" s="79"/>
      <c r="EX122" s="79"/>
      <c r="EY122" s="79"/>
      <c r="EZ122" s="79"/>
      <c r="FA122" s="79"/>
      <c r="FB122" s="79"/>
      <c r="FC122" s="79"/>
      <c r="FD122" s="79"/>
      <c r="FE122" s="79"/>
      <c r="FF122" s="79"/>
      <c r="FG122" s="79"/>
      <c r="FH122" s="79"/>
      <c r="FI122" s="79"/>
      <c r="FJ122" s="79"/>
      <c r="FK122" s="79"/>
      <c r="FL122" s="79"/>
      <c r="FM122" s="48"/>
      <c r="FN122" s="48"/>
      <c r="FO122" s="48"/>
      <c r="FP122" s="48"/>
      <c r="FQ122" s="48"/>
      <c r="FR122" s="48"/>
      <c r="FS122" s="48"/>
      <c r="FT122" s="48"/>
      <c r="FU122" s="48"/>
      <c r="FV122" s="48"/>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row>
    <row r="123" spans="1:221" ht="16.5" customHeight="1">
      <c r="A123" s="1"/>
      <c r="B123" s="3"/>
      <c r="C123" s="3"/>
      <c r="D123" s="38"/>
      <c r="E123" s="24"/>
      <c r="F123" s="24"/>
      <c r="G123" s="24"/>
      <c r="H123" s="24"/>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4"/>
      <c r="EQ123" s="14"/>
      <c r="ER123" s="14"/>
      <c r="ES123" s="14"/>
      <c r="ET123" s="14"/>
      <c r="EU123" s="14"/>
      <c r="EV123" s="14"/>
      <c r="EW123" s="14"/>
      <c r="EX123" s="14"/>
      <c r="EY123" s="14"/>
      <c r="EZ123" s="14"/>
      <c r="FA123" s="14"/>
      <c r="FB123" s="14"/>
      <c r="FC123" s="14"/>
      <c r="FD123" s="14"/>
      <c r="FE123" s="14"/>
      <c r="FF123" s="14"/>
      <c r="FG123" s="14"/>
      <c r="FH123" s="14"/>
      <c r="FI123" s="14"/>
      <c r="FJ123" s="25"/>
      <c r="FK123" s="14"/>
      <c r="FL123" s="27"/>
      <c r="FM123" s="48"/>
      <c r="FN123" s="48"/>
      <c r="FO123" s="48"/>
      <c r="FP123" s="48"/>
      <c r="FQ123" s="48"/>
      <c r="FR123" s="48"/>
      <c r="FS123" s="48"/>
      <c r="FT123" s="48"/>
      <c r="FU123" s="48"/>
      <c r="FV123" s="48"/>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row>
    <row r="124" spans="1:221" ht="16.5" customHeight="1">
      <c r="A124" s="1"/>
      <c r="B124" s="3"/>
      <c r="C124" s="3"/>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9"/>
      <c r="BC124" s="29"/>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30"/>
      <c r="FL124" s="31"/>
      <c r="FM124" s="48"/>
      <c r="FN124" s="48"/>
      <c r="FO124" s="48"/>
      <c r="FP124" s="48"/>
      <c r="FQ124" s="48"/>
      <c r="FR124" s="48"/>
      <c r="FS124" s="48"/>
      <c r="FT124" s="48"/>
      <c r="FU124" s="48"/>
      <c r="FV124" s="48"/>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row>
    <row r="125" spans="1:221" ht="16.5" customHeight="1">
      <c r="A125" s="1"/>
      <c r="B125" s="3"/>
      <c r="C125" s="3"/>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9"/>
      <c r="BC125" s="29"/>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30"/>
      <c r="FL125" s="31"/>
      <c r="FM125" s="48"/>
      <c r="FN125" s="48"/>
      <c r="FO125" s="48"/>
      <c r="FP125" s="48"/>
      <c r="FQ125" s="48"/>
      <c r="FR125" s="48"/>
      <c r="FS125" s="48"/>
      <c r="FT125" s="48"/>
      <c r="FU125" s="48"/>
      <c r="FV125" s="48"/>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row>
    <row r="126" spans="1:221" ht="16.5" customHeight="1">
      <c r="A126" s="1"/>
      <c r="B126" s="3"/>
      <c r="C126" s="3"/>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9"/>
      <c r="BC126" s="29"/>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30"/>
      <c r="FL126" s="31"/>
      <c r="FM126" s="48"/>
      <c r="FN126" s="48"/>
      <c r="FO126" s="48"/>
      <c r="FP126" s="48"/>
      <c r="FQ126" s="48"/>
      <c r="FR126" s="48"/>
      <c r="FS126" s="48"/>
      <c r="FT126" s="48"/>
      <c r="FU126" s="48"/>
      <c r="FV126" s="48"/>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row>
    <row r="127" spans="1:221" ht="16.5" customHeight="1">
      <c r="A127" s="1"/>
      <c r="B127" s="3"/>
      <c r="C127" s="3"/>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9"/>
      <c r="BC127" s="29"/>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30"/>
      <c r="FL127" s="31"/>
      <c r="FM127" s="48"/>
      <c r="FN127" s="48"/>
      <c r="FO127" s="48"/>
      <c r="FP127" s="48"/>
      <c r="FQ127" s="48"/>
      <c r="FR127" s="48"/>
      <c r="FS127" s="48"/>
      <c r="FT127" s="48"/>
      <c r="FU127" s="48"/>
      <c r="FV127" s="48"/>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row>
    <row r="128" spans="1:221" ht="16.5" customHeight="1">
      <c r="A128" s="1"/>
      <c r="B128" s="3"/>
      <c r="C128" s="3"/>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9"/>
      <c r="BC128" s="29"/>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30"/>
      <c r="FL128" s="31"/>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row>
    <row r="129" spans="1:221" ht="16.5" customHeight="1">
      <c r="A129" s="1"/>
      <c r="B129" s="3"/>
      <c r="C129" s="3"/>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9"/>
      <c r="BC129" s="29"/>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30"/>
      <c r="FL129" s="31"/>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row>
    <row r="130" spans="1:221" ht="16.5" customHeight="1">
      <c r="A130" s="1"/>
      <c r="B130" s="3"/>
      <c r="C130" s="3"/>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9"/>
      <c r="BC130" s="29"/>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30"/>
      <c r="FL130" s="31"/>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row>
    <row r="131" spans="1:221" ht="16.5" customHeight="1">
      <c r="A131" s="1"/>
      <c r="B131" s="3"/>
      <c r="C131" s="3"/>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9"/>
      <c r="BC131" s="29"/>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30"/>
      <c r="FL131" s="31"/>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row>
    <row r="132" spans="1:221" ht="16.5" customHeight="1">
      <c r="A132" s="1"/>
      <c r="B132" s="3"/>
      <c r="C132" s="3"/>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9"/>
      <c r="BC132" s="29"/>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30"/>
      <c r="FL132" s="31"/>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row>
    <row r="133" spans="1:221" ht="16.5" customHeight="1">
      <c r="A133" s="1"/>
      <c r="B133" s="3"/>
      <c r="C133" s="3"/>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9"/>
      <c r="BC133" s="29"/>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30"/>
      <c r="FL133" s="31"/>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row>
    <row r="134" spans="1:221" ht="16.5" customHeight="1">
      <c r="A134" s="1"/>
      <c r="B134" s="3"/>
      <c r="C134" s="3"/>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9"/>
      <c r="BC134" s="29"/>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30"/>
      <c r="FL134" s="31"/>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row>
    <row r="135" spans="1:221" ht="16.5" customHeight="1">
      <c r="A135" s="1"/>
      <c r="B135" s="3"/>
      <c r="C135" s="3"/>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9"/>
      <c r="BC135" s="29"/>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30"/>
      <c r="FL135" s="31"/>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row>
    <row r="136" spans="1:221" ht="22.8">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row>
    <row r="137" spans="1:221" ht="22.8">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row>
    <row r="138" spans="1:221" ht="22.8">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row>
    <row r="139" spans="1:221" ht="22.8">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row>
    <row r="140" spans="1:221" ht="22.8">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row>
    <row r="141" spans="1:221" ht="22.8">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row>
    <row r="142" spans="1:221" ht="22.8">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row>
    <row r="143" spans="1:221" ht="22.8">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row>
    <row r="144" spans="1:221" ht="22.8">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row>
    <row r="145" spans="1:221" ht="22.8">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c r="EJ145" s="32"/>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row>
    <row r="146" spans="1:221" ht="22.8">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row>
    <row r="147" spans="1:221" ht="22.8">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row>
    <row r="148" spans="1:221" ht="22.8">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row>
    <row r="149" spans="1:221" ht="22.8">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row>
    <row r="150" spans="1:221" ht="22.8">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row>
    <row r="151" spans="1:221" ht="22.8">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row>
    <row r="152" spans="1:221" ht="22.8">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row>
    <row r="153" spans="1:221" ht="22.8">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row>
    <row r="154" spans="1:221" ht="22.8">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c r="DN154" s="32"/>
      <c r="DO154" s="32"/>
      <c r="DP154" s="32"/>
      <c r="DQ154" s="32"/>
      <c r="DR154" s="32"/>
      <c r="DS154" s="32"/>
      <c r="DT154" s="32"/>
      <c r="DU154" s="32"/>
      <c r="DV154" s="32"/>
      <c r="DW154" s="32"/>
      <c r="DX154" s="32"/>
      <c r="DY154" s="32"/>
      <c r="DZ154" s="32"/>
      <c r="EA154" s="32"/>
      <c r="EB154" s="32"/>
      <c r="EC154" s="32"/>
      <c r="ED154" s="32"/>
      <c r="EE154" s="32"/>
      <c r="EF154" s="32"/>
      <c r="EG154" s="32"/>
      <c r="EH154" s="32"/>
      <c r="EI154" s="32"/>
      <c r="EJ154" s="32"/>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row>
    <row r="155" spans="1:221" ht="22.8">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c r="EC155" s="32"/>
      <c r="ED155" s="32"/>
      <c r="EE155" s="32"/>
      <c r="EF155" s="32"/>
      <c r="EG155" s="32"/>
      <c r="EH155" s="32"/>
      <c r="EI155" s="32"/>
      <c r="EJ155" s="32"/>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row>
    <row r="156" spans="1:221" ht="22.8">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row>
    <row r="157" spans="1:221" ht="22.8">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row>
    <row r="158" spans="1:221" ht="22.8">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row>
    <row r="159" spans="1:221" ht="22.8">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row>
    <row r="160" spans="1:221" ht="22.8">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row>
    <row r="161" spans="1:221" ht="22.8">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row>
    <row r="162" spans="1:221" ht="22.8">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row>
    <row r="163" spans="1:221" ht="22.8">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row>
  </sheetData>
  <sheetProtection password="C484" sheet="1" objects="1" scenarios="1"/>
  <mergeCells count="46">
    <mergeCell ref="EO3:FL3"/>
    <mergeCell ref="BC63:CD63"/>
    <mergeCell ref="BB56:CE56"/>
    <mergeCell ref="BC55:CD55"/>
    <mergeCell ref="BB58:CE58"/>
    <mergeCell ref="BC59:CD59"/>
    <mergeCell ref="BB60:CE60"/>
    <mergeCell ref="BB66:CE66"/>
    <mergeCell ref="BB64:CE64"/>
    <mergeCell ref="EO4:FK4"/>
    <mergeCell ref="BB54:CE54"/>
    <mergeCell ref="Q30:CC30"/>
    <mergeCell ref="BB62:CE62"/>
    <mergeCell ref="DZ29:EE29"/>
    <mergeCell ref="DY28:EF28"/>
    <mergeCell ref="DY30:EF30"/>
    <mergeCell ref="EO5:FL5"/>
    <mergeCell ref="BC67:CD67"/>
    <mergeCell ref="BB68:CE68"/>
    <mergeCell ref="X88:EA88"/>
    <mergeCell ref="Y89:DZ89"/>
    <mergeCell ref="X104:EA104"/>
    <mergeCell ref="D74:FL82"/>
    <mergeCell ref="X106:EA106"/>
    <mergeCell ref="X98:EA98"/>
    <mergeCell ref="Y85:DZ85"/>
    <mergeCell ref="X86:EA86"/>
    <mergeCell ref="X90:EA90"/>
    <mergeCell ref="X92:EA92"/>
    <mergeCell ref="Y105:DZ105"/>
    <mergeCell ref="X116:EA116"/>
    <mergeCell ref="Y117:DZ117"/>
    <mergeCell ref="X118:EA118"/>
    <mergeCell ref="R29:CB29"/>
    <mergeCell ref="Q28:CC28"/>
    <mergeCell ref="Y93:DZ93"/>
    <mergeCell ref="X94:EA94"/>
    <mergeCell ref="X96:EA96"/>
    <mergeCell ref="Y97:DZ97"/>
    <mergeCell ref="X84:EA84"/>
    <mergeCell ref="Y113:DZ113"/>
    <mergeCell ref="X114:EA114"/>
    <mergeCell ref="X108:EA108"/>
    <mergeCell ref="Y109:DZ109"/>
    <mergeCell ref="X110:EA110"/>
    <mergeCell ref="X112:EA112"/>
  </mergeCells>
  <conditionalFormatting sqref="FL124:FL135">
    <cfRule type="cellIs" dxfId="142" priority="992" stopIfTrue="1" operator="equal">
      <formula>"."</formula>
    </cfRule>
  </conditionalFormatting>
  <conditionalFormatting sqref="D11:FL123">
    <cfRule type="cellIs" dxfId="141" priority="812" stopIfTrue="1" operator="equal">
      <formula>";"</formula>
    </cfRule>
    <cfRule type="cellIs" dxfId="140" priority="982" stopIfTrue="1" operator="equal">
      <formula>"^"</formula>
    </cfRule>
    <cfRule type="cellIs" dxfId="139" priority="983" stopIfTrue="1" operator="equal">
      <formula>"!"</formula>
    </cfRule>
    <cfRule type="cellIs" dxfId="138" priority="984" stopIfTrue="1" operator="equal">
      <formula>"~"</formula>
    </cfRule>
    <cfRule type="cellIs" dxfId="137" priority="985" stopIfTrue="1" operator="equal">
      <formula>":"</formula>
    </cfRule>
    <cfRule type="cellIs" dxfId="136" priority="986" stopIfTrue="1" operator="equal">
      <formula>"`"</formula>
    </cfRule>
    <cfRule type="cellIs" dxfId="135" priority="987" operator="equal">
      <formula>"*"</formula>
    </cfRule>
    <cfRule type="cellIs" dxfId="134" priority="988" operator="equal">
      <formula>","</formula>
    </cfRule>
    <cfRule type="cellIs" dxfId="133" priority="989" stopIfTrue="1" operator="equal">
      <formula>"."</formula>
    </cfRule>
    <cfRule type="cellIs" dxfId="132" priority="990" stopIfTrue="1" operator="equal">
      <formula>"+"</formula>
    </cfRule>
    <cfRule type="cellIs" dxfId="131" priority="991" stopIfTrue="1" operator="equal">
      <formula>"-"</formula>
    </cfRule>
  </conditionalFormatting>
  <dataValidations count="5">
    <dataValidation type="list" allowBlank="1" showInputMessage="1" showErrorMessage="1" sqref="Y105:DZ105 Y117:DZ117 Y113:DZ113 Y109:DZ109">
      <formula1>$FO$105:$FQ$105</formula1>
    </dataValidation>
    <dataValidation type="list" allowBlank="1" showInputMessage="1" showErrorMessage="1" sqref="Y85:DZ85 Y97:DZ97 Y93:DZ93 Y89:DZ89">
      <formula1>$FO$85:$FR$85</formula1>
    </dataValidation>
    <dataValidation type="list" allowBlank="1" showInputMessage="1" showErrorMessage="1" sqref="BC59:BR59 BC55:CD55 BC63:BR63 BC67:BR67">
      <formula1>$FQ$55:$FW$55</formula1>
    </dataValidation>
    <dataValidation type="list" allowBlank="1" showInputMessage="1" showErrorMessage="1" sqref="R29:CB29">
      <formula1>$FO$29:$FQ$29</formula1>
    </dataValidation>
    <dataValidation type="list" allowBlank="1" showInputMessage="1" showErrorMessage="1" sqref="DZ29:EE29">
      <formula1>$FS$29:$FW$29</formula1>
    </dataValidation>
  </dataValidations>
  <pageMargins left="0.75" right="0.75" top="1" bottom="1" header="0.5" footer="0.5"/>
  <pageSetup paperSize="9" scale="70" orientation="portrait" horizontalDpi="200" verticalDpi="200" r:id="rId1"/>
  <headerFooter alignWithMargins="0">
    <oddFooter>&amp;C- &amp;P -</oddFooter>
  </headerFooter>
  <drawing r:id="rId2"/>
</worksheet>
</file>

<file path=xl/worksheets/sheet7.xml><?xml version="1.0" encoding="utf-8"?>
<worksheet xmlns="http://schemas.openxmlformats.org/spreadsheetml/2006/main" xmlns:r="http://schemas.openxmlformats.org/officeDocument/2006/relationships">
  <dimension ref="A1:HT382"/>
  <sheetViews>
    <sheetView showGridLines="0" zoomScaleNormal="100" workbookViewId="0">
      <selection activeCell="B1" sqref="B1"/>
    </sheetView>
  </sheetViews>
  <sheetFormatPr defaultRowHeight="13.2"/>
  <cols>
    <col min="1" max="1" width="0.6640625" customWidth="1"/>
    <col min="2" max="2" width="3.33203125" customWidth="1"/>
    <col min="3" max="167" width="0.6640625" customWidth="1"/>
    <col min="168" max="168" width="14.6640625" customWidth="1"/>
    <col min="169" max="170" width="6.109375" hidden="1" customWidth="1"/>
    <col min="171" max="171" width="7.44140625" hidden="1" customWidth="1"/>
    <col min="172" max="172" width="7.88671875" hidden="1" customWidth="1"/>
    <col min="173" max="173" width="6.6640625" hidden="1" customWidth="1"/>
    <col min="174" max="174" width="12.44140625" hidden="1" customWidth="1"/>
    <col min="175" max="175" width="10.88671875" hidden="1" customWidth="1"/>
    <col min="176" max="176" width="10.33203125" hidden="1" customWidth="1"/>
    <col min="177" max="177" width="10.6640625" hidden="1" customWidth="1"/>
    <col min="178" max="178" width="10" hidden="1" customWidth="1"/>
    <col min="179" max="180" width="9.109375" hidden="1" customWidth="1"/>
    <col min="181" max="182" width="9.109375" customWidth="1"/>
    <col min="183" max="183" width="23" customWidth="1"/>
    <col min="184" max="184" width="11.44140625" bestFit="1" customWidth="1"/>
    <col min="185" max="186" width="17" bestFit="1" customWidth="1"/>
    <col min="187" max="187" width="10" customWidth="1"/>
    <col min="188" max="188" width="11.44140625" customWidth="1"/>
    <col min="189" max="189" width="14.109375" bestFit="1" customWidth="1"/>
    <col min="190" max="190" width="10.88671875" bestFit="1" customWidth="1"/>
    <col min="191" max="191" width="14.88671875" bestFit="1" customWidth="1"/>
    <col min="192" max="192" width="11.44140625" bestFit="1" customWidth="1"/>
    <col min="193" max="193" width="12.88671875" bestFit="1" customWidth="1"/>
    <col min="194" max="194" width="12.6640625" bestFit="1" customWidth="1"/>
    <col min="195" max="195" width="12.5546875" bestFit="1" customWidth="1"/>
    <col min="196" max="196" width="9.88671875" customWidth="1"/>
    <col min="197" max="198" width="12.6640625" bestFit="1" customWidth="1"/>
    <col min="199" max="199" width="10.88671875" bestFit="1" customWidth="1"/>
    <col min="200" max="200" width="9.33203125" bestFit="1" customWidth="1"/>
    <col min="201" max="201" width="12.6640625" bestFit="1" customWidth="1"/>
    <col min="202" max="202" width="10" customWidth="1"/>
    <col min="203" max="203" width="12" bestFit="1" customWidth="1"/>
    <col min="204" max="204" width="9.33203125" bestFit="1" customWidth="1"/>
    <col min="205" max="205" width="12.6640625" bestFit="1" customWidth="1"/>
    <col min="206" max="206" width="14" bestFit="1" customWidth="1"/>
    <col min="207" max="207" width="9.5546875" bestFit="1" customWidth="1"/>
    <col min="208" max="208" width="13.33203125" bestFit="1" customWidth="1"/>
    <col min="209" max="210" width="9.33203125" bestFit="1" customWidth="1"/>
    <col min="211" max="211" width="11.109375" customWidth="1"/>
    <col min="212" max="213" width="9.33203125" bestFit="1" customWidth="1"/>
    <col min="214" max="214" width="12.6640625" bestFit="1" customWidth="1"/>
    <col min="215" max="215" width="10.88671875" bestFit="1" customWidth="1"/>
    <col min="216" max="216" width="9.33203125" bestFit="1" customWidth="1"/>
    <col min="217" max="217" width="14" bestFit="1" customWidth="1"/>
    <col min="218" max="219" width="9.33203125" bestFit="1" customWidth="1"/>
    <col min="220" max="220" width="10.88671875" bestFit="1" customWidth="1"/>
    <col min="221" max="221" width="9.33203125" bestFit="1" customWidth="1"/>
  </cols>
  <sheetData>
    <row r="1" spans="1:228" ht="24" customHeight="1">
      <c r="A1" s="1"/>
      <c r="B1" s="6"/>
      <c r="C1" s="4"/>
      <c r="D1" s="7" t="str">
        <f ca="1">IF(TODAY()&gt;=Blad1!$A$1,"Uw licentie is verlopen.","")</f>
        <v/>
      </c>
      <c r="E1" s="7"/>
      <c r="F1" s="7"/>
      <c r="G1" s="7"/>
      <c r="H1" s="7"/>
      <c r="I1" s="7"/>
      <c r="J1" s="7"/>
      <c r="K1" s="33"/>
      <c r="L1" s="33"/>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8"/>
      <c r="FL1" s="8"/>
      <c r="FM1" s="48" t="str">
        <f>IF(programma!$A$301="uitwerking","X","")</f>
        <v>X</v>
      </c>
      <c r="FN1" s="47">
        <f>programma!Q3</f>
        <v>1</v>
      </c>
      <c r="FO1" s="48">
        <f ca="1">IF(TODAY()&gt;=Blad1!A1,0,IF(AND(programma!E5="docentversie",programma!A300&lt;&gt;"goltsteindocentversie"),0,1))</f>
        <v>1</v>
      </c>
      <c r="FP1" s="48">
        <f ca="1">IF(programma!B1="X",1,IF(TODAY()&gt;=Blad1!$A$1,0,IF(OR(programma!Q3="",programma!N10="",programma!N12=""),0,1)))</f>
        <v>0</v>
      </c>
      <c r="FQ1" s="47"/>
      <c r="FR1" s="47"/>
      <c r="FS1" s="47"/>
      <c r="FT1" s="47"/>
      <c r="FU1" s="47"/>
      <c r="FV1" s="47"/>
      <c r="FW1" s="47"/>
      <c r="FX1" s="47"/>
      <c r="FY1" s="32"/>
      <c r="FZ1" s="32"/>
      <c r="GA1" s="32"/>
      <c r="GB1" s="32"/>
      <c r="GC1" s="32"/>
      <c r="GD1" s="32"/>
      <c r="GE1" s="32"/>
      <c r="GF1" s="32"/>
      <c r="GG1" s="32"/>
      <c r="GH1" s="32"/>
      <c r="GI1" s="32"/>
      <c r="GJ1" s="32"/>
      <c r="GK1" s="32"/>
      <c r="GL1" s="32"/>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row>
    <row r="2" spans="1:228" ht="5.25" customHeight="1">
      <c r="A2" s="1"/>
      <c r="B2" s="1"/>
      <c r="C2" s="1"/>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47"/>
      <c r="FN2" s="47"/>
      <c r="FO2" s="47"/>
      <c r="FP2" s="47"/>
      <c r="FQ2" s="47"/>
      <c r="FR2" s="47"/>
      <c r="FS2" s="47"/>
      <c r="FT2" s="47"/>
      <c r="FU2" s="47"/>
      <c r="FV2" s="47"/>
      <c r="FW2" s="47"/>
      <c r="FX2" s="47"/>
      <c r="FY2" s="32"/>
      <c r="FZ2" s="32"/>
      <c r="GA2" s="32"/>
      <c r="GB2" s="32"/>
      <c r="GC2" s="32"/>
      <c r="GD2" s="32"/>
      <c r="GE2" s="32"/>
      <c r="GF2" s="32"/>
      <c r="GG2" s="32"/>
      <c r="GH2" s="32"/>
      <c r="GI2" s="32"/>
      <c r="GJ2" s="32"/>
      <c r="GK2" s="32"/>
      <c r="GL2" s="32"/>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P2" s="13"/>
      <c r="HQ2" s="13"/>
      <c r="HR2" s="13"/>
      <c r="HS2" s="13"/>
      <c r="HT2" s="13"/>
    </row>
    <row r="3" spans="1:228" ht="20.25" customHeight="1">
      <c r="A3" s="1"/>
      <c r="B3" s="1"/>
      <c r="C3" s="1"/>
      <c r="D3" s="8" t="str">
        <f ca="1">IF(TODAY()&gt;=Blad1!$A$1,"Neem contact op met goltstein@hotmail.com",programma!E3)</f>
        <v>Module: Resultaat bij prijszetting</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7"/>
      <c r="BS3" s="7"/>
      <c r="BT3" s="7"/>
      <c r="BU3" s="7"/>
      <c r="BV3" s="7"/>
      <c r="BW3" s="7"/>
      <c r="BX3" s="7"/>
      <c r="BY3" s="7"/>
      <c r="BZ3" s="7"/>
      <c r="CA3" s="7"/>
      <c r="CB3" s="7"/>
      <c r="CC3" s="7"/>
      <c r="CD3" s="7"/>
      <c r="CE3" s="7"/>
      <c r="CF3" s="7"/>
      <c r="CG3" s="7"/>
      <c r="CH3" s="7"/>
      <c r="CI3" s="7"/>
      <c r="CJ3" s="7"/>
      <c r="CK3" s="7"/>
      <c r="CL3" s="7"/>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614" t="str">
        <f>"versienummer: "&amp;programma!Q3&amp;" "</f>
        <v xml:space="preserve">versienummer: 1 </v>
      </c>
      <c r="EP3" s="530"/>
      <c r="EQ3" s="530"/>
      <c r="ER3" s="530"/>
      <c r="ES3" s="530"/>
      <c r="ET3" s="530"/>
      <c r="EU3" s="530"/>
      <c r="EV3" s="530"/>
      <c r="EW3" s="530"/>
      <c r="EX3" s="530"/>
      <c r="EY3" s="530"/>
      <c r="EZ3" s="530"/>
      <c r="FA3" s="530"/>
      <c r="FB3" s="530"/>
      <c r="FC3" s="530"/>
      <c r="FD3" s="530"/>
      <c r="FE3" s="530"/>
      <c r="FF3" s="530"/>
      <c r="FG3" s="530"/>
      <c r="FH3" s="530"/>
      <c r="FI3" s="530"/>
      <c r="FJ3" s="530"/>
      <c r="FK3" s="530"/>
      <c r="FL3" s="530"/>
      <c r="FM3" s="47"/>
      <c r="FN3" s="47"/>
      <c r="FO3" s="47"/>
      <c r="FP3" s="47"/>
      <c r="FQ3" s="47"/>
      <c r="FR3" s="47"/>
      <c r="FS3" s="47"/>
      <c r="FT3" s="47"/>
      <c r="FU3" s="47"/>
      <c r="FV3" s="47"/>
      <c r="FW3" s="47"/>
      <c r="FX3" s="47"/>
      <c r="FY3" s="32"/>
      <c r="FZ3" s="32"/>
      <c r="GA3" s="32"/>
      <c r="GB3" s="32"/>
      <c r="GC3" s="32"/>
      <c r="GD3" s="32"/>
      <c r="GE3" s="32"/>
      <c r="GF3" s="32"/>
      <c r="GG3" s="32"/>
      <c r="GH3" s="32"/>
      <c r="GI3" s="32"/>
      <c r="GJ3" s="32"/>
      <c r="GK3" s="32"/>
      <c r="GL3" s="32"/>
      <c r="GM3" s="49"/>
      <c r="GN3" s="49"/>
      <c r="GO3" s="49"/>
      <c r="GP3" s="49"/>
      <c r="GQ3" s="49"/>
      <c r="GR3" s="49"/>
      <c r="GS3" s="49" t="e">
        <f t="shared" ref="GS3:GS9" ca="1" si="0">GS4*0.999</f>
        <v>#VALUE!</v>
      </c>
      <c r="GT3" s="49" t="e">
        <f t="shared" ref="GT3:GT10" ca="1" si="1">GZ$33*GS3^3+GZ$34*GS3^2+GZ$35*GS3+GZ$36</f>
        <v>#VALUE!</v>
      </c>
      <c r="GU3" s="49" t="e">
        <f ca="1">IF(AND(GT3&gt;=0,GT57&lt;0),GS3,0)</f>
        <v>#VALUE!</v>
      </c>
      <c r="GV3" s="49"/>
      <c r="GW3" s="49" t="e">
        <f t="shared" ref="GW3:GW8" ca="1" si="2">GW4*0.99</f>
        <v>#VALUE!</v>
      </c>
      <c r="GX3" s="49" t="e">
        <f t="shared" ref="GX3:GX10" ca="1" si="3">GZ$33*GW3^3+GZ$34*GW3^2+GZ$35*GW3+GZ$36</f>
        <v>#VALUE!</v>
      </c>
      <c r="GY3" s="49" t="e">
        <f ca="1">IF(AND(GX3&gt;=0,GX58&lt;0),GW3,0)</f>
        <v>#VALUE!</v>
      </c>
      <c r="GZ3" s="49"/>
      <c r="HA3" s="49"/>
      <c r="HB3" s="49" t="s">
        <v>76</v>
      </c>
      <c r="HC3" s="49"/>
      <c r="HD3" s="49"/>
      <c r="HE3" s="49"/>
      <c r="HF3" s="49"/>
      <c r="HG3" s="49"/>
      <c r="HH3" s="49"/>
      <c r="HI3" s="49"/>
      <c r="HJ3" s="49"/>
      <c r="HK3" s="49"/>
      <c r="HL3" s="49"/>
      <c r="HM3" s="49"/>
      <c r="HN3" s="49"/>
    </row>
    <row r="4" spans="1:228" ht="16.5" customHeight="1">
      <c r="A4" s="1"/>
      <c r="B4" s="1"/>
      <c r="C4" s="1"/>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7"/>
      <c r="BS4" s="7"/>
      <c r="BT4" s="7"/>
      <c r="BU4" s="7"/>
      <c r="BV4" s="7"/>
      <c r="BW4" s="7"/>
      <c r="BX4" s="7"/>
      <c r="BY4" s="7"/>
      <c r="BZ4" s="7"/>
      <c r="CA4" s="7"/>
      <c r="CB4" s="7"/>
      <c r="CC4" s="7"/>
      <c r="CD4" s="7"/>
      <c r="CE4" s="7"/>
      <c r="CF4" s="7"/>
      <c r="CG4" s="7"/>
      <c r="CH4" s="7"/>
      <c r="CI4" s="7"/>
      <c r="CJ4" s="7"/>
      <c r="CK4" s="7"/>
      <c r="CL4" s="7"/>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616"/>
      <c r="EP4" s="617"/>
      <c r="EQ4" s="617"/>
      <c r="ER4" s="617"/>
      <c r="ES4" s="617"/>
      <c r="ET4" s="617"/>
      <c r="EU4" s="617"/>
      <c r="EV4" s="617"/>
      <c r="EW4" s="617"/>
      <c r="EX4" s="617"/>
      <c r="EY4" s="617"/>
      <c r="EZ4" s="617"/>
      <c r="FA4" s="617"/>
      <c r="FB4" s="617"/>
      <c r="FC4" s="617"/>
      <c r="FD4" s="617"/>
      <c r="FE4" s="617"/>
      <c r="FF4" s="617"/>
      <c r="FG4" s="617"/>
      <c r="FH4" s="617"/>
      <c r="FI4" s="617"/>
      <c r="FJ4" s="617"/>
      <c r="FK4" s="522"/>
      <c r="FL4" s="7"/>
      <c r="FM4" s="47"/>
      <c r="FN4" s="47"/>
      <c r="FO4" s="47"/>
      <c r="FP4" s="47"/>
      <c r="FQ4" s="47"/>
      <c r="FR4" s="47"/>
      <c r="FS4" s="47"/>
      <c r="FT4" s="47"/>
      <c r="FU4" s="47"/>
      <c r="FV4" s="47"/>
      <c r="FW4" s="47"/>
      <c r="FX4" s="47"/>
      <c r="FY4" s="32"/>
      <c r="FZ4" s="32"/>
      <c r="GA4" s="32"/>
      <c r="GB4" s="32"/>
      <c r="GC4" s="32"/>
      <c r="GD4" s="32"/>
      <c r="GE4" s="32"/>
      <c r="GF4" s="32"/>
      <c r="GG4" s="32"/>
      <c r="GH4" s="32"/>
      <c r="GI4" s="32"/>
      <c r="GJ4" s="32"/>
      <c r="GK4" s="32"/>
      <c r="GL4" s="32"/>
      <c r="GM4" s="49"/>
      <c r="GN4" s="49"/>
      <c r="GO4" s="49"/>
      <c r="GP4" s="49"/>
      <c r="GQ4" s="49"/>
      <c r="GR4" s="49"/>
      <c r="GS4" s="49" t="e">
        <f t="shared" ca="1" si="0"/>
        <v>#VALUE!</v>
      </c>
      <c r="GT4" s="49" t="e">
        <f t="shared" ca="1" si="1"/>
        <v>#VALUE!</v>
      </c>
      <c r="GU4" s="49" t="e">
        <f ca="1">IF(AND(GT4&gt;=0,GT58&lt;0),GS4,0)</f>
        <v>#VALUE!</v>
      </c>
      <c r="GV4" s="49"/>
      <c r="GW4" s="49" t="e">
        <f t="shared" ca="1" si="2"/>
        <v>#VALUE!</v>
      </c>
      <c r="GX4" s="49" t="e">
        <f t="shared" ca="1" si="3"/>
        <v>#VALUE!</v>
      </c>
      <c r="GY4" s="49" t="e">
        <f t="shared" ref="GY4:GY10" ca="1" si="4">IF(AND(GX4&gt;=0,GX3&lt;0),GW4,0)</f>
        <v>#VALUE!</v>
      </c>
      <c r="GZ4" s="49"/>
      <c r="HA4" s="49"/>
      <c r="HB4" s="49" t="e">
        <f ca="1">HM57</f>
        <v>#VALUE!</v>
      </c>
      <c r="HC4" s="49" t="e">
        <f ca="1">GZ33*HB4^3+GZ34*HB4^2+GZ35*HB4+GZ36</f>
        <v>#VALUE!</v>
      </c>
      <c r="HD4" s="49"/>
      <c r="HE4" s="49" t="str">
        <f ca="1">GC37</f>
        <v/>
      </c>
      <c r="HF4" s="49" t="e">
        <f ca="1">GZ33*HE4^3+GZ34*HE4^2+GZ35*HE4+GZ36</f>
        <v>#VALUE!</v>
      </c>
      <c r="HG4" s="49"/>
      <c r="HH4" s="49" t="str">
        <f ca="1">GC53</f>
        <v/>
      </c>
      <c r="HI4" s="49" t="e">
        <f ca="1">GL40*HH4^3+GM40*HH4^2+GN40*HH4+GO40+GD58</f>
        <v>#VALUE!</v>
      </c>
      <c r="HJ4" s="49"/>
      <c r="HK4" s="49">
        <v>0</v>
      </c>
      <c r="HL4" s="49"/>
      <c r="HM4" s="49"/>
      <c r="HN4" s="49"/>
    </row>
    <row r="5" spans="1:228" ht="19.5" customHeight="1">
      <c r="A5" s="1"/>
      <c r="B5" s="1"/>
      <c r="C5" s="1"/>
      <c r="D5" s="34" t="str">
        <f>" Naam leerling: "&amp; programma!N10</f>
        <v xml:space="preserve"> Naam leerling: </v>
      </c>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7"/>
      <c r="BS5" s="7"/>
      <c r="BT5" s="7"/>
      <c r="BU5" s="7"/>
      <c r="BV5" s="7"/>
      <c r="BW5" s="7"/>
      <c r="BX5" s="7"/>
      <c r="BY5" s="7"/>
      <c r="BZ5" s="7"/>
      <c r="CA5" s="7"/>
      <c r="CB5" s="7"/>
      <c r="CC5" s="7"/>
      <c r="CD5" s="7"/>
      <c r="CE5" s="7"/>
      <c r="CF5" s="7"/>
      <c r="CG5" s="7"/>
      <c r="CH5" s="7"/>
      <c r="CI5" s="7"/>
      <c r="CJ5" s="7"/>
      <c r="CK5" s="7"/>
      <c r="CL5" s="7"/>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534" t="str">
        <f>programma!S5</f>
        <v>© 2021, Goltstein</v>
      </c>
      <c r="EP5" s="532"/>
      <c r="EQ5" s="532"/>
      <c r="ER5" s="532"/>
      <c r="ES5" s="532"/>
      <c r="ET5" s="532"/>
      <c r="EU5" s="532"/>
      <c r="EV5" s="532"/>
      <c r="EW5" s="532"/>
      <c r="EX5" s="532"/>
      <c r="EY5" s="532"/>
      <c r="EZ5" s="532"/>
      <c r="FA5" s="532"/>
      <c r="FB5" s="532"/>
      <c r="FC5" s="532"/>
      <c r="FD5" s="532"/>
      <c r="FE5" s="532"/>
      <c r="FF5" s="532"/>
      <c r="FG5" s="532"/>
      <c r="FH5" s="532"/>
      <c r="FI5" s="532"/>
      <c r="FJ5" s="532"/>
      <c r="FK5" s="532"/>
      <c r="FL5" s="532"/>
      <c r="FM5" s="47"/>
      <c r="FN5" s="47"/>
      <c r="FO5" s="47"/>
      <c r="FP5" s="47"/>
      <c r="FQ5" s="47"/>
      <c r="FR5" s="47"/>
      <c r="FS5" s="47"/>
      <c r="FT5" s="47"/>
      <c r="FU5" s="47"/>
      <c r="FV5" s="47"/>
      <c r="FW5" s="47"/>
      <c r="FX5" s="47"/>
      <c r="FY5" s="32"/>
      <c r="FZ5" s="32"/>
      <c r="GA5" s="32"/>
      <c r="GB5" s="32"/>
      <c r="GC5" s="32"/>
      <c r="GD5" s="32"/>
      <c r="GE5" s="32"/>
      <c r="GF5" s="32"/>
      <c r="GG5" s="32"/>
      <c r="GH5" s="32"/>
      <c r="GI5" s="32"/>
      <c r="GJ5" s="32"/>
      <c r="GK5" s="32"/>
      <c r="GL5" s="32"/>
      <c r="GM5" s="49"/>
      <c r="GN5" s="49"/>
      <c r="GO5" s="49"/>
      <c r="GP5" s="49"/>
      <c r="GQ5" s="49"/>
      <c r="GR5" s="49"/>
      <c r="GS5" s="49" t="e">
        <f t="shared" ca="1" si="0"/>
        <v>#VALUE!</v>
      </c>
      <c r="GT5" s="49" t="e">
        <f t="shared" ca="1" si="1"/>
        <v>#VALUE!</v>
      </c>
      <c r="GU5" s="49" t="e">
        <f t="shared" ref="GU5:GU10" ca="1" si="5">IF(AND(GT5&gt;=0,GT4&lt;0),GS5,0)</f>
        <v>#VALUE!</v>
      </c>
      <c r="GV5" s="49"/>
      <c r="GW5" s="49" t="e">
        <f t="shared" ca="1" si="2"/>
        <v>#VALUE!</v>
      </c>
      <c r="GX5" s="49" t="e">
        <f t="shared" ca="1" si="3"/>
        <v>#VALUE!</v>
      </c>
      <c r="GY5" s="49" t="e">
        <f t="shared" ca="1" si="4"/>
        <v>#VALUE!</v>
      </c>
      <c r="GZ5" s="49"/>
      <c r="HA5" s="49">
        <v>1</v>
      </c>
      <c r="HB5" s="49" t="e">
        <f ca="1">HB$4+$HA5*(HB$57-HB$4)/$HA56</f>
        <v>#VALUE!</v>
      </c>
      <c r="HC5" s="49" t="e">
        <f ca="1">GZ33*HB5^3+GZ34*HB5^2+GZ35*HB5+GZ36</f>
        <v>#VALUE!</v>
      </c>
      <c r="HD5" s="49" t="e">
        <f t="shared" ref="HD5:HD10" ca="1" si="6">IF(AND(HC5&gt;=0,HC4&lt;0),HB4-HC4/(HC5-HC4)*(HB5-HB4),0)</f>
        <v>#VALUE!</v>
      </c>
      <c r="HE5" s="49" t="e">
        <f ca="1">HE4+HA5*(HE57-HE4)/HA56</f>
        <v>#VALUE!</v>
      </c>
      <c r="HF5" s="49" t="e">
        <f ca="1">GZ33*HE5^3+GZ34*HE5^2+GZ35*HE5+GZ36</f>
        <v>#VALUE!</v>
      </c>
      <c r="HG5" s="49" t="e">
        <f t="shared" ref="HG5:HG10" ca="1" si="7">IF(AND(HF5&lt;0,HF4&gt;=0),HE4-HF4/(HF5-HF4)*(HE5-HE4),0)</f>
        <v>#VALUE!</v>
      </c>
      <c r="HH5" s="49" t="e">
        <f ca="1">HH4+HA5*(HH57-HH4)/HA56</f>
        <v>#VALUE!</v>
      </c>
      <c r="HI5" s="49" t="e">
        <f ca="1">GL40*HH5^3+GM40*HH5^2+GN40*HH5+GO40+GD58</f>
        <v>#VALUE!</v>
      </c>
      <c r="HJ5" s="49" t="e">
        <f t="shared" ref="HJ5:HJ10" ca="1" si="8">IF(AND(HI5&gt;=0,HI4&lt;0),HH4-HI4/(HI5-HI4)*(HH5-HH4),0)</f>
        <v>#VALUE!</v>
      </c>
      <c r="HK5" s="49" t="e">
        <f t="shared" ref="HK5:HK15" ca="1" si="9">HK$4+$HA5*(HK$57-HK$4)/$HA$56</f>
        <v>#VALUE!</v>
      </c>
      <c r="HL5" s="49" t="e">
        <f t="shared" ref="HL5:HL10" ca="1" si="10">GL$40*HK5^2+GM$40*HK5^1+GN$40+GO$40/HK5-1.1*GI$40</f>
        <v>#VALUE!</v>
      </c>
      <c r="HM5" s="49" t="e">
        <f t="shared" ref="HM5:HM10" ca="1" si="11">IF(AND(HL5&lt;0,HL4&gt;=0),HK4-HL4/(HL5-HL4)*(HK5-HK4),0)</f>
        <v>#VALUE!</v>
      </c>
      <c r="HN5" s="49"/>
    </row>
    <row r="6" spans="1:228" ht="19.5" customHeight="1">
      <c r="A6" s="1"/>
      <c r="B6" s="1"/>
      <c r="C6" s="1"/>
      <c r="D6" s="9" t="str">
        <f>" Klas: "&amp; programma!N12</f>
        <v xml:space="preserve"> Klas: </v>
      </c>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7"/>
      <c r="BS6" s="7"/>
      <c r="BT6" s="7"/>
      <c r="BU6" s="7"/>
      <c r="BV6" s="7"/>
      <c r="BW6" s="7"/>
      <c r="BX6" s="7"/>
      <c r="BY6" s="7"/>
      <c r="BZ6" s="7"/>
      <c r="CA6" s="7"/>
      <c r="CB6" s="7"/>
      <c r="CC6" s="7"/>
      <c r="CD6" s="7"/>
      <c r="CE6" s="7"/>
      <c r="CF6" s="7"/>
      <c r="CG6" s="7"/>
      <c r="CH6" s="7"/>
      <c r="CI6" s="7"/>
      <c r="CJ6" s="7"/>
      <c r="CK6" s="7"/>
      <c r="CL6" s="7"/>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7"/>
      <c r="EO6" s="9"/>
      <c r="EP6" s="9"/>
      <c r="EQ6" s="9"/>
      <c r="ER6" s="9"/>
      <c r="ES6" s="9"/>
      <c r="ET6" s="9"/>
      <c r="EU6" s="9"/>
      <c r="EV6" s="9"/>
      <c r="EW6" s="9"/>
      <c r="EX6" s="9"/>
      <c r="EY6" s="9"/>
      <c r="EZ6" s="9"/>
      <c r="FA6" s="9"/>
      <c r="FB6" s="9"/>
      <c r="FC6" s="9"/>
      <c r="FD6" s="9"/>
      <c r="FE6" s="9"/>
      <c r="FF6" s="9"/>
      <c r="FG6" s="9"/>
      <c r="FH6" s="9"/>
      <c r="FI6" s="9"/>
      <c r="FJ6" s="7"/>
      <c r="FK6" s="7"/>
      <c r="FL6" s="7"/>
      <c r="FM6" s="47"/>
      <c r="FN6" s="47"/>
      <c r="FO6" s="47"/>
      <c r="FP6" s="47"/>
      <c r="FQ6" s="47"/>
      <c r="FR6" s="47"/>
      <c r="FS6" s="47"/>
      <c r="FT6" s="47"/>
      <c r="FU6" s="47"/>
      <c r="FV6" s="47"/>
      <c r="FW6" s="47"/>
      <c r="FX6" s="47"/>
      <c r="FY6" s="32"/>
      <c r="FZ6" s="32"/>
      <c r="GA6" s="32"/>
      <c r="GB6" s="32"/>
      <c r="GC6" s="32"/>
      <c r="GD6" s="32"/>
      <c r="GE6" s="32"/>
      <c r="GF6" s="32"/>
      <c r="GG6" s="32"/>
      <c r="GH6" s="32"/>
      <c r="GI6" s="32"/>
      <c r="GJ6" s="32"/>
      <c r="GK6" s="32"/>
      <c r="GL6" s="32"/>
      <c r="GM6" s="49"/>
      <c r="GN6" s="49"/>
      <c r="GO6" s="49"/>
      <c r="GP6" s="49"/>
      <c r="GQ6" s="49"/>
      <c r="GR6" s="49"/>
      <c r="GS6" s="49" t="e">
        <f t="shared" ca="1" si="0"/>
        <v>#VALUE!</v>
      </c>
      <c r="GT6" s="49" t="e">
        <f t="shared" ca="1" si="1"/>
        <v>#VALUE!</v>
      </c>
      <c r="GU6" s="49" t="e">
        <f t="shared" ca="1" si="5"/>
        <v>#VALUE!</v>
      </c>
      <c r="GV6" s="49"/>
      <c r="GW6" s="49" t="e">
        <f t="shared" ca="1" si="2"/>
        <v>#VALUE!</v>
      </c>
      <c r="GX6" s="49" t="e">
        <f t="shared" ca="1" si="3"/>
        <v>#VALUE!</v>
      </c>
      <c r="GY6" s="49" t="e">
        <f t="shared" ca="1" si="4"/>
        <v>#VALUE!</v>
      </c>
      <c r="GZ6" s="49"/>
      <c r="HA6" s="49">
        <v>2</v>
      </c>
      <c r="HB6" s="49" t="e">
        <f ca="1">HB4+HA6*(HB57-HB4)/HA56</f>
        <v>#VALUE!</v>
      </c>
      <c r="HC6" s="49" t="e">
        <f ca="1">GZ33*HB6^3+GZ34*HB6^2+GZ35*HB6+GZ36</f>
        <v>#VALUE!</v>
      </c>
      <c r="HD6" s="49" t="e">
        <f t="shared" ca="1" si="6"/>
        <v>#VALUE!</v>
      </c>
      <c r="HE6" s="49" t="e">
        <f ca="1">HE4+HA6*(HE57-HE4)/HA56</f>
        <v>#VALUE!</v>
      </c>
      <c r="HF6" s="49" t="e">
        <f ca="1">GZ33*HE6^3+GZ34*HE6^2+GZ35*HE6+GZ36</f>
        <v>#VALUE!</v>
      </c>
      <c r="HG6" s="49" t="e">
        <f t="shared" ca="1" si="7"/>
        <v>#VALUE!</v>
      </c>
      <c r="HH6" s="49" t="e">
        <f ca="1">HH4+HA6*(HH57-HH4)/HA56</f>
        <v>#VALUE!</v>
      </c>
      <c r="HI6" s="49" t="e">
        <f ca="1">GL40*HH6^3+GM40*HH6^2+GN40*HH6+GO40+GD58</f>
        <v>#VALUE!</v>
      </c>
      <c r="HJ6" s="49" t="e">
        <f t="shared" ca="1" si="8"/>
        <v>#VALUE!</v>
      </c>
      <c r="HK6" s="49" t="e">
        <f t="shared" ca="1" si="9"/>
        <v>#VALUE!</v>
      </c>
      <c r="HL6" s="49" t="e">
        <f t="shared" ca="1" si="10"/>
        <v>#VALUE!</v>
      </c>
      <c r="HM6" s="49" t="e">
        <f t="shared" ca="1" si="11"/>
        <v>#VALUE!</v>
      </c>
      <c r="HN6" s="49"/>
    </row>
    <row r="7" spans="1:228" ht="12" customHeight="1">
      <c r="A7" s="1"/>
      <c r="B7" s="1"/>
      <c r="C7" s="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8"/>
      <c r="FL7" s="8"/>
      <c r="FM7" s="47"/>
      <c r="FN7" s="47"/>
      <c r="FO7" s="47"/>
      <c r="FP7" s="47"/>
      <c r="FQ7" s="47"/>
      <c r="FR7" s="47"/>
      <c r="FS7" s="47"/>
      <c r="FT7" s="47"/>
      <c r="FU7" s="47"/>
      <c r="FV7" s="47"/>
      <c r="FW7" s="47"/>
      <c r="FX7" s="47"/>
      <c r="FY7" s="32"/>
      <c r="FZ7" s="32"/>
      <c r="GA7" s="32"/>
      <c r="GB7" s="32"/>
      <c r="GC7" s="32"/>
      <c r="GD7" s="32"/>
      <c r="GE7" s="32"/>
      <c r="GF7" s="32"/>
      <c r="GG7" s="32"/>
      <c r="GH7" s="32"/>
      <c r="GI7" s="32"/>
      <c r="GJ7" s="32"/>
      <c r="GK7" s="32"/>
      <c r="GL7" s="32"/>
      <c r="GM7" s="49"/>
      <c r="GN7" s="49"/>
      <c r="GO7" s="49"/>
      <c r="GP7" s="49"/>
      <c r="GQ7" s="49"/>
      <c r="GR7" s="49"/>
      <c r="GS7" s="49" t="e">
        <f t="shared" ca="1" si="0"/>
        <v>#VALUE!</v>
      </c>
      <c r="GT7" s="49" t="e">
        <f t="shared" ca="1" si="1"/>
        <v>#VALUE!</v>
      </c>
      <c r="GU7" s="49" t="e">
        <f t="shared" ca="1" si="5"/>
        <v>#VALUE!</v>
      </c>
      <c r="GV7" s="49"/>
      <c r="GW7" s="49" t="e">
        <f t="shared" ca="1" si="2"/>
        <v>#VALUE!</v>
      </c>
      <c r="GX7" s="49" t="e">
        <f t="shared" ca="1" si="3"/>
        <v>#VALUE!</v>
      </c>
      <c r="GY7" s="49" t="e">
        <f t="shared" ca="1" si="4"/>
        <v>#VALUE!</v>
      </c>
      <c r="GZ7" s="49"/>
      <c r="HA7" s="49">
        <v>3</v>
      </c>
      <c r="HB7" s="49" t="e">
        <f ca="1">HB4+HA7*(HB57-HB4)/HA56</f>
        <v>#VALUE!</v>
      </c>
      <c r="HC7" s="49" t="e">
        <f ca="1">GZ33*HB7^3+GZ34*HB7^2+GZ35*HB7+GZ36</f>
        <v>#VALUE!</v>
      </c>
      <c r="HD7" s="49" t="e">
        <f t="shared" ca="1" si="6"/>
        <v>#VALUE!</v>
      </c>
      <c r="HE7" s="49" t="e">
        <f ca="1">HE4+HA7*(HE57-HE4)/HA56</f>
        <v>#VALUE!</v>
      </c>
      <c r="HF7" s="49" t="e">
        <f ca="1">GZ33*HE7^3+GZ34*HE7^2+GZ35*HE7+GZ36</f>
        <v>#VALUE!</v>
      </c>
      <c r="HG7" s="49" t="e">
        <f t="shared" ca="1" si="7"/>
        <v>#VALUE!</v>
      </c>
      <c r="HH7" s="49" t="e">
        <f ca="1">HH4+HA7*(HH57-HH4)/HA56</f>
        <v>#VALUE!</v>
      </c>
      <c r="HI7" s="49" t="e">
        <f ca="1">GL40*HH7^3+GM40*HH7^2+GN40*HH7+GO40+GD58</f>
        <v>#VALUE!</v>
      </c>
      <c r="HJ7" s="49" t="e">
        <f t="shared" ca="1" si="8"/>
        <v>#VALUE!</v>
      </c>
      <c r="HK7" s="49" t="e">
        <f t="shared" ca="1" si="9"/>
        <v>#VALUE!</v>
      </c>
      <c r="HL7" s="49" t="e">
        <f t="shared" ca="1" si="10"/>
        <v>#VALUE!</v>
      </c>
      <c r="HM7" s="49" t="e">
        <f t="shared" ca="1" si="11"/>
        <v>#VALUE!</v>
      </c>
      <c r="HN7" s="49"/>
    </row>
    <row r="8" spans="1:228" ht="7.5" customHeight="1">
      <c r="A8" s="1"/>
      <c r="B8" s="1"/>
      <c r="C8" s="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47"/>
      <c r="FN8" s="47"/>
      <c r="FO8" s="47"/>
      <c r="FP8" s="47"/>
      <c r="FQ8" s="47"/>
      <c r="FR8" s="47"/>
      <c r="FS8" s="47"/>
      <c r="FT8" s="47"/>
      <c r="FU8" s="47"/>
      <c r="FV8" s="47"/>
      <c r="FW8" s="47"/>
      <c r="FX8" s="47"/>
      <c r="FY8" s="32"/>
      <c r="FZ8" s="32"/>
      <c r="GA8" s="32"/>
      <c r="GB8" s="32"/>
      <c r="GC8" s="32"/>
      <c r="GD8" s="32"/>
      <c r="GE8" s="32"/>
      <c r="GF8" s="32"/>
      <c r="GG8" s="32"/>
      <c r="GH8" s="32"/>
      <c r="GI8" s="32"/>
      <c r="GJ8" s="32"/>
      <c r="GK8" s="32"/>
      <c r="GL8" s="32"/>
      <c r="GM8" s="49"/>
      <c r="GN8" s="49"/>
      <c r="GO8" s="49"/>
      <c r="GP8" s="49"/>
      <c r="GQ8" s="49"/>
      <c r="GR8" s="49"/>
      <c r="GS8" s="49" t="e">
        <f t="shared" ca="1" si="0"/>
        <v>#VALUE!</v>
      </c>
      <c r="GT8" s="49" t="e">
        <f t="shared" ca="1" si="1"/>
        <v>#VALUE!</v>
      </c>
      <c r="GU8" s="49" t="e">
        <f t="shared" ca="1" si="5"/>
        <v>#VALUE!</v>
      </c>
      <c r="GV8" s="49"/>
      <c r="GW8" s="49" t="e">
        <f t="shared" ca="1" si="2"/>
        <v>#VALUE!</v>
      </c>
      <c r="GX8" s="49" t="e">
        <f t="shared" ca="1" si="3"/>
        <v>#VALUE!</v>
      </c>
      <c r="GY8" s="49" t="e">
        <f t="shared" ca="1" si="4"/>
        <v>#VALUE!</v>
      </c>
      <c r="GZ8" s="49"/>
      <c r="HA8" s="49">
        <v>4</v>
      </c>
      <c r="HB8" s="49" t="e">
        <f ca="1">HB4+HA8*(HB57-HB4)/HA56</f>
        <v>#VALUE!</v>
      </c>
      <c r="HC8" s="49" t="e">
        <f ca="1">GZ33*HB8^3+GZ34*HB8^2+GZ35*HB8+GZ36</f>
        <v>#VALUE!</v>
      </c>
      <c r="HD8" s="49" t="e">
        <f t="shared" ca="1" si="6"/>
        <v>#VALUE!</v>
      </c>
      <c r="HE8" s="49" t="e">
        <f ca="1">HE4+HA8*(HE57-HE4)/HA56</f>
        <v>#VALUE!</v>
      </c>
      <c r="HF8" s="49" t="e">
        <f ca="1">GZ33*HE8^3+GZ34*HE8^2+GZ35*HE8+GZ36</f>
        <v>#VALUE!</v>
      </c>
      <c r="HG8" s="49" t="e">
        <f t="shared" ca="1" si="7"/>
        <v>#VALUE!</v>
      </c>
      <c r="HH8" s="49" t="e">
        <f ca="1">HH4+HA8*(HH57-HH4)/HA56</f>
        <v>#VALUE!</v>
      </c>
      <c r="HI8" s="49" t="e">
        <f ca="1">GL40*HH8^3+GM40*HH8^2+GN40*HH8+GO40+GD58</f>
        <v>#VALUE!</v>
      </c>
      <c r="HJ8" s="49" t="e">
        <f t="shared" ca="1" si="8"/>
        <v>#VALUE!</v>
      </c>
      <c r="HK8" s="49" t="e">
        <f t="shared" ca="1" si="9"/>
        <v>#VALUE!</v>
      </c>
      <c r="HL8" s="49" t="e">
        <f t="shared" ca="1" si="10"/>
        <v>#VALUE!</v>
      </c>
      <c r="HM8" s="49" t="e">
        <f t="shared" ca="1" si="11"/>
        <v>#VALUE!</v>
      </c>
      <c r="HN8" s="49"/>
    </row>
    <row r="9" spans="1:228" ht="21" customHeight="1">
      <c r="A9" s="1"/>
      <c r="B9" s="1"/>
      <c r="C9" s="1"/>
      <c r="D9" s="2" t="str">
        <f ca="1">IF(TODAY()&gt;=Blad1!$A$1,"","Pas als je een opdracht goed hebt beantwoord, verschijnt het volgende. Wil je terug naar het programma, klik dan op de paarse knop hierboven.")</f>
        <v>Pas als je een opdracht goed hebt beantwoord, verschijnt het volgende. Wil je terug naar het programma, klik dan op de paarse knop hierboven.</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47"/>
      <c r="FN9" s="47"/>
      <c r="FO9" s="47"/>
      <c r="FP9" s="47" t="str">
        <f>IF(FO9=1,1.25,IF(FO9=2,4,IF(FO9=3,2.25,IF(FO9=4,0.75,IF(FO9=5,2.5,IF(FO9=6,0.5,IF(FO9=7,1,IF(FO9=8,3,""))))))))</f>
        <v/>
      </c>
      <c r="FQ9" s="47"/>
      <c r="FR9" s="47"/>
      <c r="FS9" s="47"/>
      <c r="FT9" s="47"/>
      <c r="FU9" s="47"/>
      <c r="FV9" s="47"/>
      <c r="FW9" s="47"/>
      <c r="FX9" s="47"/>
      <c r="FY9" s="32"/>
      <c r="FZ9" s="32"/>
      <c r="GA9" s="32"/>
      <c r="GB9" s="32"/>
      <c r="GC9" s="32"/>
      <c r="GD9" s="32"/>
      <c r="GE9" s="32"/>
      <c r="GF9" s="32"/>
      <c r="GG9" s="32"/>
      <c r="GH9" s="32"/>
      <c r="GI9" s="32"/>
      <c r="GJ9" s="32"/>
      <c r="GK9" s="32"/>
      <c r="GL9" s="32"/>
      <c r="GM9" s="49"/>
      <c r="GN9" s="49"/>
      <c r="GO9" s="49"/>
      <c r="GP9" s="49"/>
      <c r="GQ9" s="49"/>
      <c r="GR9" s="49"/>
      <c r="GS9" s="49" t="e">
        <f t="shared" ca="1" si="0"/>
        <v>#VALUE!</v>
      </c>
      <c r="GT9" s="49" t="e">
        <f t="shared" ca="1" si="1"/>
        <v>#VALUE!</v>
      </c>
      <c r="GU9" s="49" t="e">
        <f t="shared" ca="1" si="5"/>
        <v>#VALUE!</v>
      </c>
      <c r="GV9" s="49"/>
      <c r="GW9" s="49" t="e">
        <f ca="1">ROUND(HD$57,0)</f>
        <v>#VALUE!</v>
      </c>
      <c r="GX9" s="49" t="e">
        <f t="shared" ca="1" si="3"/>
        <v>#VALUE!</v>
      </c>
      <c r="GY9" s="49" t="e">
        <f t="shared" ca="1" si="4"/>
        <v>#VALUE!</v>
      </c>
      <c r="GZ9" s="49"/>
      <c r="HA9" s="49">
        <v>5</v>
      </c>
      <c r="HB9" s="49" t="e">
        <f ca="1">HB4+HA9*(HB57-HB4)/HA56</f>
        <v>#VALUE!</v>
      </c>
      <c r="HC9" s="49" t="e">
        <f ca="1">GZ33*HB9^3+GZ34*HB9^2+GZ35*HB9+GZ36</f>
        <v>#VALUE!</v>
      </c>
      <c r="HD9" s="49" t="e">
        <f t="shared" ca="1" si="6"/>
        <v>#VALUE!</v>
      </c>
      <c r="HE9" s="49" t="e">
        <f ca="1">HE4+HA9*(HE57-HE4)/HA56</f>
        <v>#VALUE!</v>
      </c>
      <c r="HF9" s="49" t="e">
        <f ca="1">GZ33*HE9^3+GZ34*HE9^2+GZ35*HE9+GZ36</f>
        <v>#VALUE!</v>
      </c>
      <c r="HG9" s="49" t="e">
        <f t="shared" ca="1" si="7"/>
        <v>#VALUE!</v>
      </c>
      <c r="HH9" s="49" t="e">
        <f ca="1">HH4+HA9*(HH57-HH4)/HA56</f>
        <v>#VALUE!</v>
      </c>
      <c r="HI9" s="49" t="e">
        <f ca="1">GL40*HH9^3+GM40*HH9^2+GN40*HH9+GO40+GD58</f>
        <v>#VALUE!</v>
      </c>
      <c r="HJ9" s="49" t="e">
        <f t="shared" ca="1" si="8"/>
        <v>#VALUE!</v>
      </c>
      <c r="HK9" s="49" t="e">
        <f t="shared" ca="1" si="9"/>
        <v>#VALUE!</v>
      </c>
      <c r="HL9" s="49" t="e">
        <f t="shared" ca="1" si="10"/>
        <v>#VALUE!</v>
      </c>
      <c r="HM9" s="49" t="e">
        <f t="shared" ca="1" si="11"/>
        <v>#VALUE!</v>
      </c>
      <c r="HN9" s="49"/>
    </row>
    <row r="10" spans="1:228" ht="16.5" customHeight="1">
      <c r="A10" s="1"/>
      <c r="B10" s="1"/>
      <c r="C10" s="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47"/>
      <c r="FN10" s="47"/>
      <c r="FO10" s="47"/>
      <c r="FP10" s="47"/>
      <c r="FQ10" s="47"/>
      <c r="FR10" s="47"/>
      <c r="FS10" s="47"/>
      <c r="FT10" s="47"/>
      <c r="FU10" s="47"/>
      <c r="FV10" s="47"/>
      <c r="FW10" s="47"/>
      <c r="FX10" s="47"/>
      <c r="FY10" s="32"/>
      <c r="FZ10" s="32"/>
      <c r="GA10" s="32"/>
      <c r="GB10" s="32"/>
      <c r="GC10" s="32"/>
      <c r="GD10" s="32"/>
      <c r="GE10" s="32"/>
      <c r="GF10" s="32"/>
      <c r="GG10" s="32"/>
      <c r="GH10" s="32"/>
      <c r="GI10" s="32"/>
      <c r="GJ10" s="32"/>
      <c r="GK10" s="32"/>
      <c r="GL10" s="32"/>
      <c r="GM10" s="49"/>
      <c r="GN10" s="49"/>
      <c r="GO10" s="49"/>
      <c r="GP10" s="49"/>
      <c r="GQ10" s="49"/>
      <c r="GR10" s="49"/>
      <c r="GS10" s="49" t="e">
        <f ca="1">MAX(GY22:GY29)</f>
        <v>#VALUE!</v>
      </c>
      <c r="GT10" s="49" t="e">
        <f t="shared" ca="1" si="1"/>
        <v>#VALUE!</v>
      </c>
      <c r="GU10" s="49" t="e">
        <f t="shared" ca="1" si="5"/>
        <v>#VALUE!</v>
      </c>
      <c r="GV10" s="49"/>
      <c r="GW10" s="49" t="e">
        <f ca="1">GW9*1.01</f>
        <v>#VALUE!</v>
      </c>
      <c r="GX10" s="49" t="e">
        <f t="shared" ca="1" si="3"/>
        <v>#VALUE!</v>
      </c>
      <c r="GY10" s="49" t="e">
        <f t="shared" ca="1" si="4"/>
        <v>#VALUE!</v>
      </c>
      <c r="GZ10" s="49"/>
      <c r="HA10" s="49">
        <v>6</v>
      </c>
      <c r="HB10" s="49" t="e">
        <f ca="1">HB4+HA10*(HB57-HB4)/HA56</f>
        <v>#VALUE!</v>
      </c>
      <c r="HC10" s="49" t="e">
        <f ca="1">GZ33*HB10^3+GZ34*HB10^2+GZ35*HB10+GZ36</f>
        <v>#VALUE!</v>
      </c>
      <c r="HD10" s="49" t="e">
        <f t="shared" ca="1" si="6"/>
        <v>#VALUE!</v>
      </c>
      <c r="HE10" s="49" t="e">
        <f ca="1">HE4+HA10*(HE57-HE4)/HA56</f>
        <v>#VALUE!</v>
      </c>
      <c r="HF10" s="49" t="e">
        <f ca="1">GZ33*HE10^3+GZ34*HE10^2+GZ35*HE10+GZ36</f>
        <v>#VALUE!</v>
      </c>
      <c r="HG10" s="49" t="e">
        <f t="shared" ca="1" si="7"/>
        <v>#VALUE!</v>
      </c>
      <c r="HH10" s="49" t="e">
        <f ca="1">HH4+HA10*(HH57-HH4)/HA56</f>
        <v>#VALUE!</v>
      </c>
      <c r="HI10" s="49" t="e">
        <f ca="1">GL40*HH10^3+GM40*HH10^2+GN40*HH10+GO40+GD58</f>
        <v>#VALUE!</v>
      </c>
      <c r="HJ10" s="49" t="e">
        <f t="shared" ca="1" si="8"/>
        <v>#VALUE!</v>
      </c>
      <c r="HK10" s="49" t="e">
        <f t="shared" ca="1" si="9"/>
        <v>#VALUE!</v>
      </c>
      <c r="HL10" s="49" t="e">
        <f t="shared" ca="1" si="10"/>
        <v>#VALUE!</v>
      </c>
      <c r="HM10" s="49" t="e">
        <f t="shared" ca="1" si="11"/>
        <v>#VALUE!</v>
      </c>
      <c r="HN10" s="49"/>
    </row>
    <row r="11" spans="1:228" ht="16.5" customHeight="1">
      <c r="A11" s="1"/>
      <c r="B11" s="3"/>
      <c r="C11" s="3"/>
      <c r="D11" s="225"/>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26"/>
      <c r="FL11" s="26"/>
      <c r="FM11" s="47"/>
      <c r="FN11" s="47"/>
      <c r="FO11" s="47"/>
      <c r="FP11" s="47"/>
      <c r="FQ11" s="47"/>
      <c r="FR11" s="47"/>
      <c r="FS11" s="47"/>
      <c r="FT11" s="47"/>
      <c r="FU11" s="47"/>
      <c r="FV11" s="47"/>
      <c r="FW11" s="47"/>
      <c r="FX11" s="47"/>
      <c r="FY11" s="32"/>
      <c r="FZ11" s="32"/>
      <c r="GA11" s="32"/>
      <c r="GB11" s="32"/>
      <c r="GC11" s="32"/>
      <c r="GD11" s="32"/>
      <c r="GE11" s="32"/>
      <c r="GF11" s="32"/>
      <c r="GG11" s="32"/>
      <c r="GH11" s="32"/>
      <c r="GI11" s="32"/>
      <c r="GJ11" s="32"/>
      <c r="GK11" s="32"/>
      <c r="GL11" s="32"/>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t="e">
        <f t="shared" ca="1" si="9"/>
        <v>#VALUE!</v>
      </c>
      <c r="HL11" s="49"/>
      <c r="HM11" s="49"/>
      <c r="HN11" s="49"/>
    </row>
    <row r="12" spans="1:228" ht="10.5" customHeight="1">
      <c r="A12" s="1"/>
      <c r="B12" s="3"/>
      <c r="C12" s="3"/>
      <c r="D12" s="126"/>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26"/>
      <c r="FL12" s="26"/>
      <c r="FM12" s="47"/>
      <c r="FN12" s="47"/>
      <c r="FO12" s="47"/>
      <c r="FP12" s="47"/>
      <c r="FQ12" s="47"/>
      <c r="FR12" s="47"/>
      <c r="FS12" s="47"/>
      <c r="FT12" s="47"/>
      <c r="FU12" s="47"/>
      <c r="FV12" s="47"/>
      <c r="FW12" s="47"/>
      <c r="FX12" s="47"/>
      <c r="FY12" s="32"/>
      <c r="FZ12" s="32"/>
      <c r="GA12" s="32"/>
      <c r="GB12" s="32"/>
      <c r="GC12" s="32"/>
      <c r="GD12" s="32"/>
      <c r="GE12" s="32"/>
      <c r="GF12" s="32"/>
      <c r="GG12" s="32"/>
      <c r="GH12" s="32"/>
      <c r="GI12" s="32"/>
      <c r="GJ12" s="32"/>
      <c r="GK12" s="32"/>
      <c r="GL12" s="32"/>
      <c r="GM12" s="49"/>
      <c r="GN12" s="49"/>
      <c r="GO12" s="49"/>
      <c r="GP12" s="49"/>
      <c r="GQ12" s="49"/>
      <c r="GR12" s="49"/>
      <c r="GS12" s="49" t="e">
        <f ca="1">GS10*1.001</f>
        <v>#VALUE!</v>
      </c>
      <c r="GT12" s="49" t="e">
        <f ca="1">GZ$33*GS12^3+GZ$34*GS12^2+GZ$35*GS12+GZ$36</f>
        <v>#VALUE!</v>
      </c>
      <c r="GU12" s="49" t="e">
        <f ca="1">IF(AND(GT12&gt;=0,GT10&lt;0),GS12,0)</f>
        <v>#VALUE!</v>
      </c>
      <c r="GV12" s="49"/>
      <c r="GW12" s="49" t="e">
        <f ca="1">GW10*1.01</f>
        <v>#VALUE!</v>
      </c>
      <c r="GX12" s="49" t="e">
        <f ca="1">GZ$33*GW12^3+GZ$34*GW12^2+GZ$35*GW12+GZ$36</f>
        <v>#VALUE!</v>
      </c>
      <c r="GY12" s="49" t="e">
        <f ca="1">IF(AND(GX12&gt;=0,GX10&lt;0),GW12,0)</f>
        <v>#VALUE!</v>
      </c>
      <c r="GZ12" s="49"/>
      <c r="HA12" s="49">
        <v>7</v>
      </c>
      <c r="HB12" s="49" t="e">
        <f ca="1">HB4+HA12*(HB57-HB4)/HA56</f>
        <v>#VALUE!</v>
      </c>
      <c r="HC12" s="49" t="e">
        <f ca="1">GZ33*HB12^3+GZ34*HB12^2+GZ35*HB12+GZ36</f>
        <v>#VALUE!</v>
      </c>
      <c r="HD12" s="49" t="e">
        <f ca="1">IF(AND(HC12&gt;=0,HC10&lt;0),HB10-HC10/(HC12-HC10)*(HB12-HB10),0)</f>
        <v>#VALUE!</v>
      </c>
      <c r="HE12" s="49" t="e">
        <f ca="1">HE4+HA12*(HE57-HE4)/HA56</f>
        <v>#VALUE!</v>
      </c>
      <c r="HF12" s="49" t="e">
        <f ca="1">GZ33*HE12^3+GZ34*HE12^2+GZ35*HE12+GZ36</f>
        <v>#VALUE!</v>
      </c>
      <c r="HG12" s="49" t="e">
        <f ca="1">IF(AND(HF12&lt;0,HF10&gt;=0),HE10-HF10/(HF12-HF10)*(HE12-HE10),0)</f>
        <v>#VALUE!</v>
      </c>
      <c r="HH12" s="49" t="e">
        <f ca="1">HH4+HA12*(HH57-HH4)/HA56</f>
        <v>#VALUE!</v>
      </c>
      <c r="HI12" s="49" t="e">
        <f ca="1">GL40*HH12^3+GM40*HH12^2+GN40*HH12+GO40+GD58</f>
        <v>#VALUE!</v>
      </c>
      <c r="HJ12" s="49" t="e">
        <f ca="1">IF(AND(HI12&gt;=0,HI10&lt;0),HH10-HI10/(HI12-HI10)*(HH12-HH10),0)</f>
        <v>#VALUE!</v>
      </c>
      <c r="HK12" s="49" t="e">
        <f t="shared" ca="1" si="9"/>
        <v>#VALUE!</v>
      </c>
      <c r="HL12" s="49" t="e">
        <f ca="1">GL$40*HK12^2+GM$40*HK12^1+GN$40+GO$40/HK12-1.1*GI$40</f>
        <v>#VALUE!</v>
      </c>
      <c r="HM12" s="49" t="e">
        <f ca="1">IF(AND(HL12&lt;0,HL10&gt;=0),HK10-HL10/(HL12-HL10)*(HK12-HK10),0)</f>
        <v>#VALUE!</v>
      </c>
      <c r="HN12" s="49"/>
    </row>
    <row r="13" spans="1:228" ht="21.6" customHeight="1">
      <c r="A13" s="1"/>
      <c r="B13" s="3"/>
      <c r="C13" s="3"/>
      <c r="D13" s="129" t="str">
        <f ca="1">IF(FP1=0,"","Berekening maximale winst")</f>
        <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36"/>
      <c r="FL13" s="26"/>
      <c r="FM13" s="47"/>
      <c r="FN13" s="47"/>
      <c r="FO13" s="47"/>
      <c r="FP13" s="47"/>
      <c r="FQ13" s="47"/>
      <c r="FR13" s="47"/>
      <c r="FS13" s="47"/>
      <c r="FT13" s="47"/>
      <c r="FU13" s="47"/>
      <c r="FV13" s="47"/>
      <c r="FW13" s="47"/>
      <c r="FX13" s="47"/>
      <c r="FY13" s="32"/>
      <c r="FZ13" s="32"/>
      <c r="GA13" s="32"/>
      <c r="GB13" s="32"/>
      <c r="GC13" s="32"/>
      <c r="GD13" s="32"/>
      <c r="GE13" s="32"/>
      <c r="GF13" s="32"/>
      <c r="GG13" s="32"/>
      <c r="GH13" s="32"/>
      <c r="GI13" s="32"/>
      <c r="GJ13" s="32"/>
      <c r="GK13" s="32"/>
      <c r="GL13" s="32"/>
      <c r="GM13" s="49"/>
      <c r="GN13" s="49"/>
      <c r="GO13" s="49"/>
      <c r="GP13" s="49"/>
      <c r="GQ13" s="49"/>
      <c r="GR13" s="49"/>
      <c r="GS13" s="49"/>
      <c r="GT13" s="49"/>
      <c r="GU13" s="49"/>
      <c r="GV13" s="49"/>
      <c r="GW13" s="49" t="e">
        <f ca="1">GW12*1.01</f>
        <v>#VALUE!</v>
      </c>
      <c r="GX13" s="49" t="e">
        <f ca="1">GZ$33*GW13^3+GZ$34*GW13^2+GZ$35*GW13+GZ$36</f>
        <v>#VALUE!</v>
      </c>
      <c r="GY13" s="49" t="e">
        <f ca="1">IF(AND(GX13&gt;=0,GX12&lt;0),GW13,0)</f>
        <v>#VALUE!</v>
      </c>
      <c r="GZ13" s="49"/>
      <c r="HA13" s="49">
        <v>8</v>
      </c>
      <c r="HB13" s="49" t="e">
        <f ca="1">HB4+HA13*(HB57-HB4)/HA56</f>
        <v>#VALUE!</v>
      </c>
      <c r="HC13" s="49" t="e">
        <f ca="1">GZ33*HB13^3+GZ34*HB13^2+GZ35*HB13+GZ36</f>
        <v>#VALUE!</v>
      </c>
      <c r="HD13" s="49" t="e">
        <f t="shared" ref="HD13:HD56" ca="1" si="12">IF(AND(HC13&gt;=0,HC12&lt;0),HB12-HC12/(HC13-HC12)*(HB13-HB12),0)</f>
        <v>#VALUE!</v>
      </c>
      <c r="HE13" s="49" t="e">
        <f ca="1">HE4+HA13*(HE57-HE4)/HA56</f>
        <v>#VALUE!</v>
      </c>
      <c r="HF13" s="49" t="e">
        <f ca="1">GZ33*HE13^3+GZ34*HE13^2+GZ35*HE13+GZ36</f>
        <v>#VALUE!</v>
      </c>
      <c r="HG13" s="49" t="e">
        <f t="shared" ref="HG13:HG56" ca="1" si="13">IF(AND(HF13&lt;0,HF12&gt;=0),HE12-HF12/(HF13-HF12)*(HE13-HE12),0)</f>
        <v>#VALUE!</v>
      </c>
      <c r="HH13" s="49" t="e">
        <f ca="1">HH4+HA13*(HH57-HH4)/HA56</f>
        <v>#VALUE!</v>
      </c>
      <c r="HI13" s="49" t="e">
        <f ca="1">GL40*HH13^3+GM40*HH13^2+GN40*HH13+GO40+GD58</f>
        <v>#VALUE!</v>
      </c>
      <c r="HJ13" s="49" t="e">
        <f t="shared" ref="HJ13:HJ56" ca="1" si="14">IF(AND(HI13&gt;=0,HI12&lt;0),HH12-HI12/(HI13-HI12)*(HH13-HH12),0)</f>
        <v>#VALUE!</v>
      </c>
      <c r="HK13" s="49" t="e">
        <f t="shared" ca="1" si="9"/>
        <v>#VALUE!</v>
      </c>
      <c r="HL13" s="49" t="e">
        <f ca="1">GL$40*HK13^2+GM$40*HK13^1+GN$40+GO$40/HK13-1.1*GI$40</f>
        <v>#VALUE!</v>
      </c>
      <c r="HM13" s="49" t="e">
        <f t="shared" ref="HM13:HM56" ca="1" si="15">IF(AND(HL13&lt;0,HL12&gt;=0),HK12-HL12/(HL13-HL12)*(HK13-HK12),0)</f>
        <v>#VALUE!</v>
      </c>
      <c r="HN13" s="49"/>
    </row>
    <row r="14" spans="1:228" ht="16.5" customHeight="1">
      <c r="A14" s="1"/>
      <c r="B14" s="3"/>
      <c r="C14" s="3"/>
      <c r="D14" s="38"/>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25"/>
      <c r="AY14" s="26"/>
      <c r="AZ14" s="41"/>
      <c r="BA14" s="41"/>
      <c r="BB14" s="41"/>
      <c r="BC14" s="41"/>
      <c r="BD14" s="42"/>
      <c r="BE14" s="41"/>
      <c r="BF14" s="41"/>
      <c r="BG14" s="41"/>
      <c r="BH14" s="41"/>
      <c r="BI14" s="41"/>
      <c r="BJ14" s="41"/>
      <c r="BK14" s="42"/>
      <c r="BL14" s="41"/>
      <c r="BM14" s="41"/>
      <c r="BN14" s="41"/>
      <c r="BO14" s="41"/>
      <c r="BP14" s="41"/>
      <c r="BQ14" s="41"/>
      <c r="BR14" s="80"/>
      <c r="BS14" s="79"/>
      <c r="BT14" s="79"/>
      <c r="BU14" s="79"/>
      <c r="BV14" s="79"/>
      <c r="BW14" s="79"/>
      <c r="BX14" s="79"/>
      <c r="BY14" s="79"/>
      <c r="BZ14" s="80"/>
      <c r="CA14" s="80"/>
      <c r="CB14" s="80"/>
      <c r="CC14" s="80"/>
      <c r="CD14" s="80"/>
      <c r="CE14" s="80"/>
      <c r="CF14" s="80"/>
      <c r="CG14" s="80"/>
      <c r="CH14" s="80"/>
      <c r="CI14" s="80"/>
      <c r="CJ14" s="80"/>
      <c r="CK14" s="80"/>
      <c r="CL14" s="80"/>
      <c r="CM14" s="80"/>
      <c r="CN14" s="80"/>
      <c r="CO14" s="80"/>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c r="EA14" s="79"/>
      <c r="EB14" s="79"/>
      <c r="EC14" s="79"/>
      <c r="ED14" s="79"/>
      <c r="EE14" s="79"/>
      <c r="EF14" s="79"/>
      <c r="EG14" s="79"/>
      <c r="EH14" s="79"/>
      <c r="EI14" s="79"/>
      <c r="EJ14" s="79"/>
      <c r="EK14" s="79"/>
      <c r="EL14" s="79"/>
      <c r="EM14" s="79"/>
      <c r="EN14" s="79"/>
      <c r="EO14" s="79"/>
      <c r="EP14" s="79"/>
      <c r="EQ14" s="79"/>
      <c r="ER14" s="79"/>
      <c r="ES14" s="79"/>
      <c r="ET14" s="79"/>
      <c r="EU14" s="79"/>
      <c r="EV14" s="79"/>
      <c r="EW14" s="79"/>
      <c r="EX14" s="79"/>
      <c r="EY14" s="79"/>
      <c r="EZ14" s="79"/>
      <c r="FA14" s="79"/>
      <c r="FB14" s="79"/>
      <c r="FC14" s="79"/>
      <c r="FD14" s="79"/>
      <c r="FE14" s="79"/>
      <c r="FF14" s="79"/>
      <c r="FG14" s="79"/>
      <c r="FH14" s="79"/>
      <c r="FI14" s="79"/>
      <c r="FJ14" s="79"/>
      <c r="FK14" s="79"/>
      <c r="FL14" s="79"/>
      <c r="FM14" s="123"/>
      <c r="FN14" s="123"/>
      <c r="FO14" s="47"/>
      <c r="FP14" s="47"/>
      <c r="FQ14" s="47"/>
      <c r="FR14" s="47"/>
      <c r="FS14" s="47"/>
      <c r="FT14" s="47"/>
      <c r="FU14" s="47"/>
      <c r="FV14" s="47"/>
      <c r="FW14" s="47"/>
      <c r="FX14" s="47"/>
      <c r="FY14" s="32"/>
      <c r="FZ14" s="32"/>
      <c r="GA14" s="32"/>
      <c r="GB14" s="32"/>
      <c r="GC14" s="32"/>
      <c r="GD14" s="32"/>
      <c r="GE14" s="32"/>
      <c r="GF14" s="32"/>
      <c r="GG14" s="32"/>
      <c r="GH14" s="32"/>
      <c r="GI14" s="32"/>
      <c r="GJ14" s="32"/>
      <c r="GK14" s="32"/>
      <c r="GL14" s="32"/>
      <c r="GM14" s="49"/>
      <c r="GN14" s="49"/>
      <c r="GO14" s="49"/>
      <c r="GP14" s="49"/>
      <c r="GQ14" s="49"/>
      <c r="GR14" s="49"/>
      <c r="GS14" s="49" t="e">
        <f ca="1">GS15*0.9995</f>
        <v>#VALUE!</v>
      </c>
      <c r="GT14" s="49" t="e">
        <f ca="1">GZ$33*GS14^3+GZ$34*GS14^2+GZ$35*GS14+GZ$36</f>
        <v>#VALUE!</v>
      </c>
      <c r="GU14" s="49" t="e">
        <f t="shared" ref="GU14:GU27" ca="1" si="16">IF(AND(GT14&gt;=0,GT13&lt;0),GS14,0)</f>
        <v>#VALUE!</v>
      </c>
      <c r="GV14" s="49"/>
      <c r="GW14" s="49" t="e">
        <f ca="1">GW13*1.01</f>
        <v>#VALUE!</v>
      </c>
      <c r="GX14" s="49" t="e">
        <f ca="1">GZ$33*GW14^3+GZ$34*GW14^2+GZ$35*GW14+GZ$36</f>
        <v>#VALUE!</v>
      </c>
      <c r="GY14" s="49" t="e">
        <f ca="1">IF(AND(GX14&gt;=0,GX13&lt;0),GW14,0)</f>
        <v>#VALUE!</v>
      </c>
      <c r="GZ14" s="49"/>
      <c r="HA14" s="49">
        <v>9</v>
      </c>
      <c r="HB14" s="49" t="e">
        <f ca="1">HB4+HA14*(HB57-HB4)/HA56</f>
        <v>#VALUE!</v>
      </c>
      <c r="HC14" s="49" t="e">
        <f ca="1">GZ33*HB14^3+GZ34*HB14^2+GZ35*HB14+GZ36</f>
        <v>#VALUE!</v>
      </c>
      <c r="HD14" s="49" t="e">
        <f t="shared" ca="1" si="12"/>
        <v>#VALUE!</v>
      </c>
      <c r="HE14" s="49" t="e">
        <f ca="1">HE4+HA14*(HE57-HE4)/HA56</f>
        <v>#VALUE!</v>
      </c>
      <c r="HF14" s="49" t="e">
        <f ca="1">GZ33*HE14^3+GZ34*HE14^2+GZ35*HE14+GZ36</f>
        <v>#VALUE!</v>
      </c>
      <c r="HG14" s="49" t="e">
        <f t="shared" ca="1" si="13"/>
        <v>#VALUE!</v>
      </c>
      <c r="HH14" s="49" t="e">
        <f ca="1">HH4+HA14*(HH57-HH4)/HA56</f>
        <v>#VALUE!</v>
      </c>
      <c r="HI14" s="49" t="e">
        <f ca="1">GL40*HH14^3+GM40*HH14^2+GN40*HH14+GO40+GD58</f>
        <v>#VALUE!</v>
      </c>
      <c r="HJ14" s="49" t="e">
        <f t="shared" ca="1" si="14"/>
        <v>#VALUE!</v>
      </c>
      <c r="HK14" s="49" t="e">
        <f t="shared" ca="1" si="9"/>
        <v>#VALUE!</v>
      </c>
      <c r="HL14" s="49" t="e">
        <f ca="1">GL$40*HK14^2+GM$40*HK14^1+GN$40+GO$40/HK14-1.1*GI$40</f>
        <v>#VALUE!</v>
      </c>
      <c r="HM14" s="49" t="e">
        <f t="shared" ca="1" si="15"/>
        <v>#VALUE!</v>
      </c>
      <c r="HN14" s="49"/>
    </row>
    <row r="15" spans="1:228" ht="16.95" customHeight="1">
      <c r="A15" s="1"/>
      <c r="B15" s="3"/>
      <c r="C15" s="3"/>
      <c r="D15" s="38" t="str">
        <f ca="1">IF(FP1=0,"","Hieronder zie je weer de kosten en opbrengst in een grafiek getekend, maar nu")</f>
        <v/>
      </c>
      <c r="E15" s="10"/>
      <c r="F15" s="10"/>
      <c r="G15" s="10"/>
      <c r="H15" s="10"/>
      <c r="I15" s="10"/>
      <c r="J15" s="10"/>
      <c r="K15" s="10"/>
      <c r="L15" s="10"/>
      <c r="M15" s="10"/>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47"/>
      <c r="FN15" s="47"/>
      <c r="FO15" s="47"/>
      <c r="FP15" s="47"/>
      <c r="FQ15" s="47"/>
      <c r="FR15" s="47"/>
      <c r="FS15" s="47"/>
      <c r="FT15" s="47"/>
      <c r="FU15" s="47"/>
      <c r="FV15" s="47"/>
      <c r="FW15" s="47"/>
      <c r="FX15" s="47"/>
      <c r="FY15" s="32"/>
      <c r="FZ15" s="32"/>
      <c r="GA15" s="32"/>
      <c r="GB15" s="32"/>
      <c r="GC15" s="32"/>
      <c r="GD15" s="32"/>
      <c r="GE15" s="32"/>
      <c r="GF15" s="32"/>
      <c r="GG15" s="32"/>
      <c r="GH15" s="32"/>
      <c r="GI15" s="32"/>
      <c r="GJ15" s="32"/>
      <c r="GK15" s="32"/>
      <c r="GL15" s="32"/>
      <c r="GM15" s="49"/>
      <c r="GN15" s="49"/>
      <c r="GO15" s="49"/>
      <c r="GP15" s="49"/>
      <c r="GQ15" s="49"/>
      <c r="GR15" s="49"/>
      <c r="GS15" s="49" t="e">
        <f ca="1">GS17*0.9995</f>
        <v>#VALUE!</v>
      </c>
      <c r="GT15" s="49" t="e">
        <f ca="1">GZ$33*GS15^3+GZ$34*GS15^2+GZ$35*GS15+GZ$36</f>
        <v>#VALUE!</v>
      </c>
      <c r="GU15" s="49" t="e">
        <f t="shared" ca="1" si="16"/>
        <v>#VALUE!</v>
      </c>
      <c r="GV15" s="49"/>
      <c r="GW15" s="49" t="e">
        <f ca="1">GW14*1.01</f>
        <v>#VALUE!</v>
      </c>
      <c r="GX15" s="49" t="e">
        <f ca="1">GZ$33*GW15^3+GZ$34*GW15^2+GZ$35*GW15+GZ$36</f>
        <v>#VALUE!</v>
      </c>
      <c r="GY15" s="49" t="e">
        <f ca="1">IF(AND(GX15&gt;=0,GX14&lt;0),GW15,0)</f>
        <v>#VALUE!</v>
      </c>
      <c r="GZ15" s="49"/>
      <c r="HA15" s="49">
        <v>10</v>
      </c>
      <c r="HB15" s="49" t="e">
        <f ca="1">HB4+HA15*(HB57-HB4)/HA56</f>
        <v>#VALUE!</v>
      </c>
      <c r="HC15" s="49" t="e">
        <f ca="1">GZ33*HB15^3+GZ34*HB15^2+GZ35*HB15+GZ36</f>
        <v>#VALUE!</v>
      </c>
      <c r="HD15" s="49" t="e">
        <f t="shared" ca="1" si="12"/>
        <v>#VALUE!</v>
      </c>
      <c r="HE15" s="49" t="e">
        <f ca="1">HE4+HA15*(HE57-HE4)/HA56</f>
        <v>#VALUE!</v>
      </c>
      <c r="HF15" s="49" t="e">
        <f ca="1">GZ33*HE15^3+GZ34*HE15^2+GZ35*HE15+GZ36</f>
        <v>#VALUE!</v>
      </c>
      <c r="HG15" s="49" t="e">
        <f t="shared" ca="1" si="13"/>
        <v>#VALUE!</v>
      </c>
      <c r="HH15" s="49" t="e">
        <f ca="1">HH4+HA15*(HH57-HH4)/HA56</f>
        <v>#VALUE!</v>
      </c>
      <c r="HI15" s="49" t="e">
        <f ca="1">GL40*HH15^3+GM40*HH15^2+GN40*HH15+GO40+GD58</f>
        <v>#VALUE!</v>
      </c>
      <c r="HJ15" s="49" t="e">
        <f t="shared" ca="1" si="14"/>
        <v>#VALUE!</v>
      </c>
      <c r="HK15" s="49" t="e">
        <f t="shared" ca="1" si="9"/>
        <v>#VALUE!</v>
      </c>
      <c r="HL15" s="49" t="e">
        <f ca="1">GL$40*HK15^2+GM$40*HK15^1+GN$40+GO$40/HK15-1.1*GI$40</f>
        <v>#VALUE!</v>
      </c>
      <c r="HM15" s="49" t="e">
        <f t="shared" ca="1" si="15"/>
        <v>#VALUE!</v>
      </c>
      <c r="HN15" s="49"/>
    </row>
    <row r="16" spans="1:228" ht="16.95" customHeight="1">
      <c r="A16" s="1"/>
      <c r="B16" s="3"/>
      <c r="C16" s="3"/>
      <c r="D16" s="38" t="str">
        <f ca="1">IF(FP1=0,"","onder elkaar. Dat is gedaan om goed te kunnen zien dat het in beide grafieken")</f>
        <v/>
      </c>
      <c r="E16" s="10"/>
      <c r="F16" s="10"/>
      <c r="G16" s="10"/>
      <c r="H16" s="10"/>
      <c r="I16" s="10"/>
      <c r="J16" s="10"/>
      <c r="K16" s="10"/>
      <c r="L16" s="10"/>
      <c r="M16" s="10"/>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47"/>
      <c r="FN16" s="47"/>
      <c r="FO16" s="47"/>
      <c r="FP16" s="47"/>
      <c r="FQ16" s="47"/>
      <c r="FR16" s="47"/>
      <c r="FS16" s="47"/>
      <c r="FT16" s="47"/>
      <c r="FU16" s="47"/>
      <c r="FV16" s="47"/>
      <c r="FW16" s="47"/>
      <c r="FX16" s="47"/>
      <c r="FY16" s="32"/>
      <c r="FZ16" s="32"/>
      <c r="GA16" s="32"/>
      <c r="GB16" s="32"/>
      <c r="GC16" s="32"/>
      <c r="GD16" s="32"/>
      <c r="GE16" s="32"/>
      <c r="GF16" s="32"/>
      <c r="GG16" s="32"/>
      <c r="GH16" s="32"/>
      <c r="GI16" s="32"/>
      <c r="GJ16" s="32"/>
      <c r="GK16" s="32"/>
      <c r="GL16" s="32"/>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row>
    <row r="17" spans="1:223" ht="16.95" customHeight="1">
      <c r="A17" s="1"/>
      <c r="B17" s="3"/>
      <c r="C17" s="3"/>
      <c r="D17" s="38" t="str">
        <f ca="1">IF(FP1=0,"","om dezelfde afzet (hoeveelheid) gaat. Ernaast hebben we de grafiek van de")</f>
        <v/>
      </c>
      <c r="E17" s="10"/>
      <c r="F17" s="10"/>
      <c r="G17" s="10"/>
      <c r="H17" s="10"/>
      <c r="I17" s="10"/>
      <c r="J17" s="10"/>
      <c r="K17" s="10"/>
      <c r="L17" s="10"/>
      <c r="M17" s="10"/>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47"/>
      <c r="FN17" s="47"/>
      <c r="FO17" s="47"/>
      <c r="FP17" s="47"/>
      <c r="FQ17" s="47"/>
      <c r="FR17" s="47"/>
      <c r="FS17" s="47"/>
      <c r="FT17" s="47"/>
      <c r="FU17" s="47"/>
      <c r="FV17" s="47"/>
      <c r="FW17" s="47"/>
      <c r="FX17" s="47"/>
      <c r="FY17" s="32"/>
      <c r="FZ17" s="32"/>
      <c r="GA17" s="32"/>
      <c r="GB17" s="32"/>
      <c r="GC17" s="32"/>
      <c r="GD17" s="32"/>
      <c r="GE17" s="32"/>
      <c r="GF17" s="32"/>
      <c r="GG17" s="32"/>
      <c r="GH17" s="32"/>
      <c r="GI17" s="32"/>
      <c r="GJ17" s="32"/>
      <c r="GK17" s="32"/>
      <c r="GL17" s="32"/>
      <c r="GM17" s="49"/>
      <c r="GN17" s="49"/>
      <c r="GO17" s="49"/>
      <c r="GP17" s="49"/>
      <c r="GQ17" s="49"/>
      <c r="GR17" s="49"/>
      <c r="GS17" s="49" t="e">
        <f t="shared" ref="GS17:GS26" ca="1" si="17">GS18*0.9995</f>
        <v>#VALUE!</v>
      </c>
      <c r="GT17" s="49" t="e">
        <f t="shared" ref="GT17:GT27" ca="1" si="18">GZ$33*GS17^3+GZ$34*GS17^2+GZ$35*GS17+GZ$36</f>
        <v>#VALUE!</v>
      </c>
      <c r="GU17" s="49" t="e">
        <f ca="1">IF(AND(GT17&gt;=0,GT15&lt;0),GS17,0)</f>
        <v>#VALUE!</v>
      </c>
      <c r="GV17" s="49"/>
      <c r="GW17" s="49" t="e">
        <f ca="1">GW15*1.01</f>
        <v>#VALUE!</v>
      </c>
      <c r="GX17" s="49" t="e">
        <f ca="1">GZ$33*GW17^3+GZ$34*GW17^2+GZ$35*GW17+GZ$36</f>
        <v>#VALUE!</v>
      </c>
      <c r="GY17" s="49" t="e">
        <f ca="1">IF(AND(GX17&gt;=0,GX15&lt;0),GW17,0)</f>
        <v>#VALUE!</v>
      </c>
      <c r="GZ17" s="49"/>
      <c r="HA17" s="49">
        <v>11</v>
      </c>
      <c r="HB17" s="49" t="e">
        <f ca="1">HB4+HA17*(HB57-HB4)/HA56</f>
        <v>#VALUE!</v>
      </c>
      <c r="HC17" s="49" t="e">
        <f ca="1">GZ33*HB17^3+GZ34*HB17^2+GZ35*HB17+GZ36</f>
        <v>#VALUE!</v>
      </c>
      <c r="HD17" s="49" t="e">
        <f ca="1">IF(AND(HC17&gt;=0,HC15&lt;0),HB15-HC15/(HC17-HC15)*(HB17-HB15),0)</f>
        <v>#VALUE!</v>
      </c>
      <c r="HE17" s="49" t="e">
        <f ca="1">HE4+HA17*(HE57-HE4)/HA56</f>
        <v>#VALUE!</v>
      </c>
      <c r="HF17" s="49" t="e">
        <f ca="1">GZ33*HE17^3+GZ34*HE17^2+GZ35*HE17+GZ36</f>
        <v>#VALUE!</v>
      </c>
      <c r="HG17" s="49" t="e">
        <f ca="1">IF(AND(HF17&lt;0,HF15&gt;=0),HE15-HF15/(HF17-HF15)*(HE17-HE15),0)</f>
        <v>#VALUE!</v>
      </c>
      <c r="HH17" s="49" t="e">
        <f ca="1">HH4+HA17*(HH57-HH4)/HA56</f>
        <v>#VALUE!</v>
      </c>
      <c r="HI17" s="49" t="e">
        <f ca="1">GL40*HH17^3+GM40*HH17^2+GN40*HH17+GO40+GD58</f>
        <v>#VALUE!</v>
      </c>
      <c r="HJ17" s="49" t="e">
        <f ca="1">IF(AND(HI17&gt;=0,HI15&lt;0),HH15-HI15/(HI17-HI15)*(HH17-HH15),0)</f>
        <v>#VALUE!</v>
      </c>
      <c r="HK17" s="49" t="e">
        <f t="shared" ref="HK17:HK56" ca="1" si="19">HK$4+$HA17*(HK$57-HK$4)/$HA$56</f>
        <v>#VALUE!</v>
      </c>
      <c r="HL17" s="49" t="e">
        <f t="shared" ref="HL17:HL56" ca="1" si="20">GL$40*HK17^2+GM$40*HK17^1+GN$40+GO$40/HK17-1.1*GI$40</f>
        <v>#VALUE!</v>
      </c>
      <c r="HM17" s="49" t="e">
        <f ca="1">IF(AND(HL17&lt;0,HL15&gt;=0),HK15-HL15/(HL17-HL15)*(HK17-HK15),0)</f>
        <v>#VALUE!</v>
      </c>
      <c r="HN17" s="49"/>
    </row>
    <row r="18" spans="1:223" ht="16.95" customHeight="1">
      <c r="A18" s="1"/>
      <c r="B18" s="3"/>
      <c r="C18" s="3"/>
      <c r="D18" s="38" t="str">
        <f ca="1">IF(FP1=0,"","totale winst gezet, zodat je ook direct het resultaat kunt zien. Je kunt kiezen")</f>
        <v/>
      </c>
      <c r="E18" s="10"/>
      <c r="F18" s="10"/>
      <c r="G18" s="10"/>
      <c r="H18" s="10"/>
      <c r="I18" s="10"/>
      <c r="J18" s="10"/>
      <c r="K18" s="10"/>
      <c r="L18" s="10"/>
      <c r="M18" s="10"/>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47"/>
      <c r="FN18" s="47"/>
      <c r="FO18" s="47"/>
      <c r="FP18" s="47"/>
      <c r="FQ18" s="47"/>
      <c r="FR18" s="47"/>
      <c r="FS18" s="47"/>
      <c r="FT18" s="47"/>
      <c r="FU18" s="47"/>
      <c r="FV18" s="47"/>
      <c r="FW18" s="47"/>
      <c r="FX18" s="47"/>
      <c r="FY18" s="32"/>
      <c r="FZ18" s="32"/>
      <c r="GA18" s="32"/>
      <c r="GB18" s="32"/>
      <c r="GC18" s="32"/>
      <c r="GD18" s="32"/>
      <c r="GE18" s="32"/>
      <c r="GF18" s="32"/>
      <c r="GG18" s="32"/>
      <c r="GH18" s="32"/>
      <c r="GI18" s="32"/>
      <c r="GJ18" s="32"/>
      <c r="GK18" s="32"/>
      <c r="GL18" s="32"/>
      <c r="GM18" s="49"/>
      <c r="GN18" s="49"/>
      <c r="GO18" s="49"/>
      <c r="GP18" s="49"/>
      <c r="GQ18" s="49"/>
      <c r="GR18" s="49"/>
      <c r="GS18" s="49" t="e">
        <f t="shared" ca="1" si="17"/>
        <v>#VALUE!</v>
      </c>
      <c r="GT18" s="49" t="e">
        <f t="shared" ca="1" si="18"/>
        <v>#VALUE!</v>
      </c>
      <c r="GU18" s="49" t="e">
        <f t="shared" ca="1" si="16"/>
        <v>#VALUE!</v>
      </c>
      <c r="GV18" s="49"/>
      <c r="GW18" s="49"/>
      <c r="GX18" s="49"/>
      <c r="GY18" s="49"/>
      <c r="GZ18" s="49"/>
      <c r="HA18" s="49">
        <v>12</v>
      </c>
      <c r="HB18" s="49" t="e">
        <f ca="1">HB4+HA18*(HB57-HB4)/HA56</f>
        <v>#VALUE!</v>
      </c>
      <c r="HC18" s="49" t="e">
        <f ca="1">GZ33*HB18^3+GZ34*HB18^2+GZ35*HB18+GZ36</f>
        <v>#VALUE!</v>
      </c>
      <c r="HD18" s="49" t="e">
        <f t="shared" ca="1" si="12"/>
        <v>#VALUE!</v>
      </c>
      <c r="HE18" s="49" t="e">
        <f ca="1">HE4+HA18*(HE57-HE4)/HA56</f>
        <v>#VALUE!</v>
      </c>
      <c r="HF18" s="49" t="e">
        <f ca="1">GZ33*HE18^3+GZ34*HE18^2+GZ35*HE18+GZ36</f>
        <v>#VALUE!</v>
      </c>
      <c r="HG18" s="49" t="e">
        <f t="shared" ca="1" si="13"/>
        <v>#VALUE!</v>
      </c>
      <c r="HH18" s="49" t="e">
        <f ca="1">HH4+HA18*(HH57-HH4)/HA56</f>
        <v>#VALUE!</v>
      </c>
      <c r="HI18" s="49" t="e">
        <f ca="1">GL40*HH18^3+GM40*HH18^2+GN40*HH18+GO40+GD58</f>
        <v>#VALUE!</v>
      </c>
      <c r="HJ18" s="49" t="e">
        <f t="shared" ca="1" si="14"/>
        <v>#VALUE!</v>
      </c>
      <c r="HK18" s="49" t="e">
        <f t="shared" ca="1" si="19"/>
        <v>#VALUE!</v>
      </c>
      <c r="HL18" s="49" t="e">
        <f t="shared" ca="1" si="20"/>
        <v>#VALUE!</v>
      </c>
      <c r="HM18" s="49" t="e">
        <f t="shared" ca="1" si="15"/>
        <v>#VALUE!</v>
      </c>
      <c r="HN18" s="49"/>
    </row>
    <row r="19" spans="1:223" ht="16.95" customHeight="1">
      <c r="A19" s="1"/>
      <c r="B19" s="3"/>
      <c r="C19" s="3"/>
      <c r="D19" s="38" t="str">
        <f ca="1">IF(FP1=0,"","voor de maximale winst, de maximale omzet of de break-even-punten.")</f>
        <v/>
      </c>
      <c r="E19" s="10"/>
      <c r="F19" s="10"/>
      <c r="G19" s="10"/>
      <c r="H19" s="10"/>
      <c r="I19" s="10"/>
      <c r="J19" s="10"/>
      <c r="K19" s="10"/>
      <c r="L19" s="10"/>
      <c r="M19" s="10"/>
      <c r="N19" s="79"/>
      <c r="O19" s="79"/>
      <c r="P19" s="79"/>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79"/>
      <c r="EY19" s="79"/>
      <c r="EZ19" s="79"/>
      <c r="FA19" s="79"/>
      <c r="FB19" s="79"/>
      <c r="FC19" s="79"/>
      <c r="FD19" s="79"/>
      <c r="FE19" s="79"/>
      <c r="FF19" s="79"/>
      <c r="FG19" s="79"/>
      <c r="FH19" s="79"/>
      <c r="FI19" s="79"/>
      <c r="FJ19" s="79"/>
      <c r="FK19" s="79"/>
      <c r="FL19" s="79"/>
      <c r="FM19" s="47"/>
      <c r="FN19" s="47"/>
      <c r="FO19" s="47"/>
      <c r="FP19" s="47"/>
      <c r="FQ19" s="47"/>
      <c r="FR19" s="47"/>
      <c r="FS19" s="47"/>
      <c r="FT19" s="47"/>
      <c r="FU19" s="47"/>
      <c r="FV19" s="47"/>
      <c r="FW19" s="47"/>
      <c r="FX19" s="47"/>
      <c r="FY19" s="32"/>
      <c r="FZ19" s="32"/>
      <c r="GA19" s="32"/>
      <c r="GB19" s="32"/>
      <c r="GC19" s="32"/>
      <c r="GD19" s="32"/>
      <c r="GE19" s="32"/>
      <c r="GF19" s="32"/>
      <c r="GG19" s="32"/>
      <c r="GH19" s="32"/>
      <c r="GI19" s="32"/>
      <c r="GJ19" s="32"/>
      <c r="GK19" s="32"/>
      <c r="GL19" s="32"/>
      <c r="GM19" s="49"/>
      <c r="GN19" s="49"/>
      <c r="GO19" s="49"/>
      <c r="GP19" s="49"/>
      <c r="GQ19" s="49"/>
      <c r="GR19" s="49"/>
      <c r="GS19" s="49" t="e">
        <f t="shared" ca="1" si="17"/>
        <v>#VALUE!</v>
      </c>
      <c r="GT19" s="49" t="e">
        <f t="shared" ca="1" si="18"/>
        <v>#VALUE!</v>
      </c>
      <c r="GU19" s="49" t="e">
        <f t="shared" ca="1" si="16"/>
        <v>#VALUE!</v>
      </c>
      <c r="GV19" s="49"/>
      <c r="GW19" s="49" t="e">
        <f t="shared" ref="GW19:GW26" ca="1" si="21">GW20*0.995</f>
        <v>#VALUE!</v>
      </c>
      <c r="GX19" s="49" t="e">
        <f t="shared" ref="GX19:GX28" ca="1" si="22">GZ$33*GW19^3+GZ$34*GW19^2+GZ$35*GW19+GZ$36</f>
        <v>#VALUE!</v>
      </c>
      <c r="GY19" s="49" t="e">
        <f t="shared" ref="GY19:GY28" ca="1" si="23">IF(AND(GX19&gt;=0,GX18&lt;0),GW19,0)</f>
        <v>#VALUE!</v>
      </c>
      <c r="GZ19" s="49"/>
      <c r="HA19" s="49">
        <v>13</v>
      </c>
      <c r="HB19" s="49" t="e">
        <f ca="1">HB4+HA19*(HB57-HB4)/HA56</f>
        <v>#VALUE!</v>
      </c>
      <c r="HC19" s="49" t="e">
        <f ca="1">GZ33*HB19^3+GZ34*HB19^2+GZ35*HB19+GZ36</f>
        <v>#VALUE!</v>
      </c>
      <c r="HD19" s="49" t="e">
        <f t="shared" ca="1" si="12"/>
        <v>#VALUE!</v>
      </c>
      <c r="HE19" s="49" t="e">
        <f ca="1">HE4+HA19*(HE57-HE4)/HA56</f>
        <v>#VALUE!</v>
      </c>
      <c r="HF19" s="49" t="e">
        <f ca="1">GZ33*HE19^3+GZ34*HE19^2+GZ35*HE19+GZ36</f>
        <v>#VALUE!</v>
      </c>
      <c r="HG19" s="49" t="e">
        <f t="shared" ca="1" si="13"/>
        <v>#VALUE!</v>
      </c>
      <c r="HH19" s="49" t="e">
        <f ca="1">HH4+HA19*(HH57-HH4)/HA56</f>
        <v>#VALUE!</v>
      </c>
      <c r="HI19" s="49" t="e">
        <f ca="1">GL40*HH19^3+GM40*HH19^2+GN40*HH19+GO40+GD58</f>
        <v>#VALUE!</v>
      </c>
      <c r="HJ19" s="49" t="e">
        <f t="shared" ca="1" si="14"/>
        <v>#VALUE!</v>
      </c>
      <c r="HK19" s="49" t="e">
        <f t="shared" ca="1" si="19"/>
        <v>#VALUE!</v>
      </c>
      <c r="HL19" s="49" t="e">
        <f t="shared" ca="1" si="20"/>
        <v>#VALUE!</v>
      </c>
      <c r="HM19" s="49" t="e">
        <f t="shared" ca="1" si="15"/>
        <v>#VALUE!</v>
      </c>
      <c r="HN19" s="49"/>
    </row>
    <row r="20" spans="1:223" ht="16.5" customHeight="1">
      <c r="A20" s="1"/>
      <c r="B20" s="3"/>
      <c r="C20" s="3"/>
      <c r="D20" s="373"/>
      <c r="E20" s="376"/>
      <c r="F20" s="10"/>
      <c r="G20" s="10"/>
      <c r="H20" s="10"/>
      <c r="I20" s="10"/>
      <c r="J20" s="10"/>
      <c r="K20" s="10"/>
      <c r="L20" s="10"/>
      <c r="M20" s="10"/>
      <c r="N20" s="10"/>
      <c r="O20" s="10"/>
      <c r="P20" s="10"/>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97"/>
      <c r="AY20" s="43"/>
      <c r="AZ20" s="41"/>
      <c r="BA20" s="41"/>
      <c r="BB20" s="41"/>
      <c r="BC20" s="41"/>
      <c r="BD20" s="42"/>
      <c r="BE20" s="41"/>
      <c r="BF20" s="41"/>
      <c r="BG20" s="41"/>
      <c r="BH20" s="41"/>
      <c r="BI20" s="41"/>
      <c r="BJ20" s="41"/>
      <c r="BK20" s="42"/>
      <c r="BL20" s="41"/>
      <c r="BM20" s="41"/>
      <c r="BN20" s="41"/>
      <c r="BO20" s="41"/>
      <c r="BP20" s="41"/>
      <c r="BQ20" s="41"/>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79"/>
      <c r="EY20" s="79"/>
      <c r="EZ20" s="79"/>
      <c r="FA20" s="79"/>
      <c r="FB20" s="79"/>
      <c r="FC20" s="79"/>
      <c r="FD20" s="79"/>
      <c r="FE20" s="79"/>
      <c r="FF20" s="79"/>
      <c r="FG20" s="79"/>
      <c r="FH20" s="79"/>
      <c r="FI20" s="79"/>
      <c r="FJ20" s="79"/>
      <c r="FK20" s="79"/>
      <c r="FL20" s="79"/>
      <c r="FM20" s="47"/>
      <c r="FN20" s="47"/>
      <c r="FO20" s="47"/>
      <c r="FP20" s="47"/>
      <c r="FQ20" s="47"/>
      <c r="FR20" s="47"/>
      <c r="FS20" s="47"/>
      <c r="FT20" s="47"/>
      <c r="FU20" s="47"/>
      <c r="FV20" s="47"/>
      <c r="FW20" s="47"/>
      <c r="FX20" s="47"/>
      <c r="FY20" s="32"/>
      <c r="FZ20" s="32"/>
      <c r="GA20" s="32"/>
      <c r="GB20" s="32"/>
      <c r="GC20" s="32"/>
      <c r="GD20" s="32"/>
      <c r="GE20" s="32"/>
      <c r="GF20" s="32"/>
      <c r="GG20" s="32"/>
      <c r="GH20" s="32"/>
      <c r="GI20" s="32"/>
      <c r="GJ20" s="32"/>
      <c r="GK20" s="32"/>
      <c r="GL20" s="32"/>
      <c r="GM20" s="49"/>
      <c r="GN20" s="49"/>
      <c r="GO20" s="49"/>
      <c r="GP20" s="49"/>
      <c r="GQ20" s="49"/>
      <c r="GR20" s="49"/>
      <c r="GS20" s="49" t="e">
        <f t="shared" ca="1" si="17"/>
        <v>#VALUE!</v>
      </c>
      <c r="GT20" s="49" t="e">
        <f t="shared" ca="1" si="18"/>
        <v>#VALUE!</v>
      </c>
      <c r="GU20" s="49" t="e">
        <f ca="1">IF(AND(GT20&gt;=0,GT19&lt;0),GS20,0)</f>
        <v>#VALUE!</v>
      </c>
      <c r="GV20" s="49"/>
      <c r="GW20" s="49" t="e">
        <f t="shared" ca="1" si="21"/>
        <v>#VALUE!</v>
      </c>
      <c r="GX20" s="49" t="e">
        <f t="shared" ca="1" si="22"/>
        <v>#VALUE!</v>
      </c>
      <c r="GY20" s="49" t="e">
        <f ca="1">IF(AND(GX20&gt;=0,GX19&lt;0),GW20,0)</f>
        <v>#VALUE!</v>
      </c>
      <c r="GZ20" s="49"/>
      <c r="HA20" s="49">
        <v>14</v>
      </c>
      <c r="HB20" s="49" t="e">
        <f ca="1">HB4+HA20*(HB57-HB4)/HA56</f>
        <v>#VALUE!</v>
      </c>
      <c r="HC20" s="49" t="e">
        <f ca="1">GZ33*HB20^3+GZ34*HB20^2+GZ35*HB20+GZ36</f>
        <v>#VALUE!</v>
      </c>
      <c r="HD20" s="49" t="e">
        <f ca="1">IF(AND(HC20&gt;=0,HC19&lt;0),HB19-HC19/(HC20-HC19)*(HB20-HB19),0)</f>
        <v>#VALUE!</v>
      </c>
      <c r="HE20" s="49" t="e">
        <f ca="1">HE4+HA20*(HE57-HE4)/HA56</f>
        <v>#VALUE!</v>
      </c>
      <c r="HF20" s="49" t="e">
        <f ca="1">GZ33*HE20^3+GZ34*HE20^2+GZ35*HE20+GZ36</f>
        <v>#VALUE!</v>
      </c>
      <c r="HG20" s="49" t="e">
        <f ca="1">IF(AND(HF20&lt;0,HF19&gt;=0),HE19-HF19/(HF20-HF19)*(HE20-HE19),0)</f>
        <v>#VALUE!</v>
      </c>
      <c r="HH20" s="49" t="e">
        <f ca="1">HH4+HA20*(HH57-HH4)/HA56</f>
        <v>#VALUE!</v>
      </c>
      <c r="HI20" s="49" t="e">
        <f ca="1">GL40*HH20^3+GM40*HH20^2+GN40*HH20+GO40+GD58</f>
        <v>#VALUE!</v>
      </c>
      <c r="HJ20" s="49" t="e">
        <f ca="1">IF(AND(HI20&gt;=0,HI19&lt;0),HH19-HI19/(HI20-HI19)*(HH20-HH19),0)</f>
        <v>#VALUE!</v>
      </c>
      <c r="HK20" s="49" t="e">
        <f t="shared" ca="1" si="19"/>
        <v>#VALUE!</v>
      </c>
      <c r="HL20" s="49" t="e">
        <f t="shared" ca="1" si="20"/>
        <v>#VALUE!</v>
      </c>
      <c r="HM20" s="49" t="e">
        <f ca="1">IF(AND(HL20&lt;0,HL19&gt;=0),HK19-HL19/(HL20-HL19)*(HK20-HK19),0)</f>
        <v>#VALUE!</v>
      </c>
      <c r="HN20" s="49"/>
    </row>
    <row r="21" spans="1:223" ht="3.75" customHeight="1">
      <c r="A21" s="1"/>
      <c r="B21" s="3"/>
      <c r="C21" s="3"/>
      <c r="D21" s="373"/>
      <c r="E21" s="376"/>
      <c r="F21" s="10"/>
      <c r="G21" s="10"/>
      <c r="H21" s="79"/>
      <c r="I21" s="79"/>
      <c r="J21" s="79"/>
      <c r="K21" s="79"/>
      <c r="L21" s="79"/>
      <c r="M21" s="79"/>
      <c r="N21" s="79"/>
      <c r="O21" s="79"/>
      <c r="P21" s="79"/>
      <c r="Q21" s="538" t="str">
        <f ca="1">IF(FP1=0,"",":")</f>
        <v/>
      </c>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79"/>
      <c r="EY21" s="79"/>
      <c r="EZ21" s="79"/>
      <c r="FA21" s="79"/>
      <c r="FB21" s="79"/>
      <c r="FC21" s="79"/>
      <c r="FD21" s="79"/>
      <c r="FE21" s="79"/>
      <c r="FF21" s="79"/>
      <c r="FG21" s="79"/>
      <c r="FH21" s="79"/>
      <c r="FI21" s="79"/>
      <c r="FJ21" s="79"/>
      <c r="FK21" s="79"/>
      <c r="FL21" s="79"/>
      <c r="FM21" s="47"/>
      <c r="FN21" s="47"/>
      <c r="FO21" s="119"/>
      <c r="FP21" s="119"/>
      <c r="FQ21" s="119"/>
      <c r="FR21" s="119"/>
      <c r="FS21" s="119"/>
      <c r="FT21" s="119"/>
      <c r="FU21" s="119"/>
      <c r="FV21" s="47"/>
      <c r="FW21" s="47"/>
      <c r="FX21" s="47"/>
      <c r="FY21" s="32"/>
      <c r="FZ21" s="32"/>
      <c r="GA21" s="32"/>
      <c r="GB21" s="32"/>
      <c r="GC21" s="32"/>
      <c r="GD21" s="32"/>
      <c r="GE21" s="32"/>
      <c r="GF21" s="32"/>
      <c r="GG21" s="32"/>
      <c r="GH21" s="32"/>
      <c r="GI21" s="32"/>
      <c r="GJ21" s="32"/>
      <c r="GK21" s="32"/>
      <c r="GL21" s="32"/>
      <c r="GM21" s="49"/>
      <c r="GN21" s="49"/>
      <c r="GO21" s="49"/>
      <c r="GP21" s="49"/>
      <c r="GQ21" s="49"/>
      <c r="GR21" s="49"/>
      <c r="GS21" s="49" t="e">
        <f t="shared" ca="1" si="17"/>
        <v>#VALUE!</v>
      </c>
      <c r="GT21" s="49" t="e">
        <f t="shared" ca="1" si="18"/>
        <v>#VALUE!</v>
      </c>
      <c r="GU21" s="49" t="e">
        <f t="shared" ca="1" si="16"/>
        <v>#VALUE!</v>
      </c>
      <c r="GV21" s="49"/>
      <c r="GW21" s="49" t="e">
        <f t="shared" ca="1" si="21"/>
        <v>#VALUE!</v>
      </c>
      <c r="GX21" s="49" t="e">
        <f t="shared" ca="1" si="22"/>
        <v>#VALUE!</v>
      </c>
      <c r="GY21" s="49" t="e">
        <f t="shared" ca="1" si="23"/>
        <v>#VALUE!</v>
      </c>
      <c r="GZ21" s="49"/>
      <c r="HA21" s="49">
        <v>15</v>
      </c>
      <c r="HB21" s="49" t="e">
        <f ca="1">HB4+HA21*(HB57-HB4)/HA56</f>
        <v>#VALUE!</v>
      </c>
      <c r="HC21" s="49" t="e">
        <f ca="1">GZ33*HB21^3+GZ34*HB21^2+GZ35*HB21+GZ36</f>
        <v>#VALUE!</v>
      </c>
      <c r="HD21" s="49" t="e">
        <f t="shared" ca="1" si="12"/>
        <v>#VALUE!</v>
      </c>
      <c r="HE21" s="49" t="e">
        <f ca="1">HE4+HA21*(HE57-HE4)/HA56</f>
        <v>#VALUE!</v>
      </c>
      <c r="HF21" s="49" t="e">
        <f ca="1">GZ33*HE21^3+GZ34*HE21^2+GZ35*HE21+GZ36</f>
        <v>#VALUE!</v>
      </c>
      <c r="HG21" s="49" t="e">
        <f t="shared" ca="1" si="13"/>
        <v>#VALUE!</v>
      </c>
      <c r="HH21" s="49" t="e">
        <f ca="1">HH4+HA21*(HH57-HH4)/HA56</f>
        <v>#VALUE!</v>
      </c>
      <c r="HI21" s="49" t="e">
        <f ca="1">GL40*HH21^3+GM40*HH21^2+GN40*HH21+GO40+GD58</f>
        <v>#VALUE!</v>
      </c>
      <c r="HJ21" s="49" t="e">
        <f t="shared" ca="1" si="14"/>
        <v>#VALUE!</v>
      </c>
      <c r="HK21" s="49" t="e">
        <f t="shared" ca="1" si="19"/>
        <v>#VALUE!</v>
      </c>
      <c r="HL21" s="49" t="e">
        <f t="shared" ca="1" si="20"/>
        <v>#VALUE!</v>
      </c>
      <c r="HM21" s="49" t="e">
        <f t="shared" ca="1" si="15"/>
        <v>#VALUE!</v>
      </c>
      <c r="HN21" s="49"/>
    </row>
    <row r="22" spans="1:223" ht="16.5" customHeight="1">
      <c r="A22" s="1"/>
      <c r="B22" s="3"/>
      <c r="C22" s="3"/>
      <c r="D22" s="373"/>
      <c r="E22" s="376"/>
      <c r="F22" s="10"/>
      <c r="G22" s="10"/>
      <c r="H22" s="79"/>
      <c r="I22" s="79"/>
      <c r="J22" s="79"/>
      <c r="K22" s="79"/>
      <c r="L22" s="79"/>
      <c r="M22" s="79"/>
      <c r="N22" s="79"/>
      <c r="O22" s="162" t="str">
        <f ca="1">IF(FP1=0,"","Punt:")</f>
        <v/>
      </c>
      <c r="P22" s="79"/>
      <c r="Q22" s="195" t="str">
        <f ca="1">IF(FP1=0,"",":")</f>
        <v/>
      </c>
      <c r="R22" s="624"/>
      <c r="S22" s="625"/>
      <c r="T22" s="625"/>
      <c r="U22" s="625"/>
      <c r="V22" s="625"/>
      <c r="W22" s="625"/>
      <c r="X22" s="625"/>
      <c r="Y22" s="625"/>
      <c r="Z22" s="625"/>
      <c r="AA22" s="625"/>
      <c r="AB22" s="625"/>
      <c r="AC22" s="625"/>
      <c r="AD22" s="625"/>
      <c r="AE22" s="625"/>
      <c r="AF22" s="625"/>
      <c r="AG22" s="625"/>
      <c r="AH22" s="625"/>
      <c r="AI22" s="625"/>
      <c r="AJ22" s="625"/>
      <c r="AK22" s="625"/>
      <c r="AL22" s="625"/>
      <c r="AM22" s="625"/>
      <c r="AN22" s="625"/>
      <c r="AO22" s="625"/>
      <c r="AP22" s="625"/>
      <c r="AQ22" s="625"/>
      <c r="AR22" s="625"/>
      <c r="AS22" s="625"/>
      <c r="AT22" s="625"/>
      <c r="AU22" s="625"/>
      <c r="AV22" s="625"/>
      <c r="AW22" s="625"/>
      <c r="AX22" s="625"/>
      <c r="AY22" s="625"/>
      <c r="AZ22" s="625"/>
      <c r="BA22" s="625"/>
      <c r="BB22" s="625"/>
      <c r="BC22" s="625"/>
      <c r="BD22" s="625"/>
      <c r="BE22" s="625"/>
      <c r="BF22" s="625"/>
      <c r="BG22" s="625"/>
      <c r="BH22" s="625"/>
      <c r="BI22" s="625"/>
      <c r="BJ22" s="625"/>
      <c r="BK22" s="625"/>
      <c r="BL22" s="625"/>
      <c r="BM22" s="625"/>
      <c r="BN22" s="625"/>
      <c r="BO22" s="625"/>
      <c r="BP22" s="625"/>
      <c r="BQ22" s="625"/>
      <c r="BR22" s="626"/>
      <c r="BS22" s="626"/>
      <c r="BT22" s="626"/>
      <c r="BU22" s="626"/>
      <c r="BV22" s="626"/>
      <c r="BW22" s="626"/>
      <c r="BX22" s="626"/>
      <c r="BY22" s="626"/>
      <c r="BZ22" s="626"/>
      <c r="CA22" s="626"/>
      <c r="CB22" s="626"/>
      <c r="CC22" s="195" t="str">
        <f ca="1">IF(FP1=0,"",":")</f>
        <v/>
      </c>
      <c r="CD22" s="165" t="s">
        <v>131</v>
      </c>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165" t="s">
        <v>131</v>
      </c>
      <c r="EU22" s="43"/>
      <c r="EV22" s="43"/>
      <c r="EW22" s="43"/>
      <c r="EX22" s="79"/>
      <c r="EY22" s="79"/>
      <c r="EZ22" s="79"/>
      <c r="FA22" s="79"/>
      <c r="FB22" s="79"/>
      <c r="FC22" s="79"/>
      <c r="FD22" s="79"/>
      <c r="FE22" s="79"/>
      <c r="FF22" s="79"/>
      <c r="FG22" s="79"/>
      <c r="FH22" s="79"/>
      <c r="FI22" s="79"/>
      <c r="FJ22" s="79"/>
      <c r="FK22" s="79"/>
      <c r="FL22" s="79"/>
      <c r="FM22" s="223"/>
      <c r="FN22" s="223" t="s">
        <v>23</v>
      </c>
      <c r="FO22" s="119">
        <f>IF(R22=FP22,1,IF(R22=FQ22,2,IF(R22=FR22,3,1)))</f>
        <v>1</v>
      </c>
      <c r="FP22" s="120" t="s">
        <v>75</v>
      </c>
      <c r="FQ22" s="119" t="s">
        <v>74</v>
      </c>
      <c r="FR22" s="120" t="s">
        <v>84</v>
      </c>
      <c r="FS22" s="120"/>
      <c r="FT22" s="120" t="s">
        <v>27</v>
      </c>
      <c r="FU22" s="96" t="s">
        <v>24</v>
      </c>
      <c r="FV22" s="119" t="s">
        <v>25</v>
      </c>
      <c r="FW22" s="96" t="s">
        <v>23</v>
      </c>
      <c r="FX22" s="96" t="s">
        <v>108</v>
      </c>
      <c r="FY22" s="32"/>
      <c r="FZ22" s="32"/>
      <c r="GA22" s="32"/>
      <c r="GB22" s="32"/>
      <c r="GC22" s="32"/>
      <c r="GD22" s="32"/>
      <c r="GE22" s="32"/>
      <c r="GF22" s="32"/>
      <c r="GG22" s="32"/>
      <c r="GH22" s="32"/>
      <c r="GI22" s="32"/>
      <c r="GJ22" s="32"/>
      <c r="GK22" s="32"/>
      <c r="GL22" s="32"/>
      <c r="GM22" s="49"/>
      <c r="GN22" s="49"/>
      <c r="GO22" s="49"/>
      <c r="GP22" s="49"/>
      <c r="GQ22" s="49"/>
      <c r="GR22" s="49"/>
      <c r="GS22" s="49" t="e">
        <f t="shared" ca="1" si="17"/>
        <v>#VALUE!</v>
      </c>
      <c r="GT22" s="49" t="e">
        <f t="shared" ca="1" si="18"/>
        <v>#VALUE!</v>
      </c>
      <c r="GU22" s="49" t="e">
        <f t="shared" ca="1" si="16"/>
        <v>#VALUE!</v>
      </c>
      <c r="GV22" s="49"/>
      <c r="GW22" s="49" t="e">
        <f t="shared" ca="1" si="21"/>
        <v>#VALUE!</v>
      </c>
      <c r="GX22" s="49" t="e">
        <f t="shared" ca="1" si="22"/>
        <v>#VALUE!</v>
      </c>
      <c r="GY22" s="49" t="e">
        <f t="shared" ca="1" si="23"/>
        <v>#VALUE!</v>
      </c>
      <c r="GZ22" s="49"/>
      <c r="HA22" s="49">
        <v>16</v>
      </c>
      <c r="HB22" s="49" t="e">
        <f ca="1">HB4+HA22*(HB57-HB4)/HA56</f>
        <v>#VALUE!</v>
      </c>
      <c r="HC22" s="49" t="e">
        <f ca="1">GZ33*HB22^3+GZ34*HB22^2+GZ35*HB22+GZ36</f>
        <v>#VALUE!</v>
      </c>
      <c r="HD22" s="49" t="e">
        <f t="shared" ca="1" si="12"/>
        <v>#VALUE!</v>
      </c>
      <c r="HE22" s="49" t="e">
        <f ca="1">HE4+HA22*(HE57-HE4)/HA56</f>
        <v>#VALUE!</v>
      </c>
      <c r="HF22" s="49" t="e">
        <f ca="1">GZ33*HE22^3+GZ34*HE22^2+GZ35*HE22+GZ36</f>
        <v>#VALUE!</v>
      </c>
      <c r="HG22" s="49" t="e">
        <f t="shared" ca="1" si="13"/>
        <v>#VALUE!</v>
      </c>
      <c r="HH22" s="49" t="e">
        <f ca="1">HH4+HA22*(HH57-HH4)/HA56</f>
        <v>#VALUE!</v>
      </c>
      <c r="HI22" s="49" t="e">
        <f ca="1">GL40*HH22^3+GM40*HH22^2+GN40*HH22+GO40+GD58</f>
        <v>#VALUE!</v>
      </c>
      <c r="HJ22" s="49" t="e">
        <f t="shared" ca="1" si="14"/>
        <v>#VALUE!</v>
      </c>
      <c r="HK22" s="49" t="e">
        <f t="shared" ca="1" si="19"/>
        <v>#VALUE!</v>
      </c>
      <c r="HL22" s="49" t="e">
        <f t="shared" ca="1" si="20"/>
        <v>#VALUE!</v>
      </c>
      <c r="HM22" s="49" t="e">
        <f t="shared" ca="1" si="15"/>
        <v>#VALUE!</v>
      </c>
      <c r="HN22" s="49"/>
    </row>
    <row r="23" spans="1:223" ht="3.75" customHeight="1">
      <c r="A23" s="1"/>
      <c r="B23" s="3"/>
      <c r="C23" s="3"/>
      <c r="D23" s="373"/>
      <c r="E23" s="376"/>
      <c r="F23" s="10"/>
      <c r="G23" s="10"/>
      <c r="H23" s="79"/>
      <c r="I23" s="79"/>
      <c r="J23" s="79"/>
      <c r="K23" s="79"/>
      <c r="L23" s="79"/>
      <c r="M23" s="79"/>
      <c r="N23" s="79"/>
      <c r="O23" s="79"/>
      <c r="P23" s="79"/>
      <c r="Q23" s="538" t="str">
        <f ca="1">IF(FP1=0,"",":")</f>
        <v/>
      </c>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79"/>
      <c r="EY23" s="79"/>
      <c r="EZ23" s="79"/>
      <c r="FA23" s="79"/>
      <c r="FB23" s="79"/>
      <c r="FC23" s="79"/>
      <c r="FD23" s="79"/>
      <c r="FE23" s="79"/>
      <c r="FF23" s="79"/>
      <c r="FG23" s="79"/>
      <c r="FH23" s="79"/>
      <c r="FI23" s="79"/>
      <c r="FJ23" s="79"/>
      <c r="FK23" s="79"/>
      <c r="FL23" s="79"/>
      <c r="FM23" s="47"/>
      <c r="FN23" s="47"/>
      <c r="FO23" s="119"/>
      <c r="FP23" s="119"/>
      <c r="FQ23" s="119"/>
      <c r="FR23" s="119"/>
      <c r="FS23" s="119"/>
      <c r="FT23" s="119"/>
      <c r="FU23" s="119"/>
      <c r="FV23" s="47"/>
      <c r="FW23" s="47"/>
      <c r="FX23" s="47"/>
      <c r="FY23" s="32"/>
      <c r="FZ23" s="32"/>
      <c r="GA23" s="32"/>
      <c r="GB23" s="32"/>
      <c r="GC23" s="32"/>
      <c r="GD23" s="32"/>
      <c r="GE23" s="32"/>
      <c r="GF23" s="32"/>
      <c r="GG23" s="32"/>
      <c r="GH23" s="32"/>
      <c r="GI23" s="32"/>
      <c r="GJ23" s="32"/>
      <c r="GK23" s="32"/>
      <c r="GL23" s="32"/>
      <c r="GM23" s="49"/>
      <c r="GN23" s="49"/>
      <c r="GO23" s="49"/>
      <c r="GP23" s="49"/>
      <c r="GQ23" s="49"/>
      <c r="GR23" s="49"/>
      <c r="GS23" s="49" t="e">
        <f t="shared" ca="1" si="17"/>
        <v>#VALUE!</v>
      </c>
      <c r="GT23" s="49" t="e">
        <f t="shared" ca="1" si="18"/>
        <v>#VALUE!</v>
      </c>
      <c r="GU23" s="49" t="e">
        <f t="shared" ca="1" si="16"/>
        <v>#VALUE!</v>
      </c>
      <c r="GV23" s="49"/>
      <c r="GW23" s="49" t="e">
        <f t="shared" ca="1" si="21"/>
        <v>#VALUE!</v>
      </c>
      <c r="GX23" s="49" t="e">
        <f t="shared" ca="1" si="22"/>
        <v>#VALUE!</v>
      </c>
      <c r="GY23" s="49" t="e">
        <f t="shared" ca="1" si="23"/>
        <v>#VALUE!</v>
      </c>
      <c r="GZ23" s="49"/>
      <c r="HA23" s="49">
        <v>17</v>
      </c>
      <c r="HB23" s="49" t="e">
        <f ca="1">HB4+HA23*(HB57-HB4)/HA56</f>
        <v>#VALUE!</v>
      </c>
      <c r="HC23" s="49" t="e">
        <f ca="1">GZ33*HB23^3+GZ34*HB23^2+GZ35*HB23+GZ36</f>
        <v>#VALUE!</v>
      </c>
      <c r="HD23" s="49" t="e">
        <f t="shared" ca="1" si="12"/>
        <v>#VALUE!</v>
      </c>
      <c r="HE23" s="49" t="e">
        <f ca="1">HE4+HA23*(HE57-HE4)/HA56</f>
        <v>#VALUE!</v>
      </c>
      <c r="HF23" s="49" t="e">
        <f ca="1">GZ33*HE23^3+GZ34*HE23^2+GZ35*HE23+GZ36</f>
        <v>#VALUE!</v>
      </c>
      <c r="HG23" s="49" t="e">
        <f t="shared" ca="1" si="13"/>
        <v>#VALUE!</v>
      </c>
      <c r="HH23" s="49" t="e">
        <f ca="1">HH4+HA23*(HH57-HH4)/HA56</f>
        <v>#VALUE!</v>
      </c>
      <c r="HI23" s="49" t="e">
        <f ca="1">GL40*HH23^3+GM40*HH23^2+GN40*HH23+GO40+GD58</f>
        <v>#VALUE!</v>
      </c>
      <c r="HJ23" s="49" t="e">
        <f t="shared" ca="1" si="14"/>
        <v>#VALUE!</v>
      </c>
      <c r="HK23" s="49" t="e">
        <f t="shared" ca="1" si="19"/>
        <v>#VALUE!</v>
      </c>
      <c r="HL23" s="49" t="e">
        <f t="shared" ca="1" si="20"/>
        <v>#VALUE!</v>
      </c>
      <c r="HM23" s="49" t="e">
        <f t="shared" ca="1" si="15"/>
        <v>#VALUE!</v>
      </c>
      <c r="HN23" s="49"/>
    </row>
    <row r="24" spans="1:223" ht="11.25" customHeight="1">
      <c r="A24" s="1"/>
      <c r="B24" s="3"/>
      <c r="C24" s="3"/>
      <c r="D24" s="373"/>
      <c r="E24" s="376"/>
      <c r="F24" s="10"/>
      <c r="G24" s="10"/>
      <c r="H24" s="10"/>
      <c r="I24" s="10"/>
      <c r="J24" s="10"/>
      <c r="K24" s="10"/>
      <c r="L24" s="10"/>
      <c r="M24" s="10"/>
      <c r="N24" s="10"/>
      <c r="O24" s="10"/>
      <c r="P24" s="10"/>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97"/>
      <c r="AY24" s="43"/>
      <c r="AZ24" s="41"/>
      <c r="BA24" s="41"/>
      <c r="BB24" s="41"/>
      <c r="BC24" s="41"/>
      <c r="BD24" s="42"/>
      <c r="BE24" s="41"/>
      <c r="BF24" s="41"/>
      <c r="BG24" s="41"/>
      <c r="BH24" s="41"/>
      <c r="BI24" s="41"/>
      <c r="BJ24" s="41"/>
      <c r="BK24" s="42"/>
      <c r="BL24" s="41"/>
      <c r="BM24" s="41"/>
      <c r="BN24" s="41"/>
      <c r="BO24" s="41"/>
      <c r="BP24" s="41"/>
      <c r="BQ24" s="41"/>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79"/>
      <c r="EY24" s="79"/>
      <c r="EZ24" s="79"/>
      <c r="FA24" s="79"/>
      <c r="FB24" s="79"/>
      <c r="FC24" s="79"/>
      <c r="FD24" s="79"/>
      <c r="FE24" s="79"/>
      <c r="FF24" s="79"/>
      <c r="FG24" s="79"/>
      <c r="FH24" s="79"/>
      <c r="FI24" s="79"/>
      <c r="FJ24" s="79"/>
      <c r="FK24" s="79"/>
      <c r="FL24" s="79"/>
      <c r="FM24" s="470"/>
      <c r="FN24" s="79">
        <f>programma!Q3</f>
        <v>1</v>
      </c>
      <c r="FO24" s="206">
        <f>programma!Q3</f>
        <v>1</v>
      </c>
      <c r="FP24" s="48">
        <f ca="1">IF(FP1=0,0,IF(FN22=FU22,2,IF(FN22=FV22,3,IF(FN22=FW22,4,IF(FN22=FX22,5,1)))))</f>
        <v>0</v>
      </c>
      <c r="FQ24" s="47"/>
      <c r="FR24" s="47"/>
      <c r="FS24" s="47"/>
      <c r="FT24" s="96"/>
      <c r="FU24" s="79"/>
      <c r="FV24" s="79"/>
      <c r="FW24" s="79"/>
      <c r="FX24" s="79"/>
      <c r="FY24" s="32"/>
      <c r="FZ24" s="32"/>
      <c r="GA24" s="32"/>
      <c r="GB24" s="32"/>
      <c r="GC24" s="32"/>
      <c r="GD24" s="32"/>
      <c r="GE24" s="32"/>
      <c r="GF24" s="32"/>
      <c r="GG24" s="32"/>
      <c r="GH24" s="32"/>
      <c r="GI24" s="32"/>
      <c r="GJ24" s="32"/>
      <c r="GK24" s="32"/>
      <c r="GL24" s="32"/>
      <c r="GM24" s="49"/>
      <c r="GN24" s="49"/>
      <c r="GO24" s="49"/>
      <c r="GP24" s="49"/>
      <c r="GQ24" s="49"/>
      <c r="GR24" s="49"/>
      <c r="GS24" s="49" t="e">
        <f t="shared" ca="1" si="17"/>
        <v>#VALUE!</v>
      </c>
      <c r="GT24" s="49" t="e">
        <f t="shared" ca="1" si="18"/>
        <v>#VALUE!</v>
      </c>
      <c r="GU24" s="49" t="e">
        <f t="shared" ca="1" si="16"/>
        <v>#VALUE!</v>
      </c>
      <c r="GV24" s="49"/>
      <c r="GW24" s="49" t="e">
        <f t="shared" ca="1" si="21"/>
        <v>#VALUE!</v>
      </c>
      <c r="GX24" s="49" t="e">
        <f t="shared" ca="1" si="22"/>
        <v>#VALUE!</v>
      </c>
      <c r="GY24" s="49" t="e">
        <f t="shared" ca="1" si="23"/>
        <v>#VALUE!</v>
      </c>
      <c r="GZ24" s="49"/>
      <c r="HA24" s="49">
        <v>18</v>
      </c>
      <c r="HB24" s="49" t="e">
        <f ca="1">HB4+HA24*(HB57-HB4)/HA56</f>
        <v>#VALUE!</v>
      </c>
      <c r="HC24" s="49" t="e">
        <f ca="1">GZ33*HB24^3+GZ34*HB24^2+GZ35*HB24+GZ36</f>
        <v>#VALUE!</v>
      </c>
      <c r="HD24" s="49" t="e">
        <f t="shared" ca="1" si="12"/>
        <v>#VALUE!</v>
      </c>
      <c r="HE24" s="49" t="e">
        <f ca="1">HE4+HA24*(HE57-HE4)/HA56</f>
        <v>#VALUE!</v>
      </c>
      <c r="HF24" s="49" t="e">
        <f ca="1">GZ33*HE24^3+GZ34*HE24^2+GZ35*HE24+GZ36</f>
        <v>#VALUE!</v>
      </c>
      <c r="HG24" s="49" t="e">
        <f t="shared" ca="1" si="13"/>
        <v>#VALUE!</v>
      </c>
      <c r="HH24" s="49" t="e">
        <f ca="1">HH4+HA24*(HH57-HH4)/HA56</f>
        <v>#VALUE!</v>
      </c>
      <c r="HI24" s="49" t="e">
        <f ca="1">GL40*HH24^3+GM40*HH24^2+GN40*HH24+GO40+GD58</f>
        <v>#VALUE!</v>
      </c>
      <c r="HJ24" s="49" t="e">
        <f t="shared" ca="1" si="14"/>
        <v>#VALUE!</v>
      </c>
      <c r="HK24" s="49" t="e">
        <f t="shared" ca="1" si="19"/>
        <v>#VALUE!</v>
      </c>
      <c r="HL24" s="49" t="e">
        <f t="shared" ca="1" si="20"/>
        <v>#VALUE!</v>
      </c>
      <c r="HM24" s="49" t="e">
        <f t="shared" ca="1" si="15"/>
        <v>#VALUE!</v>
      </c>
      <c r="HN24" s="49"/>
    </row>
    <row r="25" spans="1:223" ht="3.75" customHeight="1">
      <c r="A25" s="1"/>
      <c r="B25" s="3"/>
      <c r="C25" s="3"/>
      <c r="D25" s="43"/>
      <c r="E25" s="43"/>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470"/>
      <c r="FN25" s="79"/>
      <c r="FO25" s="79"/>
      <c r="FP25" s="79"/>
      <c r="FQ25" s="79"/>
      <c r="FR25" s="79"/>
      <c r="FS25" s="79"/>
      <c r="FT25" s="79"/>
      <c r="FU25" s="79"/>
      <c r="FV25" s="79"/>
      <c r="FW25" s="79"/>
      <c r="FX25" s="79"/>
      <c r="FY25" s="32"/>
      <c r="FZ25" s="32"/>
      <c r="GA25" s="32"/>
      <c r="GB25" s="32"/>
      <c r="GC25" s="32"/>
      <c r="GD25" s="32"/>
      <c r="GE25" s="32"/>
      <c r="GF25" s="32"/>
      <c r="GG25" s="32"/>
      <c r="GH25" s="32"/>
      <c r="GI25" s="32"/>
      <c r="GJ25" s="32"/>
      <c r="GK25" s="32"/>
      <c r="GL25" s="32"/>
      <c r="GM25" s="49"/>
      <c r="GN25" s="49"/>
      <c r="GO25" s="49"/>
      <c r="GP25" s="49"/>
      <c r="GQ25" s="49"/>
      <c r="GR25" s="49"/>
      <c r="GS25" s="49" t="e">
        <f t="shared" ca="1" si="17"/>
        <v>#VALUE!</v>
      </c>
      <c r="GT25" s="49" t="e">
        <f t="shared" ca="1" si="18"/>
        <v>#VALUE!</v>
      </c>
      <c r="GU25" s="49" t="e">
        <f t="shared" ca="1" si="16"/>
        <v>#VALUE!</v>
      </c>
      <c r="GV25" s="49"/>
      <c r="GW25" s="49" t="e">
        <f t="shared" ca="1" si="21"/>
        <v>#VALUE!</v>
      </c>
      <c r="GX25" s="49" t="e">
        <f t="shared" ca="1" si="22"/>
        <v>#VALUE!</v>
      </c>
      <c r="GY25" s="49" t="e">
        <f t="shared" ca="1" si="23"/>
        <v>#VALUE!</v>
      </c>
      <c r="GZ25" s="49"/>
      <c r="HA25" s="49">
        <v>19</v>
      </c>
      <c r="HB25" s="49" t="e">
        <f ca="1">HB4+HA25*(HB57-HB4)/HA56</f>
        <v>#VALUE!</v>
      </c>
      <c r="HC25" s="49" t="e">
        <f ca="1">GZ33*HB25^3+GZ34*HB25^2+GZ35*HB25+GZ36</f>
        <v>#VALUE!</v>
      </c>
      <c r="HD25" s="49" t="e">
        <f t="shared" ca="1" si="12"/>
        <v>#VALUE!</v>
      </c>
      <c r="HE25" s="49" t="e">
        <f ca="1">HE4+HA25*(HE57-HE4)/HA56</f>
        <v>#VALUE!</v>
      </c>
      <c r="HF25" s="49" t="e">
        <f ca="1">GZ33*HE25^3+GZ34*HE25^2+GZ35*HE25+GZ36</f>
        <v>#VALUE!</v>
      </c>
      <c r="HG25" s="49" t="e">
        <f t="shared" ca="1" si="13"/>
        <v>#VALUE!</v>
      </c>
      <c r="HH25" s="49" t="e">
        <f ca="1">HH4+HA25*(HH57-HH4)/HA56</f>
        <v>#VALUE!</v>
      </c>
      <c r="HI25" s="49" t="e">
        <f ca="1">GL40*HH25^3+GM40*HH25^2+GN40*HH25+GO40+GD58</f>
        <v>#VALUE!</v>
      </c>
      <c r="HJ25" s="49" t="e">
        <f t="shared" ca="1" si="14"/>
        <v>#VALUE!</v>
      </c>
      <c r="HK25" s="49" t="e">
        <f t="shared" ca="1" si="19"/>
        <v>#VALUE!</v>
      </c>
      <c r="HL25" s="49" t="e">
        <f t="shared" ca="1" si="20"/>
        <v>#VALUE!</v>
      </c>
      <c r="HM25" s="49" t="e">
        <f t="shared" ca="1" si="15"/>
        <v>#VALUE!</v>
      </c>
      <c r="HN25" s="49"/>
    </row>
    <row r="26" spans="1:223" ht="16.5" customHeight="1">
      <c r="A26" s="1"/>
      <c r="B26" s="3"/>
      <c r="C26" s="3"/>
      <c r="D26" s="43"/>
      <c r="E26" s="43"/>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470"/>
      <c r="FN26" s="79"/>
      <c r="FO26" s="79"/>
      <c r="FP26" s="79"/>
      <c r="FQ26" s="79"/>
      <c r="FR26" s="79"/>
      <c r="FS26" s="79"/>
      <c r="FT26" s="79"/>
      <c r="FU26" s="79"/>
      <c r="FV26" s="79"/>
      <c r="FW26" s="79"/>
      <c r="FX26" s="79"/>
      <c r="FY26" s="32"/>
      <c r="FZ26" s="32"/>
      <c r="GA26" s="32"/>
      <c r="GB26" s="32"/>
      <c r="GC26" s="32"/>
      <c r="GD26" s="32"/>
      <c r="GE26" s="32"/>
      <c r="GF26" s="32"/>
      <c r="GG26" s="32"/>
      <c r="GH26" s="32"/>
      <c r="GI26" s="32"/>
      <c r="GJ26" s="32"/>
      <c r="GK26" s="32"/>
      <c r="GL26" s="32"/>
      <c r="GM26" s="49"/>
      <c r="GN26" s="49"/>
      <c r="GO26" s="49"/>
      <c r="GP26" s="49"/>
      <c r="GQ26" s="49"/>
      <c r="GR26" s="49"/>
      <c r="GS26" s="49" t="e">
        <f t="shared" ca="1" si="17"/>
        <v>#VALUE!</v>
      </c>
      <c r="GT26" s="49" t="e">
        <f t="shared" ca="1" si="18"/>
        <v>#VALUE!</v>
      </c>
      <c r="GU26" s="49" t="e">
        <f t="shared" ca="1" si="16"/>
        <v>#VALUE!</v>
      </c>
      <c r="GV26" s="49"/>
      <c r="GW26" s="49" t="e">
        <f t="shared" ca="1" si="21"/>
        <v>#VALUE!</v>
      </c>
      <c r="GX26" s="49" t="e">
        <f t="shared" ca="1" si="22"/>
        <v>#VALUE!</v>
      </c>
      <c r="GY26" s="49" t="e">
        <f t="shared" ca="1" si="23"/>
        <v>#VALUE!</v>
      </c>
      <c r="GZ26" s="49"/>
      <c r="HA26" s="49">
        <v>20</v>
      </c>
      <c r="HB26" s="49" t="e">
        <f ca="1">HB4+HA26*(HB57-HB4)/HA56</f>
        <v>#VALUE!</v>
      </c>
      <c r="HC26" s="49" t="e">
        <f ca="1">GZ33*HB26^3+GZ34*HB26^2+GZ35*HB26+GZ36</f>
        <v>#VALUE!</v>
      </c>
      <c r="HD26" s="49" t="e">
        <f t="shared" ca="1" si="12"/>
        <v>#VALUE!</v>
      </c>
      <c r="HE26" s="49" t="e">
        <f ca="1">HE4+HA26*(HE57-HE4)/HA56</f>
        <v>#VALUE!</v>
      </c>
      <c r="HF26" s="49" t="e">
        <f ca="1">GZ33*HE26^3+GZ34*HE26^2+GZ35*HE26+GZ36</f>
        <v>#VALUE!</v>
      </c>
      <c r="HG26" s="49" t="e">
        <f t="shared" ca="1" si="13"/>
        <v>#VALUE!</v>
      </c>
      <c r="HH26" s="49" t="e">
        <f ca="1">HH4+HA26*(HH57-HH4)/HA56</f>
        <v>#VALUE!</v>
      </c>
      <c r="HI26" s="49" t="e">
        <f ca="1">GL40*HH26^3+GM40*HH26^2+GN40*HH26+GO40+GD58</f>
        <v>#VALUE!</v>
      </c>
      <c r="HJ26" s="49" t="e">
        <f t="shared" ca="1" si="14"/>
        <v>#VALUE!</v>
      </c>
      <c r="HK26" s="49" t="e">
        <f t="shared" ca="1" si="19"/>
        <v>#VALUE!</v>
      </c>
      <c r="HL26" s="49" t="e">
        <f t="shared" ca="1" si="20"/>
        <v>#VALUE!</v>
      </c>
      <c r="HM26" s="49" t="e">
        <f t="shared" ca="1" si="15"/>
        <v>#VALUE!</v>
      </c>
      <c r="HN26" s="49"/>
    </row>
    <row r="27" spans="1:223" ht="3.75" customHeight="1">
      <c r="A27" s="1"/>
      <c r="B27" s="3"/>
      <c r="C27" s="3"/>
      <c r="D27" s="43"/>
      <c r="E27" s="43"/>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79"/>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470"/>
      <c r="FN27" s="79"/>
      <c r="FO27" s="79"/>
      <c r="FP27" s="79"/>
      <c r="FQ27" s="79"/>
      <c r="FR27" s="79"/>
      <c r="FS27" s="79"/>
      <c r="FT27" s="79"/>
      <c r="FU27" s="79"/>
      <c r="FV27" s="79"/>
      <c r="FW27" s="79"/>
      <c r="FX27" s="79"/>
      <c r="FY27" s="32"/>
      <c r="FZ27" s="32"/>
      <c r="GA27" s="32"/>
      <c r="GB27" s="32"/>
      <c r="GC27" s="32"/>
      <c r="GD27" s="32"/>
      <c r="GE27" s="32"/>
      <c r="GF27" s="32"/>
      <c r="GG27" s="32"/>
      <c r="GH27" s="32"/>
      <c r="GI27" s="32"/>
      <c r="GJ27" s="32"/>
      <c r="GK27" s="32"/>
      <c r="GL27" s="32"/>
      <c r="GM27" s="49"/>
      <c r="GN27" s="49"/>
      <c r="GO27" s="49"/>
      <c r="GP27" s="49"/>
      <c r="GQ27" s="49"/>
      <c r="GR27" s="49"/>
      <c r="GS27" s="49" t="e">
        <f ca="1">MAX(GU2:GU12)</f>
        <v>#VALUE!</v>
      </c>
      <c r="GT27" s="49" t="e">
        <f t="shared" ca="1" si="18"/>
        <v>#VALUE!</v>
      </c>
      <c r="GU27" s="49" t="e">
        <f t="shared" ca="1" si="16"/>
        <v>#VALUE!</v>
      </c>
      <c r="GV27" s="49"/>
      <c r="GW27" s="49" t="e">
        <f ca="1">MAX(GY5:GY17)</f>
        <v>#VALUE!</v>
      </c>
      <c r="GX27" s="49" t="e">
        <f t="shared" ca="1" si="22"/>
        <v>#VALUE!</v>
      </c>
      <c r="GY27" s="49" t="e">
        <f t="shared" ca="1" si="23"/>
        <v>#VALUE!</v>
      </c>
      <c r="GZ27" s="49"/>
      <c r="HA27" s="49">
        <v>21</v>
      </c>
      <c r="HB27" s="49" t="e">
        <f ca="1">HB4+HA27*(HB57-HB4)/HA56</f>
        <v>#VALUE!</v>
      </c>
      <c r="HC27" s="49" t="e">
        <f ca="1">GZ33*HB27^3+GZ34*HB27^2+GZ35*HB27+GZ36</f>
        <v>#VALUE!</v>
      </c>
      <c r="HD27" s="49" t="e">
        <f t="shared" ca="1" si="12"/>
        <v>#VALUE!</v>
      </c>
      <c r="HE27" s="49" t="e">
        <f ca="1">HE4+HA27*(HE57-HE4)/HA56</f>
        <v>#VALUE!</v>
      </c>
      <c r="HF27" s="49" t="e">
        <f ca="1">GZ33*HE27^3+GZ34*HE27^2+GZ35*HE27+GZ36</f>
        <v>#VALUE!</v>
      </c>
      <c r="HG27" s="49" t="e">
        <f t="shared" ca="1" si="13"/>
        <v>#VALUE!</v>
      </c>
      <c r="HH27" s="49" t="e">
        <f ca="1">HH4+HA27*(HH57-HH4)/HA56</f>
        <v>#VALUE!</v>
      </c>
      <c r="HI27" s="49" t="e">
        <f ca="1">GL40*HH27^3+GM40*HH27^2+GN40*HH27+GO40+GD58</f>
        <v>#VALUE!</v>
      </c>
      <c r="HJ27" s="49" t="e">
        <f t="shared" ca="1" si="14"/>
        <v>#VALUE!</v>
      </c>
      <c r="HK27" s="49" t="e">
        <f t="shared" ca="1" si="19"/>
        <v>#VALUE!</v>
      </c>
      <c r="HL27" s="49" t="e">
        <f t="shared" ca="1" si="20"/>
        <v>#VALUE!</v>
      </c>
      <c r="HM27" s="49" t="e">
        <f t="shared" ca="1" si="15"/>
        <v>#VALUE!</v>
      </c>
      <c r="HN27" s="49"/>
    </row>
    <row r="28" spans="1:223" ht="16.5" customHeight="1">
      <c r="A28" s="1"/>
      <c r="B28" s="3"/>
      <c r="C28" s="3"/>
      <c r="D28" s="43"/>
      <c r="E28" s="43"/>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79"/>
      <c r="EN28" s="79"/>
      <c r="EO28" s="79"/>
      <c r="EP28" s="79"/>
      <c r="EQ28" s="79"/>
      <c r="ER28" s="79"/>
      <c r="ES28" s="79"/>
      <c r="ET28" s="79"/>
      <c r="EU28" s="79"/>
      <c r="EV28" s="79"/>
      <c r="EW28" s="79"/>
      <c r="EX28" s="79"/>
      <c r="EY28" s="79"/>
      <c r="EZ28" s="79"/>
      <c r="FA28" s="79"/>
      <c r="FB28" s="79"/>
      <c r="FC28" s="79"/>
      <c r="FD28" s="79"/>
      <c r="FE28" s="79"/>
      <c r="FF28" s="79"/>
      <c r="FG28" s="79"/>
      <c r="FH28" s="79"/>
      <c r="FI28" s="79"/>
      <c r="FJ28" s="79"/>
      <c r="FK28" s="79"/>
      <c r="FL28" s="79"/>
      <c r="FM28" s="470"/>
      <c r="FN28" s="79"/>
      <c r="FO28" s="79"/>
      <c r="FP28" s="79"/>
      <c r="FQ28" s="79"/>
      <c r="FR28" s="79"/>
      <c r="FS28" s="79"/>
      <c r="FT28" s="79"/>
      <c r="FU28" s="79"/>
      <c r="FV28" s="96"/>
      <c r="FW28" s="97"/>
      <c r="FX28" s="96"/>
      <c r="FY28" s="32"/>
      <c r="FZ28" s="32"/>
      <c r="GA28" s="32"/>
      <c r="GB28" s="32"/>
      <c r="GC28" s="32"/>
      <c r="GD28" s="32"/>
      <c r="GE28" s="32"/>
      <c r="GF28" s="32"/>
      <c r="GG28" s="32"/>
      <c r="GH28" s="32"/>
      <c r="GI28" s="32"/>
      <c r="GJ28" s="32"/>
      <c r="GK28" s="32"/>
      <c r="GL28" s="32"/>
      <c r="GM28" s="49"/>
      <c r="GN28" s="49"/>
      <c r="GO28" s="49"/>
      <c r="GP28" s="49"/>
      <c r="GQ28" s="49"/>
      <c r="GR28" s="49"/>
      <c r="GS28" s="49"/>
      <c r="GT28" s="49"/>
      <c r="GU28" s="49" t="e">
        <f ca="1">MAX(GU13:GU27)</f>
        <v>#VALUE!</v>
      </c>
      <c r="GV28" s="49"/>
      <c r="GW28" s="49" t="e">
        <f ca="1">GW27*1.005</f>
        <v>#VALUE!</v>
      </c>
      <c r="GX28" s="49" t="e">
        <f t="shared" ca="1" si="22"/>
        <v>#VALUE!</v>
      </c>
      <c r="GY28" s="49" t="e">
        <f t="shared" ca="1" si="23"/>
        <v>#VALUE!</v>
      </c>
      <c r="GZ28" s="49"/>
      <c r="HA28" s="49">
        <v>22</v>
      </c>
      <c r="HB28" s="49" t="e">
        <f ca="1">HB4+HA28*(HB57-HB4)/HA56</f>
        <v>#VALUE!</v>
      </c>
      <c r="HC28" s="49" t="e">
        <f ca="1">GZ33*HB28^3+GZ34*HB28^2+GZ35*HB28+GZ36</f>
        <v>#VALUE!</v>
      </c>
      <c r="HD28" s="49" t="e">
        <f t="shared" ca="1" si="12"/>
        <v>#VALUE!</v>
      </c>
      <c r="HE28" s="49" t="e">
        <f ca="1">HE4+HA28*(HE57-HE4)/HA56</f>
        <v>#VALUE!</v>
      </c>
      <c r="HF28" s="49" t="e">
        <f ca="1">GZ33*HE28^3+GZ34*HE28^2+GZ35*HE28+GZ36</f>
        <v>#VALUE!</v>
      </c>
      <c r="HG28" s="49" t="e">
        <f t="shared" ca="1" si="13"/>
        <v>#VALUE!</v>
      </c>
      <c r="HH28" s="49" t="e">
        <f ca="1">HH4+HA28*(HH57-HH4)/HA56</f>
        <v>#VALUE!</v>
      </c>
      <c r="HI28" s="49" t="e">
        <f ca="1">GL40*HH28^3+GM40*HH28^2+GN40*HH28+GO40+GD58</f>
        <v>#VALUE!</v>
      </c>
      <c r="HJ28" s="49" t="e">
        <f t="shared" ca="1" si="14"/>
        <v>#VALUE!</v>
      </c>
      <c r="HK28" s="49" t="e">
        <f t="shared" ca="1" si="19"/>
        <v>#VALUE!</v>
      </c>
      <c r="HL28" s="49" t="e">
        <f t="shared" ca="1" si="20"/>
        <v>#VALUE!</v>
      </c>
      <c r="HM28" s="49" t="e">
        <f t="shared" ca="1" si="15"/>
        <v>#VALUE!</v>
      </c>
      <c r="HN28" s="49"/>
    </row>
    <row r="29" spans="1:223" ht="16.5" customHeight="1">
      <c r="A29" s="1"/>
      <c r="B29" s="3"/>
      <c r="C29" s="3"/>
      <c r="D29" s="373"/>
      <c r="E29" s="376"/>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25"/>
      <c r="AY29" s="26"/>
      <c r="AZ29" s="41"/>
      <c r="BA29" s="41"/>
      <c r="BB29" s="41"/>
      <c r="BC29" s="41"/>
      <c r="BD29" s="42"/>
      <c r="BE29" s="41"/>
      <c r="BF29" s="41"/>
      <c r="BG29" s="41"/>
      <c r="BH29" s="41"/>
      <c r="BI29" s="41"/>
      <c r="BJ29" s="41"/>
      <c r="BK29" s="42"/>
      <c r="BL29" s="41"/>
      <c r="BM29" s="41"/>
      <c r="BN29" s="41"/>
      <c r="BO29" s="41"/>
      <c r="BP29" s="41"/>
      <c r="BQ29" s="41"/>
      <c r="BR29" s="80"/>
      <c r="BS29" s="79"/>
      <c r="BT29" s="79"/>
      <c r="BU29" s="79"/>
      <c r="BV29" s="79"/>
      <c r="BW29" s="79"/>
      <c r="BX29" s="79"/>
      <c r="BY29" s="79"/>
      <c r="BZ29" s="80"/>
      <c r="CA29" s="80"/>
      <c r="CB29" s="80"/>
      <c r="CC29" s="80"/>
      <c r="CD29" s="80"/>
      <c r="CE29" s="80"/>
      <c r="CF29" s="80"/>
      <c r="CG29" s="80"/>
      <c r="CH29" s="80"/>
      <c r="CI29" s="80"/>
      <c r="CJ29" s="80"/>
      <c r="CK29" s="80"/>
      <c r="CL29" s="80"/>
      <c r="CM29" s="80"/>
      <c r="CN29" s="80"/>
      <c r="CO29" s="80"/>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470"/>
      <c r="FN29" s="79"/>
      <c r="FO29" s="79">
        <f ca="1">IF(programma!B1="X",1,IF(FP1=0,0,IF(R22="",0,1)))</f>
        <v>0</v>
      </c>
      <c r="FP29" s="79"/>
      <c r="FQ29" s="47"/>
      <c r="FR29" s="47"/>
      <c r="FS29" s="47"/>
      <c r="FT29" s="47"/>
      <c r="FU29" s="47"/>
      <c r="FV29" s="47"/>
      <c r="FW29" s="47"/>
      <c r="FX29" s="47"/>
      <c r="FY29" s="32"/>
      <c r="FZ29" s="32"/>
      <c r="GA29" s="32"/>
      <c r="GB29" s="32"/>
      <c r="GC29" s="32"/>
      <c r="GD29" s="32"/>
      <c r="GE29" s="32"/>
      <c r="GF29" s="32"/>
      <c r="GG29" s="32"/>
      <c r="GH29" s="32"/>
      <c r="GI29" s="32"/>
      <c r="GJ29" s="32"/>
      <c r="GK29" s="32"/>
      <c r="GL29" s="32"/>
      <c r="GM29" s="49"/>
      <c r="GN29" s="49"/>
      <c r="GO29" s="49"/>
      <c r="GP29" s="49"/>
      <c r="GQ29" s="49"/>
      <c r="GR29" s="49"/>
      <c r="GS29" s="49"/>
      <c r="GT29" s="49"/>
      <c r="GU29" s="49" t="s">
        <v>111</v>
      </c>
      <c r="GV29" s="49"/>
      <c r="GW29" s="49"/>
      <c r="GX29" s="49"/>
      <c r="GY29" s="49"/>
      <c r="GZ29" s="49"/>
      <c r="HA29" s="49">
        <v>23</v>
      </c>
      <c r="HB29" s="49" t="e">
        <f ca="1">HB4+HA29*(HB57-HB4)/HA56</f>
        <v>#VALUE!</v>
      </c>
      <c r="HC29" s="49" t="e">
        <f ca="1">GZ33*HB29^3+GZ34*HB29^2+GZ35*HB29+GZ36</f>
        <v>#VALUE!</v>
      </c>
      <c r="HD29" s="49" t="e">
        <f t="shared" ca="1" si="12"/>
        <v>#VALUE!</v>
      </c>
      <c r="HE29" s="49" t="e">
        <f ca="1">HE4+HA29*(HE57-HE4)/HA56</f>
        <v>#VALUE!</v>
      </c>
      <c r="HF29" s="49" t="e">
        <f ca="1">GZ33*HE29^3+GZ34*HE29^2+GZ35*HE29+GZ36</f>
        <v>#VALUE!</v>
      </c>
      <c r="HG29" s="49" t="e">
        <f t="shared" ca="1" si="13"/>
        <v>#VALUE!</v>
      </c>
      <c r="HH29" s="49" t="e">
        <f ca="1">HH4+HA29*(HH57-HH4)/HA56</f>
        <v>#VALUE!</v>
      </c>
      <c r="HI29" s="49" t="e">
        <f ca="1">GL40*HH29^3+GM40*HH29^2+GN40*HH29+GO40+GD58</f>
        <v>#VALUE!</v>
      </c>
      <c r="HJ29" s="49" t="e">
        <f t="shared" ca="1" si="14"/>
        <v>#VALUE!</v>
      </c>
      <c r="HK29" s="49" t="e">
        <f t="shared" ca="1" si="19"/>
        <v>#VALUE!</v>
      </c>
      <c r="HL29" s="49" t="e">
        <f t="shared" ca="1" si="20"/>
        <v>#VALUE!</v>
      </c>
      <c r="HM29" s="49" t="e">
        <f t="shared" ca="1" si="15"/>
        <v>#VALUE!</v>
      </c>
      <c r="HN29" s="49"/>
    </row>
    <row r="30" spans="1:223" ht="16.5" customHeight="1">
      <c r="A30" s="1"/>
      <c r="B30" s="3"/>
      <c r="C30" s="3"/>
      <c r="D30" s="373"/>
      <c r="E30" s="376"/>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25"/>
      <c r="AY30" s="26"/>
      <c r="AZ30" s="41"/>
      <c r="BA30" s="41"/>
      <c r="BB30" s="41"/>
      <c r="BC30" s="41"/>
      <c r="BD30" s="42"/>
      <c r="BE30" s="41"/>
      <c r="BF30" s="41"/>
      <c r="BG30" s="41"/>
      <c r="BH30" s="41"/>
      <c r="BI30" s="41"/>
      <c r="BJ30" s="41"/>
      <c r="BK30" s="42"/>
      <c r="BL30" s="41"/>
      <c r="BM30" s="41"/>
      <c r="BN30" s="41"/>
      <c r="BO30" s="41"/>
      <c r="BP30" s="41"/>
      <c r="BQ30" s="41"/>
      <c r="BR30" s="80"/>
      <c r="BS30" s="79"/>
      <c r="BT30" s="79"/>
      <c r="BU30" s="79"/>
      <c r="BV30" s="79"/>
      <c r="BW30" s="79"/>
      <c r="BX30" s="79"/>
      <c r="BY30" s="79"/>
      <c r="BZ30" s="80"/>
      <c r="CA30" s="80"/>
      <c r="CB30" s="80"/>
      <c r="CC30" s="80"/>
      <c r="CD30" s="80"/>
      <c r="CE30" s="80"/>
      <c r="CF30" s="80"/>
      <c r="CG30" s="80"/>
      <c r="CH30" s="80"/>
      <c r="CI30" s="80"/>
      <c r="CJ30" s="80"/>
      <c r="CK30" s="80"/>
      <c r="CL30" s="80"/>
      <c r="CM30" s="80"/>
      <c r="CN30" s="80"/>
      <c r="CO30" s="80"/>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47"/>
      <c r="FN30" s="47"/>
      <c r="FO30" s="47"/>
      <c r="FP30" s="47"/>
      <c r="FQ30" s="47"/>
      <c r="FR30" s="47"/>
      <c r="FS30" s="47"/>
      <c r="FT30" s="47"/>
      <c r="FU30" s="47"/>
      <c r="FV30" s="47"/>
      <c r="FW30" s="47"/>
      <c r="FX30" s="47"/>
      <c r="FY30" s="32"/>
      <c r="FZ30" s="32"/>
      <c r="GA30" s="32"/>
      <c r="GB30" s="32"/>
      <c r="GC30" s="32"/>
      <c r="GD30" s="32"/>
      <c r="GE30" s="32"/>
      <c r="GF30" s="32"/>
      <c r="GG30" s="32"/>
      <c r="GH30" s="32"/>
      <c r="GI30" s="32"/>
      <c r="GJ30" s="32"/>
      <c r="GK30" s="32"/>
      <c r="GL30" s="32"/>
      <c r="GM30" s="49"/>
      <c r="GN30" s="49"/>
      <c r="GO30" s="49"/>
      <c r="GP30" s="49"/>
      <c r="GQ30" s="49"/>
      <c r="GR30" s="49"/>
      <c r="GS30" s="49"/>
      <c r="GT30" s="49"/>
      <c r="GU30" s="49"/>
      <c r="GV30" s="49"/>
      <c r="GW30" s="49"/>
      <c r="GX30" s="49"/>
      <c r="GY30" s="49"/>
      <c r="GZ30" s="49"/>
      <c r="HA30" s="49">
        <v>24</v>
      </c>
      <c r="HB30" s="49" t="e">
        <f ca="1">HB4+HA30*(HB57-HB4)/HA56</f>
        <v>#VALUE!</v>
      </c>
      <c r="HC30" s="49" t="e">
        <f ca="1">GZ33*HB30^3+GZ34*HB30^2+GZ35*HB30+GZ36</f>
        <v>#VALUE!</v>
      </c>
      <c r="HD30" s="49" t="e">
        <f t="shared" ca="1" si="12"/>
        <v>#VALUE!</v>
      </c>
      <c r="HE30" s="49" t="e">
        <f ca="1">HE4+HA30*(HE57-HE4)/HA56</f>
        <v>#VALUE!</v>
      </c>
      <c r="HF30" s="49" t="e">
        <f ca="1">GZ33*HE30^3+GZ34*HE30^2+GZ35*HE30+GZ36</f>
        <v>#VALUE!</v>
      </c>
      <c r="HG30" s="49" t="e">
        <f t="shared" ca="1" si="13"/>
        <v>#VALUE!</v>
      </c>
      <c r="HH30" s="49" t="e">
        <f ca="1">HH4+HA30*(HH57-HH4)/HA56</f>
        <v>#VALUE!</v>
      </c>
      <c r="HI30" s="49" t="e">
        <f ca="1">GL40*HH30^3+GM40*HH30^2+GN40*HH30+GO40+GD58</f>
        <v>#VALUE!</v>
      </c>
      <c r="HJ30" s="49" t="e">
        <f t="shared" ca="1" si="14"/>
        <v>#VALUE!</v>
      </c>
      <c r="HK30" s="49" t="e">
        <f t="shared" ca="1" si="19"/>
        <v>#VALUE!</v>
      </c>
      <c r="HL30" s="49" t="e">
        <f t="shared" ca="1" si="20"/>
        <v>#VALUE!</v>
      </c>
      <c r="HM30" s="49" t="e">
        <f t="shared" ca="1" si="15"/>
        <v>#VALUE!</v>
      </c>
      <c r="HN30" s="49"/>
      <c r="HO30" s="5"/>
    </row>
    <row r="31" spans="1:223" ht="16.5" customHeight="1">
      <c r="A31" s="1"/>
      <c r="B31" s="3"/>
      <c r="C31" s="3"/>
      <c r="D31" s="38"/>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25"/>
      <c r="AY31" s="26"/>
      <c r="AZ31" s="41"/>
      <c r="BA31" s="41"/>
      <c r="BB31" s="41"/>
      <c r="BC31" s="41"/>
      <c r="BD31" s="42"/>
      <c r="BE31" s="41"/>
      <c r="BF31" s="41"/>
      <c r="BG31" s="41"/>
      <c r="BH31" s="41"/>
      <c r="BI31" s="41"/>
      <c r="BJ31" s="41"/>
      <c r="BK31" s="42"/>
      <c r="BL31" s="41"/>
      <c r="BM31" s="41"/>
      <c r="BN31" s="41"/>
      <c r="BO31" s="41"/>
      <c r="BP31" s="41"/>
      <c r="BQ31" s="41"/>
      <c r="BR31" s="80"/>
      <c r="BS31" s="79"/>
      <c r="BT31" s="79"/>
      <c r="BU31" s="79"/>
      <c r="BV31" s="79"/>
      <c r="BW31" s="79"/>
      <c r="BX31" s="79"/>
      <c r="BY31" s="79"/>
      <c r="BZ31" s="80"/>
      <c r="CA31" s="80"/>
      <c r="CB31" s="80"/>
      <c r="CC31" s="80"/>
      <c r="CD31" s="80"/>
      <c r="CE31" s="80"/>
      <c r="CF31" s="80"/>
      <c r="CG31" s="80"/>
      <c r="CH31" s="80"/>
      <c r="CI31" s="80"/>
      <c r="CJ31" s="80"/>
      <c r="CK31" s="80"/>
      <c r="CL31" s="80"/>
      <c r="CM31" s="80"/>
      <c r="CN31" s="80"/>
      <c r="CO31" s="80"/>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c r="EE31" s="79"/>
      <c r="EF31" s="79"/>
      <c r="EG31" s="79"/>
      <c r="EH31" s="79"/>
      <c r="EI31" s="79"/>
      <c r="EJ31" s="79"/>
      <c r="EK31" s="79"/>
      <c r="EL31" s="79"/>
      <c r="EM31" s="79"/>
      <c r="EN31" s="79"/>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47"/>
      <c r="FN31" s="47"/>
      <c r="FO31" s="47"/>
      <c r="FP31" s="47"/>
      <c r="FQ31" s="47"/>
      <c r="FR31" s="47"/>
      <c r="FS31" s="47"/>
      <c r="FT31" s="47"/>
      <c r="FU31" s="47"/>
      <c r="FV31" s="47"/>
      <c r="FW31" s="47"/>
      <c r="FX31" s="47"/>
      <c r="FY31" s="32"/>
      <c r="FZ31" s="32"/>
      <c r="GA31" s="32"/>
      <c r="GB31" s="32"/>
      <c r="GC31" s="32" t="s">
        <v>0</v>
      </c>
      <c r="GD31" s="32" t="s">
        <v>22</v>
      </c>
      <c r="GE31" s="32" t="s">
        <v>37</v>
      </c>
      <c r="GF31" s="32" t="s">
        <v>76</v>
      </c>
      <c r="GG31" s="32" t="s">
        <v>109</v>
      </c>
      <c r="GH31" s="32">
        <f>Blad1!AA35</f>
        <v>0.5</v>
      </c>
      <c r="GI31" s="32">
        <f ca="1">3*GL40</f>
        <v>0</v>
      </c>
      <c r="GJ31" s="32">
        <f ca="1">2*GM40+2*GH40</f>
        <v>4</v>
      </c>
      <c r="GK31" s="32">
        <f ca="1">GN40-GI40</f>
        <v>-1600</v>
      </c>
      <c r="GL31" s="32">
        <f ca="1">IF(FP24=1,(-GJ31+(GJ31^2-4*GI31*GK31)^0.5)/(2*GI31),IF(FP24=2,(GI40-GN42)/(2*GM42-(-2*GH40)),IF(FP24=3,(GI40-GN43)/(2*GM43-(-2*GH40)),IF(FP24=4,0.5*(GI40-GN44)/GH40,IF(FP24=5,0.5*GI40/GH40,0)))))</f>
        <v>0</v>
      </c>
      <c r="GM31" s="49"/>
      <c r="GN31" s="49">
        <v>2</v>
      </c>
      <c r="GO31" s="49"/>
      <c r="GP31" s="49"/>
      <c r="GQ31" s="49"/>
      <c r="GR31" s="49"/>
      <c r="GS31" s="49"/>
      <c r="GT31" s="49"/>
      <c r="GU31" s="49"/>
      <c r="GV31" s="49"/>
      <c r="GW31" s="49"/>
      <c r="GX31" s="49"/>
      <c r="GY31" s="49"/>
      <c r="GZ31" s="49"/>
      <c r="HA31" s="49">
        <v>25</v>
      </c>
      <c r="HB31" s="49" t="e">
        <f ca="1">HB4+HA31*(HB57-HB4)/HA56</f>
        <v>#VALUE!</v>
      </c>
      <c r="HC31" s="49" t="e">
        <f ca="1">GZ33*HB31^3+GZ34*HB31^2+GZ35*HB31+GZ36</f>
        <v>#VALUE!</v>
      </c>
      <c r="HD31" s="49" t="e">
        <f t="shared" ca="1" si="12"/>
        <v>#VALUE!</v>
      </c>
      <c r="HE31" s="49" t="e">
        <f ca="1">HE4+HA31*(HE57-HE4)/HA56</f>
        <v>#VALUE!</v>
      </c>
      <c r="HF31" s="49" t="e">
        <f ca="1">GZ33*HE31^3+GZ34*HE31^2+GZ35*HE31+GZ36</f>
        <v>#VALUE!</v>
      </c>
      <c r="HG31" s="49" t="e">
        <f t="shared" ca="1" si="13"/>
        <v>#VALUE!</v>
      </c>
      <c r="HH31" s="49" t="e">
        <f ca="1">HH4+HA31*(HH57-HH4)/HA56</f>
        <v>#VALUE!</v>
      </c>
      <c r="HI31" s="49" t="e">
        <f ca="1">GL40*HH31^3+GM40*HH31^2+GN40*HH31+GO40+GD58</f>
        <v>#VALUE!</v>
      </c>
      <c r="HJ31" s="49" t="e">
        <f t="shared" ca="1" si="14"/>
        <v>#VALUE!</v>
      </c>
      <c r="HK31" s="49" t="e">
        <f t="shared" ca="1" si="19"/>
        <v>#VALUE!</v>
      </c>
      <c r="HL31" s="49" t="e">
        <f t="shared" ca="1" si="20"/>
        <v>#VALUE!</v>
      </c>
      <c r="HM31" s="49" t="e">
        <f t="shared" ca="1" si="15"/>
        <v>#VALUE!</v>
      </c>
      <c r="HN31" s="49"/>
    </row>
    <row r="32" spans="1:223" ht="16.5" customHeight="1">
      <c r="A32" s="1"/>
      <c r="B32" s="3"/>
      <c r="C32" s="3"/>
      <c r="D32" s="38"/>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25"/>
      <c r="AY32" s="26"/>
      <c r="AZ32" s="41"/>
      <c r="BA32" s="41"/>
      <c r="BB32" s="41"/>
      <c r="BC32" s="41"/>
      <c r="BD32" s="42"/>
      <c r="BE32" s="41"/>
      <c r="BF32" s="41"/>
      <c r="BG32" s="41"/>
      <c r="BH32" s="41"/>
      <c r="BI32" s="41"/>
      <c r="BJ32" s="41"/>
      <c r="BK32" s="42"/>
      <c r="BL32" s="41"/>
      <c r="BM32" s="41"/>
      <c r="BN32" s="41"/>
      <c r="BO32" s="41"/>
      <c r="BP32" s="41"/>
      <c r="BQ32" s="41"/>
      <c r="BR32" s="80"/>
      <c r="BS32" s="79"/>
      <c r="BT32" s="79"/>
      <c r="BU32" s="79"/>
      <c r="BV32" s="79"/>
      <c r="BW32" s="79"/>
      <c r="BX32" s="79"/>
      <c r="BY32" s="79"/>
      <c r="BZ32" s="80"/>
      <c r="CA32" s="80"/>
      <c r="CB32" s="80"/>
      <c r="CC32" s="80"/>
      <c r="CD32" s="80"/>
      <c r="CE32" s="80"/>
      <c r="CF32" s="80"/>
      <c r="CG32" s="80"/>
      <c r="CH32" s="80"/>
      <c r="CI32" s="80"/>
      <c r="CJ32" s="80"/>
      <c r="CK32" s="80"/>
      <c r="CL32" s="80"/>
      <c r="CM32" s="80"/>
      <c r="CN32" s="80"/>
      <c r="CO32" s="80"/>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47"/>
      <c r="FN32" s="47"/>
      <c r="FO32" s="47"/>
      <c r="FP32" s="47"/>
      <c r="FQ32" s="47"/>
      <c r="FR32" s="47"/>
      <c r="FS32" s="47"/>
      <c r="FT32" s="47"/>
      <c r="FU32" s="47"/>
      <c r="FV32" s="47"/>
      <c r="FW32" s="47"/>
      <c r="FX32" s="47"/>
      <c r="FY32" s="32"/>
      <c r="FZ32" s="32"/>
      <c r="GA32" s="32">
        <v>0</v>
      </c>
      <c r="GB32" s="32">
        <f ca="1">IF(FP1=1,GO40/(1.1*GI40-GJ40),0)</f>
        <v>0</v>
      </c>
      <c r="GC32" s="32" t="str">
        <f ca="1">IF(FP1=1,0,"")</f>
        <v/>
      </c>
      <c r="GD32" s="32">
        <f ca="1">IF(FP1=1,-GH40*GC32+GI40,0)</f>
        <v>0</v>
      </c>
      <c r="GE32" s="32">
        <f ca="1">IF(FP1=1,-2*GH40*GC32+GI40,0)</f>
        <v>0</v>
      </c>
      <c r="GF32" s="32">
        <f t="shared" ref="GF32:GF42" ca="1" si="24">GZ$33*GD47^3+GZ$34*GD47^2+GZ$35*GD47+GZ$36</f>
        <v>0</v>
      </c>
      <c r="GG32" s="32" t="e">
        <f ca="1">1.1*(MIN(GF32:GF42)-0*(GG$42+MIN(GF32:GF42)))</f>
        <v>#VALUE!</v>
      </c>
      <c r="GH32" s="32">
        <f>GH31*4*Blad1!AA34</f>
        <v>800</v>
      </c>
      <c r="GI32" s="32"/>
      <c r="GJ32" s="32">
        <f>IF(GK34&gt;GK33,GK33,GK34)</f>
        <v>40</v>
      </c>
      <c r="GK32" s="32">
        <f>IF(GK34&gt;GK33,GK34,GK33)</f>
        <v>200</v>
      </c>
      <c r="GL32" s="32">
        <f>0.25*GK37</f>
        <v>80000</v>
      </c>
      <c r="GM32" s="49"/>
      <c r="GN32" s="49">
        <v>1.7</v>
      </c>
      <c r="GO32" s="49"/>
      <c r="GP32" s="49"/>
      <c r="GQ32" s="49" t="s">
        <v>85</v>
      </c>
      <c r="GR32" s="49">
        <f>GI40-GP40</f>
        <v>1600</v>
      </c>
      <c r="GS32" s="49" t="s">
        <v>38</v>
      </c>
      <c r="GT32" s="49" t="s">
        <v>39</v>
      </c>
      <c r="GU32" s="49" t="s">
        <v>86</v>
      </c>
      <c r="GV32" s="49" t="e">
        <f ca="1">GI40-GR40</f>
        <v>#VALUE!</v>
      </c>
      <c r="GW32" s="49" t="s">
        <v>38</v>
      </c>
      <c r="GX32" s="49" t="s">
        <v>39</v>
      </c>
      <c r="GY32" s="49"/>
      <c r="GZ32" s="49"/>
      <c r="HA32" s="49">
        <v>26</v>
      </c>
      <c r="HB32" s="49" t="e">
        <f ca="1">HB4+HA32*(HB57-HB4)/HA56</f>
        <v>#VALUE!</v>
      </c>
      <c r="HC32" s="49" t="e">
        <f ca="1">GZ33*HB32^3+GZ34*HB32^2+GZ35*HB32+GZ36</f>
        <v>#VALUE!</v>
      </c>
      <c r="HD32" s="49" t="e">
        <f t="shared" ca="1" si="12"/>
        <v>#VALUE!</v>
      </c>
      <c r="HE32" s="49" t="e">
        <f ca="1">HE4+HA32*(HE57-HE4)/HA56</f>
        <v>#VALUE!</v>
      </c>
      <c r="HF32" s="49" t="e">
        <f ca="1">GZ33*HE32^3+GZ34*HE32^2+GZ35*HE32+GZ36</f>
        <v>#VALUE!</v>
      </c>
      <c r="HG32" s="49" t="e">
        <f t="shared" ca="1" si="13"/>
        <v>#VALUE!</v>
      </c>
      <c r="HH32" s="49" t="e">
        <f ca="1">HH4+HA32*(HH57-HH4)/HA56</f>
        <v>#VALUE!</v>
      </c>
      <c r="HI32" s="49" t="e">
        <f ca="1">GL40*HH32^3+GM40*HH32^2+GN40*HH32+GO40+GD58</f>
        <v>#VALUE!</v>
      </c>
      <c r="HJ32" s="49" t="e">
        <f t="shared" ca="1" si="14"/>
        <v>#VALUE!</v>
      </c>
      <c r="HK32" s="49" t="e">
        <f t="shared" ca="1" si="19"/>
        <v>#VALUE!</v>
      </c>
      <c r="HL32" s="49" t="e">
        <f t="shared" ca="1" si="20"/>
        <v>#VALUE!</v>
      </c>
      <c r="HM32" s="49" t="e">
        <f t="shared" ca="1" si="15"/>
        <v>#VALUE!</v>
      </c>
      <c r="HN32" s="49"/>
    </row>
    <row r="33" spans="1:222" ht="16.5" customHeight="1">
      <c r="A33" s="1"/>
      <c r="B33" s="3"/>
      <c r="C33" s="3"/>
      <c r="D33" s="38"/>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25"/>
      <c r="AY33" s="26"/>
      <c r="AZ33" s="41"/>
      <c r="BA33" s="41"/>
      <c r="BB33" s="41"/>
      <c r="BC33" s="41"/>
      <c r="BD33" s="42"/>
      <c r="BE33" s="41"/>
      <c r="BF33" s="41"/>
      <c r="BG33" s="41"/>
      <c r="BH33" s="41"/>
      <c r="BI33" s="41"/>
      <c r="BJ33" s="41"/>
      <c r="BK33" s="42"/>
      <c r="BL33" s="41"/>
      <c r="BM33" s="41"/>
      <c r="BN33" s="41"/>
      <c r="BO33" s="41"/>
      <c r="BP33" s="41"/>
      <c r="BQ33" s="41"/>
      <c r="BR33" s="80"/>
      <c r="BS33" s="79"/>
      <c r="BT33" s="79"/>
      <c r="BU33" s="79"/>
      <c r="BV33" s="79"/>
      <c r="BW33" s="79"/>
      <c r="BX33" s="79"/>
      <c r="BY33" s="79"/>
      <c r="BZ33" s="80"/>
      <c r="CA33" s="80"/>
      <c r="CB33" s="80"/>
      <c r="CC33" s="80"/>
      <c r="CD33" s="80"/>
      <c r="CE33" s="80"/>
      <c r="CF33" s="80"/>
      <c r="CG33" s="80"/>
      <c r="CH33" s="80"/>
      <c r="CI33" s="80"/>
      <c r="CJ33" s="80"/>
      <c r="CK33" s="80"/>
      <c r="CL33" s="80"/>
      <c r="CM33" s="80"/>
      <c r="CN33" s="80"/>
      <c r="CO33" s="80"/>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47"/>
      <c r="FN33" s="47"/>
      <c r="FO33" s="47"/>
      <c r="FP33" s="47"/>
      <c r="FQ33" s="47"/>
      <c r="FR33" s="47"/>
      <c r="FS33" s="47"/>
      <c r="FT33" s="47"/>
      <c r="FU33" s="47"/>
      <c r="FV33" s="47"/>
      <c r="FW33" s="47"/>
      <c r="FX33" s="47"/>
      <c r="FY33" s="32"/>
      <c r="FZ33" s="32"/>
      <c r="GA33" s="32">
        <v>0</v>
      </c>
      <c r="GB33" s="32">
        <f ca="1">IF(FP1=1,(GB32+GB34)/2,0)</f>
        <v>0</v>
      </c>
      <c r="GC33" s="32" t="str">
        <f ca="1">IF(FP1=1,0.1*(GI40/GH40),"")</f>
        <v/>
      </c>
      <c r="GD33" s="32">
        <f ca="1">IF(FP1=1,-GH40*GC33+GI40,0)</f>
        <v>0</v>
      </c>
      <c r="GE33" s="32">
        <f ca="1">IF(FP1=1,-2*GH40*GC33+GI40,0)</f>
        <v>0</v>
      </c>
      <c r="GF33" s="32" t="e">
        <f t="shared" ca="1" si="24"/>
        <v>#VALUE!</v>
      </c>
      <c r="GG33" s="32" t="e">
        <f ca="1">1.1*(MIN(GF32:GF42)+0.1*(GG$42-MIN(GF32:GF42)))</f>
        <v>#VALUE!</v>
      </c>
      <c r="GH33" s="32" t="s">
        <v>35</v>
      </c>
      <c r="GI33" s="32"/>
      <c r="GJ33" s="32">
        <f>IF(0.4*(GL37-GL34)/GJ37&gt;0,0.4*(GL37-GL34)/GJ37,-0.4*(GL37-GL34)/GJ37)</f>
        <v>40</v>
      </c>
      <c r="GK33" s="32">
        <f>IF(GJ33&lt;1,FLOOR(GJ33,0.1),IF(GJ33&lt;10,FLOOR(GJ33,1),IF(GJ33&lt;100,FLOOR(GJ33,10),IF(GJ33&lt;1000,FLOOR(GJ33,100),IF(GJ33&lt;10000,FLOOR(GJ33,1000),IF(GJ33&lt;100000,FLOOR(GJ33,10000),FLOOR(GJ33,100000)))))))</f>
        <v>40</v>
      </c>
      <c r="GL33" s="32">
        <f>IF(GL32&lt;100,FLOOR(GL32,10),IF(GL32&lt;1000,FLOOR(GL32,100),IF(GL32&lt;10000,FLOOR(GL32,1000),IF(GL32&lt;100000,FLOOR(GL32,10000),IF(GL32&lt;1000000,FLOOR(GL32,100000),IF(GL32&lt;10000000,FLOOR(GL32,1000000),FLOOR(GL32,10000000)))))))</f>
        <v>80000</v>
      </c>
      <c r="GM33" s="49"/>
      <c r="GN33" s="49">
        <v>0.6</v>
      </c>
      <c r="GO33" s="49">
        <v>1.7</v>
      </c>
      <c r="GP33" s="49">
        <v>0.6</v>
      </c>
      <c r="GQ33" s="49">
        <v>-0.3</v>
      </c>
      <c r="GR33" s="49"/>
      <c r="GS33" s="49">
        <f>(-2*GH40)*GR33+GI40</f>
        <v>1600</v>
      </c>
      <c r="GT33" s="49"/>
      <c r="GU33" s="49">
        <f>IF(OR(FO24=5,FO24=11,FO24=14,FO24=15,FO24=16,FO24=17,FO24=18,FO24=19,FO24=27,FO24=30,FO24=33,FO24=36,FO24=37,FO24=38,FO24=39,FO24=40),0.9,1.4)</f>
        <v>1.4</v>
      </c>
      <c r="GV33" s="49" t="e">
        <f ca="1">GV32/GU35</f>
        <v>#VALUE!</v>
      </c>
      <c r="GW33" s="49" t="e">
        <f ca="1">-2*GH40*GV33+GI40</f>
        <v>#VALUE!</v>
      </c>
      <c r="GX33" s="49" t="e">
        <f ca="1">2*GQ40*GV33^1+GR40</f>
        <v>#VALUE!</v>
      </c>
      <c r="GY33" s="49"/>
      <c r="GZ33" s="49">
        <f ca="1">-GL40*1^3</f>
        <v>0</v>
      </c>
      <c r="HA33" s="49">
        <v>27</v>
      </c>
      <c r="HB33" s="49" t="e">
        <f ca="1">HB4+HA33*(HB57-HB4)/HA56</f>
        <v>#VALUE!</v>
      </c>
      <c r="HC33" s="49" t="e">
        <f ca="1">GZ33*HB33^3+GZ34*HB33^2+GZ35*HB33+GZ36</f>
        <v>#VALUE!</v>
      </c>
      <c r="HD33" s="49" t="e">
        <f t="shared" ca="1" si="12"/>
        <v>#VALUE!</v>
      </c>
      <c r="HE33" s="49" t="e">
        <f ca="1">HE4+HA33*(HE57-HE4)/HA56</f>
        <v>#VALUE!</v>
      </c>
      <c r="HF33" s="49" t="e">
        <f ca="1">GZ33*HE33^3+GZ34*HE33^2+GZ35*HE33+GZ36</f>
        <v>#VALUE!</v>
      </c>
      <c r="HG33" s="49" t="e">
        <f t="shared" ca="1" si="13"/>
        <v>#VALUE!</v>
      </c>
      <c r="HH33" s="49" t="e">
        <f ca="1">HH4+HA33*(HH57-HH4)/HA56</f>
        <v>#VALUE!</v>
      </c>
      <c r="HI33" s="49" t="e">
        <f ca="1">GL40*HH33^3+GM40*HH33^2+GN40*HH33+GO40+GD58</f>
        <v>#VALUE!</v>
      </c>
      <c r="HJ33" s="49" t="e">
        <f t="shared" ca="1" si="14"/>
        <v>#VALUE!</v>
      </c>
      <c r="HK33" s="49" t="e">
        <f t="shared" ca="1" si="19"/>
        <v>#VALUE!</v>
      </c>
      <c r="HL33" s="49" t="e">
        <f t="shared" ca="1" si="20"/>
        <v>#VALUE!</v>
      </c>
      <c r="HM33" s="49" t="e">
        <f t="shared" ca="1" si="15"/>
        <v>#VALUE!</v>
      </c>
      <c r="HN33" s="49"/>
    </row>
    <row r="34" spans="1:222" ht="16.5" customHeight="1">
      <c r="A34" s="1"/>
      <c r="B34" s="3"/>
      <c r="C34" s="3"/>
      <c r="D34" s="38"/>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25"/>
      <c r="AY34" s="26"/>
      <c r="AZ34" s="41"/>
      <c r="BA34" s="41"/>
      <c r="BB34" s="41"/>
      <c r="BC34" s="41"/>
      <c r="BD34" s="42"/>
      <c r="BE34" s="41"/>
      <c r="BF34" s="41"/>
      <c r="BG34" s="41"/>
      <c r="BH34" s="41"/>
      <c r="BI34" s="41"/>
      <c r="BJ34" s="41"/>
      <c r="BK34" s="42"/>
      <c r="BL34" s="41"/>
      <c r="BM34" s="41"/>
      <c r="BN34" s="41"/>
      <c r="BO34" s="41"/>
      <c r="BP34" s="41"/>
      <c r="BQ34" s="41"/>
      <c r="BR34" s="80"/>
      <c r="BS34" s="79"/>
      <c r="BT34" s="79"/>
      <c r="BU34" s="79"/>
      <c r="BV34" s="79"/>
      <c r="BW34" s="79"/>
      <c r="BX34" s="79"/>
      <c r="BY34" s="79"/>
      <c r="BZ34" s="80"/>
      <c r="CA34" s="80"/>
      <c r="CB34" s="80"/>
      <c r="CC34" s="80"/>
      <c r="CD34" s="80"/>
      <c r="CE34" s="80"/>
      <c r="CF34" s="80"/>
      <c r="CG34" s="80"/>
      <c r="CH34" s="80"/>
      <c r="CI34" s="80"/>
      <c r="CJ34" s="80"/>
      <c r="CK34" s="80"/>
      <c r="CL34" s="80"/>
      <c r="CM34" s="80"/>
      <c r="CN34" s="80"/>
      <c r="CO34" s="80"/>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47"/>
      <c r="FN34" s="47"/>
      <c r="FO34" s="47"/>
      <c r="FP34" s="47"/>
      <c r="FQ34" s="47"/>
      <c r="FR34" s="47"/>
      <c r="FS34" s="47"/>
      <c r="FT34" s="47"/>
      <c r="FU34" s="47"/>
      <c r="FV34" s="47"/>
      <c r="FW34" s="47"/>
      <c r="FX34" s="47"/>
      <c r="FY34" s="32"/>
      <c r="FZ34" s="32"/>
      <c r="GA34" s="32">
        <v>0</v>
      </c>
      <c r="GB34" s="32" t="str">
        <f t="shared" ref="GB34:GB42" ca="1" si="25">GC34</f>
        <v/>
      </c>
      <c r="GC34" s="32" t="str">
        <f ca="1">IF(FP1=1,0.2*(GI40/GH40),"")</f>
        <v/>
      </c>
      <c r="GD34" s="32">
        <f ca="1">IF(FP1=1,-GH40*GC34+GI40,0)</f>
        <v>0</v>
      </c>
      <c r="GE34" s="32">
        <f ca="1">IF(FP1=1,-2*GH40*GC34+GI40,0)</f>
        <v>0</v>
      </c>
      <c r="GF34" s="32" t="e">
        <f t="shared" ca="1" si="24"/>
        <v>#VALUE!</v>
      </c>
      <c r="GG34" s="32" t="e">
        <f ca="1">1.1*(MIN(GF32:GF42)+0.2*(GG$42-MIN(GF32:GF42)))</f>
        <v>#VALUE!</v>
      </c>
      <c r="GH34" s="32"/>
      <c r="GI34" s="32">
        <f>((ROUND(GH32/GH31,2))*(((ROUND(GH32/GH31,2))-GJ40)/(2/GH31))-(1/GH31)*(((ROUND(GH32/GH31,2))-GJ40)/(2/GH31))^2)-GH34</f>
        <v>320000</v>
      </c>
      <c r="GJ34" s="32">
        <f>(GL36-GL33)/GJ37</f>
        <v>250</v>
      </c>
      <c r="GK34" s="32">
        <f>IF(GJ34&lt;1,FLOOR(GJ34,0.1),IF(GJ34&lt;10,FLOOR(GJ34,1),IF(GJ34&lt;100,FLOOR(GJ34,10),IF(GJ34&lt;1000,FLOOR(GJ34,100),IF(GJ34&lt;10000,FLOOR(GJ34,1000),IF(GJ34&lt;100000,FLOOR(GJ34,10000),FLOOR(GJ34,100000)))))))</f>
        <v>200</v>
      </c>
      <c r="GL34" s="32">
        <f>2*GL33</f>
        <v>160000</v>
      </c>
      <c r="GM34" s="49">
        <f ca="1">GL31</f>
        <v>0</v>
      </c>
      <c r="GN34" s="49" t="s">
        <v>40</v>
      </c>
      <c r="GO34" s="49">
        <f ca="1">0.5*-2*GH40*GM34^2+GI40*GM34</f>
        <v>0</v>
      </c>
      <c r="GP34" s="49">
        <f ca="1">GO34-GM34*GM35</f>
        <v>0</v>
      </c>
      <c r="GQ34" s="49">
        <v>0.9</v>
      </c>
      <c r="GR34" s="49" t="s">
        <v>40</v>
      </c>
      <c r="GS34" s="49">
        <f>0.5*(-2*GH40)*GR33^2+GI40*GR33</f>
        <v>0</v>
      </c>
      <c r="GT34" s="49"/>
      <c r="GU34" s="49">
        <v>0.2</v>
      </c>
      <c r="GV34" s="49" t="s">
        <v>40</v>
      </c>
      <c r="GW34" s="49" t="e">
        <f ca="1">0.5*(-2*GH40)*GV33^2+GI40*GV33</f>
        <v>#VALUE!</v>
      </c>
      <c r="GX34" s="49" t="e">
        <f ca="1">GW34-GV33*GW33</f>
        <v>#VALUE!</v>
      </c>
      <c r="GY34" s="49"/>
      <c r="GZ34" s="49">
        <f ca="1">-GH40*1^2-GM40*1^2</f>
        <v>-2</v>
      </c>
      <c r="HA34" s="49">
        <v>28</v>
      </c>
      <c r="HB34" s="49" t="e">
        <f ca="1">HB4+HA34*(HB57-HB4)/HA56</f>
        <v>#VALUE!</v>
      </c>
      <c r="HC34" s="49" t="e">
        <f ca="1">GZ33*HB34^3+GZ34*HB34^2+GZ35*HB34+GZ36</f>
        <v>#VALUE!</v>
      </c>
      <c r="HD34" s="49" t="e">
        <f t="shared" ca="1" si="12"/>
        <v>#VALUE!</v>
      </c>
      <c r="HE34" s="49" t="e">
        <f ca="1">HE4+HA34*(HE57-HE4)/HA56</f>
        <v>#VALUE!</v>
      </c>
      <c r="HF34" s="49" t="e">
        <f ca="1">GZ33*HE34^3+GZ34*HE34^2+GZ35*HE34+GZ36</f>
        <v>#VALUE!</v>
      </c>
      <c r="HG34" s="49" t="e">
        <f t="shared" ca="1" si="13"/>
        <v>#VALUE!</v>
      </c>
      <c r="HH34" s="49" t="e">
        <f ca="1">HH4+HA34*(HH57-HH4)/HA56</f>
        <v>#VALUE!</v>
      </c>
      <c r="HI34" s="49" t="e">
        <f ca="1">GL40*HH34^3+GM40*HH34^2+GN40*HH34+GO40+GD58</f>
        <v>#VALUE!</v>
      </c>
      <c r="HJ34" s="49" t="e">
        <f t="shared" ca="1" si="14"/>
        <v>#VALUE!</v>
      </c>
      <c r="HK34" s="49" t="e">
        <f t="shared" ca="1" si="19"/>
        <v>#VALUE!</v>
      </c>
      <c r="HL34" s="49" t="e">
        <f t="shared" ca="1" si="20"/>
        <v>#VALUE!</v>
      </c>
      <c r="HM34" s="49" t="e">
        <f t="shared" ca="1" si="15"/>
        <v>#VALUE!</v>
      </c>
      <c r="HN34" s="49"/>
    </row>
    <row r="35" spans="1:222" ht="16.5" customHeight="1">
      <c r="A35" s="1"/>
      <c r="B35" s="3"/>
      <c r="C35" s="3"/>
      <c r="D35" s="38"/>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25"/>
      <c r="AY35" s="26"/>
      <c r="AZ35" s="41"/>
      <c r="BA35" s="41"/>
      <c r="BB35" s="41"/>
      <c r="BC35" s="41"/>
      <c r="BD35" s="42"/>
      <c r="BE35" s="41"/>
      <c r="BF35" s="41"/>
      <c r="BG35" s="41"/>
      <c r="BH35" s="41"/>
      <c r="BI35" s="41"/>
      <c r="BJ35" s="41"/>
      <c r="BK35" s="42"/>
      <c r="BL35" s="41"/>
      <c r="BM35" s="41"/>
      <c r="BN35" s="41"/>
      <c r="BO35" s="41"/>
      <c r="BP35" s="41"/>
      <c r="BQ35" s="41"/>
      <c r="BR35" s="80"/>
      <c r="BS35" s="79"/>
      <c r="BT35" s="79"/>
      <c r="BU35" s="79"/>
      <c r="BV35" s="79"/>
      <c r="BW35" s="79"/>
      <c r="BX35" s="79"/>
      <c r="BY35" s="79"/>
      <c r="BZ35" s="80"/>
      <c r="CA35" s="80"/>
      <c r="CB35" s="80"/>
      <c r="CC35" s="80"/>
      <c r="CD35" s="80"/>
      <c r="CE35" s="80"/>
      <c r="CF35" s="80"/>
      <c r="CG35" s="80"/>
      <c r="CH35" s="80"/>
      <c r="CI35" s="80"/>
      <c r="CJ35" s="80"/>
      <c r="CK35" s="80"/>
      <c r="CL35" s="80"/>
      <c r="CM35" s="80"/>
      <c r="CN35" s="80"/>
      <c r="CO35" s="80"/>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47"/>
      <c r="FN35" s="47"/>
      <c r="FO35" s="47"/>
      <c r="FP35" s="47"/>
      <c r="FQ35" s="47"/>
      <c r="FR35" s="47"/>
      <c r="FS35" s="47"/>
      <c r="FT35" s="47"/>
      <c r="FU35" s="47"/>
      <c r="FV35" s="47"/>
      <c r="FW35" s="47"/>
      <c r="FX35" s="47"/>
      <c r="FY35" s="32"/>
      <c r="FZ35" s="32"/>
      <c r="GA35" s="32">
        <v>0</v>
      </c>
      <c r="GB35" s="32" t="str">
        <f t="shared" ca="1" si="25"/>
        <v/>
      </c>
      <c r="GC35" s="32" t="str">
        <f ca="1">IF(FP1=1,0.3*(GI40/GH40),"")</f>
        <v/>
      </c>
      <c r="GD35" s="32">
        <f ca="1">IF(FP1=1,-GH40*GC35+GI40,0)</f>
        <v>0</v>
      </c>
      <c r="GE35" s="32">
        <f ca="1">IF(FP1=1,-2*GH40*GC35+GI40,0)</f>
        <v>0</v>
      </c>
      <c r="GF35" s="32" t="e">
        <f t="shared" ca="1" si="24"/>
        <v>#VALUE!</v>
      </c>
      <c r="GG35" s="32" t="e">
        <f ca="1">1.1*(MIN(GF32:GF42)+0.3*(GG$42-MIN(GF32:GF42)))</f>
        <v>#VALUE!</v>
      </c>
      <c r="GH35" s="32" t="s">
        <v>36</v>
      </c>
      <c r="GI35" s="32"/>
      <c r="GJ35" s="32">
        <f>ROUND(GH32/GH31,2)</f>
        <v>1600</v>
      </c>
      <c r="GK35" s="32">
        <f>ROUND(1/GH31,3)</f>
        <v>2</v>
      </c>
      <c r="GL35" s="32">
        <f>0.8*GK37</f>
        <v>256000</v>
      </c>
      <c r="GM35" s="49">
        <f ca="1">-2*GH40*GM34+GI40</f>
        <v>1600</v>
      </c>
      <c r="GN35" s="49" t="s">
        <v>41</v>
      </c>
      <c r="GO35" s="49">
        <f ca="1">GL40*GM34^3+GM40*GM34^2+GN40*GM34+GO40</f>
        <v>0</v>
      </c>
      <c r="GP35" s="49">
        <f ca="1">GO35-GM34*GM35</f>
        <v>0</v>
      </c>
      <c r="GQ35" s="49"/>
      <c r="GR35" s="49" t="s">
        <v>41</v>
      </c>
      <c r="GS35" s="49"/>
      <c r="GT35" s="49"/>
      <c r="GU35" s="49">
        <f>2*GQ40-(-2*GH40)</f>
        <v>4</v>
      </c>
      <c r="GV35" s="49" t="s">
        <v>41</v>
      </c>
      <c r="GW35" s="49" t="e">
        <f ca="1">GQ40*GV33^2+GR40*GV33+GO40</f>
        <v>#VALUE!</v>
      </c>
      <c r="GX35" s="49" t="e">
        <f ca="1">GW35-GV33*GW33</f>
        <v>#VALUE!</v>
      </c>
      <c r="GY35" s="49"/>
      <c r="GZ35" s="49">
        <f ca="1">GI40*1-GN40*1</f>
        <v>1600</v>
      </c>
      <c r="HA35" s="49">
        <v>29</v>
      </c>
      <c r="HB35" s="49" t="e">
        <f ca="1">HB4+HA35*(HB57-HB4)/HA56</f>
        <v>#VALUE!</v>
      </c>
      <c r="HC35" s="49" t="e">
        <f ca="1">GZ33*HB35^3+GZ34*HB35^2+GZ35*HB35+GZ36</f>
        <v>#VALUE!</v>
      </c>
      <c r="HD35" s="49" t="e">
        <f t="shared" ca="1" si="12"/>
        <v>#VALUE!</v>
      </c>
      <c r="HE35" s="49" t="e">
        <f ca="1">HE4+HA35*(HE57-HE4)/HA56</f>
        <v>#VALUE!</v>
      </c>
      <c r="HF35" s="49" t="e">
        <f ca="1">GZ33*HE35^3+GZ34*HE35^2+GZ35*HE35+GZ36</f>
        <v>#VALUE!</v>
      </c>
      <c r="HG35" s="49" t="e">
        <f t="shared" ca="1" si="13"/>
        <v>#VALUE!</v>
      </c>
      <c r="HH35" s="49" t="e">
        <f ca="1">HH4+HA35*(HH57-HH4)/HA56</f>
        <v>#VALUE!</v>
      </c>
      <c r="HI35" s="49" t="e">
        <f ca="1">GL40*HH35^3+GM40*HH35^2+GN40*HH35+GO40+GD58</f>
        <v>#VALUE!</v>
      </c>
      <c r="HJ35" s="49" t="e">
        <f t="shared" ca="1" si="14"/>
        <v>#VALUE!</v>
      </c>
      <c r="HK35" s="49" t="e">
        <f t="shared" ca="1" si="19"/>
        <v>#VALUE!</v>
      </c>
      <c r="HL35" s="49" t="e">
        <f t="shared" ca="1" si="20"/>
        <v>#VALUE!</v>
      </c>
      <c r="HM35" s="49" t="e">
        <f t="shared" ca="1" si="15"/>
        <v>#VALUE!</v>
      </c>
      <c r="HN35" s="49"/>
    </row>
    <row r="36" spans="1:222" ht="16.5" customHeight="1">
      <c r="A36" s="1"/>
      <c r="B36" s="3"/>
      <c r="C36" s="3"/>
      <c r="D36" s="38"/>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25"/>
      <c r="AY36" s="26"/>
      <c r="AZ36" s="41"/>
      <c r="BA36" s="41"/>
      <c r="BB36" s="41"/>
      <c r="BC36" s="41"/>
      <c r="BD36" s="42"/>
      <c r="BE36" s="41"/>
      <c r="BF36" s="41"/>
      <c r="BG36" s="41"/>
      <c r="BH36" s="41"/>
      <c r="BI36" s="41"/>
      <c r="BJ36" s="41"/>
      <c r="BK36" s="42"/>
      <c r="BL36" s="41"/>
      <c r="BM36" s="41"/>
      <c r="BN36" s="41"/>
      <c r="BO36" s="41"/>
      <c r="BP36" s="41"/>
      <c r="BQ36" s="41"/>
      <c r="BR36" s="80"/>
      <c r="BS36" s="79"/>
      <c r="BT36" s="79"/>
      <c r="BU36" s="79"/>
      <c r="BV36" s="79"/>
      <c r="BW36" s="79"/>
      <c r="BX36" s="79"/>
      <c r="BY36" s="79"/>
      <c r="BZ36" s="80"/>
      <c r="CA36" s="80"/>
      <c r="CB36" s="80"/>
      <c r="CC36" s="80"/>
      <c r="CD36" s="80"/>
      <c r="CE36" s="80"/>
      <c r="CF36" s="80"/>
      <c r="CG36" s="80"/>
      <c r="CH36" s="80"/>
      <c r="CI36" s="80"/>
      <c r="CJ36" s="80"/>
      <c r="CK36" s="80"/>
      <c r="CL36" s="80"/>
      <c r="CM36" s="80"/>
      <c r="CN36" s="80"/>
      <c r="CO36" s="80"/>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47"/>
      <c r="FN36" s="47"/>
      <c r="FO36" s="47"/>
      <c r="FP36" s="47"/>
      <c r="FQ36" s="47"/>
      <c r="FR36" s="47"/>
      <c r="FS36" s="47"/>
      <c r="FT36" s="47"/>
      <c r="FU36" s="47"/>
      <c r="FV36" s="47"/>
      <c r="FW36" s="47"/>
      <c r="FX36" s="47"/>
      <c r="FY36" s="32"/>
      <c r="FZ36" s="32"/>
      <c r="GA36" s="32">
        <v>0</v>
      </c>
      <c r="GB36" s="32" t="str">
        <f t="shared" ca="1" si="25"/>
        <v/>
      </c>
      <c r="GC36" s="32" t="str">
        <f ca="1">IF(FP1=1,0.4*(GI40/GH40),"")</f>
        <v/>
      </c>
      <c r="GD36" s="32">
        <f ca="1">IF(FP1=1,-GH40*GC36+GI40,0)</f>
        <v>0</v>
      </c>
      <c r="GE36" s="32">
        <f ca="1">IF(FP1=1,-2*GH40*GC36+GI40,0)</f>
        <v>0</v>
      </c>
      <c r="GF36" s="32" t="e">
        <f t="shared" ca="1" si="24"/>
        <v>#VALUE!</v>
      </c>
      <c r="GG36" s="32" t="e">
        <f ca="1">1.1*(MIN(GF32:GF42)+0.4*(GG$42-MIN(GF32:GF42)))</f>
        <v>#VALUE!</v>
      </c>
      <c r="GH36" s="32"/>
      <c r="GI36" s="32"/>
      <c r="GJ36" s="32">
        <f>(GH32/GH31)/(1/GH31)</f>
        <v>800</v>
      </c>
      <c r="GK36" s="32">
        <f>ROUND(1/GH31,3)</f>
        <v>2</v>
      </c>
      <c r="GL36" s="32">
        <f>(GL34+GL37)/2</f>
        <v>180000</v>
      </c>
      <c r="GM36" s="49"/>
      <c r="GN36" s="49"/>
      <c r="GO36" s="49"/>
      <c r="GP36" s="49"/>
      <c r="GQ36" s="49"/>
      <c r="GR36" s="49"/>
      <c r="GS36" s="49"/>
      <c r="GT36" s="49"/>
      <c r="GU36" s="49"/>
      <c r="GV36" s="49"/>
      <c r="GW36" s="49"/>
      <c r="GX36" s="49"/>
      <c r="GY36" s="49"/>
      <c r="GZ36" s="49">
        <f ca="1">-GO40</f>
        <v>0</v>
      </c>
      <c r="HA36" s="49">
        <v>30</v>
      </c>
      <c r="HB36" s="49" t="e">
        <f ca="1">HB4+HA36*(HB57-HB4)/HA56</f>
        <v>#VALUE!</v>
      </c>
      <c r="HC36" s="49" t="e">
        <f ca="1">GZ33*HB36^3+GZ34*HB36^2+GZ35*HB36+GZ36</f>
        <v>#VALUE!</v>
      </c>
      <c r="HD36" s="49" t="e">
        <f t="shared" ca="1" si="12"/>
        <v>#VALUE!</v>
      </c>
      <c r="HE36" s="49" t="e">
        <f ca="1">HE4+HA36*(HE57-HE4)/HA56</f>
        <v>#VALUE!</v>
      </c>
      <c r="HF36" s="49" t="e">
        <f ca="1">GZ33*HE36^3+GZ34*HE36^2+GZ35*HE36+GZ36</f>
        <v>#VALUE!</v>
      </c>
      <c r="HG36" s="49" t="e">
        <f t="shared" ca="1" si="13"/>
        <v>#VALUE!</v>
      </c>
      <c r="HH36" s="49" t="e">
        <f ca="1">HH4+HA36*(HH57-HH4)/HA56</f>
        <v>#VALUE!</v>
      </c>
      <c r="HI36" s="49" t="e">
        <f ca="1">GL40*HH36^3+GM40*HH36^2+GN40*HH36+GO40+GD58</f>
        <v>#VALUE!</v>
      </c>
      <c r="HJ36" s="49" t="e">
        <f t="shared" ca="1" si="14"/>
        <v>#VALUE!</v>
      </c>
      <c r="HK36" s="49" t="e">
        <f t="shared" ca="1" si="19"/>
        <v>#VALUE!</v>
      </c>
      <c r="HL36" s="49" t="e">
        <f t="shared" ca="1" si="20"/>
        <v>#VALUE!</v>
      </c>
      <c r="HM36" s="49" t="e">
        <f t="shared" ca="1" si="15"/>
        <v>#VALUE!</v>
      </c>
      <c r="HN36" s="49"/>
    </row>
    <row r="37" spans="1:222" ht="16.5" customHeight="1">
      <c r="A37" s="1"/>
      <c r="B37" s="3"/>
      <c r="C37" s="3"/>
      <c r="D37" s="38"/>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25"/>
      <c r="AY37" s="26"/>
      <c r="AZ37" s="41"/>
      <c r="BA37" s="41"/>
      <c r="BB37" s="41"/>
      <c r="BC37" s="41"/>
      <c r="BD37" s="42"/>
      <c r="BE37" s="41"/>
      <c r="BF37" s="41"/>
      <c r="BG37" s="41"/>
      <c r="BH37" s="41"/>
      <c r="BI37" s="41"/>
      <c r="BJ37" s="41"/>
      <c r="BK37" s="42"/>
      <c r="BL37" s="41"/>
      <c r="BM37" s="41"/>
      <c r="BN37" s="41"/>
      <c r="BO37" s="41"/>
      <c r="BP37" s="41"/>
      <c r="BQ37" s="41"/>
      <c r="BR37" s="80"/>
      <c r="BS37" s="79"/>
      <c r="BT37" s="79"/>
      <c r="BU37" s="79"/>
      <c r="BV37" s="79"/>
      <c r="BW37" s="79"/>
      <c r="BX37" s="79"/>
      <c r="BY37" s="79"/>
      <c r="BZ37" s="80"/>
      <c r="CA37" s="80"/>
      <c r="CB37" s="80"/>
      <c r="CC37" s="80"/>
      <c r="CD37" s="80"/>
      <c r="CE37" s="80"/>
      <c r="CF37" s="80"/>
      <c r="CG37" s="80"/>
      <c r="CH37" s="80"/>
      <c r="CI37" s="80"/>
      <c r="CJ37" s="80"/>
      <c r="CK37" s="80"/>
      <c r="CL37" s="80"/>
      <c r="CM37" s="80"/>
      <c r="CN37" s="80"/>
      <c r="CO37" s="80"/>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47"/>
      <c r="FN37" s="47"/>
      <c r="FO37" s="47"/>
      <c r="FP37" s="47"/>
      <c r="FQ37" s="47"/>
      <c r="FR37" s="47"/>
      <c r="FS37" s="47"/>
      <c r="FT37" s="47"/>
      <c r="FU37" s="47"/>
      <c r="FV37" s="47"/>
      <c r="FW37" s="47"/>
      <c r="FX37" s="47"/>
      <c r="FY37" s="32"/>
      <c r="FZ37" s="32"/>
      <c r="GA37" s="32">
        <v>0</v>
      </c>
      <c r="GB37" s="32" t="str">
        <f t="shared" ca="1" si="25"/>
        <v/>
      </c>
      <c r="GC37" s="32" t="str">
        <f ca="1">IF(FP1=1,0.5*(GI40/GH40),"")</f>
        <v/>
      </c>
      <c r="GD37" s="32">
        <f ca="1">IF(FP1=1,-GH40*GC37+GI40,0)</f>
        <v>0</v>
      </c>
      <c r="GE37" s="32">
        <f ca="1">IF(FP1=1,-2*GH40*GC37+GI40,0)</f>
        <v>0</v>
      </c>
      <c r="GF37" s="32" t="e">
        <f t="shared" ca="1" si="24"/>
        <v>#VALUE!</v>
      </c>
      <c r="GG37" s="32" t="e">
        <f ca="1">1.1*(MIN(GF32:GF42)+0.5*(GG$42-MIN(GF32:GF42)))</f>
        <v>#VALUE!</v>
      </c>
      <c r="GH37" s="32">
        <f>IF(GL34&gt;GL33,GL33,GL34)</f>
        <v>80000</v>
      </c>
      <c r="GI37" s="32">
        <f>IF(GL34&gt;GL33,GL34,GL33)</f>
        <v>160000</v>
      </c>
      <c r="GJ37" s="32">
        <f>ROUND(GH32/GH31,2)/(ROUND(1/GH31,3)*2)</f>
        <v>400</v>
      </c>
      <c r="GK37" s="32">
        <f>GJ35*GJ37-GK35*GJ37^2</f>
        <v>320000</v>
      </c>
      <c r="GL37" s="32">
        <f>IF(GL35&lt;100,FLOOR(GL35,10),IF(GL35&lt;1000,FLOOR(GL35,100),IF(GL35&lt;10000,FLOOR(GL35,1000),IF(GL35&lt;100000,FLOOR(GL35,10000),IF(GL35&lt;1000000,FLOOR(GL35,100000),IF(GL35&lt;10000000,FLOOR(GL35,1000000),FLOOR(GL35,10000000)))))))</f>
        <v>200000</v>
      </c>
      <c r="GM37" s="49">
        <f ca="1">3*GL40*GM34^2+2*GM40*GM34^1+GN40</f>
        <v>0</v>
      </c>
      <c r="GN37" s="49"/>
      <c r="GO37" s="49"/>
      <c r="GP37" s="49"/>
      <c r="GQ37" s="49"/>
      <c r="GR37" s="49"/>
      <c r="GS37" s="49" t="s">
        <v>20</v>
      </c>
      <c r="GT37" s="49" t="s">
        <v>82</v>
      </c>
      <c r="GU37" s="49" t="s">
        <v>83</v>
      </c>
      <c r="GV37" s="49"/>
      <c r="GW37" s="49"/>
      <c r="GX37" s="49"/>
      <c r="GY37" s="49"/>
      <c r="GZ37" s="49"/>
      <c r="HA37" s="49">
        <v>31</v>
      </c>
      <c r="HB37" s="49" t="e">
        <f ca="1">HB4+HA37*(HB57-HB4)/HA56</f>
        <v>#VALUE!</v>
      </c>
      <c r="HC37" s="49" t="e">
        <f ca="1">GZ33*HB37^3+GZ34*HB37^2+GZ35*HB37+GZ36</f>
        <v>#VALUE!</v>
      </c>
      <c r="HD37" s="49" t="e">
        <f t="shared" ca="1" si="12"/>
        <v>#VALUE!</v>
      </c>
      <c r="HE37" s="49" t="e">
        <f ca="1">HE4+HA37*(HE57-HE4)/HA56</f>
        <v>#VALUE!</v>
      </c>
      <c r="HF37" s="49" t="e">
        <f ca="1">GZ33*HE37^3+GZ34*HE37^2+GZ35*HE37+GZ36</f>
        <v>#VALUE!</v>
      </c>
      <c r="HG37" s="49" t="e">
        <f t="shared" ca="1" si="13"/>
        <v>#VALUE!</v>
      </c>
      <c r="HH37" s="49" t="e">
        <f ca="1">HH4+HA37*(HH57-HH4)/HA56</f>
        <v>#VALUE!</v>
      </c>
      <c r="HI37" s="49" t="e">
        <f ca="1">GL40*HH37^3+GM40*HH37^2+GN40*HH37+GO40+GD58</f>
        <v>#VALUE!</v>
      </c>
      <c r="HJ37" s="49" t="e">
        <f t="shared" ca="1" si="14"/>
        <v>#VALUE!</v>
      </c>
      <c r="HK37" s="49" t="e">
        <f t="shared" ca="1" si="19"/>
        <v>#VALUE!</v>
      </c>
      <c r="HL37" s="49" t="e">
        <f t="shared" ca="1" si="20"/>
        <v>#VALUE!</v>
      </c>
      <c r="HM37" s="49" t="e">
        <f t="shared" ca="1" si="15"/>
        <v>#VALUE!</v>
      </c>
      <c r="HN37" s="49"/>
    </row>
    <row r="38" spans="1:222" ht="16.5" customHeight="1">
      <c r="A38" s="1"/>
      <c r="B38" s="3"/>
      <c r="C38" s="3"/>
      <c r="D38" s="38"/>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25"/>
      <c r="AY38" s="26"/>
      <c r="AZ38" s="41"/>
      <c r="BA38" s="41"/>
      <c r="BB38" s="41"/>
      <c r="BC38" s="41"/>
      <c r="BD38" s="42"/>
      <c r="BE38" s="41"/>
      <c r="BF38" s="41"/>
      <c r="BG38" s="41"/>
      <c r="BH38" s="41"/>
      <c r="BI38" s="41"/>
      <c r="BJ38" s="41"/>
      <c r="BK38" s="42"/>
      <c r="BL38" s="41"/>
      <c r="BM38" s="41"/>
      <c r="BN38" s="41"/>
      <c r="BO38" s="41"/>
      <c r="BP38" s="41"/>
      <c r="BQ38" s="41"/>
      <c r="BR38" s="80"/>
      <c r="BS38" s="79"/>
      <c r="BT38" s="79"/>
      <c r="BU38" s="79"/>
      <c r="BV38" s="79"/>
      <c r="BW38" s="79"/>
      <c r="BX38" s="79"/>
      <c r="BY38" s="79"/>
      <c r="BZ38" s="80"/>
      <c r="CA38" s="80"/>
      <c r="CB38" s="80"/>
      <c r="CC38" s="80"/>
      <c r="CD38" s="80"/>
      <c r="CE38" s="80"/>
      <c r="CF38" s="80"/>
      <c r="CG38" s="80"/>
      <c r="CH38" s="80"/>
      <c r="CI38" s="80"/>
      <c r="CJ38" s="80"/>
      <c r="CK38" s="80"/>
      <c r="CL38" s="80"/>
      <c r="CM38" s="80"/>
      <c r="CN38" s="80"/>
      <c r="CO38" s="80"/>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47"/>
      <c r="FN38" s="47"/>
      <c r="FO38" s="47"/>
      <c r="FP38" s="47"/>
      <c r="FQ38" s="47"/>
      <c r="FR38" s="47"/>
      <c r="FS38" s="47"/>
      <c r="FT38" s="47"/>
      <c r="FU38" s="47"/>
      <c r="FV38" s="47"/>
      <c r="FW38" s="47"/>
      <c r="FX38" s="47"/>
      <c r="FY38" s="32"/>
      <c r="FZ38" s="32"/>
      <c r="GA38" s="32">
        <v>0</v>
      </c>
      <c r="GB38" s="32" t="str">
        <f t="shared" ca="1" si="25"/>
        <v/>
      </c>
      <c r="GC38" s="32" t="str">
        <f ca="1">IF(FP1=1,0.6*(GI40/GH40),"")</f>
        <v/>
      </c>
      <c r="GD38" s="32">
        <f ca="1">IF(FP1=1,-GH40*GC38+GI40,0)</f>
        <v>0</v>
      </c>
      <c r="GE38" s="32"/>
      <c r="GF38" s="32" t="e">
        <f t="shared" ca="1" si="24"/>
        <v>#VALUE!</v>
      </c>
      <c r="GG38" s="32" t="e">
        <f ca="1">1.1*(MIN(GF32:GF42)+0.6*(GG$42-MIN(GF32:GF42)))</f>
        <v>#VALUE!</v>
      </c>
      <c r="GH38" s="32"/>
      <c r="GI38" s="32"/>
      <c r="GJ38" s="32"/>
      <c r="GK38" s="32"/>
      <c r="GL38" s="32"/>
      <c r="GM38" s="49"/>
      <c r="GN38" s="49"/>
      <c r="GO38" s="49"/>
      <c r="GP38" s="49"/>
      <c r="GQ38" s="49"/>
      <c r="GR38" s="49"/>
      <c r="GS38" s="49"/>
      <c r="GT38" s="49"/>
      <c r="GU38" s="49"/>
      <c r="GV38" s="49"/>
      <c r="GW38" s="49"/>
      <c r="GX38" s="49"/>
      <c r="GY38" s="49"/>
      <c r="GZ38" s="49"/>
      <c r="HA38" s="49">
        <v>32</v>
      </c>
      <c r="HB38" s="49" t="e">
        <f ca="1">HB4+HA38*(HB57-HB4)/HA56</f>
        <v>#VALUE!</v>
      </c>
      <c r="HC38" s="49" t="e">
        <f ca="1">GZ33*HB38^3+GZ34*HB38^2+GZ35*HB38+GZ36</f>
        <v>#VALUE!</v>
      </c>
      <c r="HD38" s="49" t="e">
        <f t="shared" ca="1" si="12"/>
        <v>#VALUE!</v>
      </c>
      <c r="HE38" s="49" t="e">
        <f ca="1">HE4+HA38*(HE57-HE4)/HA56</f>
        <v>#VALUE!</v>
      </c>
      <c r="HF38" s="49" t="e">
        <f ca="1">GZ33*HE38^3+GZ34*HE38^2+GZ35*HE38+GZ36</f>
        <v>#VALUE!</v>
      </c>
      <c r="HG38" s="49" t="e">
        <f t="shared" ca="1" si="13"/>
        <v>#VALUE!</v>
      </c>
      <c r="HH38" s="49" t="e">
        <f ca="1">HH4+HA38*(HH57-HH4)/HA56</f>
        <v>#VALUE!</v>
      </c>
      <c r="HI38" s="49" t="e">
        <f ca="1">GL40*HH38^3+GM40*HH38^2+GN40*HH38+GO40+GD58</f>
        <v>#VALUE!</v>
      </c>
      <c r="HJ38" s="49" t="e">
        <f t="shared" ca="1" si="14"/>
        <v>#VALUE!</v>
      </c>
      <c r="HK38" s="49" t="e">
        <f t="shared" ca="1" si="19"/>
        <v>#VALUE!</v>
      </c>
      <c r="HL38" s="49" t="e">
        <f t="shared" ca="1" si="20"/>
        <v>#VALUE!</v>
      </c>
      <c r="HM38" s="49" t="e">
        <f t="shared" ca="1" si="15"/>
        <v>#VALUE!</v>
      </c>
      <c r="HN38" s="49"/>
    </row>
    <row r="39" spans="1:222" ht="16.5" customHeight="1">
      <c r="A39" s="1"/>
      <c r="B39" s="3"/>
      <c r="C39" s="3"/>
      <c r="D39" s="38"/>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25"/>
      <c r="AY39" s="26"/>
      <c r="AZ39" s="41"/>
      <c r="BA39" s="41"/>
      <c r="BB39" s="41"/>
      <c r="BC39" s="41"/>
      <c r="BD39" s="42"/>
      <c r="BE39" s="41"/>
      <c r="BF39" s="41"/>
      <c r="BG39" s="41"/>
      <c r="BH39" s="41"/>
      <c r="BI39" s="41"/>
      <c r="BJ39" s="41"/>
      <c r="BK39" s="42"/>
      <c r="BL39" s="41"/>
      <c r="BM39" s="41"/>
      <c r="BN39" s="41"/>
      <c r="BO39" s="41"/>
      <c r="BP39" s="41"/>
      <c r="BQ39" s="41"/>
      <c r="BR39" s="80"/>
      <c r="BS39" s="79"/>
      <c r="BT39" s="79"/>
      <c r="BU39" s="79"/>
      <c r="BV39" s="79"/>
      <c r="BW39" s="79"/>
      <c r="BX39" s="79"/>
      <c r="BY39" s="79"/>
      <c r="BZ39" s="80"/>
      <c r="CA39" s="80"/>
      <c r="CB39" s="80"/>
      <c r="CC39" s="80"/>
      <c r="CD39" s="80"/>
      <c r="CE39" s="80"/>
      <c r="CF39" s="80"/>
      <c r="CG39" s="80"/>
      <c r="CH39" s="80"/>
      <c r="CI39" s="80"/>
      <c r="CJ39" s="80"/>
      <c r="CK39" s="80"/>
      <c r="CL39" s="80"/>
      <c r="CM39" s="80"/>
      <c r="CN39" s="80"/>
      <c r="CO39" s="80"/>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47"/>
      <c r="FN39" s="47"/>
      <c r="FO39" s="47"/>
      <c r="FP39" s="47"/>
      <c r="FQ39" s="47"/>
      <c r="FR39" s="47"/>
      <c r="FS39" s="47"/>
      <c r="FT39" s="47"/>
      <c r="FU39" s="47"/>
      <c r="FV39" s="47"/>
      <c r="FW39" s="47"/>
      <c r="FX39" s="47"/>
      <c r="FY39" s="32"/>
      <c r="FZ39" s="32"/>
      <c r="GA39" s="32">
        <v>0</v>
      </c>
      <c r="GB39" s="32" t="str">
        <f t="shared" ca="1" si="25"/>
        <v/>
      </c>
      <c r="GC39" s="32" t="str">
        <f ca="1">IF(FP1=1,0.7*(GI40/GH40),"")</f>
        <v/>
      </c>
      <c r="GD39" s="32">
        <f ca="1">IF(FP1=1,-GH40*GC39+GI40,0)</f>
        <v>0</v>
      </c>
      <c r="GE39" s="32"/>
      <c r="GF39" s="32" t="e">
        <f t="shared" ca="1" si="24"/>
        <v>#VALUE!</v>
      </c>
      <c r="GG39" s="32" t="e">
        <f ca="1">1.1*(MIN(GF32:GF42)+0.7*(GG$42-MIN(GF32:GF42)))</f>
        <v>#VALUE!</v>
      </c>
      <c r="GH39" s="32" t="s">
        <v>77</v>
      </c>
      <c r="GI39" s="32"/>
      <c r="GJ39" s="32"/>
      <c r="GK39" s="32"/>
      <c r="GL39" s="32" t="s">
        <v>79</v>
      </c>
      <c r="GM39" s="49"/>
      <c r="GN39" s="49"/>
      <c r="GO39" s="49"/>
      <c r="GP39" s="49"/>
      <c r="GQ39" s="49"/>
      <c r="GR39" s="49"/>
      <c r="GS39" s="49">
        <f>-GH40</f>
        <v>-2</v>
      </c>
      <c r="GT39" s="49">
        <f>GI40-GJ40</f>
        <v>1600</v>
      </c>
      <c r="GU39" s="49">
        <f ca="1">-GO40</f>
        <v>0</v>
      </c>
      <c r="GV39" s="49">
        <f ca="1">-(GT39-(GT39^2-4*GS39*GU39)^0.5)/(2*GS39)</f>
        <v>0</v>
      </c>
      <c r="GW39" s="49">
        <f ca="1">-(GT39+(GT39^2-4*GS39*GU39)^0.5)/(2*GS39)</f>
        <v>800</v>
      </c>
      <c r="GX39" s="49"/>
      <c r="GY39" s="49"/>
      <c r="GZ39" s="49"/>
      <c r="HA39" s="49">
        <v>33</v>
      </c>
      <c r="HB39" s="49" t="e">
        <f ca="1">HB4+HA39*(HB57-HB4)/HA56</f>
        <v>#VALUE!</v>
      </c>
      <c r="HC39" s="49" t="e">
        <f ca="1">GZ33*HB39^3+GZ34*HB39^2+GZ35*HB39+GZ36</f>
        <v>#VALUE!</v>
      </c>
      <c r="HD39" s="49" t="e">
        <f t="shared" ca="1" si="12"/>
        <v>#VALUE!</v>
      </c>
      <c r="HE39" s="49" t="e">
        <f ca="1">HE4+HA39*(HE57-HE4)/HA56</f>
        <v>#VALUE!</v>
      </c>
      <c r="HF39" s="49" t="e">
        <f ca="1">GZ33*HE39^3+GZ34*HE39^2+GZ35*HE39+GZ36</f>
        <v>#VALUE!</v>
      </c>
      <c r="HG39" s="49" t="e">
        <f t="shared" ca="1" si="13"/>
        <v>#VALUE!</v>
      </c>
      <c r="HH39" s="49" t="e">
        <f ca="1">HH4+HA39*(HH57-HH4)/HA56</f>
        <v>#VALUE!</v>
      </c>
      <c r="HI39" s="49" t="e">
        <f ca="1">GL40*HH39^3+GM40*HH39^2+GN40*HH39+GO40+GD58</f>
        <v>#VALUE!</v>
      </c>
      <c r="HJ39" s="49" t="e">
        <f t="shared" ca="1" si="14"/>
        <v>#VALUE!</v>
      </c>
      <c r="HK39" s="49" t="e">
        <f t="shared" ca="1" si="19"/>
        <v>#VALUE!</v>
      </c>
      <c r="HL39" s="49" t="e">
        <f t="shared" ca="1" si="20"/>
        <v>#VALUE!</v>
      </c>
      <c r="HM39" s="49" t="e">
        <f t="shared" ca="1" si="15"/>
        <v>#VALUE!</v>
      </c>
      <c r="HN39" s="49"/>
    </row>
    <row r="40" spans="1:222" ht="16.5" customHeight="1">
      <c r="A40" s="1"/>
      <c r="B40" s="3"/>
      <c r="C40" s="3"/>
      <c r="D40" s="38"/>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25"/>
      <c r="AY40" s="26"/>
      <c r="AZ40" s="41"/>
      <c r="BA40" s="41"/>
      <c r="BB40" s="41"/>
      <c r="BC40" s="41"/>
      <c r="BD40" s="42"/>
      <c r="BE40" s="41"/>
      <c r="BF40" s="41"/>
      <c r="BG40" s="41"/>
      <c r="BH40" s="41"/>
      <c r="BI40" s="41"/>
      <c r="BJ40" s="41"/>
      <c r="BK40" s="42"/>
      <c r="BL40" s="41"/>
      <c r="BM40" s="41"/>
      <c r="BN40" s="41"/>
      <c r="BO40" s="41"/>
      <c r="BP40" s="41"/>
      <c r="BQ40" s="41"/>
      <c r="BR40" s="80"/>
      <c r="BS40" s="79"/>
      <c r="BT40" s="79"/>
      <c r="BU40" s="79"/>
      <c r="BV40" s="79"/>
      <c r="BW40" s="79"/>
      <c r="BX40" s="79"/>
      <c r="BY40" s="79"/>
      <c r="BZ40" s="80"/>
      <c r="CA40" s="80"/>
      <c r="CB40" s="80"/>
      <c r="CC40" s="80"/>
      <c r="CD40" s="80"/>
      <c r="CE40" s="80"/>
      <c r="CF40" s="80"/>
      <c r="CG40" s="80"/>
      <c r="CH40" s="80"/>
      <c r="CI40" s="80"/>
      <c r="CJ40" s="80"/>
      <c r="CK40" s="80"/>
      <c r="CL40" s="80"/>
      <c r="CM40" s="80"/>
      <c r="CN40" s="80"/>
      <c r="CO40" s="80"/>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47"/>
      <c r="FN40" s="47"/>
      <c r="FO40" s="47"/>
      <c r="FP40" s="47"/>
      <c r="FQ40" s="47"/>
      <c r="FR40" s="47"/>
      <c r="FS40" s="47"/>
      <c r="FT40" s="47"/>
      <c r="FU40" s="47"/>
      <c r="FV40" s="47"/>
      <c r="FW40" s="47"/>
      <c r="FX40" s="47"/>
      <c r="FY40" s="32"/>
      <c r="FZ40" s="32"/>
      <c r="GA40" s="32">
        <v>0</v>
      </c>
      <c r="GB40" s="32" t="str">
        <f t="shared" ca="1" si="25"/>
        <v/>
      </c>
      <c r="GC40" s="32" t="str">
        <f ca="1">IF(FP1=1,0.8*(GI40/GH40),"")</f>
        <v/>
      </c>
      <c r="GD40" s="32">
        <f ca="1">IF(FP1=1,-GH40*GC40+GI40,0)</f>
        <v>0</v>
      </c>
      <c r="GE40" s="32"/>
      <c r="GF40" s="32" t="e">
        <f t="shared" ca="1" si="24"/>
        <v>#VALUE!</v>
      </c>
      <c r="GG40" s="32" t="e">
        <f ca="1">1.1*(MIN(GF32:GF42)+0.8*(GG$42-MIN(GF32:GF42)))</f>
        <v>#VALUE!</v>
      </c>
      <c r="GH40" s="32">
        <f>1/(Blad1!AA35)</f>
        <v>2</v>
      </c>
      <c r="GI40" s="32">
        <f>4*Blad1!AA34</f>
        <v>1600</v>
      </c>
      <c r="GJ40" s="32"/>
      <c r="GK40" s="32"/>
      <c r="GL40" s="32">
        <f ca="1">IF(FP24=1,GL41,IF(FP24=2,GL42,IF(FP24=3,GL43,IF(FP24=4,GL44,IF(FP24=5,GL45,0)))))</f>
        <v>0</v>
      </c>
      <c r="GM40" s="49">
        <f ca="1">IF(FP24=1,GM41,IF(FP24=2,GM42,IF(FP24=3,GM43,IF(FP24=4,GM44,IF(FP24=5,GM45,0)))))</f>
        <v>0</v>
      </c>
      <c r="GN40" s="49">
        <f ca="1">IF(FP24=1,GN41,IF(FP24=2,GN42,IF(FP24=3,GN43,IF(FP24=4,GN44,IF(FP24=5,GN45,0)))))</f>
        <v>0</v>
      </c>
      <c r="GO40" s="49">
        <f ca="1">IF(FP24=0,0,ROUND((GH37+GI37)/2,0))</f>
        <v>0</v>
      </c>
      <c r="GP40" s="49"/>
      <c r="GQ40" s="49"/>
      <c r="GR40" s="49" t="e">
        <f ca="1">GN52*GU34/GC42^1</f>
        <v>#VALUE!</v>
      </c>
      <c r="GS40" s="49"/>
      <c r="GT40" s="49">
        <f>GI40-GP40</f>
        <v>1600</v>
      </c>
      <c r="GU40" s="49">
        <f ca="1">-GO40</f>
        <v>0</v>
      </c>
      <c r="GV40" s="49"/>
      <c r="GW40" s="49"/>
      <c r="GX40" s="49"/>
      <c r="GY40" s="49"/>
      <c r="GZ40" s="49"/>
      <c r="HA40" s="49">
        <v>34</v>
      </c>
      <c r="HB40" s="49" t="e">
        <f ca="1">HB4+HA40*(HB57-HB4)/HA56</f>
        <v>#VALUE!</v>
      </c>
      <c r="HC40" s="49" t="e">
        <f ca="1">GZ33*HB40^3+GZ34*HB40^2+GZ35*HB40+GZ36</f>
        <v>#VALUE!</v>
      </c>
      <c r="HD40" s="49" t="e">
        <f t="shared" ca="1" si="12"/>
        <v>#VALUE!</v>
      </c>
      <c r="HE40" s="49" t="e">
        <f ca="1">HE4+HA40*(HE57-HE4)/HA56</f>
        <v>#VALUE!</v>
      </c>
      <c r="HF40" s="49" t="e">
        <f ca="1">GZ33*HE40^3+GZ34*HE40^2+GZ35*HE40+GZ36</f>
        <v>#VALUE!</v>
      </c>
      <c r="HG40" s="49" t="e">
        <f t="shared" ca="1" si="13"/>
        <v>#VALUE!</v>
      </c>
      <c r="HH40" s="49" t="e">
        <f ca="1">HH4+HA40*(HH57-HH4)/HA56</f>
        <v>#VALUE!</v>
      </c>
      <c r="HI40" s="49" t="e">
        <f ca="1">GL40*HH40^3+GM40*HH40^2+GN40*HH40+GO40+GD58</f>
        <v>#VALUE!</v>
      </c>
      <c r="HJ40" s="49" t="e">
        <f t="shared" ca="1" si="14"/>
        <v>#VALUE!</v>
      </c>
      <c r="HK40" s="49" t="e">
        <f t="shared" ca="1" si="19"/>
        <v>#VALUE!</v>
      </c>
      <c r="HL40" s="49" t="e">
        <f t="shared" ca="1" si="20"/>
        <v>#VALUE!</v>
      </c>
      <c r="HM40" s="49" t="e">
        <f t="shared" ca="1" si="15"/>
        <v>#VALUE!</v>
      </c>
      <c r="HN40" s="49"/>
    </row>
    <row r="41" spans="1:222" ht="16.5" customHeight="1">
      <c r="A41" s="1"/>
      <c r="B41" s="3"/>
      <c r="C41" s="3"/>
      <c r="D41" s="38"/>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25"/>
      <c r="AY41" s="26"/>
      <c r="AZ41" s="41"/>
      <c r="BA41" s="41"/>
      <c r="BB41" s="41"/>
      <c r="BC41" s="41"/>
      <c r="BD41" s="42"/>
      <c r="BE41" s="41"/>
      <c r="BF41" s="41"/>
      <c r="BG41" s="41"/>
      <c r="BH41" s="41"/>
      <c r="BI41" s="41"/>
      <c r="BJ41" s="41"/>
      <c r="BK41" s="42"/>
      <c r="BL41" s="41"/>
      <c r="BM41" s="41"/>
      <c r="BN41" s="41"/>
      <c r="BO41" s="41"/>
      <c r="BP41" s="41"/>
      <c r="BQ41" s="41"/>
      <c r="BR41" s="80"/>
      <c r="BS41" s="79"/>
      <c r="BT41" s="79"/>
      <c r="BU41" s="79"/>
      <c r="BV41" s="79"/>
      <c r="BW41" s="79"/>
      <c r="BX41" s="79"/>
      <c r="BY41" s="79"/>
      <c r="BZ41" s="80"/>
      <c r="CA41" s="80"/>
      <c r="CB41" s="80"/>
      <c r="CC41" s="80"/>
      <c r="CD41" s="80"/>
      <c r="CE41" s="80"/>
      <c r="CF41" s="80"/>
      <c r="CG41" s="80"/>
      <c r="CH41" s="80"/>
      <c r="CI41" s="80"/>
      <c r="CJ41" s="80"/>
      <c r="CK41" s="80"/>
      <c r="CL41" s="80"/>
      <c r="CM41" s="80"/>
      <c r="CN41" s="80"/>
      <c r="CO41" s="80"/>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47"/>
      <c r="FN41" s="47"/>
      <c r="FO41" s="47"/>
      <c r="FP41" s="47"/>
      <c r="FQ41" s="47"/>
      <c r="FR41" s="47"/>
      <c r="FS41" s="47"/>
      <c r="FT41" s="47"/>
      <c r="FU41" s="47"/>
      <c r="FV41" s="47"/>
      <c r="FW41" s="47"/>
      <c r="FX41" s="47"/>
      <c r="FY41" s="32"/>
      <c r="FZ41" s="32"/>
      <c r="GA41" s="32">
        <v>0</v>
      </c>
      <c r="GB41" s="32" t="str">
        <f t="shared" ca="1" si="25"/>
        <v/>
      </c>
      <c r="GC41" s="32" t="str">
        <f ca="1">IF(FP1=1,0.9*(GI40/GH40),"")</f>
        <v/>
      </c>
      <c r="GD41" s="32">
        <f ca="1">IF(FP1=1,-GH40*GC41+GI40,0)</f>
        <v>0</v>
      </c>
      <c r="GE41" s="32"/>
      <c r="GF41" s="32" t="e">
        <f t="shared" ca="1" si="24"/>
        <v>#VALUE!</v>
      </c>
      <c r="GG41" s="32" t="e">
        <f ca="1">1.1*(MIN(GF32:GF42)+0.9*(GG$42-MIN(GF32:GF42)))</f>
        <v>#VALUE!</v>
      </c>
      <c r="GH41" s="32"/>
      <c r="GI41" s="32"/>
      <c r="GJ41" s="32"/>
      <c r="GK41" s="32"/>
      <c r="GL41" s="32" t="e">
        <f ca="1">GN52*GN31/GC42^3</f>
        <v>#VALUE!</v>
      </c>
      <c r="GM41" s="49" t="e">
        <f ca="1">-GN52*GN32/GC42^2</f>
        <v>#VALUE!</v>
      </c>
      <c r="GN41" s="49" t="e">
        <f ca="1">GN52*GN33/GC42^1</f>
        <v>#VALUE!</v>
      </c>
      <c r="GO41" s="49"/>
      <c r="GP41" s="49"/>
      <c r="GQ41" s="49"/>
      <c r="GR41" s="49"/>
      <c r="GS41" s="49">
        <f>-GH40-GQ40</f>
        <v>-2</v>
      </c>
      <c r="GT41" s="49" t="e">
        <f ca="1">GI40-GR40</f>
        <v>#VALUE!</v>
      </c>
      <c r="GU41" s="49">
        <f ca="1">-GO40</f>
        <v>0</v>
      </c>
      <c r="GV41" s="49" t="e">
        <f ca="1">-(GT41-(GT41^2-4*GS41*GU41)^0.5)/(2*GS41)</f>
        <v>#VALUE!</v>
      </c>
      <c r="GW41" s="49" t="e">
        <f ca="1">-(GT41+(GT41^2-4*GS41*GU41)^0.5)/(2*GS41)</f>
        <v>#VALUE!</v>
      </c>
      <c r="GX41" s="49"/>
      <c r="GY41" s="49"/>
      <c r="GZ41" s="49"/>
      <c r="HA41" s="49">
        <v>35</v>
      </c>
      <c r="HB41" s="49" t="e">
        <f ca="1">HB4+HA41*(HB57-HB4)/HA56</f>
        <v>#VALUE!</v>
      </c>
      <c r="HC41" s="49" t="e">
        <f ca="1">GZ33*HB41^3+GZ34*HB41^2+GZ35*HB41+GZ36</f>
        <v>#VALUE!</v>
      </c>
      <c r="HD41" s="49" t="e">
        <f t="shared" ca="1" si="12"/>
        <v>#VALUE!</v>
      </c>
      <c r="HE41" s="49" t="e">
        <f ca="1">HE4+HA41*(HE57-HE4)/HA56</f>
        <v>#VALUE!</v>
      </c>
      <c r="HF41" s="49" t="e">
        <f ca="1">GZ33*HE41^3+GZ34*HE41^2+GZ35*HE41+GZ36</f>
        <v>#VALUE!</v>
      </c>
      <c r="HG41" s="49" t="e">
        <f t="shared" ca="1" si="13"/>
        <v>#VALUE!</v>
      </c>
      <c r="HH41" s="49" t="e">
        <f ca="1">HH4+HA41*(HH57-HH4)/HA56</f>
        <v>#VALUE!</v>
      </c>
      <c r="HI41" s="49" t="e">
        <f ca="1">GL40*HH41^3+GM40*HH41^2+GN40*HH41+GO40+GD58</f>
        <v>#VALUE!</v>
      </c>
      <c r="HJ41" s="49" t="e">
        <f t="shared" ca="1" si="14"/>
        <v>#VALUE!</v>
      </c>
      <c r="HK41" s="49" t="e">
        <f t="shared" ca="1" si="19"/>
        <v>#VALUE!</v>
      </c>
      <c r="HL41" s="49" t="e">
        <f t="shared" ca="1" si="20"/>
        <v>#VALUE!</v>
      </c>
      <c r="HM41" s="49" t="e">
        <f t="shared" ca="1" si="15"/>
        <v>#VALUE!</v>
      </c>
      <c r="HN41" s="49"/>
    </row>
    <row r="42" spans="1:222" ht="16.5" customHeight="1">
      <c r="A42" s="1"/>
      <c r="B42" s="3"/>
      <c r="C42" s="3"/>
      <c r="D42" s="38"/>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25"/>
      <c r="AY42" s="26"/>
      <c r="AZ42" s="41"/>
      <c r="BA42" s="41"/>
      <c r="BB42" s="41"/>
      <c r="BC42" s="41"/>
      <c r="BD42" s="42"/>
      <c r="BE42" s="41"/>
      <c r="BF42" s="41"/>
      <c r="BG42" s="41"/>
      <c r="BH42" s="41"/>
      <c r="BI42" s="41"/>
      <c r="BJ42" s="41"/>
      <c r="BK42" s="42"/>
      <c r="BL42" s="41"/>
      <c r="BM42" s="41"/>
      <c r="BN42" s="41"/>
      <c r="BO42" s="41"/>
      <c r="BP42" s="41"/>
      <c r="BQ42" s="41"/>
      <c r="BR42" s="80"/>
      <c r="BS42" s="79"/>
      <c r="BT42" s="79"/>
      <c r="BU42" s="79"/>
      <c r="BV42" s="79"/>
      <c r="BW42" s="79"/>
      <c r="BX42" s="79"/>
      <c r="BY42" s="79"/>
      <c r="BZ42" s="80"/>
      <c r="CA42" s="80"/>
      <c r="CB42" s="80"/>
      <c r="CC42" s="80"/>
      <c r="CD42" s="80"/>
      <c r="CE42" s="80"/>
      <c r="CF42" s="80"/>
      <c r="CG42" s="80"/>
      <c r="CH42" s="80"/>
      <c r="CI42" s="80"/>
      <c r="CJ42" s="80"/>
      <c r="CK42" s="80"/>
      <c r="CL42" s="80"/>
      <c r="CM42" s="80"/>
      <c r="CN42" s="80"/>
      <c r="CO42" s="80"/>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47"/>
      <c r="FN42" s="47"/>
      <c r="FO42" s="47"/>
      <c r="FP42" s="47"/>
      <c r="FQ42" s="47"/>
      <c r="FR42" s="47"/>
      <c r="FS42" s="47"/>
      <c r="FT42" s="47"/>
      <c r="FU42" s="47"/>
      <c r="FV42" s="47"/>
      <c r="FW42" s="47"/>
      <c r="FX42" s="47"/>
      <c r="FY42" s="32"/>
      <c r="FZ42" s="32"/>
      <c r="GA42" s="32">
        <v>0</v>
      </c>
      <c r="GB42" s="32" t="str">
        <f t="shared" ca="1" si="25"/>
        <v/>
      </c>
      <c r="GC42" s="32" t="str">
        <f ca="1">IF(FP1=1,(GI40/GH40),"")</f>
        <v/>
      </c>
      <c r="GD42" s="32">
        <f ca="1">IF(FP1=1,-GH40*GC42+GI40,0)</f>
        <v>0</v>
      </c>
      <c r="GE42" s="32"/>
      <c r="GF42" s="32" t="e">
        <f t="shared" ca="1" si="24"/>
        <v>#VALUE!</v>
      </c>
      <c r="GG42" s="32" t="e">
        <f ca="1">IF(AND(FO22=1,MAX(GF32:GF42)&gt;0.1),MAX(GF32:GF42),IF(FO22=2,GF37,0))</f>
        <v>#VALUE!</v>
      </c>
      <c r="GH42" s="32"/>
      <c r="GI42" s="32"/>
      <c r="GJ42" s="32"/>
      <c r="GK42" s="32"/>
      <c r="GL42" s="32">
        <v>9.9999999999999998E-17</v>
      </c>
      <c r="GM42" s="49" t="e">
        <f ca="1">GN52*GQ33/GC57^2</f>
        <v>#VALUE!</v>
      </c>
      <c r="GN42" s="49" t="e">
        <f ca="1">GN52*GQ34/GC57^1</f>
        <v>#VALUE!</v>
      </c>
      <c r="GO42" s="49"/>
      <c r="GP42" s="49"/>
      <c r="GQ42" s="49"/>
      <c r="GR42" s="49"/>
      <c r="GS42" s="49"/>
      <c r="GT42" s="49"/>
      <c r="GU42" s="49"/>
      <c r="GV42" s="49"/>
      <c r="GW42" s="49"/>
      <c r="GX42" s="49"/>
      <c r="GY42" s="49"/>
      <c r="GZ42" s="49"/>
      <c r="HA42" s="49">
        <v>36</v>
      </c>
      <c r="HB42" s="49" t="e">
        <f ca="1">HB4+HA42*(HB57-HB4)/HA56</f>
        <v>#VALUE!</v>
      </c>
      <c r="HC42" s="49" t="e">
        <f ca="1">GZ33*HB42^3+GZ34*HB42^2+GZ35*HB42+GZ36</f>
        <v>#VALUE!</v>
      </c>
      <c r="HD42" s="49" t="e">
        <f t="shared" ca="1" si="12"/>
        <v>#VALUE!</v>
      </c>
      <c r="HE42" s="49" t="e">
        <f ca="1">HE4+HA42*(HE57-HE4)/HA56</f>
        <v>#VALUE!</v>
      </c>
      <c r="HF42" s="49" t="e">
        <f ca="1">GZ33*HE42^3+GZ34*HE42^2+GZ35*HE42+GZ36</f>
        <v>#VALUE!</v>
      </c>
      <c r="HG42" s="49" t="e">
        <f t="shared" ca="1" si="13"/>
        <v>#VALUE!</v>
      </c>
      <c r="HH42" s="49" t="e">
        <f ca="1">HH4+HA42*(HH57-HH4)/HA56</f>
        <v>#VALUE!</v>
      </c>
      <c r="HI42" s="49" t="e">
        <f ca="1">GL40*HH42^3+GM40*HH42^2+GN40*HH42+GO40+GD58</f>
        <v>#VALUE!</v>
      </c>
      <c r="HJ42" s="49" t="e">
        <f t="shared" ca="1" si="14"/>
        <v>#VALUE!</v>
      </c>
      <c r="HK42" s="49" t="e">
        <f t="shared" ca="1" si="19"/>
        <v>#VALUE!</v>
      </c>
      <c r="HL42" s="49" t="e">
        <f t="shared" ca="1" si="20"/>
        <v>#VALUE!</v>
      </c>
      <c r="HM42" s="49" t="e">
        <f t="shared" ca="1" si="15"/>
        <v>#VALUE!</v>
      </c>
      <c r="HN42" s="49"/>
    </row>
    <row r="43" spans="1:222" ht="16.5" customHeight="1">
      <c r="A43" s="1"/>
      <c r="B43" s="3"/>
      <c r="C43" s="3"/>
      <c r="D43" s="38"/>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25"/>
      <c r="AY43" s="26"/>
      <c r="AZ43" s="41"/>
      <c r="BA43" s="41"/>
      <c r="BB43" s="41"/>
      <c r="BC43" s="41"/>
      <c r="BD43" s="42"/>
      <c r="BE43" s="41"/>
      <c r="BF43" s="41"/>
      <c r="BG43" s="41"/>
      <c r="BH43" s="41"/>
      <c r="BI43" s="41"/>
      <c r="BJ43" s="41"/>
      <c r="BK43" s="42"/>
      <c r="BL43" s="41"/>
      <c r="BM43" s="41"/>
      <c r="BN43" s="41"/>
      <c r="BO43" s="41"/>
      <c r="BP43" s="41"/>
      <c r="BQ43" s="41"/>
      <c r="BR43" s="80"/>
      <c r="BS43" s="79"/>
      <c r="BT43" s="79"/>
      <c r="BU43" s="79"/>
      <c r="BV43" s="79"/>
      <c r="BW43" s="79"/>
      <c r="BX43" s="79"/>
      <c r="BY43" s="79"/>
      <c r="BZ43" s="80"/>
      <c r="CA43" s="80"/>
      <c r="CB43" s="80"/>
      <c r="CC43" s="80"/>
      <c r="CD43" s="80"/>
      <c r="CE43" s="80"/>
      <c r="CF43" s="80"/>
      <c r="CG43" s="80"/>
      <c r="CH43" s="80"/>
      <c r="CI43" s="80"/>
      <c r="CJ43" s="80"/>
      <c r="CK43" s="80"/>
      <c r="CL43" s="80"/>
      <c r="CM43" s="80"/>
      <c r="CN43" s="80"/>
      <c r="CO43" s="80"/>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47"/>
      <c r="FN43" s="47"/>
      <c r="FO43" s="47"/>
      <c r="FP43" s="47"/>
      <c r="FQ43" s="47"/>
      <c r="FR43" s="47"/>
      <c r="FS43" s="47"/>
      <c r="FT43" s="47"/>
      <c r="FU43" s="47"/>
      <c r="FV43" s="47"/>
      <c r="FW43" s="47"/>
      <c r="FX43" s="47"/>
      <c r="FY43" s="32"/>
      <c r="FZ43" s="32"/>
      <c r="GA43" s="32"/>
      <c r="GB43" s="32" t="e">
        <f ca="1">GB42+GB33</f>
        <v>#VALUE!</v>
      </c>
      <c r="GC43" s="32"/>
      <c r="GD43" s="32"/>
      <c r="GE43" s="32"/>
      <c r="GF43" s="32"/>
      <c r="GG43" s="32"/>
      <c r="GH43" s="32"/>
      <c r="GI43" s="32"/>
      <c r="GJ43" s="32"/>
      <c r="GK43" s="32"/>
      <c r="GL43" s="32">
        <v>9.9999999999999998E-17</v>
      </c>
      <c r="GM43" s="49" t="e">
        <f ca="1">GN52*GU33/GC57^2</f>
        <v>#VALUE!</v>
      </c>
      <c r="GN43" s="49" t="e">
        <f ca="1">GN52*GU34/GC57^1</f>
        <v>#VALUE!</v>
      </c>
      <c r="GO43" s="49"/>
      <c r="GP43" s="49"/>
      <c r="GQ43" s="49"/>
      <c r="GR43" s="49"/>
      <c r="GS43" s="49"/>
      <c r="GT43" s="49"/>
      <c r="GU43" s="49"/>
      <c r="GV43" s="49"/>
      <c r="GW43" s="49"/>
      <c r="GX43" s="49"/>
      <c r="GY43" s="49"/>
      <c r="GZ43" s="49"/>
      <c r="HA43" s="49">
        <v>37</v>
      </c>
      <c r="HB43" s="49" t="e">
        <f ca="1">HB4+HA43*(HB57-HB4)/HA56</f>
        <v>#VALUE!</v>
      </c>
      <c r="HC43" s="49" t="e">
        <f ca="1">GZ33*HB43^3+GZ34*HB43^2+GZ35*HB43+GZ36</f>
        <v>#VALUE!</v>
      </c>
      <c r="HD43" s="49" t="e">
        <f t="shared" ca="1" si="12"/>
        <v>#VALUE!</v>
      </c>
      <c r="HE43" s="49" t="e">
        <f ca="1">HE4+HA43*(HE57-HE4)/HA56</f>
        <v>#VALUE!</v>
      </c>
      <c r="HF43" s="49" t="e">
        <f ca="1">GZ33*HE43^3+GZ34*HE43^2+GZ35*HE43+GZ36</f>
        <v>#VALUE!</v>
      </c>
      <c r="HG43" s="49" t="e">
        <f t="shared" ca="1" si="13"/>
        <v>#VALUE!</v>
      </c>
      <c r="HH43" s="49" t="e">
        <f ca="1">HH4+HA43*(HH57-HH4)/HA56</f>
        <v>#VALUE!</v>
      </c>
      <c r="HI43" s="49" t="e">
        <f ca="1">GL40*HH43^3+GM40*HH43^2+GN40*HH43+GO40+GD58</f>
        <v>#VALUE!</v>
      </c>
      <c r="HJ43" s="49" t="e">
        <f t="shared" ca="1" si="14"/>
        <v>#VALUE!</v>
      </c>
      <c r="HK43" s="49" t="e">
        <f t="shared" ca="1" si="19"/>
        <v>#VALUE!</v>
      </c>
      <c r="HL43" s="49" t="e">
        <f t="shared" ca="1" si="20"/>
        <v>#VALUE!</v>
      </c>
      <c r="HM43" s="49" t="e">
        <f t="shared" ca="1" si="15"/>
        <v>#VALUE!</v>
      </c>
      <c r="HN43" s="49"/>
    </row>
    <row r="44" spans="1:222" ht="16.5" customHeight="1">
      <c r="A44" s="1"/>
      <c r="B44" s="3"/>
      <c r="C44" s="3"/>
      <c r="D44" s="38"/>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25"/>
      <c r="AY44" s="26"/>
      <c r="AZ44" s="41"/>
      <c r="BA44" s="41"/>
      <c r="BB44" s="41"/>
      <c r="BC44" s="41"/>
      <c r="BD44" s="42"/>
      <c r="BE44" s="41"/>
      <c r="BF44" s="41"/>
      <c r="BG44" s="41"/>
      <c r="BH44" s="41"/>
      <c r="BI44" s="41"/>
      <c r="BJ44" s="41"/>
      <c r="BK44" s="42"/>
      <c r="BL44" s="41"/>
      <c r="BM44" s="41"/>
      <c r="BN44" s="41"/>
      <c r="BO44" s="41"/>
      <c r="BP44" s="41"/>
      <c r="BQ44" s="41"/>
      <c r="BR44" s="80"/>
      <c r="BS44" s="79"/>
      <c r="BT44" s="79"/>
      <c r="BU44" s="79"/>
      <c r="BV44" s="79"/>
      <c r="BW44" s="79"/>
      <c r="BX44" s="79"/>
      <c r="BY44" s="79"/>
      <c r="BZ44" s="80"/>
      <c r="CA44" s="80"/>
      <c r="CB44" s="80"/>
      <c r="CC44" s="80"/>
      <c r="CD44" s="80"/>
      <c r="CE44" s="80"/>
      <c r="CF44" s="80"/>
      <c r="CG44" s="80"/>
      <c r="CH44" s="80"/>
      <c r="CI44" s="80"/>
      <c r="CJ44" s="80"/>
      <c r="CK44" s="80"/>
      <c r="CL44" s="80"/>
      <c r="CM44" s="80"/>
      <c r="CN44" s="80"/>
      <c r="CO44" s="80"/>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47"/>
      <c r="FN44" s="47"/>
      <c r="FO44" s="47"/>
      <c r="FP44" s="47"/>
      <c r="FQ44" s="47"/>
      <c r="FR44" s="47"/>
      <c r="FS44" s="47"/>
      <c r="FT44" s="47"/>
      <c r="FU44" s="47"/>
      <c r="FV44" s="47"/>
      <c r="FW44" s="47"/>
      <c r="FX44" s="47"/>
      <c r="FY44" s="32"/>
      <c r="FZ44" s="32"/>
      <c r="GA44" s="32"/>
      <c r="GB44" s="32"/>
      <c r="GC44" s="32"/>
      <c r="GD44" s="32"/>
      <c r="GE44" s="32"/>
      <c r="GF44" s="32"/>
      <c r="GG44" s="32"/>
      <c r="GH44" s="32"/>
      <c r="GI44" s="32"/>
      <c r="GJ44" s="32"/>
      <c r="GK44" s="32"/>
      <c r="GL44" s="32">
        <v>9.9999999999999998E-17</v>
      </c>
      <c r="GM44" s="49">
        <v>9.9999999999999998E-17</v>
      </c>
      <c r="GN44" s="49">
        <f>ROUND((GJ32+GK32)/2,0)</f>
        <v>120</v>
      </c>
      <c r="GO44" s="49"/>
      <c r="GP44" s="49"/>
      <c r="GQ44" s="49"/>
      <c r="GR44" s="49"/>
      <c r="GS44" s="49"/>
      <c r="GT44" s="49"/>
      <c r="GU44" s="49"/>
      <c r="GV44" s="49"/>
      <c r="GW44" s="49"/>
      <c r="GX44" s="49"/>
      <c r="GY44" s="49"/>
      <c r="GZ44" s="49"/>
      <c r="HA44" s="49">
        <v>38</v>
      </c>
      <c r="HB44" s="49" t="e">
        <f ca="1">HB4+HA44*(HB57-HB4)/HA56</f>
        <v>#VALUE!</v>
      </c>
      <c r="HC44" s="49" t="e">
        <f ca="1">GZ33*HB44^3+GZ34*HB44^2+GZ35*HB44+GZ36</f>
        <v>#VALUE!</v>
      </c>
      <c r="HD44" s="49" t="e">
        <f t="shared" ca="1" si="12"/>
        <v>#VALUE!</v>
      </c>
      <c r="HE44" s="49" t="e">
        <f ca="1">HE4+HA44*(HE57-HE4)/HA56</f>
        <v>#VALUE!</v>
      </c>
      <c r="HF44" s="49" t="e">
        <f ca="1">GZ33*HE44^3+GZ34*HE44^2+GZ35*HE44+GZ36</f>
        <v>#VALUE!</v>
      </c>
      <c r="HG44" s="49" t="e">
        <f t="shared" ca="1" si="13"/>
        <v>#VALUE!</v>
      </c>
      <c r="HH44" s="49" t="e">
        <f ca="1">HH4+HA44*(HH57-HH4)/HA56</f>
        <v>#VALUE!</v>
      </c>
      <c r="HI44" s="49" t="e">
        <f ca="1">GL40*HH44^3+GM40*HH44^2+GN40*HH44+GO40+GD58</f>
        <v>#VALUE!</v>
      </c>
      <c r="HJ44" s="49" t="e">
        <f t="shared" ca="1" si="14"/>
        <v>#VALUE!</v>
      </c>
      <c r="HK44" s="49" t="e">
        <f t="shared" ca="1" si="19"/>
        <v>#VALUE!</v>
      </c>
      <c r="HL44" s="49" t="e">
        <f t="shared" ca="1" si="20"/>
        <v>#VALUE!</v>
      </c>
      <c r="HM44" s="49" t="e">
        <f t="shared" ca="1" si="15"/>
        <v>#VALUE!</v>
      </c>
      <c r="HN44" s="49"/>
    </row>
    <row r="45" spans="1:222" ht="16.5" customHeight="1">
      <c r="A45" s="1"/>
      <c r="B45" s="3"/>
      <c r="C45" s="3"/>
      <c r="D45" s="38"/>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25"/>
      <c r="AY45" s="26"/>
      <c r="AZ45" s="41"/>
      <c r="BA45" s="41"/>
      <c r="BB45" s="41"/>
      <c r="BC45" s="41"/>
      <c r="BD45" s="42"/>
      <c r="BE45" s="41"/>
      <c r="BF45" s="41"/>
      <c r="BG45" s="41"/>
      <c r="BH45" s="41"/>
      <c r="BI45" s="41"/>
      <c r="BJ45" s="41"/>
      <c r="BK45" s="42"/>
      <c r="BL45" s="41"/>
      <c r="BM45" s="41"/>
      <c r="BN45" s="41"/>
      <c r="BO45" s="41"/>
      <c r="BP45" s="41"/>
      <c r="BQ45" s="41"/>
      <c r="BR45" s="80"/>
      <c r="BS45" s="79"/>
      <c r="BT45" s="79"/>
      <c r="BU45" s="79"/>
      <c r="BV45" s="79"/>
      <c r="BW45" s="79"/>
      <c r="BX45" s="79"/>
      <c r="BY45" s="79"/>
      <c r="BZ45" s="80"/>
      <c r="CA45" s="80"/>
      <c r="CB45" s="80"/>
      <c r="CC45" s="80"/>
      <c r="CD45" s="80"/>
      <c r="CE45" s="80"/>
      <c r="CF45" s="80"/>
      <c r="CG45" s="80"/>
      <c r="CH45" s="80"/>
      <c r="CI45" s="80"/>
      <c r="CJ45" s="80"/>
      <c r="CK45" s="80"/>
      <c r="CL45" s="80"/>
      <c r="CM45" s="80"/>
      <c r="CN45" s="80"/>
      <c r="CO45" s="80"/>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47"/>
      <c r="FN45" s="47"/>
      <c r="FO45" s="47"/>
      <c r="FP45" s="47"/>
      <c r="FQ45" s="47"/>
      <c r="FR45" s="47"/>
      <c r="FS45" s="47"/>
      <c r="FT45" s="47"/>
      <c r="FU45" s="47"/>
      <c r="FV45" s="47"/>
      <c r="FW45" s="48"/>
      <c r="FX45" s="48"/>
      <c r="FY45" s="32"/>
      <c r="FZ45" s="32"/>
      <c r="GA45" s="32"/>
      <c r="GB45" s="32"/>
      <c r="GC45" s="32"/>
      <c r="GD45" s="32"/>
      <c r="GE45" s="32"/>
      <c r="GF45" s="32"/>
      <c r="GG45" s="32"/>
      <c r="GH45" s="32"/>
      <c r="GI45" s="32"/>
      <c r="GJ45" s="32"/>
      <c r="GK45" s="32"/>
      <c r="GL45" s="32">
        <v>9.9999999999999998E-17</v>
      </c>
      <c r="GM45" s="49">
        <v>9.9999999999999998E-17</v>
      </c>
      <c r="GN45" s="49">
        <v>9.9999999999999998E-17</v>
      </c>
      <c r="GO45" s="49"/>
      <c r="GP45" s="49"/>
      <c r="GQ45" s="49"/>
      <c r="GR45" s="49"/>
      <c r="GS45" s="49"/>
      <c r="GT45" s="49"/>
      <c r="GU45" s="49"/>
      <c r="GV45" s="49"/>
      <c r="GW45" s="49"/>
      <c r="GX45" s="49"/>
      <c r="GY45" s="49"/>
      <c r="GZ45" s="49"/>
      <c r="HA45" s="49">
        <v>39</v>
      </c>
      <c r="HB45" s="49" t="e">
        <f ca="1">HB4+HA45*(HB57-HB4)/HA56</f>
        <v>#VALUE!</v>
      </c>
      <c r="HC45" s="49" t="e">
        <f ca="1">GZ33*HB45^3+GZ34*HB45^2+GZ35*HB45+GZ36</f>
        <v>#VALUE!</v>
      </c>
      <c r="HD45" s="49" t="e">
        <f t="shared" ca="1" si="12"/>
        <v>#VALUE!</v>
      </c>
      <c r="HE45" s="49" t="e">
        <f ca="1">HE4+HA45*(HE57-HE4)/HA56</f>
        <v>#VALUE!</v>
      </c>
      <c r="HF45" s="49" t="e">
        <f ca="1">GZ33*HE45^3+GZ34*HE45^2+GZ35*HE45+GZ36</f>
        <v>#VALUE!</v>
      </c>
      <c r="HG45" s="49" t="e">
        <f t="shared" ca="1" si="13"/>
        <v>#VALUE!</v>
      </c>
      <c r="HH45" s="49" t="e">
        <f ca="1">HH4+HA45*(HH57-HH4)/HA56</f>
        <v>#VALUE!</v>
      </c>
      <c r="HI45" s="49" t="e">
        <f ca="1">GL40*HH45^3+GM40*HH45^2+GN40*HH45+GO40+GD58</f>
        <v>#VALUE!</v>
      </c>
      <c r="HJ45" s="49" t="e">
        <f t="shared" ca="1" si="14"/>
        <v>#VALUE!</v>
      </c>
      <c r="HK45" s="49" t="e">
        <f t="shared" ca="1" si="19"/>
        <v>#VALUE!</v>
      </c>
      <c r="HL45" s="49" t="e">
        <f t="shared" ca="1" si="20"/>
        <v>#VALUE!</v>
      </c>
      <c r="HM45" s="49" t="e">
        <f t="shared" ca="1" si="15"/>
        <v>#VALUE!</v>
      </c>
      <c r="HN45" s="49"/>
    </row>
    <row r="46" spans="1:222" ht="16.5" customHeight="1">
      <c r="A46" s="1"/>
      <c r="B46" s="3"/>
      <c r="C46" s="3"/>
      <c r="D46" s="38"/>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25"/>
      <c r="AY46" s="26"/>
      <c r="AZ46" s="41"/>
      <c r="BA46" s="41"/>
      <c r="BB46" s="41"/>
      <c r="BC46" s="41"/>
      <c r="BD46" s="42"/>
      <c r="BE46" s="41"/>
      <c r="BF46" s="41"/>
      <c r="BG46" s="41"/>
      <c r="BH46" s="41"/>
      <c r="BI46" s="41"/>
      <c r="BJ46" s="41"/>
      <c r="BK46" s="42"/>
      <c r="BL46" s="41"/>
      <c r="BM46" s="41"/>
      <c r="BN46" s="41"/>
      <c r="BO46" s="41"/>
      <c r="BP46" s="41"/>
      <c r="BQ46" s="41"/>
      <c r="BR46" s="80"/>
      <c r="BS46" s="79"/>
      <c r="BT46" s="79"/>
      <c r="BU46" s="79"/>
      <c r="BV46" s="79"/>
      <c r="BW46" s="79"/>
      <c r="BX46" s="79"/>
      <c r="BY46" s="79"/>
      <c r="BZ46" s="80"/>
      <c r="CA46" s="80"/>
      <c r="CB46" s="80"/>
      <c r="CC46" s="80"/>
      <c r="CD46" s="80"/>
      <c r="CE46" s="80"/>
      <c r="CF46" s="80"/>
      <c r="CG46" s="80"/>
      <c r="CH46" s="80"/>
      <c r="CI46" s="80"/>
      <c r="CJ46" s="80"/>
      <c r="CK46" s="80"/>
      <c r="CL46" s="80"/>
      <c r="CM46" s="80"/>
      <c r="CN46" s="80"/>
      <c r="CO46" s="80"/>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47"/>
      <c r="FN46" s="47"/>
      <c r="FO46" s="47"/>
      <c r="FP46" s="47"/>
      <c r="FQ46" s="47"/>
      <c r="FR46" s="47"/>
      <c r="FS46" s="47"/>
      <c r="FT46" s="47"/>
      <c r="FU46" s="47"/>
      <c r="FV46" s="47"/>
      <c r="FW46" s="48"/>
      <c r="FX46" s="48"/>
      <c r="FY46" s="32"/>
      <c r="FZ46" s="32"/>
      <c r="GA46" s="32"/>
      <c r="GB46" s="32"/>
      <c r="GC46" s="32"/>
      <c r="GD46" s="32"/>
      <c r="GE46" s="32"/>
      <c r="GF46" s="32" t="s">
        <v>51</v>
      </c>
      <c r="GG46" s="32" t="s">
        <v>52</v>
      </c>
      <c r="GH46" s="32" t="s">
        <v>26</v>
      </c>
      <c r="GI46" s="32" t="s">
        <v>60</v>
      </c>
      <c r="GJ46" s="32"/>
      <c r="GK46" s="32" t="s">
        <v>71</v>
      </c>
      <c r="GL46" s="32" t="s">
        <v>72</v>
      </c>
      <c r="GM46" s="49" t="s">
        <v>73</v>
      </c>
      <c r="GN46" s="49" t="s">
        <v>5</v>
      </c>
      <c r="GO46" s="49" t="s">
        <v>3</v>
      </c>
      <c r="GP46" s="49" t="s">
        <v>58</v>
      </c>
      <c r="GQ46" s="49" t="s">
        <v>59</v>
      </c>
      <c r="GR46" s="49" t="s">
        <v>60</v>
      </c>
      <c r="GS46" s="49"/>
      <c r="GT46" s="49" t="s">
        <v>2</v>
      </c>
      <c r="GU46" s="49" t="s">
        <v>87</v>
      </c>
      <c r="GV46" s="49" t="s">
        <v>60</v>
      </c>
      <c r="GW46" s="49"/>
      <c r="GX46" s="49"/>
      <c r="GY46" s="49" t="s">
        <v>105</v>
      </c>
      <c r="GZ46" s="49"/>
      <c r="HA46" s="49">
        <v>40</v>
      </c>
      <c r="HB46" s="49" t="e">
        <f ca="1">HB4+HA46*(HB57-HB4)/HA56</f>
        <v>#VALUE!</v>
      </c>
      <c r="HC46" s="49" t="e">
        <f ca="1">GZ33*HB46^3+GZ34*HB46^2+GZ35*HB46+GZ36</f>
        <v>#VALUE!</v>
      </c>
      <c r="HD46" s="49" t="e">
        <f t="shared" ca="1" si="12"/>
        <v>#VALUE!</v>
      </c>
      <c r="HE46" s="49" t="e">
        <f ca="1">HE4+HA46*(HE57-HE4)/HA56</f>
        <v>#VALUE!</v>
      </c>
      <c r="HF46" s="49" t="e">
        <f ca="1">GZ33*HE46^3+GZ34*HE46^2+GZ35*HE46+GZ36</f>
        <v>#VALUE!</v>
      </c>
      <c r="HG46" s="49" t="e">
        <f t="shared" ca="1" si="13"/>
        <v>#VALUE!</v>
      </c>
      <c r="HH46" s="49" t="e">
        <f ca="1">HH4+HA46*(HH57-HH4)/HA56</f>
        <v>#VALUE!</v>
      </c>
      <c r="HI46" s="49" t="e">
        <f ca="1">GL40*HH46^3+GM40*HH46^2+GN40*HH46+GO40+GD58</f>
        <v>#VALUE!</v>
      </c>
      <c r="HJ46" s="49" t="e">
        <f t="shared" ca="1" si="14"/>
        <v>#VALUE!</v>
      </c>
      <c r="HK46" s="49" t="e">
        <f t="shared" ca="1" si="19"/>
        <v>#VALUE!</v>
      </c>
      <c r="HL46" s="49" t="e">
        <f t="shared" ca="1" si="20"/>
        <v>#VALUE!</v>
      </c>
      <c r="HM46" s="49" t="e">
        <f t="shared" ca="1" si="15"/>
        <v>#VALUE!</v>
      </c>
      <c r="HN46" s="49"/>
    </row>
    <row r="47" spans="1:222" ht="16.5" customHeight="1">
      <c r="A47" s="1"/>
      <c r="B47" s="3"/>
      <c r="C47" s="3"/>
      <c r="D47" s="38"/>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25"/>
      <c r="AY47" s="26"/>
      <c r="AZ47" s="41"/>
      <c r="BA47" s="41"/>
      <c r="BB47" s="41"/>
      <c r="BC47" s="41"/>
      <c r="BD47" s="42"/>
      <c r="BE47" s="41"/>
      <c r="BF47" s="41"/>
      <c r="BG47" s="41"/>
      <c r="BH47" s="41"/>
      <c r="BI47" s="41"/>
      <c r="BJ47" s="41"/>
      <c r="BK47" s="42"/>
      <c r="BL47" s="41"/>
      <c r="BM47" s="41"/>
      <c r="BN47" s="41"/>
      <c r="BO47" s="41"/>
      <c r="BP47" s="41"/>
      <c r="BQ47" s="41"/>
      <c r="BR47" s="80"/>
      <c r="BS47" s="79"/>
      <c r="BT47" s="79"/>
      <c r="BU47" s="79"/>
      <c r="BV47" s="79"/>
      <c r="BW47" s="79"/>
      <c r="BX47" s="79"/>
      <c r="BY47" s="79"/>
      <c r="BZ47" s="80"/>
      <c r="CA47" s="80"/>
      <c r="CB47" s="80"/>
      <c r="CC47" s="80"/>
      <c r="CD47" s="80"/>
      <c r="CE47" s="80"/>
      <c r="CF47" s="80"/>
      <c r="CG47" s="80"/>
      <c r="CH47" s="80"/>
      <c r="CI47" s="80"/>
      <c r="CJ47" s="80"/>
      <c r="CK47" s="80"/>
      <c r="CL47" s="80"/>
      <c r="CM47" s="80"/>
      <c r="CN47" s="80"/>
      <c r="CO47" s="80"/>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470"/>
      <c r="FN47" s="79"/>
      <c r="FO47" s="79"/>
      <c r="FP47" s="79"/>
      <c r="FQ47" s="47"/>
      <c r="FR47" s="47"/>
      <c r="FS47" s="47"/>
      <c r="FT47" s="47"/>
      <c r="FU47" s="47"/>
      <c r="FV47" s="47"/>
      <c r="FW47" s="48"/>
      <c r="FX47" s="48"/>
      <c r="FY47" s="32"/>
      <c r="FZ47" s="32"/>
      <c r="GA47" s="32">
        <f>0</f>
        <v>0</v>
      </c>
      <c r="GB47" s="32">
        <f ca="1">IF(FP1=1,HM57,0)</f>
        <v>0</v>
      </c>
      <c r="GC47" s="32">
        <f ca="1">IF(FP24=1,0.099*GC57,0)</f>
        <v>0</v>
      </c>
      <c r="GD47" s="32">
        <f>0</f>
        <v>0</v>
      </c>
      <c r="GE47" s="32">
        <f ca="1">IF(FP1=0,0,IF(FO22=1,GE49-2*GC33,IF(FO22=2,GI57-2*GC33,0)))</f>
        <v>0</v>
      </c>
      <c r="GF47" s="32">
        <f ca="1">IF(FP1=1,GL40*GB47^2+GM40*GB47^1+GN40+GO40/GB47,0)</f>
        <v>0</v>
      </c>
      <c r="GG47" s="32">
        <f ca="1">IF(FP1=1,GL40*GC32^2+GM40*GC32^1+GN40,0)</f>
        <v>0</v>
      </c>
      <c r="GH47" s="32">
        <f t="shared" ref="GH47:GH57" ca="1" si="26">IF(FP$1=1,3*GL$40*GC47^2+2*GM$40*GC47^1+GN$40,0)</f>
        <v>0</v>
      </c>
      <c r="GI47" s="32">
        <f ca="1">GI57</f>
        <v>0</v>
      </c>
      <c r="GJ47" s="32">
        <f ca="1">0*GJ57</f>
        <v>0</v>
      </c>
      <c r="GK47" s="32">
        <f ca="1">0*GK57</f>
        <v>0</v>
      </c>
      <c r="GL47" s="32">
        <f ca="1">GL57</f>
        <v>0</v>
      </c>
      <c r="GM47" s="49">
        <f ca="1">GM57</f>
        <v>0</v>
      </c>
      <c r="GN47" s="49">
        <f t="shared" ref="GN47:GN57" ca="1" si="27">IF(FP$1=0,0,-GH$40*GC32^2+GI$40*GC32)</f>
        <v>0</v>
      </c>
      <c r="GO47" s="49">
        <f ca="1">IF(FP1=0,0,GL40*GD47^3+GM40*GD47^2+GN40*GD47+GO40)</f>
        <v>0</v>
      </c>
      <c r="GP47" s="49">
        <f ca="1">IF(FP1=0,0,IF(FO22=2,GN52,IF(FO22=1,GM35*GE47+GP34,0)))</f>
        <v>0</v>
      </c>
      <c r="GQ47" s="49">
        <f ca="1">IF(FP1=0,0,IF(FO22=1,GM37*GE47+GP35,0))</f>
        <v>0</v>
      </c>
      <c r="GR47" s="49">
        <f ca="1">IF(FP1=0,0,IF(FO22=2,GC37,IF(FO22=3,HD57,IF(FO22=1,GM34,0))))</f>
        <v>0</v>
      </c>
      <c r="GS47" s="49">
        <f ca="1">0*GS57</f>
        <v>0</v>
      </c>
      <c r="GT47" s="49">
        <f t="shared" ref="GT47:GT57" ca="1" si="28">IF(FP$1=0,0,GL$40*GA47^3+GM$40*GA47^2+GN$40*GA47)</f>
        <v>0</v>
      </c>
      <c r="GU47" s="49">
        <f ca="1">GU57</f>
        <v>0</v>
      </c>
      <c r="GV47" s="49">
        <f ca="1">IF(FP1=0,0,IF(FO22=3,GV57,0))</f>
        <v>0</v>
      </c>
      <c r="GW47" s="49">
        <f ca="1">0*GW57</f>
        <v>0</v>
      </c>
      <c r="GX47" s="49">
        <f ca="1">0*GX57</f>
        <v>0</v>
      </c>
      <c r="GY47" s="49">
        <f ca="1">IF(FP1=0,0,GJ57)</f>
        <v>0</v>
      </c>
      <c r="GZ47" s="49">
        <f ca="1">IF(FP1=0,0,IF(FO22=3,GX57,0))</f>
        <v>0</v>
      </c>
      <c r="HA47" s="49">
        <v>41</v>
      </c>
      <c r="HB47" s="49" t="e">
        <f ca="1">HB4+HA47*(HB57-HB4)/HA56</f>
        <v>#VALUE!</v>
      </c>
      <c r="HC47" s="49" t="e">
        <f ca="1">GZ33*HB47^3+GZ34*HB47^2+GZ35*HB47+GZ36</f>
        <v>#VALUE!</v>
      </c>
      <c r="HD47" s="49" t="e">
        <f t="shared" ca="1" si="12"/>
        <v>#VALUE!</v>
      </c>
      <c r="HE47" s="49" t="e">
        <f ca="1">HE4+HA47*(HE57-HE4)/HA56</f>
        <v>#VALUE!</v>
      </c>
      <c r="HF47" s="49" t="e">
        <f ca="1">GZ33*HE47^3+GZ34*HE47^2+GZ35*HE47+GZ36</f>
        <v>#VALUE!</v>
      </c>
      <c r="HG47" s="49" t="e">
        <f t="shared" ca="1" si="13"/>
        <v>#VALUE!</v>
      </c>
      <c r="HH47" s="49" t="e">
        <f ca="1">HH4+HA47*(HH57-HH4)/HA56</f>
        <v>#VALUE!</v>
      </c>
      <c r="HI47" s="49" t="e">
        <f ca="1">GL40*HH47^3+GM40*HH47^2+GN40*HH47+GO40+GD58</f>
        <v>#VALUE!</v>
      </c>
      <c r="HJ47" s="49" t="e">
        <f t="shared" ca="1" si="14"/>
        <v>#VALUE!</v>
      </c>
      <c r="HK47" s="49" t="e">
        <f t="shared" ca="1" si="19"/>
        <v>#VALUE!</v>
      </c>
      <c r="HL47" s="49" t="e">
        <f t="shared" ca="1" si="20"/>
        <v>#VALUE!</v>
      </c>
      <c r="HM47" s="49" t="e">
        <f t="shared" ca="1" si="15"/>
        <v>#VALUE!</v>
      </c>
      <c r="HN47" s="49"/>
    </row>
    <row r="48" spans="1:222" ht="16.5" customHeight="1">
      <c r="A48" s="1"/>
      <c r="B48" s="3"/>
      <c r="C48" s="3"/>
      <c r="D48" s="38"/>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25"/>
      <c r="AY48" s="26"/>
      <c r="AZ48" s="41"/>
      <c r="BA48" s="41"/>
      <c r="BB48" s="41"/>
      <c r="BC48" s="41"/>
      <c r="BD48" s="42"/>
      <c r="BE48" s="41"/>
      <c r="BF48" s="41"/>
      <c r="BG48" s="41"/>
      <c r="BH48" s="41"/>
      <c r="BI48" s="41"/>
      <c r="BJ48" s="41"/>
      <c r="BK48" s="42"/>
      <c r="BL48" s="41"/>
      <c r="BM48" s="41"/>
      <c r="BN48" s="41"/>
      <c r="BO48" s="41"/>
      <c r="BP48" s="41"/>
      <c r="BQ48" s="41"/>
      <c r="BR48" s="80"/>
      <c r="BS48" s="79"/>
      <c r="BT48" s="79"/>
      <c r="BU48" s="79"/>
      <c r="BV48" s="79"/>
      <c r="BW48" s="79"/>
      <c r="BX48" s="79"/>
      <c r="BY48" s="79"/>
      <c r="BZ48" s="80"/>
      <c r="CA48" s="80"/>
      <c r="CB48" s="80"/>
      <c r="CC48" s="80"/>
      <c r="CD48" s="80"/>
      <c r="CE48" s="80"/>
      <c r="CF48" s="80"/>
      <c r="CG48" s="80"/>
      <c r="CH48" s="80"/>
      <c r="CI48" s="80"/>
      <c r="CJ48" s="80"/>
      <c r="CK48" s="80"/>
      <c r="CL48" s="80"/>
      <c r="CM48" s="80"/>
      <c r="CN48" s="80"/>
      <c r="CO48" s="80"/>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47"/>
      <c r="FN48" s="47"/>
      <c r="FO48" s="47"/>
      <c r="FP48" s="47"/>
      <c r="FQ48" s="47"/>
      <c r="FR48" s="47"/>
      <c r="FS48" s="47"/>
      <c r="FT48" s="47"/>
      <c r="FU48" s="47"/>
      <c r="FV48" s="47"/>
      <c r="FW48" s="48"/>
      <c r="FX48" s="48"/>
      <c r="FY48" s="32"/>
      <c r="FZ48" s="32"/>
      <c r="GA48" s="32" t="e">
        <f ca="1">0.1*GA57</f>
        <v>#VALUE!</v>
      </c>
      <c r="GB48" s="32" t="e">
        <f ca="1">HD58</f>
        <v>#VALUE!</v>
      </c>
      <c r="GC48" s="32" t="str">
        <f ca="1">IF(FP1=1,0.1*(GI40/GH40),"")</f>
        <v/>
      </c>
      <c r="GD48" s="32" t="e">
        <f ca="1">0.1*GD57</f>
        <v>#VALUE!</v>
      </c>
      <c r="GE48" s="32">
        <f ca="1">IF(FP1=0,0,IF(FO22=1,GE49-1*GC33,IF(FO22=2,GI57-1*GC33,0)))</f>
        <v>0</v>
      </c>
      <c r="GF48" s="32">
        <f t="shared" ref="GF48:GF57" ca="1" si="29">IF(FP$1=1,GL$40*GB48^2+GM$40*GB48^1+GN$40+GO$40/GB48,0)</f>
        <v>0</v>
      </c>
      <c r="GG48" s="32">
        <f ca="1">IF(FP1=1,GL40*GC33^2+GM40*GC33^1+GN40,0)</f>
        <v>0</v>
      </c>
      <c r="GH48" s="32">
        <f t="shared" ca="1" si="26"/>
        <v>0</v>
      </c>
      <c r="GI48" s="32">
        <f ca="1">GI57</f>
        <v>0</v>
      </c>
      <c r="GJ48" s="32">
        <f ca="1">0.1*GJ57</f>
        <v>0</v>
      </c>
      <c r="GK48" s="32">
        <f ca="1">0.1*GK57</f>
        <v>0</v>
      </c>
      <c r="GL48" s="32">
        <f ca="1">GL57</f>
        <v>0</v>
      </c>
      <c r="GM48" s="49">
        <f ca="1">GM57</f>
        <v>0</v>
      </c>
      <c r="GN48" s="49">
        <f t="shared" ca="1" si="27"/>
        <v>0</v>
      </c>
      <c r="GO48" s="49">
        <f ca="1">IF(FP1=0,0,GL40*GD48^3+GM40*GD48^2+GN40*GD48+GO40)</f>
        <v>0</v>
      </c>
      <c r="GP48" s="49">
        <f ca="1">IF(FP1=0,0,IF(FO22=2,GN52,IF(FO22=1,GM35*GE48+GP34,0)))</f>
        <v>0</v>
      </c>
      <c r="GQ48" s="49">
        <f ca="1">IF(FP1=0,0,IF(FO22=1,GM37*GE48+GP35,0))</f>
        <v>0</v>
      </c>
      <c r="GR48" s="49">
        <f ca="1">IF(FP1=0,0,IF(FO22=2,GC37,IF(FO22=3,HD57,IF(FO22=1,GM34,0))))</f>
        <v>0</v>
      </c>
      <c r="GS48" s="49">
        <f ca="1">0.1*GS57</f>
        <v>0</v>
      </c>
      <c r="GT48" s="49">
        <f t="shared" ca="1" si="28"/>
        <v>0</v>
      </c>
      <c r="GU48" s="49">
        <f ca="1">GU57</f>
        <v>0</v>
      </c>
      <c r="GV48" s="49">
        <f ca="1">IF(FP1=0,0,IF(FO22=3,GV57,0))</f>
        <v>0</v>
      </c>
      <c r="GW48" s="49">
        <f ca="1">0.1*GW57</f>
        <v>0</v>
      </c>
      <c r="GX48" s="49">
        <f ca="1">IF(FP1=1,0.1*GX57,0)</f>
        <v>0</v>
      </c>
      <c r="GY48" s="49">
        <f t="shared" ref="GY48:GY56" ca="1" si="30">GY47+0.1*(GY$57-GY$47)</f>
        <v>0</v>
      </c>
      <c r="GZ48" s="49">
        <f t="shared" ref="GZ48:GZ56" ca="1" si="31">GZ47+0.1*(GZ$57-GZ$47)</f>
        <v>0</v>
      </c>
      <c r="HA48" s="49">
        <v>42</v>
      </c>
      <c r="HB48" s="49" t="e">
        <f ca="1">HB4+HA48*(HB57-HB4)/HA56</f>
        <v>#VALUE!</v>
      </c>
      <c r="HC48" s="49" t="e">
        <f ca="1">GZ33*HB48^3+GZ34*HB48^2+GZ35*HB48+GZ36</f>
        <v>#VALUE!</v>
      </c>
      <c r="HD48" s="49" t="e">
        <f t="shared" ca="1" si="12"/>
        <v>#VALUE!</v>
      </c>
      <c r="HE48" s="49" t="e">
        <f ca="1">HE4+HA48*(HE57-HE4)/HA56</f>
        <v>#VALUE!</v>
      </c>
      <c r="HF48" s="49" t="e">
        <f ca="1">GZ33*HE48^3+GZ34*HE48^2+GZ35*HE48+GZ36</f>
        <v>#VALUE!</v>
      </c>
      <c r="HG48" s="49" t="e">
        <f t="shared" ca="1" si="13"/>
        <v>#VALUE!</v>
      </c>
      <c r="HH48" s="49" t="e">
        <f ca="1">HH4+HA48*(HH57-HH4)/HA56</f>
        <v>#VALUE!</v>
      </c>
      <c r="HI48" s="49" t="e">
        <f ca="1">GL40*HH48^3+GM40*HH48^2+GN40*HH48+GO40+GD58</f>
        <v>#VALUE!</v>
      </c>
      <c r="HJ48" s="49" t="e">
        <f t="shared" ca="1" si="14"/>
        <v>#VALUE!</v>
      </c>
      <c r="HK48" s="49" t="e">
        <f t="shared" ca="1" si="19"/>
        <v>#VALUE!</v>
      </c>
      <c r="HL48" s="49" t="e">
        <f t="shared" ca="1" si="20"/>
        <v>#VALUE!</v>
      </c>
      <c r="HM48" s="49" t="e">
        <f t="shared" ca="1" si="15"/>
        <v>#VALUE!</v>
      </c>
      <c r="HN48" s="49"/>
    </row>
    <row r="49" spans="1:222" ht="16.5" customHeight="1">
      <c r="A49" s="1"/>
      <c r="B49" s="3"/>
      <c r="C49" s="3"/>
      <c r="D49" s="38"/>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25"/>
      <c r="AY49" s="26"/>
      <c r="AZ49" s="41"/>
      <c r="BA49" s="41"/>
      <c r="BB49" s="41"/>
      <c r="BC49" s="41"/>
      <c r="BD49" s="42"/>
      <c r="BE49" s="41"/>
      <c r="BF49" s="41"/>
      <c r="BG49" s="41"/>
      <c r="BH49" s="41"/>
      <c r="BI49" s="41"/>
      <c r="BJ49" s="41"/>
      <c r="BK49" s="42"/>
      <c r="BL49" s="41"/>
      <c r="BM49" s="41"/>
      <c r="BN49" s="41"/>
      <c r="BO49" s="41"/>
      <c r="BP49" s="41"/>
      <c r="BQ49" s="41"/>
      <c r="BR49" s="80"/>
      <c r="BS49" s="79"/>
      <c r="BT49" s="79"/>
      <c r="BU49" s="79"/>
      <c r="BV49" s="79"/>
      <c r="BW49" s="79"/>
      <c r="BX49" s="79"/>
      <c r="BY49" s="79"/>
      <c r="BZ49" s="80"/>
      <c r="CA49" s="80"/>
      <c r="CB49" s="80"/>
      <c r="CC49" s="80"/>
      <c r="CD49" s="80"/>
      <c r="CE49" s="80"/>
      <c r="CF49" s="80"/>
      <c r="CG49" s="80"/>
      <c r="CH49" s="80"/>
      <c r="CI49" s="80"/>
      <c r="CJ49" s="80"/>
      <c r="CK49" s="80"/>
      <c r="CL49" s="80"/>
      <c r="CM49" s="80"/>
      <c r="CN49" s="80"/>
      <c r="CO49" s="80"/>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47"/>
      <c r="FN49" s="47"/>
      <c r="FO49" s="47"/>
      <c r="FP49" s="47"/>
      <c r="FQ49" s="47"/>
      <c r="FR49" s="47"/>
      <c r="FS49" s="47"/>
      <c r="FT49" s="47"/>
      <c r="FU49" s="47"/>
      <c r="FV49" s="47"/>
      <c r="FW49" s="48"/>
      <c r="FX49" s="48"/>
      <c r="FY49" s="32"/>
      <c r="FZ49" s="32"/>
      <c r="GA49" s="32" t="e">
        <f ca="1">0.2*GA57</f>
        <v>#VALUE!</v>
      </c>
      <c r="GB49" s="32" t="e">
        <f ca="1">GB48+0.07*(GB57-GB48)</f>
        <v>#VALUE!</v>
      </c>
      <c r="GC49" s="32" t="str">
        <f ca="1">IF(FP1=1,0.2*(GI40/GH40),"")</f>
        <v/>
      </c>
      <c r="GD49" s="32" t="e">
        <f ca="1">0.2*GD57</f>
        <v>#VALUE!</v>
      </c>
      <c r="GE49" s="32">
        <f ca="1">IF(FP1=0,0,IF(FO22=1,GI57,IF(FO22=2,GI57,0)))</f>
        <v>0</v>
      </c>
      <c r="GF49" s="32">
        <f t="shared" ca="1" si="29"/>
        <v>0</v>
      </c>
      <c r="GG49" s="32">
        <f ca="1">IF(FP1=1,GL40*GC34^2+GM40*GC34^1+GN40,0)</f>
        <v>0</v>
      </c>
      <c r="GH49" s="32">
        <f t="shared" ca="1" si="26"/>
        <v>0</v>
      </c>
      <c r="GI49" s="32">
        <f ca="1">GI57</f>
        <v>0</v>
      </c>
      <c r="GJ49" s="32">
        <f ca="1">0.2*GJ57</f>
        <v>0</v>
      </c>
      <c r="GK49" s="32">
        <f ca="1">0.2*GK57</f>
        <v>0</v>
      </c>
      <c r="GL49" s="32">
        <f ca="1">GL57</f>
        <v>0</v>
      </c>
      <c r="GM49" s="49">
        <f ca="1">GM57</f>
        <v>0</v>
      </c>
      <c r="GN49" s="49">
        <f t="shared" ca="1" si="27"/>
        <v>0</v>
      </c>
      <c r="GO49" s="49">
        <f ca="1">IF(FP1=0,0,GL40*GD49^3+GM40*GD49^2+GN40*GD49+GO40)</f>
        <v>0</v>
      </c>
      <c r="GP49" s="49">
        <f ca="1">IF(FP1=0,0,IF(FO22=2,GN52,IF(FO22=1,GM35*GE49+GP34,0)))</f>
        <v>0</v>
      </c>
      <c r="GQ49" s="49">
        <f ca="1">IF(FP1=0,0,IF(FO22=1,GM37*GE49+GP35,0))</f>
        <v>0</v>
      </c>
      <c r="GR49" s="49">
        <f ca="1">IF(FP1=0,0,IF(FO22=2,GC37,IF(FO22=3,HD57,IF(FO22=1,GM34,0))))</f>
        <v>0</v>
      </c>
      <c r="GS49" s="49">
        <f ca="1">0.2*GS57</f>
        <v>0</v>
      </c>
      <c r="GT49" s="49">
        <f t="shared" ca="1" si="28"/>
        <v>0</v>
      </c>
      <c r="GU49" s="49">
        <f ca="1">GU57</f>
        <v>0</v>
      </c>
      <c r="GV49" s="49">
        <f ca="1">IF(FP1=0,0,IF(FO22=3,GV57,0))</f>
        <v>0</v>
      </c>
      <c r="GW49" s="49">
        <f ca="1">0.2*GW57</f>
        <v>0</v>
      </c>
      <c r="GX49" s="49">
        <f ca="1">IF(FP1=1,0.2*GX57,0)</f>
        <v>0</v>
      </c>
      <c r="GY49" s="49">
        <f t="shared" ca="1" si="30"/>
        <v>0</v>
      </c>
      <c r="GZ49" s="49">
        <f t="shared" ca="1" si="31"/>
        <v>0</v>
      </c>
      <c r="HA49" s="49">
        <v>43</v>
      </c>
      <c r="HB49" s="49" t="e">
        <f ca="1">HB4+HA49*(HB57-HB4)/HA56</f>
        <v>#VALUE!</v>
      </c>
      <c r="HC49" s="49" t="e">
        <f ca="1">GZ33*HB49^3+GZ34*HB49^2+GZ35*HB49+GZ36</f>
        <v>#VALUE!</v>
      </c>
      <c r="HD49" s="49" t="e">
        <f t="shared" ca="1" si="12"/>
        <v>#VALUE!</v>
      </c>
      <c r="HE49" s="49" t="e">
        <f ca="1">HE4+HA49*(HE57-HE4)/HA56</f>
        <v>#VALUE!</v>
      </c>
      <c r="HF49" s="49" t="e">
        <f ca="1">GZ33*HE49^3+GZ34*HE49^2+GZ35*HE49+GZ36</f>
        <v>#VALUE!</v>
      </c>
      <c r="HG49" s="49" t="e">
        <f t="shared" ca="1" si="13"/>
        <v>#VALUE!</v>
      </c>
      <c r="HH49" s="49" t="e">
        <f ca="1">HH4+HA49*(HH57-HH4)/HA56</f>
        <v>#VALUE!</v>
      </c>
      <c r="HI49" s="49" t="e">
        <f ca="1">GL40*HH49^3+GM40*HH49^2+GN40*HH49+GO40+GD58</f>
        <v>#VALUE!</v>
      </c>
      <c r="HJ49" s="49" t="e">
        <f t="shared" ca="1" si="14"/>
        <v>#VALUE!</v>
      </c>
      <c r="HK49" s="49" t="e">
        <f t="shared" ca="1" si="19"/>
        <v>#VALUE!</v>
      </c>
      <c r="HL49" s="49" t="e">
        <f t="shared" ca="1" si="20"/>
        <v>#VALUE!</v>
      </c>
      <c r="HM49" s="49" t="e">
        <f t="shared" ca="1" si="15"/>
        <v>#VALUE!</v>
      </c>
      <c r="HN49" s="49"/>
    </row>
    <row r="50" spans="1:222" ht="16.5" customHeight="1">
      <c r="A50" s="1"/>
      <c r="B50" s="3"/>
      <c r="C50" s="3"/>
      <c r="D50" s="38"/>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25"/>
      <c r="AY50" s="26"/>
      <c r="AZ50" s="41"/>
      <c r="BA50" s="41"/>
      <c r="BB50" s="41"/>
      <c r="BC50" s="41"/>
      <c r="BD50" s="42"/>
      <c r="BE50" s="41"/>
      <c r="BF50" s="41"/>
      <c r="BG50" s="41"/>
      <c r="BH50" s="41"/>
      <c r="BI50" s="41"/>
      <c r="BJ50" s="41"/>
      <c r="BK50" s="42"/>
      <c r="BL50" s="41"/>
      <c r="BM50" s="41"/>
      <c r="BN50" s="41"/>
      <c r="BO50" s="41"/>
      <c r="BP50" s="41"/>
      <c r="BQ50" s="41"/>
      <c r="BR50" s="80"/>
      <c r="BS50" s="79"/>
      <c r="BT50" s="79"/>
      <c r="BU50" s="79"/>
      <c r="BV50" s="79"/>
      <c r="BW50" s="79"/>
      <c r="BX50" s="79"/>
      <c r="BY50" s="79"/>
      <c r="BZ50" s="80"/>
      <c r="CA50" s="80"/>
      <c r="CB50" s="80"/>
      <c r="CC50" s="80"/>
      <c r="CD50" s="80"/>
      <c r="CE50" s="80"/>
      <c r="CF50" s="80"/>
      <c r="CG50" s="80"/>
      <c r="CH50" s="80"/>
      <c r="CI50" s="80"/>
      <c r="CJ50" s="80"/>
      <c r="CK50" s="80"/>
      <c r="CL50" s="80"/>
      <c r="CM50" s="80"/>
      <c r="CN50" s="80"/>
      <c r="CO50" s="80"/>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47"/>
      <c r="FN50" s="47"/>
      <c r="FO50" s="47"/>
      <c r="FP50" s="47"/>
      <c r="FQ50" s="47"/>
      <c r="FR50" s="47"/>
      <c r="FS50" s="47"/>
      <c r="FT50" s="47"/>
      <c r="FU50" s="47"/>
      <c r="FV50" s="47"/>
      <c r="FW50" s="48"/>
      <c r="FX50" s="48"/>
      <c r="FY50" s="32"/>
      <c r="FZ50" s="32"/>
      <c r="GA50" s="32" t="e">
        <f ca="1">0.3*GA57</f>
        <v>#VALUE!</v>
      </c>
      <c r="GB50" s="32" t="e">
        <f ca="1">GB48+0.15*(GB57-GB48)</f>
        <v>#VALUE!</v>
      </c>
      <c r="GC50" s="32" t="str">
        <f ca="1">IF(FP1=1,0.3*(GI40/GH40),"")</f>
        <v/>
      </c>
      <c r="GD50" s="32" t="e">
        <f ca="1">0.3*GD57</f>
        <v>#VALUE!</v>
      </c>
      <c r="GE50" s="32">
        <f ca="1">IF(FP1=0,0,IF(FO22=1,GE49+1*GC33,IF(FO22=2,GI57+1*GC33,0)))</f>
        <v>0</v>
      </c>
      <c r="GF50" s="32">
        <f t="shared" ca="1" si="29"/>
        <v>0</v>
      </c>
      <c r="GG50" s="32">
        <f ca="1">IF(FP1=1,GL40*GC35^2+GM40*GC35^1+GN40,0)</f>
        <v>0</v>
      </c>
      <c r="GH50" s="32">
        <f t="shared" ca="1" si="26"/>
        <v>0</v>
      </c>
      <c r="GI50" s="32">
        <f ca="1">GI57</f>
        <v>0</v>
      </c>
      <c r="GJ50" s="32">
        <f ca="1">0.3*GJ57</f>
        <v>0</v>
      </c>
      <c r="GK50" s="32">
        <f ca="1">0.3*GK57</f>
        <v>0</v>
      </c>
      <c r="GL50" s="32">
        <f ca="1">GL57</f>
        <v>0</v>
      </c>
      <c r="GM50" s="49">
        <f ca="1">GM57</f>
        <v>0</v>
      </c>
      <c r="GN50" s="49">
        <f t="shared" ca="1" si="27"/>
        <v>0</v>
      </c>
      <c r="GO50" s="49">
        <f ca="1">IF(FP1=0,0,GL40*GD50^3+GM40*GD50^2+GN40*GD50+GO40)</f>
        <v>0</v>
      </c>
      <c r="GP50" s="49">
        <f ca="1">IF(FP1=0,0,IF(FO22=2,GN52,IF(FO22=1,GM35*GE50+GP34,0)))</f>
        <v>0</v>
      </c>
      <c r="GQ50" s="49">
        <f ca="1">IF(FP1=0,0,IF(FO22=1,GM37*GE50+GP35,0))</f>
        <v>0</v>
      </c>
      <c r="GR50" s="49">
        <f ca="1">IF(FP1=0,0,IF(FO22=2,GC37,IF(FO22=3,HD57,IF(FO22=1,GM34,0))))</f>
        <v>0</v>
      </c>
      <c r="GS50" s="49">
        <f ca="1">0.3*GS57</f>
        <v>0</v>
      </c>
      <c r="GT50" s="49">
        <f t="shared" ca="1" si="28"/>
        <v>0</v>
      </c>
      <c r="GU50" s="49">
        <f ca="1">GU57</f>
        <v>0</v>
      </c>
      <c r="GV50" s="49">
        <f ca="1">IF(FP1=0,0,IF(FO22=3,GV57,0))</f>
        <v>0</v>
      </c>
      <c r="GW50" s="49">
        <f ca="1">0.3*GW57</f>
        <v>0</v>
      </c>
      <c r="GX50" s="49">
        <f ca="1">IF(FP1=1,0.3*GX57,0)</f>
        <v>0</v>
      </c>
      <c r="GY50" s="49">
        <f t="shared" ca="1" si="30"/>
        <v>0</v>
      </c>
      <c r="GZ50" s="49">
        <f t="shared" ca="1" si="31"/>
        <v>0</v>
      </c>
      <c r="HA50" s="49">
        <v>44</v>
      </c>
      <c r="HB50" s="49" t="e">
        <f ca="1">HB4+HA50*(HB57-HB4)/HA56</f>
        <v>#VALUE!</v>
      </c>
      <c r="HC50" s="49" t="e">
        <f ca="1">GZ33*HB50^3+GZ34*HB50^2+GZ35*HB50+GZ36</f>
        <v>#VALUE!</v>
      </c>
      <c r="HD50" s="49" t="e">
        <f t="shared" ca="1" si="12"/>
        <v>#VALUE!</v>
      </c>
      <c r="HE50" s="49" t="e">
        <f ca="1">HE4+HA50*(HE57-HE4)/HA56</f>
        <v>#VALUE!</v>
      </c>
      <c r="HF50" s="49" t="e">
        <f ca="1">GZ33*HE50^3+GZ34*HE50^2+GZ35*HE50+GZ36</f>
        <v>#VALUE!</v>
      </c>
      <c r="HG50" s="49" t="e">
        <f t="shared" ca="1" si="13"/>
        <v>#VALUE!</v>
      </c>
      <c r="HH50" s="49" t="e">
        <f ca="1">HH4+HA50*(HH57-HH4)/HA56</f>
        <v>#VALUE!</v>
      </c>
      <c r="HI50" s="49" t="e">
        <f ca="1">GL40*HH50^3+GM40*HH50^2+GN40*HH50+GO40+GD58</f>
        <v>#VALUE!</v>
      </c>
      <c r="HJ50" s="49" t="e">
        <f t="shared" ca="1" si="14"/>
        <v>#VALUE!</v>
      </c>
      <c r="HK50" s="49" t="e">
        <f t="shared" ca="1" si="19"/>
        <v>#VALUE!</v>
      </c>
      <c r="HL50" s="49" t="e">
        <f t="shared" ca="1" si="20"/>
        <v>#VALUE!</v>
      </c>
      <c r="HM50" s="49" t="e">
        <f t="shared" ca="1" si="15"/>
        <v>#VALUE!</v>
      </c>
      <c r="HN50" s="49"/>
    </row>
    <row r="51" spans="1:222" ht="16.5" customHeight="1">
      <c r="A51" s="1"/>
      <c r="B51" s="3"/>
      <c r="C51" s="3"/>
      <c r="D51" s="38"/>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25"/>
      <c r="AY51" s="26"/>
      <c r="AZ51" s="41"/>
      <c r="BA51" s="41"/>
      <c r="BB51" s="41"/>
      <c r="BC51" s="41"/>
      <c r="BD51" s="42"/>
      <c r="BE51" s="41"/>
      <c r="BF51" s="41"/>
      <c r="BG51" s="41"/>
      <c r="BH51" s="41"/>
      <c r="BI51" s="41"/>
      <c r="BJ51" s="41"/>
      <c r="BK51" s="42"/>
      <c r="BL51" s="41"/>
      <c r="BM51" s="41"/>
      <c r="BN51" s="41"/>
      <c r="BO51" s="41"/>
      <c r="BP51" s="41"/>
      <c r="BQ51" s="41"/>
      <c r="BR51" s="80"/>
      <c r="BS51" s="79"/>
      <c r="BT51" s="79"/>
      <c r="BU51" s="79"/>
      <c r="BV51" s="79"/>
      <c r="BW51" s="79"/>
      <c r="BX51" s="79"/>
      <c r="BY51" s="79"/>
      <c r="BZ51" s="80"/>
      <c r="CA51" s="80"/>
      <c r="CB51" s="80"/>
      <c r="CC51" s="80"/>
      <c r="CD51" s="80"/>
      <c r="CE51" s="80"/>
      <c r="CF51" s="80"/>
      <c r="CG51" s="80"/>
      <c r="CH51" s="80"/>
      <c r="CI51" s="80"/>
      <c r="CJ51" s="80"/>
      <c r="CK51" s="80"/>
      <c r="CL51" s="80"/>
      <c r="CM51" s="80"/>
      <c r="CN51" s="80"/>
      <c r="CO51" s="80"/>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47"/>
      <c r="FN51" s="47"/>
      <c r="FO51" s="47"/>
      <c r="FP51" s="47"/>
      <c r="FQ51" s="47"/>
      <c r="FR51" s="47"/>
      <c r="FS51" s="47"/>
      <c r="FT51" s="47"/>
      <c r="FU51" s="47"/>
      <c r="FV51" s="47"/>
      <c r="FW51" s="48"/>
      <c r="FX51" s="48"/>
      <c r="FY51" s="32"/>
      <c r="FZ51" s="32"/>
      <c r="GA51" s="32" t="e">
        <f ca="1">0.4*GA57</f>
        <v>#VALUE!</v>
      </c>
      <c r="GB51" s="32" t="e">
        <f ca="1">GB48+0.24*(GB57-GB48)</f>
        <v>#VALUE!</v>
      </c>
      <c r="GC51" s="32" t="str">
        <f ca="1">IF(FP1=1,0.4*(GI40/GH40),"")</f>
        <v/>
      </c>
      <c r="GD51" s="32" t="e">
        <f ca="1">0.4*GD57</f>
        <v>#VALUE!</v>
      </c>
      <c r="GE51" s="32">
        <f ca="1">IF(FP1=0,0,IF(FO22=1,GE49+2*GC33,IF(FO22=2,GI57+2*GC33,0)))</f>
        <v>0</v>
      </c>
      <c r="GF51" s="32">
        <f t="shared" ca="1" si="29"/>
        <v>0</v>
      </c>
      <c r="GG51" s="32">
        <f ca="1">IF(FP1=1,GL40*GC36^2+GM40*GC36^1+GN40,0)</f>
        <v>0</v>
      </c>
      <c r="GH51" s="32">
        <f t="shared" ca="1" si="26"/>
        <v>0</v>
      </c>
      <c r="GI51" s="32">
        <f ca="1">GI57</f>
        <v>0</v>
      </c>
      <c r="GJ51" s="32">
        <f ca="1">0.4*GJ57</f>
        <v>0</v>
      </c>
      <c r="GK51" s="32">
        <f ca="1">0.4*GK57</f>
        <v>0</v>
      </c>
      <c r="GL51" s="32">
        <f ca="1">GL57</f>
        <v>0</v>
      </c>
      <c r="GM51" s="49">
        <f ca="1">GM57</f>
        <v>0</v>
      </c>
      <c r="GN51" s="49">
        <f t="shared" ca="1" si="27"/>
        <v>0</v>
      </c>
      <c r="GO51" s="49">
        <f ca="1">IF(FP1=0,0,GL40*GD51^3+GM40*GD51^2+GN40*GD51+GO40)</f>
        <v>0</v>
      </c>
      <c r="GP51" s="49">
        <f ca="1">IF(FP1=0,0,IF(FO22=2,GN52,IF(FO22=1,GM35*GE51+GP34,0)))</f>
        <v>0</v>
      </c>
      <c r="GQ51" s="49">
        <f ca="1">IF(FP1=0,0,IF(FO22=1,GM37*GE51+GP35,0))</f>
        <v>0</v>
      </c>
      <c r="GR51" s="49">
        <f ca="1">IF(FP1=0,0,IF(FO22=2,GC37,IF(FO22=3,HD57,IF(FO22=1,GM34,0))))</f>
        <v>0</v>
      </c>
      <c r="GS51" s="49">
        <f ca="1">0.4*GS57</f>
        <v>0</v>
      </c>
      <c r="GT51" s="49">
        <f t="shared" ca="1" si="28"/>
        <v>0</v>
      </c>
      <c r="GU51" s="49">
        <f ca="1">GU57</f>
        <v>0</v>
      </c>
      <c r="GV51" s="49">
        <f ca="1">IF(FP1=0,0,IF(FO22=3,GV57,0))</f>
        <v>0</v>
      </c>
      <c r="GW51" s="49">
        <f ca="1">0.4*GW57</f>
        <v>0</v>
      </c>
      <c r="GX51" s="49">
        <f ca="1">IF(FP1=1,0.4*GX57,0)</f>
        <v>0</v>
      </c>
      <c r="GY51" s="49">
        <f t="shared" ca="1" si="30"/>
        <v>0</v>
      </c>
      <c r="GZ51" s="49">
        <f t="shared" ca="1" si="31"/>
        <v>0</v>
      </c>
      <c r="HA51" s="49">
        <v>45</v>
      </c>
      <c r="HB51" s="49" t="e">
        <f ca="1">HB4+HA51*(HB57-HB4)/HA56</f>
        <v>#VALUE!</v>
      </c>
      <c r="HC51" s="49" t="e">
        <f ca="1">GZ33*HB51^3+GZ34*HB51^2+GZ35*HB51+GZ36</f>
        <v>#VALUE!</v>
      </c>
      <c r="HD51" s="49" t="e">
        <f t="shared" ca="1" si="12"/>
        <v>#VALUE!</v>
      </c>
      <c r="HE51" s="49" t="e">
        <f ca="1">HE4+HA51*(HE57-HE4)/HA56</f>
        <v>#VALUE!</v>
      </c>
      <c r="HF51" s="49" t="e">
        <f ca="1">GZ33*HE51^3+GZ34*HE51^2+GZ35*HE51+GZ36</f>
        <v>#VALUE!</v>
      </c>
      <c r="HG51" s="49" t="e">
        <f t="shared" ca="1" si="13"/>
        <v>#VALUE!</v>
      </c>
      <c r="HH51" s="49" t="e">
        <f ca="1">HH4+HA51*(HH57-HH4)/HA56</f>
        <v>#VALUE!</v>
      </c>
      <c r="HI51" s="49" t="e">
        <f ca="1">GL40*HH51^3+GM40*HH51^2+GN40*HH51+GO40+GD58</f>
        <v>#VALUE!</v>
      </c>
      <c r="HJ51" s="49" t="e">
        <f t="shared" ca="1" si="14"/>
        <v>#VALUE!</v>
      </c>
      <c r="HK51" s="49" t="e">
        <f t="shared" ca="1" si="19"/>
        <v>#VALUE!</v>
      </c>
      <c r="HL51" s="49" t="e">
        <f t="shared" ca="1" si="20"/>
        <v>#VALUE!</v>
      </c>
      <c r="HM51" s="49" t="e">
        <f t="shared" ca="1" si="15"/>
        <v>#VALUE!</v>
      </c>
      <c r="HN51" s="49"/>
    </row>
    <row r="52" spans="1:222" ht="16.5" customHeight="1">
      <c r="A52" s="1"/>
      <c r="B52" s="3"/>
      <c r="C52" s="3"/>
      <c r="D52" s="38"/>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25"/>
      <c r="AY52" s="26"/>
      <c r="AZ52" s="41"/>
      <c r="BA52" s="41"/>
      <c r="BB52" s="41"/>
      <c r="BC52" s="41"/>
      <c r="BD52" s="42"/>
      <c r="BE52" s="41"/>
      <c r="BF52" s="41"/>
      <c r="BG52" s="41"/>
      <c r="BH52" s="41"/>
      <c r="BI52" s="41"/>
      <c r="BJ52" s="41"/>
      <c r="BK52" s="42"/>
      <c r="BL52" s="41"/>
      <c r="BM52" s="41"/>
      <c r="BN52" s="41"/>
      <c r="BO52" s="41"/>
      <c r="BP52" s="41"/>
      <c r="BQ52" s="41"/>
      <c r="BR52" s="80"/>
      <c r="BS52" s="79"/>
      <c r="BT52" s="79"/>
      <c r="BU52" s="79"/>
      <c r="BV52" s="79"/>
      <c r="BW52" s="79"/>
      <c r="BX52" s="79"/>
      <c r="BY52" s="79"/>
      <c r="BZ52" s="80"/>
      <c r="CA52" s="80"/>
      <c r="CB52" s="80"/>
      <c r="CC52" s="80"/>
      <c r="CD52" s="80"/>
      <c r="CE52" s="80"/>
      <c r="CF52" s="80"/>
      <c r="CG52" s="80"/>
      <c r="CH52" s="80"/>
      <c r="CI52" s="80"/>
      <c r="CJ52" s="80"/>
      <c r="CK52" s="80"/>
      <c r="CL52" s="80"/>
      <c r="CM52" s="80"/>
      <c r="CN52" s="80"/>
      <c r="CO52" s="80"/>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47"/>
      <c r="FN52" s="47"/>
      <c r="FO52" s="47"/>
      <c r="FP52" s="47"/>
      <c r="FQ52" s="47"/>
      <c r="FR52" s="47"/>
      <c r="FS52" s="47"/>
      <c r="FT52" s="47"/>
      <c r="FU52" s="47"/>
      <c r="FV52" s="47"/>
      <c r="FW52" s="47"/>
      <c r="FX52" s="47"/>
      <c r="FY52" s="32"/>
      <c r="FZ52" s="32"/>
      <c r="GA52" s="32" t="e">
        <f ca="1">0.5*GA57</f>
        <v>#VALUE!</v>
      </c>
      <c r="GB52" s="32" t="e">
        <f ca="1">GB48+0.34*(GB57-GB48)</f>
        <v>#VALUE!</v>
      </c>
      <c r="GC52" s="32" t="str">
        <f ca="1">IF(FP1=1,0.5*(GI40/GH40),"")</f>
        <v/>
      </c>
      <c r="GD52" s="32" t="e">
        <f ca="1">0.5*GD57</f>
        <v>#VALUE!</v>
      </c>
      <c r="GE52" s="32"/>
      <c r="GF52" s="32">
        <f t="shared" ca="1" si="29"/>
        <v>0</v>
      </c>
      <c r="GG52" s="32">
        <f ca="1">IF(FP1=1,GL40*GC37^2+GM40*GC37^1+GN40,0)</f>
        <v>0</v>
      </c>
      <c r="GH52" s="32">
        <f t="shared" ca="1" si="26"/>
        <v>0</v>
      </c>
      <c r="GI52" s="32">
        <f ca="1">GI57</f>
        <v>0</v>
      </c>
      <c r="GJ52" s="32">
        <f ca="1">0.5*GJ57</f>
        <v>0</v>
      </c>
      <c r="GK52" s="32">
        <f ca="1">0.5*GK57</f>
        <v>0</v>
      </c>
      <c r="GL52" s="32">
        <f ca="1">GL57</f>
        <v>0</v>
      </c>
      <c r="GM52" s="49">
        <f ca="1">GM57</f>
        <v>0</v>
      </c>
      <c r="GN52" s="49">
        <f t="shared" ca="1" si="27"/>
        <v>0</v>
      </c>
      <c r="GO52" s="49">
        <f ca="1">IF(FP1=0,0,GL40*GD52^3+GM40*GD52^2+GN40*GD52+GO40)</f>
        <v>0</v>
      </c>
      <c r="GP52" s="49"/>
      <c r="GQ52" s="49"/>
      <c r="GR52" s="49">
        <f ca="1">IF(FP1=0,0,IF(FO22=2,GC37,IF(FO22=3,HD57,IF(FO22=1,GM34,0))))</f>
        <v>0</v>
      </c>
      <c r="GS52" s="49">
        <f ca="1">0.5*GS57</f>
        <v>0</v>
      </c>
      <c r="GT52" s="49">
        <f t="shared" ca="1" si="28"/>
        <v>0</v>
      </c>
      <c r="GU52" s="49">
        <f ca="1">GU57</f>
        <v>0</v>
      </c>
      <c r="GV52" s="49">
        <f ca="1">IF(FP1=0,0,IF(FO22=3,GV57,0))</f>
        <v>0</v>
      </c>
      <c r="GW52" s="49">
        <f ca="1">0.5*GW57</f>
        <v>0</v>
      </c>
      <c r="GX52" s="49">
        <f ca="1">IF(FP1=1,0.5*GX57,0)</f>
        <v>0</v>
      </c>
      <c r="GY52" s="49">
        <f t="shared" ca="1" si="30"/>
        <v>0</v>
      </c>
      <c r="GZ52" s="49">
        <f t="shared" ca="1" si="31"/>
        <v>0</v>
      </c>
      <c r="HA52" s="49">
        <v>46</v>
      </c>
      <c r="HB52" s="49" t="e">
        <f ca="1">HB4+HA52*(HB57-HB4)/HA56</f>
        <v>#VALUE!</v>
      </c>
      <c r="HC52" s="49" t="e">
        <f ca="1">GZ33*HB52^3+GZ34*HB52^2+GZ35*HB52+GZ36</f>
        <v>#VALUE!</v>
      </c>
      <c r="HD52" s="49" t="e">
        <f t="shared" ca="1" si="12"/>
        <v>#VALUE!</v>
      </c>
      <c r="HE52" s="49" t="e">
        <f ca="1">HE4+HA52*(HE57-HE4)/HA56</f>
        <v>#VALUE!</v>
      </c>
      <c r="HF52" s="49" t="e">
        <f ca="1">GZ33*HE52^3+GZ34*HE52^2+GZ35*HE52+GZ36</f>
        <v>#VALUE!</v>
      </c>
      <c r="HG52" s="49" t="e">
        <f t="shared" ca="1" si="13"/>
        <v>#VALUE!</v>
      </c>
      <c r="HH52" s="49" t="e">
        <f ca="1">HH4+HA52*(HH57-HH4)/HA56</f>
        <v>#VALUE!</v>
      </c>
      <c r="HI52" s="49" t="e">
        <f ca="1">GL40*HH52^3+GM40*HH52^2+GN40*HH52+GO40+GD58</f>
        <v>#VALUE!</v>
      </c>
      <c r="HJ52" s="49" t="e">
        <f t="shared" ca="1" si="14"/>
        <v>#VALUE!</v>
      </c>
      <c r="HK52" s="49" t="e">
        <f t="shared" ca="1" si="19"/>
        <v>#VALUE!</v>
      </c>
      <c r="HL52" s="49" t="e">
        <f t="shared" ca="1" si="20"/>
        <v>#VALUE!</v>
      </c>
      <c r="HM52" s="49" t="e">
        <f t="shared" ca="1" si="15"/>
        <v>#VALUE!</v>
      </c>
      <c r="HN52" s="49"/>
    </row>
    <row r="53" spans="1:222" ht="16.5" customHeight="1">
      <c r="A53" s="1"/>
      <c r="B53" s="3"/>
      <c r="C53" s="3"/>
      <c r="D53" s="38"/>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25"/>
      <c r="AY53" s="26"/>
      <c r="AZ53" s="41"/>
      <c r="BA53" s="41"/>
      <c r="BB53" s="41"/>
      <c r="BC53" s="41"/>
      <c r="BD53" s="42"/>
      <c r="BE53" s="41"/>
      <c r="BF53" s="41"/>
      <c r="BG53" s="41"/>
      <c r="BH53" s="41"/>
      <c r="BI53" s="41"/>
      <c r="BJ53" s="41"/>
      <c r="BK53" s="42"/>
      <c r="BL53" s="41"/>
      <c r="BM53" s="41"/>
      <c r="BN53" s="41"/>
      <c r="BO53" s="41"/>
      <c r="BP53" s="41"/>
      <c r="BQ53" s="41"/>
      <c r="BR53" s="80"/>
      <c r="BS53" s="79"/>
      <c r="BT53" s="79"/>
      <c r="BU53" s="79"/>
      <c r="BV53" s="79"/>
      <c r="BW53" s="79"/>
      <c r="BX53" s="79"/>
      <c r="BY53" s="79"/>
      <c r="BZ53" s="80"/>
      <c r="CA53" s="80"/>
      <c r="CB53" s="80"/>
      <c r="CC53" s="80"/>
      <c r="CD53" s="80"/>
      <c r="CE53" s="80"/>
      <c r="CF53" s="80"/>
      <c r="CG53" s="80"/>
      <c r="CH53" s="80"/>
      <c r="CI53" s="80"/>
      <c r="CJ53" s="80"/>
      <c r="CK53" s="80"/>
      <c r="CL53" s="80"/>
      <c r="CM53" s="80"/>
      <c r="CN53" s="80"/>
      <c r="CO53" s="80"/>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47"/>
      <c r="FN53" s="47"/>
      <c r="FO53" s="48"/>
      <c r="FP53" s="79"/>
      <c r="FQ53" s="47"/>
      <c r="FR53" s="47"/>
      <c r="FS53" s="47"/>
      <c r="FT53" s="47"/>
      <c r="FU53" s="47"/>
      <c r="FV53" s="47"/>
      <c r="FW53" s="47"/>
      <c r="FX53" s="47"/>
      <c r="FY53" s="32"/>
      <c r="FZ53" s="32"/>
      <c r="GA53" s="32" t="e">
        <f ca="1">0.6*GA57</f>
        <v>#VALUE!</v>
      </c>
      <c r="GB53" s="32" t="e">
        <f ca="1">GB48+0.45*(GB57-GB48)</f>
        <v>#VALUE!</v>
      </c>
      <c r="GC53" s="32" t="str">
        <f ca="1">IF(FP1=1,0.6*(GI40/GH40),"")</f>
        <v/>
      </c>
      <c r="GD53" s="32" t="e">
        <f ca="1">0.6*GD57</f>
        <v>#VALUE!</v>
      </c>
      <c r="GE53" s="32"/>
      <c r="GF53" s="32">
        <f t="shared" ca="1" si="29"/>
        <v>0</v>
      </c>
      <c r="GG53" s="32">
        <f ca="1">IF(FP1=1,GL40*GC38^2+GM40*GC38^1+GN40,0)</f>
        <v>0</v>
      </c>
      <c r="GH53" s="32">
        <f t="shared" ca="1" si="26"/>
        <v>0</v>
      </c>
      <c r="GI53" s="32">
        <f ca="1">GI57</f>
        <v>0</v>
      </c>
      <c r="GJ53" s="32">
        <f ca="1">0.6*GJ57</f>
        <v>0</v>
      </c>
      <c r="GK53" s="32">
        <f ca="1">0.6*GK57</f>
        <v>0</v>
      </c>
      <c r="GL53" s="32">
        <f ca="1">GL57</f>
        <v>0</v>
      </c>
      <c r="GM53" s="49">
        <f ca="1">GM57</f>
        <v>0</v>
      </c>
      <c r="GN53" s="49">
        <f t="shared" ca="1" si="27"/>
        <v>0</v>
      </c>
      <c r="GO53" s="49">
        <f ca="1">IF(FP1=0,0,GL40*GD53^3+GM40*GD53^2+GN40*GD53+GO40)</f>
        <v>0</v>
      </c>
      <c r="GP53" s="49"/>
      <c r="GQ53" s="49"/>
      <c r="GR53" s="49">
        <f ca="1">IF(FP1=0,0,IF(FO22=2,GC37,IF(FO22=3,HD57,IF(FO22=1,GM34,0))))</f>
        <v>0</v>
      </c>
      <c r="GS53" s="49">
        <f ca="1">0.6*GS57</f>
        <v>0</v>
      </c>
      <c r="GT53" s="49">
        <f t="shared" ca="1" si="28"/>
        <v>0</v>
      </c>
      <c r="GU53" s="49">
        <f ca="1">GU57</f>
        <v>0</v>
      </c>
      <c r="GV53" s="49">
        <f ca="1">IF(FP1=0,0,IF(FO22=3,GV57,0))</f>
        <v>0</v>
      </c>
      <c r="GW53" s="49">
        <f ca="1">0.6*GW57</f>
        <v>0</v>
      </c>
      <c r="GX53" s="49">
        <f ca="1">IF(FP1=1,0.6*GX57,0)</f>
        <v>0</v>
      </c>
      <c r="GY53" s="49">
        <f t="shared" ca="1" si="30"/>
        <v>0</v>
      </c>
      <c r="GZ53" s="49">
        <f t="shared" ca="1" si="31"/>
        <v>0</v>
      </c>
      <c r="HA53" s="49">
        <v>47</v>
      </c>
      <c r="HB53" s="49" t="e">
        <f ca="1">HB4+HA53*(HB57-HB4)/HA56</f>
        <v>#VALUE!</v>
      </c>
      <c r="HC53" s="49" t="e">
        <f ca="1">GZ33*HB53^3+GZ34*HB53^2+GZ35*HB53+GZ36</f>
        <v>#VALUE!</v>
      </c>
      <c r="HD53" s="49" t="e">
        <f t="shared" ca="1" si="12"/>
        <v>#VALUE!</v>
      </c>
      <c r="HE53" s="49" t="e">
        <f ca="1">HE4+HA53*(HE57-HE4)/HA56</f>
        <v>#VALUE!</v>
      </c>
      <c r="HF53" s="49" t="e">
        <f ca="1">GZ33*HE53^3+GZ34*HE53^2+GZ35*HE53+GZ36</f>
        <v>#VALUE!</v>
      </c>
      <c r="HG53" s="49" t="e">
        <f t="shared" ca="1" si="13"/>
        <v>#VALUE!</v>
      </c>
      <c r="HH53" s="49" t="e">
        <f ca="1">HH4+HA53*(HH57-HH4)/HA56</f>
        <v>#VALUE!</v>
      </c>
      <c r="HI53" s="49" t="e">
        <f ca="1">GL40*HH53^3+GM40*HH53^2+GN40*HH53+GO40+GD58</f>
        <v>#VALUE!</v>
      </c>
      <c r="HJ53" s="49" t="e">
        <f t="shared" ca="1" si="14"/>
        <v>#VALUE!</v>
      </c>
      <c r="HK53" s="49" t="e">
        <f t="shared" ca="1" si="19"/>
        <v>#VALUE!</v>
      </c>
      <c r="HL53" s="49" t="e">
        <f t="shared" ca="1" si="20"/>
        <v>#VALUE!</v>
      </c>
      <c r="HM53" s="49" t="e">
        <f t="shared" ca="1" si="15"/>
        <v>#VALUE!</v>
      </c>
      <c r="HN53" s="49"/>
    </row>
    <row r="54" spans="1:222" ht="16.5" customHeight="1">
      <c r="A54" s="1"/>
      <c r="B54" s="3"/>
      <c r="C54" s="3"/>
      <c r="D54" s="38"/>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25"/>
      <c r="AY54" s="26"/>
      <c r="AZ54" s="41"/>
      <c r="BA54" s="41"/>
      <c r="BB54" s="41"/>
      <c r="BC54" s="41"/>
      <c r="BD54" s="42"/>
      <c r="BE54" s="41"/>
      <c r="BF54" s="41"/>
      <c r="BG54" s="41"/>
      <c r="BH54" s="41"/>
      <c r="BI54" s="41"/>
      <c r="BJ54" s="41"/>
      <c r="BK54" s="42"/>
      <c r="BL54" s="41"/>
      <c r="BM54" s="41"/>
      <c r="BN54" s="41"/>
      <c r="BO54" s="41"/>
      <c r="BP54" s="41"/>
      <c r="BQ54" s="41"/>
      <c r="BR54" s="80"/>
      <c r="BS54" s="79"/>
      <c r="BT54" s="79"/>
      <c r="BU54" s="79"/>
      <c r="BV54" s="79"/>
      <c r="BW54" s="79"/>
      <c r="BX54" s="79"/>
      <c r="BY54" s="79"/>
      <c r="BZ54" s="80"/>
      <c r="CA54" s="80"/>
      <c r="CB54" s="80"/>
      <c r="CC54" s="80"/>
      <c r="CD54" s="80"/>
      <c r="CE54" s="80"/>
      <c r="CF54" s="80"/>
      <c r="CG54" s="80"/>
      <c r="CH54" s="80"/>
      <c r="CI54" s="80"/>
      <c r="CJ54" s="80"/>
      <c r="CK54" s="80"/>
      <c r="CL54" s="80"/>
      <c r="CM54" s="80"/>
      <c r="CN54" s="80"/>
      <c r="CO54" s="80"/>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47"/>
      <c r="FN54" s="47"/>
      <c r="FO54" s="47"/>
      <c r="FP54" s="47"/>
      <c r="FQ54" s="47"/>
      <c r="FR54" s="47"/>
      <c r="FS54" s="47"/>
      <c r="FT54" s="47"/>
      <c r="FU54" s="47"/>
      <c r="FV54" s="47"/>
      <c r="FW54" s="47"/>
      <c r="FX54" s="47"/>
      <c r="FY54" s="32"/>
      <c r="FZ54" s="32"/>
      <c r="GA54" s="32" t="e">
        <f ca="1">0.7*GA57</f>
        <v>#VALUE!</v>
      </c>
      <c r="GB54" s="32" t="e">
        <f ca="1">GB48+0.57*(GB57-GB48)</f>
        <v>#VALUE!</v>
      </c>
      <c r="GC54" s="32" t="str">
        <f ca="1">IF(FP1=1,0.7*(GI40/GH40),"")</f>
        <v/>
      </c>
      <c r="GD54" s="32" t="e">
        <f ca="1">0.7*GD57</f>
        <v>#VALUE!</v>
      </c>
      <c r="GE54" s="32"/>
      <c r="GF54" s="32">
        <f t="shared" ca="1" si="29"/>
        <v>0</v>
      </c>
      <c r="GG54" s="32">
        <f ca="1">IF(FP1=1,GL40*GC39^2+GM40*GC39^1+GN40,0)</f>
        <v>0</v>
      </c>
      <c r="GH54" s="32">
        <f t="shared" ca="1" si="26"/>
        <v>0</v>
      </c>
      <c r="GI54" s="32">
        <f ca="1">GI57</f>
        <v>0</v>
      </c>
      <c r="GJ54" s="32">
        <f ca="1">0.7*GJ57</f>
        <v>0</v>
      </c>
      <c r="GK54" s="32">
        <f ca="1">0.7*GK57</f>
        <v>0</v>
      </c>
      <c r="GL54" s="32">
        <f ca="1">GL57</f>
        <v>0</v>
      </c>
      <c r="GM54" s="49">
        <f ca="1">GM57</f>
        <v>0</v>
      </c>
      <c r="GN54" s="49">
        <f t="shared" ca="1" si="27"/>
        <v>0</v>
      </c>
      <c r="GO54" s="49">
        <f ca="1">IF(FP1=0,0,GL40*GD54^3+GM40*GD54^2+GN40*GD54+GO40)</f>
        <v>0</v>
      </c>
      <c r="GP54" s="49"/>
      <c r="GQ54" s="49"/>
      <c r="GR54" s="49">
        <f ca="1">IF(FP1=0,0,IF(FO22=2,GC37,IF(FO22=3,HD57,IF(FO22=1,GM34,0))))</f>
        <v>0</v>
      </c>
      <c r="GS54" s="49">
        <f ca="1">0.7*GS57</f>
        <v>0</v>
      </c>
      <c r="GT54" s="49">
        <f t="shared" ca="1" si="28"/>
        <v>0</v>
      </c>
      <c r="GU54" s="49">
        <f ca="1">GU57</f>
        <v>0</v>
      </c>
      <c r="GV54" s="49">
        <f ca="1">IF(FP1=0,0,IF(FO22=3,GV57,0))</f>
        <v>0</v>
      </c>
      <c r="GW54" s="49">
        <f ca="1">0.7*GW57</f>
        <v>0</v>
      </c>
      <c r="GX54" s="49">
        <f ca="1">IF(FP1=1,0.7*GX57,0)</f>
        <v>0</v>
      </c>
      <c r="GY54" s="49">
        <f t="shared" ca="1" si="30"/>
        <v>0</v>
      </c>
      <c r="GZ54" s="49">
        <f t="shared" ca="1" si="31"/>
        <v>0</v>
      </c>
      <c r="HA54" s="49">
        <v>48</v>
      </c>
      <c r="HB54" s="49" t="e">
        <f ca="1">HB4+HA54*(HB57-HB4)/HA56</f>
        <v>#VALUE!</v>
      </c>
      <c r="HC54" s="49" t="e">
        <f ca="1">GZ33*HB54^3+GZ34*HB54^2+GZ35*HB54+GZ36</f>
        <v>#VALUE!</v>
      </c>
      <c r="HD54" s="49" t="e">
        <f t="shared" ca="1" si="12"/>
        <v>#VALUE!</v>
      </c>
      <c r="HE54" s="49" t="e">
        <f ca="1">HE4+HA54*(HE57-HE4)/HA56</f>
        <v>#VALUE!</v>
      </c>
      <c r="HF54" s="49" t="e">
        <f ca="1">GZ33*HE54^3+GZ34*HE54^2+GZ35*HE54+GZ36</f>
        <v>#VALUE!</v>
      </c>
      <c r="HG54" s="49" t="e">
        <f t="shared" ca="1" si="13"/>
        <v>#VALUE!</v>
      </c>
      <c r="HH54" s="49" t="e">
        <f ca="1">HH4+HA54*(HH57-HH4)/HA56</f>
        <v>#VALUE!</v>
      </c>
      <c r="HI54" s="49" t="e">
        <f ca="1">GL40*HH54^3+GM40*HH54^2+GN40*HH54+GO40+GD58</f>
        <v>#VALUE!</v>
      </c>
      <c r="HJ54" s="49" t="e">
        <f t="shared" ca="1" si="14"/>
        <v>#VALUE!</v>
      </c>
      <c r="HK54" s="49" t="e">
        <f t="shared" ca="1" si="19"/>
        <v>#VALUE!</v>
      </c>
      <c r="HL54" s="49" t="e">
        <f t="shared" ca="1" si="20"/>
        <v>#VALUE!</v>
      </c>
      <c r="HM54" s="49" t="e">
        <f t="shared" ca="1" si="15"/>
        <v>#VALUE!</v>
      </c>
      <c r="HN54" s="49"/>
    </row>
    <row r="55" spans="1:222" ht="7.5" customHeight="1">
      <c r="A55" s="1"/>
      <c r="B55" s="3"/>
      <c r="C55" s="3"/>
      <c r="D55" s="38"/>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25"/>
      <c r="AY55" s="26"/>
      <c r="AZ55" s="41"/>
      <c r="BA55" s="41"/>
      <c r="BB55" s="41"/>
      <c r="BC55" s="41"/>
      <c r="BD55" s="42"/>
      <c r="BE55" s="41"/>
      <c r="BF55" s="41"/>
      <c r="BG55" s="41"/>
      <c r="BH55" s="41"/>
      <c r="BI55" s="41"/>
      <c r="BJ55" s="41"/>
      <c r="BK55" s="42"/>
      <c r="BL55" s="41"/>
      <c r="BM55" s="41"/>
      <c r="BN55" s="41"/>
      <c r="BO55" s="41"/>
      <c r="BP55" s="41"/>
      <c r="BQ55" s="41"/>
      <c r="BR55" s="80"/>
      <c r="BS55" s="79"/>
      <c r="BT55" s="79"/>
      <c r="BU55" s="79"/>
      <c r="BV55" s="79"/>
      <c r="BW55" s="79"/>
      <c r="BX55" s="79"/>
      <c r="BY55" s="79"/>
      <c r="BZ55" s="80"/>
      <c r="CA55" s="80"/>
      <c r="CB55" s="80"/>
      <c r="CC55" s="80"/>
      <c r="CD55" s="80"/>
      <c r="CE55" s="80"/>
      <c r="CF55" s="80"/>
      <c r="CG55" s="80"/>
      <c r="CH55" s="80"/>
      <c r="CI55" s="80"/>
      <c r="CJ55" s="80"/>
      <c r="CK55" s="80"/>
      <c r="CL55" s="80"/>
      <c r="CM55" s="80"/>
      <c r="CN55" s="80"/>
      <c r="CO55" s="80"/>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47"/>
      <c r="FN55" s="47"/>
      <c r="FO55" s="47"/>
      <c r="FP55" s="47"/>
      <c r="FQ55" s="47"/>
      <c r="FR55" s="47"/>
      <c r="FS55" s="47"/>
      <c r="FT55" s="47"/>
      <c r="FU55" s="47"/>
      <c r="FV55" s="47"/>
      <c r="FW55" s="47"/>
      <c r="FX55" s="47"/>
      <c r="FY55" s="32"/>
      <c r="FZ55" s="32"/>
      <c r="GA55" s="32" t="e">
        <f ca="1">0.8*GA57</f>
        <v>#VALUE!</v>
      </c>
      <c r="GB55" s="32" t="e">
        <f ca="1">GB48+0.7*(GB57-GB48)</f>
        <v>#VALUE!</v>
      </c>
      <c r="GC55" s="32" t="str">
        <f ca="1">IF(FP1=1,0.8*(GI40/GH40),"")</f>
        <v/>
      </c>
      <c r="GD55" s="32" t="e">
        <f ca="1">0.8*GD57</f>
        <v>#VALUE!</v>
      </c>
      <c r="GE55" s="32"/>
      <c r="GF55" s="32">
        <f t="shared" ca="1" si="29"/>
        <v>0</v>
      </c>
      <c r="GG55" s="32">
        <f ca="1">IF(FP1=1,GL40*GC40^2+GM40*GC40^1+GN40,0)</f>
        <v>0</v>
      </c>
      <c r="GH55" s="32">
        <f t="shared" ca="1" si="26"/>
        <v>0</v>
      </c>
      <c r="GI55" s="32">
        <f ca="1">GI57</f>
        <v>0</v>
      </c>
      <c r="GJ55" s="32">
        <f ca="1">0.8*GJ57</f>
        <v>0</v>
      </c>
      <c r="GK55" s="32">
        <f ca="1">0.8*GK57</f>
        <v>0</v>
      </c>
      <c r="GL55" s="32">
        <f ca="1">GL57</f>
        <v>0</v>
      </c>
      <c r="GM55" s="49">
        <f ca="1">GM57</f>
        <v>0</v>
      </c>
      <c r="GN55" s="49">
        <f t="shared" ca="1" si="27"/>
        <v>0</v>
      </c>
      <c r="GO55" s="49">
        <f ca="1">IF(FP1=0,0,GL40*GD55^3+GM40*GD55^2+GN40*GD55+GO40)</f>
        <v>0</v>
      </c>
      <c r="GP55" s="49"/>
      <c r="GQ55" s="49"/>
      <c r="GR55" s="49">
        <f ca="1">IF(FP1=0,0,IF(FO22=2,GC37,IF(FO22=3,HD57,IF(FO22=1,GM34,0))))</f>
        <v>0</v>
      </c>
      <c r="GS55" s="49">
        <f ca="1">0.8*GS57</f>
        <v>0</v>
      </c>
      <c r="GT55" s="49">
        <f t="shared" ca="1" si="28"/>
        <v>0</v>
      </c>
      <c r="GU55" s="49">
        <f ca="1">GU57</f>
        <v>0</v>
      </c>
      <c r="GV55" s="49">
        <f ca="1">IF(FP1=0,0,IF(FO22=3,GV57,0))</f>
        <v>0</v>
      </c>
      <c r="GW55" s="49">
        <f ca="1">0.8*GW57</f>
        <v>0</v>
      </c>
      <c r="GX55" s="49">
        <f ca="1">IF(FP1=1,0.8*GX57,0)</f>
        <v>0</v>
      </c>
      <c r="GY55" s="49">
        <f t="shared" ca="1" si="30"/>
        <v>0</v>
      </c>
      <c r="GZ55" s="49">
        <f t="shared" ca="1" si="31"/>
        <v>0</v>
      </c>
      <c r="HA55" s="49">
        <v>49</v>
      </c>
      <c r="HB55" s="49" t="e">
        <f ca="1">HB4+HA55*(HB57-HB4)/HA56</f>
        <v>#VALUE!</v>
      </c>
      <c r="HC55" s="49" t="e">
        <f ca="1">GZ33*HB55^3+GZ34*HB55^2+GZ35*HB55+GZ36</f>
        <v>#VALUE!</v>
      </c>
      <c r="HD55" s="49" t="e">
        <f t="shared" ca="1" si="12"/>
        <v>#VALUE!</v>
      </c>
      <c r="HE55" s="49" t="e">
        <f ca="1">HE4+HA55*(HE57-HE4)/HA56</f>
        <v>#VALUE!</v>
      </c>
      <c r="HF55" s="49" t="e">
        <f ca="1">GZ33*HE55^3+GZ34*HE55^2+GZ35*HE55+GZ36</f>
        <v>#VALUE!</v>
      </c>
      <c r="HG55" s="49" t="e">
        <f t="shared" ca="1" si="13"/>
        <v>#VALUE!</v>
      </c>
      <c r="HH55" s="49" t="e">
        <f ca="1">HH4+HA55*(HH57-HH4)/HA56</f>
        <v>#VALUE!</v>
      </c>
      <c r="HI55" s="49" t="e">
        <f ca="1">GL40*HH55^3+GM40*HH55^2+GN40*HH55+GO40+GD58</f>
        <v>#VALUE!</v>
      </c>
      <c r="HJ55" s="49" t="e">
        <f t="shared" ca="1" si="14"/>
        <v>#VALUE!</v>
      </c>
      <c r="HK55" s="49" t="e">
        <f t="shared" ca="1" si="19"/>
        <v>#VALUE!</v>
      </c>
      <c r="HL55" s="49" t="e">
        <f t="shared" ca="1" si="20"/>
        <v>#VALUE!</v>
      </c>
      <c r="HM55" s="49" t="e">
        <f t="shared" ca="1" si="15"/>
        <v>#VALUE!</v>
      </c>
      <c r="HN55" s="49"/>
    </row>
    <row r="56" spans="1:222" ht="16.95" customHeight="1">
      <c r="A56" s="1"/>
      <c r="B56" s="3"/>
      <c r="C56" s="3"/>
      <c r="D56" s="373" t="str">
        <f ca="1">IF(FO29=0,"","Hieronder zie je verschillende soorten opbrengst, kosten en winst op een rij")</f>
        <v/>
      </c>
      <c r="E56" s="10"/>
      <c r="F56" s="10"/>
      <c r="G56" s="10"/>
      <c r="H56" s="10"/>
      <c r="I56" s="10"/>
      <c r="J56" s="10"/>
      <c r="K56" s="10"/>
      <c r="L56" s="10"/>
      <c r="M56" s="10"/>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c r="CJ56" s="79"/>
      <c r="CK56" s="79"/>
      <c r="CL56" s="79"/>
      <c r="CM56" s="79"/>
      <c r="CN56" s="79"/>
      <c r="CO56" s="79"/>
      <c r="CP56" s="79"/>
      <c r="CQ56" s="79"/>
      <c r="CR56" s="79"/>
      <c r="CS56" s="79"/>
      <c r="CT56" s="79"/>
      <c r="CU56" s="79"/>
      <c r="CV56" s="79"/>
      <c r="CW56" s="79"/>
      <c r="CX56" s="79"/>
      <c r="CY56" s="79"/>
      <c r="CZ56" s="79"/>
      <c r="DA56" s="79"/>
      <c r="DB56" s="79"/>
      <c r="DC56" s="79"/>
      <c r="DD56" s="79"/>
      <c r="DE56" s="79"/>
      <c r="DF56" s="79"/>
      <c r="DG56" s="79"/>
      <c r="DH56" s="79"/>
      <c r="DI56" s="79"/>
      <c r="DJ56" s="79"/>
      <c r="DK56" s="79"/>
      <c r="DL56" s="79"/>
      <c r="DM56" s="79"/>
      <c r="DN56" s="79"/>
      <c r="DO56" s="79"/>
      <c r="DP56" s="79"/>
      <c r="DQ56" s="79"/>
      <c r="DR56" s="79"/>
      <c r="DS56" s="79"/>
      <c r="DT56" s="79"/>
      <c r="DU56" s="79"/>
      <c r="DV56" s="79"/>
      <c r="DW56" s="79"/>
      <c r="DX56" s="79"/>
      <c r="DY56" s="79"/>
      <c r="DZ56" s="79"/>
      <c r="EA56" s="79"/>
      <c r="EB56" s="79"/>
      <c r="EC56" s="79"/>
      <c r="ED56" s="79"/>
      <c r="EE56" s="79"/>
      <c r="EF56" s="79"/>
      <c r="EG56" s="79"/>
      <c r="EH56" s="79"/>
      <c r="EI56" s="79"/>
      <c r="EJ56" s="79"/>
      <c r="EK56" s="79"/>
      <c r="EL56" s="79"/>
      <c r="EM56" s="79"/>
      <c r="EN56" s="79"/>
      <c r="EO56" s="79"/>
      <c r="EP56" s="79"/>
      <c r="EQ56" s="79"/>
      <c r="ER56" s="79"/>
      <c r="ES56" s="79"/>
      <c r="ET56" s="79"/>
      <c r="EU56" s="79"/>
      <c r="EV56" s="79"/>
      <c r="EW56" s="79"/>
      <c r="EX56" s="79"/>
      <c r="EY56" s="79"/>
      <c r="EZ56" s="79"/>
      <c r="FA56" s="79"/>
      <c r="FB56" s="79"/>
      <c r="FC56" s="79"/>
      <c r="FD56" s="79"/>
      <c r="FE56" s="79"/>
      <c r="FF56" s="79"/>
      <c r="FG56" s="79"/>
      <c r="FH56" s="79"/>
      <c r="FI56" s="79"/>
      <c r="FJ56" s="79"/>
      <c r="FK56" s="79"/>
      <c r="FL56" s="79"/>
      <c r="FM56" s="47"/>
      <c r="FN56" s="47"/>
      <c r="FO56" s="47"/>
      <c r="FP56" s="47"/>
      <c r="FQ56" s="47"/>
      <c r="FR56" s="47"/>
      <c r="FS56" s="47"/>
      <c r="FT56" s="47"/>
      <c r="FU56" s="47"/>
      <c r="FV56" s="47"/>
      <c r="FW56" s="47"/>
      <c r="FX56" s="47"/>
      <c r="FY56" s="32"/>
      <c r="FZ56" s="32"/>
      <c r="GA56" s="32" t="e">
        <f ca="1">0.9*GA57</f>
        <v>#VALUE!</v>
      </c>
      <c r="GB56" s="32" t="e">
        <f ca="1">GB48+0.84*(GB57-GB48)</f>
        <v>#VALUE!</v>
      </c>
      <c r="GC56" s="32" t="str">
        <f ca="1">IF(FP1=1,0.9*(GI40/GH40),"")</f>
        <v/>
      </c>
      <c r="GD56" s="32" t="e">
        <f ca="1">0.9*GD57</f>
        <v>#VALUE!</v>
      </c>
      <c r="GE56" s="32"/>
      <c r="GF56" s="32">
        <f t="shared" ca="1" si="29"/>
        <v>0</v>
      </c>
      <c r="GG56" s="32">
        <f ca="1">IF(FP1=1,GL40*GC41^2+GM40*GC41^1+GN40,0)</f>
        <v>0</v>
      </c>
      <c r="GH56" s="32">
        <f t="shared" ca="1" si="26"/>
        <v>0</v>
      </c>
      <c r="GI56" s="32">
        <f ca="1">GI57</f>
        <v>0</v>
      </c>
      <c r="GJ56" s="32">
        <f ca="1">0.9*GJ57</f>
        <v>0</v>
      </c>
      <c r="GK56" s="32">
        <f ca="1">0.9*GK57</f>
        <v>0</v>
      </c>
      <c r="GL56" s="32">
        <f ca="1">GL57</f>
        <v>0</v>
      </c>
      <c r="GM56" s="49">
        <f ca="1">GM57</f>
        <v>0</v>
      </c>
      <c r="GN56" s="49">
        <f t="shared" ca="1" si="27"/>
        <v>0</v>
      </c>
      <c r="GO56" s="49">
        <f ca="1">IF(FP1=0,0,GL40*GD56^3+GM40*GD56^2+GN40*GD56+GO40)</f>
        <v>0</v>
      </c>
      <c r="GP56" s="49"/>
      <c r="GQ56" s="49"/>
      <c r="GR56" s="49">
        <f ca="1">IF(FP1=0,0,IF(FO22=2,GC37,IF(FO22=3,HD57,IF(FO22=1,GM34,0))))</f>
        <v>0</v>
      </c>
      <c r="GS56" s="49">
        <f ca="1">0.9*GS57</f>
        <v>0</v>
      </c>
      <c r="GT56" s="49">
        <f t="shared" ca="1" si="28"/>
        <v>0</v>
      </c>
      <c r="GU56" s="49">
        <f ca="1">GU57</f>
        <v>0</v>
      </c>
      <c r="GV56" s="49">
        <f ca="1">IF(FP1=0,0,IF(FO22=3,GV57,0))</f>
        <v>0</v>
      </c>
      <c r="GW56" s="49">
        <f ca="1">0.9*GW57</f>
        <v>0</v>
      </c>
      <c r="GX56" s="49">
        <f ca="1">IF(FP1=1,0.9*GX57,0)</f>
        <v>0</v>
      </c>
      <c r="GY56" s="49">
        <f t="shared" ca="1" si="30"/>
        <v>0</v>
      </c>
      <c r="GZ56" s="49">
        <f t="shared" ca="1" si="31"/>
        <v>0</v>
      </c>
      <c r="HA56" s="49">
        <v>50</v>
      </c>
      <c r="HB56" s="49" t="e">
        <f ca="1">HB4+HA56*(HB57-HB4)/HA56</f>
        <v>#VALUE!</v>
      </c>
      <c r="HC56" s="49" t="e">
        <f ca="1">GZ33*HB56^3+GZ34*HB56^2+GZ35*HB56+GZ36</f>
        <v>#VALUE!</v>
      </c>
      <c r="HD56" s="49" t="e">
        <f t="shared" ca="1" si="12"/>
        <v>#VALUE!</v>
      </c>
      <c r="HE56" s="49" t="e">
        <f ca="1">HE4+HA56*(HE57-HE4)/HA56</f>
        <v>#VALUE!</v>
      </c>
      <c r="HF56" s="49" t="e">
        <f ca="1">GZ33*HE56^3+GZ34*HE56^2+GZ35*HE56+GZ36</f>
        <v>#VALUE!</v>
      </c>
      <c r="HG56" s="49" t="e">
        <f t="shared" ca="1" si="13"/>
        <v>#VALUE!</v>
      </c>
      <c r="HH56" s="49" t="e">
        <f ca="1">HH4+HA56*(HH57-HH4)/HA56</f>
        <v>#VALUE!</v>
      </c>
      <c r="HI56" s="49" t="e">
        <f ca="1">GL40*HH56^3+GM40*HH56^2+GN40*HH56+GO40+GD58</f>
        <v>#VALUE!</v>
      </c>
      <c r="HJ56" s="49" t="e">
        <f t="shared" ca="1" si="14"/>
        <v>#VALUE!</v>
      </c>
      <c r="HK56" s="49" t="e">
        <f t="shared" ca="1" si="19"/>
        <v>#VALUE!</v>
      </c>
      <c r="HL56" s="49" t="e">
        <f t="shared" ca="1" si="20"/>
        <v>#VALUE!</v>
      </c>
      <c r="HM56" s="49" t="e">
        <f t="shared" ca="1" si="15"/>
        <v>#VALUE!</v>
      </c>
      <c r="HN56" s="49"/>
    </row>
    <row r="57" spans="1:222" ht="16.95" customHeight="1">
      <c r="A57" s="1"/>
      <c r="B57" s="3"/>
      <c r="C57" s="3"/>
      <c r="D57" s="373" t="str">
        <f ca="1">IF(FO29=0,"","gezet, zoals deze zijn terug te vinden in de bovenstaande grafieken. Zoals je")</f>
        <v/>
      </c>
      <c r="E57" s="10"/>
      <c r="F57" s="10"/>
      <c r="G57" s="10"/>
      <c r="H57" s="10"/>
      <c r="I57" s="10"/>
      <c r="J57" s="10"/>
      <c r="K57" s="10"/>
      <c r="L57" s="10"/>
      <c r="M57" s="10"/>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c r="CJ57" s="79"/>
      <c r="CK57" s="79"/>
      <c r="CL57" s="79"/>
      <c r="CM57" s="79"/>
      <c r="CN57" s="79"/>
      <c r="CO57" s="79"/>
      <c r="CP57" s="79"/>
      <c r="CQ57" s="79"/>
      <c r="CR57" s="79"/>
      <c r="CS57" s="79"/>
      <c r="CT57" s="79"/>
      <c r="CU57" s="79"/>
      <c r="CV57" s="79"/>
      <c r="CW57" s="79"/>
      <c r="CX57" s="79"/>
      <c r="CY57" s="79"/>
      <c r="CZ57" s="79"/>
      <c r="DA57" s="79"/>
      <c r="DB57" s="79"/>
      <c r="DC57" s="79"/>
      <c r="DD57" s="79"/>
      <c r="DE57" s="79"/>
      <c r="DF57" s="79"/>
      <c r="DG57" s="79"/>
      <c r="DH57" s="79"/>
      <c r="DI57" s="79"/>
      <c r="DJ57" s="79"/>
      <c r="DK57" s="79"/>
      <c r="DL57" s="79"/>
      <c r="DM57" s="79"/>
      <c r="DN57" s="79"/>
      <c r="DO57" s="79"/>
      <c r="DP57" s="79"/>
      <c r="DQ57" s="79"/>
      <c r="DR57" s="79"/>
      <c r="DS57" s="79"/>
      <c r="DT57" s="79"/>
      <c r="DU57" s="79"/>
      <c r="DV57" s="79"/>
      <c r="DW57" s="79"/>
      <c r="DX57" s="79"/>
      <c r="DY57" s="79"/>
      <c r="DZ57" s="79"/>
      <c r="EA57" s="79"/>
      <c r="EB57" s="79"/>
      <c r="EC57" s="79"/>
      <c r="ED57" s="79"/>
      <c r="EE57" s="79"/>
      <c r="EF57" s="79"/>
      <c r="EG57" s="79"/>
      <c r="EH57" s="79"/>
      <c r="EI57" s="79"/>
      <c r="EJ57" s="79"/>
      <c r="EK57" s="79"/>
      <c r="EL57" s="79"/>
      <c r="EM57" s="79"/>
      <c r="EN57" s="79"/>
      <c r="EO57" s="79"/>
      <c r="EP57" s="79"/>
      <c r="EQ57" s="79"/>
      <c r="ER57" s="79"/>
      <c r="ES57" s="79"/>
      <c r="ET57" s="79"/>
      <c r="EU57" s="79"/>
      <c r="EV57" s="79"/>
      <c r="EW57" s="79"/>
      <c r="EX57" s="79"/>
      <c r="EY57" s="79"/>
      <c r="EZ57" s="79"/>
      <c r="FA57" s="79"/>
      <c r="FB57" s="79"/>
      <c r="FC57" s="79"/>
      <c r="FD57" s="79"/>
      <c r="FE57" s="79"/>
      <c r="FF57" s="79"/>
      <c r="FG57" s="79"/>
      <c r="FH57" s="79"/>
      <c r="FI57" s="79"/>
      <c r="FJ57" s="79"/>
      <c r="FK57" s="79"/>
      <c r="FL57" s="79"/>
      <c r="FM57" s="47"/>
      <c r="FN57" s="47"/>
      <c r="FO57" s="47"/>
      <c r="FP57" s="47"/>
      <c r="FQ57" s="47"/>
      <c r="FR57" s="47"/>
      <c r="FS57" s="47"/>
      <c r="FT57" s="47"/>
      <c r="FU57" s="47"/>
      <c r="FV57" s="47"/>
      <c r="FW57" s="47"/>
      <c r="FX57" s="47"/>
      <c r="FY57" s="32"/>
      <c r="FZ57" s="32"/>
      <c r="GA57" s="32" t="e">
        <f ca="1">ROUND((GC57+2*GD57)/3,0)</f>
        <v>#VALUE!</v>
      </c>
      <c r="GB57" s="32" t="str">
        <f ca="1">GC57</f>
        <v/>
      </c>
      <c r="GC57" s="32" t="str">
        <f ca="1">IF(FP1=1,1*(GI40/GH40),"")</f>
        <v/>
      </c>
      <c r="GD57" s="32" t="e">
        <f ca="1">IF(FP24=5,GC42,IF(FP24=4,GC42,IF(FP24=2,GC42,IF(1.05*HJ57&lt;GC57,1.05*HJ57,GH32))))</f>
        <v>#VALUE!</v>
      </c>
      <c r="GE57" s="32"/>
      <c r="GF57" s="32">
        <f t="shared" ca="1" si="29"/>
        <v>0</v>
      </c>
      <c r="GG57" s="32">
        <f ca="1">IF(FP1=1,GL40*GC42^2+GM40*GC42^1+GN40,0)</f>
        <v>0</v>
      </c>
      <c r="GH57" s="32">
        <f t="shared" ca="1" si="26"/>
        <v>0</v>
      </c>
      <c r="GI57" s="32">
        <f ca="1">IF(FP1=0,0,IF(FO22=1,GL31,IF(FO22=2,GC37,IF(FO22=3,GU28,0))))</f>
        <v>0</v>
      </c>
      <c r="GJ57" s="32">
        <f ca="1">IF(FP1=1,-GH40*GI57+GI40,0)</f>
        <v>0</v>
      </c>
      <c r="GK57" s="32">
        <f ca="1">IF(FP1=0,0,IF(FO22=1,GI57,IF(FO22=2,GI57,0)))</f>
        <v>0</v>
      </c>
      <c r="GL57" s="32">
        <f ca="1">IF(FP1=0,0,IF(FO22=1,GJ57,IF(FO22=2,GJ57,0)))</f>
        <v>0</v>
      </c>
      <c r="GM57" s="49">
        <f ca="1">IF(FP1=0,0,IF(FO22=1,GL40*GI57^2+GM40*GI57^1+GN40+GO40/GI57,IF(FO22=2,GL40*GI57^2+GM40*GI57^1+GN40+GO40/GI57,0)))</f>
        <v>0</v>
      </c>
      <c r="GN57" s="49">
        <f t="shared" ca="1" si="27"/>
        <v>0</v>
      </c>
      <c r="GO57" s="49">
        <f ca="1">IF(FP1=0,0,GL40*GD57^3+GM40*GD57^2+GN40*GD57+GO40)</f>
        <v>0</v>
      </c>
      <c r="GP57" s="49"/>
      <c r="GQ57" s="49"/>
      <c r="GR57" s="49">
        <f ca="1">IF(FP1=0,0,IF(FO22=1,GM34,IF(FO22=2,GI57,IF(FO22=3,GU28,0))))</f>
        <v>0</v>
      </c>
      <c r="GS57" s="49">
        <f ca="1">IF(FP1=0,0,-GH40*GR57^2+GI40*GR57)</f>
        <v>0</v>
      </c>
      <c r="GT57" s="49">
        <f t="shared" ca="1" si="28"/>
        <v>0</v>
      </c>
      <c r="GU57" s="49">
        <f ca="1">IF(FP1=0,0,IF(FO22=1,GL40*GR57^2+GM40*GR57^1+GN40,IF(FO22=2,GL40*GR57^2+GM40*GR57^1+GN40,0)))</f>
        <v>0</v>
      </c>
      <c r="GV57" s="49">
        <f ca="1">IF(FP1=0,0,IF(FO22=3,HG57,0))</f>
        <v>0</v>
      </c>
      <c r="GW57" s="49">
        <f ca="1">IF(FP1=0,0,IF(FO22=3,GL40*GV57^3+GM40*GV57^2+GN40*GV57+GO40,0))</f>
        <v>0</v>
      </c>
      <c r="GX57" s="49">
        <f ca="1">IF(FP1=0,0,IF(FO22=3,GL40*GV57^2+GM40*GV57^1+GN40+GO40/GV57,0))</f>
        <v>0</v>
      </c>
      <c r="GY57" s="49">
        <f ca="1">IF(FP1=0,0,1.1*GF47)</f>
        <v>0</v>
      </c>
      <c r="GZ57" s="49">
        <f ca="1">IF(FP1=0,0,IF(FO22=3,1.1*GF47,0))</f>
        <v>0</v>
      </c>
      <c r="HA57" s="49"/>
      <c r="HB57" s="49" t="str">
        <f ca="1">GB34</f>
        <v/>
      </c>
      <c r="HC57" s="49"/>
      <c r="HD57" s="49" t="e">
        <f ca="1">MAX(HD5:HD56)</f>
        <v>#VALUE!</v>
      </c>
      <c r="HE57" s="49" t="str">
        <f ca="1">GB42</f>
        <v/>
      </c>
      <c r="HF57" s="49"/>
      <c r="HG57" s="49" t="e">
        <f ca="1">MAX(HG5:HG56)</f>
        <v>#VALUE!</v>
      </c>
      <c r="HH57" s="49" t="str">
        <f ca="1">GC57</f>
        <v/>
      </c>
      <c r="HI57" s="49"/>
      <c r="HJ57" s="49" t="e">
        <f ca="1">MAX(HJ5:HJ56)</f>
        <v>#VALUE!</v>
      </c>
      <c r="HK57" s="49" t="str">
        <f ca="1">HB57</f>
        <v/>
      </c>
      <c r="HL57" s="49"/>
      <c r="HM57" s="49" t="e">
        <f ca="1">MAX(HM5:HM56)</f>
        <v>#VALUE!</v>
      </c>
      <c r="HN57" s="49"/>
    </row>
    <row r="58" spans="1:222" ht="16.95" customHeight="1">
      <c r="A58" s="1"/>
      <c r="B58" s="3"/>
      <c r="C58" s="3"/>
      <c r="D58" s="373" t="str">
        <f ca="1">IF(FO29=0,"","ziet ontbreken een aantal waarden (de negen gele vakken). Bereken deze")</f>
        <v/>
      </c>
      <c r="E58" s="10"/>
      <c r="F58" s="10"/>
      <c r="G58" s="10"/>
      <c r="H58" s="10"/>
      <c r="I58" s="10"/>
      <c r="J58" s="10"/>
      <c r="K58" s="10"/>
      <c r="L58" s="10"/>
      <c r="M58" s="10"/>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c r="CJ58" s="79"/>
      <c r="CK58" s="79"/>
      <c r="CL58" s="79"/>
      <c r="CM58" s="79"/>
      <c r="CN58" s="79"/>
      <c r="CO58" s="79"/>
      <c r="CP58" s="79"/>
      <c r="CQ58" s="79"/>
      <c r="CR58" s="79"/>
      <c r="CS58" s="79"/>
      <c r="CT58" s="79"/>
      <c r="CU58" s="79"/>
      <c r="CV58" s="79"/>
      <c r="CW58" s="79"/>
      <c r="CX58" s="79"/>
      <c r="CY58" s="79"/>
      <c r="CZ58" s="79"/>
      <c r="DA58" s="79"/>
      <c r="DB58" s="79"/>
      <c r="DC58" s="79"/>
      <c r="DD58" s="79"/>
      <c r="DE58" s="79"/>
      <c r="DF58" s="79"/>
      <c r="DG58" s="79"/>
      <c r="DH58" s="79"/>
      <c r="DI58" s="79"/>
      <c r="DJ58" s="79"/>
      <c r="DK58" s="79"/>
      <c r="DL58" s="79"/>
      <c r="DM58" s="79"/>
      <c r="DN58" s="79"/>
      <c r="DO58" s="79"/>
      <c r="DP58" s="79"/>
      <c r="DQ58" s="79"/>
      <c r="DR58" s="79"/>
      <c r="DS58" s="79"/>
      <c r="DT58" s="79"/>
      <c r="DU58" s="79"/>
      <c r="DV58" s="79"/>
      <c r="DW58" s="79"/>
      <c r="DX58" s="79"/>
      <c r="DY58" s="79"/>
      <c r="DZ58" s="79"/>
      <c r="EA58" s="79"/>
      <c r="EB58" s="79"/>
      <c r="EC58" s="79"/>
      <c r="ED58" s="79"/>
      <c r="EE58" s="79"/>
      <c r="EF58" s="79"/>
      <c r="EG58" s="79"/>
      <c r="EH58" s="79"/>
      <c r="EI58" s="79"/>
      <c r="EJ58" s="79"/>
      <c r="EK58" s="79"/>
      <c r="EL58" s="79"/>
      <c r="EM58" s="79"/>
      <c r="EN58" s="79"/>
      <c r="EO58" s="79"/>
      <c r="EP58" s="79"/>
      <c r="EQ58" s="79"/>
      <c r="ER58" s="79"/>
      <c r="ES58" s="79"/>
      <c r="ET58" s="79"/>
      <c r="EU58" s="79"/>
      <c r="EV58" s="79"/>
      <c r="EW58" s="79"/>
      <c r="EX58" s="79"/>
      <c r="EY58" s="79"/>
      <c r="EZ58" s="79"/>
      <c r="FA58" s="79"/>
      <c r="FB58" s="79"/>
      <c r="FC58" s="79"/>
      <c r="FD58" s="79"/>
      <c r="FE58" s="79"/>
      <c r="FF58" s="79"/>
      <c r="FG58" s="79"/>
      <c r="FH58" s="79"/>
      <c r="FI58" s="79"/>
      <c r="FJ58" s="79"/>
      <c r="FK58" s="79"/>
      <c r="FL58" s="79"/>
      <c r="FM58" s="47"/>
      <c r="FN58" s="47"/>
      <c r="FO58" s="47"/>
      <c r="FP58" s="47"/>
      <c r="FQ58" s="47"/>
      <c r="FR58" s="47"/>
      <c r="FS58" s="47"/>
      <c r="FT58" s="47"/>
      <c r="FU58" s="47"/>
      <c r="FV58" s="47"/>
      <c r="FW58" s="47"/>
      <c r="FX58" s="47"/>
      <c r="FY58" s="32"/>
      <c r="FZ58" s="32"/>
      <c r="GA58" s="32"/>
      <c r="GB58" s="32"/>
      <c r="GC58" s="32"/>
      <c r="GD58" s="32">
        <f ca="1">-1.1*GN52</f>
        <v>0</v>
      </c>
      <c r="GE58" s="32">
        <f ca="1">-1*GN52</f>
        <v>0</v>
      </c>
      <c r="GF58" s="32"/>
      <c r="GG58" s="32"/>
      <c r="GH58" s="32"/>
      <c r="GI58" s="32"/>
      <c r="GJ58" s="32"/>
      <c r="GK58" s="32"/>
      <c r="GL58" s="32"/>
      <c r="GM58" s="49"/>
      <c r="GN58" s="49"/>
      <c r="GO58" s="49"/>
      <c r="GP58" s="49"/>
      <c r="GQ58" s="49"/>
      <c r="GR58" s="49"/>
      <c r="GS58" s="49"/>
      <c r="GT58" s="49"/>
      <c r="GU58" s="49"/>
      <c r="GV58" s="49"/>
      <c r="GW58" s="49"/>
      <c r="GX58" s="49"/>
      <c r="GY58" s="49"/>
      <c r="GZ58" s="49"/>
      <c r="HA58" s="49"/>
      <c r="HB58" s="49"/>
      <c r="HC58" s="49" t="s">
        <v>112</v>
      </c>
      <c r="HD58" s="49" t="e">
        <f ca="1">GU28</f>
        <v>#VALUE!</v>
      </c>
      <c r="HE58" s="49"/>
      <c r="HF58" s="49"/>
      <c r="HG58" s="49" t="s">
        <v>110</v>
      </c>
      <c r="HH58" s="49"/>
      <c r="HI58" s="49"/>
      <c r="HJ58" s="49"/>
      <c r="HK58" s="49"/>
      <c r="HL58" s="49"/>
      <c r="HM58" s="49" t="s">
        <v>113</v>
      </c>
      <c r="HN58" s="49"/>
    </row>
    <row r="59" spans="1:222" ht="16.95" customHeight="1">
      <c r="A59" s="1"/>
      <c r="B59" s="3"/>
      <c r="C59" s="3"/>
      <c r="D59" s="373" t="str">
        <f ca="1">IF(FO29=0,"","waarden en vul ze in. Rond de waarde die je invult af op een heel getal")</f>
        <v/>
      </c>
      <c r="E59" s="10"/>
      <c r="F59" s="10"/>
      <c r="G59" s="10"/>
      <c r="H59" s="10"/>
      <c r="I59" s="10"/>
      <c r="J59" s="10"/>
      <c r="K59" s="10"/>
      <c r="L59" s="10"/>
      <c r="M59" s="10"/>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47"/>
      <c r="FN59" s="47"/>
      <c r="FO59" s="47"/>
      <c r="FP59" s="47"/>
      <c r="FQ59" s="47"/>
      <c r="FR59" s="47"/>
      <c r="FS59" s="47"/>
      <c r="FT59" s="47"/>
      <c r="FU59" s="47"/>
      <c r="FV59" s="47"/>
      <c r="FW59" s="47"/>
      <c r="FX59" s="47"/>
      <c r="FY59" s="32"/>
      <c r="FZ59" s="32"/>
      <c r="GA59" s="32"/>
      <c r="GB59" s="32"/>
      <c r="GC59" s="32"/>
      <c r="GD59" s="32"/>
      <c r="GE59" s="32"/>
      <c r="GF59" s="32"/>
      <c r="GG59" s="32"/>
      <c r="GH59" s="32"/>
      <c r="GI59" s="32"/>
      <c r="GJ59" s="32"/>
      <c r="GK59" s="32"/>
      <c r="GL59" s="32"/>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row>
    <row r="60" spans="1:222" ht="16.95" customHeight="1">
      <c r="A60" s="1"/>
      <c r="B60" s="3"/>
      <c r="C60" s="3"/>
      <c r="D60" s="373" t="str">
        <f ca="1">IF(FO29=0,"","(anders krijg je een foutmelding). Door afrondingen bij het gemiddelde en")</f>
        <v/>
      </c>
      <c r="E60" s="10"/>
      <c r="F60" s="10"/>
      <c r="G60" s="10"/>
      <c r="H60" s="10"/>
      <c r="I60" s="10"/>
      <c r="J60" s="10"/>
      <c r="K60" s="10"/>
      <c r="L60" s="10"/>
      <c r="M60" s="10"/>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c r="CJ60" s="79"/>
      <c r="CK60" s="79"/>
      <c r="CL60" s="79"/>
      <c r="CM60" s="79"/>
      <c r="CN60" s="79"/>
      <c r="CO60" s="79"/>
      <c r="CP60" s="79"/>
      <c r="CQ60" s="79"/>
      <c r="CR60" s="79"/>
      <c r="CS60" s="79"/>
      <c r="CT60" s="79"/>
      <c r="CU60" s="79"/>
      <c r="CV60" s="79"/>
      <c r="CW60" s="79"/>
      <c r="CX60" s="79"/>
      <c r="CY60" s="79"/>
      <c r="CZ60" s="79"/>
      <c r="DA60" s="79"/>
      <c r="DB60" s="79"/>
      <c r="DC60" s="79"/>
      <c r="DD60" s="79"/>
      <c r="DE60" s="79"/>
      <c r="DF60" s="79"/>
      <c r="DG60" s="79"/>
      <c r="DH60" s="79"/>
      <c r="DI60" s="79"/>
      <c r="DJ60" s="79"/>
      <c r="DK60" s="79"/>
      <c r="DL60" s="79"/>
      <c r="DM60" s="79"/>
      <c r="DN60" s="79"/>
      <c r="DO60" s="79"/>
      <c r="DP60" s="79"/>
      <c r="DQ60" s="79"/>
      <c r="DR60" s="79"/>
      <c r="DS60" s="79"/>
      <c r="DT60" s="79"/>
      <c r="DU60" s="79"/>
      <c r="DV60" s="79"/>
      <c r="DW60" s="79"/>
      <c r="DX60" s="79"/>
      <c r="DY60" s="79"/>
      <c r="DZ60" s="79"/>
      <c r="EA60" s="79"/>
      <c r="EB60" s="79"/>
      <c r="EC60" s="79"/>
      <c r="ED60" s="79"/>
      <c r="EE60" s="79"/>
      <c r="EF60" s="79"/>
      <c r="EG60" s="79"/>
      <c r="EH60" s="79"/>
      <c r="EI60" s="79"/>
      <c r="EJ60" s="79"/>
      <c r="EK60" s="79"/>
      <c r="EL60" s="79"/>
      <c r="EM60" s="79"/>
      <c r="EN60" s="79"/>
      <c r="EO60" s="79"/>
      <c r="EP60" s="79"/>
      <c r="EQ60" s="79"/>
      <c r="ER60" s="79"/>
      <c r="ES60" s="79"/>
      <c r="ET60" s="79"/>
      <c r="EU60" s="79"/>
      <c r="EV60" s="79"/>
      <c r="EW60" s="79"/>
      <c r="EX60" s="79"/>
      <c r="EY60" s="79"/>
      <c r="EZ60" s="79"/>
      <c r="FA60" s="79"/>
      <c r="FB60" s="79"/>
      <c r="FC60" s="79"/>
      <c r="FD60" s="79"/>
      <c r="FE60" s="79"/>
      <c r="FF60" s="79"/>
      <c r="FG60" s="79"/>
      <c r="FH60" s="79"/>
      <c r="FI60" s="79"/>
      <c r="FJ60" s="79"/>
      <c r="FK60" s="79"/>
      <c r="FL60" s="79"/>
      <c r="FM60" s="47"/>
      <c r="FN60" s="47"/>
      <c r="FO60" s="47"/>
      <c r="FP60" s="47"/>
      <c r="FQ60" s="47"/>
      <c r="FR60" s="47"/>
      <c r="FS60" s="47"/>
      <c r="FT60" s="47"/>
      <c r="FU60" s="47"/>
      <c r="FV60" s="47"/>
      <c r="FW60" s="47"/>
      <c r="FX60" s="47"/>
      <c r="FY60" s="32"/>
      <c r="FZ60" s="32"/>
      <c r="GA60" s="32"/>
      <c r="GB60" s="32"/>
      <c r="GC60" s="32"/>
      <c r="GD60" s="32"/>
      <c r="GE60" s="32"/>
      <c r="GF60" s="32"/>
      <c r="GG60" s="32"/>
      <c r="GH60" s="32"/>
      <c r="GI60" s="32"/>
      <c r="GJ60" s="32"/>
      <c r="GK60" s="32"/>
      <c r="GL60" s="32"/>
      <c r="GM60" s="49"/>
      <c r="GN60" s="49"/>
      <c r="GO60" s="49"/>
      <c r="GP60" s="49"/>
      <c r="GQ60" s="49"/>
      <c r="GR60" s="49"/>
      <c r="GS60" s="49"/>
      <c r="GT60" s="49"/>
      <c r="GU60" s="49"/>
      <c r="GV60" s="49"/>
      <c r="GW60" s="49"/>
      <c r="GX60" s="49"/>
      <c r="GY60" s="49"/>
      <c r="GZ60" s="49"/>
      <c r="HA60" s="49"/>
      <c r="HB60" s="49"/>
      <c r="HC60" s="49"/>
      <c r="HD60" s="49"/>
      <c r="HE60" s="49"/>
      <c r="HF60" s="49"/>
      <c r="HG60" s="49"/>
      <c r="HH60" s="49"/>
      <c r="HI60" s="49"/>
      <c r="HJ60" s="49"/>
      <c r="HK60" s="49"/>
      <c r="HL60" s="49"/>
      <c r="HM60" s="49"/>
      <c r="HN60" s="49"/>
    </row>
    <row r="61" spans="1:222" ht="16.95" customHeight="1">
      <c r="A61" s="1"/>
      <c r="B61" s="3"/>
      <c r="C61" s="3"/>
      <c r="D61" s="469" t="str">
        <f ca="1">IF(FO29=0,"","de marginale zijn sommige waarden mogelijk niet helemaal met elkaar in")</f>
        <v/>
      </c>
      <c r="E61" s="10"/>
      <c r="F61" s="10"/>
      <c r="G61" s="10"/>
      <c r="H61" s="10"/>
      <c r="I61" s="10"/>
      <c r="J61" s="10"/>
      <c r="K61" s="10"/>
      <c r="L61" s="10"/>
      <c r="M61" s="1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c r="BP61" s="470"/>
      <c r="BQ61" s="470"/>
      <c r="BR61" s="470"/>
      <c r="BS61" s="470"/>
      <c r="BT61" s="470"/>
      <c r="BU61" s="470"/>
      <c r="BV61" s="470"/>
      <c r="BW61" s="470"/>
      <c r="BX61" s="470"/>
      <c r="BY61" s="470"/>
      <c r="BZ61" s="470"/>
      <c r="CA61" s="470"/>
      <c r="CB61" s="470"/>
      <c r="CC61" s="470"/>
      <c r="CD61" s="470"/>
      <c r="CE61" s="470"/>
      <c r="CF61" s="470"/>
      <c r="CG61" s="470"/>
      <c r="CH61" s="470"/>
      <c r="CI61" s="470"/>
      <c r="CJ61" s="470"/>
      <c r="CK61" s="470"/>
      <c r="CL61" s="470"/>
      <c r="CM61" s="470"/>
      <c r="CN61" s="470"/>
      <c r="CO61" s="470"/>
      <c r="CP61" s="470"/>
      <c r="CQ61" s="470"/>
      <c r="CR61" s="470"/>
      <c r="CS61" s="470"/>
      <c r="CT61" s="470"/>
      <c r="CU61" s="470"/>
      <c r="CV61" s="470"/>
      <c r="CW61" s="470"/>
      <c r="CX61" s="470"/>
      <c r="CY61" s="470"/>
      <c r="CZ61" s="470"/>
      <c r="DA61" s="470"/>
      <c r="DB61" s="470"/>
      <c r="DC61" s="470"/>
      <c r="DD61" s="470"/>
      <c r="DE61" s="470"/>
      <c r="DF61" s="470"/>
      <c r="DG61" s="470"/>
      <c r="DH61" s="470"/>
      <c r="DI61" s="470"/>
      <c r="DJ61" s="470"/>
      <c r="DK61" s="470"/>
      <c r="DL61" s="470"/>
      <c r="DM61" s="470"/>
      <c r="DN61" s="470"/>
      <c r="DO61" s="470"/>
      <c r="DP61" s="470"/>
      <c r="DQ61" s="470"/>
      <c r="DR61" s="470"/>
      <c r="DS61" s="470"/>
      <c r="DT61" s="470"/>
      <c r="DU61" s="470"/>
      <c r="DV61" s="470"/>
      <c r="DW61" s="470"/>
      <c r="DX61" s="470"/>
      <c r="DY61" s="470"/>
      <c r="DZ61" s="470"/>
      <c r="EA61" s="470"/>
      <c r="EB61" s="470"/>
      <c r="EC61" s="470"/>
      <c r="ED61" s="470"/>
      <c r="EE61" s="470"/>
      <c r="EF61" s="470"/>
      <c r="EG61" s="470"/>
      <c r="EH61" s="470"/>
      <c r="EI61" s="470"/>
      <c r="EJ61" s="470"/>
      <c r="EK61" s="470"/>
      <c r="EL61" s="470"/>
      <c r="EM61" s="470"/>
      <c r="EN61" s="470"/>
      <c r="EO61" s="470"/>
      <c r="EP61" s="470"/>
      <c r="EQ61" s="470"/>
      <c r="ER61" s="470"/>
      <c r="ES61" s="470"/>
      <c r="ET61" s="470"/>
      <c r="EU61" s="470"/>
      <c r="EV61" s="470"/>
      <c r="EW61" s="470"/>
      <c r="EX61" s="470"/>
      <c r="EY61" s="470"/>
      <c r="EZ61" s="470"/>
      <c r="FA61" s="470"/>
      <c r="FB61" s="470"/>
      <c r="FC61" s="470"/>
      <c r="FD61" s="470"/>
      <c r="FE61" s="470"/>
      <c r="FF61" s="470"/>
      <c r="FG61" s="470"/>
      <c r="FH61" s="470"/>
      <c r="FI61" s="470"/>
      <c r="FJ61" s="470"/>
      <c r="FK61" s="470"/>
      <c r="FL61" s="470"/>
      <c r="FM61" s="47"/>
      <c r="FN61" s="47"/>
      <c r="FO61" s="47"/>
      <c r="FP61" s="47"/>
      <c r="FQ61" s="47"/>
      <c r="FR61" s="47"/>
      <c r="FS61" s="47"/>
      <c r="FT61" s="47"/>
      <c r="FU61" s="47"/>
      <c r="FV61" s="47"/>
      <c r="FW61" s="47"/>
      <c r="FX61" s="47"/>
      <c r="FY61" s="32"/>
      <c r="FZ61" s="32"/>
      <c r="GA61" s="32"/>
      <c r="GB61" s="32"/>
      <c r="GC61" s="32"/>
      <c r="GD61" s="32"/>
      <c r="GE61" s="32"/>
      <c r="GF61" s="32"/>
      <c r="GG61" s="32"/>
      <c r="GH61" s="32"/>
      <c r="GI61" s="32"/>
      <c r="GJ61" s="32"/>
      <c r="GK61" s="32"/>
      <c r="GL61" s="32"/>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row>
    <row r="62" spans="1:222" ht="16.95" customHeight="1">
      <c r="A62" s="1"/>
      <c r="B62" s="3"/>
      <c r="C62" s="3"/>
      <c r="D62" s="469" t="str">
        <f ca="1">IF(FO29=0,"","overeenstemming, maar daar wordt bij het nakijken rekening mee gehouden.")</f>
        <v/>
      </c>
      <c r="E62" s="10"/>
      <c r="F62" s="10"/>
      <c r="G62" s="10"/>
      <c r="H62" s="10"/>
      <c r="I62" s="10"/>
      <c r="J62" s="10"/>
      <c r="K62" s="10"/>
      <c r="L62" s="10"/>
      <c r="M62" s="10"/>
      <c r="N62" s="470"/>
      <c r="O62" s="470"/>
      <c r="P62" s="470"/>
      <c r="Q62" s="470"/>
      <c r="R62" s="470"/>
      <c r="S62" s="470"/>
      <c r="T62" s="470"/>
      <c r="U62" s="470"/>
      <c r="V62" s="470"/>
      <c r="W62" s="470"/>
      <c r="X62" s="470"/>
      <c r="Y62" s="470"/>
      <c r="Z62" s="470"/>
      <c r="AA62" s="470"/>
      <c r="AB62" s="470"/>
      <c r="AC62" s="470"/>
      <c r="AD62" s="470"/>
      <c r="AE62" s="470"/>
      <c r="AF62" s="470"/>
      <c r="AG62" s="470"/>
      <c r="AH62" s="470"/>
      <c r="AI62" s="470"/>
      <c r="AJ62" s="470"/>
      <c r="AK62" s="470"/>
      <c r="AL62" s="470"/>
      <c r="AM62" s="470"/>
      <c r="AN62" s="470"/>
      <c r="AO62" s="470"/>
      <c r="AP62" s="470"/>
      <c r="AQ62" s="470"/>
      <c r="AR62" s="470"/>
      <c r="AS62" s="470"/>
      <c r="AT62" s="470"/>
      <c r="AU62" s="470"/>
      <c r="AV62" s="470"/>
      <c r="AW62" s="470"/>
      <c r="AX62" s="470"/>
      <c r="AY62" s="470"/>
      <c r="AZ62" s="470"/>
      <c r="BA62" s="470"/>
      <c r="BB62" s="470"/>
      <c r="BC62" s="470"/>
      <c r="BD62" s="470"/>
      <c r="BE62" s="470"/>
      <c r="BF62" s="470"/>
      <c r="BG62" s="470"/>
      <c r="BH62" s="470"/>
      <c r="BI62" s="470"/>
      <c r="BJ62" s="470"/>
      <c r="BK62" s="470"/>
      <c r="BL62" s="470"/>
      <c r="BM62" s="470"/>
      <c r="BN62" s="470"/>
      <c r="BO62" s="470"/>
      <c r="BP62" s="470"/>
      <c r="BQ62" s="470"/>
      <c r="BR62" s="470"/>
      <c r="BS62" s="470"/>
      <c r="BT62" s="470"/>
      <c r="BU62" s="470"/>
      <c r="BV62" s="470"/>
      <c r="BW62" s="470"/>
      <c r="BX62" s="470"/>
      <c r="BY62" s="470"/>
      <c r="BZ62" s="470"/>
      <c r="CA62" s="470"/>
      <c r="CB62" s="470"/>
      <c r="CC62" s="470"/>
      <c r="CD62" s="470"/>
      <c r="CE62" s="470"/>
      <c r="CF62" s="470"/>
      <c r="CG62" s="470"/>
      <c r="CH62" s="470"/>
      <c r="CI62" s="470"/>
      <c r="CJ62" s="470"/>
      <c r="CK62" s="470"/>
      <c r="CL62" s="470"/>
      <c r="CM62" s="470"/>
      <c r="CN62" s="470"/>
      <c r="CO62" s="470"/>
      <c r="CP62" s="470"/>
      <c r="CQ62" s="470"/>
      <c r="CR62" s="470"/>
      <c r="CS62" s="470"/>
      <c r="CT62" s="470"/>
      <c r="CU62" s="470"/>
      <c r="CV62" s="470"/>
      <c r="CW62" s="470"/>
      <c r="CX62" s="470"/>
      <c r="CY62" s="470"/>
      <c r="CZ62" s="470"/>
      <c r="DA62" s="470"/>
      <c r="DB62" s="470"/>
      <c r="DC62" s="470"/>
      <c r="DD62" s="470"/>
      <c r="DE62" s="470"/>
      <c r="DF62" s="470"/>
      <c r="DG62" s="470"/>
      <c r="DH62" s="470"/>
      <c r="DI62" s="470"/>
      <c r="DJ62" s="470"/>
      <c r="DK62" s="470"/>
      <c r="DL62" s="470"/>
      <c r="DM62" s="470"/>
      <c r="DN62" s="470"/>
      <c r="DO62" s="470"/>
      <c r="DP62" s="470"/>
      <c r="DQ62" s="470"/>
      <c r="DR62" s="470"/>
      <c r="DS62" s="470"/>
      <c r="DT62" s="470"/>
      <c r="DU62" s="470"/>
      <c r="DV62" s="470"/>
      <c r="DW62" s="470"/>
      <c r="DX62" s="470"/>
      <c r="DY62" s="470"/>
      <c r="DZ62" s="470"/>
      <c r="EA62" s="470"/>
      <c r="EB62" s="470"/>
      <c r="EC62" s="470"/>
      <c r="ED62" s="470"/>
      <c r="EE62" s="470"/>
      <c r="EF62" s="470"/>
      <c r="EG62" s="470"/>
      <c r="EH62" s="470"/>
      <c r="EI62" s="470"/>
      <c r="EJ62" s="470"/>
      <c r="EK62" s="470"/>
      <c r="EL62" s="470"/>
      <c r="EM62" s="470"/>
      <c r="EN62" s="470"/>
      <c r="EO62" s="470"/>
      <c r="EP62" s="470"/>
      <c r="EQ62" s="470"/>
      <c r="ER62" s="470"/>
      <c r="ES62" s="470"/>
      <c r="ET62" s="470"/>
      <c r="EU62" s="470"/>
      <c r="EV62" s="470"/>
      <c r="EW62" s="470"/>
      <c r="EX62" s="470"/>
      <c r="EY62" s="470"/>
      <c r="EZ62" s="470"/>
      <c r="FA62" s="470"/>
      <c r="FB62" s="470"/>
      <c r="FC62" s="470"/>
      <c r="FD62" s="470"/>
      <c r="FE62" s="470"/>
      <c r="FF62" s="470"/>
      <c r="FG62" s="470"/>
      <c r="FH62" s="470"/>
      <c r="FI62" s="470"/>
      <c r="FJ62" s="470"/>
      <c r="FK62" s="470"/>
      <c r="FL62" s="470"/>
      <c r="FM62" s="47"/>
      <c r="FN62" s="47"/>
      <c r="FO62" s="47"/>
      <c r="FP62" s="47"/>
      <c r="FQ62" s="47"/>
      <c r="FR62" s="47"/>
      <c r="FS62" s="47"/>
      <c r="FT62" s="47"/>
      <c r="FU62" s="47"/>
      <c r="FV62" s="47"/>
      <c r="FW62" s="47"/>
      <c r="FX62" s="47"/>
      <c r="FY62" s="32"/>
      <c r="FZ62" s="32"/>
      <c r="GA62" s="32"/>
      <c r="GB62" s="32"/>
      <c r="GC62" s="32"/>
      <c r="GD62" s="32"/>
      <c r="GE62" s="32"/>
      <c r="GF62" s="32"/>
      <c r="GG62" s="32"/>
      <c r="GH62" s="32"/>
      <c r="GI62" s="32"/>
      <c r="GJ62" s="32"/>
      <c r="GK62" s="32"/>
      <c r="GL62" s="32"/>
      <c r="GM62" s="49"/>
      <c r="GN62" s="49"/>
      <c r="GO62" s="49"/>
      <c r="GP62" s="49"/>
      <c r="GQ62" s="49"/>
      <c r="GR62" s="49"/>
      <c r="GS62" s="49"/>
      <c r="GT62" s="49"/>
      <c r="GU62" s="49"/>
      <c r="GV62" s="49"/>
      <c r="GW62" s="49"/>
      <c r="GX62" s="49"/>
      <c r="GY62" s="49"/>
      <c r="GZ62" s="49"/>
      <c r="HA62" s="49"/>
      <c r="HB62" s="49"/>
      <c r="HC62" s="49"/>
      <c r="HD62" s="49"/>
      <c r="HE62" s="49"/>
      <c r="HF62" s="49"/>
      <c r="HG62" s="49"/>
      <c r="HH62" s="49"/>
      <c r="HI62" s="49"/>
      <c r="HJ62" s="49"/>
      <c r="HK62" s="49"/>
      <c r="HL62" s="49"/>
      <c r="HM62" s="49"/>
      <c r="HN62" s="49"/>
    </row>
    <row r="63" spans="1:222" ht="16.5" customHeight="1" thickBot="1">
      <c r="A63" s="1"/>
      <c r="B63" s="3"/>
      <c r="C63" s="3"/>
      <c r="D63" s="38"/>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25"/>
      <c r="AY63" s="26"/>
      <c r="AZ63" s="41"/>
      <c r="BA63" s="41"/>
      <c r="BB63" s="41"/>
      <c r="BC63" s="41"/>
      <c r="BD63" s="42"/>
      <c r="BE63" s="41"/>
      <c r="BF63" s="41"/>
      <c r="BG63" s="41"/>
      <c r="BH63" s="41"/>
      <c r="BI63" s="41"/>
      <c r="BJ63" s="41"/>
      <c r="BK63" s="42"/>
      <c r="BL63" s="41"/>
      <c r="BM63" s="41"/>
      <c r="BN63" s="41"/>
      <c r="BO63" s="41"/>
      <c r="BP63" s="41"/>
      <c r="BQ63" s="41"/>
      <c r="BR63" s="80"/>
      <c r="BS63" s="79"/>
      <c r="BT63" s="79"/>
      <c r="BU63" s="79"/>
      <c r="BV63" s="79"/>
      <c r="BW63" s="79"/>
      <c r="BX63" s="79"/>
      <c r="BY63" s="79"/>
      <c r="BZ63" s="80"/>
      <c r="CA63" s="80"/>
      <c r="CB63" s="80"/>
      <c r="CC63" s="80"/>
      <c r="CD63" s="80"/>
      <c r="CE63" s="80"/>
      <c r="CF63" s="80"/>
      <c r="CG63" s="80"/>
      <c r="CH63" s="80"/>
      <c r="CI63" s="80"/>
      <c r="CJ63" s="80"/>
      <c r="CK63" s="80"/>
      <c r="CL63" s="80"/>
      <c r="CM63" s="80"/>
      <c r="CN63" s="80"/>
      <c r="CO63" s="80"/>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47"/>
      <c r="FN63" s="47"/>
      <c r="FO63" s="47"/>
      <c r="FP63" s="47"/>
      <c r="FQ63" s="47"/>
      <c r="FR63" s="47"/>
      <c r="FS63" s="47"/>
      <c r="FT63" s="47"/>
      <c r="FU63" s="47"/>
      <c r="FV63" s="47"/>
      <c r="FW63" s="47"/>
      <c r="FX63" s="47"/>
      <c r="FY63" s="32"/>
      <c r="FZ63" s="32"/>
      <c r="GA63" s="32"/>
      <c r="GB63" s="32"/>
      <c r="GC63" s="32"/>
      <c r="GD63" s="32"/>
      <c r="GE63" s="32"/>
      <c r="GF63" s="32"/>
      <c r="GG63" s="32"/>
      <c r="GH63" s="32"/>
      <c r="GI63" s="32"/>
      <c r="GJ63" s="32"/>
      <c r="GK63" s="32"/>
      <c r="GL63" s="32"/>
      <c r="GM63" s="49"/>
      <c r="GN63" s="49"/>
      <c r="GO63" s="49"/>
      <c r="GP63" s="49"/>
      <c r="GQ63" s="49"/>
      <c r="GR63" s="49"/>
      <c r="GS63" s="49"/>
      <c r="GT63" s="49"/>
      <c r="GU63" s="49"/>
      <c r="GV63" s="49"/>
      <c r="GW63" s="49"/>
      <c r="GX63" s="49"/>
      <c r="GY63" s="49"/>
      <c r="GZ63" s="49"/>
      <c r="HA63" s="49"/>
      <c r="HB63" s="49"/>
      <c r="HC63" s="49"/>
      <c r="HD63" s="49"/>
      <c r="HE63" s="49"/>
      <c r="HF63" s="49"/>
      <c r="HG63" s="49"/>
      <c r="HH63" s="49"/>
      <c r="HI63" s="49"/>
      <c r="HJ63" s="49"/>
      <c r="HK63" s="49"/>
      <c r="HL63" s="49"/>
      <c r="HM63" s="49"/>
      <c r="HN63" s="49"/>
    </row>
    <row r="64" spans="1:222" ht="11.25" customHeight="1" thickBot="1">
      <c r="A64" s="1"/>
      <c r="B64" s="3"/>
      <c r="C64" s="3"/>
      <c r="D64" s="38"/>
      <c r="E64" s="10"/>
      <c r="F64" s="10"/>
      <c r="G64" s="10"/>
      <c r="H64" s="10"/>
      <c r="I64" s="596" t="str">
        <f ca="1">IF(FO29=0,"","q")</f>
        <v/>
      </c>
      <c r="J64" s="597"/>
      <c r="K64" s="597"/>
      <c r="L64" s="597"/>
      <c r="M64" s="597"/>
      <c r="N64" s="597"/>
      <c r="O64" s="597"/>
      <c r="P64" s="597"/>
      <c r="Q64" s="597"/>
      <c r="R64" s="597"/>
      <c r="S64" s="597"/>
      <c r="T64" s="597"/>
      <c r="U64" s="598"/>
      <c r="V64" s="596" t="str">
        <f ca="1">IF(FO29=0,"","TO")</f>
        <v/>
      </c>
      <c r="W64" s="597"/>
      <c r="X64" s="597"/>
      <c r="Y64" s="597"/>
      <c r="Z64" s="597"/>
      <c r="AA64" s="597"/>
      <c r="AB64" s="597"/>
      <c r="AC64" s="597"/>
      <c r="AD64" s="597"/>
      <c r="AE64" s="597"/>
      <c r="AF64" s="597"/>
      <c r="AG64" s="597"/>
      <c r="AH64" s="598"/>
      <c r="AI64" s="309"/>
      <c r="AJ64" s="309"/>
      <c r="AK64" s="309"/>
      <c r="AL64" s="309"/>
      <c r="AM64" s="309"/>
      <c r="AN64" s="309"/>
      <c r="AO64" s="309"/>
      <c r="AP64" s="309"/>
      <c r="AQ64" s="309"/>
      <c r="AR64" s="309"/>
      <c r="AS64" s="309"/>
      <c r="AT64" s="309"/>
      <c r="AU64" s="309"/>
      <c r="AV64" s="596" t="str">
        <f ca="1">IF(FO29=0,"","GO")</f>
        <v/>
      </c>
      <c r="AW64" s="597"/>
      <c r="AX64" s="597"/>
      <c r="AY64" s="597"/>
      <c r="AZ64" s="597"/>
      <c r="BA64" s="597"/>
      <c r="BB64" s="597"/>
      <c r="BC64" s="597"/>
      <c r="BD64" s="597"/>
      <c r="BE64" s="597"/>
      <c r="BF64" s="597"/>
      <c r="BG64" s="597"/>
      <c r="BH64" s="598"/>
      <c r="BI64" s="596" t="str">
        <f ca="1">IF(FO29=0,"","TK")</f>
        <v/>
      </c>
      <c r="BJ64" s="597"/>
      <c r="BK64" s="597"/>
      <c r="BL64" s="597"/>
      <c r="BM64" s="597"/>
      <c r="BN64" s="597"/>
      <c r="BO64" s="597"/>
      <c r="BP64" s="597"/>
      <c r="BQ64" s="597"/>
      <c r="BR64" s="597"/>
      <c r="BS64" s="597"/>
      <c r="BT64" s="597"/>
      <c r="BU64" s="598"/>
      <c r="BV64" s="309"/>
      <c r="BW64" s="309"/>
      <c r="BX64" s="309"/>
      <c r="BY64" s="309"/>
      <c r="BZ64" s="309"/>
      <c r="CA64" s="309"/>
      <c r="CB64" s="309"/>
      <c r="CC64" s="309"/>
      <c r="CD64" s="309"/>
      <c r="CE64" s="309"/>
      <c r="CF64" s="309"/>
      <c r="CG64" s="309"/>
      <c r="CH64" s="309"/>
      <c r="CI64" s="596" t="str">
        <f ca="1">IF(FO29=0,"","GTK")</f>
        <v/>
      </c>
      <c r="CJ64" s="597"/>
      <c r="CK64" s="597"/>
      <c r="CL64" s="597"/>
      <c r="CM64" s="597"/>
      <c r="CN64" s="597"/>
      <c r="CO64" s="597"/>
      <c r="CP64" s="597"/>
      <c r="CQ64" s="597"/>
      <c r="CR64" s="597"/>
      <c r="CS64" s="597"/>
      <c r="CT64" s="597"/>
      <c r="CU64" s="598"/>
      <c r="CV64" s="596" t="str">
        <f ca="1">IF(FO29=0,"","TW")</f>
        <v/>
      </c>
      <c r="CW64" s="597"/>
      <c r="CX64" s="597"/>
      <c r="CY64" s="597"/>
      <c r="CZ64" s="597"/>
      <c r="DA64" s="597"/>
      <c r="DB64" s="597"/>
      <c r="DC64" s="597"/>
      <c r="DD64" s="597"/>
      <c r="DE64" s="597"/>
      <c r="DF64" s="597"/>
      <c r="DG64" s="597"/>
      <c r="DH64" s="598"/>
      <c r="DI64" s="309"/>
      <c r="DJ64" s="309"/>
      <c r="DK64" s="309"/>
      <c r="DL64" s="309"/>
      <c r="DM64" s="309"/>
      <c r="DN64" s="309"/>
      <c r="DO64" s="309"/>
      <c r="DP64" s="309"/>
      <c r="DQ64" s="309"/>
      <c r="DR64" s="309"/>
      <c r="DS64" s="309"/>
      <c r="DT64" s="309"/>
      <c r="DU64" s="309"/>
      <c r="DV64" s="596" t="str">
        <f ca="1">IF(FO29=0,"","GW")</f>
        <v/>
      </c>
      <c r="DW64" s="597"/>
      <c r="DX64" s="597"/>
      <c r="DY64" s="597"/>
      <c r="DZ64" s="597"/>
      <c r="EA64" s="597"/>
      <c r="EB64" s="597"/>
      <c r="EC64" s="597"/>
      <c r="ED64" s="597"/>
      <c r="EE64" s="597"/>
      <c r="EF64" s="597"/>
      <c r="EG64" s="597"/>
      <c r="EH64" s="598"/>
      <c r="EI64" s="79"/>
      <c r="EJ64" s="79"/>
      <c r="EK64" s="79"/>
      <c r="EL64" s="79"/>
      <c r="EM64" s="79"/>
      <c r="EN64" s="79"/>
      <c r="EO64" s="10"/>
      <c r="EP64" s="10"/>
      <c r="EQ64" s="10"/>
      <c r="ER64" s="10"/>
      <c r="ES64" s="10"/>
      <c r="ET64" s="10"/>
      <c r="EU64" s="10"/>
      <c r="EV64" s="10"/>
      <c r="EW64" s="10"/>
      <c r="EX64" s="10"/>
      <c r="EY64" s="10"/>
      <c r="EZ64" s="10"/>
      <c r="FA64" s="10"/>
      <c r="FB64" s="10"/>
      <c r="FC64" s="10"/>
      <c r="FD64" s="10"/>
      <c r="FE64" s="10"/>
      <c r="FF64" s="25"/>
      <c r="FG64" s="25"/>
      <c r="FH64" s="10"/>
      <c r="FI64" s="10"/>
      <c r="FJ64" s="10"/>
      <c r="FK64" s="10"/>
      <c r="FL64" s="10"/>
      <c r="FM64" s="116"/>
      <c r="FN64" s="116"/>
      <c r="FO64" s="116"/>
      <c r="FP64" s="116"/>
      <c r="FQ64" s="78"/>
      <c r="FR64" s="78"/>
      <c r="FS64" s="78"/>
      <c r="FT64" s="116"/>
      <c r="FU64" s="78"/>
      <c r="FV64" s="121"/>
      <c r="FW64" s="121"/>
      <c r="FX64" s="121"/>
      <c r="FY64" s="32"/>
      <c r="FZ64" s="32"/>
      <c r="GA64" s="32"/>
      <c r="GB64" s="32"/>
      <c r="GC64" s="32"/>
      <c r="GD64" s="32"/>
      <c r="GE64" s="32"/>
      <c r="GF64" s="32"/>
      <c r="GG64" s="32"/>
      <c r="GH64" s="32"/>
      <c r="GI64" s="32"/>
      <c r="GJ64" s="32"/>
      <c r="GK64" s="32"/>
      <c r="GL64" s="32"/>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row>
    <row r="65" spans="1:222" ht="11.25" customHeight="1" thickBot="1">
      <c r="A65" s="1"/>
      <c r="B65" s="3"/>
      <c r="C65" s="3"/>
      <c r="D65" s="12"/>
      <c r="E65" s="10"/>
      <c r="F65" s="10"/>
      <c r="G65" s="10"/>
      <c r="H65" s="10"/>
      <c r="I65" s="599"/>
      <c r="J65" s="600"/>
      <c r="K65" s="600"/>
      <c r="L65" s="600"/>
      <c r="M65" s="600"/>
      <c r="N65" s="600"/>
      <c r="O65" s="600"/>
      <c r="P65" s="600"/>
      <c r="Q65" s="600"/>
      <c r="R65" s="600"/>
      <c r="S65" s="600"/>
      <c r="T65" s="600"/>
      <c r="U65" s="601"/>
      <c r="V65" s="599"/>
      <c r="W65" s="600"/>
      <c r="X65" s="600"/>
      <c r="Y65" s="600"/>
      <c r="Z65" s="600"/>
      <c r="AA65" s="600"/>
      <c r="AB65" s="600"/>
      <c r="AC65" s="600"/>
      <c r="AD65" s="600"/>
      <c r="AE65" s="600"/>
      <c r="AF65" s="600"/>
      <c r="AG65" s="600"/>
      <c r="AH65" s="601"/>
      <c r="AI65" s="596" t="str">
        <f ca="1">IF(FO29=0,"","MO")</f>
        <v/>
      </c>
      <c r="AJ65" s="597"/>
      <c r="AK65" s="597"/>
      <c r="AL65" s="597"/>
      <c r="AM65" s="597"/>
      <c r="AN65" s="597"/>
      <c r="AO65" s="597"/>
      <c r="AP65" s="597"/>
      <c r="AQ65" s="597"/>
      <c r="AR65" s="597"/>
      <c r="AS65" s="597"/>
      <c r="AT65" s="597"/>
      <c r="AU65" s="598"/>
      <c r="AV65" s="599"/>
      <c r="AW65" s="600"/>
      <c r="AX65" s="600"/>
      <c r="AY65" s="600"/>
      <c r="AZ65" s="600"/>
      <c r="BA65" s="600"/>
      <c r="BB65" s="600"/>
      <c r="BC65" s="600"/>
      <c r="BD65" s="600"/>
      <c r="BE65" s="600"/>
      <c r="BF65" s="600"/>
      <c r="BG65" s="600"/>
      <c r="BH65" s="601"/>
      <c r="BI65" s="599"/>
      <c r="BJ65" s="600"/>
      <c r="BK65" s="600"/>
      <c r="BL65" s="600"/>
      <c r="BM65" s="600"/>
      <c r="BN65" s="600"/>
      <c r="BO65" s="600"/>
      <c r="BP65" s="600"/>
      <c r="BQ65" s="600"/>
      <c r="BR65" s="600"/>
      <c r="BS65" s="600"/>
      <c r="BT65" s="600"/>
      <c r="BU65" s="601"/>
      <c r="BV65" s="596" t="str">
        <f ca="1">IF(FO29=0,"","MK")</f>
        <v/>
      </c>
      <c r="BW65" s="597"/>
      <c r="BX65" s="597"/>
      <c r="BY65" s="597"/>
      <c r="BZ65" s="597"/>
      <c r="CA65" s="597"/>
      <c r="CB65" s="597"/>
      <c r="CC65" s="597"/>
      <c r="CD65" s="597"/>
      <c r="CE65" s="597"/>
      <c r="CF65" s="597"/>
      <c r="CG65" s="597"/>
      <c r="CH65" s="598"/>
      <c r="CI65" s="599"/>
      <c r="CJ65" s="600"/>
      <c r="CK65" s="600"/>
      <c r="CL65" s="600"/>
      <c r="CM65" s="600"/>
      <c r="CN65" s="600"/>
      <c r="CO65" s="600"/>
      <c r="CP65" s="600"/>
      <c r="CQ65" s="600"/>
      <c r="CR65" s="600"/>
      <c r="CS65" s="600"/>
      <c r="CT65" s="600"/>
      <c r="CU65" s="601"/>
      <c r="CV65" s="599"/>
      <c r="CW65" s="600"/>
      <c r="CX65" s="600"/>
      <c r="CY65" s="600"/>
      <c r="CZ65" s="600"/>
      <c r="DA65" s="600"/>
      <c r="DB65" s="600"/>
      <c r="DC65" s="600"/>
      <c r="DD65" s="600"/>
      <c r="DE65" s="600"/>
      <c r="DF65" s="600"/>
      <c r="DG65" s="600"/>
      <c r="DH65" s="601"/>
      <c r="DI65" s="596" t="str">
        <f ca="1">IF(FO29=0,"","MW")</f>
        <v/>
      </c>
      <c r="DJ65" s="597"/>
      <c r="DK65" s="597"/>
      <c r="DL65" s="597"/>
      <c r="DM65" s="597"/>
      <c r="DN65" s="597"/>
      <c r="DO65" s="597"/>
      <c r="DP65" s="597"/>
      <c r="DQ65" s="597"/>
      <c r="DR65" s="597"/>
      <c r="DS65" s="597"/>
      <c r="DT65" s="597"/>
      <c r="DU65" s="598"/>
      <c r="DV65" s="599"/>
      <c r="DW65" s="600"/>
      <c r="DX65" s="600"/>
      <c r="DY65" s="600"/>
      <c r="DZ65" s="600"/>
      <c r="EA65" s="600"/>
      <c r="EB65" s="600"/>
      <c r="EC65" s="600"/>
      <c r="ED65" s="600"/>
      <c r="EE65" s="600"/>
      <c r="EF65" s="600"/>
      <c r="EG65" s="600"/>
      <c r="EH65" s="601"/>
      <c r="EI65" s="79"/>
      <c r="EJ65" s="79"/>
      <c r="EK65" s="79"/>
      <c r="EL65" s="79"/>
      <c r="EM65" s="79"/>
      <c r="EN65" s="79"/>
      <c r="EO65" s="10"/>
      <c r="EP65" s="10"/>
      <c r="EQ65" s="10"/>
      <c r="ER65" s="10"/>
      <c r="ES65" s="10"/>
      <c r="ET65" s="10"/>
      <c r="EU65" s="10"/>
      <c r="EV65" s="10"/>
      <c r="EW65" s="10"/>
      <c r="EX65" s="10"/>
      <c r="EY65" s="10"/>
      <c r="EZ65" s="10"/>
      <c r="FA65" s="10"/>
      <c r="FB65" s="10"/>
      <c r="FC65" s="10"/>
      <c r="FD65" s="10"/>
      <c r="FE65" s="10"/>
      <c r="FF65" s="25"/>
      <c r="FG65" s="25"/>
      <c r="FH65" s="10"/>
      <c r="FI65" s="10"/>
      <c r="FJ65" s="10"/>
      <c r="FK65" s="10"/>
      <c r="FL65" s="10"/>
      <c r="FM65" s="116"/>
      <c r="FN65" s="116"/>
      <c r="FO65" s="116"/>
      <c r="FP65" s="116"/>
      <c r="FQ65" s="78"/>
      <c r="FR65" s="128" t="s">
        <v>5</v>
      </c>
      <c r="FS65" s="128" t="s">
        <v>37</v>
      </c>
      <c r="FT65" s="128" t="s">
        <v>22</v>
      </c>
      <c r="FU65" s="128" t="s">
        <v>3</v>
      </c>
      <c r="FV65" s="128" t="s">
        <v>26</v>
      </c>
      <c r="FW65" s="128" t="s">
        <v>4</v>
      </c>
      <c r="FX65" s="128" t="s">
        <v>2</v>
      </c>
      <c r="FY65" s="32" t="s">
        <v>114</v>
      </c>
      <c r="FZ65" s="32" t="s">
        <v>76</v>
      </c>
      <c r="GA65" s="32" t="s">
        <v>107</v>
      </c>
      <c r="GB65" s="32" t="s">
        <v>106</v>
      </c>
      <c r="GC65" s="32"/>
      <c r="GD65" s="32"/>
      <c r="GE65" s="32"/>
      <c r="GF65" s="32"/>
      <c r="GG65" s="32"/>
      <c r="GH65" s="32"/>
      <c r="GI65" s="32"/>
      <c r="GJ65" s="32"/>
      <c r="GK65" s="32"/>
      <c r="GL65" s="32"/>
      <c r="GM65" s="49"/>
      <c r="GN65" s="49"/>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row>
    <row r="66" spans="1:222" ht="11.25" customHeight="1" thickBot="1">
      <c r="A66" s="1"/>
      <c r="B66" s="3"/>
      <c r="C66" s="3"/>
      <c r="D66" s="12"/>
      <c r="E66" s="10"/>
      <c r="F66" s="10"/>
      <c r="G66" s="10"/>
      <c r="H66" s="10"/>
      <c r="I66" s="665" t="str">
        <f ca="1">IF(FO29=0,"",FQ66)</f>
        <v/>
      </c>
      <c r="J66" s="566"/>
      <c r="K66" s="566"/>
      <c r="L66" s="566"/>
      <c r="M66" s="566"/>
      <c r="N66" s="566"/>
      <c r="O66" s="566"/>
      <c r="P66" s="566"/>
      <c r="Q66" s="566"/>
      <c r="R66" s="566"/>
      <c r="S66" s="566"/>
      <c r="T66" s="566"/>
      <c r="U66" s="567"/>
      <c r="V66" s="665" t="str">
        <f ca="1">IF(FO29=0,"",FR66)</f>
        <v/>
      </c>
      <c r="W66" s="566"/>
      <c r="X66" s="566"/>
      <c r="Y66" s="566"/>
      <c r="Z66" s="566"/>
      <c r="AA66" s="566"/>
      <c r="AB66" s="566"/>
      <c r="AC66" s="566"/>
      <c r="AD66" s="566"/>
      <c r="AE66" s="566"/>
      <c r="AF66" s="566"/>
      <c r="AG66" s="566"/>
      <c r="AH66" s="567"/>
      <c r="AI66" s="599"/>
      <c r="AJ66" s="600"/>
      <c r="AK66" s="600"/>
      <c r="AL66" s="600"/>
      <c r="AM66" s="600"/>
      <c r="AN66" s="600"/>
      <c r="AO66" s="600"/>
      <c r="AP66" s="600"/>
      <c r="AQ66" s="600"/>
      <c r="AR66" s="600"/>
      <c r="AS66" s="600"/>
      <c r="AT66" s="600"/>
      <c r="AU66" s="601"/>
      <c r="AV66" s="665" t="str">
        <f ca="1">IF(FO29=0,"","nvt")</f>
        <v/>
      </c>
      <c r="AW66" s="566"/>
      <c r="AX66" s="566"/>
      <c r="AY66" s="566"/>
      <c r="AZ66" s="566"/>
      <c r="BA66" s="566"/>
      <c r="BB66" s="566"/>
      <c r="BC66" s="566"/>
      <c r="BD66" s="566"/>
      <c r="BE66" s="566"/>
      <c r="BF66" s="566"/>
      <c r="BG66" s="566"/>
      <c r="BH66" s="567"/>
      <c r="BI66" s="665" t="str">
        <f ca="1">IF(FO29=0,"",FU66)</f>
        <v/>
      </c>
      <c r="BJ66" s="566"/>
      <c r="BK66" s="566"/>
      <c r="BL66" s="566"/>
      <c r="BM66" s="566"/>
      <c r="BN66" s="566"/>
      <c r="BO66" s="566"/>
      <c r="BP66" s="566"/>
      <c r="BQ66" s="566"/>
      <c r="BR66" s="566"/>
      <c r="BS66" s="566"/>
      <c r="BT66" s="566"/>
      <c r="BU66" s="567"/>
      <c r="BV66" s="599"/>
      <c r="BW66" s="600"/>
      <c r="BX66" s="600"/>
      <c r="BY66" s="600"/>
      <c r="BZ66" s="600"/>
      <c r="CA66" s="600"/>
      <c r="CB66" s="600"/>
      <c r="CC66" s="600"/>
      <c r="CD66" s="600"/>
      <c r="CE66" s="600"/>
      <c r="CF66" s="600"/>
      <c r="CG66" s="600"/>
      <c r="CH66" s="601"/>
      <c r="CI66" s="665" t="str">
        <f ca="1">IF(FO29=0,"","nvt")</f>
        <v/>
      </c>
      <c r="CJ66" s="566"/>
      <c r="CK66" s="566"/>
      <c r="CL66" s="566"/>
      <c r="CM66" s="566"/>
      <c r="CN66" s="566"/>
      <c r="CO66" s="566"/>
      <c r="CP66" s="566"/>
      <c r="CQ66" s="566"/>
      <c r="CR66" s="566"/>
      <c r="CS66" s="566"/>
      <c r="CT66" s="566"/>
      <c r="CU66" s="567"/>
      <c r="CV66" s="665" t="str">
        <f ca="1">IF(FO29=0,"",FZ66)</f>
        <v/>
      </c>
      <c r="CW66" s="566"/>
      <c r="CX66" s="566"/>
      <c r="CY66" s="566"/>
      <c r="CZ66" s="566"/>
      <c r="DA66" s="566"/>
      <c r="DB66" s="566"/>
      <c r="DC66" s="566"/>
      <c r="DD66" s="566"/>
      <c r="DE66" s="566"/>
      <c r="DF66" s="566"/>
      <c r="DG66" s="566"/>
      <c r="DH66" s="567"/>
      <c r="DI66" s="599"/>
      <c r="DJ66" s="600"/>
      <c r="DK66" s="600"/>
      <c r="DL66" s="600"/>
      <c r="DM66" s="600"/>
      <c r="DN66" s="600"/>
      <c r="DO66" s="600"/>
      <c r="DP66" s="600"/>
      <c r="DQ66" s="600"/>
      <c r="DR66" s="600"/>
      <c r="DS66" s="600"/>
      <c r="DT66" s="600"/>
      <c r="DU66" s="601"/>
      <c r="DV66" s="665" t="str">
        <f ca="1">IF(FO29=0,"","nvt")</f>
        <v/>
      </c>
      <c r="DW66" s="566"/>
      <c r="DX66" s="566"/>
      <c r="DY66" s="566"/>
      <c r="DZ66" s="566"/>
      <c r="EA66" s="566"/>
      <c r="EB66" s="566"/>
      <c r="EC66" s="566"/>
      <c r="ED66" s="566"/>
      <c r="EE66" s="566"/>
      <c r="EF66" s="566"/>
      <c r="EG66" s="566"/>
      <c r="EH66" s="567"/>
      <c r="EI66" s="79"/>
      <c r="EJ66" s="79"/>
      <c r="EK66" s="79"/>
      <c r="EL66" s="79"/>
      <c r="EM66" s="79"/>
      <c r="EN66" s="79"/>
      <c r="EO66" s="10"/>
      <c r="EP66" s="10"/>
      <c r="EQ66" s="10"/>
      <c r="ER66" s="10"/>
      <c r="ES66" s="10"/>
      <c r="ET66" s="10"/>
      <c r="EU66" s="10"/>
      <c r="EV66" s="10"/>
      <c r="EW66" s="10"/>
      <c r="EX66" s="10"/>
      <c r="EY66" s="10"/>
      <c r="EZ66" s="10"/>
      <c r="FA66" s="10"/>
      <c r="FB66" s="10"/>
      <c r="FC66" s="10"/>
      <c r="FD66" s="10"/>
      <c r="FE66" s="10"/>
      <c r="FF66" s="25"/>
      <c r="FG66" s="25"/>
      <c r="FH66" s="10"/>
      <c r="FI66" s="10"/>
      <c r="FJ66" s="10"/>
      <c r="FK66" s="10"/>
      <c r="FL66" s="10"/>
      <c r="FM66" s="116"/>
      <c r="FN66" s="116"/>
      <c r="FO66" s="116"/>
      <c r="FP66" s="116"/>
      <c r="FQ66" s="592" t="str">
        <f ca="1">IF(FP1=0,"",0)</f>
        <v/>
      </c>
      <c r="FR66" s="592" t="e">
        <f ca="1">ROUND(-GH$40*FQ66^2+GI$40*FQ66,0)</f>
        <v>#VALUE!</v>
      </c>
      <c r="FS66" s="116"/>
      <c r="FT66" s="592"/>
      <c r="FU66" s="592" t="e">
        <f ca="1">ROUND(GL40*FQ66^3+GM40*FQ66^2+GN40*FQ66^1+GO40,0)</f>
        <v>#VALUE!</v>
      </c>
      <c r="FV66" s="116"/>
      <c r="FW66" s="592"/>
      <c r="FX66" s="592" t="e">
        <f ca="1">ROUND(GL40*FQ66^3+GM40*FQ66^2+GN40*FQ66^1,0)</f>
        <v>#VALUE!</v>
      </c>
      <c r="FY66" s="32"/>
      <c r="FZ66" s="32" t="e">
        <f ca="1">FR66-FU66</f>
        <v>#VALUE!</v>
      </c>
      <c r="GA66" s="32"/>
      <c r="GB66" s="32"/>
      <c r="GC66" s="32"/>
      <c r="GD66" s="32"/>
      <c r="GE66" s="32"/>
      <c r="GF66" s="32"/>
      <c r="GG66" s="32"/>
      <c r="GH66" s="32"/>
      <c r="GI66" s="32"/>
      <c r="GJ66" s="32"/>
      <c r="GK66" s="32"/>
      <c r="GL66" s="32"/>
      <c r="GM66" s="49"/>
      <c r="GN66" s="49"/>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row>
    <row r="67" spans="1:222" ht="11.25" customHeight="1" thickBot="1">
      <c r="A67" s="1"/>
      <c r="B67" s="3"/>
      <c r="C67" s="3"/>
      <c r="D67" s="12"/>
      <c r="E67" s="10"/>
      <c r="F67" s="10"/>
      <c r="G67" s="10"/>
      <c r="H67" s="10"/>
      <c r="I67" s="568"/>
      <c r="J67" s="569"/>
      <c r="K67" s="569"/>
      <c r="L67" s="569"/>
      <c r="M67" s="569"/>
      <c r="N67" s="569"/>
      <c r="O67" s="569"/>
      <c r="P67" s="569"/>
      <c r="Q67" s="569"/>
      <c r="R67" s="569"/>
      <c r="S67" s="569"/>
      <c r="T67" s="569"/>
      <c r="U67" s="570"/>
      <c r="V67" s="568"/>
      <c r="W67" s="569"/>
      <c r="X67" s="569"/>
      <c r="Y67" s="569"/>
      <c r="Z67" s="569"/>
      <c r="AA67" s="569"/>
      <c r="AB67" s="569"/>
      <c r="AC67" s="569"/>
      <c r="AD67" s="569"/>
      <c r="AE67" s="569"/>
      <c r="AF67" s="569"/>
      <c r="AG67" s="569"/>
      <c r="AH67" s="570"/>
      <c r="AI67" s="565" t="str">
        <f ca="1">IF(FO$29=0,"",FS67)</f>
        <v/>
      </c>
      <c r="AJ67" s="566"/>
      <c r="AK67" s="566"/>
      <c r="AL67" s="566"/>
      <c r="AM67" s="566"/>
      <c r="AN67" s="566"/>
      <c r="AO67" s="566"/>
      <c r="AP67" s="566"/>
      <c r="AQ67" s="566"/>
      <c r="AR67" s="566"/>
      <c r="AS67" s="566"/>
      <c r="AT67" s="566"/>
      <c r="AU67" s="567"/>
      <c r="AV67" s="568"/>
      <c r="AW67" s="569"/>
      <c r="AX67" s="569"/>
      <c r="AY67" s="569"/>
      <c r="AZ67" s="569"/>
      <c r="BA67" s="569"/>
      <c r="BB67" s="569"/>
      <c r="BC67" s="569"/>
      <c r="BD67" s="569"/>
      <c r="BE67" s="569"/>
      <c r="BF67" s="569"/>
      <c r="BG67" s="569"/>
      <c r="BH67" s="570"/>
      <c r="BI67" s="568"/>
      <c r="BJ67" s="569"/>
      <c r="BK67" s="569"/>
      <c r="BL67" s="569"/>
      <c r="BM67" s="569"/>
      <c r="BN67" s="569"/>
      <c r="BO67" s="569"/>
      <c r="BP67" s="569"/>
      <c r="BQ67" s="569"/>
      <c r="BR67" s="569"/>
      <c r="BS67" s="569"/>
      <c r="BT67" s="569"/>
      <c r="BU67" s="570"/>
      <c r="BV67" s="565" t="str">
        <f ca="1">IF(FO$29=0,"",FV67)</f>
        <v/>
      </c>
      <c r="BW67" s="566"/>
      <c r="BX67" s="566"/>
      <c r="BY67" s="566"/>
      <c r="BZ67" s="566"/>
      <c r="CA67" s="566"/>
      <c r="CB67" s="566"/>
      <c r="CC67" s="566"/>
      <c r="CD67" s="566"/>
      <c r="CE67" s="566"/>
      <c r="CF67" s="566"/>
      <c r="CG67" s="566"/>
      <c r="CH67" s="567"/>
      <c r="CI67" s="568"/>
      <c r="CJ67" s="569"/>
      <c r="CK67" s="569"/>
      <c r="CL67" s="569"/>
      <c r="CM67" s="569"/>
      <c r="CN67" s="569"/>
      <c r="CO67" s="569"/>
      <c r="CP67" s="569"/>
      <c r="CQ67" s="569"/>
      <c r="CR67" s="569"/>
      <c r="CS67" s="569"/>
      <c r="CT67" s="569"/>
      <c r="CU67" s="570"/>
      <c r="CV67" s="568"/>
      <c r="CW67" s="569"/>
      <c r="CX67" s="569"/>
      <c r="CY67" s="569"/>
      <c r="CZ67" s="569"/>
      <c r="DA67" s="569"/>
      <c r="DB67" s="569"/>
      <c r="DC67" s="569"/>
      <c r="DD67" s="569"/>
      <c r="DE67" s="569"/>
      <c r="DF67" s="569"/>
      <c r="DG67" s="569"/>
      <c r="DH67" s="570"/>
      <c r="DI67" s="565" t="str">
        <f ca="1">IF(FO$29=0,"",GA67)</f>
        <v/>
      </c>
      <c r="DJ67" s="566"/>
      <c r="DK67" s="566"/>
      <c r="DL67" s="566"/>
      <c r="DM67" s="566"/>
      <c r="DN67" s="566"/>
      <c r="DO67" s="566"/>
      <c r="DP67" s="566"/>
      <c r="DQ67" s="566"/>
      <c r="DR67" s="566"/>
      <c r="DS67" s="566"/>
      <c r="DT67" s="566"/>
      <c r="DU67" s="567"/>
      <c r="DV67" s="568"/>
      <c r="DW67" s="569"/>
      <c r="DX67" s="569"/>
      <c r="DY67" s="569"/>
      <c r="DZ67" s="569"/>
      <c r="EA67" s="569"/>
      <c r="EB67" s="569"/>
      <c r="EC67" s="569"/>
      <c r="ED67" s="569"/>
      <c r="EE67" s="569"/>
      <c r="EF67" s="569"/>
      <c r="EG67" s="569"/>
      <c r="EH67" s="570"/>
      <c r="EI67" s="79"/>
      <c r="EJ67" s="79"/>
      <c r="EK67" s="79"/>
      <c r="EL67" s="79"/>
      <c r="EM67" s="79"/>
      <c r="EN67" s="79"/>
      <c r="EO67" s="39"/>
      <c r="EP67" s="39"/>
      <c r="EQ67" s="39"/>
      <c r="ER67" s="39"/>
      <c r="ES67" s="39"/>
      <c r="ET67" s="39"/>
      <c r="EU67" s="39"/>
      <c r="EV67" s="39"/>
      <c r="EW67" s="39"/>
      <c r="EX67" s="39"/>
      <c r="EY67" s="10"/>
      <c r="EZ67" s="10"/>
      <c r="FA67" s="10"/>
      <c r="FB67" s="10"/>
      <c r="FC67" s="10"/>
      <c r="FD67" s="10"/>
      <c r="FE67" s="10"/>
      <c r="FF67" s="25"/>
      <c r="FG67" s="25"/>
      <c r="FH67" s="10"/>
      <c r="FI67" s="10"/>
      <c r="FJ67" s="10"/>
      <c r="FK67" s="10"/>
      <c r="FL67" s="10"/>
      <c r="FM67" s="116"/>
      <c r="FN67" s="116"/>
      <c r="FO67" s="242" t="e">
        <f ca="1">IF(AND(V80&gt;FR80-0.001,V80&lt;FR80+0.001),1,IF(AND(V80&gt;ROUND(FQ80*FT80,0)-0.001,V80&lt;ROUND(FQ80*FT80,0)+0.001),1,IF(AND(V80&gt;ROUND(FR77+FS79*(FQ80-FQ77),0)-0.001,V80&lt;ROUND(FR77+FS79*(FQ80-FQ77),0)+0.001),1,IF(AND(V80&gt;ROUND(FR83+FS82*(FQ80-FQ83),0)-0.001,V80&lt;ROUND(FR83+FS82*(FQ80-FQ83),0)+0.001),1,0))))</f>
        <v>#VALUE!</v>
      </c>
      <c r="FP67" s="206"/>
      <c r="FQ67" s="593"/>
      <c r="FR67" s="593"/>
      <c r="FS67" s="592" t="e">
        <f ca="1">ROUND((FR68-FR66)/(FQ68-FQ66),0)</f>
        <v>#VALUE!</v>
      </c>
      <c r="FT67" s="593"/>
      <c r="FU67" s="593"/>
      <c r="FV67" s="592" t="e">
        <f ca="1">ROUND((FU68-FU66)/(FQ68-FQ66),0)</f>
        <v>#VALUE!</v>
      </c>
      <c r="FW67" s="593"/>
      <c r="FX67" s="593"/>
      <c r="FY67" s="32"/>
      <c r="FZ67" s="32"/>
      <c r="GA67" s="32" t="e">
        <f ca="1">ROUND((FZ68-FZ66)/(FQ68-FQ66),0)</f>
        <v>#VALUE!</v>
      </c>
      <c r="GB67" s="32"/>
      <c r="GC67" s="32"/>
      <c r="GD67" s="32"/>
      <c r="GE67" s="32"/>
      <c r="GF67" s="32"/>
      <c r="GG67" s="32"/>
      <c r="GH67" s="32"/>
      <c r="GI67" s="32"/>
      <c r="GJ67" s="32"/>
      <c r="GK67" s="32"/>
      <c r="GL67" s="32"/>
      <c r="GM67" s="49"/>
      <c r="GN67" s="49"/>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row>
    <row r="68" spans="1:222" ht="3.75" customHeight="1">
      <c r="A68" s="1"/>
      <c r="B68" s="3"/>
      <c r="C68" s="3"/>
      <c r="D68" s="12"/>
      <c r="E68" s="10"/>
      <c r="F68" s="10"/>
      <c r="G68" s="10"/>
      <c r="H68" s="10"/>
      <c r="I68" s="665" t="str">
        <f ca="1">IF(FO$29=0,"",FQ68)</f>
        <v/>
      </c>
      <c r="J68" s="581"/>
      <c r="K68" s="581"/>
      <c r="L68" s="581"/>
      <c r="M68" s="581"/>
      <c r="N68" s="581"/>
      <c r="O68" s="581"/>
      <c r="P68" s="581"/>
      <c r="Q68" s="581"/>
      <c r="R68" s="581"/>
      <c r="S68" s="581"/>
      <c r="T68" s="581"/>
      <c r="U68" s="582"/>
      <c r="V68" s="665" t="str">
        <f ca="1">IF(FO$29=0,"",FR68)</f>
        <v/>
      </c>
      <c r="W68" s="581"/>
      <c r="X68" s="581"/>
      <c r="Y68" s="581"/>
      <c r="Z68" s="581"/>
      <c r="AA68" s="581"/>
      <c r="AB68" s="581"/>
      <c r="AC68" s="581"/>
      <c r="AD68" s="581"/>
      <c r="AE68" s="581"/>
      <c r="AF68" s="581"/>
      <c r="AG68" s="581"/>
      <c r="AH68" s="582"/>
      <c r="AI68" s="589"/>
      <c r="AJ68" s="687"/>
      <c r="AK68" s="687"/>
      <c r="AL68" s="687"/>
      <c r="AM68" s="687"/>
      <c r="AN68" s="687"/>
      <c r="AO68" s="687"/>
      <c r="AP68" s="687"/>
      <c r="AQ68" s="687"/>
      <c r="AR68" s="687"/>
      <c r="AS68" s="687"/>
      <c r="AT68" s="687"/>
      <c r="AU68" s="591"/>
      <c r="AV68" s="665" t="str">
        <f ca="1">IF(FO$29=0,"",FT68)</f>
        <v/>
      </c>
      <c r="AW68" s="581"/>
      <c r="AX68" s="581"/>
      <c r="AY68" s="581"/>
      <c r="AZ68" s="581"/>
      <c r="BA68" s="581"/>
      <c r="BB68" s="581"/>
      <c r="BC68" s="581"/>
      <c r="BD68" s="581"/>
      <c r="BE68" s="581"/>
      <c r="BF68" s="581"/>
      <c r="BG68" s="581"/>
      <c r="BH68" s="582"/>
      <c r="BI68" s="665" t="str">
        <f ca="1">IF(FO$29=0,"",FU68)</f>
        <v/>
      </c>
      <c r="BJ68" s="581"/>
      <c r="BK68" s="581"/>
      <c r="BL68" s="581"/>
      <c r="BM68" s="581"/>
      <c r="BN68" s="581"/>
      <c r="BO68" s="581"/>
      <c r="BP68" s="581"/>
      <c r="BQ68" s="581"/>
      <c r="BR68" s="581"/>
      <c r="BS68" s="581"/>
      <c r="BT68" s="581"/>
      <c r="BU68" s="582"/>
      <c r="BV68" s="589"/>
      <c r="BW68" s="687"/>
      <c r="BX68" s="687"/>
      <c r="BY68" s="687"/>
      <c r="BZ68" s="687"/>
      <c r="CA68" s="687"/>
      <c r="CB68" s="687"/>
      <c r="CC68" s="687"/>
      <c r="CD68" s="687"/>
      <c r="CE68" s="687"/>
      <c r="CF68" s="687"/>
      <c r="CG68" s="687"/>
      <c r="CH68" s="591"/>
      <c r="CI68" s="665" t="str">
        <f ca="1">IF(FO$29=0,"",FW68)</f>
        <v/>
      </c>
      <c r="CJ68" s="581"/>
      <c r="CK68" s="581"/>
      <c r="CL68" s="581"/>
      <c r="CM68" s="581"/>
      <c r="CN68" s="581"/>
      <c r="CO68" s="581"/>
      <c r="CP68" s="581"/>
      <c r="CQ68" s="581"/>
      <c r="CR68" s="581"/>
      <c r="CS68" s="581"/>
      <c r="CT68" s="581"/>
      <c r="CU68" s="582"/>
      <c r="CV68" s="665" t="str">
        <f ca="1">IF(FO$29=0,"",FZ68)</f>
        <v/>
      </c>
      <c r="CW68" s="581"/>
      <c r="CX68" s="581"/>
      <c r="CY68" s="581"/>
      <c r="CZ68" s="581"/>
      <c r="DA68" s="581"/>
      <c r="DB68" s="581"/>
      <c r="DC68" s="581"/>
      <c r="DD68" s="581"/>
      <c r="DE68" s="581"/>
      <c r="DF68" s="581"/>
      <c r="DG68" s="581"/>
      <c r="DH68" s="582"/>
      <c r="DI68" s="589"/>
      <c r="DJ68" s="687"/>
      <c r="DK68" s="687"/>
      <c r="DL68" s="687"/>
      <c r="DM68" s="687"/>
      <c r="DN68" s="687"/>
      <c r="DO68" s="687"/>
      <c r="DP68" s="687"/>
      <c r="DQ68" s="687"/>
      <c r="DR68" s="687"/>
      <c r="DS68" s="687"/>
      <c r="DT68" s="687"/>
      <c r="DU68" s="591"/>
      <c r="DV68" s="665" t="str">
        <f ca="1">IF(FO$29=0,"",GB68)</f>
        <v/>
      </c>
      <c r="DW68" s="581"/>
      <c r="DX68" s="581"/>
      <c r="DY68" s="581"/>
      <c r="DZ68" s="581"/>
      <c r="EA68" s="581"/>
      <c r="EB68" s="581"/>
      <c r="EC68" s="581"/>
      <c r="ED68" s="581"/>
      <c r="EE68" s="581"/>
      <c r="EF68" s="581"/>
      <c r="EG68" s="581"/>
      <c r="EH68" s="582"/>
      <c r="EI68" s="79"/>
      <c r="EJ68" s="79"/>
      <c r="EK68" s="79"/>
      <c r="EL68" s="79"/>
      <c r="EM68" s="79"/>
      <c r="EN68" s="79"/>
      <c r="EO68" s="39"/>
      <c r="EP68" s="39"/>
      <c r="EQ68" s="39"/>
      <c r="ER68" s="39"/>
      <c r="ES68" s="39"/>
      <c r="ET68" s="39"/>
      <c r="EU68" s="39"/>
      <c r="EV68" s="39"/>
      <c r="EW68" s="39"/>
      <c r="EX68" s="39"/>
      <c r="EY68" s="10"/>
      <c r="EZ68" s="10"/>
      <c r="FA68" s="10"/>
      <c r="FB68" s="10"/>
      <c r="FC68" s="10"/>
      <c r="FD68" s="10"/>
      <c r="FE68" s="10"/>
      <c r="FF68" s="25"/>
      <c r="FG68" s="25"/>
      <c r="FH68" s="10"/>
      <c r="FI68" s="10"/>
      <c r="FJ68" s="10"/>
      <c r="FK68" s="10"/>
      <c r="FL68" s="10"/>
      <c r="FM68" s="116"/>
      <c r="FN68" s="116"/>
      <c r="FO68" s="85"/>
      <c r="FP68" s="116"/>
      <c r="FQ68" s="592" t="e">
        <f ca="1">ROUND(GC33,0)</f>
        <v>#VALUE!</v>
      </c>
      <c r="FR68" s="592" t="e">
        <f ca="1">ROUND(-GH$40*FQ68^2+GI$40*FQ68,0)</f>
        <v>#VALUE!</v>
      </c>
      <c r="FS68" s="522"/>
      <c r="FT68" s="592" t="e">
        <f ca="1">ROUND(FR68/FQ68,0)</f>
        <v>#VALUE!</v>
      </c>
      <c r="FU68" s="592" t="e">
        <f ca="1">ROUND(GL40*FQ68^3+GM40*FQ68^2+GN40*FQ68^1+GO40,0)</f>
        <v>#VALUE!</v>
      </c>
      <c r="FV68" s="522"/>
      <c r="FW68" s="592" t="e">
        <f ca="1">ROUND(FU68/FQ68,0)</f>
        <v>#VALUE!</v>
      </c>
      <c r="FX68" s="592" t="e">
        <f ca="1">ROUND(GL40*FQ68^3+GM40*FQ68^2+GN40*FQ68^1,0)</f>
        <v>#VALUE!</v>
      </c>
      <c r="FY68" s="32" t="e">
        <f ca="1">ROUND(FX68/FQ68,0)</f>
        <v>#VALUE!</v>
      </c>
      <c r="FZ68" s="32" t="e">
        <f ca="1">FR68-FU68</f>
        <v>#VALUE!</v>
      </c>
      <c r="GA68" s="32"/>
      <c r="GB68" s="32" t="e">
        <f ca="1">ROUND(FZ68/FQ68,0)</f>
        <v>#VALUE!</v>
      </c>
      <c r="GC68" s="32"/>
      <c r="GD68" s="32"/>
      <c r="GE68" s="32"/>
      <c r="GF68" s="32"/>
      <c r="GG68" s="32"/>
      <c r="GH68" s="32"/>
      <c r="GI68" s="32"/>
      <c r="GJ68" s="32"/>
      <c r="GK68" s="32"/>
      <c r="GL68" s="32"/>
      <c r="GM68" s="49"/>
      <c r="GN68" s="49"/>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row>
    <row r="69" spans="1:222" ht="7.5" customHeight="1" thickBot="1">
      <c r="A69" s="1"/>
      <c r="B69" s="3"/>
      <c r="C69" s="3"/>
      <c r="D69" s="12"/>
      <c r="E69" s="10"/>
      <c r="F69" s="10"/>
      <c r="G69" s="10"/>
      <c r="H69" s="10"/>
      <c r="I69" s="583"/>
      <c r="J69" s="584"/>
      <c r="K69" s="584"/>
      <c r="L69" s="584"/>
      <c r="M69" s="584"/>
      <c r="N69" s="584"/>
      <c r="O69" s="584"/>
      <c r="P69" s="584"/>
      <c r="Q69" s="584"/>
      <c r="R69" s="584"/>
      <c r="S69" s="584"/>
      <c r="T69" s="584"/>
      <c r="U69" s="585"/>
      <c r="V69" s="583"/>
      <c r="W69" s="584"/>
      <c r="X69" s="584"/>
      <c r="Y69" s="584"/>
      <c r="Z69" s="584"/>
      <c r="AA69" s="584"/>
      <c r="AB69" s="584"/>
      <c r="AC69" s="584"/>
      <c r="AD69" s="584"/>
      <c r="AE69" s="584"/>
      <c r="AF69" s="584"/>
      <c r="AG69" s="584"/>
      <c r="AH69" s="585"/>
      <c r="AI69" s="568"/>
      <c r="AJ69" s="569"/>
      <c r="AK69" s="569"/>
      <c r="AL69" s="569"/>
      <c r="AM69" s="569"/>
      <c r="AN69" s="569"/>
      <c r="AO69" s="569"/>
      <c r="AP69" s="569"/>
      <c r="AQ69" s="569"/>
      <c r="AR69" s="569"/>
      <c r="AS69" s="569"/>
      <c r="AT69" s="569"/>
      <c r="AU69" s="570"/>
      <c r="AV69" s="583"/>
      <c r="AW69" s="584"/>
      <c r="AX69" s="584"/>
      <c r="AY69" s="584"/>
      <c r="AZ69" s="584"/>
      <c r="BA69" s="584"/>
      <c r="BB69" s="584"/>
      <c r="BC69" s="584"/>
      <c r="BD69" s="584"/>
      <c r="BE69" s="584"/>
      <c r="BF69" s="584"/>
      <c r="BG69" s="584"/>
      <c r="BH69" s="585"/>
      <c r="BI69" s="583"/>
      <c r="BJ69" s="584"/>
      <c r="BK69" s="584"/>
      <c r="BL69" s="584"/>
      <c r="BM69" s="584"/>
      <c r="BN69" s="584"/>
      <c r="BO69" s="584"/>
      <c r="BP69" s="584"/>
      <c r="BQ69" s="584"/>
      <c r="BR69" s="584"/>
      <c r="BS69" s="584"/>
      <c r="BT69" s="584"/>
      <c r="BU69" s="585"/>
      <c r="BV69" s="568"/>
      <c r="BW69" s="569"/>
      <c r="BX69" s="569"/>
      <c r="BY69" s="569"/>
      <c r="BZ69" s="569"/>
      <c r="CA69" s="569"/>
      <c r="CB69" s="569"/>
      <c r="CC69" s="569"/>
      <c r="CD69" s="569"/>
      <c r="CE69" s="569"/>
      <c r="CF69" s="569"/>
      <c r="CG69" s="569"/>
      <c r="CH69" s="570"/>
      <c r="CI69" s="583"/>
      <c r="CJ69" s="584"/>
      <c r="CK69" s="584"/>
      <c r="CL69" s="584"/>
      <c r="CM69" s="584"/>
      <c r="CN69" s="584"/>
      <c r="CO69" s="584"/>
      <c r="CP69" s="584"/>
      <c r="CQ69" s="584"/>
      <c r="CR69" s="584"/>
      <c r="CS69" s="584"/>
      <c r="CT69" s="584"/>
      <c r="CU69" s="585"/>
      <c r="CV69" s="583"/>
      <c r="CW69" s="584"/>
      <c r="CX69" s="584"/>
      <c r="CY69" s="584"/>
      <c r="CZ69" s="584"/>
      <c r="DA69" s="584"/>
      <c r="DB69" s="584"/>
      <c r="DC69" s="584"/>
      <c r="DD69" s="584"/>
      <c r="DE69" s="584"/>
      <c r="DF69" s="584"/>
      <c r="DG69" s="584"/>
      <c r="DH69" s="585"/>
      <c r="DI69" s="568"/>
      <c r="DJ69" s="569"/>
      <c r="DK69" s="569"/>
      <c r="DL69" s="569"/>
      <c r="DM69" s="569"/>
      <c r="DN69" s="569"/>
      <c r="DO69" s="569"/>
      <c r="DP69" s="569"/>
      <c r="DQ69" s="569"/>
      <c r="DR69" s="569"/>
      <c r="DS69" s="569"/>
      <c r="DT69" s="569"/>
      <c r="DU69" s="570"/>
      <c r="DV69" s="583"/>
      <c r="DW69" s="584"/>
      <c r="DX69" s="584"/>
      <c r="DY69" s="584"/>
      <c r="DZ69" s="584"/>
      <c r="EA69" s="584"/>
      <c r="EB69" s="584"/>
      <c r="EC69" s="584"/>
      <c r="ED69" s="584"/>
      <c r="EE69" s="584"/>
      <c r="EF69" s="584"/>
      <c r="EG69" s="584"/>
      <c r="EH69" s="585"/>
      <c r="EI69" s="79"/>
      <c r="EJ69" s="79"/>
      <c r="EK69" s="79"/>
      <c r="EL69" s="79"/>
      <c r="EM69" s="79"/>
      <c r="EN69" s="79"/>
      <c r="EO69" s="39"/>
      <c r="EP69" s="39"/>
      <c r="EQ69" s="39"/>
      <c r="ER69" s="39"/>
      <c r="ES69" s="39"/>
      <c r="ET69" s="39"/>
      <c r="EU69" s="39"/>
      <c r="EV69" s="39"/>
      <c r="EW69" s="39"/>
      <c r="EX69" s="39"/>
      <c r="EY69" s="39"/>
      <c r="EZ69" s="39"/>
      <c r="FA69" s="39"/>
      <c r="FB69" s="39"/>
      <c r="FC69" s="39"/>
      <c r="FD69" s="39"/>
      <c r="FE69" s="39"/>
      <c r="FF69" s="25"/>
      <c r="FG69" s="25"/>
      <c r="FH69" s="10"/>
      <c r="FI69" s="10"/>
      <c r="FJ69" s="10"/>
      <c r="FK69" s="10"/>
      <c r="FL69" s="10"/>
      <c r="FM69" s="116"/>
      <c r="FN69" s="116"/>
      <c r="FO69" s="85"/>
      <c r="FP69" s="116"/>
      <c r="FQ69" s="522"/>
      <c r="FR69" s="592"/>
      <c r="FS69" s="522"/>
      <c r="FT69" s="522"/>
      <c r="FU69" s="522"/>
      <c r="FV69" s="522"/>
      <c r="FW69" s="522"/>
      <c r="FX69" s="522"/>
      <c r="FY69" s="32"/>
      <c r="FZ69" s="32"/>
      <c r="GA69" s="32"/>
      <c r="GB69" s="32"/>
      <c r="GC69" s="32"/>
      <c r="GD69" s="32"/>
      <c r="GE69" s="32"/>
      <c r="GF69" s="32"/>
      <c r="GG69" s="32"/>
      <c r="GH69" s="32"/>
      <c r="GI69" s="32"/>
      <c r="GJ69" s="32"/>
      <c r="GK69" s="32"/>
      <c r="GL69" s="32"/>
      <c r="GM69" s="49"/>
      <c r="GN69" s="49"/>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c r="HN69" s="49"/>
    </row>
    <row r="70" spans="1:222" ht="11.25" customHeight="1" thickBot="1">
      <c r="A70" s="1"/>
      <c r="B70" s="3"/>
      <c r="C70" s="3"/>
      <c r="D70" s="12"/>
      <c r="E70" s="10"/>
      <c r="F70" s="10"/>
      <c r="G70" s="10"/>
      <c r="H70" s="10"/>
      <c r="I70" s="586"/>
      <c r="J70" s="587"/>
      <c r="K70" s="587"/>
      <c r="L70" s="587"/>
      <c r="M70" s="587"/>
      <c r="N70" s="587"/>
      <c r="O70" s="587"/>
      <c r="P70" s="587"/>
      <c r="Q70" s="587"/>
      <c r="R70" s="587"/>
      <c r="S70" s="587"/>
      <c r="T70" s="587"/>
      <c r="U70" s="588"/>
      <c r="V70" s="586"/>
      <c r="W70" s="587"/>
      <c r="X70" s="587"/>
      <c r="Y70" s="587"/>
      <c r="Z70" s="587"/>
      <c r="AA70" s="587"/>
      <c r="AB70" s="587"/>
      <c r="AC70" s="587"/>
      <c r="AD70" s="587"/>
      <c r="AE70" s="587"/>
      <c r="AF70" s="587"/>
      <c r="AG70" s="587"/>
      <c r="AH70" s="588"/>
      <c r="AI70" s="565" t="str">
        <f ca="1">IF(FO$29=0,"",FS70)</f>
        <v/>
      </c>
      <c r="AJ70" s="566"/>
      <c r="AK70" s="566"/>
      <c r="AL70" s="566"/>
      <c r="AM70" s="566"/>
      <c r="AN70" s="566"/>
      <c r="AO70" s="566"/>
      <c r="AP70" s="566"/>
      <c r="AQ70" s="566"/>
      <c r="AR70" s="566"/>
      <c r="AS70" s="566"/>
      <c r="AT70" s="566"/>
      <c r="AU70" s="567"/>
      <c r="AV70" s="586"/>
      <c r="AW70" s="587"/>
      <c r="AX70" s="587"/>
      <c r="AY70" s="587"/>
      <c r="AZ70" s="587"/>
      <c r="BA70" s="587"/>
      <c r="BB70" s="587"/>
      <c r="BC70" s="587"/>
      <c r="BD70" s="587"/>
      <c r="BE70" s="587"/>
      <c r="BF70" s="587"/>
      <c r="BG70" s="587"/>
      <c r="BH70" s="588"/>
      <c r="BI70" s="586"/>
      <c r="BJ70" s="587"/>
      <c r="BK70" s="587"/>
      <c r="BL70" s="587"/>
      <c r="BM70" s="587"/>
      <c r="BN70" s="587"/>
      <c r="BO70" s="587"/>
      <c r="BP70" s="587"/>
      <c r="BQ70" s="587"/>
      <c r="BR70" s="587"/>
      <c r="BS70" s="587"/>
      <c r="BT70" s="587"/>
      <c r="BU70" s="588"/>
      <c r="BV70" s="565" t="str">
        <f ca="1">IF(FO$29=0,"",FV70)</f>
        <v/>
      </c>
      <c r="BW70" s="566"/>
      <c r="BX70" s="566"/>
      <c r="BY70" s="566"/>
      <c r="BZ70" s="566"/>
      <c r="CA70" s="566"/>
      <c r="CB70" s="566"/>
      <c r="CC70" s="566"/>
      <c r="CD70" s="566"/>
      <c r="CE70" s="566"/>
      <c r="CF70" s="566"/>
      <c r="CG70" s="566"/>
      <c r="CH70" s="567"/>
      <c r="CI70" s="586"/>
      <c r="CJ70" s="587"/>
      <c r="CK70" s="587"/>
      <c r="CL70" s="587"/>
      <c r="CM70" s="587"/>
      <c r="CN70" s="587"/>
      <c r="CO70" s="587"/>
      <c r="CP70" s="587"/>
      <c r="CQ70" s="587"/>
      <c r="CR70" s="587"/>
      <c r="CS70" s="587"/>
      <c r="CT70" s="587"/>
      <c r="CU70" s="588"/>
      <c r="CV70" s="586"/>
      <c r="CW70" s="587"/>
      <c r="CX70" s="587"/>
      <c r="CY70" s="587"/>
      <c r="CZ70" s="587"/>
      <c r="DA70" s="587"/>
      <c r="DB70" s="587"/>
      <c r="DC70" s="587"/>
      <c r="DD70" s="587"/>
      <c r="DE70" s="587"/>
      <c r="DF70" s="587"/>
      <c r="DG70" s="587"/>
      <c r="DH70" s="588"/>
      <c r="DI70" s="565" t="str">
        <f ca="1">IF(FO$29=0,"",GA70)</f>
        <v/>
      </c>
      <c r="DJ70" s="566"/>
      <c r="DK70" s="566"/>
      <c r="DL70" s="566"/>
      <c r="DM70" s="566"/>
      <c r="DN70" s="566"/>
      <c r="DO70" s="566"/>
      <c r="DP70" s="566"/>
      <c r="DQ70" s="566"/>
      <c r="DR70" s="566"/>
      <c r="DS70" s="566"/>
      <c r="DT70" s="566"/>
      <c r="DU70" s="567"/>
      <c r="DV70" s="586"/>
      <c r="DW70" s="587"/>
      <c r="DX70" s="587"/>
      <c r="DY70" s="587"/>
      <c r="DZ70" s="587"/>
      <c r="EA70" s="587"/>
      <c r="EB70" s="587"/>
      <c r="EC70" s="587"/>
      <c r="ED70" s="587"/>
      <c r="EE70" s="587"/>
      <c r="EF70" s="587"/>
      <c r="EG70" s="587"/>
      <c r="EH70" s="588"/>
      <c r="EI70" s="79"/>
      <c r="EJ70" s="79"/>
      <c r="EK70" s="688" t="str">
        <f ca="1">IF(FO29=0,"",IF(OR(V80="",AI76="",AV71="",BI80="",BV76="",CI71="",CV80="",DI76="",DV71=""),"",IF(AND(programma!$A$301="uitwerking",$B98="X"),"",IF(FO98=1,"",IF(FN97=8,"Je hebt in totaal één fout. Hieronder staat wat je moet doen.",IF(FN97=0,"Je hebt alles fout. Hieronder staat wat je eerst moet doen.","Je hebt in totaal "&amp;9-FN97&amp;" fouten gemaakt. Hieronder staat wat je eerst moet doen."))))))</f>
        <v/>
      </c>
      <c r="EL70" s="688"/>
      <c r="EM70" s="688"/>
      <c r="EN70" s="688"/>
      <c r="EO70" s="688"/>
      <c r="EP70" s="688"/>
      <c r="EQ70" s="688"/>
      <c r="ER70" s="688"/>
      <c r="ES70" s="688"/>
      <c r="ET70" s="688"/>
      <c r="EU70" s="688"/>
      <c r="EV70" s="688"/>
      <c r="EW70" s="688"/>
      <c r="EX70" s="688"/>
      <c r="EY70" s="688"/>
      <c r="EZ70" s="688"/>
      <c r="FA70" s="688"/>
      <c r="FB70" s="688"/>
      <c r="FC70" s="688"/>
      <c r="FD70" s="688"/>
      <c r="FE70" s="688"/>
      <c r="FF70" s="688"/>
      <c r="FG70" s="688"/>
      <c r="FH70" s="688"/>
      <c r="FI70" s="688"/>
      <c r="FJ70" s="10"/>
      <c r="FK70" s="10"/>
      <c r="FL70" s="10"/>
      <c r="FM70" s="116"/>
      <c r="FN70" s="116"/>
      <c r="FO70" s="243" t="e">
        <f ca="1">IF(AND(AI76&gt;FS76-0.001,AI76&lt;FS76+0.001),1,IF(AND(AI76&gt;ROUND((FR77-FR74)/(FQ77-FQ74),0)-0.001,AI76&lt;ROUND((FR77-FR74)/(FQ77-FQ74),0)+0.001),1,IF(AND(AI76&gt;ROUND(FV76+GA76,0)-0.001,AI76&lt;ROUND(FV76+GA76,0)+0.001),1,0)))</f>
        <v>#VALUE!</v>
      </c>
      <c r="FP70" s="206"/>
      <c r="FQ70" s="522"/>
      <c r="FR70" s="592"/>
      <c r="FS70" s="592" t="e">
        <f ca="1">ROUND((FR71-FR68)/(FQ71-FQ68),0)</f>
        <v>#VALUE!</v>
      </c>
      <c r="FT70" s="522"/>
      <c r="FU70" s="522"/>
      <c r="FV70" s="592" t="e">
        <f ca="1">ROUND((FU71-FU68)/(FQ71-FQ68),0)</f>
        <v>#VALUE!</v>
      </c>
      <c r="FW70" s="522"/>
      <c r="FX70" s="522"/>
      <c r="FY70" s="32"/>
      <c r="FZ70" s="32"/>
      <c r="GA70" s="32" t="e">
        <f ca="1">ROUND((FZ71-FZ68)/(FQ71-FQ68),0)</f>
        <v>#VALUE!</v>
      </c>
      <c r="GB70" s="32"/>
      <c r="GC70" s="32"/>
      <c r="GD70" s="32"/>
      <c r="GE70" s="32"/>
      <c r="GF70" s="32"/>
      <c r="GG70" s="32"/>
      <c r="GH70" s="32"/>
      <c r="GI70" s="32"/>
      <c r="GJ70" s="32"/>
      <c r="GK70" s="32"/>
      <c r="GL70" s="32"/>
      <c r="GM70" s="49"/>
      <c r="GN70" s="49"/>
      <c r="GO70" s="49"/>
      <c r="GP70" s="49"/>
      <c r="GQ70" s="49"/>
      <c r="GR70" s="49"/>
      <c r="GS70" s="49"/>
      <c r="GT70" s="49"/>
      <c r="GU70" s="49"/>
      <c r="GV70" s="49"/>
      <c r="GW70" s="49"/>
      <c r="GX70" s="49"/>
      <c r="GY70" s="49"/>
      <c r="GZ70" s="49"/>
      <c r="HA70" s="49"/>
      <c r="HB70" s="49"/>
      <c r="HC70" s="49"/>
      <c r="HD70" s="49"/>
      <c r="HE70" s="49"/>
      <c r="HF70" s="49"/>
      <c r="HG70" s="49"/>
      <c r="HH70" s="49"/>
      <c r="HI70" s="49"/>
      <c r="HJ70" s="49"/>
      <c r="HK70" s="49"/>
      <c r="HL70" s="49"/>
      <c r="HM70" s="49"/>
      <c r="HN70" s="49"/>
    </row>
    <row r="71" spans="1:222" ht="3.75" customHeight="1">
      <c r="A71" s="1"/>
      <c r="B71" s="3"/>
      <c r="C71" s="3"/>
      <c r="D71" s="12"/>
      <c r="E71" s="10"/>
      <c r="F71" s="10"/>
      <c r="G71" s="10"/>
      <c r="H71" s="10"/>
      <c r="I71" s="665" t="str">
        <f ca="1">IF(FO$29=0,"",FQ71)</f>
        <v/>
      </c>
      <c r="J71" s="581"/>
      <c r="K71" s="581"/>
      <c r="L71" s="581"/>
      <c r="M71" s="581"/>
      <c r="N71" s="581"/>
      <c r="O71" s="581"/>
      <c r="P71" s="581"/>
      <c r="Q71" s="581"/>
      <c r="R71" s="581"/>
      <c r="S71" s="581"/>
      <c r="T71" s="581"/>
      <c r="U71" s="582"/>
      <c r="V71" s="665" t="str">
        <f ca="1">IF(FO$29=0,"",FR71)</f>
        <v/>
      </c>
      <c r="W71" s="566"/>
      <c r="X71" s="566"/>
      <c r="Y71" s="566"/>
      <c r="Z71" s="566"/>
      <c r="AA71" s="566"/>
      <c r="AB71" s="566"/>
      <c r="AC71" s="566"/>
      <c r="AD71" s="566"/>
      <c r="AE71" s="566"/>
      <c r="AF71" s="566"/>
      <c r="AG71" s="566"/>
      <c r="AH71" s="567"/>
      <c r="AI71" s="589"/>
      <c r="AJ71" s="687"/>
      <c r="AK71" s="687"/>
      <c r="AL71" s="687"/>
      <c r="AM71" s="687"/>
      <c r="AN71" s="687"/>
      <c r="AO71" s="687"/>
      <c r="AP71" s="687"/>
      <c r="AQ71" s="687"/>
      <c r="AR71" s="687"/>
      <c r="AS71" s="687"/>
      <c r="AT71" s="687"/>
      <c r="AU71" s="591"/>
      <c r="AV71" s="571"/>
      <c r="AW71" s="572"/>
      <c r="AX71" s="572"/>
      <c r="AY71" s="572"/>
      <c r="AZ71" s="572"/>
      <c r="BA71" s="572"/>
      <c r="BB71" s="572"/>
      <c r="BC71" s="572"/>
      <c r="BD71" s="572"/>
      <c r="BE71" s="572"/>
      <c r="BF71" s="572"/>
      <c r="BG71" s="572"/>
      <c r="BH71" s="573"/>
      <c r="BI71" s="665" t="str">
        <f ca="1">IF(FO$29=0,"",FU71)</f>
        <v/>
      </c>
      <c r="BJ71" s="566"/>
      <c r="BK71" s="566"/>
      <c r="BL71" s="566"/>
      <c r="BM71" s="566"/>
      <c r="BN71" s="566"/>
      <c r="BO71" s="566"/>
      <c r="BP71" s="566"/>
      <c r="BQ71" s="566"/>
      <c r="BR71" s="566"/>
      <c r="BS71" s="566"/>
      <c r="BT71" s="566"/>
      <c r="BU71" s="567"/>
      <c r="BV71" s="589"/>
      <c r="BW71" s="687"/>
      <c r="BX71" s="687"/>
      <c r="BY71" s="687"/>
      <c r="BZ71" s="687"/>
      <c r="CA71" s="687"/>
      <c r="CB71" s="687"/>
      <c r="CC71" s="687"/>
      <c r="CD71" s="687"/>
      <c r="CE71" s="687"/>
      <c r="CF71" s="687"/>
      <c r="CG71" s="687"/>
      <c r="CH71" s="591"/>
      <c r="CI71" s="571"/>
      <c r="CJ71" s="572"/>
      <c r="CK71" s="572"/>
      <c r="CL71" s="572"/>
      <c r="CM71" s="572"/>
      <c r="CN71" s="572"/>
      <c r="CO71" s="572"/>
      <c r="CP71" s="572"/>
      <c r="CQ71" s="572"/>
      <c r="CR71" s="572"/>
      <c r="CS71" s="572"/>
      <c r="CT71" s="572"/>
      <c r="CU71" s="573"/>
      <c r="CV71" s="665" t="str">
        <f ca="1">IF(FO$29=0,"",FZ71)</f>
        <v/>
      </c>
      <c r="CW71" s="566"/>
      <c r="CX71" s="566"/>
      <c r="CY71" s="566"/>
      <c r="CZ71" s="566"/>
      <c r="DA71" s="566"/>
      <c r="DB71" s="566"/>
      <c r="DC71" s="566"/>
      <c r="DD71" s="566"/>
      <c r="DE71" s="566"/>
      <c r="DF71" s="566"/>
      <c r="DG71" s="566"/>
      <c r="DH71" s="567"/>
      <c r="DI71" s="589"/>
      <c r="DJ71" s="687"/>
      <c r="DK71" s="687"/>
      <c r="DL71" s="687"/>
      <c r="DM71" s="687"/>
      <c r="DN71" s="687"/>
      <c r="DO71" s="687"/>
      <c r="DP71" s="687"/>
      <c r="DQ71" s="687"/>
      <c r="DR71" s="687"/>
      <c r="DS71" s="687"/>
      <c r="DT71" s="687"/>
      <c r="DU71" s="591"/>
      <c r="DV71" s="571"/>
      <c r="DW71" s="572"/>
      <c r="DX71" s="572"/>
      <c r="DY71" s="572"/>
      <c r="DZ71" s="572"/>
      <c r="EA71" s="572"/>
      <c r="EB71" s="572"/>
      <c r="EC71" s="572"/>
      <c r="ED71" s="572"/>
      <c r="EE71" s="572"/>
      <c r="EF71" s="572"/>
      <c r="EG71" s="572"/>
      <c r="EH71" s="573"/>
      <c r="EI71" s="79"/>
      <c r="EJ71" s="79"/>
      <c r="EK71" s="688"/>
      <c r="EL71" s="688"/>
      <c r="EM71" s="688"/>
      <c r="EN71" s="688"/>
      <c r="EO71" s="688"/>
      <c r="EP71" s="688"/>
      <c r="EQ71" s="688"/>
      <c r="ER71" s="688"/>
      <c r="ES71" s="688"/>
      <c r="ET71" s="688"/>
      <c r="EU71" s="688"/>
      <c r="EV71" s="688"/>
      <c r="EW71" s="688"/>
      <c r="EX71" s="688"/>
      <c r="EY71" s="688"/>
      <c r="EZ71" s="688"/>
      <c r="FA71" s="688"/>
      <c r="FB71" s="688"/>
      <c r="FC71" s="688"/>
      <c r="FD71" s="688"/>
      <c r="FE71" s="688"/>
      <c r="FF71" s="688"/>
      <c r="FG71" s="688"/>
      <c r="FH71" s="688"/>
      <c r="FI71" s="688"/>
      <c r="FJ71" s="10"/>
      <c r="FK71" s="10"/>
      <c r="FL71" s="10"/>
      <c r="FM71" s="116"/>
      <c r="FN71" s="116"/>
      <c r="FO71" s="85"/>
      <c r="FP71" s="116"/>
      <c r="FQ71" s="592" t="e">
        <f ca="1">ROUND(GC34,0)</f>
        <v>#VALUE!</v>
      </c>
      <c r="FR71" s="592" t="e">
        <f ca="1">ROUND(-GH$40*FQ71^2+GI$40*FQ71,0)</f>
        <v>#VALUE!</v>
      </c>
      <c r="FS71" s="522"/>
      <c r="FT71" s="592" t="e">
        <f ca="1">IF(FO1=0,"",ROUND(FR71/FQ71,0))</f>
        <v>#VALUE!</v>
      </c>
      <c r="FU71" s="592" t="e">
        <f ca="1">ROUND(GL40*FQ71^3+GM40*FQ71^2+GN40*FQ71^1+GO40,0)</f>
        <v>#VALUE!</v>
      </c>
      <c r="FV71" s="522"/>
      <c r="FW71" s="592" t="e">
        <f ca="1">IF(FO1=0,"",ROUND(FU71/FQ71,0))</f>
        <v>#VALUE!</v>
      </c>
      <c r="FX71" s="592" t="e">
        <f ca="1">ROUND(GL40*FQ71^3+GM40*FQ71^2+GN40*FQ71^1,0)</f>
        <v>#VALUE!</v>
      </c>
      <c r="FY71" s="32" t="e">
        <f ca="1">ROUND(FX71/FQ71,0)</f>
        <v>#VALUE!</v>
      </c>
      <c r="FZ71" s="32" t="e">
        <f ca="1">FR71-FU71</f>
        <v>#VALUE!</v>
      </c>
      <c r="GA71" s="32"/>
      <c r="GB71" s="32" t="e">
        <f ca="1">IF(FO1=0,"",ROUND(FZ71/FQ71,0))</f>
        <v>#VALUE!</v>
      </c>
      <c r="GC71" s="32"/>
      <c r="GD71" s="32"/>
      <c r="GE71" s="32"/>
      <c r="GF71" s="32"/>
      <c r="GG71" s="32"/>
      <c r="GH71" s="32"/>
      <c r="GI71" s="32"/>
      <c r="GJ71" s="32"/>
      <c r="GK71" s="32"/>
      <c r="GL71" s="32"/>
      <c r="GM71" s="49"/>
      <c r="GN71" s="49"/>
      <c r="GO71" s="49"/>
      <c r="GP71" s="49"/>
      <c r="GQ71" s="49"/>
      <c r="GR71" s="49"/>
      <c r="GS71" s="49"/>
      <c r="GT71" s="49"/>
      <c r="GU71" s="49"/>
      <c r="GV71" s="49"/>
      <c r="GW71" s="49"/>
      <c r="GX71" s="49"/>
      <c r="GY71" s="49"/>
      <c r="GZ71" s="49"/>
      <c r="HA71" s="49"/>
      <c r="HB71" s="49"/>
      <c r="HC71" s="49"/>
      <c r="HD71" s="49"/>
      <c r="HE71" s="49"/>
      <c r="HF71" s="49"/>
      <c r="HG71" s="49"/>
      <c r="HH71" s="49"/>
      <c r="HI71" s="49"/>
      <c r="HJ71" s="49"/>
      <c r="HK71" s="49"/>
      <c r="HL71" s="49"/>
      <c r="HM71" s="49"/>
      <c r="HN71" s="49"/>
    </row>
    <row r="72" spans="1:222" ht="7.5" customHeight="1" thickBot="1">
      <c r="A72" s="1"/>
      <c r="B72" s="3"/>
      <c r="C72" s="3"/>
      <c r="D72" s="12"/>
      <c r="E72" s="10"/>
      <c r="F72" s="10"/>
      <c r="G72" s="10"/>
      <c r="H72" s="10"/>
      <c r="I72" s="583"/>
      <c r="J72" s="584"/>
      <c r="K72" s="584"/>
      <c r="L72" s="584"/>
      <c r="M72" s="584"/>
      <c r="N72" s="584"/>
      <c r="O72" s="584"/>
      <c r="P72" s="584"/>
      <c r="Q72" s="584"/>
      <c r="R72" s="584"/>
      <c r="S72" s="584"/>
      <c r="T72" s="584"/>
      <c r="U72" s="585"/>
      <c r="V72" s="589"/>
      <c r="W72" s="687"/>
      <c r="X72" s="687"/>
      <c r="Y72" s="687"/>
      <c r="Z72" s="687"/>
      <c r="AA72" s="687"/>
      <c r="AB72" s="687"/>
      <c r="AC72" s="687"/>
      <c r="AD72" s="687"/>
      <c r="AE72" s="687"/>
      <c r="AF72" s="687"/>
      <c r="AG72" s="687"/>
      <c r="AH72" s="591"/>
      <c r="AI72" s="568"/>
      <c r="AJ72" s="569"/>
      <c r="AK72" s="569"/>
      <c r="AL72" s="569"/>
      <c r="AM72" s="569"/>
      <c r="AN72" s="569"/>
      <c r="AO72" s="569"/>
      <c r="AP72" s="569"/>
      <c r="AQ72" s="569"/>
      <c r="AR72" s="569"/>
      <c r="AS72" s="569"/>
      <c r="AT72" s="569"/>
      <c r="AU72" s="570"/>
      <c r="AV72" s="574"/>
      <c r="AW72" s="575"/>
      <c r="AX72" s="575"/>
      <c r="AY72" s="575"/>
      <c r="AZ72" s="575"/>
      <c r="BA72" s="575"/>
      <c r="BB72" s="575"/>
      <c r="BC72" s="575"/>
      <c r="BD72" s="575"/>
      <c r="BE72" s="575"/>
      <c r="BF72" s="575"/>
      <c r="BG72" s="575"/>
      <c r="BH72" s="576"/>
      <c r="BI72" s="589"/>
      <c r="BJ72" s="687"/>
      <c r="BK72" s="687"/>
      <c r="BL72" s="687"/>
      <c r="BM72" s="687"/>
      <c r="BN72" s="687"/>
      <c r="BO72" s="687"/>
      <c r="BP72" s="687"/>
      <c r="BQ72" s="687"/>
      <c r="BR72" s="687"/>
      <c r="BS72" s="687"/>
      <c r="BT72" s="687"/>
      <c r="BU72" s="591"/>
      <c r="BV72" s="568"/>
      <c r="BW72" s="569"/>
      <c r="BX72" s="569"/>
      <c r="BY72" s="569"/>
      <c r="BZ72" s="569"/>
      <c r="CA72" s="569"/>
      <c r="CB72" s="569"/>
      <c r="CC72" s="569"/>
      <c r="CD72" s="569"/>
      <c r="CE72" s="569"/>
      <c r="CF72" s="569"/>
      <c r="CG72" s="569"/>
      <c r="CH72" s="570"/>
      <c r="CI72" s="574"/>
      <c r="CJ72" s="575"/>
      <c r="CK72" s="575"/>
      <c r="CL72" s="575"/>
      <c r="CM72" s="575"/>
      <c r="CN72" s="575"/>
      <c r="CO72" s="575"/>
      <c r="CP72" s="575"/>
      <c r="CQ72" s="575"/>
      <c r="CR72" s="575"/>
      <c r="CS72" s="575"/>
      <c r="CT72" s="575"/>
      <c r="CU72" s="576"/>
      <c r="CV72" s="589"/>
      <c r="CW72" s="687"/>
      <c r="CX72" s="687"/>
      <c r="CY72" s="687"/>
      <c r="CZ72" s="687"/>
      <c r="DA72" s="687"/>
      <c r="DB72" s="687"/>
      <c r="DC72" s="687"/>
      <c r="DD72" s="687"/>
      <c r="DE72" s="687"/>
      <c r="DF72" s="687"/>
      <c r="DG72" s="687"/>
      <c r="DH72" s="591"/>
      <c r="DI72" s="568"/>
      <c r="DJ72" s="569"/>
      <c r="DK72" s="569"/>
      <c r="DL72" s="569"/>
      <c r="DM72" s="569"/>
      <c r="DN72" s="569"/>
      <c r="DO72" s="569"/>
      <c r="DP72" s="569"/>
      <c r="DQ72" s="569"/>
      <c r="DR72" s="569"/>
      <c r="DS72" s="569"/>
      <c r="DT72" s="569"/>
      <c r="DU72" s="570"/>
      <c r="DV72" s="574"/>
      <c r="DW72" s="575"/>
      <c r="DX72" s="575"/>
      <c r="DY72" s="575"/>
      <c r="DZ72" s="575"/>
      <c r="EA72" s="575"/>
      <c r="EB72" s="575"/>
      <c r="EC72" s="575"/>
      <c r="ED72" s="575"/>
      <c r="EE72" s="575"/>
      <c r="EF72" s="575"/>
      <c r="EG72" s="575"/>
      <c r="EH72" s="576"/>
      <c r="EI72" s="79"/>
      <c r="EJ72" s="79"/>
      <c r="EK72" s="688"/>
      <c r="EL72" s="688"/>
      <c r="EM72" s="688"/>
      <c r="EN72" s="688"/>
      <c r="EO72" s="688"/>
      <c r="EP72" s="688"/>
      <c r="EQ72" s="688"/>
      <c r="ER72" s="688"/>
      <c r="ES72" s="688"/>
      <c r="ET72" s="688"/>
      <c r="EU72" s="688"/>
      <c r="EV72" s="688"/>
      <c r="EW72" s="688"/>
      <c r="EX72" s="688"/>
      <c r="EY72" s="688"/>
      <c r="EZ72" s="688"/>
      <c r="FA72" s="688"/>
      <c r="FB72" s="688"/>
      <c r="FC72" s="688"/>
      <c r="FD72" s="688"/>
      <c r="FE72" s="688"/>
      <c r="FF72" s="688"/>
      <c r="FG72" s="688"/>
      <c r="FH72" s="688"/>
      <c r="FI72" s="688"/>
      <c r="FJ72" s="10"/>
      <c r="FK72" s="10"/>
      <c r="FL72" s="10"/>
      <c r="FM72" s="116"/>
      <c r="FN72" s="116"/>
      <c r="FO72" s="85"/>
      <c r="FP72" s="116"/>
      <c r="FQ72" s="522"/>
      <c r="FR72" s="592"/>
      <c r="FS72" s="522"/>
      <c r="FT72" s="522"/>
      <c r="FU72" s="522"/>
      <c r="FV72" s="522"/>
      <c r="FW72" s="522"/>
      <c r="FX72" s="522"/>
      <c r="FY72" s="32"/>
      <c r="FZ72" s="32"/>
      <c r="GA72" s="32"/>
      <c r="GB72" s="32"/>
      <c r="GC72" s="32"/>
      <c r="GD72" s="32"/>
      <c r="GE72" s="32"/>
      <c r="GF72" s="32"/>
      <c r="GG72" s="32"/>
      <c r="GH72" s="32"/>
      <c r="GI72" s="32"/>
      <c r="GJ72" s="32"/>
      <c r="GK72" s="32"/>
      <c r="GL72" s="32"/>
      <c r="GM72" s="49"/>
      <c r="GN72" s="49"/>
      <c r="GO72" s="49"/>
      <c r="GP72" s="49"/>
      <c r="GQ72" s="49"/>
      <c r="GR72" s="49"/>
      <c r="GS72" s="49"/>
      <c r="GT72" s="49"/>
      <c r="GU72" s="49"/>
      <c r="GV72" s="49"/>
      <c r="GW72" s="49"/>
      <c r="GX72" s="49"/>
      <c r="GY72" s="49"/>
      <c r="GZ72" s="49"/>
      <c r="HA72" s="49"/>
      <c r="HB72" s="49"/>
      <c r="HC72" s="49"/>
      <c r="HD72" s="49"/>
      <c r="HE72" s="49"/>
      <c r="HF72" s="49"/>
      <c r="HG72" s="49"/>
      <c r="HH72" s="49"/>
      <c r="HI72" s="49"/>
      <c r="HJ72" s="49"/>
      <c r="HK72" s="49"/>
      <c r="HL72" s="49"/>
      <c r="HM72" s="49"/>
      <c r="HN72" s="49"/>
    </row>
    <row r="73" spans="1:222" ht="11.25" customHeight="1" thickBot="1">
      <c r="A73" s="1"/>
      <c r="B73" s="3"/>
      <c r="C73" s="3"/>
      <c r="D73" s="12"/>
      <c r="E73" s="10"/>
      <c r="F73" s="10"/>
      <c r="G73" s="10"/>
      <c r="H73" s="10"/>
      <c r="I73" s="586"/>
      <c r="J73" s="587"/>
      <c r="K73" s="587"/>
      <c r="L73" s="587"/>
      <c r="M73" s="587"/>
      <c r="N73" s="587"/>
      <c r="O73" s="587"/>
      <c r="P73" s="587"/>
      <c r="Q73" s="587"/>
      <c r="R73" s="587"/>
      <c r="S73" s="587"/>
      <c r="T73" s="587"/>
      <c r="U73" s="588"/>
      <c r="V73" s="568"/>
      <c r="W73" s="569"/>
      <c r="X73" s="569"/>
      <c r="Y73" s="569"/>
      <c r="Z73" s="569"/>
      <c r="AA73" s="569"/>
      <c r="AB73" s="569"/>
      <c r="AC73" s="569"/>
      <c r="AD73" s="569"/>
      <c r="AE73" s="569"/>
      <c r="AF73" s="569"/>
      <c r="AG73" s="569"/>
      <c r="AH73" s="570"/>
      <c r="AI73" s="565" t="str">
        <f ca="1">IF(FO$29=0,"",FS73)</f>
        <v/>
      </c>
      <c r="AJ73" s="566"/>
      <c r="AK73" s="566"/>
      <c r="AL73" s="566"/>
      <c r="AM73" s="566"/>
      <c r="AN73" s="566"/>
      <c r="AO73" s="566"/>
      <c r="AP73" s="566"/>
      <c r="AQ73" s="566"/>
      <c r="AR73" s="566"/>
      <c r="AS73" s="566"/>
      <c r="AT73" s="566"/>
      <c r="AU73" s="567"/>
      <c r="AV73" s="577"/>
      <c r="AW73" s="578"/>
      <c r="AX73" s="578"/>
      <c r="AY73" s="578"/>
      <c r="AZ73" s="578"/>
      <c r="BA73" s="578"/>
      <c r="BB73" s="578"/>
      <c r="BC73" s="578"/>
      <c r="BD73" s="578"/>
      <c r="BE73" s="578"/>
      <c r="BF73" s="578"/>
      <c r="BG73" s="578"/>
      <c r="BH73" s="579"/>
      <c r="BI73" s="568"/>
      <c r="BJ73" s="569"/>
      <c r="BK73" s="569"/>
      <c r="BL73" s="569"/>
      <c r="BM73" s="569"/>
      <c r="BN73" s="569"/>
      <c r="BO73" s="569"/>
      <c r="BP73" s="569"/>
      <c r="BQ73" s="569"/>
      <c r="BR73" s="569"/>
      <c r="BS73" s="569"/>
      <c r="BT73" s="569"/>
      <c r="BU73" s="570"/>
      <c r="BV73" s="565" t="str">
        <f ca="1">IF(FO$29=0,"",FV73)</f>
        <v/>
      </c>
      <c r="BW73" s="566"/>
      <c r="BX73" s="566"/>
      <c r="BY73" s="566"/>
      <c r="BZ73" s="566"/>
      <c r="CA73" s="566"/>
      <c r="CB73" s="566"/>
      <c r="CC73" s="566"/>
      <c r="CD73" s="566"/>
      <c r="CE73" s="566"/>
      <c r="CF73" s="566"/>
      <c r="CG73" s="566"/>
      <c r="CH73" s="567"/>
      <c r="CI73" s="577"/>
      <c r="CJ73" s="578"/>
      <c r="CK73" s="578"/>
      <c r="CL73" s="578"/>
      <c r="CM73" s="578"/>
      <c r="CN73" s="578"/>
      <c r="CO73" s="578"/>
      <c r="CP73" s="578"/>
      <c r="CQ73" s="578"/>
      <c r="CR73" s="578"/>
      <c r="CS73" s="578"/>
      <c r="CT73" s="578"/>
      <c r="CU73" s="579"/>
      <c r="CV73" s="568"/>
      <c r="CW73" s="569"/>
      <c r="CX73" s="569"/>
      <c r="CY73" s="569"/>
      <c r="CZ73" s="569"/>
      <c r="DA73" s="569"/>
      <c r="DB73" s="569"/>
      <c r="DC73" s="569"/>
      <c r="DD73" s="569"/>
      <c r="DE73" s="569"/>
      <c r="DF73" s="569"/>
      <c r="DG73" s="569"/>
      <c r="DH73" s="570"/>
      <c r="DI73" s="565" t="str">
        <f ca="1">IF(FO$29=0,"",GA73)</f>
        <v/>
      </c>
      <c r="DJ73" s="566"/>
      <c r="DK73" s="566"/>
      <c r="DL73" s="566"/>
      <c r="DM73" s="566"/>
      <c r="DN73" s="566"/>
      <c r="DO73" s="566"/>
      <c r="DP73" s="566"/>
      <c r="DQ73" s="566"/>
      <c r="DR73" s="566"/>
      <c r="DS73" s="566"/>
      <c r="DT73" s="566"/>
      <c r="DU73" s="567"/>
      <c r="DV73" s="577"/>
      <c r="DW73" s="578"/>
      <c r="DX73" s="578"/>
      <c r="DY73" s="578"/>
      <c r="DZ73" s="578"/>
      <c r="EA73" s="578"/>
      <c r="EB73" s="578"/>
      <c r="EC73" s="578"/>
      <c r="ED73" s="578"/>
      <c r="EE73" s="578"/>
      <c r="EF73" s="578"/>
      <c r="EG73" s="578"/>
      <c r="EH73" s="579"/>
      <c r="EI73" s="79"/>
      <c r="EJ73" s="79"/>
      <c r="EK73" s="688"/>
      <c r="EL73" s="688"/>
      <c r="EM73" s="688"/>
      <c r="EN73" s="688"/>
      <c r="EO73" s="688"/>
      <c r="EP73" s="688"/>
      <c r="EQ73" s="688"/>
      <c r="ER73" s="688"/>
      <c r="ES73" s="688"/>
      <c r="ET73" s="688"/>
      <c r="EU73" s="688"/>
      <c r="EV73" s="688"/>
      <c r="EW73" s="688"/>
      <c r="EX73" s="688"/>
      <c r="EY73" s="688"/>
      <c r="EZ73" s="688"/>
      <c r="FA73" s="688"/>
      <c r="FB73" s="688"/>
      <c r="FC73" s="688"/>
      <c r="FD73" s="688"/>
      <c r="FE73" s="688"/>
      <c r="FF73" s="688"/>
      <c r="FG73" s="688"/>
      <c r="FH73" s="688"/>
      <c r="FI73" s="688"/>
      <c r="FJ73" s="10"/>
      <c r="FK73" s="10"/>
      <c r="FL73" s="10"/>
      <c r="FM73" s="116"/>
      <c r="FN73" s="116"/>
      <c r="FO73" s="244" t="e">
        <f ca="1">IF(AND(AV71&gt;FT71-0.001,AV71&lt;FT71+0.001),1,IF(AND(AV71&gt;ROUND(V71/I71,0)-0.001,AV71&lt;ROUND(V71/I71,0)+0.001,0),1,0))</f>
        <v>#VALUE!</v>
      </c>
      <c r="FP73" s="206"/>
      <c r="FQ73" s="522"/>
      <c r="FR73" s="592"/>
      <c r="FS73" s="592" t="e">
        <f ca="1">ROUND((FR74-FR71)/(FQ74-FQ71),0)</f>
        <v>#VALUE!</v>
      </c>
      <c r="FT73" s="522"/>
      <c r="FU73" s="522"/>
      <c r="FV73" s="592" t="e">
        <f ca="1">ROUND((FU74-FU71)/(FQ74-FQ71),0)</f>
        <v>#VALUE!</v>
      </c>
      <c r="FW73" s="522"/>
      <c r="FX73" s="522"/>
      <c r="FY73" s="32"/>
      <c r="FZ73" s="32"/>
      <c r="GA73" s="32" t="e">
        <f ca="1">ROUND((FZ74-FZ71)/(FQ74-FQ71),0)</f>
        <v>#VALUE!</v>
      </c>
      <c r="GB73" s="32"/>
      <c r="GC73" s="32"/>
      <c r="GD73" s="32"/>
      <c r="GE73" s="32"/>
      <c r="GF73" s="32"/>
      <c r="GG73" s="32"/>
      <c r="GH73" s="32"/>
      <c r="GI73" s="32"/>
      <c r="GJ73" s="32"/>
      <c r="GK73" s="32"/>
      <c r="GL73" s="32"/>
      <c r="GM73" s="49"/>
      <c r="GN73" s="49"/>
      <c r="GO73" s="49"/>
      <c r="GP73" s="49"/>
      <c r="GQ73" s="49"/>
      <c r="GR73" s="49"/>
      <c r="GS73" s="49"/>
      <c r="GT73" s="49"/>
      <c r="GU73" s="49"/>
      <c r="GV73" s="49"/>
      <c r="GW73" s="49"/>
      <c r="GX73" s="49"/>
      <c r="GY73" s="49"/>
      <c r="GZ73" s="49"/>
      <c r="HA73" s="49"/>
      <c r="HB73" s="49"/>
      <c r="HC73" s="49"/>
      <c r="HD73" s="49"/>
      <c r="HE73" s="49"/>
      <c r="HF73" s="49"/>
      <c r="HG73" s="49"/>
      <c r="HH73" s="49"/>
      <c r="HI73" s="49"/>
      <c r="HJ73" s="49"/>
      <c r="HK73" s="49"/>
      <c r="HL73" s="49"/>
      <c r="HM73" s="49"/>
      <c r="HN73" s="49"/>
    </row>
    <row r="74" spans="1:222" ht="3.75" customHeight="1">
      <c r="A74" s="1"/>
      <c r="B74" s="3"/>
      <c r="C74" s="3"/>
      <c r="D74" s="12"/>
      <c r="E74" s="10"/>
      <c r="F74" s="10"/>
      <c r="G74" s="10"/>
      <c r="H74" s="10"/>
      <c r="I74" s="665" t="str">
        <f ca="1">IF(FO$29=0,"",FQ74)</f>
        <v/>
      </c>
      <c r="J74" s="581"/>
      <c r="K74" s="581"/>
      <c r="L74" s="581"/>
      <c r="M74" s="581"/>
      <c r="N74" s="581"/>
      <c r="O74" s="581"/>
      <c r="P74" s="581"/>
      <c r="Q74" s="581"/>
      <c r="R74" s="581"/>
      <c r="S74" s="581"/>
      <c r="T74" s="581"/>
      <c r="U74" s="582"/>
      <c r="V74" s="665" t="str">
        <f ca="1">IF(FO$29=0,"",FR74)</f>
        <v/>
      </c>
      <c r="W74" s="581"/>
      <c r="X74" s="581"/>
      <c r="Y74" s="581"/>
      <c r="Z74" s="581"/>
      <c r="AA74" s="581"/>
      <c r="AB74" s="581"/>
      <c r="AC74" s="581"/>
      <c r="AD74" s="581"/>
      <c r="AE74" s="581"/>
      <c r="AF74" s="581"/>
      <c r="AG74" s="581"/>
      <c r="AH74" s="582"/>
      <c r="AI74" s="589"/>
      <c r="AJ74" s="687"/>
      <c r="AK74" s="687"/>
      <c r="AL74" s="687"/>
      <c r="AM74" s="687"/>
      <c r="AN74" s="687"/>
      <c r="AO74" s="687"/>
      <c r="AP74" s="687"/>
      <c r="AQ74" s="687"/>
      <c r="AR74" s="687"/>
      <c r="AS74" s="687"/>
      <c r="AT74" s="687"/>
      <c r="AU74" s="591"/>
      <c r="AV74" s="665" t="str">
        <f ca="1">IF(FO$29=0,"",FT74)</f>
        <v/>
      </c>
      <c r="AW74" s="581"/>
      <c r="AX74" s="581"/>
      <c r="AY74" s="581"/>
      <c r="AZ74" s="581"/>
      <c r="BA74" s="581"/>
      <c r="BB74" s="581"/>
      <c r="BC74" s="581"/>
      <c r="BD74" s="581"/>
      <c r="BE74" s="581"/>
      <c r="BF74" s="581"/>
      <c r="BG74" s="581"/>
      <c r="BH74" s="582"/>
      <c r="BI74" s="665" t="str">
        <f ca="1">IF(FO$29=0,"",FU74)</f>
        <v/>
      </c>
      <c r="BJ74" s="581"/>
      <c r="BK74" s="581"/>
      <c r="BL74" s="581"/>
      <c r="BM74" s="581"/>
      <c r="BN74" s="581"/>
      <c r="BO74" s="581"/>
      <c r="BP74" s="581"/>
      <c r="BQ74" s="581"/>
      <c r="BR74" s="581"/>
      <c r="BS74" s="581"/>
      <c r="BT74" s="581"/>
      <c r="BU74" s="582"/>
      <c r="BV74" s="589"/>
      <c r="BW74" s="687"/>
      <c r="BX74" s="687"/>
      <c r="BY74" s="687"/>
      <c r="BZ74" s="687"/>
      <c r="CA74" s="687"/>
      <c r="CB74" s="687"/>
      <c r="CC74" s="687"/>
      <c r="CD74" s="687"/>
      <c r="CE74" s="687"/>
      <c r="CF74" s="687"/>
      <c r="CG74" s="687"/>
      <c r="CH74" s="591"/>
      <c r="CI74" s="665" t="str">
        <f ca="1">IF(FO$29=0,"",FW74)</f>
        <v/>
      </c>
      <c r="CJ74" s="581"/>
      <c r="CK74" s="581"/>
      <c r="CL74" s="581"/>
      <c r="CM74" s="581"/>
      <c r="CN74" s="581"/>
      <c r="CO74" s="581"/>
      <c r="CP74" s="581"/>
      <c r="CQ74" s="581"/>
      <c r="CR74" s="581"/>
      <c r="CS74" s="581"/>
      <c r="CT74" s="581"/>
      <c r="CU74" s="582"/>
      <c r="CV74" s="665" t="str">
        <f ca="1">IF(FO$29=0,"",FZ74)</f>
        <v/>
      </c>
      <c r="CW74" s="581"/>
      <c r="CX74" s="581"/>
      <c r="CY74" s="581"/>
      <c r="CZ74" s="581"/>
      <c r="DA74" s="581"/>
      <c r="DB74" s="581"/>
      <c r="DC74" s="581"/>
      <c r="DD74" s="581"/>
      <c r="DE74" s="581"/>
      <c r="DF74" s="581"/>
      <c r="DG74" s="581"/>
      <c r="DH74" s="582"/>
      <c r="DI74" s="589"/>
      <c r="DJ74" s="687"/>
      <c r="DK74" s="687"/>
      <c r="DL74" s="687"/>
      <c r="DM74" s="687"/>
      <c r="DN74" s="687"/>
      <c r="DO74" s="687"/>
      <c r="DP74" s="687"/>
      <c r="DQ74" s="687"/>
      <c r="DR74" s="687"/>
      <c r="DS74" s="687"/>
      <c r="DT74" s="687"/>
      <c r="DU74" s="591"/>
      <c r="DV74" s="665" t="str">
        <f ca="1">IF(FO$29=0,"",GB74)</f>
        <v/>
      </c>
      <c r="DW74" s="581"/>
      <c r="DX74" s="581"/>
      <c r="DY74" s="581"/>
      <c r="DZ74" s="581"/>
      <c r="EA74" s="581"/>
      <c r="EB74" s="581"/>
      <c r="EC74" s="581"/>
      <c r="ED74" s="581"/>
      <c r="EE74" s="581"/>
      <c r="EF74" s="581"/>
      <c r="EG74" s="581"/>
      <c r="EH74" s="582"/>
      <c r="EI74" s="79"/>
      <c r="EJ74" s="79"/>
      <c r="EK74" s="688"/>
      <c r="EL74" s="688"/>
      <c r="EM74" s="688"/>
      <c r="EN74" s="688"/>
      <c r="EO74" s="688"/>
      <c r="EP74" s="688"/>
      <c r="EQ74" s="688"/>
      <c r="ER74" s="688"/>
      <c r="ES74" s="688"/>
      <c r="ET74" s="688"/>
      <c r="EU74" s="688"/>
      <c r="EV74" s="688"/>
      <c r="EW74" s="688"/>
      <c r="EX74" s="688"/>
      <c r="EY74" s="688"/>
      <c r="EZ74" s="688"/>
      <c r="FA74" s="688"/>
      <c r="FB74" s="688"/>
      <c r="FC74" s="688"/>
      <c r="FD74" s="688"/>
      <c r="FE74" s="688"/>
      <c r="FF74" s="688"/>
      <c r="FG74" s="688"/>
      <c r="FH74" s="688"/>
      <c r="FI74" s="688"/>
      <c r="FJ74" s="10"/>
      <c r="FK74" s="10"/>
      <c r="FL74" s="10"/>
      <c r="FM74" s="116"/>
      <c r="FN74" s="116"/>
      <c r="FO74" s="85"/>
      <c r="FP74" s="116"/>
      <c r="FQ74" s="592" t="e">
        <f ca="1">ROUND(GC35,0)</f>
        <v>#VALUE!</v>
      </c>
      <c r="FR74" s="592" t="e">
        <f ca="1">ROUND(-GH$40*FQ74^2+GI$40*FQ74,0)</f>
        <v>#VALUE!</v>
      </c>
      <c r="FS74" s="522"/>
      <c r="FT74" s="592" t="e">
        <f ca="1">ROUND(FR74/FQ74,0)</f>
        <v>#VALUE!</v>
      </c>
      <c r="FU74" s="592" t="e">
        <f ca="1">ROUND(GL40*FQ74^3+GM40*FQ74^2+GN40*FQ74^1+GO40,0)</f>
        <v>#VALUE!</v>
      </c>
      <c r="FV74" s="522"/>
      <c r="FW74" s="592" t="e">
        <f ca="1">ROUND(FU74/FQ74,0)</f>
        <v>#VALUE!</v>
      </c>
      <c r="FX74" s="592" t="e">
        <f ca="1">ROUND(GL40*FQ74^3+GM40*FQ74^2+GN40*FQ74^1,0)</f>
        <v>#VALUE!</v>
      </c>
      <c r="FY74" s="32" t="e">
        <f ca="1">ROUND(FX74/FQ74,0)</f>
        <v>#VALUE!</v>
      </c>
      <c r="FZ74" s="32" t="e">
        <f ca="1">FR74-FU74</f>
        <v>#VALUE!</v>
      </c>
      <c r="GA74" s="32"/>
      <c r="GB74" s="32" t="e">
        <f ca="1">ROUND(FZ74/FQ74,0)</f>
        <v>#VALUE!</v>
      </c>
      <c r="GC74" s="32"/>
      <c r="GD74" s="32"/>
      <c r="GE74" s="32"/>
      <c r="GF74" s="32"/>
      <c r="GG74" s="32"/>
      <c r="GH74" s="32"/>
      <c r="GI74" s="32"/>
      <c r="GJ74" s="32"/>
      <c r="GK74" s="32"/>
      <c r="GL74" s="32"/>
      <c r="GM74" s="49"/>
      <c r="GN74" s="49"/>
      <c r="GO74" s="49"/>
      <c r="GP74" s="49"/>
      <c r="GQ74" s="49"/>
      <c r="GR74" s="49"/>
      <c r="GS74" s="49"/>
      <c r="GT74" s="49"/>
      <c r="GU74" s="49"/>
      <c r="GV74" s="49"/>
      <c r="GW74" s="49"/>
      <c r="GX74" s="49"/>
      <c r="GY74" s="49"/>
      <c r="GZ74" s="49"/>
      <c r="HA74" s="49"/>
      <c r="HB74" s="49"/>
      <c r="HC74" s="49"/>
      <c r="HD74" s="49"/>
      <c r="HE74" s="49"/>
      <c r="HF74" s="49"/>
      <c r="HG74" s="49"/>
      <c r="HH74" s="49"/>
      <c r="HI74" s="49"/>
      <c r="HJ74" s="49"/>
      <c r="HK74" s="49"/>
      <c r="HL74" s="49"/>
      <c r="HM74" s="49"/>
      <c r="HN74" s="49"/>
    </row>
    <row r="75" spans="1:222" ht="7.5" customHeight="1" thickBot="1">
      <c r="A75" s="1"/>
      <c r="B75" s="3"/>
      <c r="C75" s="3"/>
      <c r="D75" s="12"/>
      <c r="E75" s="10"/>
      <c r="F75" s="10"/>
      <c r="G75" s="10"/>
      <c r="H75" s="10"/>
      <c r="I75" s="583"/>
      <c r="J75" s="584"/>
      <c r="K75" s="584"/>
      <c r="L75" s="584"/>
      <c r="M75" s="584"/>
      <c r="N75" s="584"/>
      <c r="O75" s="584"/>
      <c r="P75" s="584"/>
      <c r="Q75" s="584"/>
      <c r="R75" s="584"/>
      <c r="S75" s="584"/>
      <c r="T75" s="584"/>
      <c r="U75" s="585"/>
      <c r="V75" s="583"/>
      <c r="W75" s="584"/>
      <c r="X75" s="584"/>
      <c r="Y75" s="584"/>
      <c r="Z75" s="584"/>
      <c r="AA75" s="584"/>
      <c r="AB75" s="584"/>
      <c r="AC75" s="584"/>
      <c r="AD75" s="584"/>
      <c r="AE75" s="584"/>
      <c r="AF75" s="584"/>
      <c r="AG75" s="584"/>
      <c r="AH75" s="585"/>
      <c r="AI75" s="568"/>
      <c r="AJ75" s="569"/>
      <c r="AK75" s="569"/>
      <c r="AL75" s="569"/>
      <c r="AM75" s="569"/>
      <c r="AN75" s="569"/>
      <c r="AO75" s="569"/>
      <c r="AP75" s="569"/>
      <c r="AQ75" s="569"/>
      <c r="AR75" s="569"/>
      <c r="AS75" s="569"/>
      <c r="AT75" s="569"/>
      <c r="AU75" s="570"/>
      <c r="AV75" s="583"/>
      <c r="AW75" s="584"/>
      <c r="AX75" s="584"/>
      <c r="AY75" s="584"/>
      <c r="AZ75" s="584"/>
      <c r="BA75" s="584"/>
      <c r="BB75" s="584"/>
      <c r="BC75" s="584"/>
      <c r="BD75" s="584"/>
      <c r="BE75" s="584"/>
      <c r="BF75" s="584"/>
      <c r="BG75" s="584"/>
      <c r="BH75" s="585"/>
      <c r="BI75" s="583"/>
      <c r="BJ75" s="584"/>
      <c r="BK75" s="584"/>
      <c r="BL75" s="584"/>
      <c r="BM75" s="584"/>
      <c r="BN75" s="584"/>
      <c r="BO75" s="584"/>
      <c r="BP75" s="584"/>
      <c r="BQ75" s="584"/>
      <c r="BR75" s="584"/>
      <c r="BS75" s="584"/>
      <c r="BT75" s="584"/>
      <c r="BU75" s="585"/>
      <c r="BV75" s="568"/>
      <c r="BW75" s="569"/>
      <c r="BX75" s="569"/>
      <c r="BY75" s="569"/>
      <c r="BZ75" s="569"/>
      <c r="CA75" s="569"/>
      <c r="CB75" s="569"/>
      <c r="CC75" s="569"/>
      <c r="CD75" s="569"/>
      <c r="CE75" s="569"/>
      <c r="CF75" s="569"/>
      <c r="CG75" s="569"/>
      <c r="CH75" s="570"/>
      <c r="CI75" s="583"/>
      <c r="CJ75" s="584"/>
      <c r="CK75" s="584"/>
      <c r="CL75" s="584"/>
      <c r="CM75" s="584"/>
      <c r="CN75" s="584"/>
      <c r="CO75" s="584"/>
      <c r="CP75" s="584"/>
      <c r="CQ75" s="584"/>
      <c r="CR75" s="584"/>
      <c r="CS75" s="584"/>
      <c r="CT75" s="584"/>
      <c r="CU75" s="585"/>
      <c r="CV75" s="583"/>
      <c r="CW75" s="584"/>
      <c r="CX75" s="584"/>
      <c r="CY75" s="584"/>
      <c r="CZ75" s="584"/>
      <c r="DA75" s="584"/>
      <c r="DB75" s="584"/>
      <c r="DC75" s="584"/>
      <c r="DD75" s="584"/>
      <c r="DE75" s="584"/>
      <c r="DF75" s="584"/>
      <c r="DG75" s="584"/>
      <c r="DH75" s="585"/>
      <c r="DI75" s="568"/>
      <c r="DJ75" s="569"/>
      <c r="DK75" s="569"/>
      <c r="DL75" s="569"/>
      <c r="DM75" s="569"/>
      <c r="DN75" s="569"/>
      <c r="DO75" s="569"/>
      <c r="DP75" s="569"/>
      <c r="DQ75" s="569"/>
      <c r="DR75" s="569"/>
      <c r="DS75" s="569"/>
      <c r="DT75" s="569"/>
      <c r="DU75" s="570"/>
      <c r="DV75" s="583"/>
      <c r="DW75" s="584"/>
      <c r="DX75" s="584"/>
      <c r="DY75" s="584"/>
      <c r="DZ75" s="584"/>
      <c r="EA75" s="584"/>
      <c r="EB75" s="584"/>
      <c r="EC75" s="584"/>
      <c r="ED75" s="584"/>
      <c r="EE75" s="584"/>
      <c r="EF75" s="584"/>
      <c r="EG75" s="584"/>
      <c r="EH75" s="585"/>
      <c r="EI75" s="79"/>
      <c r="EJ75" s="79"/>
      <c r="EK75" s="688"/>
      <c r="EL75" s="688"/>
      <c r="EM75" s="688"/>
      <c r="EN75" s="688"/>
      <c r="EO75" s="688"/>
      <c r="EP75" s="688"/>
      <c r="EQ75" s="688"/>
      <c r="ER75" s="688"/>
      <c r="ES75" s="688"/>
      <c r="ET75" s="688"/>
      <c r="EU75" s="688"/>
      <c r="EV75" s="688"/>
      <c r="EW75" s="688"/>
      <c r="EX75" s="688"/>
      <c r="EY75" s="688"/>
      <c r="EZ75" s="688"/>
      <c r="FA75" s="688"/>
      <c r="FB75" s="688"/>
      <c r="FC75" s="688"/>
      <c r="FD75" s="688"/>
      <c r="FE75" s="688"/>
      <c r="FF75" s="688"/>
      <c r="FG75" s="688"/>
      <c r="FH75" s="688"/>
      <c r="FI75" s="688"/>
      <c r="FJ75" s="10"/>
      <c r="FK75" s="10"/>
      <c r="FL75" s="10"/>
      <c r="FM75" s="116"/>
      <c r="FN75" s="116"/>
      <c r="FO75" s="85"/>
      <c r="FP75" s="116"/>
      <c r="FQ75" s="522"/>
      <c r="FR75" s="592"/>
      <c r="FS75" s="522"/>
      <c r="FT75" s="522"/>
      <c r="FU75" s="522"/>
      <c r="FV75" s="522"/>
      <c r="FW75" s="522"/>
      <c r="FX75" s="522"/>
      <c r="FY75" s="32"/>
      <c r="FZ75" s="32"/>
      <c r="GA75" s="32"/>
      <c r="GB75" s="32"/>
      <c r="GC75" s="32"/>
      <c r="GD75" s="32"/>
      <c r="GE75" s="32"/>
      <c r="GF75" s="32"/>
      <c r="GG75" s="32"/>
      <c r="GH75" s="32"/>
      <c r="GI75" s="32"/>
      <c r="GJ75" s="32"/>
      <c r="GK75" s="32"/>
      <c r="GL75" s="32"/>
      <c r="GM75" s="49"/>
      <c r="GN75" s="49"/>
      <c r="GO75" s="49"/>
      <c r="GP75" s="49"/>
      <c r="GQ75" s="49"/>
      <c r="GR75" s="49"/>
      <c r="GS75" s="49"/>
      <c r="GT75" s="49"/>
      <c r="GU75" s="49"/>
      <c r="GV75" s="49"/>
      <c r="GW75" s="49"/>
      <c r="GX75" s="49"/>
      <c r="GY75" s="49"/>
      <c r="GZ75" s="49"/>
      <c r="HA75" s="49"/>
      <c r="HB75" s="49"/>
      <c r="HC75" s="49"/>
      <c r="HD75" s="49"/>
      <c r="HE75" s="49"/>
      <c r="HF75" s="49"/>
      <c r="HG75" s="49"/>
      <c r="HH75" s="49"/>
      <c r="HI75" s="49"/>
      <c r="HJ75" s="49"/>
      <c r="HK75" s="49"/>
      <c r="HL75" s="49"/>
      <c r="HM75" s="49"/>
      <c r="HN75" s="49"/>
    </row>
    <row r="76" spans="1:222" ht="11.25" customHeight="1" thickBot="1">
      <c r="A76" s="1"/>
      <c r="B76" s="3"/>
      <c r="C76" s="3"/>
      <c r="D76" s="12"/>
      <c r="E76" s="10"/>
      <c r="F76" s="10"/>
      <c r="G76" s="10"/>
      <c r="H76" s="10"/>
      <c r="I76" s="586"/>
      <c r="J76" s="587"/>
      <c r="K76" s="587"/>
      <c r="L76" s="587"/>
      <c r="M76" s="587"/>
      <c r="N76" s="587"/>
      <c r="O76" s="587"/>
      <c r="P76" s="587"/>
      <c r="Q76" s="587"/>
      <c r="R76" s="587"/>
      <c r="S76" s="587"/>
      <c r="T76" s="587"/>
      <c r="U76" s="588"/>
      <c r="V76" s="586"/>
      <c r="W76" s="587"/>
      <c r="X76" s="587"/>
      <c r="Y76" s="587"/>
      <c r="Z76" s="587"/>
      <c r="AA76" s="587"/>
      <c r="AB76" s="587"/>
      <c r="AC76" s="587"/>
      <c r="AD76" s="587"/>
      <c r="AE76" s="587"/>
      <c r="AF76" s="587"/>
      <c r="AG76" s="587"/>
      <c r="AH76" s="588"/>
      <c r="AI76" s="571"/>
      <c r="AJ76" s="572"/>
      <c r="AK76" s="572"/>
      <c r="AL76" s="572"/>
      <c r="AM76" s="572"/>
      <c r="AN76" s="572"/>
      <c r="AO76" s="572"/>
      <c r="AP76" s="572"/>
      <c r="AQ76" s="572"/>
      <c r="AR76" s="572"/>
      <c r="AS76" s="572"/>
      <c r="AT76" s="572"/>
      <c r="AU76" s="573"/>
      <c r="AV76" s="586"/>
      <c r="AW76" s="587"/>
      <c r="AX76" s="587"/>
      <c r="AY76" s="587"/>
      <c r="AZ76" s="587"/>
      <c r="BA76" s="587"/>
      <c r="BB76" s="587"/>
      <c r="BC76" s="587"/>
      <c r="BD76" s="587"/>
      <c r="BE76" s="587"/>
      <c r="BF76" s="587"/>
      <c r="BG76" s="587"/>
      <c r="BH76" s="588"/>
      <c r="BI76" s="586"/>
      <c r="BJ76" s="587"/>
      <c r="BK76" s="587"/>
      <c r="BL76" s="587"/>
      <c r="BM76" s="587"/>
      <c r="BN76" s="587"/>
      <c r="BO76" s="587"/>
      <c r="BP76" s="587"/>
      <c r="BQ76" s="587"/>
      <c r="BR76" s="587"/>
      <c r="BS76" s="587"/>
      <c r="BT76" s="587"/>
      <c r="BU76" s="588"/>
      <c r="BV76" s="571"/>
      <c r="BW76" s="572"/>
      <c r="BX76" s="572"/>
      <c r="BY76" s="572"/>
      <c r="BZ76" s="572"/>
      <c r="CA76" s="572"/>
      <c r="CB76" s="572"/>
      <c r="CC76" s="572"/>
      <c r="CD76" s="572"/>
      <c r="CE76" s="572"/>
      <c r="CF76" s="572"/>
      <c r="CG76" s="572"/>
      <c r="CH76" s="573"/>
      <c r="CI76" s="586"/>
      <c r="CJ76" s="587"/>
      <c r="CK76" s="587"/>
      <c r="CL76" s="587"/>
      <c r="CM76" s="587"/>
      <c r="CN76" s="587"/>
      <c r="CO76" s="587"/>
      <c r="CP76" s="587"/>
      <c r="CQ76" s="587"/>
      <c r="CR76" s="587"/>
      <c r="CS76" s="587"/>
      <c r="CT76" s="587"/>
      <c r="CU76" s="588"/>
      <c r="CV76" s="586"/>
      <c r="CW76" s="587"/>
      <c r="CX76" s="587"/>
      <c r="CY76" s="587"/>
      <c r="CZ76" s="587"/>
      <c r="DA76" s="587"/>
      <c r="DB76" s="587"/>
      <c r="DC76" s="587"/>
      <c r="DD76" s="587"/>
      <c r="DE76" s="587"/>
      <c r="DF76" s="587"/>
      <c r="DG76" s="587"/>
      <c r="DH76" s="588"/>
      <c r="DI76" s="571"/>
      <c r="DJ76" s="572"/>
      <c r="DK76" s="572"/>
      <c r="DL76" s="572"/>
      <c r="DM76" s="572"/>
      <c r="DN76" s="572"/>
      <c r="DO76" s="572"/>
      <c r="DP76" s="572"/>
      <c r="DQ76" s="572"/>
      <c r="DR76" s="572"/>
      <c r="DS76" s="572"/>
      <c r="DT76" s="572"/>
      <c r="DU76" s="573"/>
      <c r="DV76" s="586"/>
      <c r="DW76" s="587"/>
      <c r="DX76" s="587"/>
      <c r="DY76" s="587"/>
      <c r="DZ76" s="587"/>
      <c r="EA76" s="587"/>
      <c r="EB76" s="587"/>
      <c r="EC76" s="587"/>
      <c r="ED76" s="587"/>
      <c r="EE76" s="587"/>
      <c r="EF76" s="587"/>
      <c r="EG76" s="587"/>
      <c r="EH76" s="588"/>
      <c r="EI76" s="79"/>
      <c r="EJ76" s="79"/>
      <c r="EK76" s="688"/>
      <c r="EL76" s="688"/>
      <c r="EM76" s="688"/>
      <c r="EN76" s="688"/>
      <c r="EO76" s="688"/>
      <c r="EP76" s="688"/>
      <c r="EQ76" s="688"/>
      <c r="ER76" s="688"/>
      <c r="ES76" s="688"/>
      <c r="ET76" s="688"/>
      <c r="EU76" s="688"/>
      <c r="EV76" s="688"/>
      <c r="EW76" s="688"/>
      <c r="EX76" s="688"/>
      <c r="EY76" s="688"/>
      <c r="EZ76" s="688"/>
      <c r="FA76" s="688"/>
      <c r="FB76" s="688"/>
      <c r="FC76" s="688"/>
      <c r="FD76" s="688"/>
      <c r="FE76" s="688"/>
      <c r="FF76" s="688"/>
      <c r="FG76" s="688"/>
      <c r="FH76" s="688"/>
      <c r="FI76" s="688"/>
      <c r="FJ76" s="10"/>
      <c r="FK76" s="10"/>
      <c r="FL76" s="10"/>
      <c r="FM76" s="116"/>
      <c r="FN76" s="116"/>
      <c r="FO76" s="85"/>
      <c r="FP76" s="206"/>
      <c r="FQ76" s="522"/>
      <c r="FR76" s="592"/>
      <c r="FS76" s="592" t="e">
        <f ca="1">IF(FO1=0,"",ROUND((FR77-FR74)/(FQ77-FQ74),0))</f>
        <v>#VALUE!</v>
      </c>
      <c r="FT76" s="522"/>
      <c r="FU76" s="522"/>
      <c r="FV76" s="592" t="e">
        <f ca="1">IF(FO1=0,"",ROUND((FU77-FU74)/(FQ77-FQ74),0))</f>
        <v>#VALUE!</v>
      </c>
      <c r="FW76" s="522"/>
      <c r="FX76" s="522"/>
      <c r="FY76" s="32"/>
      <c r="FZ76" s="32"/>
      <c r="GA76" s="32" t="e">
        <f ca="1">IF(FO1=0,"",ROUND((FZ77-FZ74)/(FQ77-FQ74),0))</f>
        <v>#VALUE!</v>
      </c>
      <c r="GB76" s="32"/>
      <c r="GC76" s="32"/>
      <c r="GD76" s="32"/>
      <c r="GE76" s="32"/>
      <c r="GF76" s="32"/>
      <c r="GG76" s="32"/>
      <c r="GH76" s="32"/>
      <c r="GI76" s="32"/>
      <c r="GJ76" s="32"/>
      <c r="GK76" s="32"/>
      <c r="GL76" s="32"/>
      <c r="GM76" s="49"/>
      <c r="GN76" s="49"/>
      <c r="GO76" s="49"/>
      <c r="GP76" s="49"/>
      <c r="GQ76" s="49"/>
      <c r="GR76" s="49"/>
      <c r="GS76" s="49"/>
      <c r="GT76" s="49"/>
      <c r="GU76" s="49"/>
      <c r="GV76" s="49"/>
      <c r="GW76" s="49"/>
      <c r="GX76" s="49"/>
      <c r="GY76" s="49"/>
      <c r="GZ76" s="49"/>
      <c r="HA76" s="49"/>
      <c r="HB76" s="49"/>
      <c r="HC76" s="49"/>
      <c r="HD76" s="49"/>
      <c r="HE76" s="49"/>
      <c r="HF76" s="49"/>
      <c r="HG76" s="49"/>
      <c r="HH76" s="49"/>
      <c r="HI76" s="49"/>
      <c r="HJ76" s="49"/>
      <c r="HK76" s="49"/>
      <c r="HL76" s="49"/>
      <c r="HM76" s="49"/>
      <c r="HN76" s="49"/>
    </row>
    <row r="77" spans="1:222" ht="3.75" customHeight="1">
      <c r="A77" s="1"/>
      <c r="B77" s="3"/>
      <c r="C77" s="3"/>
      <c r="D77" s="12"/>
      <c r="E77" s="10"/>
      <c r="F77" s="10"/>
      <c r="G77" s="10"/>
      <c r="H77" s="10"/>
      <c r="I77" s="665" t="str">
        <f ca="1">IF(FO$29=0,"",FQ77)</f>
        <v/>
      </c>
      <c r="J77" s="581"/>
      <c r="K77" s="581"/>
      <c r="L77" s="581"/>
      <c r="M77" s="581"/>
      <c r="N77" s="581"/>
      <c r="O77" s="581"/>
      <c r="P77" s="581"/>
      <c r="Q77" s="581"/>
      <c r="R77" s="581"/>
      <c r="S77" s="581"/>
      <c r="T77" s="581"/>
      <c r="U77" s="582"/>
      <c r="V77" s="665" t="str">
        <f ca="1">IF(FO$29=0,"",FR77)</f>
        <v/>
      </c>
      <c r="W77" s="581"/>
      <c r="X77" s="581"/>
      <c r="Y77" s="581"/>
      <c r="Z77" s="581"/>
      <c r="AA77" s="581"/>
      <c r="AB77" s="581"/>
      <c r="AC77" s="581"/>
      <c r="AD77" s="581"/>
      <c r="AE77" s="581"/>
      <c r="AF77" s="581"/>
      <c r="AG77" s="581"/>
      <c r="AH77" s="582"/>
      <c r="AI77" s="574"/>
      <c r="AJ77" s="575"/>
      <c r="AK77" s="575"/>
      <c r="AL77" s="575"/>
      <c r="AM77" s="575"/>
      <c r="AN77" s="575"/>
      <c r="AO77" s="575"/>
      <c r="AP77" s="575"/>
      <c r="AQ77" s="575"/>
      <c r="AR77" s="575"/>
      <c r="AS77" s="575"/>
      <c r="AT77" s="575"/>
      <c r="AU77" s="576"/>
      <c r="AV77" s="665" t="str">
        <f ca="1">IF(FO$29=0,"",FT77)</f>
        <v/>
      </c>
      <c r="AW77" s="581"/>
      <c r="AX77" s="581"/>
      <c r="AY77" s="581"/>
      <c r="AZ77" s="581"/>
      <c r="BA77" s="581"/>
      <c r="BB77" s="581"/>
      <c r="BC77" s="581"/>
      <c r="BD77" s="581"/>
      <c r="BE77" s="581"/>
      <c r="BF77" s="581"/>
      <c r="BG77" s="581"/>
      <c r="BH77" s="582"/>
      <c r="BI77" s="665" t="str">
        <f ca="1">IF(FO$29=0,"",FU77)</f>
        <v/>
      </c>
      <c r="BJ77" s="581"/>
      <c r="BK77" s="581"/>
      <c r="BL77" s="581"/>
      <c r="BM77" s="581"/>
      <c r="BN77" s="581"/>
      <c r="BO77" s="581"/>
      <c r="BP77" s="581"/>
      <c r="BQ77" s="581"/>
      <c r="BR77" s="581"/>
      <c r="BS77" s="581"/>
      <c r="BT77" s="581"/>
      <c r="BU77" s="582"/>
      <c r="BV77" s="574"/>
      <c r="BW77" s="575"/>
      <c r="BX77" s="575"/>
      <c r="BY77" s="575"/>
      <c r="BZ77" s="575"/>
      <c r="CA77" s="575"/>
      <c r="CB77" s="575"/>
      <c r="CC77" s="575"/>
      <c r="CD77" s="575"/>
      <c r="CE77" s="575"/>
      <c r="CF77" s="575"/>
      <c r="CG77" s="575"/>
      <c r="CH77" s="576"/>
      <c r="CI77" s="665" t="str">
        <f ca="1">IF(FO$29=0,"",FW77)</f>
        <v/>
      </c>
      <c r="CJ77" s="581"/>
      <c r="CK77" s="581"/>
      <c r="CL77" s="581"/>
      <c r="CM77" s="581"/>
      <c r="CN77" s="581"/>
      <c r="CO77" s="581"/>
      <c r="CP77" s="581"/>
      <c r="CQ77" s="581"/>
      <c r="CR77" s="581"/>
      <c r="CS77" s="581"/>
      <c r="CT77" s="581"/>
      <c r="CU77" s="582"/>
      <c r="CV77" s="665" t="str">
        <f ca="1">IF(FO$29=0,"",FZ77)</f>
        <v/>
      </c>
      <c r="CW77" s="581"/>
      <c r="CX77" s="581"/>
      <c r="CY77" s="581"/>
      <c r="CZ77" s="581"/>
      <c r="DA77" s="581"/>
      <c r="DB77" s="581"/>
      <c r="DC77" s="581"/>
      <c r="DD77" s="581"/>
      <c r="DE77" s="581"/>
      <c r="DF77" s="581"/>
      <c r="DG77" s="581"/>
      <c r="DH77" s="582"/>
      <c r="DI77" s="574"/>
      <c r="DJ77" s="575"/>
      <c r="DK77" s="575"/>
      <c r="DL77" s="575"/>
      <c r="DM77" s="575"/>
      <c r="DN77" s="575"/>
      <c r="DO77" s="575"/>
      <c r="DP77" s="575"/>
      <c r="DQ77" s="575"/>
      <c r="DR77" s="575"/>
      <c r="DS77" s="575"/>
      <c r="DT77" s="575"/>
      <c r="DU77" s="576"/>
      <c r="DV77" s="665" t="str">
        <f ca="1">IF(FO$29=0,"",GB77)</f>
        <v/>
      </c>
      <c r="DW77" s="581"/>
      <c r="DX77" s="581"/>
      <c r="DY77" s="581"/>
      <c r="DZ77" s="581"/>
      <c r="EA77" s="581"/>
      <c r="EB77" s="581"/>
      <c r="EC77" s="581"/>
      <c r="ED77" s="581"/>
      <c r="EE77" s="581"/>
      <c r="EF77" s="581"/>
      <c r="EG77" s="581"/>
      <c r="EH77" s="582"/>
      <c r="EI77" s="79"/>
      <c r="EJ77" s="79"/>
      <c r="EK77" s="688"/>
      <c r="EL77" s="688"/>
      <c r="EM77" s="688"/>
      <c r="EN77" s="688"/>
      <c r="EO77" s="688"/>
      <c r="EP77" s="688"/>
      <c r="EQ77" s="688"/>
      <c r="ER77" s="688"/>
      <c r="ES77" s="688"/>
      <c r="ET77" s="688"/>
      <c r="EU77" s="688"/>
      <c r="EV77" s="688"/>
      <c r="EW77" s="688"/>
      <c r="EX77" s="688"/>
      <c r="EY77" s="688"/>
      <c r="EZ77" s="688"/>
      <c r="FA77" s="688"/>
      <c r="FB77" s="688"/>
      <c r="FC77" s="688"/>
      <c r="FD77" s="688"/>
      <c r="FE77" s="688"/>
      <c r="FF77" s="688"/>
      <c r="FG77" s="688"/>
      <c r="FH77" s="688"/>
      <c r="FI77" s="688"/>
      <c r="FJ77" s="10"/>
      <c r="FK77" s="10"/>
      <c r="FL77" s="10"/>
      <c r="FM77" s="116"/>
      <c r="FN77" s="116"/>
      <c r="FO77" s="85"/>
      <c r="FP77" s="116"/>
      <c r="FQ77" s="592" t="e">
        <f ca="1">ROUND(GC36,0)</f>
        <v>#VALUE!</v>
      </c>
      <c r="FR77" s="592" t="e">
        <f ca="1">ROUND(-GH$40*FQ77^2+GI$40*FQ77,0)</f>
        <v>#VALUE!</v>
      </c>
      <c r="FS77" s="522"/>
      <c r="FT77" s="592" t="e">
        <f ca="1">ROUND(FR77/FQ77,0)</f>
        <v>#VALUE!</v>
      </c>
      <c r="FU77" s="592" t="e">
        <f ca="1">ROUND(GL40*FQ77^3+GM40*FQ77^2+GN40*FQ77^1+GO40,0)</f>
        <v>#VALUE!</v>
      </c>
      <c r="FV77" s="522"/>
      <c r="FW77" s="592" t="e">
        <f ca="1">ROUND(FU77/FQ77,0)</f>
        <v>#VALUE!</v>
      </c>
      <c r="FX77" s="592" t="e">
        <f ca="1">ROUND(GL40*FQ77^3+GM40*FQ77^2+GN40*FQ77^1,0)</f>
        <v>#VALUE!</v>
      </c>
      <c r="FY77" s="32" t="e">
        <f ca="1">ROUND(FX77/FQ77,0)</f>
        <v>#VALUE!</v>
      </c>
      <c r="FZ77" s="32" t="e">
        <f ca="1">FR77-FU77</f>
        <v>#VALUE!</v>
      </c>
      <c r="GA77" s="32"/>
      <c r="GB77" s="32" t="e">
        <f ca="1">ROUND(FZ77/FQ77,0)</f>
        <v>#VALUE!</v>
      </c>
      <c r="GC77" s="32"/>
      <c r="GD77" s="32"/>
      <c r="GE77" s="32"/>
      <c r="GF77" s="32"/>
      <c r="GG77" s="32"/>
      <c r="GH77" s="32"/>
      <c r="GI77" s="32"/>
      <c r="GJ77" s="32"/>
      <c r="GK77" s="32"/>
      <c r="GL77" s="32"/>
      <c r="GM77" s="49"/>
      <c r="GN77" s="49"/>
      <c r="GO77" s="49"/>
      <c r="GP77" s="49"/>
      <c r="GQ77" s="49"/>
      <c r="GR77" s="49"/>
      <c r="GS77" s="49"/>
      <c r="GT77" s="49"/>
      <c r="GU77" s="49"/>
      <c r="GV77" s="49"/>
      <c r="GW77" s="49"/>
      <c r="GX77" s="49"/>
      <c r="GY77" s="49"/>
      <c r="GZ77" s="49"/>
      <c r="HA77" s="49"/>
      <c r="HB77" s="49"/>
      <c r="HC77" s="49"/>
      <c r="HD77" s="49"/>
      <c r="HE77" s="49"/>
      <c r="HF77" s="49"/>
      <c r="HG77" s="49"/>
      <c r="HH77" s="49"/>
      <c r="HI77" s="49"/>
      <c r="HJ77" s="49"/>
      <c r="HK77" s="49"/>
      <c r="HL77" s="49"/>
      <c r="HM77" s="49"/>
      <c r="HN77" s="49"/>
    </row>
    <row r="78" spans="1:222" ht="7.5" customHeight="1" thickBot="1">
      <c r="A78" s="1"/>
      <c r="B78" s="3"/>
      <c r="C78" s="3"/>
      <c r="D78" s="12"/>
      <c r="E78" s="10"/>
      <c r="F78" s="10"/>
      <c r="G78" s="10"/>
      <c r="H78" s="10"/>
      <c r="I78" s="583"/>
      <c r="J78" s="584"/>
      <c r="K78" s="584"/>
      <c r="L78" s="584"/>
      <c r="M78" s="584"/>
      <c r="N78" s="584"/>
      <c r="O78" s="584"/>
      <c r="P78" s="584"/>
      <c r="Q78" s="584"/>
      <c r="R78" s="584"/>
      <c r="S78" s="584"/>
      <c r="T78" s="584"/>
      <c r="U78" s="585"/>
      <c r="V78" s="583"/>
      <c r="W78" s="584"/>
      <c r="X78" s="584"/>
      <c r="Y78" s="584"/>
      <c r="Z78" s="584"/>
      <c r="AA78" s="584"/>
      <c r="AB78" s="584"/>
      <c r="AC78" s="584"/>
      <c r="AD78" s="584"/>
      <c r="AE78" s="584"/>
      <c r="AF78" s="584"/>
      <c r="AG78" s="584"/>
      <c r="AH78" s="585"/>
      <c r="AI78" s="577"/>
      <c r="AJ78" s="578"/>
      <c r="AK78" s="578"/>
      <c r="AL78" s="578"/>
      <c r="AM78" s="578"/>
      <c r="AN78" s="578"/>
      <c r="AO78" s="578"/>
      <c r="AP78" s="578"/>
      <c r="AQ78" s="578"/>
      <c r="AR78" s="578"/>
      <c r="AS78" s="578"/>
      <c r="AT78" s="578"/>
      <c r="AU78" s="579"/>
      <c r="AV78" s="583"/>
      <c r="AW78" s="584"/>
      <c r="AX78" s="584"/>
      <c r="AY78" s="584"/>
      <c r="AZ78" s="584"/>
      <c r="BA78" s="584"/>
      <c r="BB78" s="584"/>
      <c r="BC78" s="584"/>
      <c r="BD78" s="584"/>
      <c r="BE78" s="584"/>
      <c r="BF78" s="584"/>
      <c r="BG78" s="584"/>
      <c r="BH78" s="585"/>
      <c r="BI78" s="583"/>
      <c r="BJ78" s="584"/>
      <c r="BK78" s="584"/>
      <c r="BL78" s="584"/>
      <c r="BM78" s="584"/>
      <c r="BN78" s="584"/>
      <c r="BO78" s="584"/>
      <c r="BP78" s="584"/>
      <c r="BQ78" s="584"/>
      <c r="BR78" s="584"/>
      <c r="BS78" s="584"/>
      <c r="BT78" s="584"/>
      <c r="BU78" s="585"/>
      <c r="BV78" s="577"/>
      <c r="BW78" s="578"/>
      <c r="BX78" s="578"/>
      <c r="BY78" s="578"/>
      <c r="BZ78" s="578"/>
      <c r="CA78" s="578"/>
      <c r="CB78" s="578"/>
      <c r="CC78" s="578"/>
      <c r="CD78" s="578"/>
      <c r="CE78" s="578"/>
      <c r="CF78" s="578"/>
      <c r="CG78" s="578"/>
      <c r="CH78" s="579"/>
      <c r="CI78" s="583"/>
      <c r="CJ78" s="584"/>
      <c r="CK78" s="584"/>
      <c r="CL78" s="584"/>
      <c r="CM78" s="584"/>
      <c r="CN78" s="584"/>
      <c r="CO78" s="584"/>
      <c r="CP78" s="584"/>
      <c r="CQ78" s="584"/>
      <c r="CR78" s="584"/>
      <c r="CS78" s="584"/>
      <c r="CT78" s="584"/>
      <c r="CU78" s="585"/>
      <c r="CV78" s="583"/>
      <c r="CW78" s="584"/>
      <c r="CX78" s="584"/>
      <c r="CY78" s="584"/>
      <c r="CZ78" s="584"/>
      <c r="DA78" s="584"/>
      <c r="DB78" s="584"/>
      <c r="DC78" s="584"/>
      <c r="DD78" s="584"/>
      <c r="DE78" s="584"/>
      <c r="DF78" s="584"/>
      <c r="DG78" s="584"/>
      <c r="DH78" s="585"/>
      <c r="DI78" s="577"/>
      <c r="DJ78" s="578"/>
      <c r="DK78" s="578"/>
      <c r="DL78" s="578"/>
      <c r="DM78" s="578"/>
      <c r="DN78" s="578"/>
      <c r="DO78" s="578"/>
      <c r="DP78" s="578"/>
      <c r="DQ78" s="578"/>
      <c r="DR78" s="578"/>
      <c r="DS78" s="578"/>
      <c r="DT78" s="578"/>
      <c r="DU78" s="579"/>
      <c r="DV78" s="583"/>
      <c r="DW78" s="584"/>
      <c r="DX78" s="584"/>
      <c r="DY78" s="584"/>
      <c r="DZ78" s="584"/>
      <c r="EA78" s="584"/>
      <c r="EB78" s="584"/>
      <c r="EC78" s="584"/>
      <c r="ED78" s="584"/>
      <c r="EE78" s="584"/>
      <c r="EF78" s="584"/>
      <c r="EG78" s="584"/>
      <c r="EH78" s="585"/>
      <c r="EI78" s="79"/>
      <c r="EJ78" s="79"/>
      <c r="EK78" s="688"/>
      <c r="EL78" s="688"/>
      <c r="EM78" s="688"/>
      <c r="EN78" s="688"/>
      <c r="EO78" s="688"/>
      <c r="EP78" s="688"/>
      <c r="EQ78" s="688"/>
      <c r="ER78" s="688"/>
      <c r="ES78" s="688"/>
      <c r="ET78" s="688"/>
      <c r="EU78" s="688"/>
      <c r="EV78" s="688"/>
      <c r="EW78" s="688"/>
      <c r="EX78" s="688"/>
      <c r="EY78" s="688"/>
      <c r="EZ78" s="688"/>
      <c r="FA78" s="688"/>
      <c r="FB78" s="688"/>
      <c r="FC78" s="688"/>
      <c r="FD78" s="688"/>
      <c r="FE78" s="688"/>
      <c r="FF78" s="688"/>
      <c r="FG78" s="688"/>
      <c r="FH78" s="688"/>
      <c r="FI78" s="688"/>
      <c r="FJ78" s="10"/>
      <c r="FK78" s="10"/>
      <c r="FL78" s="10"/>
      <c r="FM78" s="116"/>
      <c r="FN78" s="116"/>
      <c r="FO78" s="85"/>
      <c r="FP78" s="116"/>
      <c r="FQ78" s="522"/>
      <c r="FR78" s="592"/>
      <c r="FS78" s="522"/>
      <c r="FT78" s="522"/>
      <c r="FU78" s="522"/>
      <c r="FV78" s="522"/>
      <c r="FW78" s="522"/>
      <c r="FX78" s="522"/>
      <c r="FY78" s="32"/>
      <c r="FZ78" s="32"/>
      <c r="GA78" s="32"/>
      <c r="GB78" s="32"/>
      <c r="GC78" s="32"/>
      <c r="GD78" s="32"/>
      <c r="GE78" s="32"/>
      <c r="GF78" s="32"/>
      <c r="GG78" s="32"/>
      <c r="GH78" s="32"/>
      <c r="GI78" s="32"/>
      <c r="GJ78" s="32"/>
      <c r="GK78" s="32"/>
      <c r="GL78" s="32"/>
      <c r="GM78" s="49"/>
      <c r="GN78" s="49"/>
      <c r="GO78" s="49"/>
      <c r="GP78" s="49"/>
      <c r="GQ78" s="49"/>
      <c r="GR78" s="49"/>
      <c r="GS78" s="49"/>
      <c r="GT78" s="49"/>
      <c r="GU78" s="49"/>
      <c r="GV78" s="49"/>
      <c r="GW78" s="49"/>
      <c r="GX78" s="49"/>
      <c r="GY78" s="49"/>
      <c r="GZ78" s="49"/>
      <c r="HA78" s="49"/>
      <c r="HB78" s="49"/>
      <c r="HC78" s="49"/>
      <c r="HD78" s="49"/>
      <c r="HE78" s="49"/>
      <c r="HF78" s="49"/>
      <c r="HG78" s="49"/>
      <c r="HH78" s="49"/>
      <c r="HI78" s="49"/>
      <c r="HJ78" s="49"/>
      <c r="HK78" s="49"/>
      <c r="HL78" s="49"/>
      <c r="HM78" s="49"/>
      <c r="HN78" s="49"/>
    </row>
    <row r="79" spans="1:222" ht="11.25" customHeight="1" thickBot="1">
      <c r="A79" s="1"/>
      <c r="B79" s="3"/>
      <c r="C79" s="3"/>
      <c r="D79" s="12"/>
      <c r="E79" s="10"/>
      <c r="F79" s="10"/>
      <c r="G79" s="10"/>
      <c r="H79" s="10"/>
      <c r="I79" s="586"/>
      <c r="J79" s="587"/>
      <c r="K79" s="587"/>
      <c r="L79" s="587"/>
      <c r="M79" s="587"/>
      <c r="N79" s="587"/>
      <c r="O79" s="587"/>
      <c r="P79" s="587"/>
      <c r="Q79" s="587"/>
      <c r="R79" s="587"/>
      <c r="S79" s="587"/>
      <c r="T79" s="587"/>
      <c r="U79" s="588"/>
      <c r="V79" s="586"/>
      <c r="W79" s="587"/>
      <c r="X79" s="587"/>
      <c r="Y79" s="587"/>
      <c r="Z79" s="587"/>
      <c r="AA79" s="587"/>
      <c r="AB79" s="587"/>
      <c r="AC79" s="587"/>
      <c r="AD79" s="587"/>
      <c r="AE79" s="587"/>
      <c r="AF79" s="587"/>
      <c r="AG79" s="587"/>
      <c r="AH79" s="588"/>
      <c r="AI79" s="565" t="str">
        <f ca="1">IF(FO$29=0,"",FS79)</f>
        <v/>
      </c>
      <c r="AJ79" s="566"/>
      <c r="AK79" s="566"/>
      <c r="AL79" s="566"/>
      <c r="AM79" s="566"/>
      <c r="AN79" s="566"/>
      <c r="AO79" s="566"/>
      <c r="AP79" s="566"/>
      <c r="AQ79" s="566"/>
      <c r="AR79" s="566"/>
      <c r="AS79" s="566"/>
      <c r="AT79" s="566"/>
      <c r="AU79" s="567"/>
      <c r="AV79" s="586"/>
      <c r="AW79" s="587"/>
      <c r="AX79" s="587"/>
      <c r="AY79" s="587"/>
      <c r="AZ79" s="587"/>
      <c r="BA79" s="587"/>
      <c r="BB79" s="587"/>
      <c r="BC79" s="587"/>
      <c r="BD79" s="587"/>
      <c r="BE79" s="587"/>
      <c r="BF79" s="587"/>
      <c r="BG79" s="587"/>
      <c r="BH79" s="588"/>
      <c r="BI79" s="586"/>
      <c r="BJ79" s="587"/>
      <c r="BK79" s="587"/>
      <c r="BL79" s="587"/>
      <c r="BM79" s="587"/>
      <c r="BN79" s="587"/>
      <c r="BO79" s="587"/>
      <c r="BP79" s="587"/>
      <c r="BQ79" s="587"/>
      <c r="BR79" s="587"/>
      <c r="BS79" s="587"/>
      <c r="BT79" s="587"/>
      <c r="BU79" s="588"/>
      <c r="BV79" s="565" t="str">
        <f ca="1">IF(FO$29=0,"",FV79)</f>
        <v/>
      </c>
      <c r="BW79" s="566"/>
      <c r="BX79" s="566"/>
      <c r="BY79" s="566"/>
      <c r="BZ79" s="566"/>
      <c r="CA79" s="566"/>
      <c r="CB79" s="566"/>
      <c r="CC79" s="566"/>
      <c r="CD79" s="566"/>
      <c r="CE79" s="566"/>
      <c r="CF79" s="566"/>
      <c r="CG79" s="566"/>
      <c r="CH79" s="567"/>
      <c r="CI79" s="586"/>
      <c r="CJ79" s="587"/>
      <c r="CK79" s="587"/>
      <c r="CL79" s="587"/>
      <c r="CM79" s="587"/>
      <c r="CN79" s="587"/>
      <c r="CO79" s="587"/>
      <c r="CP79" s="587"/>
      <c r="CQ79" s="587"/>
      <c r="CR79" s="587"/>
      <c r="CS79" s="587"/>
      <c r="CT79" s="587"/>
      <c r="CU79" s="588"/>
      <c r="CV79" s="586"/>
      <c r="CW79" s="587"/>
      <c r="CX79" s="587"/>
      <c r="CY79" s="587"/>
      <c r="CZ79" s="587"/>
      <c r="DA79" s="587"/>
      <c r="DB79" s="587"/>
      <c r="DC79" s="587"/>
      <c r="DD79" s="587"/>
      <c r="DE79" s="587"/>
      <c r="DF79" s="587"/>
      <c r="DG79" s="587"/>
      <c r="DH79" s="588"/>
      <c r="DI79" s="565" t="str">
        <f ca="1">IF(FO$29=0,"",GA79)</f>
        <v/>
      </c>
      <c r="DJ79" s="566"/>
      <c r="DK79" s="566"/>
      <c r="DL79" s="566"/>
      <c r="DM79" s="566"/>
      <c r="DN79" s="566"/>
      <c r="DO79" s="566"/>
      <c r="DP79" s="566"/>
      <c r="DQ79" s="566"/>
      <c r="DR79" s="566"/>
      <c r="DS79" s="566"/>
      <c r="DT79" s="566"/>
      <c r="DU79" s="567"/>
      <c r="DV79" s="586"/>
      <c r="DW79" s="587"/>
      <c r="DX79" s="587"/>
      <c r="DY79" s="587"/>
      <c r="DZ79" s="587"/>
      <c r="EA79" s="587"/>
      <c r="EB79" s="587"/>
      <c r="EC79" s="587"/>
      <c r="ED79" s="587"/>
      <c r="EE79" s="587"/>
      <c r="EF79" s="587"/>
      <c r="EG79" s="587"/>
      <c r="EH79" s="588"/>
      <c r="EI79" s="79"/>
      <c r="EJ79" s="79"/>
      <c r="EK79" s="688"/>
      <c r="EL79" s="688"/>
      <c r="EM79" s="688"/>
      <c r="EN79" s="688"/>
      <c r="EO79" s="688"/>
      <c r="EP79" s="688"/>
      <c r="EQ79" s="688"/>
      <c r="ER79" s="688"/>
      <c r="ES79" s="688"/>
      <c r="ET79" s="688"/>
      <c r="EU79" s="688"/>
      <c r="EV79" s="688"/>
      <c r="EW79" s="688"/>
      <c r="EX79" s="688"/>
      <c r="EY79" s="688"/>
      <c r="EZ79" s="688"/>
      <c r="FA79" s="688"/>
      <c r="FB79" s="688"/>
      <c r="FC79" s="688"/>
      <c r="FD79" s="688"/>
      <c r="FE79" s="688"/>
      <c r="FF79" s="688"/>
      <c r="FG79" s="688"/>
      <c r="FH79" s="688"/>
      <c r="FI79" s="688"/>
      <c r="FJ79" s="10"/>
      <c r="FK79" s="10"/>
      <c r="FL79" s="10"/>
      <c r="FM79" s="116"/>
      <c r="FN79" s="116"/>
      <c r="FO79" s="245" t="e">
        <f ca="1">IF(AND(BI80&gt;FU80-0.001,BI80&lt;FU80+0.001),1,IF(AND(BI80&gt;ROUND(FW80*FQ80,0)-0.001,BI80&lt;ROUND(FW80*FQ80,0)+0.001),1,IF(AND(BI80&gt;ROUND(FU77+FV79*(FQ80-FQ77),0)-0.001,BI80&gt;ROUND(FU77+FV79*(FQ80-FQ77),0)+0.001),1,IF(AND(BI80&gt;ROUND(FU83+FV82*(FQ80-FQ83),0)-0.001,BI80&gt;ROUND(FU83+FV82*(FQ80-FQ83),0)+0.001),1,0))))</f>
        <v>#VALUE!</v>
      </c>
      <c r="FP79" s="206"/>
      <c r="FQ79" s="522"/>
      <c r="FR79" s="592"/>
      <c r="FS79" s="592" t="e">
        <f ca="1">ROUND((FR80-FR77)/(FQ80-FQ77),0)</f>
        <v>#VALUE!</v>
      </c>
      <c r="FT79" s="522"/>
      <c r="FU79" s="522"/>
      <c r="FV79" s="592" t="e">
        <f ca="1">ROUND((FU80-FU77)/(FQ80-FQ77),0)</f>
        <v>#VALUE!</v>
      </c>
      <c r="FW79" s="522"/>
      <c r="FX79" s="522"/>
      <c r="FY79" s="32"/>
      <c r="FZ79" s="32"/>
      <c r="GA79" s="32" t="e">
        <f ca="1">ROUND((FZ80-FZ77)/(FQ80-FQ77),0)</f>
        <v>#VALUE!</v>
      </c>
      <c r="GB79" s="32"/>
      <c r="GC79" s="32"/>
      <c r="GD79" s="32"/>
      <c r="GE79" s="32"/>
      <c r="GF79" s="32"/>
      <c r="GG79" s="32"/>
      <c r="GH79" s="32"/>
      <c r="GI79" s="32"/>
      <c r="GJ79" s="32"/>
      <c r="GK79" s="32"/>
      <c r="GL79" s="32"/>
      <c r="GM79" s="49"/>
      <c r="GN79" s="49"/>
      <c r="GO79" s="49"/>
      <c r="GP79" s="49"/>
      <c r="GQ79" s="49"/>
      <c r="GR79" s="49"/>
      <c r="GS79" s="49"/>
      <c r="GT79" s="49"/>
      <c r="GU79" s="49"/>
      <c r="GV79" s="49"/>
      <c r="GW79" s="49"/>
      <c r="GX79" s="49"/>
      <c r="GY79" s="49"/>
      <c r="GZ79" s="49"/>
      <c r="HA79" s="49"/>
      <c r="HB79" s="49"/>
      <c r="HC79" s="49"/>
      <c r="HD79" s="49"/>
      <c r="HE79" s="49"/>
      <c r="HF79" s="49"/>
      <c r="HG79" s="49"/>
      <c r="HH79" s="49"/>
      <c r="HI79" s="49"/>
      <c r="HJ79" s="49"/>
      <c r="HK79" s="49"/>
      <c r="HL79" s="49"/>
      <c r="HM79" s="49"/>
      <c r="HN79" s="49"/>
    </row>
    <row r="80" spans="1:222" ht="3.75" customHeight="1">
      <c r="A80" s="1"/>
      <c r="B80" s="3"/>
      <c r="C80" s="3"/>
      <c r="D80" s="12"/>
      <c r="E80" s="10"/>
      <c r="F80" s="10"/>
      <c r="G80" s="10"/>
      <c r="H80" s="10"/>
      <c r="I80" s="665" t="str">
        <f ca="1">IF(FO$29=0,"",FQ80)</f>
        <v/>
      </c>
      <c r="J80" s="581"/>
      <c r="K80" s="581"/>
      <c r="L80" s="581"/>
      <c r="M80" s="581"/>
      <c r="N80" s="581"/>
      <c r="O80" s="581"/>
      <c r="P80" s="581"/>
      <c r="Q80" s="581"/>
      <c r="R80" s="581"/>
      <c r="S80" s="581"/>
      <c r="T80" s="581"/>
      <c r="U80" s="582"/>
      <c r="V80" s="571"/>
      <c r="W80" s="572"/>
      <c r="X80" s="572"/>
      <c r="Y80" s="572"/>
      <c r="Z80" s="572"/>
      <c r="AA80" s="572"/>
      <c r="AB80" s="572"/>
      <c r="AC80" s="572"/>
      <c r="AD80" s="572"/>
      <c r="AE80" s="572"/>
      <c r="AF80" s="572"/>
      <c r="AG80" s="572"/>
      <c r="AH80" s="573"/>
      <c r="AI80" s="589"/>
      <c r="AJ80" s="687"/>
      <c r="AK80" s="687"/>
      <c r="AL80" s="687"/>
      <c r="AM80" s="687"/>
      <c r="AN80" s="687"/>
      <c r="AO80" s="687"/>
      <c r="AP80" s="687"/>
      <c r="AQ80" s="687"/>
      <c r="AR80" s="687"/>
      <c r="AS80" s="687"/>
      <c r="AT80" s="687"/>
      <c r="AU80" s="591"/>
      <c r="AV80" s="665" t="str">
        <f ca="1">IF(FO$29=0,"",FT80)</f>
        <v/>
      </c>
      <c r="AW80" s="581"/>
      <c r="AX80" s="581"/>
      <c r="AY80" s="581"/>
      <c r="AZ80" s="581"/>
      <c r="BA80" s="581"/>
      <c r="BB80" s="581"/>
      <c r="BC80" s="581"/>
      <c r="BD80" s="581"/>
      <c r="BE80" s="581"/>
      <c r="BF80" s="581"/>
      <c r="BG80" s="581"/>
      <c r="BH80" s="582"/>
      <c r="BI80" s="571"/>
      <c r="BJ80" s="572"/>
      <c r="BK80" s="572"/>
      <c r="BL80" s="572"/>
      <c r="BM80" s="572"/>
      <c r="BN80" s="572"/>
      <c r="BO80" s="572"/>
      <c r="BP80" s="572"/>
      <c r="BQ80" s="572"/>
      <c r="BR80" s="572"/>
      <c r="BS80" s="572"/>
      <c r="BT80" s="572"/>
      <c r="BU80" s="573"/>
      <c r="BV80" s="589"/>
      <c r="BW80" s="687"/>
      <c r="BX80" s="687"/>
      <c r="BY80" s="687"/>
      <c r="BZ80" s="687"/>
      <c r="CA80" s="687"/>
      <c r="CB80" s="687"/>
      <c r="CC80" s="687"/>
      <c r="CD80" s="687"/>
      <c r="CE80" s="687"/>
      <c r="CF80" s="687"/>
      <c r="CG80" s="687"/>
      <c r="CH80" s="591"/>
      <c r="CI80" s="665" t="str">
        <f ca="1">IF(FO$29=0,"",FW80)</f>
        <v/>
      </c>
      <c r="CJ80" s="581"/>
      <c r="CK80" s="581"/>
      <c r="CL80" s="581"/>
      <c r="CM80" s="581"/>
      <c r="CN80" s="581"/>
      <c r="CO80" s="581"/>
      <c r="CP80" s="581"/>
      <c r="CQ80" s="581"/>
      <c r="CR80" s="581"/>
      <c r="CS80" s="581"/>
      <c r="CT80" s="581"/>
      <c r="CU80" s="582"/>
      <c r="CV80" s="571"/>
      <c r="CW80" s="572"/>
      <c r="CX80" s="572"/>
      <c r="CY80" s="572"/>
      <c r="CZ80" s="572"/>
      <c r="DA80" s="572"/>
      <c r="DB80" s="572"/>
      <c r="DC80" s="572"/>
      <c r="DD80" s="572"/>
      <c r="DE80" s="572"/>
      <c r="DF80" s="572"/>
      <c r="DG80" s="572"/>
      <c r="DH80" s="573"/>
      <c r="DI80" s="589"/>
      <c r="DJ80" s="687"/>
      <c r="DK80" s="687"/>
      <c r="DL80" s="687"/>
      <c r="DM80" s="687"/>
      <c r="DN80" s="687"/>
      <c r="DO80" s="687"/>
      <c r="DP80" s="687"/>
      <c r="DQ80" s="687"/>
      <c r="DR80" s="687"/>
      <c r="DS80" s="687"/>
      <c r="DT80" s="687"/>
      <c r="DU80" s="591"/>
      <c r="DV80" s="665" t="str">
        <f ca="1">IF(FO$29=0,"",GB80)</f>
        <v/>
      </c>
      <c r="DW80" s="581"/>
      <c r="DX80" s="581"/>
      <c r="DY80" s="581"/>
      <c r="DZ80" s="581"/>
      <c r="EA80" s="581"/>
      <c r="EB80" s="581"/>
      <c r="EC80" s="581"/>
      <c r="ED80" s="581"/>
      <c r="EE80" s="581"/>
      <c r="EF80" s="581"/>
      <c r="EG80" s="581"/>
      <c r="EH80" s="582"/>
      <c r="EI80" s="79"/>
      <c r="EJ80" s="79"/>
      <c r="EK80" s="688"/>
      <c r="EL80" s="688"/>
      <c r="EM80" s="688"/>
      <c r="EN80" s="688"/>
      <c r="EO80" s="688"/>
      <c r="EP80" s="688"/>
      <c r="EQ80" s="688"/>
      <c r="ER80" s="688"/>
      <c r="ES80" s="688"/>
      <c r="ET80" s="688"/>
      <c r="EU80" s="688"/>
      <c r="EV80" s="688"/>
      <c r="EW80" s="688"/>
      <c r="EX80" s="688"/>
      <c r="EY80" s="688"/>
      <c r="EZ80" s="688"/>
      <c r="FA80" s="688"/>
      <c r="FB80" s="688"/>
      <c r="FC80" s="688"/>
      <c r="FD80" s="688"/>
      <c r="FE80" s="688"/>
      <c r="FF80" s="688"/>
      <c r="FG80" s="688"/>
      <c r="FH80" s="688"/>
      <c r="FI80" s="688"/>
      <c r="FJ80" s="10"/>
      <c r="FK80" s="10"/>
      <c r="FL80" s="10"/>
      <c r="FM80" s="116"/>
      <c r="FN80" s="116"/>
      <c r="FO80" s="85"/>
      <c r="FP80" s="116"/>
      <c r="FQ80" s="592" t="e">
        <f ca="1">ROUND(GC37,0)</f>
        <v>#VALUE!</v>
      </c>
      <c r="FR80" s="592" t="e">
        <f ca="1">IF(FO1=0,"",ROUND(-GH$40*FQ80^2+GI$40*FQ80,0))</f>
        <v>#VALUE!</v>
      </c>
      <c r="FS80" s="522"/>
      <c r="FT80" s="592" t="e">
        <f ca="1">ROUND(FR80/FQ80,0)</f>
        <v>#VALUE!</v>
      </c>
      <c r="FU80" s="592" t="e">
        <f ca="1">IF(FO1=0,"",ROUND(GL40*FQ80^3+GM40*FQ80^2+GN40*FQ80^1+GO40,0))</f>
        <v>#VALUE!</v>
      </c>
      <c r="FV80" s="522"/>
      <c r="FW80" s="592" t="e">
        <f ca="1">ROUND(FU80/FQ80,0)</f>
        <v>#VALUE!</v>
      </c>
      <c r="FX80" s="592" t="e">
        <f ca="1">ROUND(GL40*FQ80^3+GM40*FQ80^2+GN40*FQ80^1,0)</f>
        <v>#VALUE!</v>
      </c>
      <c r="FY80" s="32" t="e">
        <f ca="1">ROUND(FX80/FQ80,0)</f>
        <v>#VALUE!</v>
      </c>
      <c r="FZ80" s="32" t="e">
        <f ca="1">IF(FO1=0,"",FR80-FU80)</f>
        <v>#VALUE!</v>
      </c>
      <c r="GA80" s="32"/>
      <c r="GB80" s="32" t="e">
        <f ca="1">ROUND(FZ80/FQ80,0)</f>
        <v>#VALUE!</v>
      </c>
      <c r="GC80" s="32"/>
      <c r="GD80" s="32"/>
      <c r="GE80" s="32"/>
      <c r="GF80" s="32"/>
      <c r="GG80" s="32"/>
      <c r="GH80" s="32"/>
      <c r="GI80" s="32"/>
      <c r="GJ80" s="32"/>
      <c r="GK80" s="32"/>
      <c r="GL80" s="32"/>
      <c r="GM80" s="49"/>
      <c r="GN80" s="49"/>
      <c r="GO80" s="49"/>
      <c r="GP80" s="49"/>
      <c r="GQ80" s="49"/>
      <c r="GR80" s="49"/>
      <c r="GS80" s="49"/>
      <c r="GT80" s="49"/>
      <c r="GU80" s="49"/>
      <c r="GV80" s="49"/>
      <c r="GW80" s="49"/>
      <c r="GX80" s="49"/>
      <c r="GY80" s="49"/>
      <c r="GZ80" s="49"/>
      <c r="HA80" s="49"/>
      <c r="HB80" s="49"/>
      <c r="HC80" s="49"/>
      <c r="HD80" s="49"/>
      <c r="HE80" s="49"/>
      <c r="HF80" s="49"/>
      <c r="HG80" s="49"/>
      <c r="HH80" s="49"/>
      <c r="HI80" s="49"/>
      <c r="HJ80" s="49"/>
      <c r="HK80" s="49"/>
      <c r="HL80" s="49"/>
      <c r="HM80" s="49"/>
      <c r="HN80" s="49"/>
    </row>
    <row r="81" spans="1:222" ht="7.5" customHeight="1" thickBot="1">
      <c r="A81" s="1"/>
      <c r="B81" s="3"/>
      <c r="C81" s="3"/>
      <c r="D81" s="12"/>
      <c r="E81" s="10"/>
      <c r="F81" s="10"/>
      <c r="G81" s="10"/>
      <c r="H81" s="10"/>
      <c r="I81" s="583"/>
      <c r="J81" s="584"/>
      <c r="K81" s="584"/>
      <c r="L81" s="584"/>
      <c r="M81" s="584"/>
      <c r="N81" s="584"/>
      <c r="O81" s="584"/>
      <c r="P81" s="584"/>
      <c r="Q81" s="584"/>
      <c r="R81" s="584"/>
      <c r="S81" s="584"/>
      <c r="T81" s="584"/>
      <c r="U81" s="585"/>
      <c r="V81" s="574"/>
      <c r="W81" s="575"/>
      <c r="X81" s="575"/>
      <c r="Y81" s="575"/>
      <c r="Z81" s="575"/>
      <c r="AA81" s="575"/>
      <c r="AB81" s="575"/>
      <c r="AC81" s="575"/>
      <c r="AD81" s="575"/>
      <c r="AE81" s="575"/>
      <c r="AF81" s="575"/>
      <c r="AG81" s="575"/>
      <c r="AH81" s="576"/>
      <c r="AI81" s="568"/>
      <c r="AJ81" s="569"/>
      <c r="AK81" s="569"/>
      <c r="AL81" s="569"/>
      <c r="AM81" s="569"/>
      <c r="AN81" s="569"/>
      <c r="AO81" s="569"/>
      <c r="AP81" s="569"/>
      <c r="AQ81" s="569"/>
      <c r="AR81" s="569"/>
      <c r="AS81" s="569"/>
      <c r="AT81" s="569"/>
      <c r="AU81" s="570"/>
      <c r="AV81" s="583"/>
      <c r="AW81" s="584"/>
      <c r="AX81" s="584"/>
      <c r="AY81" s="584"/>
      <c r="AZ81" s="584"/>
      <c r="BA81" s="584"/>
      <c r="BB81" s="584"/>
      <c r="BC81" s="584"/>
      <c r="BD81" s="584"/>
      <c r="BE81" s="584"/>
      <c r="BF81" s="584"/>
      <c r="BG81" s="584"/>
      <c r="BH81" s="585"/>
      <c r="BI81" s="574"/>
      <c r="BJ81" s="575"/>
      <c r="BK81" s="575"/>
      <c r="BL81" s="575"/>
      <c r="BM81" s="575"/>
      <c r="BN81" s="575"/>
      <c r="BO81" s="575"/>
      <c r="BP81" s="575"/>
      <c r="BQ81" s="575"/>
      <c r="BR81" s="575"/>
      <c r="BS81" s="575"/>
      <c r="BT81" s="575"/>
      <c r="BU81" s="576"/>
      <c r="BV81" s="568"/>
      <c r="BW81" s="569"/>
      <c r="BX81" s="569"/>
      <c r="BY81" s="569"/>
      <c r="BZ81" s="569"/>
      <c r="CA81" s="569"/>
      <c r="CB81" s="569"/>
      <c r="CC81" s="569"/>
      <c r="CD81" s="569"/>
      <c r="CE81" s="569"/>
      <c r="CF81" s="569"/>
      <c r="CG81" s="569"/>
      <c r="CH81" s="570"/>
      <c r="CI81" s="583"/>
      <c r="CJ81" s="584"/>
      <c r="CK81" s="584"/>
      <c r="CL81" s="584"/>
      <c r="CM81" s="584"/>
      <c r="CN81" s="584"/>
      <c r="CO81" s="584"/>
      <c r="CP81" s="584"/>
      <c r="CQ81" s="584"/>
      <c r="CR81" s="584"/>
      <c r="CS81" s="584"/>
      <c r="CT81" s="584"/>
      <c r="CU81" s="585"/>
      <c r="CV81" s="574"/>
      <c r="CW81" s="575"/>
      <c r="CX81" s="575"/>
      <c r="CY81" s="575"/>
      <c r="CZ81" s="575"/>
      <c r="DA81" s="575"/>
      <c r="DB81" s="575"/>
      <c r="DC81" s="575"/>
      <c r="DD81" s="575"/>
      <c r="DE81" s="575"/>
      <c r="DF81" s="575"/>
      <c r="DG81" s="575"/>
      <c r="DH81" s="576"/>
      <c r="DI81" s="568"/>
      <c r="DJ81" s="569"/>
      <c r="DK81" s="569"/>
      <c r="DL81" s="569"/>
      <c r="DM81" s="569"/>
      <c r="DN81" s="569"/>
      <c r="DO81" s="569"/>
      <c r="DP81" s="569"/>
      <c r="DQ81" s="569"/>
      <c r="DR81" s="569"/>
      <c r="DS81" s="569"/>
      <c r="DT81" s="569"/>
      <c r="DU81" s="570"/>
      <c r="DV81" s="583"/>
      <c r="DW81" s="584"/>
      <c r="DX81" s="584"/>
      <c r="DY81" s="584"/>
      <c r="DZ81" s="584"/>
      <c r="EA81" s="584"/>
      <c r="EB81" s="584"/>
      <c r="EC81" s="584"/>
      <c r="ED81" s="584"/>
      <c r="EE81" s="584"/>
      <c r="EF81" s="584"/>
      <c r="EG81" s="584"/>
      <c r="EH81" s="585"/>
      <c r="EI81" s="79"/>
      <c r="EJ81" s="79"/>
      <c r="EK81" s="692" t="str">
        <f ca="1">IF(FO29=0,"",IF(OR(V80="",AI76="",AV71="",BI80="",BV76="",CI71="",CV80="",DI76="",DV71=""),"",IF(AND(programma!$A$301="uitwerking",$B98="X"),"",IF(FO98=1,"Je hebt alles goed!",IF(FO67=0,"Verbeter TO.",IF(FO70=0,"Verbeter MO.",IF(FO73=0,"Verbeter GO.",FN88)))))))</f>
        <v/>
      </c>
      <c r="EL81" s="692"/>
      <c r="EM81" s="692"/>
      <c r="EN81" s="692"/>
      <c r="EO81" s="692"/>
      <c r="EP81" s="692"/>
      <c r="EQ81" s="692"/>
      <c r="ER81" s="692"/>
      <c r="ES81" s="692"/>
      <c r="ET81" s="692"/>
      <c r="EU81" s="692"/>
      <c r="EV81" s="692"/>
      <c r="EW81" s="692"/>
      <c r="EX81" s="692"/>
      <c r="EY81" s="692"/>
      <c r="EZ81" s="692"/>
      <c r="FA81" s="692"/>
      <c r="FB81" s="692"/>
      <c r="FC81" s="692"/>
      <c r="FD81" s="692"/>
      <c r="FE81" s="692"/>
      <c r="FF81" s="692"/>
      <c r="FG81" s="692"/>
      <c r="FH81" s="692"/>
      <c r="FI81" s="692"/>
      <c r="FJ81" s="10"/>
      <c r="FK81" s="10"/>
      <c r="FL81" s="10"/>
      <c r="FM81" s="116"/>
      <c r="FN81" s="116"/>
      <c r="FO81" s="85"/>
      <c r="FP81" s="116"/>
      <c r="FQ81" s="522"/>
      <c r="FR81" s="592"/>
      <c r="FS81" s="522"/>
      <c r="FT81" s="522"/>
      <c r="FU81" s="522"/>
      <c r="FV81" s="522"/>
      <c r="FW81" s="522"/>
      <c r="FX81" s="522"/>
      <c r="FY81" s="32"/>
      <c r="FZ81" s="32"/>
      <c r="GA81" s="32"/>
      <c r="GB81" s="32"/>
      <c r="GC81" s="32"/>
      <c r="GD81" s="32"/>
      <c r="GE81" s="32"/>
      <c r="GF81" s="32"/>
      <c r="GG81" s="32"/>
      <c r="GH81" s="32"/>
      <c r="GI81" s="32"/>
      <c r="GJ81" s="32"/>
      <c r="GK81" s="32"/>
      <c r="GL81" s="32"/>
      <c r="GM81" s="49"/>
      <c r="GN81" s="49"/>
      <c r="GO81" s="49"/>
      <c r="GP81" s="49"/>
      <c r="GQ81" s="49"/>
      <c r="GR81" s="49"/>
      <c r="GS81" s="49"/>
      <c r="GT81" s="49"/>
      <c r="GU81" s="49"/>
      <c r="GV81" s="49"/>
      <c r="GW81" s="49"/>
      <c r="GX81" s="49"/>
      <c r="GY81" s="49"/>
      <c r="GZ81" s="49"/>
      <c r="HA81" s="49"/>
      <c r="HB81" s="49"/>
      <c r="HC81" s="49"/>
      <c r="HD81" s="49"/>
      <c r="HE81" s="49"/>
      <c r="HF81" s="49"/>
      <c r="HG81" s="49"/>
      <c r="HH81" s="49"/>
      <c r="HI81" s="49"/>
      <c r="HJ81" s="49"/>
      <c r="HK81" s="49"/>
      <c r="HL81" s="49"/>
      <c r="HM81" s="49"/>
      <c r="HN81" s="49"/>
    </row>
    <row r="82" spans="1:222" ht="11.25" customHeight="1" thickBot="1">
      <c r="A82" s="1"/>
      <c r="B82" s="3"/>
      <c r="C82" s="3"/>
      <c r="D82" s="12"/>
      <c r="E82" s="10"/>
      <c r="F82" s="10"/>
      <c r="G82" s="10"/>
      <c r="H82" s="10"/>
      <c r="I82" s="586"/>
      <c r="J82" s="587"/>
      <c r="K82" s="587"/>
      <c r="L82" s="587"/>
      <c r="M82" s="587"/>
      <c r="N82" s="587"/>
      <c r="O82" s="587"/>
      <c r="P82" s="587"/>
      <c r="Q82" s="587"/>
      <c r="R82" s="587"/>
      <c r="S82" s="587"/>
      <c r="T82" s="587"/>
      <c r="U82" s="588"/>
      <c r="V82" s="577"/>
      <c r="W82" s="578"/>
      <c r="X82" s="578"/>
      <c r="Y82" s="578"/>
      <c r="Z82" s="578"/>
      <c r="AA82" s="578"/>
      <c r="AB82" s="578"/>
      <c r="AC82" s="578"/>
      <c r="AD82" s="578"/>
      <c r="AE82" s="578"/>
      <c r="AF82" s="578"/>
      <c r="AG82" s="578"/>
      <c r="AH82" s="579"/>
      <c r="AI82" s="565" t="str">
        <f ca="1">IF(FO$29=0,"",FS82)</f>
        <v/>
      </c>
      <c r="AJ82" s="566"/>
      <c r="AK82" s="566"/>
      <c r="AL82" s="566"/>
      <c r="AM82" s="566"/>
      <c r="AN82" s="566"/>
      <c r="AO82" s="566"/>
      <c r="AP82" s="566"/>
      <c r="AQ82" s="566"/>
      <c r="AR82" s="566"/>
      <c r="AS82" s="566"/>
      <c r="AT82" s="566"/>
      <c r="AU82" s="567"/>
      <c r="AV82" s="586"/>
      <c r="AW82" s="587"/>
      <c r="AX82" s="587"/>
      <c r="AY82" s="587"/>
      <c r="AZ82" s="587"/>
      <c r="BA82" s="587"/>
      <c r="BB82" s="587"/>
      <c r="BC82" s="587"/>
      <c r="BD82" s="587"/>
      <c r="BE82" s="587"/>
      <c r="BF82" s="587"/>
      <c r="BG82" s="587"/>
      <c r="BH82" s="588"/>
      <c r="BI82" s="577"/>
      <c r="BJ82" s="578"/>
      <c r="BK82" s="578"/>
      <c r="BL82" s="578"/>
      <c r="BM82" s="578"/>
      <c r="BN82" s="578"/>
      <c r="BO82" s="578"/>
      <c r="BP82" s="578"/>
      <c r="BQ82" s="578"/>
      <c r="BR82" s="578"/>
      <c r="BS82" s="578"/>
      <c r="BT82" s="578"/>
      <c r="BU82" s="579"/>
      <c r="BV82" s="565" t="str">
        <f ca="1">IF(FO$29=0,"",FV82)</f>
        <v/>
      </c>
      <c r="BW82" s="566"/>
      <c r="BX82" s="566"/>
      <c r="BY82" s="566"/>
      <c r="BZ82" s="566"/>
      <c r="CA82" s="566"/>
      <c r="CB82" s="566"/>
      <c r="CC82" s="566"/>
      <c r="CD82" s="566"/>
      <c r="CE82" s="566"/>
      <c r="CF82" s="566"/>
      <c r="CG82" s="566"/>
      <c r="CH82" s="567"/>
      <c r="CI82" s="586"/>
      <c r="CJ82" s="587"/>
      <c r="CK82" s="587"/>
      <c r="CL82" s="587"/>
      <c r="CM82" s="587"/>
      <c r="CN82" s="587"/>
      <c r="CO82" s="587"/>
      <c r="CP82" s="587"/>
      <c r="CQ82" s="587"/>
      <c r="CR82" s="587"/>
      <c r="CS82" s="587"/>
      <c r="CT82" s="587"/>
      <c r="CU82" s="588"/>
      <c r="CV82" s="577"/>
      <c r="CW82" s="578"/>
      <c r="CX82" s="578"/>
      <c r="CY82" s="578"/>
      <c r="CZ82" s="578"/>
      <c r="DA82" s="578"/>
      <c r="DB82" s="578"/>
      <c r="DC82" s="578"/>
      <c r="DD82" s="578"/>
      <c r="DE82" s="578"/>
      <c r="DF82" s="578"/>
      <c r="DG82" s="578"/>
      <c r="DH82" s="579"/>
      <c r="DI82" s="565" t="str">
        <f ca="1">IF(FO$29=0,"",GA82)</f>
        <v/>
      </c>
      <c r="DJ82" s="566"/>
      <c r="DK82" s="566"/>
      <c r="DL82" s="566"/>
      <c r="DM82" s="566"/>
      <c r="DN82" s="566"/>
      <c r="DO82" s="566"/>
      <c r="DP82" s="566"/>
      <c r="DQ82" s="566"/>
      <c r="DR82" s="566"/>
      <c r="DS82" s="566"/>
      <c r="DT82" s="566"/>
      <c r="DU82" s="567"/>
      <c r="DV82" s="586"/>
      <c r="DW82" s="587"/>
      <c r="DX82" s="587"/>
      <c r="DY82" s="587"/>
      <c r="DZ82" s="587"/>
      <c r="EA82" s="587"/>
      <c r="EB82" s="587"/>
      <c r="EC82" s="587"/>
      <c r="ED82" s="587"/>
      <c r="EE82" s="587"/>
      <c r="EF82" s="587"/>
      <c r="EG82" s="587"/>
      <c r="EH82" s="588"/>
      <c r="EI82" s="79"/>
      <c r="EJ82" s="79"/>
      <c r="EK82" s="692"/>
      <c r="EL82" s="692"/>
      <c r="EM82" s="692"/>
      <c r="EN82" s="692"/>
      <c r="EO82" s="692"/>
      <c r="EP82" s="692"/>
      <c r="EQ82" s="692"/>
      <c r="ER82" s="692"/>
      <c r="ES82" s="692"/>
      <c r="ET82" s="692"/>
      <c r="EU82" s="692"/>
      <c r="EV82" s="692"/>
      <c r="EW82" s="692"/>
      <c r="EX82" s="692"/>
      <c r="EY82" s="692"/>
      <c r="EZ82" s="692"/>
      <c r="FA82" s="692"/>
      <c r="FB82" s="692"/>
      <c r="FC82" s="692"/>
      <c r="FD82" s="692"/>
      <c r="FE82" s="692"/>
      <c r="FF82" s="692"/>
      <c r="FG82" s="692"/>
      <c r="FH82" s="692"/>
      <c r="FI82" s="692"/>
      <c r="FJ82" s="10"/>
      <c r="FK82" s="10"/>
      <c r="FL82" s="10"/>
      <c r="FM82" s="116"/>
      <c r="FN82" s="116"/>
      <c r="FO82" s="246" t="e">
        <f ca="1">IF(AND(BV76&gt;FV76-0.001,BV76&lt;FV76+0.001),1,IF(AND(BV76&gt;ROUND((BI77-BI74)/(I77-I74),0)-0.001,BV76&lt;ROUND((BI77-BI74)/(I77-I74),0)+0.001,0),1,IF(AND(BV76&gt;ROUND(FS76-GA76,0)-0.001,BV76&lt;ROUND(FS76-GA76,0)+0.001),1,0)))</f>
        <v>#VALUE!</v>
      </c>
      <c r="FP82" s="116"/>
      <c r="FQ82" s="522"/>
      <c r="FR82" s="592"/>
      <c r="FS82" s="592" t="e">
        <f ca="1">ROUND((FR83-FR80)/(FQ83-FQ80),0)</f>
        <v>#VALUE!</v>
      </c>
      <c r="FT82" s="522"/>
      <c r="FU82" s="522"/>
      <c r="FV82" s="592" t="e">
        <f ca="1">ROUND((FU83-FU80)/(FQ83-FQ80),0)</f>
        <v>#VALUE!</v>
      </c>
      <c r="FW82" s="522"/>
      <c r="FX82" s="522"/>
      <c r="FY82" s="32"/>
      <c r="FZ82" s="32"/>
      <c r="GA82" s="32" t="e">
        <f ca="1">ROUND((FZ83-FZ80)/(FQ83-FQ80),0)</f>
        <v>#VALUE!</v>
      </c>
      <c r="GB82" s="32"/>
      <c r="GC82" s="32"/>
      <c r="GD82" s="32"/>
      <c r="GE82" s="32"/>
      <c r="GF82" s="32"/>
      <c r="GG82" s="32"/>
      <c r="GH82" s="32"/>
      <c r="GI82" s="32"/>
      <c r="GJ82" s="32"/>
      <c r="GK82" s="32"/>
      <c r="GL82" s="32"/>
      <c r="GM82" s="49"/>
      <c r="GN82" s="49"/>
      <c r="GO82" s="49"/>
      <c r="GP82" s="49"/>
      <c r="GQ82" s="49"/>
      <c r="GR82" s="49"/>
      <c r="GS82" s="49"/>
      <c r="GT82" s="49"/>
      <c r="GU82" s="49"/>
      <c r="GV82" s="49"/>
      <c r="GW82" s="49"/>
      <c r="GX82" s="49"/>
      <c r="GY82" s="49"/>
      <c r="GZ82" s="49"/>
      <c r="HA82" s="49"/>
      <c r="HB82" s="49"/>
      <c r="HC82" s="49"/>
      <c r="HD82" s="49"/>
      <c r="HE82" s="49"/>
      <c r="HF82" s="49"/>
      <c r="HG82" s="49"/>
      <c r="HH82" s="49"/>
      <c r="HI82" s="49"/>
      <c r="HJ82" s="49"/>
      <c r="HK82" s="49"/>
      <c r="HL82" s="49"/>
      <c r="HM82" s="49"/>
      <c r="HN82" s="49"/>
    </row>
    <row r="83" spans="1:222" ht="3.75" customHeight="1">
      <c r="A83" s="1"/>
      <c r="B83" s="3"/>
      <c r="C83" s="3"/>
      <c r="D83" s="12"/>
      <c r="E83" s="10"/>
      <c r="F83" s="10"/>
      <c r="G83" s="10"/>
      <c r="H83" s="10"/>
      <c r="I83" s="665" t="str">
        <f ca="1">IF(FO$29=0,"",FQ83)</f>
        <v/>
      </c>
      <c r="J83" s="581"/>
      <c r="K83" s="581"/>
      <c r="L83" s="581"/>
      <c r="M83" s="581"/>
      <c r="N83" s="581"/>
      <c r="O83" s="581"/>
      <c r="P83" s="581"/>
      <c r="Q83" s="581"/>
      <c r="R83" s="581"/>
      <c r="S83" s="581"/>
      <c r="T83" s="581"/>
      <c r="U83" s="582"/>
      <c r="V83" s="665" t="str">
        <f ca="1">IF(FO$29=0,"",FR83)</f>
        <v/>
      </c>
      <c r="W83" s="581"/>
      <c r="X83" s="581"/>
      <c r="Y83" s="581"/>
      <c r="Z83" s="581"/>
      <c r="AA83" s="581"/>
      <c r="AB83" s="581"/>
      <c r="AC83" s="581"/>
      <c r="AD83" s="581"/>
      <c r="AE83" s="581"/>
      <c r="AF83" s="581"/>
      <c r="AG83" s="581"/>
      <c r="AH83" s="582"/>
      <c r="AI83" s="589"/>
      <c r="AJ83" s="687"/>
      <c r="AK83" s="687"/>
      <c r="AL83" s="687"/>
      <c r="AM83" s="687"/>
      <c r="AN83" s="687"/>
      <c r="AO83" s="687"/>
      <c r="AP83" s="687"/>
      <c r="AQ83" s="687"/>
      <c r="AR83" s="687"/>
      <c r="AS83" s="687"/>
      <c r="AT83" s="687"/>
      <c r="AU83" s="591"/>
      <c r="AV83" s="665" t="str">
        <f ca="1">IF(FO$29=0,"",FT83)</f>
        <v/>
      </c>
      <c r="AW83" s="581"/>
      <c r="AX83" s="581"/>
      <c r="AY83" s="581"/>
      <c r="AZ83" s="581"/>
      <c r="BA83" s="581"/>
      <c r="BB83" s="581"/>
      <c r="BC83" s="581"/>
      <c r="BD83" s="581"/>
      <c r="BE83" s="581"/>
      <c r="BF83" s="581"/>
      <c r="BG83" s="581"/>
      <c r="BH83" s="582"/>
      <c r="BI83" s="665" t="str">
        <f ca="1">IF(FO$29=0,"",FU83)</f>
        <v/>
      </c>
      <c r="BJ83" s="581"/>
      <c r="BK83" s="581"/>
      <c r="BL83" s="581"/>
      <c r="BM83" s="581"/>
      <c r="BN83" s="581"/>
      <c r="BO83" s="581"/>
      <c r="BP83" s="581"/>
      <c r="BQ83" s="581"/>
      <c r="BR83" s="581"/>
      <c r="BS83" s="581"/>
      <c r="BT83" s="581"/>
      <c r="BU83" s="582"/>
      <c r="BV83" s="589"/>
      <c r="BW83" s="687"/>
      <c r="BX83" s="687"/>
      <c r="BY83" s="687"/>
      <c r="BZ83" s="687"/>
      <c r="CA83" s="687"/>
      <c r="CB83" s="687"/>
      <c r="CC83" s="687"/>
      <c r="CD83" s="687"/>
      <c r="CE83" s="687"/>
      <c r="CF83" s="687"/>
      <c r="CG83" s="687"/>
      <c r="CH83" s="591"/>
      <c r="CI83" s="665" t="str">
        <f ca="1">IF(FO$29=0,"",FW83)</f>
        <v/>
      </c>
      <c r="CJ83" s="581"/>
      <c r="CK83" s="581"/>
      <c r="CL83" s="581"/>
      <c r="CM83" s="581"/>
      <c r="CN83" s="581"/>
      <c r="CO83" s="581"/>
      <c r="CP83" s="581"/>
      <c r="CQ83" s="581"/>
      <c r="CR83" s="581"/>
      <c r="CS83" s="581"/>
      <c r="CT83" s="581"/>
      <c r="CU83" s="582"/>
      <c r="CV83" s="665" t="str">
        <f ca="1">IF(FO$29=0,"",FZ83)</f>
        <v/>
      </c>
      <c r="CW83" s="581"/>
      <c r="CX83" s="581"/>
      <c r="CY83" s="581"/>
      <c r="CZ83" s="581"/>
      <c r="DA83" s="581"/>
      <c r="DB83" s="581"/>
      <c r="DC83" s="581"/>
      <c r="DD83" s="581"/>
      <c r="DE83" s="581"/>
      <c r="DF83" s="581"/>
      <c r="DG83" s="581"/>
      <c r="DH83" s="582"/>
      <c r="DI83" s="589"/>
      <c r="DJ83" s="687"/>
      <c r="DK83" s="687"/>
      <c r="DL83" s="687"/>
      <c r="DM83" s="687"/>
      <c r="DN83" s="687"/>
      <c r="DO83" s="687"/>
      <c r="DP83" s="687"/>
      <c r="DQ83" s="687"/>
      <c r="DR83" s="687"/>
      <c r="DS83" s="687"/>
      <c r="DT83" s="687"/>
      <c r="DU83" s="591"/>
      <c r="DV83" s="665" t="str">
        <f ca="1">IF(FO$29=0,"",GB83)</f>
        <v/>
      </c>
      <c r="DW83" s="581"/>
      <c r="DX83" s="581"/>
      <c r="DY83" s="581"/>
      <c r="DZ83" s="581"/>
      <c r="EA83" s="581"/>
      <c r="EB83" s="581"/>
      <c r="EC83" s="581"/>
      <c r="ED83" s="581"/>
      <c r="EE83" s="581"/>
      <c r="EF83" s="581"/>
      <c r="EG83" s="581"/>
      <c r="EH83" s="582"/>
      <c r="EI83" s="79"/>
      <c r="EJ83" s="79"/>
      <c r="EK83" s="692"/>
      <c r="EL83" s="692"/>
      <c r="EM83" s="692"/>
      <c r="EN83" s="692"/>
      <c r="EO83" s="692"/>
      <c r="EP83" s="692"/>
      <c r="EQ83" s="692"/>
      <c r="ER83" s="692"/>
      <c r="ES83" s="692"/>
      <c r="ET83" s="692"/>
      <c r="EU83" s="692"/>
      <c r="EV83" s="692"/>
      <c r="EW83" s="692"/>
      <c r="EX83" s="692"/>
      <c r="EY83" s="692"/>
      <c r="EZ83" s="692"/>
      <c r="FA83" s="692"/>
      <c r="FB83" s="692"/>
      <c r="FC83" s="692"/>
      <c r="FD83" s="692"/>
      <c r="FE83" s="692"/>
      <c r="FF83" s="692"/>
      <c r="FG83" s="692"/>
      <c r="FH83" s="692"/>
      <c r="FI83" s="692"/>
      <c r="FJ83" s="10"/>
      <c r="FK83" s="10"/>
      <c r="FL83" s="10"/>
      <c r="FM83" s="116"/>
      <c r="FN83" s="116"/>
      <c r="FO83" s="85"/>
      <c r="FP83" s="116"/>
      <c r="FQ83" s="592" t="e">
        <f ca="1">ROUND(GC38,0)</f>
        <v>#VALUE!</v>
      </c>
      <c r="FR83" s="592" t="e">
        <f ca="1">ROUND(-GH$40*FQ83^2+GI$40*FQ83,0)</f>
        <v>#VALUE!</v>
      </c>
      <c r="FS83" s="522"/>
      <c r="FT83" s="592" t="e">
        <f ca="1">ROUND(FR83/FQ83,0)</f>
        <v>#VALUE!</v>
      </c>
      <c r="FU83" s="592" t="e">
        <f ca="1">ROUND(GL40*FQ83^3+GM40*FQ83^2+GN40*FQ83^1+GO40,0)</f>
        <v>#VALUE!</v>
      </c>
      <c r="FV83" s="522"/>
      <c r="FW83" s="592" t="e">
        <f ca="1">ROUND(FU83/FQ83,0)</f>
        <v>#VALUE!</v>
      </c>
      <c r="FX83" s="592" t="e">
        <f ca="1">ROUND(GL40*FQ83^3+GM40*FQ83^2+GN40*FQ83^1,0)</f>
        <v>#VALUE!</v>
      </c>
      <c r="FY83" s="32" t="e">
        <f ca="1">ROUND(FX83/FQ83,0)</f>
        <v>#VALUE!</v>
      </c>
      <c r="FZ83" s="32" t="e">
        <f ca="1">FR83-FU83</f>
        <v>#VALUE!</v>
      </c>
      <c r="GA83" s="32"/>
      <c r="GB83" s="32" t="e">
        <f ca="1">ROUND(FZ83/FQ83,0)</f>
        <v>#VALUE!</v>
      </c>
      <c r="GC83" s="32"/>
      <c r="GD83" s="32"/>
      <c r="GE83" s="32"/>
      <c r="GF83" s="32"/>
      <c r="GG83" s="32"/>
      <c r="GH83" s="32"/>
      <c r="GI83" s="32"/>
      <c r="GJ83" s="32"/>
      <c r="GK83" s="32"/>
      <c r="GL83" s="32"/>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row>
    <row r="84" spans="1:222" ht="7.5" customHeight="1" thickBot="1">
      <c r="A84" s="1"/>
      <c r="B84" s="3"/>
      <c r="C84" s="3"/>
      <c r="D84" s="12"/>
      <c r="E84" s="10"/>
      <c r="F84" s="10"/>
      <c r="G84" s="10"/>
      <c r="H84" s="10"/>
      <c r="I84" s="583"/>
      <c r="J84" s="584"/>
      <c r="K84" s="584"/>
      <c r="L84" s="584"/>
      <c r="M84" s="584"/>
      <c r="N84" s="584"/>
      <c r="O84" s="584"/>
      <c r="P84" s="584"/>
      <c r="Q84" s="584"/>
      <c r="R84" s="584"/>
      <c r="S84" s="584"/>
      <c r="T84" s="584"/>
      <c r="U84" s="585"/>
      <c r="V84" s="583"/>
      <c r="W84" s="584"/>
      <c r="X84" s="584"/>
      <c r="Y84" s="584"/>
      <c r="Z84" s="584"/>
      <c r="AA84" s="584"/>
      <c r="AB84" s="584"/>
      <c r="AC84" s="584"/>
      <c r="AD84" s="584"/>
      <c r="AE84" s="584"/>
      <c r="AF84" s="584"/>
      <c r="AG84" s="584"/>
      <c r="AH84" s="585"/>
      <c r="AI84" s="568"/>
      <c r="AJ84" s="569"/>
      <c r="AK84" s="569"/>
      <c r="AL84" s="569"/>
      <c r="AM84" s="569"/>
      <c r="AN84" s="569"/>
      <c r="AO84" s="569"/>
      <c r="AP84" s="569"/>
      <c r="AQ84" s="569"/>
      <c r="AR84" s="569"/>
      <c r="AS84" s="569"/>
      <c r="AT84" s="569"/>
      <c r="AU84" s="570"/>
      <c r="AV84" s="583"/>
      <c r="AW84" s="584"/>
      <c r="AX84" s="584"/>
      <c r="AY84" s="584"/>
      <c r="AZ84" s="584"/>
      <c r="BA84" s="584"/>
      <c r="BB84" s="584"/>
      <c r="BC84" s="584"/>
      <c r="BD84" s="584"/>
      <c r="BE84" s="584"/>
      <c r="BF84" s="584"/>
      <c r="BG84" s="584"/>
      <c r="BH84" s="585"/>
      <c r="BI84" s="583"/>
      <c r="BJ84" s="584"/>
      <c r="BK84" s="584"/>
      <c r="BL84" s="584"/>
      <c r="BM84" s="584"/>
      <c r="BN84" s="584"/>
      <c r="BO84" s="584"/>
      <c r="BP84" s="584"/>
      <c r="BQ84" s="584"/>
      <c r="BR84" s="584"/>
      <c r="BS84" s="584"/>
      <c r="BT84" s="584"/>
      <c r="BU84" s="585"/>
      <c r="BV84" s="568"/>
      <c r="BW84" s="569"/>
      <c r="BX84" s="569"/>
      <c r="BY84" s="569"/>
      <c r="BZ84" s="569"/>
      <c r="CA84" s="569"/>
      <c r="CB84" s="569"/>
      <c r="CC84" s="569"/>
      <c r="CD84" s="569"/>
      <c r="CE84" s="569"/>
      <c r="CF84" s="569"/>
      <c r="CG84" s="569"/>
      <c r="CH84" s="570"/>
      <c r="CI84" s="583"/>
      <c r="CJ84" s="584"/>
      <c r="CK84" s="584"/>
      <c r="CL84" s="584"/>
      <c r="CM84" s="584"/>
      <c r="CN84" s="584"/>
      <c r="CO84" s="584"/>
      <c r="CP84" s="584"/>
      <c r="CQ84" s="584"/>
      <c r="CR84" s="584"/>
      <c r="CS84" s="584"/>
      <c r="CT84" s="584"/>
      <c r="CU84" s="585"/>
      <c r="CV84" s="583"/>
      <c r="CW84" s="584"/>
      <c r="CX84" s="584"/>
      <c r="CY84" s="584"/>
      <c r="CZ84" s="584"/>
      <c r="DA84" s="584"/>
      <c r="DB84" s="584"/>
      <c r="DC84" s="584"/>
      <c r="DD84" s="584"/>
      <c r="DE84" s="584"/>
      <c r="DF84" s="584"/>
      <c r="DG84" s="584"/>
      <c r="DH84" s="585"/>
      <c r="DI84" s="568"/>
      <c r="DJ84" s="569"/>
      <c r="DK84" s="569"/>
      <c r="DL84" s="569"/>
      <c r="DM84" s="569"/>
      <c r="DN84" s="569"/>
      <c r="DO84" s="569"/>
      <c r="DP84" s="569"/>
      <c r="DQ84" s="569"/>
      <c r="DR84" s="569"/>
      <c r="DS84" s="569"/>
      <c r="DT84" s="569"/>
      <c r="DU84" s="570"/>
      <c r="DV84" s="583"/>
      <c r="DW84" s="584"/>
      <c r="DX84" s="584"/>
      <c r="DY84" s="584"/>
      <c r="DZ84" s="584"/>
      <c r="EA84" s="584"/>
      <c r="EB84" s="584"/>
      <c r="EC84" s="584"/>
      <c r="ED84" s="584"/>
      <c r="EE84" s="584"/>
      <c r="EF84" s="584"/>
      <c r="EG84" s="584"/>
      <c r="EH84" s="585"/>
      <c r="EI84" s="79"/>
      <c r="EJ84" s="79"/>
      <c r="EK84" s="692"/>
      <c r="EL84" s="692"/>
      <c r="EM84" s="692"/>
      <c r="EN84" s="692"/>
      <c r="EO84" s="692"/>
      <c r="EP84" s="692"/>
      <c r="EQ84" s="692"/>
      <c r="ER84" s="692"/>
      <c r="ES84" s="692"/>
      <c r="ET84" s="692"/>
      <c r="EU84" s="692"/>
      <c r="EV84" s="692"/>
      <c r="EW84" s="692"/>
      <c r="EX84" s="692"/>
      <c r="EY84" s="692"/>
      <c r="EZ84" s="692"/>
      <c r="FA84" s="692"/>
      <c r="FB84" s="692"/>
      <c r="FC84" s="692"/>
      <c r="FD84" s="692"/>
      <c r="FE84" s="692"/>
      <c r="FF84" s="692"/>
      <c r="FG84" s="692"/>
      <c r="FH84" s="692"/>
      <c r="FI84" s="692"/>
      <c r="FJ84" s="10"/>
      <c r="FK84" s="10"/>
      <c r="FL84" s="10"/>
      <c r="FM84" s="116"/>
      <c r="FN84" s="116"/>
      <c r="FO84" s="85"/>
      <c r="FP84" s="116"/>
      <c r="FQ84" s="522"/>
      <c r="FR84" s="592"/>
      <c r="FS84" s="522"/>
      <c r="FT84" s="522"/>
      <c r="FU84" s="522"/>
      <c r="FV84" s="522"/>
      <c r="FW84" s="522"/>
      <c r="FX84" s="522"/>
      <c r="FY84" s="32"/>
      <c r="FZ84" s="32"/>
      <c r="GA84" s="32"/>
      <c r="GB84" s="32"/>
      <c r="GC84" s="32"/>
      <c r="GD84" s="32"/>
      <c r="GE84" s="32"/>
      <c r="GF84" s="32"/>
      <c r="GG84" s="32"/>
      <c r="GH84" s="32"/>
      <c r="GI84" s="32"/>
      <c r="GJ84" s="32"/>
      <c r="GK84" s="32"/>
      <c r="GL84" s="32"/>
      <c r="GM84" s="49"/>
      <c r="GN84" s="49"/>
      <c r="GO84" s="49"/>
      <c r="GP84" s="49"/>
      <c r="GQ84" s="49"/>
      <c r="GR84" s="49"/>
      <c r="GS84" s="49"/>
      <c r="GT84" s="49"/>
      <c r="GU84" s="49"/>
      <c r="GV84" s="49"/>
      <c r="GW84" s="49"/>
      <c r="GX84" s="49"/>
      <c r="GY84" s="49"/>
      <c r="GZ84" s="49"/>
      <c r="HA84" s="49"/>
      <c r="HB84" s="49"/>
      <c r="HC84" s="49"/>
      <c r="HD84" s="49"/>
      <c r="HE84" s="49"/>
      <c r="HF84" s="49"/>
      <c r="HG84" s="49"/>
      <c r="HH84" s="49"/>
      <c r="HI84" s="49"/>
      <c r="HJ84" s="49"/>
      <c r="HK84" s="49"/>
      <c r="HL84" s="49"/>
      <c r="HM84" s="49"/>
      <c r="HN84" s="49"/>
    </row>
    <row r="85" spans="1:222" ht="11.25" customHeight="1" thickBot="1">
      <c r="A85" s="1"/>
      <c r="B85" s="3"/>
      <c r="C85" s="3"/>
      <c r="D85" s="12"/>
      <c r="E85" s="10"/>
      <c r="F85" s="10"/>
      <c r="G85" s="10"/>
      <c r="H85" s="10"/>
      <c r="I85" s="586"/>
      <c r="J85" s="587"/>
      <c r="K85" s="587"/>
      <c r="L85" s="587"/>
      <c r="M85" s="587"/>
      <c r="N85" s="587"/>
      <c r="O85" s="587"/>
      <c r="P85" s="587"/>
      <c r="Q85" s="587"/>
      <c r="R85" s="587"/>
      <c r="S85" s="587"/>
      <c r="T85" s="587"/>
      <c r="U85" s="588"/>
      <c r="V85" s="586"/>
      <c r="W85" s="587"/>
      <c r="X85" s="587"/>
      <c r="Y85" s="587"/>
      <c r="Z85" s="587"/>
      <c r="AA85" s="587"/>
      <c r="AB85" s="587"/>
      <c r="AC85" s="587"/>
      <c r="AD85" s="587"/>
      <c r="AE85" s="587"/>
      <c r="AF85" s="587"/>
      <c r="AG85" s="587"/>
      <c r="AH85" s="588"/>
      <c r="AI85" s="565" t="str">
        <f ca="1">IF(FO$29=0,"",FS85)</f>
        <v/>
      </c>
      <c r="AJ85" s="566"/>
      <c r="AK85" s="566"/>
      <c r="AL85" s="566"/>
      <c r="AM85" s="566"/>
      <c r="AN85" s="566"/>
      <c r="AO85" s="566"/>
      <c r="AP85" s="566"/>
      <c r="AQ85" s="566"/>
      <c r="AR85" s="566"/>
      <c r="AS85" s="566"/>
      <c r="AT85" s="566"/>
      <c r="AU85" s="567"/>
      <c r="AV85" s="586"/>
      <c r="AW85" s="587"/>
      <c r="AX85" s="587"/>
      <c r="AY85" s="587"/>
      <c r="AZ85" s="587"/>
      <c r="BA85" s="587"/>
      <c r="BB85" s="587"/>
      <c r="BC85" s="587"/>
      <c r="BD85" s="587"/>
      <c r="BE85" s="587"/>
      <c r="BF85" s="587"/>
      <c r="BG85" s="587"/>
      <c r="BH85" s="588"/>
      <c r="BI85" s="586"/>
      <c r="BJ85" s="587"/>
      <c r="BK85" s="587"/>
      <c r="BL85" s="587"/>
      <c r="BM85" s="587"/>
      <c r="BN85" s="587"/>
      <c r="BO85" s="587"/>
      <c r="BP85" s="587"/>
      <c r="BQ85" s="587"/>
      <c r="BR85" s="587"/>
      <c r="BS85" s="587"/>
      <c r="BT85" s="587"/>
      <c r="BU85" s="588"/>
      <c r="BV85" s="565" t="str">
        <f ca="1">IF(FO$29=0,"",FV85)</f>
        <v/>
      </c>
      <c r="BW85" s="566"/>
      <c r="BX85" s="566"/>
      <c r="BY85" s="566"/>
      <c r="BZ85" s="566"/>
      <c r="CA85" s="566"/>
      <c r="CB85" s="566"/>
      <c r="CC85" s="566"/>
      <c r="CD85" s="566"/>
      <c r="CE85" s="566"/>
      <c r="CF85" s="566"/>
      <c r="CG85" s="566"/>
      <c r="CH85" s="567"/>
      <c r="CI85" s="586"/>
      <c r="CJ85" s="587"/>
      <c r="CK85" s="587"/>
      <c r="CL85" s="587"/>
      <c r="CM85" s="587"/>
      <c r="CN85" s="587"/>
      <c r="CO85" s="587"/>
      <c r="CP85" s="587"/>
      <c r="CQ85" s="587"/>
      <c r="CR85" s="587"/>
      <c r="CS85" s="587"/>
      <c r="CT85" s="587"/>
      <c r="CU85" s="588"/>
      <c r="CV85" s="586"/>
      <c r="CW85" s="587"/>
      <c r="CX85" s="587"/>
      <c r="CY85" s="587"/>
      <c r="CZ85" s="587"/>
      <c r="DA85" s="587"/>
      <c r="DB85" s="587"/>
      <c r="DC85" s="587"/>
      <c r="DD85" s="587"/>
      <c r="DE85" s="587"/>
      <c r="DF85" s="587"/>
      <c r="DG85" s="587"/>
      <c r="DH85" s="588"/>
      <c r="DI85" s="565" t="str">
        <f ca="1">IF(FO$29=0,"",GA85)</f>
        <v/>
      </c>
      <c r="DJ85" s="566"/>
      <c r="DK85" s="566"/>
      <c r="DL85" s="566"/>
      <c r="DM85" s="566"/>
      <c r="DN85" s="566"/>
      <c r="DO85" s="566"/>
      <c r="DP85" s="566"/>
      <c r="DQ85" s="566"/>
      <c r="DR85" s="566"/>
      <c r="DS85" s="566"/>
      <c r="DT85" s="566"/>
      <c r="DU85" s="567"/>
      <c r="DV85" s="586"/>
      <c r="DW85" s="587"/>
      <c r="DX85" s="587"/>
      <c r="DY85" s="587"/>
      <c r="DZ85" s="587"/>
      <c r="EA85" s="587"/>
      <c r="EB85" s="587"/>
      <c r="EC85" s="587"/>
      <c r="ED85" s="587"/>
      <c r="EE85" s="587"/>
      <c r="EF85" s="587"/>
      <c r="EG85" s="587"/>
      <c r="EH85" s="588"/>
      <c r="EI85" s="79"/>
      <c r="EJ85" s="79"/>
      <c r="EK85" s="692"/>
      <c r="EL85" s="692"/>
      <c r="EM85" s="692"/>
      <c r="EN85" s="692"/>
      <c r="EO85" s="692"/>
      <c r="EP85" s="692"/>
      <c r="EQ85" s="692"/>
      <c r="ER85" s="692"/>
      <c r="ES85" s="692"/>
      <c r="ET85" s="692"/>
      <c r="EU85" s="692"/>
      <c r="EV85" s="692"/>
      <c r="EW85" s="692"/>
      <c r="EX85" s="692"/>
      <c r="EY85" s="692"/>
      <c r="EZ85" s="692"/>
      <c r="FA85" s="692"/>
      <c r="FB85" s="692"/>
      <c r="FC85" s="692"/>
      <c r="FD85" s="692"/>
      <c r="FE85" s="692"/>
      <c r="FF85" s="692"/>
      <c r="FG85" s="692"/>
      <c r="FH85" s="692"/>
      <c r="FI85" s="692"/>
      <c r="FJ85" s="10"/>
      <c r="FK85" s="10"/>
      <c r="FL85" s="10"/>
      <c r="FM85" s="116"/>
      <c r="FN85" s="116"/>
      <c r="FO85" s="247" t="e">
        <f ca="1">IF(AND(CI71&gt;FW71-0.001,CI71&lt;FW71+0.001),1,IF(AND(CI71&gt;ROUND((FU71/FQ71),0)-0.001,CI71&lt;ROUND((FU71/FQ71),0)+0.001),1,0))</f>
        <v>#VALUE!</v>
      </c>
      <c r="FP85" s="206"/>
      <c r="FQ85" s="522"/>
      <c r="FR85" s="592"/>
      <c r="FS85" s="592" t="e">
        <f ca="1">ROUND((FR86-FR83)/(FQ86-FQ83),0)</f>
        <v>#VALUE!</v>
      </c>
      <c r="FT85" s="522"/>
      <c r="FU85" s="522"/>
      <c r="FV85" s="592" t="e">
        <f ca="1">ROUND((FU86-FU83)/(FQ86-FQ83),0)</f>
        <v>#VALUE!</v>
      </c>
      <c r="FW85" s="522"/>
      <c r="FX85" s="522"/>
      <c r="FY85" s="32"/>
      <c r="FZ85" s="32"/>
      <c r="GA85" s="32" t="e">
        <f ca="1">ROUND((FZ86-FZ83)/(FQ86-FQ83),0)</f>
        <v>#VALUE!</v>
      </c>
      <c r="GB85" s="32"/>
      <c r="GC85" s="32"/>
      <c r="GD85" s="32"/>
      <c r="GE85" s="32"/>
      <c r="GF85" s="32"/>
      <c r="GG85" s="32"/>
      <c r="GH85" s="32"/>
      <c r="GI85" s="32"/>
      <c r="GJ85" s="32"/>
      <c r="GK85" s="32"/>
      <c r="GL85" s="32"/>
      <c r="GM85" s="49"/>
      <c r="GN85" s="49"/>
      <c r="GO85" s="49"/>
      <c r="GP85" s="49"/>
      <c r="GQ85" s="49"/>
      <c r="GR85" s="49"/>
      <c r="GS85" s="49"/>
      <c r="GT85" s="49"/>
      <c r="GU85" s="49"/>
      <c r="GV85" s="49"/>
      <c r="GW85" s="49"/>
      <c r="GX85" s="49"/>
      <c r="GY85" s="49"/>
      <c r="GZ85" s="49"/>
      <c r="HA85" s="49"/>
      <c r="HB85" s="49"/>
      <c r="HC85" s="49"/>
      <c r="HD85" s="49"/>
      <c r="HE85" s="49"/>
      <c r="HF85" s="49"/>
      <c r="HG85" s="49"/>
      <c r="HH85" s="49"/>
      <c r="HI85" s="49"/>
      <c r="HJ85" s="49"/>
      <c r="HK85" s="49"/>
      <c r="HL85" s="49"/>
      <c r="HM85" s="49"/>
      <c r="HN85" s="49"/>
    </row>
    <row r="86" spans="1:222" ht="3.75" customHeight="1">
      <c r="A86" s="1"/>
      <c r="B86" s="3"/>
      <c r="C86" s="3"/>
      <c r="D86" s="12"/>
      <c r="E86" s="10"/>
      <c r="F86" s="10"/>
      <c r="G86" s="10"/>
      <c r="H86" s="10"/>
      <c r="I86" s="665" t="str">
        <f ca="1">IF(FO$29=0,"",FQ86)</f>
        <v/>
      </c>
      <c r="J86" s="581"/>
      <c r="K86" s="581"/>
      <c r="L86" s="581"/>
      <c r="M86" s="581"/>
      <c r="N86" s="581"/>
      <c r="O86" s="581"/>
      <c r="P86" s="581"/>
      <c r="Q86" s="581"/>
      <c r="R86" s="581"/>
      <c r="S86" s="581"/>
      <c r="T86" s="581"/>
      <c r="U86" s="582"/>
      <c r="V86" s="665" t="str">
        <f ca="1">IF(FO$29=0,"",FR86)</f>
        <v/>
      </c>
      <c r="W86" s="581"/>
      <c r="X86" s="581"/>
      <c r="Y86" s="581"/>
      <c r="Z86" s="581"/>
      <c r="AA86" s="581"/>
      <c r="AB86" s="581"/>
      <c r="AC86" s="581"/>
      <c r="AD86" s="581"/>
      <c r="AE86" s="581"/>
      <c r="AF86" s="581"/>
      <c r="AG86" s="581"/>
      <c r="AH86" s="582"/>
      <c r="AI86" s="589"/>
      <c r="AJ86" s="687"/>
      <c r="AK86" s="687"/>
      <c r="AL86" s="687"/>
      <c r="AM86" s="687"/>
      <c r="AN86" s="687"/>
      <c r="AO86" s="687"/>
      <c r="AP86" s="687"/>
      <c r="AQ86" s="687"/>
      <c r="AR86" s="687"/>
      <c r="AS86" s="687"/>
      <c r="AT86" s="687"/>
      <c r="AU86" s="591"/>
      <c r="AV86" s="665" t="str">
        <f ca="1">IF(FO$29=0,"",FT86)</f>
        <v/>
      </c>
      <c r="AW86" s="581"/>
      <c r="AX86" s="581"/>
      <c r="AY86" s="581"/>
      <c r="AZ86" s="581"/>
      <c r="BA86" s="581"/>
      <c r="BB86" s="581"/>
      <c r="BC86" s="581"/>
      <c r="BD86" s="581"/>
      <c r="BE86" s="581"/>
      <c r="BF86" s="581"/>
      <c r="BG86" s="581"/>
      <c r="BH86" s="582"/>
      <c r="BI86" s="665" t="str">
        <f ca="1">IF(FO$29=0,"",FU86)</f>
        <v/>
      </c>
      <c r="BJ86" s="581"/>
      <c r="BK86" s="581"/>
      <c r="BL86" s="581"/>
      <c r="BM86" s="581"/>
      <c r="BN86" s="581"/>
      <c r="BO86" s="581"/>
      <c r="BP86" s="581"/>
      <c r="BQ86" s="581"/>
      <c r="BR86" s="581"/>
      <c r="BS86" s="581"/>
      <c r="BT86" s="581"/>
      <c r="BU86" s="582"/>
      <c r="BV86" s="589"/>
      <c r="BW86" s="687"/>
      <c r="BX86" s="687"/>
      <c r="BY86" s="687"/>
      <c r="BZ86" s="687"/>
      <c r="CA86" s="687"/>
      <c r="CB86" s="687"/>
      <c r="CC86" s="687"/>
      <c r="CD86" s="687"/>
      <c r="CE86" s="687"/>
      <c r="CF86" s="687"/>
      <c r="CG86" s="687"/>
      <c r="CH86" s="591"/>
      <c r="CI86" s="665" t="str">
        <f ca="1">IF(FO$29=0,"",FW86)</f>
        <v/>
      </c>
      <c r="CJ86" s="581"/>
      <c r="CK86" s="581"/>
      <c r="CL86" s="581"/>
      <c r="CM86" s="581"/>
      <c r="CN86" s="581"/>
      <c r="CO86" s="581"/>
      <c r="CP86" s="581"/>
      <c r="CQ86" s="581"/>
      <c r="CR86" s="581"/>
      <c r="CS86" s="581"/>
      <c r="CT86" s="581"/>
      <c r="CU86" s="582"/>
      <c r="CV86" s="665" t="str">
        <f ca="1">IF(FO$29=0,"",FZ86)</f>
        <v/>
      </c>
      <c r="CW86" s="581"/>
      <c r="CX86" s="581"/>
      <c r="CY86" s="581"/>
      <c r="CZ86" s="581"/>
      <c r="DA86" s="581"/>
      <c r="DB86" s="581"/>
      <c r="DC86" s="581"/>
      <c r="DD86" s="581"/>
      <c r="DE86" s="581"/>
      <c r="DF86" s="581"/>
      <c r="DG86" s="581"/>
      <c r="DH86" s="582"/>
      <c r="DI86" s="589"/>
      <c r="DJ86" s="687"/>
      <c r="DK86" s="687"/>
      <c r="DL86" s="687"/>
      <c r="DM86" s="687"/>
      <c r="DN86" s="687"/>
      <c r="DO86" s="687"/>
      <c r="DP86" s="687"/>
      <c r="DQ86" s="687"/>
      <c r="DR86" s="687"/>
      <c r="DS86" s="687"/>
      <c r="DT86" s="687"/>
      <c r="DU86" s="591"/>
      <c r="DV86" s="665" t="str">
        <f ca="1">IF(FO$29=0,"",GB86)</f>
        <v/>
      </c>
      <c r="DW86" s="581"/>
      <c r="DX86" s="581"/>
      <c r="DY86" s="581"/>
      <c r="DZ86" s="581"/>
      <c r="EA86" s="581"/>
      <c r="EB86" s="581"/>
      <c r="EC86" s="581"/>
      <c r="ED86" s="581"/>
      <c r="EE86" s="581"/>
      <c r="EF86" s="581"/>
      <c r="EG86" s="581"/>
      <c r="EH86" s="582"/>
      <c r="EI86" s="79"/>
      <c r="EJ86" s="79"/>
      <c r="EK86" s="692"/>
      <c r="EL86" s="692"/>
      <c r="EM86" s="692"/>
      <c r="EN86" s="692"/>
      <c r="EO86" s="692"/>
      <c r="EP86" s="692"/>
      <c r="EQ86" s="692"/>
      <c r="ER86" s="692"/>
      <c r="ES86" s="692"/>
      <c r="ET86" s="692"/>
      <c r="EU86" s="692"/>
      <c r="EV86" s="692"/>
      <c r="EW86" s="692"/>
      <c r="EX86" s="692"/>
      <c r="EY86" s="692"/>
      <c r="EZ86" s="692"/>
      <c r="FA86" s="692"/>
      <c r="FB86" s="692"/>
      <c r="FC86" s="692"/>
      <c r="FD86" s="692"/>
      <c r="FE86" s="692"/>
      <c r="FF86" s="692"/>
      <c r="FG86" s="692"/>
      <c r="FH86" s="692"/>
      <c r="FI86" s="692"/>
      <c r="FJ86" s="10"/>
      <c r="FK86" s="10"/>
      <c r="FL86" s="10"/>
      <c r="FM86" s="116"/>
      <c r="FN86" s="116"/>
      <c r="FO86" s="85"/>
      <c r="FP86" s="116"/>
      <c r="FQ86" s="592" t="e">
        <f ca="1">ROUND(GC39,0)</f>
        <v>#VALUE!</v>
      </c>
      <c r="FR86" s="592" t="e">
        <f ca="1">ROUND(-GH$40*FQ86^2+GI$40*FQ86,0)</f>
        <v>#VALUE!</v>
      </c>
      <c r="FS86" s="522"/>
      <c r="FT86" s="592" t="e">
        <f ca="1">ROUND(FR86/FQ86,0)</f>
        <v>#VALUE!</v>
      </c>
      <c r="FU86" s="592" t="e">
        <f ca="1">ROUND(GL40*FQ86^3+GM40*FQ86^2+GN40*FQ86^1+GO40,0)</f>
        <v>#VALUE!</v>
      </c>
      <c r="FV86" s="522"/>
      <c r="FW86" s="592" t="e">
        <f ca="1">ROUND(FU86/FQ86,0)</f>
        <v>#VALUE!</v>
      </c>
      <c r="FX86" s="592" t="e">
        <f ca="1">ROUND(GL40*FQ86^3+GM40*FQ86^2+GN40*FQ86^1,0)</f>
        <v>#VALUE!</v>
      </c>
      <c r="FY86" s="32" t="e">
        <f ca="1">ROUND(FX86/FQ86,0)</f>
        <v>#VALUE!</v>
      </c>
      <c r="FZ86" s="32" t="e">
        <f ca="1">FR86-FU86</f>
        <v>#VALUE!</v>
      </c>
      <c r="GA86" s="32"/>
      <c r="GB86" s="32" t="e">
        <f ca="1">ROUND(FZ86/FQ86,0)</f>
        <v>#VALUE!</v>
      </c>
      <c r="GC86" s="32"/>
      <c r="GD86" s="32"/>
      <c r="GE86" s="32"/>
      <c r="GF86" s="32"/>
      <c r="GG86" s="32"/>
      <c r="GH86" s="32"/>
      <c r="GI86" s="32"/>
      <c r="GJ86" s="32"/>
      <c r="GK86" s="32"/>
      <c r="GL86" s="32"/>
      <c r="GM86" s="49"/>
      <c r="GN86" s="49"/>
      <c r="GO86" s="49"/>
      <c r="GP86" s="49"/>
      <c r="GQ86" s="49"/>
      <c r="GR86" s="49"/>
      <c r="GS86" s="49"/>
      <c r="GT86" s="49"/>
      <c r="GU86" s="49"/>
      <c r="GV86" s="49"/>
      <c r="GW86" s="49"/>
      <c r="GX86" s="49"/>
      <c r="GY86" s="49"/>
      <c r="GZ86" s="49"/>
      <c r="HA86" s="49"/>
      <c r="HB86" s="49"/>
      <c r="HC86" s="49"/>
      <c r="HD86" s="49"/>
      <c r="HE86" s="49"/>
      <c r="HF86" s="49"/>
      <c r="HG86" s="49"/>
      <c r="HH86" s="49"/>
      <c r="HI86" s="49"/>
      <c r="HJ86" s="49"/>
      <c r="HK86" s="49"/>
      <c r="HL86" s="49"/>
      <c r="HM86" s="49"/>
      <c r="HN86" s="49"/>
    </row>
    <row r="87" spans="1:222" ht="7.5" customHeight="1" thickBot="1">
      <c r="A87" s="1"/>
      <c r="B87" s="3"/>
      <c r="C87" s="3"/>
      <c r="D87" s="12"/>
      <c r="E87" s="10"/>
      <c r="F87" s="10"/>
      <c r="G87" s="10"/>
      <c r="H87" s="10"/>
      <c r="I87" s="583"/>
      <c r="J87" s="584"/>
      <c r="K87" s="584"/>
      <c r="L87" s="584"/>
      <c r="M87" s="584"/>
      <c r="N87" s="584"/>
      <c r="O87" s="584"/>
      <c r="P87" s="584"/>
      <c r="Q87" s="584"/>
      <c r="R87" s="584"/>
      <c r="S87" s="584"/>
      <c r="T87" s="584"/>
      <c r="U87" s="585"/>
      <c r="V87" s="583"/>
      <c r="W87" s="584"/>
      <c r="X87" s="584"/>
      <c r="Y87" s="584"/>
      <c r="Z87" s="584"/>
      <c r="AA87" s="584"/>
      <c r="AB87" s="584"/>
      <c r="AC87" s="584"/>
      <c r="AD87" s="584"/>
      <c r="AE87" s="584"/>
      <c r="AF87" s="584"/>
      <c r="AG87" s="584"/>
      <c r="AH87" s="585"/>
      <c r="AI87" s="568"/>
      <c r="AJ87" s="569"/>
      <c r="AK87" s="569"/>
      <c r="AL87" s="569"/>
      <c r="AM87" s="569"/>
      <c r="AN87" s="569"/>
      <c r="AO87" s="569"/>
      <c r="AP87" s="569"/>
      <c r="AQ87" s="569"/>
      <c r="AR87" s="569"/>
      <c r="AS87" s="569"/>
      <c r="AT87" s="569"/>
      <c r="AU87" s="570"/>
      <c r="AV87" s="583"/>
      <c r="AW87" s="584"/>
      <c r="AX87" s="584"/>
      <c r="AY87" s="584"/>
      <c r="AZ87" s="584"/>
      <c r="BA87" s="584"/>
      <c r="BB87" s="584"/>
      <c r="BC87" s="584"/>
      <c r="BD87" s="584"/>
      <c r="BE87" s="584"/>
      <c r="BF87" s="584"/>
      <c r="BG87" s="584"/>
      <c r="BH87" s="585"/>
      <c r="BI87" s="583"/>
      <c r="BJ87" s="584"/>
      <c r="BK87" s="584"/>
      <c r="BL87" s="584"/>
      <c r="BM87" s="584"/>
      <c r="BN87" s="584"/>
      <c r="BO87" s="584"/>
      <c r="BP87" s="584"/>
      <c r="BQ87" s="584"/>
      <c r="BR87" s="584"/>
      <c r="BS87" s="584"/>
      <c r="BT87" s="584"/>
      <c r="BU87" s="585"/>
      <c r="BV87" s="568"/>
      <c r="BW87" s="569"/>
      <c r="BX87" s="569"/>
      <c r="BY87" s="569"/>
      <c r="BZ87" s="569"/>
      <c r="CA87" s="569"/>
      <c r="CB87" s="569"/>
      <c r="CC87" s="569"/>
      <c r="CD87" s="569"/>
      <c r="CE87" s="569"/>
      <c r="CF87" s="569"/>
      <c r="CG87" s="569"/>
      <c r="CH87" s="570"/>
      <c r="CI87" s="583"/>
      <c r="CJ87" s="584"/>
      <c r="CK87" s="584"/>
      <c r="CL87" s="584"/>
      <c r="CM87" s="584"/>
      <c r="CN87" s="584"/>
      <c r="CO87" s="584"/>
      <c r="CP87" s="584"/>
      <c r="CQ87" s="584"/>
      <c r="CR87" s="584"/>
      <c r="CS87" s="584"/>
      <c r="CT87" s="584"/>
      <c r="CU87" s="585"/>
      <c r="CV87" s="583"/>
      <c r="CW87" s="584"/>
      <c r="CX87" s="584"/>
      <c r="CY87" s="584"/>
      <c r="CZ87" s="584"/>
      <c r="DA87" s="584"/>
      <c r="DB87" s="584"/>
      <c r="DC87" s="584"/>
      <c r="DD87" s="584"/>
      <c r="DE87" s="584"/>
      <c r="DF87" s="584"/>
      <c r="DG87" s="584"/>
      <c r="DH87" s="585"/>
      <c r="DI87" s="568"/>
      <c r="DJ87" s="569"/>
      <c r="DK87" s="569"/>
      <c r="DL87" s="569"/>
      <c r="DM87" s="569"/>
      <c r="DN87" s="569"/>
      <c r="DO87" s="569"/>
      <c r="DP87" s="569"/>
      <c r="DQ87" s="569"/>
      <c r="DR87" s="569"/>
      <c r="DS87" s="569"/>
      <c r="DT87" s="569"/>
      <c r="DU87" s="570"/>
      <c r="DV87" s="583"/>
      <c r="DW87" s="584"/>
      <c r="DX87" s="584"/>
      <c r="DY87" s="584"/>
      <c r="DZ87" s="584"/>
      <c r="EA87" s="584"/>
      <c r="EB87" s="584"/>
      <c r="EC87" s="584"/>
      <c r="ED87" s="584"/>
      <c r="EE87" s="584"/>
      <c r="EF87" s="584"/>
      <c r="EG87" s="584"/>
      <c r="EH87" s="585"/>
      <c r="EI87" s="79"/>
      <c r="EJ87" s="79"/>
      <c r="EK87" s="692"/>
      <c r="EL87" s="692"/>
      <c r="EM87" s="692"/>
      <c r="EN87" s="692"/>
      <c r="EO87" s="692"/>
      <c r="EP87" s="692"/>
      <c r="EQ87" s="692"/>
      <c r="ER87" s="692"/>
      <c r="ES87" s="692"/>
      <c r="ET87" s="692"/>
      <c r="EU87" s="692"/>
      <c r="EV87" s="692"/>
      <c r="EW87" s="692"/>
      <c r="EX87" s="692"/>
      <c r="EY87" s="692"/>
      <c r="EZ87" s="692"/>
      <c r="FA87" s="692"/>
      <c r="FB87" s="692"/>
      <c r="FC87" s="692"/>
      <c r="FD87" s="692"/>
      <c r="FE87" s="692"/>
      <c r="FF87" s="692"/>
      <c r="FG87" s="692"/>
      <c r="FH87" s="692"/>
      <c r="FI87" s="692"/>
      <c r="FJ87" s="10"/>
      <c r="FK87" s="10"/>
      <c r="FL87" s="10"/>
      <c r="FM87" s="116"/>
      <c r="FN87" s="116"/>
      <c r="FO87" s="85"/>
      <c r="FP87" s="116"/>
      <c r="FQ87" s="522"/>
      <c r="FR87" s="592"/>
      <c r="FS87" s="522"/>
      <c r="FT87" s="522"/>
      <c r="FU87" s="522"/>
      <c r="FV87" s="522"/>
      <c r="FW87" s="522"/>
      <c r="FX87" s="522"/>
      <c r="FY87" s="32"/>
      <c r="FZ87" s="32"/>
      <c r="GA87" s="32"/>
      <c r="GB87" s="32"/>
      <c r="GC87" s="32"/>
      <c r="GD87" s="32"/>
      <c r="GE87" s="32"/>
      <c r="GF87" s="32"/>
      <c r="GG87" s="32"/>
      <c r="GH87" s="32"/>
      <c r="GI87" s="32"/>
      <c r="GJ87" s="32"/>
      <c r="GK87" s="32"/>
      <c r="GL87" s="32"/>
      <c r="GM87" s="49"/>
      <c r="GN87" s="49"/>
      <c r="GO87" s="49"/>
      <c r="GP87" s="49"/>
      <c r="GQ87" s="49"/>
      <c r="GR87" s="49"/>
      <c r="GS87" s="49"/>
      <c r="GT87" s="49"/>
      <c r="GU87" s="49"/>
      <c r="GV87" s="49"/>
      <c r="GW87" s="49"/>
      <c r="GX87" s="49"/>
      <c r="GY87" s="49"/>
      <c r="GZ87" s="49"/>
      <c r="HA87" s="49"/>
      <c r="HB87" s="49"/>
      <c r="HC87" s="49"/>
      <c r="HD87" s="49"/>
      <c r="HE87" s="49"/>
      <c r="HF87" s="49"/>
      <c r="HG87" s="49"/>
      <c r="HH87" s="49"/>
      <c r="HI87" s="49"/>
      <c r="HJ87" s="49"/>
      <c r="HK87" s="49"/>
      <c r="HL87" s="49"/>
      <c r="HM87" s="49"/>
      <c r="HN87" s="49"/>
    </row>
    <row r="88" spans="1:222" ht="11.25" customHeight="1" thickBot="1">
      <c r="A88" s="1"/>
      <c r="B88" s="3"/>
      <c r="C88" s="3"/>
      <c r="D88" s="12"/>
      <c r="E88" s="10"/>
      <c r="F88" s="10"/>
      <c r="G88" s="10"/>
      <c r="H88" s="10"/>
      <c r="I88" s="586"/>
      <c r="J88" s="587"/>
      <c r="K88" s="587"/>
      <c r="L88" s="587"/>
      <c r="M88" s="587"/>
      <c r="N88" s="587"/>
      <c r="O88" s="587"/>
      <c r="P88" s="587"/>
      <c r="Q88" s="587"/>
      <c r="R88" s="587"/>
      <c r="S88" s="587"/>
      <c r="T88" s="587"/>
      <c r="U88" s="588"/>
      <c r="V88" s="586"/>
      <c r="W88" s="587"/>
      <c r="X88" s="587"/>
      <c r="Y88" s="587"/>
      <c r="Z88" s="587"/>
      <c r="AA88" s="587"/>
      <c r="AB88" s="587"/>
      <c r="AC88" s="587"/>
      <c r="AD88" s="587"/>
      <c r="AE88" s="587"/>
      <c r="AF88" s="587"/>
      <c r="AG88" s="587"/>
      <c r="AH88" s="588"/>
      <c r="AI88" s="565" t="str">
        <f ca="1">IF(FO$29=0,"",FS88)</f>
        <v/>
      </c>
      <c r="AJ88" s="566"/>
      <c r="AK88" s="566"/>
      <c r="AL88" s="566"/>
      <c r="AM88" s="566"/>
      <c r="AN88" s="566"/>
      <c r="AO88" s="566"/>
      <c r="AP88" s="566"/>
      <c r="AQ88" s="566"/>
      <c r="AR88" s="566"/>
      <c r="AS88" s="566"/>
      <c r="AT88" s="566"/>
      <c r="AU88" s="567"/>
      <c r="AV88" s="586"/>
      <c r="AW88" s="587"/>
      <c r="AX88" s="587"/>
      <c r="AY88" s="587"/>
      <c r="AZ88" s="587"/>
      <c r="BA88" s="587"/>
      <c r="BB88" s="587"/>
      <c r="BC88" s="587"/>
      <c r="BD88" s="587"/>
      <c r="BE88" s="587"/>
      <c r="BF88" s="587"/>
      <c r="BG88" s="587"/>
      <c r="BH88" s="588"/>
      <c r="BI88" s="586"/>
      <c r="BJ88" s="587"/>
      <c r="BK88" s="587"/>
      <c r="BL88" s="587"/>
      <c r="BM88" s="587"/>
      <c r="BN88" s="587"/>
      <c r="BO88" s="587"/>
      <c r="BP88" s="587"/>
      <c r="BQ88" s="587"/>
      <c r="BR88" s="587"/>
      <c r="BS88" s="587"/>
      <c r="BT88" s="587"/>
      <c r="BU88" s="588"/>
      <c r="BV88" s="565" t="str">
        <f ca="1">IF(FO$29=0,"",FV88)</f>
        <v/>
      </c>
      <c r="BW88" s="566"/>
      <c r="BX88" s="566"/>
      <c r="BY88" s="566"/>
      <c r="BZ88" s="566"/>
      <c r="CA88" s="566"/>
      <c r="CB88" s="566"/>
      <c r="CC88" s="566"/>
      <c r="CD88" s="566"/>
      <c r="CE88" s="566"/>
      <c r="CF88" s="566"/>
      <c r="CG88" s="566"/>
      <c r="CH88" s="567"/>
      <c r="CI88" s="586"/>
      <c r="CJ88" s="587"/>
      <c r="CK88" s="587"/>
      <c r="CL88" s="587"/>
      <c r="CM88" s="587"/>
      <c r="CN88" s="587"/>
      <c r="CO88" s="587"/>
      <c r="CP88" s="587"/>
      <c r="CQ88" s="587"/>
      <c r="CR88" s="587"/>
      <c r="CS88" s="587"/>
      <c r="CT88" s="587"/>
      <c r="CU88" s="588"/>
      <c r="CV88" s="586"/>
      <c r="CW88" s="587"/>
      <c r="CX88" s="587"/>
      <c r="CY88" s="587"/>
      <c r="CZ88" s="587"/>
      <c r="DA88" s="587"/>
      <c r="DB88" s="587"/>
      <c r="DC88" s="587"/>
      <c r="DD88" s="587"/>
      <c r="DE88" s="587"/>
      <c r="DF88" s="587"/>
      <c r="DG88" s="587"/>
      <c r="DH88" s="588"/>
      <c r="DI88" s="565" t="str">
        <f ca="1">IF(FO$29=0,"",GA88)</f>
        <v/>
      </c>
      <c r="DJ88" s="566"/>
      <c r="DK88" s="566"/>
      <c r="DL88" s="566"/>
      <c r="DM88" s="566"/>
      <c r="DN88" s="566"/>
      <c r="DO88" s="566"/>
      <c r="DP88" s="566"/>
      <c r="DQ88" s="566"/>
      <c r="DR88" s="566"/>
      <c r="DS88" s="566"/>
      <c r="DT88" s="566"/>
      <c r="DU88" s="567"/>
      <c r="DV88" s="586"/>
      <c r="DW88" s="587"/>
      <c r="DX88" s="587"/>
      <c r="DY88" s="587"/>
      <c r="DZ88" s="587"/>
      <c r="EA88" s="587"/>
      <c r="EB88" s="587"/>
      <c r="EC88" s="587"/>
      <c r="ED88" s="587"/>
      <c r="EE88" s="587"/>
      <c r="EF88" s="587"/>
      <c r="EG88" s="587"/>
      <c r="EH88" s="588"/>
      <c r="EI88" s="79"/>
      <c r="EJ88" s="79"/>
      <c r="EK88" s="692"/>
      <c r="EL88" s="692"/>
      <c r="EM88" s="692"/>
      <c r="EN88" s="692"/>
      <c r="EO88" s="692"/>
      <c r="EP88" s="692"/>
      <c r="EQ88" s="692"/>
      <c r="ER88" s="692"/>
      <c r="ES88" s="692"/>
      <c r="ET88" s="692"/>
      <c r="EU88" s="692"/>
      <c r="EV88" s="692"/>
      <c r="EW88" s="692"/>
      <c r="EX88" s="692"/>
      <c r="EY88" s="692"/>
      <c r="EZ88" s="692"/>
      <c r="FA88" s="692"/>
      <c r="FB88" s="692"/>
      <c r="FC88" s="692"/>
      <c r="FD88" s="692"/>
      <c r="FE88" s="692"/>
      <c r="FF88" s="692"/>
      <c r="FG88" s="692"/>
      <c r="FH88" s="692"/>
      <c r="FI88" s="692"/>
      <c r="FJ88" s="10"/>
      <c r="FK88" s="10"/>
      <c r="FL88" s="10"/>
      <c r="FM88" s="468"/>
      <c r="FN88" s="206" t="str">
        <f ca="1">IF(FO29=0,"",IF(FO79=0,"Verbeter TK.",IF(FO82=0,"Verbeter MK.",IF(FO85=0,"Verbeter GTK.",IF(FO91=0,"Verbeter TW.",IF(FO94=0,"Verbeter MW.",IF(FO97=0,"Verbeter GW.","")))))))</f>
        <v/>
      </c>
      <c r="FO88" s="85"/>
      <c r="FP88" s="206"/>
      <c r="FQ88" s="522"/>
      <c r="FR88" s="592"/>
      <c r="FS88" s="592" t="e">
        <f ca="1">ROUND((FR89-FR86)/(FQ89-FQ86),0)</f>
        <v>#VALUE!</v>
      </c>
      <c r="FT88" s="522"/>
      <c r="FU88" s="522"/>
      <c r="FV88" s="592" t="e">
        <f ca="1">ROUND((FU89-FU86)/(FQ89-FQ86),0)</f>
        <v>#VALUE!</v>
      </c>
      <c r="FW88" s="522"/>
      <c r="FX88" s="522"/>
      <c r="FY88" s="32"/>
      <c r="FZ88" s="32"/>
      <c r="GA88" s="32" t="e">
        <f ca="1">ROUND((FZ89-FZ86)/(FQ89-FQ86),0)</f>
        <v>#VALUE!</v>
      </c>
      <c r="GB88" s="32"/>
      <c r="GC88" s="32"/>
      <c r="GD88" s="32"/>
      <c r="GE88" s="32"/>
      <c r="GF88" s="32"/>
      <c r="GG88" s="32"/>
      <c r="GH88" s="32"/>
      <c r="GI88" s="32"/>
      <c r="GJ88" s="32"/>
      <c r="GK88" s="32"/>
      <c r="GL88" s="32"/>
      <c r="GM88" s="49"/>
      <c r="GN88" s="49"/>
      <c r="GO88" s="49"/>
      <c r="GP88" s="49"/>
      <c r="GQ88" s="49"/>
      <c r="GR88" s="49"/>
      <c r="GS88" s="49"/>
      <c r="GT88" s="49"/>
      <c r="GU88" s="49"/>
      <c r="GV88" s="49"/>
      <c r="GW88" s="49"/>
      <c r="GX88" s="49"/>
      <c r="GY88" s="49"/>
      <c r="GZ88" s="49"/>
      <c r="HA88" s="49"/>
      <c r="HB88" s="49"/>
      <c r="HC88" s="49"/>
      <c r="HD88" s="49"/>
      <c r="HE88" s="49"/>
      <c r="HF88" s="49"/>
      <c r="HG88" s="49"/>
      <c r="HH88" s="49"/>
      <c r="HI88" s="49"/>
      <c r="HJ88" s="49"/>
      <c r="HK88" s="49"/>
      <c r="HL88" s="49"/>
      <c r="HM88" s="49"/>
      <c r="HN88" s="49"/>
    </row>
    <row r="89" spans="1:222" ht="3.75" customHeight="1">
      <c r="A89" s="1"/>
      <c r="B89" s="3"/>
      <c r="C89" s="3"/>
      <c r="D89" s="12"/>
      <c r="E89" s="10"/>
      <c r="F89" s="10"/>
      <c r="G89" s="10"/>
      <c r="H89" s="10"/>
      <c r="I89" s="665" t="str">
        <f ca="1">IF(FO$29=0,"",FQ89)</f>
        <v/>
      </c>
      <c r="J89" s="581"/>
      <c r="K89" s="581"/>
      <c r="L89" s="581"/>
      <c r="M89" s="581"/>
      <c r="N89" s="581"/>
      <c r="O89" s="581"/>
      <c r="P89" s="581"/>
      <c r="Q89" s="581"/>
      <c r="R89" s="581"/>
      <c r="S89" s="581"/>
      <c r="T89" s="581"/>
      <c r="U89" s="582"/>
      <c r="V89" s="665" t="str">
        <f ca="1">IF(FO$29=0,"",FR89)</f>
        <v/>
      </c>
      <c r="W89" s="581"/>
      <c r="X89" s="581"/>
      <c r="Y89" s="581"/>
      <c r="Z89" s="581"/>
      <c r="AA89" s="581"/>
      <c r="AB89" s="581"/>
      <c r="AC89" s="581"/>
      <c r="AD89" s="581"/>
      <c r="AE89" s="581"/>
      <c r="AF89" s="581"/>
      <c r="AG89" s="581"/>
      <c r="AH89" s="582"/>
      <c r="AI89" s="589"/>
      <c r="AJ89" s="687"/>
      <c r="AK89" s="687"/>
      <c r="AL89" s="687"/>
      <c r="AM89" s="687"/>
      <c r="AN89" s="687"/>
      <c r="AO89" s="687"/>
      <c r="AP89" s="687"/>
      <c r="AQ89" s="687"/>
      <c r="AR89" s="687"/>
      <c r="AS89" s="687"/>
      <c r="AT89" s="687"/>
      <c r="AU89" s="591"/>
      <c r="AV89" s="665" t="str">
        <f ca="1">IF(FO$29=0,"",FT89)</f>
        <v/>
      </c>
      <c r="AW89" s="581"/>
      <c r="AX89" s="581"/>
      <c r="AY89" s="581"/>
      <c r="AZ89" s="581"/>
      <c r="BA89" s="581"/>
      <c r="BB89" s="581"/>
      <c r="BC89" s="581"/>
      <c r="BD89" s="581"/>
      <c r="BE89" s="581"/>
      <c r="BF89" s="581"/>
      <c r="BG89" s="581"/>
      <c r="BH89" s="582"/>
      <c r="BI89" s="665" t="str">
        <f ca="1">IF(FO$29=0,"",FU89)</f>
        <v/>
      </c>
      <c r="BJ89" s="581"/>
      <c r="BK89" s="581"/>
      <c r="BL89" s="581"/>
      <c r="BM89" s="581"/>
      <c r="BN89" s="581"/>
      <c r="BO89" s="581"/>
      <c r="BP89" s="581"/>
      <c r="BQ89" s="581"/>
      <c r="BR89" s="581"/>
      <c r="BS89" s="581"/>
      <c r="BT89" s="581"/>
      <c r="BU89" s="582"/>
      <c r="BV89" s="589"/>
      <c r="BW89" s="687"/>
      <c r="BX89" s="687"/>
      <c r="BY89" s="687"/>
      <c r="BZ89" s="687"/>
      <c r="CA89" s="687"/>
      <c r="CB89" s="687"/>
      <c r="CC89" s="687"/>
      <c r="CD89" s="687"/>
      <c r="CE89" s="687"/>
      <c r="CF89" s="687"/>
      <c r="CG89" s="687"/>
      <c r="CH89" s="591"/>
      <c r="CI89" s="665" t="str">
        <f ca="1">IF(FO$29=0,"",FW89)</f>
        <v/>
      </c>
      <c r="CJ89" s="581"/>
      <c r="CK89" s="581"/>
      <c r="CL89" s="581"/>
      <c r="CM89" s="581"/>
      <c r="CN89" s="581"/>
      <c r="CO89" s="581"/>
      <c r="CP89" s="581"/>
      <c r="CQ89" s="581"/>
      <c r="CR89" s="581"/>
      <c r="CS89" s="581"/>
      <c r="CT89" s="581"/>
      <c r="CU89" s="582"/>
      <c r="CV89" s="665" t="str">
        <f ca="1">IF(FO$29=0,"",FZ89)</f>
        <v/>
      </c>
      <c r="CW89" s="581"/>
      <c r="CX89" s="581"/>
      <c r="CY89" s="581"/>
      <c r="CZ89" s="581"/>
      <c r="DA89" s="581"/>
      <c r="DB89" s="581"/>
      <c r="DC89" s="581"/>
      <c r="DD89" s="581"/>
      <c r="DE89" s="581"/>
      <c r="DF89" s="581"/>
      <c r="DG89" s="581"/>
      <c r="DH89" s="582"/>
      <c r="DI89" s="589"/>
      <c r="DJ89" s="687"/>
      <c r="DK89" s="687"/>
      <c r="DL89" s="687"/>
      <c r="DM89" s="687"/>
      <c r="DN89" s="687"/>
      <c r="DO89" s="687"/>
      <c r="DP89" s="687"/>
      <c r="DQ89" s="687"/>
      <c r="DR89" s="687"/>
      <c r="DS89" s="687"/>
      <c r="DT89" s="687"/>
      <c r="DU89" s="591"/>
      <c r="DV89" s="665" t="str">
        <f ca="1">IF(FO$29=0,"",GB89)</f>
        <v/>
      </c>
      <c r="DW89" s="581"/>
      <c r="DX89" s="581"/>
      <c r="DY89" s="581"/>
      <c r="DZ89" s="581"/>
      <c r="EA89" s="581"/>
      <c r="EB89" s="581"/>
      <c r="EC89" s="581"/>
      <c r="ED89" s="581"/>
      <c r="EE89" s="581"/>
      <c r="EF89" s="581"/>
      <c r="EG89" s="581"/>
      <c r="EH89" s="582"/>
      <c r="EI89" s="79"/>
      <c r="EJ89" s="79"/>
      <c r="EK89" s="692"/>
      <c r="EL89" s="692"/>
      <c r="EM89" s="692"/>
      <c r="EN89" s="692"/>
      <c r="EO89" s="692"/>
      <c r="EP89" s="692"/>
      <c r="EQ89" s="692"/>
      <c r="ER89" s="692"/>
      <c r="ES89" s="692"/>
      <c r="ET89" s="692"/>
      <c r="EU89" s="692"/>
      <c r="EV89" s="692"/>
      <c r="EW89" s="692"/>
      <c r="EX89" s="692"/>
      <c r="EY89" s="692"/>
      <c r="EZ89" s="692"/>
      <c r="FA89" s="692"/>
      <c r="FB89" s="692"/>
      <c r="FC89" s="692"/>
      <c r="FD89" s="692"/>
      <c r="FE89" s="692"/>
      <c r="FF89" s="692"/>
      <c r="FG89" s="692"/>
      <c r="FH89" s="692"/>
      <c r="FI89" s="692"/>
      <c r="FJ89" s="10"/>
      <c r="FK89" s="10"/>
      <c r="FL89" s="10"/>
      <c r="FM89" s="116"/>
      <c r="FN89" s="116"/>
      <c r="FO89" s="85"/>
      <c r="FP89" s="116"/>
      <c r="FQ89" s="592" t="e">
        <f ca="1">ROUND(GC40,0)</f>
        <v>#VALUE!</v>
      </c>
      <c r="FR89" s="592" t="e">
        <f ca="1">ROUND(-GH$40*FQ89^2+GI$40*FQ89,0)</f>
        <v>#VALUE!</v>
      </c>
      <c r="FS89" s="522"/>
      <c r="FT89" s="592" t="e">
        <f ca="1">ROUND(FR89/FQ89,0)</f>
        <v>#VALUE!</v>
      </c>
      <c r="FU89" s="592" t="e">
        <f ca="1">ROUND(GL40*FQ89^3+GM40*FQ89^2+GN40*FQ89^1+GO40,0)</f>
        <v>#VALUE!</v>
      </c>
      <c r="FV89" s="522"/>
      <c r="FW89" s="592" t="e">
        <f ca="1">ROUND(FU89/FQ89,0)</f>
        <v>#VALUE!</v>
      </c>
      <c r="FX89" s="592" t="e">
        <f ca="1">ROUND(GL40*FQ89^3+GM40*FQ89^2+GN40*FQ89^1,0)</f>
        <v>#VALUE!</v>
      </c>
      <c r="FY89" s="32" t="e">
        <f ca="1">ROUND(FX89/FQ89,0)</f>
        <v>#VALUE!</v>
      </c>
      <c r="FZ89" s="32" t="e">
        <f ca="1">FR89-FU89</f>
        <v>#VALUE!</v>
      </c>
      <c r="GA89" s="32"/>
      <c r="GB89" s="32" t="e">
        <f ca="1">ROUND(FZ89/FQ89,0)</f>
        <v>#VALUE!</v>
      </c>
      <c r="GC89" s="32"/>
      <c r="GD89" s="32"/>
      <c r="GE89" s="32"/>
      <c r="GF89" s="32"/>
      <c r="GG89" s="32"/>
      <c r="GH89" s="32"/>
      <c r="GI89" s="32"/>
      <c r="GJ89" s="32"/>
      <c r="GK89" s="32"/>
      <c r="GL89" s="32"/>
      <c r="GM89" s="49"/>
      <c r="GN89" s="49"/>
      <c r="GO89" s="49"/>
      <c r="GP89" s="49"/>
      <c r="GQ89" s="49"/>
      <c r="GR89" s="49"/>
      <c r="GS89" s="49"/>
      <c r="GT89" s="49"/>
      <c r="GU89" s="49"/>
      <c r="GV89" s="49"/>
      <c r="GW89" s="49"/>
      <c r="GX89" s="49"/>
      <c r="GY89" s="49"/>
      <c r="GZ89" s="49"/>
      <c r="HA89" s="49"/>
      <c r="HB89" s="49"/>
      <c r="HC89" s="49"/>
      <c r="HD89" s="49"/>
      <c r="HE89" s="49"/>
      <c r="HF89" s="49"/>
      <c r="HG89" s="49"/>
      <c r="HH89" s="49"/>
      <c r="HI89" s="49"/>
      <c r="HJ89" s="49"/>
      <c r="HK89" s="49"/>
      <c r="HL89" s="49"/>
      <c r="HM89" s="49"/>
      <c r="HN89" s="49"/>
    </row>
    <row r="90" spans="1:222" ht="7.5" customHeight="1" thickBot="1">
      <c r="A90" s="1"/>
      <c r="B90" s="3"/>
      <c r="C90" s="3"/>
      <c r="D90" s="12"/>
      <c r="E90" s="10"/>
      <c r="F90" s="10"/>
      <c r="G90" s="10"/>
      <c r="H90" s="10"/>
      <c r="I90" s="583"/>
      <c r="J90" s="584"/>
      <c r="K90" s="584"/>
      <c r="L90" s="584"/>
      <c r="M90" s="584"/>
      <c r="N90" s="584"/>
      <c r="O90" s="584"/>
      <c r="P90" s="584"/>
      <c r="Q90" s="584"/>
      <c r="R90" s="584"/>
      <c r="S90" s="584"/>
      <c r="T90" s="584"/>
      <c r="U90" s="585"/>
      <c r="V90" s="583"/>
      <c r="W90" s="584"/>
      <c r="X90" s="584"/>
      <c r="Y90" s="584"/>
      <c r="Z90" s="584"/>
      <c r="AA90" s="584"/>
      <c r="AB90" s="584"/>
      <c r="AC90" s="584"/>
      <c r="AD90" s="584"/>
      <c r="AE90" s="584"/>
      <c r="AF90" s="584"/>
      <c r="AG90" s="584"/>
      <c r="AH90" s="585"/>
      <c r="AI90" s="568"/>
      <c r="AJ90" s="569"/>
      <c r="AK90" s="569"/>
      <c r="AL90" s="569"/>
      <c r="AM90" s="569"/>
      <c r="AN90" s="569"/>
      <c r="AO90" s="569"/>
      <c r="AP90" s="569"/>
      <c r="AQ90" s="569"/>
      <c r="AR90" s="569"/>
      <c r="AS90" s="569"/>
      <c r="AT90" s="569"/>
      <c r="AU90" s="570"/>
      <c r="AV90" s="583"/>
      <c r="AW90" s="584"/>
      <c r="AX90" s="584"/>
      <c r="AY90" s="584"/>
      <c r="AZ90" s="584"/>
      <c r="BA90" s="584"/>
      <c r="BB90" s="584"/>
      <c r="BC90" s="584"/>
      <c r="BD90" s="584"/>
      <c r="BE90" s="584"/>
      <c r="BF90" s="584"/>
      <c r="BG90" s="584"/>
      <c r="BH90" s="585"/>
      <c r="BI90" s="583"/>
      <c r="BJ90" s="584"/>
      <c r="BK90" s="584"/>
      <c r="BL90" s="584"/>
      <c r="BM90" s="584"/>
      <c r="BN90" s="584"/>
      <c r="BO90" s="584"/>
      <c r="BP90" s="584"/>
      <c r="BQ90" s="584"/>
      <c r="BR90" s="584"/>
      <c r="BS90" s="584"/>
      <c r="BT90" s="584"/>
      <c r="BU90" s="585"/>
      <c r="BV90" s="568"/>
      <c r="BW90" s="569"/>
      <c r="BX90" s="569"/>
      <c r="BY90" s="569"/>
      <c r="BZ90" s="569"/>
      <c r="CA90" s="569"/>
      <c r="CB90" s="569"/>
      <c r="CC90" s="569"/>
      <c r="CD90" s="569"/>
      <c r="CE90" s="569"/>
      <c r="CF90" s="569"/>
      <c r="CG90" s="569"/>
      <c r="CH90" s="570"/>
      <c r="CI90" s="583"/>
      <c r="CJ90" s="584"/>
      <c r="CK90" s="584"/>
      <c r="CL90" s="584"/>
      <c r="CM90" s="584"/>
      <c r="CN90" s="584"/>
      <c r="CO90" s="584"/>
      <c r="CP90" s="584"/>
      <c r="CQ90" s="584"/>
      <c r="CR90" s="584"/>
      <c r="CS90" s="584"/>
      <c r="CT90" s="584"/>
      <c r="CU90" s="585"/>
      <c r="CV90" s="583"/>
      <c r="CW90" s="584"/>
      <c r="CX90" s="584"/>
      <c r="CY90" s="584"/>
      <c r="CZ90" s="584"/>
      <c r="DA90" s="584"/>
      <c r="DB90" s="584"/>
      <c r="DC90" s="584"/>
      <c r="DD90" s="584"/>
      <c r="DE90" s="584"/>
      <c r="DF90" s="584"/>
      <c r="DG90" s="584"/>
      <c r="DH90" s="585"/>
      <c r="DI90" s="568"/>
      <c r="DJ90" s="569"/>
      <c r="DK90" s="569"/>
      <c r="DL90" s="569"/>
      <c r="DM90" s="569"/>
      <c r="DN90" s="569"/>
      <c r="DO90" s="569"/>
      <c r="DP90" s="569"/>
      <c r="DQ90" s="569"/>
      <c r="DR90" s="569"/>
      <c r="DS90" s="569"/>
      <c r="DT90" s="569"/>
      <c r="DU90" s="570"/>
      <c r="DV90" s="583"/>
      <c r="DW90" s="584"/>
      <c r="DX90" s="584"/>
      <c r="DY90" s="584"/>
      <c r="DZ90" s="584"/>
      <c r="EA90" s="584"/>
      <c r="EB90" s="584"/>
      <c r="EC90" s="584"/>
      <c r="ED90" s="584"/>
      <c r="EE90" s="584"/>
      <c r="EF90" s="584"/>
      <c r="EG90" s="584"/>
      <c r="EH90" s="585"/>
      <c r="EI90" s="79"/>
      <c r="EJ90" s="79"/>
      <c r="EK90" s="692"/>
      <c r="EL90" s="692"/>
      <c r="EM90" s="692"/>
      <c r="EN90" s="692"/>
      <c r="EO90" s="692"/>
      <c r="EP90" s="692"/>
      <c r="EQ90" s="692"/>
      <c r="ER90" s="692"/>
      <c r="ES90" s="692"/>
      <c r="ET90" s="692"/>
      <c r="EU90" s="692"/>
      <c r="EV90" s="692"/>
      <c r="EW90" s="692"/>
      <c r="EX90" s="692"/>
      <c r="EY90" s="692"/>
      <c r="EZ90" s="692"/>
      <c r="FA90" s="692"/>
      <c r="FB90" s="692"/>
      <c r="FC90" s="692"/>
      <c r="FD90" s="692"/>
      <c r="FE90" s="692"/>
      <c r="FF90" s="692"/>
      <c r="FG90" s="692"/>
      <c r="FH90" s="692"/>
      <c r="FI90" s="692"/>
      <c r="FJ90" s="10"/>
      <c r="FK90" s="10"/>
      <c r="FL90" s="10"/>
      <c r="FM90" s="116"/>
      <c r="FN90" s="116"/>
      <c r="FO90" s="85"/>
      <c r="FP90" s="116"/>
      <c r="FQ90" s="522"/>
      <c r="FR90" s="592"/>
      <c r="FS90" s="522"/>
      <c r="FT90" s="522"/>
      <c r="FU90" s="522"/>
      <c r="FV90" s="522"/>
      <c r="FW90" s="522"/>
      <c r="FX90" s="522"/>
      <c r="FY90" s="32"/>
      <c r="FZ90" s="32"/>
      <c r="GA90" s="32"/>
      <c r="GB90" s="32"/>
      <c r="GC90" s="32"/>
      <c r="GD90" s="32"/>
      <c r="GE90" s="32"/>
      <c r="GF90" s="32"/>
      <c r="GG90" s="32"/>
      <c r="GH90" s="32"/>
      <c r="GI90" s="32"/>
      <c r="GJ90" s="32"/>
      <c r="GK90" s="32"/>
      <c r="GL90" s="32"/>
      <c r="GM90" s="49"/>
      <c r="GN90" s="49"/>
      <c r="GO90" s="49"/>
      <c r="GP90" s="49"/>
      <c r="GQ90" s="49"/>
      <c r="GR90" s="49"/>
      <c r="GS90" s="49"/>
      <c r="GT90" s="49"/>
      <c r="GU90" s="49"/>
      <c r="GV90" s="49"/>
      <c r="GW90" s="49"/>
      <c r="GX90" s="49"/>
      <c r="GY90" s="49"/>
      <c r="GZ90" s="49"/>
      <c r="HA90" s="49"/>
      <c r="HB90" s="49"/>
      <c r="HC90" s="49"/>
      <c r="HD90" s="49"/>
      <c r="HE90" s="49"/>
      <c r="HF90" s="49"/>
      <c r="HG90" s="49"/>
      <c r="HH90" s="49"/>
      <c r="HI90" s="49"/>
      <c r="HJ90" s="49"/>
      <c r="HK90" s="49"/>
      <c r="HL90" s="49"/>
      <c r="HM90" s="49"/>
      <c r="HN90" s="49"/>
    </row>
    <row r="91" spans="1:222" ht="11.25" customHeight="1" thickBot="1">
      <c r="A91" s="1"/>
      <c r="B91" s="3"/>
      <c r="C91" s="3"/>
      <c r="D91" s="12"/>
      <c r="E91" s="10"/>
      <c r="F91" s="10"/>
      <c r="G91" s="10"/>
      <c r="H91" s="10"/>
      <c r="I91" s="586"/>
      <c r="J91" s="587"/>
      <c r="K91" s="587"/>
      <c r="L91" s="587"/>
      <c r="M91" s="587"/>
      <c r="N91" s="587"/>
      <c r="O91" s="587"/>
      <c r="P91" s="587"/>
      <c r="Q91" s="587"/>
      <c r="R91" s="587"/>
      <c r="S91" s="587"/>
      <c r="T91" s="587"/>
      <c r="U91" s="588"/>
      <c r="V91" s="586"/>
      <c r="W91" s="587"/>
      <c r="X91" s="587"/>
      <c r="Y91" s="587"/>
      <c r="Z91" s="587"/>
      <c r="AA91" s="587"/>
      <c r="AB91" s="587"/>
      <c r="AC91" s="587"/>
      <c r="AD91" s="587"/>
      <c r="AE91" s="587"/>
      <c r="AF91" s="587"/>
      <c r="AG91" s="587"/>
      <c r="AH91" s="588"/>
      <c r="AI91" s="565" t="str">
        <f ca="1">IF(FO$29=0,"",FS91)</f>
        <v/>
      </c>
      <c r="AJ91" s="566"/>
      <c r="AK91" s="566"/>
      <c r="AL91" s="566"/>
      <c r="AM91" s="566"/>
      <c r="AN91" s="566"/>
      <c r="AO91" s="566"/>
      <c r="AP91" s="566"/>
      <c r="AQ91" s="566"/>
      <c r="AR91" s="566"/>
      <c r="AS91" s="566"/>
      <c r="AT91" s="566"/>
      <c r="AU91" s="567"/>
      <c r="AV91" s="586"/>
      <c r="AW91" s="587"/>
      <c r="AX91" s="587"/>
      <c r="AY91" s="587"/>
      <c r="AZ91" s="587"/>
      <c r="BA91" s="587"/>
      <c r="BB91" s="587"/>
      <c r="BC91" s="587"/>
      <c r="BD91" s="587"/>
      <c r="BE91" s="587"/>
      <c r="BF91" s="587"/>
      <c r="BG91" s="587"/>
      <c r="BH91" s="588"/>
      <c r="BI91" s="586"/>
      <c r="BJ91" s="587"/>
      <c r="BK91" s="587"/>
      <c r="BL91" s="587"/>
      <c r="BM91" s="587"/>
      <c r="BN91" s="587"/>
      <c r="BO91" s="587"/>
      <c r="BP91" s="587"/>
      <c r="BQ91" s="587"/>
      <c r="BR91" s="587"/>
      <c r="BS91" s="587"/>
      <c r="BT91" s="587"/>
      <c r="BU91" s="588"/>
      <c r="BV91" s="565" t="str">
        <f ca="1">IF(FO$29=0,"",FV91)</f>
        <v/>
      </c>
      <c r="BW91" s="566"/>
      <c r="BX91" s="566"/>
      <c r="BY91" s="566"/>
      <c r="BZ91" s="566"/>
      <c r="CA91" s="566"/>
      <c r="CB91" s="566"/>
      <c r="CC91" s="566"/>
      <c r="CD91" s="566"/>
      <c r="CE91" s="566"/>
      <c r="CF91" s="566"/>
      <c r="CG91" s="566"/>
      <c r="CH91" s="567"/>
      <c r="CI91" s="586"/>
      <c r="CJ91" s="587"/>
      <c r="CK91" s="587"/>
      <c r="CL91" s="587"/>
      <c r="CM91" s="587"/>
      <c r="CN91" s="587"/>
      <c r="CO91" s="587"/>
      <c r="CP91" s="587"/>
      <c r="CQ91" s="587"/>
      <c r="CR91" s="587"/>
      <c r="CS91" s="587"/>
      <c r="CT91" s="587"/>
      <c r="CU91" s="588"/>
      <c r="CV91" s="586"/>
      <c r="CW91" s="587"/>
      <c r="CX91" s="587"/>
      <c r="CY91" s="587"/>
      <c r="CZ91" s="587"/>
      <c r="DA91" s="587"/>
      <c r="DB91" s="587"/>
      <c r="DC91" s="587"/>
      <c r="DD91" s="587"/>
      <c r="DE91" s="587"/>
      <c r="DF91" s="587"/>
      <c r="DG91" s="587"/>
      <c r="DH91" s="588"/>
      <c r="DI91" s="565" t="str">
        <f ca="1">IF(FO$29=0,"",GA91)</f>
        <v/>
      </c>
      <c r="DJ91" s="566"/>
      <c r="DK91" s="566"/>
      <c r="DL91" s="566"/>
      <c r="DM91" s="566"/>
      <c r="DN91" s="566"/>
      <c r="DO91" s="566"/>
      <c r="DP91" s="566"/>
      <c r="DQ91" s="566"/>
      <c r="DR91" s="566"/>
      <c r="DS91" s="566"/>
      <c r="DT91" s="566"/>
      <c r="DU91" s="567"/>
      <c r="DV91" s="586"/>
      <c r="DW91" s="587"/>
      <c r="DX91" s="587"/>
      <c r="DY91" s="587"/>
      <c r="DZ91" s="587"/>
      <c r="EA91" s="587"/>
      <c r="EB91" s="587"/>
      <c r="EC91" s="587"/>
      <c r="ED91" s="587"/>
      <c r="EE91" s="587"/>
      <c r="EF91" s="587"/>
      <c r="EG91" s="587"/>
      <c r="EH91" s="588"/>
      <c r="EI91" s="79"/>
      <c r="EJ91" s="79"/>
      <c r="EK91" s="692"/>
      <c r="EL91" s="692"/>
      <c r="EM91" s="692"/>
      <c r="EN91" s="692"/>
      <c r="EO91" s="692"/>
      <c r="EP91" s="692"/>
      <c r="EQ91" s="692"/>
      <c r="ER91" s="692"/>
      <c r="ES91" s="692"/>
      <c r="ET91" s="692"/>
      <c r="EU91" s="692"/>
      <c r="EV91" s="692"/>
      <c r="EW91" s="692"/>
      <c r="EX91" s="692"/>
      <c r="EY91" s="692"/>
      <c r="EZ91" s="692"/>
      <c r="FA91" s="692"/>
      <c r="FB91" s="692"/>
      <c r="FC91" s="692"/>
      <c r="FD91" s="692"/>
      <c r="FE91" s="692"/>
      <c r="FF91" s="692"/>
      <c r="FG91" s="692"/>
      <c r="FH91" s="692"/>
      <c r="FI91" s="692"/>
      <c r="FJ91" s="10"/>
      <c r="FK91" s="10"/>
      <c r="FL91" s="10"/>
      <c r="FM91" s="116"/>
      <c r="FN91" s="116"/>
      <c r="FO91" s="248" t="e">
        <f ca="1">IF(AND(CV80&gt;FZ80-0.001,CV80&lt;FZ80+0.001),1,IF(AND(CV80&gt;ROUND((FR80-FU80),0)-0.001,CV80&lt;ROUND((FR80-FU80),0)+0.001),1,IF(AND(CV80&gt;ROUND(GB80*FQ80,0)-0.001,CV80&lt;ROUND(GB80*FQ80,0)+0.001),1,IF(AND(CV80&gt;ROUND((FT80-FW80)*FQ80,0)-0.001,CV80&lt;ROUND((FT80-FW80)*FQ80,0)+0.001),1,0))))</f>
        <v>#VALUE!</v>
      </c>
      <c r="FP91" s="206"/>
      <c r="FQ91" s="522"/>
      <c r="FR91" s="592"/>
      <c r="FS91" s="592" t="e">
        <f ca="1">ROUND((FR92-FR89)/(FQ92-FQ89),0)</f>
        <v>#VALUE!</v>
      </c>
      <c r="FT91" s="522"/>
      <c r="FU91" s="522"/>
      <c r="FV91" s="592" t="e">
        <f ca="1">ROUND((FU92-FU89)/(FQ92-FQ89),0)</f>
        <v>#VALUE!</v>
      </c>
      <c r="FW91" s="522"/>
      <c r="FX91" s="522"/>
      <c r="FY91" s="32"/>
      <c r="FZ91" s="32"/>
      <c r="GA91" s="32" t="e">
        <f ca="1">ROUND((FZ92-FZ89)/(FQ92-FQ89),0)</f>
        <v>#VALUE!</v>
      </c>
      <c r="GB91" s="32"/>
      <c r="GC91" s="32"/>
      <c r="GD91" s="32"/>
      <c r="GE91" s="32"/>
      <c r="GF91" s="32"/>
      <c r="GG91" s="32"/>
      <c r="GH91" s="32"/>
      <c r="GI91" s="32"/>
      <c r="GJ91" s="32"/>
      <c r="GK91" s="32"/>
      <c r="GL91" s="32"/>
      <c r="GM91" s="49"/>
      <c r="GN91" s="49"/>
      <c r="GO91" s="49"/>
      <c r="GP91" s="49"/>
      <c r="GQ91" s="49"/>
      <c r="GR91" s="49"/>
      <c r="GS91" s="49"/>
      <c r="GT91" s="49"/>
      <c r="GU91" s="49"/>
      <c r="GV91" s="49"/>
      <c r="GW91" s="49"/>
      <c r="GX91" s="49"/>
      <c r="GY91" s="49"/>
      <c r="GZ91" s="49"/>
      <c r="HA91" s="49"/>
      <c r="HB91" s="49"/>
      <c r="HC91" s="49"/>
      <c r="HD91" s="49"/>
      <c r="HE91" s="49"/>
      <c r="HF91" s="49"/>
      <c r="HG91" s="49"/>
      <c r="HH91" s="49"/>
      <c r="HI91" s="49"/>
      <c r="HJ91" s="49"/>
      <c r="HK91" s="49"/>
      <c r="HL91" s="49"/>
      <c r="HM91" s="49"/>
      <c r="HN91" s="49"/>
    </row>
    <row r="92" spans="1:222" ht="3.75" customHeight="1">
      <c r="A92" s="1"/>
      <c r="B92" s="3"/>
      <c r="C92" s="3"/>
      <c r="D92" s="12"/>
      <c r="E92" s="10"/>
      <c r="F92" s="10"/>
      <c r="G92" s="10"/>
      <c r="H92" s="10"/>
      <c r="I92" s="665" t="str">
        <f ca="1">IF(FO$29=0,"",FQ92)</f>
        <v/>
      </c>
      <c r="J92" s="581"/>
      <c r="K92" s="581"/>
      <c r="L92" s="581"/>
      <c r="M92" s="581"/>
      <c r="N92" s="581"/>
      <c r="O92" s="581"/>
      <c r="P92" s="581"/>
      <c r="Q92" s="581"/>
      <c r="R92" s="581"/>
      <c r="S92" s="581"/>
      <c r="T92" s="581"/>
      <c r="U92" s="582"/>
      <c r="V92" s="665" t="str">
        <f ca="1">IF(FO$29=0,"",FR92)</f>
        <v/>
      </c>
      <c r="W92" s="581"/>
      <c r="X92" s="581"/>
      <c r="Y92" s="581"/>
      <c r="Z92" s="581"/>
      <c r="AA92" s="581"/>
      <c r="AB92" s="581"/>
      <c r="AC92" s="581"/>
      <c r="AD92" s="581"/>
      <c r="AE92" s="581"/>
      <c r="AF92" s="581"/>
      <c r="AG92" s="581"/>
      <c r="AH92" s="582"/>
      <c r="AI92" s="589"/>
      <c r="AJ92" s="687"/>
      <c r="AK92" s="687"/>
      <c r="AL92" s="687"/>
      <c r="AM92" s="687"/>
      <c r="AN92" s="687"/>
      <c r="AO92" s="687"/>
      <c r="AP92" s="687"/>
      <c r="AQ92" s="687"/>
      <c r="AR92" s="687"/>
      <c r="AS92" s="687"/>
      <c r="AT92" s="687"/>
      <c r="AU92" s="591"/>
      <c r="AV92" s="665" t="str">
        <f ca="1">IF(FO$29=0,"",FT92)</f>
        <v/>
      </c>
      <c r="AW92" s="581"/>
      <c r="AX92" s="581"/>
      <c r="AY92" s="581"/>
      <c r="AZ92" s="581"/>
      <c r="BA92" s="581"/>
      <c r="BB92" s="581"/>
      <c r="BC92" s="581"/>
      <c r="BD92" s="581"/>
      <c r="BE92" s="581"/>
      <c r="BF92" s="581"/>
      <c r="BG92" s="581"/>
      <c r="BH92" s="582"/>
      <c r="BI92" s="665" t="str">
        <f ca="1">IF(FO$29=0,"",FU92)</f>
        <v/>
      </c>
      <c r="BJ92" s="581"/>
      <c r="BK92" s="581"/>
      <c r="BL92" s="581"/>
      <c r="BM92" s="581"/>
      <c r="BN92" s="581"/>
      <c r="BO92" s="581"/>
      <c r="BP92" s="581"/>
      <c r="BQ92" s="581"/>
      <c r="BR92" s="581"/>
      <c r="BS92" s="581"/>
      <c r="BT92" s="581"/>
      <c r="BU92" s="582"/>
      <c r="BV92" s="589"/>
      <c r="BW92" s="687"/>
      <c r="BX92" s="687"/>
      <c r="BY92" s="687"/>
      <c r="BZ92" s="687"/>
      <c r="CA92" s="687"/>
      <c r="CB92" s="687"/>
      <c r="CC92" s="687"/>
      <c r="CD92" s="687"/>
      <c r="CE92" s="687"/>
      <c r="CF92" s="687"/>
      <c r="CG92" s="687"/>
      <c r="CH92" s="591"/>
      <c r="CI92" s="665" t="str">
        <f ca="1">IF(FO$29=0,"",FW92)</f>
        <v/>
      </c>
      <c r="CJ92" s="581"/>
      <c r="CK92" s="581"/>
      <c r="CL92" s="581"/>
      <c r="CM92" s="581"/>
      <c r="CN92" s="581"/>
      <c r="CO92" s="581"/>
      <c r="CP92" s="581"/>
      <c r="CQ92" s="581"/>
      <c r="CR92" s="581"/>
      <c r="CS92" s="581"/>
      <c r="CT92" s="581"/>
      <c r="CU92" s="582"/>
      <c r="CV92" s="665" t="str">
        <f ca="1">IF(FO$29=0,"",FZ92)</f>
        <v/>
      </c>
      <c r="CW92" s="581"/>
      <c r="CX92" s="581"/>
      <c r="CY92" s="581"/>
      <c r="CZ92" s="581"/>
      <c r="DA92" s="581"/>
      <c r="DB92" s="581"/>
      <c r="DC92" s="581"/>
      <c r="DD92" s="581"/>
      <c r="DE92" s="581"/>
      <c r="DF92" s="581"/>
      <c r="DG92" s="581"/>
      <c r="DH92" s="582"/>
      <c r="DI92" s="589"/>
      <c r="DJ92" s="687"/>
      <c r="DK92" s="687"/>
      <c r="DL92" s="687"/>
      <c r="DM92" s="687"/>
      <c r="DN92" s="687"/>
      <c r="DO92" s="687"/>
      <c r="DP92" s="687"/>
      <c r="DQ92" s="687"/>
      <c r="DR92" s="687"/>
      <c r="DS92" s="687"/>
      <c r="DT92" s="687"/>
      <c r="DU92" s="591"/>
      <c r="DV92" s="665" t="str">
        <f ca="1">IF(FO$29=0,"",GB92)</f>
        <v/>
      </c>
      <c r="DW92" s="581"/>
      <c r="DX92" s="581"/>
      <c r="DY92" s="581"/>
      <c r="DZ92" s="581"/>
      <c r="EA92" s="581"/>
      <c r="EB92" s="581"/>
      <c r="EC92" s="581"/>
      <c r="ED92" s="581"/>
      <c r="EE92" s="581"/>
      <c r="EF92" s="581"/>
      <c r="EG92" s="581"/>
      <c r="EH92" s="582"/>
      <c r="EI92" s="79"/>
      <c r="EJ92" s="79"/>
      <c r="EK92" s="79"/>
      <c r="EL92" s="79"/>
      <c r="EM92" s="79"/>
      <c r="EN92" s="79"/>
      <c r="EO92" s="39"/>
      <c r="EP92" s="39"/>
      <c r="EQ92" s="39"/>
      <c r="ER92" s="39"/>
      <c r="ES92" s="39"/>
      <c r="ET92" s="39"/>
      <c r="EU92" s="39"/>
      <c r="EV92" s="39"/>
      <c r="EW92" s="39"/>
      <c r="EX92" s="39"/>
      <c r="EY92" s="10"/>
      <c r="EZ92" s="10"/>
      <c r="FA92" s="10"/>
      <c r="FB92" s="10"/>
      <c r="FC92" s="10"/>
      <c r="FD92" s="10"/>
      <c r="FE92" s="10"/>
      <c r="FF92" s="25"/>
      <c r="FG92" s="25"/>
      <c r="FH92" s="10"/>
      <c r="FI92" s="10"/>
      <c r="FJ92" s="10"/>
      <c r="FK92" s="10"/>
      <c r="FL92" s="10"/>
      <c r="FM92" s="116"/>
      <c r="FN92" s="116"/>
      <c r="FO92" s="85"/>
      <c r="FP92" s="116"/>
      <c r="FQ92" s="592" t="e">
        <f ca="1">ROUND(GC41,0)</f>
        <v>#VALUE!</v>
      </c>
      <c r="FR92" s="592" t="e">
        <f ca="1">ROUND(-GH$40*FQ92^2+GI$40*FQ92,0)</f>
        <v>#VALUE!</v>
      </c>
      <c r="FS92" s="522"/>
      <c r="FT92" s="592" t="e">
        <f ca="1">ROUND(FR92/FQ92,0)</f>
        <v>#VALUE!</v>
      </c>
      <c r="FU92" s="592" t="e">
        <f ca="1">ROUND(GL40*FQ92^3+GM40*FQ92^2+GN40*FQ92^1+GO40,0)</f>
        <v>#VALUE!</v>
      </c>
      <c r="FV92" s="522"/>
      <c r="FW92" s="592" t="e">
        <f ca="1">ROUND(FU92/FQ92,0)</f>
        <v>#VALUE!</v>
      </c>
      <c r="FX92" s="592" t="e">
        <f ca="1">ROUND(GL40*FQ92^3+GM40*FQ92^2+GN40*FQ92^1,0)</f>
        <v>#VALUE!</v>
      </c>
      <c r="FY92" s="32" t="e">
        <f ca="1">ROUND(FX92/FQ92,0)</f>
        <v>#VALUE!</v>
      </c>
      <c r="FZ92" s="32" t="e">
        <f ca="1">FR92-FU92</f>
        <v>#VALUE!</v>
      </c>
      <c r="GA92" s="32"/>
      <c r="GB92" s="32" t="e">
        <f ca="1">ROUND(FZ92/FQ92,0)</f>
        <v>#VALUE!</v>
      </c>
      <c r="GC92" s="32"/>
      <c r="GD92" s="32"/>
      <c r="GE92" s="32"/>
      <c r="GF92" s="32"/>
      <c r="GG92" s="32"/>
      <c r="GH92" s="32"/>
      <c r="GI92" s="32"/>
      <c r="GJ92" s="32"/>
      <c r="GK92" s="32"/>
      <c r="GL92" s="32"/>
      <c r="GM92" s="49"/>
      <c r="GN92" s="49"/>
      <c r="GO92" s="49"/>
      <c r="GP92" s="49"/>
      <c r="GQ92" s="49"/>
      <c r="GR92" s="49"/>
      <c r="GS92" s="49"/>
      <c r="GT92" s="49"/>
      <c r="GU92" s="49"/>
      <c r="GV92" s="49"/>
      <c r="GW92" s="49"/>
      <c r="GX92" s="49"/>
      <c r="GY92" s="49"/>
      <c r="GZ92" s="49"/>
      <c r="HA92" s="49"/>
      <c r="HB92" s="49"/>
      <c r="HC92" s="49"/>
      <c r="HD92" s="49"/>
      <c r="HE92" s="49"/>
      <c r="HF92" s="49"/>
      <c r="HG92" s="49"/>
      <c r="HH92" s="49"/>
      <c r="HI92" s="49"/>
      <c r="HJ92" s="49"/>
      <c r="HK92" s="49"/>
      <c r="HL92" s="49"/>
      <c r="HM92" s="49"/>
      <c r="HN92" s="49"/>
    </row>
    <row r="93" spans="1:222" ht="7.5" customHeight="1" thickBot="1">
      <c r="A93" s="1"/>
      <c r="B93" s="3"/>
      <c r="C93" s="3"/>
      <c r="D93" s="12"/>
      <c r="E93" s="10"/>
      <c r="F93" s="10"/>
      <c r="G93" s="10"/>
      <c r="H93" s="10"/>
      <c r="I93" s="583"/>
      <c r="J93" s="584"/>
      <c r="K93" s="584"/>
      <c r="L93" s="584"/>
      <c r="M93" s="584"/>
      <c r="N93" s="584"/>
      <c r="O93" s="584"/>
      <c r="P93" s="584"/>
      <c r="Q93" s="584"/>
      <c r="R93" s="584"/>
      <c r="S93" s="584"/>
      <c r="T93" s="584"/>
      <c r="U93" s="585"/>
      <c r="V93" s="583"/>
      <c r="W93" s="584"/>
      <c r="X93" s="584"/>
      <c r="Y93" s="584"/>
      <c r="Z93" s="584"/>
      <c r="AA93" s="584"/>
      <c r="AB93" s="584"/>
      <c r="AC93" s="584"/>
      <c r="AD93" s="584"/>
      <c r="AE93" s="584"/>
      <c r="AF93" s="584"/>
      <c r="AG93" s="584"/>
      <c r="AH93" s="585"/>
      <c r="AI93" s="568"/>
      <c r="AJ93" s="569"/>
      <c r="AK93" s="569"/>
      <c r="AL93" s="569"/>
      <c r="AM93" s="569"/>
      <c r="AN93" s="569"/>
      <c r="AO93" s="569"/>
      <c r="AP93" s="569"/>
      <c r="AQ93" s="569"/>
      <c r="AR93" s="569"/>
      <c r="AS93" s="569"/>
      <c r="AT93" s="569"/>
      <c r="AU93" s="570"/>
      <c r="AV93" s="583"/>
      <c r="AW93" s="584"/>
      <c r="AX93" s="584"/>
      <c r="AY93" s="584"/>
      <c r="AZ93" s="584"/>
      <c r="BA93" s="584"/>
      <c r="BB93" s="584"/>
      <c r="BC93" s="584"/>
      <c r="BD93" s="584"/>
      <c r="BE93" s="584"/>
      <c r="BF93" s="584"/>
      <c r="BG93" s="584"/>
      <c r="BH93" s="585"/>
      <c r="BI93" s="583"/>
      <c r="BJ93" s="584"/>
      <c r="BK93" s="584"/>
      <c r="BL93" s="584"/>
      <c r="BM93" s="584"/>
      <c r="BN93" s="584"/>
      <c r="BO93" s="584"/>
      <c r="BP93" s="584"/>
      <c r="BQ93" s="584"/>
      <c r="BR93" s="584"/>
      <c r="BS93" s="584"/>
      <c r="BT93" s="584"/>
      <c r="BU93" s="585"/>
      <c r="BV93" s="568"/>
      <c r="BW93" s="569"/>
      <c r="BX93" s="569"/>
      <c r="BY93" s="569"/>
      <c r="BZ93" s="569"/>
      <c r="CA93" s="569"/>
      <c r="CB93" s="569"/>
      <c r="CC93" s="569"/>
      <c r="CD93" s="569"/>
      <c r="CE93" s="569"/>
      <c r="CF93" s="569"/>
      <c r="CG93" s="569"/>
      <c r="CH93" s="570"/>
      <c r="CI93" s="583"/>
      <c r="CJ93" s="584"/>
      <c r="CK93" s="584"/>
      <c r="CL93" s="584"/>
      <c r="CM93" s="584"/>
      <c r="CN93" s="584"/>
      <c r="CO93" s="584"/>
      <c r="CP93" s="584"/>
      <c r="CQ93" s="584"/>
      <c r="CR93" s="584"/>
      <c r="CS93" s="584"/>
      <c r="CT93" s="584"/>
      <c r="CU93" s="585"/>
      <c r="CV93" s="583"/>
      <c r="CW93" s="584"/>
      <c r="CX93" s="584"/>
      <c r="CY93" s="584"/>
      <c r="CZ93" s="584"/>
      <c r="DA93" s="584"/>
      <c r="DB93" s="584"/>
      <c r="DC93" s="584"/>
      <c r="DD93" s="584"/>
      <c r="DE93" s="584"/>
      <c r="DF93" s="584"/>
      <c r="DG93" s="584"/>
      <c r="DH93" s="585"/>
      <c r="DI93" s="568"/>
      <c r="DJ93" s="569"/>
      <c r="DK93" s="569"/>
      <c r="DL93" s="569"/>
      <c r="DM93" s="569"/>
      <c r="DN93" s="569"/>
      <c r="DO93" s="569"/>
      <c r="DP93" s="569"/>
      <c r="DQ93" s="569"/>
      <c r="DR93" s="569"/>
      <c r="DS93" s="569"/>
      <c r="DT93" s="569"/>
      <c r="DU93" s="570"/>
      <c r="DV93" s="583"/>
      <c r="DW93" s="584"/>
      <c r="DX93" s="584"/>
      <c r="DY93" s="584"/>
      <c r="DZ93" s="584"/>
      <c r="EA93" s="584"/>
      <c r="EB93" s="584"/>
      <c r="EC93" s="584"/>
      <c r="ED93" s="584"/>
      <c r="EE93" s="584"/>
      <c r="EF93" s="584"/>
      <c r="EG93" s="584"/>
      <c r="EH93" s="585"/>
      <c r="EI93" s="79"/>
      <c r="EJ93" s="79"/>
      <c r="EK93" s="79"/>
      <c r="EL93" s="79"/>
      <c r="EM93" s="79"/>
      <c r="EN93" s="79"/>
      <c r="EO93" s="39"/>
      <c r="EP93" s="39"/>
      <c r="EQ93" s="39"/>
      <c r="ER93" s="39"/>
      <c r="ES93" s="39"/>
      <c r="ET93" s="39"/>
      <c r="EU93" s="39"/>
      <c r="EV93" s="39"/>
      <c r="EW93" s="39"/>
      <c r="EX93" s="39"/>
      <c r="EY93" s="10"/>
      <c r="EZ93" s="10"/>
      <c r="FA93" s="10"/>
      <c r="FB93" s="10"/>
      <c r="FC93" s="10"/>
      <c r="FD93" s="10"/>
      <c r="FE93" s="10"/>
      <c r="FF93" s="25"/>
      <c r="FG93" s="25"/>
      <c r="FH93" s="10"/>
      <c r="FI93" s="10"/>
      <c r="FJ93" s="10"/>
      <c r="FK93" s="10"/>
      <c r="FL93" s="10"/>
      <c r="FM93" s="116"/>
      <c r="FN93" s="116"/>
      <c r="FO93" s="85"/>
      <c r="FP93" s="116"/>
      <c r="FQ93" s="522"/>
      <c r="FR93" s="592"/>
      <c r="FS93" s="522"/>
      <c r="FT93" s="522"/>
      <c r="FU93" s="522"/>
      <c r="FV93" s="522"/>
      <c r="FW93" s="522"/>
      <c r="FX93" s="522"/>
      <c r="FY93" s="32"/>
      <c r="FZ93" s="32"/>
      <c r="GA93" s="32"/>
      <c r="GB93" s="32"/>
      <c r="GC93" s="32"/>
      <c r="GD93" s="32"/>
      <c r="GE93" s="32"/>
      <c r="GF93" s="32"/>
      <c r="GG93" s="32"/>
      <c r="GH93" s="32"/>
      <c r="GI93" s="32"/>
      <c r="GJ93" s="32"/>
      <c r="GK93" s="32"/>
      <c r="GL93" s="32"/>
      <c r="GM93" s="49"/>
      <c r="GN93" s="49"/>
      <c r="GO93" s="49"/>
      <c r="GP93" s="49"/>
      <c r="GQ93" s="49"/>
      <c r="GR93" s="49"/>
      <c r="GS93" s="49"/>
      <c r="GT93" s="49"/>
      <c r="GU93" s="49"/>
      <c r="GV93" s="49"/>
      <c r="GW93" s="49"/>
      <c r="GX93" s="49"/>
      <c r="GY93" s="49"/>
      <c r="GZ93" s="49"/>
      <c r="HA93" s="49"/>
      <c r="HB93" s="49"/>
      <c r="HC93" s="49"/>
      <c r="HD93" s="49"/>
      <c r="HE93" s="49"/>
      <c r="HF93" s="49"/>
      <c r="HG93" s="49"/>
      <c r="HH93" s="49"/>
      <c r="HI93" s="49"/>
      <c r="HJ93" s="49"/>
      <c r="HK93" s="49"/>
      <c r="HL93" s="49"/>
      <c r="HM93" s="49"/>
      <c r="HN93" s="49"/>
    </row>
    <row r="94" spans="1:222" ht="11.25" customHeight="1" thickBot="1">
      <c r="A94" s="1"/>
      <c r="B94" s="3"/>
      <c r="C94" s="3"/>
      <c r="D94" s="12"/>
      <c r="E94" s="10"/>
      <c r="F94" s="10"/>
      <c r="G94" s="10"/>
      <c r="H94" s="10"/>
      <c r="I94" s="586"/>
      <c r="J94" s="587"/>
      <c r="K94" s="587"/>
      <c r="L94" s="587"/>
      <c r="M94" s="587"/>
      <c r="N94" s="587"/>
      <c r="O94" s="587"/>
      <c r="P94" s="587"/>
      <c r="Q94" s="587"/>
      <c r="R94" s="587"/>
      <c r="S94" s="587"/>
      <c r="T94" s="587"/>
      <c r="U94" s="588"/>
      <c r="V94" s="586"/>
      <c r="W94" s="587"/>
      <c r="X94" s="587"/>
      <c r="Y94" s="587"/>
      <c r="Z94" s="587"/>
      <c r="AA94" s="587"/>
      <c r="AB94" s="587"/>
      <c r="AC94" s="587"/>
      <c r="AD94" s="587"/>
      <c r="AE94" s="587"/>
      <c r="AF94" s="587"/>
      <c r="AG94" s="587"/>
      <c r="AH94" s="588"/>
      <c r="AI94" s="565" t="str">
        <f ca="1">IF(FO$29=0,"",FS94)</f>
        <v/>
      </c>
      <c r="AJ94" s="566"/>
      <c r="AK94" s="566"/>
      <c r="AL94" s="566"/>
      <c r="AM94" s="566"/>
      <c r="AN94" s="566"/>
      <c r="AO94" s="566"/>
      <c r="AP94" s="566"/>
      <c r="AQ94" s="566"/>
      <c r="AR94" s="566"/>
      <c r="AS94" s="566"/>
      <c r="AT94" s="566"/>
      <c r="AU94" s="567"/>
      <c r="AV94" s="586"/>
      <c r="AW94" s="587"/>
      <c r="AX94" s="587"/>
      <c r="AY94" s="587"/>
      <c r="AZ94" s="587"/>
      <c r="BA94" s="587"/>
      <c r="BB94" s="587"/>
      <c r="BC94" s="587"/>
      <c r="BD94" s="587"/>
      <c r="BE94" s="587"/>
      <c r="BF94" s="587"/>
      <c r="BG94" s="587"/>
      <c r="BH94" s="588"/>
      <c r="BI94" s="586"/>
      <c r="BJ94" s="587"/>
      <c r="BK94" s="587"/>
      <c r="BL94" s="587"/>
      <c r="BM94" s="587"/>
      <c r="BN94" s="587"/>
      <c r="BO94" s="587"/>
      <c r="BP94" s="587"/>
      <c r="BQ94" s="587"/>
      <c r="BR94" s="587"/>
      <c r="BS94" s="587"/>
      <c r="BT94" s="587"/>
      <c r="BU94" s="588"/>
      <c r="BV94" s="565" t="str">
        <f ca="1">IF(FO$29=0,"",FV94)</f>
        <v/>
      </c>
      <c r="BW94" s="566"/>
      <c r="BX94" s="566"/>
      <c r="BY94" s="566"/>
      <c r="BZ94" s="566"/>
      <c r="CA94" s="566"/>
      <c r="CB94" s="566"/>
      <c r="CC94" s="566"/>
      <c r="CD94" s="566"/>
      <c r="CE94" s="566"/>
      <c r="CF94" s="566"/>
      <c r="CG94" s="566"/>
      <c r="CH94" s="567"/>
      <c r="CI94" s="586"/>
      <c r="CJ94" s="587"/>
      <c r="CK94" s="587"/>
      <c r="CL94" s="587"/>
      <c r="CM94" s="587"/>
      <c r="CN94" s="587"/>
      <c r="CO94" s="587"/>
      <c r="CP94" s="587"/>
      <c r="CQ94" s="587"/>
      <c r="CR94" s="587"/>
      <c r="CS94" s="587"/>
      <c r="CT94" s="587"/>
      <c r="CU94" s="588"/>
      <c r="CV94" s="586"/>
      <c r="CW94" s="587"/>
      <c r="CX94" s="587"/>
      <c r="CY94" s="587"/>
      <c r="CZ94" s="587"/>
      <c r="DA94" s="587"/>
      <c r="DB94" s="587"/>
      <c r="DC94" s="587"/>
      <c r="DD94" s="587"/>
      <c r="DE94" s="587"/>
      <c r="DF94" s="587"/>
      <c r="DG94" s="587"/>
      <c r="DH94" s="588"/>
      <c r="DI94" s="565" t="str">
        <f ca="1">IF(FO$29=0,"",GA94)</f>
        <v/>
      </c>
      <c r="DJ94" s="566"/>
      <c r="DK94" s="566"/>
      <c r="DL94" s="566"/>
      <c r="DM94" s="566"/>
      <c r="DN94" s="566"/>
      <c r="DO94" s="566"/>
      <c r="DP94" s="566"/>
      <c r="DQ94" s="566"/>
      <c r="DR94" s="566"/>
      <c r="DS94" s="566"/>
      <c r="DT94" s="566"/>
      <c r="DU94" s="567"/>
      <c r="DV94" s="586"/>
      <c r="DW94" s="587"/>
      <c r="DX94" s="587"/>
      <c r="DY94" s="587"/>
      <c r="DZ94" s="587"/>
      <c r="EA94" s="587"/>
      <c r="EB94" s="587"/>
      <c r="EC94" s="587"/>
      <c r="ED94" s="587"/>
      <c r="EE94" s="587"/>
      <c r="EF94" s="587"/>
      <c r="EG94" s="587"/>
      <c r="EH94" s="588"/>
      <c r="EI94" s="79"/>
      <c r="EJ94" s="79"/>
      <c r="EK94" s="79"/>
      <c r="EL94" s="79"/>
      <c r="EM94" s="79"/>
      <c r="EN94" s="79"/>
      <c r="EO94" s="39"/>
      <c r="EP94" s="39"/>
      <c r="EQ94" s="39"/>
      <c r="ER94" s="39"/>
      <c r="ES94" s="39"/>
      <c r="ET94" s="39"/>
      <c r="EU94" s="39"/>
      <c r="EV94" s="39"/>
      <c r="EW94" s="39"/>
      <c r="EX94" s="39"/>
      <c r="EY94" s="10"/>
      <c r="EZ94" s="10"/>
      <c r="FA94" s="10"/>
      <c r="FB94" s="10"/>
      <c r="FC94" s="10"/>
      <c r="FD94" s="10"/>
      <c r="FE94" s="10"/>
      <c r="FF94" s="25"/>
      <c r="FG94" s="25"/>
      <c r="FH94" s="10"/>
      <c r="FI94" s="10"/>
      <c r="FJ94" s="10"/>
      <c r="FK94" s="10"/>
      <c r="FL94" s="10"/>
      <c r="FM94" s="116"/>
      <c r="FN94" s="116"/>
      <c r="FO94" s="245" t="e">
        <f ca="1">IF(AND(DI76&gt;GA76-0.001,DI76&lt;GA76+0.001),1,IF(AND(DI76&gt;ROUND((CV77-CV74)/(I77-I74),0)-0.001,DI76&lt;ROUND((CV77-CV74)/(I77-I74),0)+0.001),1,IF(AND(DI76&gt;ROUND(FS76-FV76,0)-0.001,DI76&lt;ROUND(FS76-FV76,0)+0.001),1,0)))</f>
        <v>#VALUE!</v>
      </c>
      <c r="FP94" s="206"/>
      <c r="FQ94" s="522"/>
      <c r="FR94" s="592"/>
      <c r="FS94" s="592" t="e">
        <f ca="1">ROUND((FR95-FR92)/(FQ95-FQ92),0)</f>
        <v>#VALUE!</v>
      </c>
      <c r="FT94" s="522"/>
      <c r="FU94" s="522"/>
      <c r="FV94" s="592" t="e">
        <f ca="1">ROUND((FU95-FU92)/(FQ95-FQ92),0)</f>
        <v>#VALUE!</v>
      </c>
      <c r="FW94" s="522"/>
      <c r="FX94" s="522"/>
      <c r="FY94" s="32"/>
      <c r="FZ94" s="32"/>
      <c r="GA94" s="32" t="e">
        <f ca="1">ROUND((FZ95-FZ92)/(FQ95-FQ92),0)</f>
        <v>#VALUE!</v>
      </c>
      <c r="GB94" s="32"/>
      <c r="GC94" s="32"/>
      <c r="GD94" s="32"/>
      <c r="GE94" s="32"/>
      <c r="GF94" s="32"/>
      <c r="GG94" s="32"/>
      <c r="GH94" s="32"/>
      <c r="GI94" s="32"/>
      <c r="GJ94" s="32"/>
      <c r="GK94" s="32"/>
      <c r="GL94" s="32"/>
      <c r="GM94" s="49"/>
      <c r="GN94" s="49"/>
      <c r="GO94" s="49"/>
      <c r="GP94" s="49"/>
      <c r="GQ94" s="49"/>
      <c r="GR94" s="49"/>
      <c r="GS94" s="49"/>
      <c r="GT94" s="49"/>
      <c r="GU94" s="49"/>
      <c r="GV94" s="49"/>
      <c r="GW94" s="49"/>
      <c r="GX94" s="49"/>
      <c r="GY94" s="49"/>
      <c r="GZ94" s="49"/>
      <c r="HA94" s="49"/>
      <c r="HB94" s="49"/>
      <c r="HC94" s="49"/>
      <c r="HD94" s="49"/>
      <c r="HE94" s="49"/>
      <c r="HF94" s="49"/>
      <c r="HG94" s="49"/>
      <c r="HH94" s="49"/>
      <c r="HI94" s="49"/>
      <c r="HJ94" s="49"/>
      <c r="HK94" s="49"/>
      <c r="HL94" s="49"/>
      <c r="HM94" s="49"/>
      <c r="HN94" s="49"/>
    </row>
    <row r="95" spans="1:222" ht="3.75" customHeight="1">
      <c r="A95" s="1"/>
      <c r="B95" s="3"/>
      <c r="C95" s="3"/>
      <c r="D95" s="12"/>
      <c r="E95" s="10"/>
      <c r="F95" s="10"/>
      <c r="G95" s="10"/>
      <c r="H95" s="10"/>
      <c r="I95" s="665" t="str">
        <f ca="1">IF(FO$29=0,"",FQ95)</f>
        <v/>
      </c>
      <c r="J95" s="581"/>
      <c r="K95" s="581"/>
      <c r="L95" s="581"/>
      <c r="M95" s="581"/>
      <c r="N95" s="581"/>
      <c r="O95" s="581"/>
      <c r="P95" s="581"/>
      <c r="Q95" s="581"/>
      <c r="R95" s="581"/>
      <c r="S95" s="581"/>
      <c r="T95" s="581"/>
      <c r="U95" s="582"/>
      <c r="V95" s="665" t="str">
        <f ca="1">IF(FO$29=0,"",FR95)</f>
        <v/>
      </c>
      <c r="W95" s="581"/>
      <c r="X95" s="581"/>
      <c r="Y95" s="581"/>
      <c r="Z95" s="581"/>
      <c r="AA95" s="581"/>
      <c r="AB95" s="581"/>
      <c r="AC95" s="581"/>
      <c r="AD95" s="581"/>
      <c r="AE95" s="581"/>
      <c r="AF95" s="581"/>
      <c r="AG95" s="581"/>
      <c r="AH95" s="582"/>
      <c r="AI95" s="589"/>
      <c r="AJ95" s="687"/>
      <c r="AK95" s="687"/>
      <c r="AL95" s="687"/>
      <c r="AM95" s="687"/>
      <c r="AN95" s="687"/>
      <c r="AO95" s="687"/>
      <c r="AP95" s="687"/>
      <c r="AQ95" s="687"/>
      <c r="AR95" s="687"/>
      <c r="AS95" s="687"/>
      <c r="AT95" s="687"/>
      <c r="AU95" s="591"/>
      <c r="AV95" s="665" t="str">
        <f ca="1">IF(FO$29=0,"",FT95)</f>
        <v/>
      </c>
      <c r="AW95" s="581"/>
      <c r="AX95" s="581"/>
      <c r="AY95" s="581"/>
      <c r="AZ95" s="581"/>
      <c r="BA95" s="581"/>
      <c r="BB95" s="581"/>
      <c r="BC95" s="581"/>
      <c r="BD95" s="581"/>
      <c r="BE95" s="581"/>
      <c r="BF95" s="581"/>
      <c r="BG95" s="581"/>
      <c r="BH95" s="582"/>
      <c r="BI95" s="665" t="str">
        <f ca="1">IF(FO$29=0,"",FU95)</f>
        <v/>
      </c>
      <c r="BJ95" s="581"/>
      <c r="BK95" s="581"/>
      <c r="BL95" s="581"/>
      <c r="BM95" s="581"/>
      <c r="BN95" s="581"/>
      <c r="BO95" s="581"/>
      <c r="BP95" s="581"/>
      <c r="BQ95" s="581"/>
      <c r="BR95" s="581"/>
      <c r="BS95" s="581"/>
      <c r="BT95" s="581"/>
      <c r="BU95" s="582"/>
      <c r="BV95" s="589"/>
      <c r="BW95" s="687"/>
      <c r="BX95" s="687"/>
      <c r="BY95" s="687"/>
      <c r="BZ95" s="687"/>
      <c r="CA95" s="687"/>
      <c r="CB95" s="687"/>
      <c r="CC95" s="687"/>
      <c r="CD95" s="687"/>
      <c r="CE95" s="687"/>
      <c r="CF95" s="687"/>
      <c r="CG95" s="687"/>
      <c r="CH95" s="591"/>
      <c r="CI95" s="665" t="str">
        <f ca="1">IF(FO$29=0,"",FW95)</f>
        <v/>
      </c>
      <c r="CJ95" s="581"/>
      <c r="CK95" s="581"/>
      <c r="CL95" s="581"/>
      <c r="CM95" s="581"/>
      <c r="CN95" s="581"/>
      <c r="CO95" s="581"/>
      <c r="CP95" s="581"/>
      <c r="CQ95" s="581"/>
      <c r="CR95" s="581"/>
      <c r="CS95" s="581"/>
      <c r="CT95" s="581"/>
      <c r="CU95" s="582"/>
      <c r="CV95" s="665" t="str">
        <f ca="1">IF(FO$29=0,"",FZ95)</f>
        <v/>
      </c>
      <c r="CW95" s="581"/>
      <c r="CX95" s="581"/>
      <c r="CY95" s="581"/>
      <c r="CZ95" s="581"/>
      <c r="DA95" s="581"/>
      <c r="DB95" s="581"/>
      <c r="DC95" s="581"/>
      <c r="DD95" s="581"/>
      <c r="DE95" s="581"/>
      <c r="DF95" s="581"/>
      <c r="DG95" s="581"/>
      <c r="DH95" s="582"/>
      <c r="DI95" s="589"/>
      <c r="DJ95" s="687"/>
      <c r="DK95" s="687"/>
      <c r="DL95" s="687"/>
      <c r="DM95" s="687"/>
      <c r="DN95" s="687"/>
      <c r="DO95" s="687"/>
      <c r="DP95" s="687"/>
      <c r="DQ95" s="687"/>
      <c r="DR95" s="687"/>
      <c r="DS95" s="687"/>
      <c r="DT95" s="687"/>
      <c r="DU95" s="591"/>
      <c r="DV95" s="665" t="str">
        <f ca="1">IF(FO$29=0,"",GB95)</f>
        <v/>
      </c>
      <c r="DW95" s="581"/>
      <c r="DX95" s="581"/>
      <c r="DY95" s="581"/>
      <c r="DZ95" s="581"/>
      <c r="EA95" s="581"/>
      <c r="EB95" s="581"/>
      <c r="EC95" s="581"/>
      <c r="ED95" s="581"/>
      <c r="EE95" s="581"/>
      <c r="EF95" s="581"/>
      <c r="EG95" s="581"/>
      <c r="EH95" s="582"/>
      <c r="EI95" s="79"/>
      <c r="EJ95" s="79"/>
      <c r="EK95" s="79"/>
      <c r="EL95" s="79"/>
      <c r="EM95" s="79"/>
      <c r="EN95" s="79"/>
      <c r="EO95" s="39"/>
      <c r="EP95" s="39"/>
      <c r="EQ95" s="39"/>
      <c r="ER95" s="39"/>
      <c r="ES95" s="39"/>
      <c r="ET95" s="39"/>
      <c r="EU95" s="39"/>
      <c r="EV95" s="39"/>
      <c r="EW95" s="39"/>
      <c r="EX95" s="39"/>
      <c r="EY95" s="10"/>
      <c r="EZ95" s="10"/>
      <c r="FA95" s="10"/>
      <c r="FB95" s="10"/>
      <c r="FC95" s="10"/>
      <c r="FD95" s="10"/>
      <c r="FE95" s="10"/>
      <c r="FF95" s="25"/>
      <c r="FG95" s="25"/>
      <c r="FH95" s="10"/>
      <c r="FI95" s="10"/>
      <c r="FJ95" s="10"/>
      <c r="FK95" s="10"/>
      <c r="FL95" s="10"/>
      <c r="FM95" s="116"/>
      <c r="FN95" s="116"/>
      <c r="FO95" s="116"/>
      <c r="FP95" s="116"/>
      <c r="FQ95" s="592" t="e">
        <f ca="1">ROUND(GC42,0)</f>
        <v>#VALUE!</v>
      </c>
      <c r="FR95" s="592" t="e">
        <f ca="1">ROUND(-GH$40*FQ95^2+GI$40*FQ95,0)</f>
        <v>#VALUE!</v>
      </c>
      <c r="FS95" s="522"/>
      <c r="FT95" s="592" t="e">
        <f ca="1">ROUND(FR95/FQ95,0)</f>
        <v>#VALUE!</v>
      </c>
      <c r="FU95" s="592" t="e">
        <f ca="1">ROUND(GL40*FQ95^3+GM40*FQ95^2+GN40*FQ95^1+GO40,0)</f>
        <v>#VALUE!</v>
      </c>
      <c r="FV95" s="522"/>
      <c r="FW95" s="592" t="e">
        <f ca="1">ROUND(FU95/FQ95,0)</f>
        <v>#VALUE!</v>
      </c>
      <c r="FX95" s="592" t="e">
        <f ca="1">ROUND(GL40*FQ95^3+GM40*FQ95^2+GN40*FQ95^1,0)</f>
        <v>#VALUE!</v>
      </c>
      <c r="FY95" s="32" t="e">
        <f ca="1">ROUND(FX95/FQ95,0)</f>
        <v>#VALUE!</v>
      </c>
      <c r="FZ95" s="32" t="e">
        <f ca="1">FR95-FU95</f>
        <v>#VALUE!</v>
      </c>
      <c r="GA95" s="32"/>
      <c r="GB95" s="32" t="e">
        <f ca="1">ROUND(FZ95/FQ95,0)</f>
        <v>#VALUE!</v>
      </c>
      <c r="GC95" s="32"/>
      <c r="GD95" s="32"/>
      <c r="GE95" s="32"/>
      <c r="GF95" s="32"/>
      <c r="GG95" s="32"/>
      <c r="GH95" s="32"/>
      <c r="GI95" s="32"/>
      <c r="GJ95" s="32"/>
      <c r="GK95" s="32"/>
      <c r="GL95" s="32"/>
      <c r="GM95" s="49"/>
      <c r="GN95" s="49"/>
      <c r="GO95" s="49"/>
      <c r="GP95" s="49"/>
      <c r="GQ95" s="49"/>
      <c r="GR95" s="49"/>
      <c r="GS95" s="49"/>
      <c r="GT95" s="49"/>
      <c r="GU95" s="49"/>
      <c r="GV95" s="49"/>
      <c r="GW95" s="49"/>
      <c r="GX95" s="49"/>
      <c r="GY95" s="49"/>
      <c r="GZ95" s="49"/>
      <c r="HA95" s="49"/>
      <c r="HB95" s="49"/>
      <c r="HC95" s="49"/>
      <c r="HD95" s="49"/>
      <c r="HE95" s="49"/>
      <c r="HF95" s="49"/>
      <c r="HG95" s="49"/>
      <c r="HH95" s="49"/>
      <c r="HI95" s="49"/>
      <c r="HJ95" s="49"/>
      <c r="HK95" s="49"/>
      <c r="HL95" s="49"/>
      <c r="HM95" s="49"/>
      <c r="HN95" s="49"/>
    </row>
    <row r="96" spans="1:222" ht="7.5" customHeight="1" thickBot="1">
      <c r="A96" s="1"/>
      <c r="B96" s="3"/>
      <c r="C96" s="3"/>
      <c r="D96" s="12"/>
      <c r="E96" s="10"/>
      <c r="F96" s="10"/>
      <c r="G96" s="10"/>
      <c r="H96" s="10"/>
      <c r="I96" s="583"/>
      <c r="J96" s="584"/>
      <c r="K96" s="584"/>
      <c r="L96" s="584"/>
      <c r="M96" s="584"/>
      <c r="N96" s="584"/>
      <c r="O96" s="584"/>
      <c r="P96" s="584"/>
      <c r="Q96" s="584"/>
      <c r="R96" s="584"/>
      <c r="S96" s="584"/>
      <c r="T96" s="584"/>
      <c r="U96" s="585"/>
      <c r="V96" s="583"/>
      <c r="W96" s="584"/>
      <c r="X96" s="584"/>
      <c r="Y96" s="584"/>
      <c r="Z96" s="584"/>
      <c r="AA96" s="584"/>
      <c r="AB96" s="584"/>
      <c r="AC96" s="584"/>
      <c r="AD96" s="584"/>
      <c r="AE96" s="584"/>
      <c r="AF96" s="584"/>
      <c r="AG96" s="584"/>
      <c r="AH96" s="585"/>
      <c r="AI96" s="568"/>
      <c r="AJ96" s="569"/>
      <c r="AK96" s="569"/>
      <c r="AL96" s="569"/>
      <c r="AM96" s="569"/>
      <c r="AN96" s="569"/>
      <c r="AO96" s="569"/>
      <c r="AP96" s="569"/>
      <c r="AQ96" s="569"/>
      <c r="AR96" s="569"/>
      <c r="AS96" s="569"/>
      <c r="AT96" s="569"/>
      <c r="AU96" s="570"/>
      <c r="AV96" s="583"/>
      <c r="AW96" s="584"/>
      <c r="AX96" s="584"/>
      <c r="AY96" s="584"/>
      <c r="AZ96" s="584"/>
      <c r="BA96" s="584"/>
      <c r="BB96" s="584"/>
      <c r="BC96" s="584"/>
      <c r="BD96" s="584"/>
      <c r="BE96" s="584"/>
      <c r="BF96" s="584"/>
      <c r="BG96" s="584"/>
      <c r="BH96" s="585"/>
      <c r="BI96" s="583"/>
      <c r="BJ96" s="584"/>
      <c r="BK96" s="584"/>
      <c r="BL96" s="584"/>
      <c r="BM96" s="584"/>
      <c r="BN96" s="584"/>
      <c r="BO96" s="584"/>
      <c r="BP96" s="584"/>
      <c r="BQ96" s="584"/>
      <c r="BR96" s="584"/>
      <c r="BS96" s="584"/>
      <c r="BT96" s="584"/>
      <c r="BU96" s="585"/>
      <c r="BV96" s="568"/>
      <c r="BW96" s="569"/>
      <c r="BX96" s="569"/>
      <c r="BY96" s="569"/>
      <c r="BZ96" s="569"/>
      <c r="CA96" s="569"/>
      <c r="CB96" s="569"/>
      <c r="CC96" s="569"/>
      <c r="CD96" s="569"/>
      <c r="CE96" s="569"/>
      <c r="CF96" s="569"/>
      <c r="CG96" s="569"/>
      <c r="CH96" s="570"/>
      <c r="CI96" s="583"/>
      <c r="CJ96" s="584"/>
      <c r="CK96" s="584"/>
      <c r="CL96" s="584"/>
      <c r="CM96" s="584"/>
      <c r="CN96" s="584"/>
      <c r="CO96" s="584"/>
      <c r="CP96" s="584"/>
      <c r="CQ96" s="584"/>
      <c r="CR96" s="584"/>
      <c r="CS96" s="584"/>
      <c r="CT96" s="584"/>
      <c r="CU96" s="585"/>
      <c r="CV96" s="583"/>
      <c r="CW96" s="584"/>
      <c r="CX96" s="584"/>
      <c r="CY96" s="584"/>
      <c r="CZ96" s="584"/>
      <c r="DA96" s="584"/>
      <c r="DB96" s="584"/>
      <c r="DC96" s="584"/>
      <c r="DD96" s="584"/>
      <c r="DE96" s="584"/>
      <c r="DF96" s="584"/>
      <c r="DG96" s="584"/>
      <c r="DH96" s="585"/>
      <c r="DI96" s="568"/>
      <c r="DJ96" s="569"/>
      <c r="DK96" s="569"/>
      <c r="DL96" s="569"/>
      <c r="DM96" s="569"/>
      <c r="DN96" s="569"/>
      <c r="DO96" s="569"/>
      <c r="DP96" s="569"/>
      <c r="DQ96" s="569"/>
      <c r="DR96" s="569"/>
      <c r="DS96" s="569"/>
      <c r="DT96" s="569"/>
      <c r="DU96" s="570"/>
      <c r="DV96" s="583"/>
      <c r="DW96" s="584"/>
      <c r="DX96" s="584"/>
      <c r="DY96" s="584"/>
      <c r="DZ96" s="584"/>
      <c r="EA96" s="584"/>
      <c r="EB96" s="584"/>
      <c r="EC96" s="584"/>
      <c r="ED96" s="584"/>
      <c r="EE96" s="584"/>
      <c r="EF96" s="584"/>
      <c r="EG96" s="584"/>
      <c r="EH96" s="585"/>
      <c r="EI96" s="79"/>
      <c r="EJ96" s="79"/>
      <c r="EK96" s="79"/>
      <c r="EL96" s="79"/>
      <c r="EM96" s="79"/>
      <c r="EN96" s="79"/>
      <c r="EO96" s="39"/>
      <c r="EP96" s="39"/>
      <c r="EQ96" s="39"/>
      <c r="ER96" s="39"/>
      <c r="ES96" s="39"/>
      <c r="ET96" s="39"/>
      <c r="EU96" s="39"/>
      <c r="EV96" s="39"/>
      <c r="EW96" s="39"/>
      <c r="EX96" s="39"/>
      <c r="EY96" s="39"/>
      <c r="EZ96" s="39"/>
      <c r="FA96" s="39"/>
      <c r="FB96" s="39"/>
      <c r="FC96" s="39"/>
      <c r="FD96" s="39"/>
      <c r="FE96" s="39"/>
      <c r="FF96" s="25"/>
      <c r="FG96" s="25"/>
      <c r="FH96" s="10"/>
      <c r="FI96" s="10"/>
      <c r="FJ96" s="10"/>
      <c r="FK96" s="10"/>
      <c r="FL96" s="10"/>
      <c r="FM96" s="116"/>
      <c r="FN96" s="116"/>
      <c r="FO96" s="116"/>
      <c r="FP96" s="116"/>
      <c r="FQ96" s="522"/>
      <c r="FR96" s="592"/>
      <c r="FS96" s="522"/>
      <c r="FT96" s="522"/>
      <c r="FU96" s="522"/>
      <c r="FV96" s="522"/>
      <c r="FW96" s="522"/>
      <c r="FX96" s="522"/>
      <c r="FY96" s="32"/>
      <c r="FZ96" s="32"/>
      <c r="GA96" s="32"/>
      <c r="GB96" s="32"/>
      <c r="GC96" s="32"/>
      <c r="GD96" s="32"/>
      <c r="GE96" s="32"/>
      <c r="GF96" s="32"/>
      <c r="GG96" s="32"/>
      <c r="GH96" s="32"/>
      <c r="GI96" s="32"/>
      <c r="GJ96" s="32"/>
      <c r="GK96" s="32"/>
      <c r="GL96" s="32"/>
      <c r="GM96" s="49"/>
      <c r="GN96" s="49"/>
      <c r="GO96" s="49"/>
      <c r="GP96" s="49"/>
      <c r="GQ96" s="49"/>
      <c r="GR96" s="49"/>
      <c r="GS96" s="49"/>
      <c r="GT96" s="49"/>
      <c r="GU96" s="49"/>
      <c r="GV96" s="49"/>
      <c r="GW96" s="49"/>
      <c r="GX96" s="49"/>
      <c r="GY96" s="49"/>
      <c r="GZ96" s="49"/>
      <c r="HA96" s="49"/>
      <c r="HB96" s="49"/>
      <c r="HC96" s="49"/>
      <c r="HD96" s="49"/>
      <c r="HE96" s="49"/>
      <c r="HF96" s="49"/>
      <c r="HG96" s="49"/>
      <c r="HH96" s="49"/>
      <c r="HI96" s="49"/>
      <c r="HJ96" s="49"/>
      <c r="HK96" s="49"/>
      <c r="HL96" s="49"/>
      <c r="HM96" s="49"/>
      <c r="HN96" s="49"/>
    </row>
    <row r="97" spans="1:222" ht="11.25" customHeight="1" thickBot="1">
      <c r="A97" s="1"/>
      <c r="B97" s="3"/>
      <c r="C97" s="3"/>
      <c r="D97" s="12"/>
      <c r="E97" s="10"/>
      <c r="F97" s="10"/>
      <c r="G97" s="10"/>
      <c r="H97" s="10"/>
      <c r="I97" s="586"/>
      <c r="J97" s="587"/>
      <c r="K97" s="587"/>
      <c r="L97" s="587"/>
      <c r="M97" s="587"/>
      <c r="N97" s="587"/>
      <c r="O97" s="587"/>
      <c r="P97" s="587"/>
      <c r="Q97" s="587"/>
      <c r="R97" s="587"/>
      <c r="S97" s="587"/>
      <c r="T97" s="587"/>
      <c r="U97" s="588"/>
      <c r="V97" s="586"/>
      <c r="W97" s="587"/>
      <c r="X97" s="587"/>
      <c r="Y97" s="587"/>
      <c r="Z97" s="587"/>
      <c r="AA97" s="587"/>
      <c r="AB97" s="587"/>
      <c r="AC97" s="587"/>
      <c r="AD97" s="587"/>
      <c r="AE97" s="587"/>
      <c r="AF97" s="587"/>
      <c r="AG97" s="587"/>
      <c r="AH97" s="588"/>
      <c r="AI97" s="310"/>
      <c r="AJ97" s="310"/>
      <c r="AK97" s="310"/>
      <c r="AL97" s="310"/>
      <c r="AM97" s="310"/>
      <c r="AN97" s="310"/>
      <c r="AO97" s="310"/>
      <c r="AP97" s="310"/>
      <c r="AQ97" s="310"/>
      <c r="AR97" s="310"/>
      <c r="AS97" s="310"/>
      <c r="AT97" s="310"/>
      <c r="AU97" s="310"/>
      <c r="AV97" s="586"/>
      <c r="AW97" s="587"/>
      <c r="AX97" s="587"/>
      <c r="AY97" s="587"/>
      <c r="AZ97" s="587"/>
      <c r="BA97" s="587"/>
      <c r="BB97" s="587"/>
      <c r="BC97" s="587"/>
      <c r="BD97" s="587"/>
      <c r="BE97" s="587"/>
      <c r="BF97" s="587"/>
      <c r="BG97" s="587"/>
      <c r="BH97" s="588"/>
      <c r="BI97" s="586"/>
      <c r="BJ97" s="587"/>
      <c r="BK97" s="587"/>
      <c r="BL97" s="587"/>
      <c r="BM97" s="587"/>
      <c r="BN97" s="587"/>
      <c r="BO97" s="587"/>
      <c r="BP97" s="587"/>
      <c r="BQ97" s="587"/>
      <c r="BR97" s="587"/>
      <c r="BS97" s="587"/>
      <c r="BT97" s="587"/>
      <c r="BU97" s="588"/>
      <c r="BV97" s="310"/>
      <c r="BW97" s="310"/>
      <c r="BX97" s="310"/>
      <c r="BY97" s="310"/>
      <c r="BZ97" s="310"/>
      <c r="CA97" s="310"/>
      <c r="CB97" s="310"/>
      <c r="CC97" s="310"/>
      <c r="CD97" s="310"/>
      <c r="CE97" s="310"/>
      <c r="CF97" s="310"/>
      <c r="CG97" s="310"/>
      <c r="CH97" s="310"/>
      <c r="CI97" s="586"/>
      <c r="CJ97" s="587"/>
      <c r="CK97" s="587"/>
      <c r="CL97" s="587"/>
      <c r="CM97" s="587"/>
      <c r="CN97" s="587"/>
      <c r="CO97" s="587"/>
      <c r="CP97" s="587"/>
      <c r="CQ97" s="587"/>
      <c r="CR97" s="587"/>
      <c r="CS97" s="587"/>
      <c r="CT97" s="587"/>
      <c r="CU97" s="588"/>
      <c r="CV97" s="586"/>
      <c r="CW97" s="587"/>
      <c r="CX97" s="587"/>
      <c r="CY97" s="587"/>
      <c r="CZ97" s="587"/>
      <c r="DA97" s="587"/>
      <c r="DB97" s="587"/>
      <c r="DC97" s="587"/>
      <c r="DD97" s="587"/>
      <c r="DE97" s="587"/>
      <c r="DF97" s="587"/>
      <c r="DG97" s="587"/>
      <c r="DH97" s="588"/>
      <c r="DI97" s="310"/>
      <c r="DJ97" s="310"/>
      <c r="DK97" s="310"/>
      <c r="DL97" s="310"/>
      <c r="DM97" s="310"/>
      <c r="DN97" s="310"/>
      <c r="DO97" s="310"/>
      <c r="DP97" s="310"/>
      <c r="DQ97" s="310"/>
      <c r="DR97" s="310"/>
      <c r="DS97" s="310"/>
      <c r="DT97" s="310"/>
      <c r="DU97" s="310"/>
      <c r="DV97" s="586"/>
      <c r="DW97" s="587"/>
      <c r="DX97" s="587"/>
      <c r="DY97" s="587"/>
      <c r="DZ97" s="587"/>
      <c r="EA97" s="587"/>
      <c r="EB97" s="587"/>
      <c r="EC97" s="587"/>
      <c r="ED97" s="587"/>
      <c r="EE97" s="587"/>
      <c r="EF97" s="587"/>
      <c r="EG97" s="587"/>
      <c r="EH97" s="588"/>
      <c r="EI97" s="79"/>
      <c r="EJ97" s="79"/>
      <c r="EK97" s="79"/>
      <c r="EL97" s="79"/>
      <c r="EM97" s="79"/>
      <c r="EN97" s="79"/>
      <c r="EO97" s="39"/>
      <c r="EP97" s="39"/>
      <c r="EQ97" s="39"/>
      <c r="ER97" s="39"/>
      <c r="ES97" s="39"/>
      <c r="ET97" s="39"/>
      <c r="EU97" s="39"/>
      <c r="EV97" s="39"/>
      <c r="EW97" s="39"/>
      <c r="EX97" s="39"/>
      <c r="EY97" s="39"/>
      <c r="EZ97" s="39"/>
      <c r="FA97" s="39"/>
      <c r="FB97" s="39"/>
      <c r="FC97" s="39"/>
      <c r="FD97" s="39"/>
      <c r="FE97" s="39"/>
      <c r="FF97" s="25"/>
      <c r="FG97" s="25"/>
      <c r="FH97" s="10"/>
      <c r="FI97" s="10"/>
      <c r="FJ97" s="10"/>
      <c r="FK97" s="10"/>
      <c r="FL97" s="10"/>
      <c r="FM97" s="468"/>
      <c r="FN97" s="206" t="e">
        <f ca="1">FO67+FO70+FO73+FO79+FO82+FO85+FO91+FO94+FO97</f>
        <v>#VALUE!</v>
      </c>
      <c r="FO97" s="206" t="e">
        <f ca="1">IF(AND(DV71&gt;GB71-0.001,DV71&lt;GB71+0.001),1,0)</f>
        <v>#VALUE!</v>
      </c>
      <c r="FP97" s="116"/>
      <c r="FQ97" s="522"/>
      <c r="FR97" s="592"/>
      <c r="FS97" s="79"/>
      <c r="FT97" s="522"/>
      <c r="FU97" s="522"/>
      <c r="FV97" s="79"/>
      <c r="FW97" s="522"/>
      <c r="FX97" s="522"/>
      <c r="FY97" s="32"/>
      <c r="FZ97" s="32"/>
      <c r="GA97" s="32"/>
      <c r="GB97" s="32"/>
      <c r="GC97" s="32"/>
      <c r="GD97" s="32"/>
      <c r="GE97" s="32"/>
      <c r="GF97" s="32"/>
      <c r="GG97" s="32"/>
      <c r="GH97" s="32"/>
      <c r="GI97" s="32"/>
      <c r="GJ97" s="32"/>
      <c r="GK97" s="32"/>
      <c r="GL97" s="32"/>
      <c r="GM97" s="49"/>
      <c r="GN97" s="49"/>
      <c r="GO97" s="49"/>
      <c r="GP97" s="49"/>
      <c r="GQ97" s="49"/>
      <c r="GR97" s="49"/>
      <c r="GS97" s="49"/>
      <c r="GT97" s="49"/>
      <c r="GU97" s="49"/>
      <c r="GV97" s="49"/>
      <c r="GW97" s="49"/>
      <c r="GX97" s="49"/>
      <c r="GY97" s="49"/>
      <c r="GZ97" s="49"/>
      <c r="HA97" s="49"/>
      <c r="HB97" s="49"/>
      <c r="HC97" s="49"/>
      <c r="HD97" s="49"/>
      <c r="HE97" s="49"/>
      <c r="HF97" s="49"/>
      <c r="HG97" s="49"/>
      <c r="HH97" s="49"/>
      <c r="HI97" s="49"/>
      <c r="HJ97" s="49"/>
      <c r="HK97" s="49"/>
      <c r="HL97" s="49"/>
      <c r="HM97" s="49"/>
      <c r="HN97" s="49"/>
    </row>
    <row r="98" spans="1:222" ht="16.5" customHeight="1">
      <c r="A98" s="1"/>
      <c r="B98" s="476"/>
      <c r="C98" s="3"/>
      <c r="D98" s="469"/>
      <c r="E98" s="10"/>
      <c r="F98" s="10"/>
      <c r="G98" s="470"/>
      <c r="H98" s="470"/>
      <c r="I98" s="478" t="str">
        <f>IF(AND(programma!$A$301="uitwerking",$B98="X"),FM98,"")</f>
        <v/>
      </c>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c r="AX98" s="470"/>
      <c r="AY98" s="470"/>
      <c r="AZ98" s="470"/>
      <c r="BA98" s="470"/>
      <c r="BB98" s="470"/>
      <c r="BC98" s="470"/>
      <c r="BD98" s="470"/>
      <c r="BE98" s="470"/>
      <c r="BF98" s="470"/>
      <c r="BG98" s="470"/>
      <c r="BH98" s="470"/>
      <c r="BI98" s="470"/>
      <c r="BJ98" s="470"/>
      <c r="BK98" s="470"/>
      <c r="BL98" s="470"/>
      <c r="BM98" s="470"/>
      <c r="BN98" s="470"/>
      <c r="BO98" s="470"/>
      <c r="BP98" s="470"/>
      <c r="BQ98" s="470"/>
      <c r="BR98" s="470"/>
      <c r="BS98" s="470"/>
      <c r="BT98" s="470"/>
      <c r="BU98" s="470"/>
      <c r="BV98" s="470"/>
      <c r="BW98" s="470"/>
      <c r="BX98" s="470"/>
      <c r="BY98" s="470"/>
      <c r="BZ98" s="470"/>
      <c r="CA98" s="470"/>
      <c r="CB98" s="470"/>
      <c r="CC98" s="470"/>
      <c r="CD98" s="470"/>
      <c r="CE98" s="470"/>
      <c r="CF98" s="470"/>
      <c r="CG98" s="470"/>
      <c r="CH98" s="470"/>
      <c r="CI98" s="470"/>
      <c r="CJ98" s="470"/>
      <c r="CK98" s="470"/>
      <c r="CL98" s="470"/>
      <c r="CM98" s="470"/>
      <c r="CN98" s="470"/>
      <c r="CO98" s="470"/>
      <c r="CP98" s="470"/>
      <c r="CQ98" s="470"/>
      <c r="CR98" s="470"/>
      <c r="CS98" s="470"/>
      <c r="CT98" s="470"/>
      <c r="CU98" s="470"/>
      <c r="CV98" s="470"/>
      <c r="CW98" s="470"/>
      <c r="CX98" s="470"/>
      <c r="CY98" s="470"/>
      <c r="CZ98" s="470"/>
      <c r="DA98" s="470"/>
      <c r="DB98" s="470"/>
      <c r="DC98" s="470"/>
      <c r="DD98" s="470"/>
      <c r="DE98" s="470"/>
      <c r="DF98" s="470"/>
      <c r="DG98" s="470"/>
      <c r="DH98" s="470"/>
      <c r="DI98" s="470"/>
      <c r="DJ98" s="470"/>
      <c r="DK98" s="470"/>
      <c r="DL98" s="470"/>
      <c r="DM98" s="470"/>
      <c r="DN98" s="470"/>
      <c r="DO98" s="470"/>
      <c r="DP98" s="470"/>
      <c r="DQ98" s="470"/>
      <c r="DR98" s="470"/>
      <c r="DS98" s="470"/>
      <c r="DT98" s="470"/>
      <c r="DU98" s="470"/>
      <c r="DV98" s="470"/>
      <c r="DW98" s="470"/>
      <c r="DX98" s="470"/>
      <c r="DY98" s="470"/>
      <c r="DZ98" s="470"/>
      <c r="EA98" s="470"/>
      <c r="EB98" s="470"/>
      <c r="EC98" s="470"/>
      <c r="ED98" s="470"/>
      <c r="EE98" s="470"/>
      <c r="EF98" s="470"/>
      <c r="EG98" s="467"/>
      <c r="EH98" s="467"/>
      <c r="EI98" s="467"/>
      <c r="EJ98" s="467"/>
      <c r="EK98" s="467"/>
      <c r="EL98" s="467"/>
      <c r="EM98" s="467"/>
      <c r="EN98" s="467"/>
      <c r="EO98" s="467"/>
      <c r="EP98" s="467"/>
      <c r="EQ98" s="467"/>
      <c r="ER98" s="467"/>
      <c r="ES98" s="467"/>
      <c r="ET98" s="467"/>
      <c r="EU98" s="467"/>
      <c r="EV98" s="467"/>
      <c r="EW98" s="467"/>
      <c r="EX98" s="467"/>
      <c r="EY98" s="467"/>
      <c r="EZ98" s="467"/>
      <c r="FA98" s="467"/>
      <c r="FB98" s="467"/>
      <c r="FC98" s="467"/>
      <c r="FD98" s="467"/>
      <c r="FE98" s="467"/>
      <c r="FF98" s="467"/>
      <c r="FG98" s="467"/>
      <c r="FH98" s="467"/>
      <c r="FI98" s="467"/>
      <c r="FJ98" s="467"/>
      <c r="FK98" s="467"/>
      <c r="FL98" s="467"/>
      <c r="FM98" s="468" t="e">
        <f ca="1">IF(FO67=0,"TO  = "&amp;FQ80&amp;" x "&amp;FT80&amp;" = "&amp;FR80,IF(FO70=0,"MO  = ("&amp;FR77&amp;" - "&amp;FR74&amp;") / ("&amp;FQ77&amp;" - "&amp;FQ74&amp;") = "&amp;FS76,IF(FO73=0,"GO  = "&amp;FR71&amp;" / "&amp;FQ71&amp;" = "&amp;FT71,IF(FO79=0,"TK  = "&amp;FQ80&amp;" x "&amp;FW80&amp;" = "&amp;ROUND(FQ80*FW80,0),IF(FO82=0,"MK  = ("&amp;FU77&amp;" - "&amp;FU74&amp;") / ("&amp;FQ77&amp;" - "&amp;FQ74&amp;") = "&amp;FV76,IF(FO85=0,"GTK = "&amp;FU71&amp;" / "&amp;FQ71&amp;" = "&amp;FW71,IF(FO91=0,"TW  = "&amp;FQ80&amp;" x "&amp;GB80&amp;" = "&amp;ROUND(FQ80*GB80,0),IF(FO94=0,"MW  = ("&amp;FZ77&amp;" - "&amp;FZ74&amp;") / ("&amp;FQ77&amp;" - "&amp;FQ74&amp;") = "&amp;GA76,IF(FO97=0,"GW  = "&amp;FZ71&amp;" / "&amp;FQ71&amp;" = "&amp;GB71,"Alle getallen kloppen.")))))))))</f>
        <v>#VALUE!</v>
      </c>
      <c r="FN98" s="79"/>
      <c r="FO98" s="206">
        <f ca="1">IF(programma!B1="X",1,IF(FO29=0,0,IF(FN97=9,1,0)))</f>
        <v>0</v>
      </c>
      <c r="FP98" s="47"/>
      <c r="FQ98" s="47"/>
      <c r="FR98" s="39"/>
      <c r="FS98" s="39"/>
      <c r="FT98" s="39"/>
      <c r="FU98" s="39"/>
      <c r="FV98" s="39"/>
      <c r="FW98" s="127"/>
      <c r="FX98" s="47"/>
      <c r="FY98" s="32"/>
      <c r="FZ98" s="32"/>
      <c r="GA98" s="32"/>
      <c r="GB98" s="32"/>
      <c r="GC98" s="32"/>
      <c r="GD98" s="32"/>
      <c r="GE98" s="32"/>
      <c r="GF98" s="32"/>
      <c r="GG98" s="32"/>
      <c r="GH98" s="32"/>
      <c r="GI98" s="32"/>
      <c r="GJ98" s="32"/>
      <c r="GK98" s="32"/>
      <c r="GL98" s="32"/>
      <c r="GM98" s="49"/>
      <c r="GN98" s="49"/>
      <c r="GO98" s="49"/>
      <c r="GP98" s="49"/>
      <c r="GQ98" s="49"/>
      <c r="GR98" s="49"/>
      <c r="GS98" s="49"/>
      <c r="GT98" s="49"/>
      <c r="GU98" s="49"/>
      <c r="GV98" s="49"/>
      <c r="GW98" s="49"/>
      <c r="GX98" s="49"/>
      <c r="GY98" s="49"/>
      <c r="GZ98" s="49"/>
      <c r="HA98" s="49"/>
      <c r="HB98" s="49"/>
      <c r="HC98" s="49"/>
      <c r="HD98" s="49"/>
      <c r="HE98" s="49"/>
      <c r="HF98" s="49"/>
      <c r="HG98" s="49"/>
      <c r="HH98" s="49"/>
      <c r="HI98" s="49"/>
      <c r="HJ98" s="49"/>
      <c r="HK98" s="49"/>
      <c r="HL98" s="49"/>
      <c r="HM98" s="49"/>
      <c r="HN98" s="49"/>
    </row>
    <row r="99" spans="1:222" ht="16.95" customHeight="1">
      <c r="A99" s="1"/>
      <c r="B99" s="3"/>
      <c r="C99" s="3"/>
      <c r="D99" s="373" t="str">
        <f ca="1">IF(FO98=0,"","Op de HAVO hoef je de MO- en MK-functie niet te kunnen afleiden uit de")</f>
        <v/>
      </c>
      <c r="E99" s="10"/>
      <c r="F99" s="10"/>
      <c r="G99" s="10"/>
      <c r="H99" s="10"/>
      <c r="I99" s="10"/>
      <c r="J99" s="10"/>
      <c r="K99" s="10"/>
      <c r="L99" s="10"/>
      <c r="M99" s="10"/>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c r="FC99" s="79"/>
      <c r="FD99" s="79"/>
      <c r="FE99" s="79"/>
      <c r="FF99" s="79"/>
      <c r="FG99" s="79"/>
      <c r="FH99" s="79"/>
      <c r="FI99" s="79"/>
      <c r="FJ99" s="79"/>
      <c r="FK99" s="79"/>
      <c r="FL99" s="79"/>
      <c r="FM99" s="47"/>
      <c r="FN99" s="47"/>
      <c r="FO99" s="47"/>
      <c r="FP99" s="47"/>
      <c r="FQ99" s="47"/>
      <c r="FR99" s="47"/>
      <c r="FS99" s="47"/>
      <c r="FT99" s="47"/>
      <c r="FU99" s="47"/>
      <c r="FV99" s="47"/>
      <c r="FW99" s="47"/>
      <c r="FX99" s="47"/>
      <c r="FY99" s="32"/>
      <c r="FZ99" s="32"/>
      <c r="GA99" s="32"/>
      <c r="GB99" s="32"/>
      <c r="GC99" s="32"/>
      <c r="GD99" s="32"/>
      <c r="GE99" s="32"/>
      <c r="GF99" s="32"/>
      <c r="GG99" s="32"/>
      <c r="GH99" s="32"/>
      <c r="GI99" s="32"/>
      <c r="GJ99" s="32"/>
      <c r="GK99" s="32"/>
      <c r="GL99" s="32"/>
      <c r="GM99" s="49"/>
      <c r="GN99" s="49"/>
      <c r="GO99" s="49"/>
      <c r="GP99" s="49"/>
      <c r="GQ99" s="49"/>
      <c r="GR99" s="49"/>
      <c r="GS99" s="49"/>
      <c r="GT99" s="49"/>
      <c r="GU99" s="49"/>
      <c r="GV99" s="49"/>
      <c r="GW99" s="49"/>
      <c r="GX99" s="49"/>
      <c r="GY99" s="49"/>
      <c r="GZ99" s="49"/>
      <c r="HA99" s="49"/>
      <c r="HB99" s="49"/>
      <c r="HC99" s="49"/>
      <c r="HD99" s="49"/>
      <c r="HE99" s="49"/>
      <c r="HF99" s="49"/>
      <c r="HG99" s="49"/>
      <c r="HH99" s="49"/>
      <c r="HI99" s="49"/>
      <c r="HJ99" s="49"/>
      <c r="HK99" s="49"/>
      <c r="HL99" s="49"/>
      <c r="HM99" s="49"/>
      <c r="HN99" s="49"/>
    </row>
    <row r="100" spans="1:222" ht="16.95" customHeight="1">
      <c r="A100" s="1"/>
      <c r="B100" s="3"/>
      <c r="C100" s="3"/>
      <c r="D100" s="373" t="str">
        <f ca="1">IF(FO98=0,"","TO- en TK-functie. Wel moet je het snijpunt kunnen berekenen van de MO-")</f>
        <v/>
      </c>
      <c r="E100" s="10"/>
      <c r="F100" s="10"/>
      <c r="G100" s="10"/>
      <c r="H100" s="10"/>
      <c r="I100" s="10"/>
      <c r="J100" s="10"/>
      <c r="K100" s="10"/>
      <c r="L100" s="10"/>
      <c r="M100" s="10"/>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c r="CJ100" s="79"/>
      <c r="CK100" s="79"/>
      <c r="CL100" s="79"/>
      <c r="CM100" s="79"/>
      <c r="CN100" s="79"/>
      <c r="CO100" s="79"/>
      <c r="CP100" s="79"/>
      <c r="CQ100" s="79"/>
      <c r="CR100" s="79"/>
      <c r="CS100" s="79"/>
      <c r="CT100" s="79"/>
      <c r="CU100" s="79"/>
      <c r="CV100" s="79"/>
      <c r="CW100" s="79"/>
      <c r="CX100" s="79"/>
      <c r="CY100" s="79"/>
      <c r="CZ100" s="79"/>
      <c r="DA100" s="79"/>
      <c r="DB100" s="79"/>
      <c r="DC100" s="79"/>
      <c r="DD100" s="79"/>
      <c r="DE100" s="79"/>
      <c r="DF100" s="79"/>
      <c r="DG100" s="79"/>
      <c r="DH100" s="79"/>
      <c r="DI100" s="79"/>
      <c r="DJ100" s="79"/>
      <c r="DK100" s="79"/>
      <c r="DL100" s="79"/>
      <c r="DM100" s="79"/>
      <c r="DN100" s="79"/>
      <c r="DO100" s="79"/>
      <c r="DP100" s="79"/>
      <c r="DQ100" s="79"/>
      <c r="DR100" s="79"/>
      <c r="DS100" s="79"/>
      <c r="DT100" s="79"/>
      <c r="DU100" s="79"/>
      <c r="DV100" s="79"/>
      <c r="DW100" s="79"/>
      <c r="DX100" s="79"/>
      <c r="DY100" s="79"/>
      <c r="DZ100" s="79"/>
      <c r="EA100" s="79"/>
      <c r="EB100" s="79"/>
      <c r="EC100" s="79"/>
      <c r="ED100" s="79"/>
      <c r="EE100" s="79"/>
      <c r="EF100" s="79"/>
      <c r="EG100" s="79"/>
      <c r="EH100" s="79"/>
      <c r="EI100" s="79"/>
      <c r="EJ100" s="79"/>
      <c r="EK100" s="79"/>
      <c r="EL100" s="79"/>
      <c r="EM100" s="79"/>
      <c r="EN100" s="79"/>
      <c r="EO100" s="79"/>
      <c r="EP100" s="79"/>
      <c r="EQ100" s="79"/>
      <c r="ER100" s="79"/>
      <c r="ES100" s="79"/>
      <c r="ET100" s="79"/>
      <c r="EU100" s="79"/>
      <c r="EV100" s="79"/>
      <c r="EW100" s="79"/>
      <c r="EX100" s="79"/>
      <c r="EY100" s="79"/>
      <c r="EZ100" s="79"/>
      <c r="FA100" s="79"/>
      <c r="FB100" s="79"/>
      <c r="FC100" s="79"/>
      <c r="FD100" s="79"/>
      <c r="FE100" s="79"/>
      <c r="FF100" s="79"/>
      <c r="FG100" s="79"/>
      <c r="FH100" s="79"/>
      <c r="FI100" s="79"/>
      <c r="FJ100" s="79"/>
      <c r="FK100" s="79"/>
      <c r="FL100" s="79"/>
      <c r="FM100" s="47"/>
      <c r="FN100" s="47"/>
      <c r="FO100" s="47"/>
      <c r="FP100" s="47"/>
      <c r="FQ100" s="47"/>
      <c r="FR100" s="47"/>
      <c r="FS100" s="47"/>
      <c r="FT100" s="47"/>
      <c r="FU100" s="47"/>
      <c r="FV100" s="47"/>
      <c r="FW100" s="47"/>
      <c r="FX100" s="47"/>
      <c r="FY100" s="32"/>
      <c r="FZ100" s="32"/>
      <c r="GA100" s="32"/>
      <c r="GB100" s="32"/>
      <c r="GC100" s="32"/>
      <c r="GD100" s="32"/>
      <c r="GE100" s="32"/>
      <c r="GF100" s="32"/>
      <c r="GG100" s="32"/>
      <c r="GH100" s="32"/>
      <c r="GI100" s="32"/>
      <c r="GJ100" s="32"/>
      <c r="GK100" s="32"/>
      <c r="GL100" s="32"/>
      <c r="GM100" s="49"/>
      <c r="GN100" s="49"/>
      <c r="GO100" s="49"/>
      <c r="GP100" s="49"/>
      <c r="GQ100" s="49"/>
      <c r="GR100" s="49"/>
      <c r="GS100" s="49"/>
      <c r="GT100" s="49"/>
      <c r="GU100" s="49"/>
      <c r="GV100" s="49"/>
      <c r="GW100" s="49"/>
      <c r="GX100" s="49"/>
      <c r="GY100" s="49"/>
      <c r="GZ100" s="49"/>
      <c r="HA100" s="49"/>
      <c r="HB100" s="49"/>
      <c r="HC100" s="49"/>
      <c r="HD100" s="49"/>
      <c r="HE100" s="49"/>
      <c r="HF100" s="49"/>
      <c r="HG100" s="49"/>
      <c r="HH100" s="49"/>
      <c r="HI100" s="49"/>
      <c r="HJ100" s="49"/>
      <c r="HK100" s="49"/>
      <c r="HL100" s="49"/>
      <c r="HM100" s="49"/>
      <c r="HN100" s="49"/>
    </row>
    <row r="101" spans="1:222" ht="16.95" customHeight="1">
      <c r="A101" s="1"/>
      <c r="B101" s="3"/>
      <c r="C101" s="3"/>
      <c r="D101" s="373" t="str">
        <f ca="1">IF(FO98=0,"","en MK-functie om zo de hoeveelheid te vinden waarbij maximale winst wordt")</f>
        <v/>
      </c>
      <c r="E101" s="10"/>
      <c r="F101" s="10"/>
      <c r="G101" s="10"/>
      <c r="H101" s="10"/>
      <c r="I101" s="10"/>
      <c r="J101" s="10"/>
      <c r="K101" s="10"/>
      <c r="L101" s="10"/>
      <c r="M101" s="10"/>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c r="CJ101" s="79"/>
      <c r="CK101" s="79"/>
      <c r="CL101" s="79"/>
      <c r="CM101" s="79"/>
      <c r="CN101" s="79"/>
      <c r="CO101" s="79"/>
      <c r="CP101" s="79"/>
      <c r="CQ101" s="79"/>
      <c r="CR101" s="79"/>
      <c r="CS101" s="79"/>
      <c r="CT101" s="79"/>
      <c r="CU101" s="79"/>
      <c r="CV101" s="79"/>
      <c r="CW101" s="79"/>
      <c r="CX101" s="79"/>
      <c r="CY101" s="79"/>
      <c r="CZ101" s="79"/>
      <c r="DA101" s="79"/>
      <c r="DB101" s="79"/>
      <c r="DC101" s="79"/>
      <c r="DD101" s="79"/>
      <c r="DE101" s="79"/>
      <c r="DF101" s="79"/>
      <c r="DG101" s="79"/>
      <c r="DH101" s="79"/>
      <c r="DI101" s="79"/>
      <c r="DJ101" s="79"/>
      <c r="DK101" s="79"/>
      <c r="DL101" s="79"/>
      <c r="DM101" s="79"/>
      <c r="DN101" s="79"/>
      <c r="DO101" s="79"/>
      <c r="DP101" s="79"/>
      <c r="DQ101" s="79"/>
      <c r="DR101" s="79"/>
      <c r="DS101" s="79"/>
      <c r="DT101" s="79"/>
      <c r="DU101" s="79"/>
      <c r="DV101" s="79"/>
      <c r="DW101" s="79"/>
      <c r="DX101" s="79"/>
      <c r="DY101" s="79"/>
      <c r="DZ101" s="79"/>
      <c r="EA101" s="79"/>
      <c r="EB101" s="79"/>
      <c r="EC101" s="79"/>
      <c r="ED101" s="79"/>
      <c r="EE101" s="79"/>
      <c r="EF101" s="79"/>
      <c r="EG101" s="79"/>
      <c r="EH101" s="79"/>
      <c r="EI101" s="79"/>
      <c r="EJ101" s="79"/>
      <c r="EK101" s="79"/>
      <c r="EL101" s="79"/>
      <c r="EM101" s="79"/>
      <c r="EN101" s="79"/>
      <c r="EO101" s="79"/>
      <c r="EP101" s="79"/>
      <c r="EQ101" s="79"/>
      <c r="ER101" s="79"/>
      <c r="ES101" s="79"/>
      <c r="ET101" s="79"/>
      <c r="EU101" s="79"/>
      <c r="EV101" s="79"/>
      <c r="EW101" s="79"/>
      <c r="EX101" s="79"/>
      <c r="EY101" s="79"/>
      <c r="EZ101" s="79"/>
      <c r="FA101" s="79"/>
      <c r="FB101" s="79"/>
      <c r="FC101" s="79"/>
      <c r="FD101" s="79"/>
      <c r="FE101" s="79"/>
      <c r="FF101" s="79"/>
      <c r="FG101" s="79"/>
      <c r="FH101" s="79"/>
      <c r="FI101" s="79"/>
      <c r="FJ101" s="79"/>
      <c r="FK101" s="79"/>
      <c r="FL101" s="79"/>
      <c r="FM101" s="47"/>
      <c r="FN101" s="47"/>
      <c r="FO101" s="47"/>
      <c r="FP101" s="47"/>
      <c r="FQ101" s="47"/>
      <c r="FR101" s="47"/>
      <c r="FS101" s="47"/>
      <c r="FT101" s="47"/>
      <c r="FU101" s="47"/>
      <c r="FV101" s="47"/>
      <c r="FW101" s="47"/>
      <c r="FX101" s="47"/>
      <c r="FY101" s="32"/>
      <c r="FZ101" s="32"/>
      <c r="GA101" s="32"/>
      <c r="GB101" s="32"/>
      <c r="GC101" s="32"/>
      <c r="GD101" s="32"/>
      <c r="GE101" s="32"/>
      <c r="GF101" s="32"/>
      <c r="GG101" s="32"/>
      <c r="GH101" s="32"/>
      <c r="GI101" s="32"/>
      <c r="GJ101" s="32"/>
      <c r="GK101" s="32"/>
      <c r="GL101" s="32"/>
      <c r="GM101" s="49"/>
      <c r="GN101" s="49"/>
      <c r="GO101" s="49"/>
      <c r="GP101" s="49"/>
      <c r="GQ101" s="49"/>
      <c r="GR101" s="49"/>
      <c r="GS101" s="49"/>
      <c r="GT101" s="49"/>
      <c r="GU101" s="49"/>
      <c r="GV101" s="49"/>
      <c r="GW101" s="49"/>
      <c r="GX101" s="49"/>
      <c r="GY101" s="49"/>
      <c r="GZ101" s="49"/>
      <c r="HA101" s="49"/>
      <c r="HB101" s="49"/>
      <c r="HC101" s="49"/>
      <c r="HD101" s="49"/>
      <c r="HE101" s="49"/>
      <c r="HF101" s="49"/>
      <c r="HG101" s="49"/>
      <c r="HH101" s="49"/>
      <c r="HI101" s="49"/>
      <c r="HJ101" s="49"/>
      <c r="HK101" s="49"/>
      <c r="HL101" s="49"/>
      <c r="HM101" s="49"/>
      <c r="HN101" s="49"/>
    </row>
    <row r="102" spans="1:222" ht="16.95" customHeight="1">
      <c r="A102" s="1"/>
      <c r="B102" s="3"/>
      <c r="C102" s="3"/>
      <c r="D102" s="373" t="str">
        <f ca="1">IF(FO98=0,"","gemaakt.")</f>
        <v/>
      </c>
      <c r="E102" s="10"/>
      <c r="F102" s="10"/>
      <c r="G102" s="10"/>
      <c r="H102" s="10"/>
      <c r="I102" s="10"/>
      <c r="J102" s="10"/>
      <c r="K102" s="10"/>
      <c r="L102" s="10"/>
      <c r="M102" s="10"/>
      <c r="N102" s="79"/>
      <c r="O102" s="79"/>
      <c r="P102" s="79"/>
      <c r="Q102" s="79"/>
      <c r="R102" s="79"/>
      <c r="S102" s="7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79"/>
      <c r="CB102" s="79"/>
      <c r="CC102" s="79"/>
      <c r="CD102" s="79"/>
      <c r="CE102" s="79"/>
      <c r="CF102" s="79"/>
      <c r="CG102" s="79"/>
      <c r="CH102" s="79"/>
      <c r="CI102" s="79"/>
      <c r="CJ102" s="79"/>
      <c r="CK102" s="79"/>
      <c r="CL102" s="79"/>
      <c r="CM102" s="79"/>
      <c r="CN102" s="79"/>
      <c r="CO102" s="79"/>
      <c r="CP102" s="79"/>
      <c r="CQ102" s="79"/>
      <c r="CR102" s="79"/>
      <c r="CS102" s="79"/>
      <c r="CT102" s="79"/>
      <c r="CU102" s="79"/>
      <c r="CV102" s="79"/>
      <c r="CW102" s="79"/>
      <c r="CX102" s="79"/>
      <c r="CY102" s="79"/>
      <c r="CZ102" s="79"/>
      <c r="DA102" s="79"/>
      <c r="DB102" s="79"/>
      <c r="DC102" s="79"/>
      <c r="DD102" s="79"/>
      <c r="DE102" s="79"/>
      <c r="DF102" s="79"/>
      <c r="DG102" s="79"/>
      <c r="DH102" s="79"/>
      <c r="DI102" s="79"/>
      <c r="DJ102" s="79"/>
      <c r="DK102" s="79"/>
      <c r="DL102" s="79"/>
      <c r="DM102" s="79"/>
      <c r="DN102" s="79"/>
      <c r="DO102" s="79"/>
      <c r="DP102" s="79"/>
      <c r="DQ102" s="79"/>
      <c r="DR102" s="79"/>
      <c r="DS102" s="79"/>
      <c r="DT102" s="79"/>
      <c r="DU102" s="79"/>
      <c r="DV102" s="79"/>
      <c r="DW102" s="79"/>
      <c r="DX102" s="79"/>
      <c r="DY102" s="79"/>
      <c r="DZ102" s="79"/>
      <c r="EA102" s="79"/>
      <c r="EB102" s="79"/>
      <c r="EC102" s="79"/>
      <c r="ED102" s="79"/>
      <c r="EE102" s="79"/>
      <c r="EF102" s="79"/>
      <c r="EG102" s="79"/>
      <c r="EH102" s="79"/>
      <c r="EI102" s="79"/>
      <c r="EJ102" s="79"/>
      <c r="EK102" s="79"/>
      <c r="EL102" s="79"/>
      <c r="EM102" s="79"/>
      <c r="EN102" s="79"/>
      <c r="EO102" s="79"/>
      <c r="EP102" s="79"/>
      <c r="EQ102" s="79"/>
      <c r="ER102" s="79"/>
      <c r="ES102" s="79"/>
      <c r="ET102" s="79"/>
      <c r="EU102" s="79"/>
      <c r="EV102" s="79"/>
      <c r="EW102" s="79"/>
      <c r="EX102" s="79"/>
      <c r="EY102" s="79"/>
      <c r="EZ102" s="79"/>
      <c r="FA102" s="79"/>
      <c r="FB102" s="79"/>
      <c r="FC102" s="79"/>
      <c r="FD102" s="79"/>
      <c r="FE102" s="79"/>
      <c r="FF102" s="79"/>
      <c r="FG102" s="79"/>
      <c r="FH102" s="79"/>
      <c r="FI102" s="79"/>
      <c r="FJ102" s="79"/>
      <c r="FK102" s="79"/>
      <c r="FL102" s="79"/>
      <c r="FM102" s="47"/>
      <c r="FN102" s="47"/>
      <c r="FO102" s="47"/>
      <c r="FP102" s="47"/>
      <c r="FQ102" s="47"/>
      <c r="FR102" s="47"/>
      <c r="FS102" s="47"/>
      <c r="FT102" s="47"/>
      <c r="FU102" s="47"/>
      <c r="FV102" s="47"/>
      <c r="FW102" s="47"/>
      <c r="FX102" s="47"/>
      <c r="FY102" s="32"/>
      <c r="FZ102" s="32"/>
      <c r="GA102" s="32"/>
      <c r="GB102" s="32"/>
      <c r="GC102" s="32"/>
      <c r="GD102" s="32"/>
      <c r="GE102" s="32"/>
      <c r="GF102" s="32"/>
      <c r="GG102" s="32"/>
      <c r="GH102" s="32"/>
      <c r="GI102" s="32"/>
      <c r="GJ102" s="32"/>
      <c r="GK102" s="32"/>
      <c r="GL102" s="32"/>
      <c r="GM102" s="49"/>
      <c r="GN102" s="49"/>
      <c r="GO102" s="49"/>
      <c r="GP102" s="49"/>
      <c r="GQ102" s="49"/>
      <c r="GR102" s="49"/>
      <c r="GS102" s="49"/>
      <c r="GT102" s="49"/>
      <c r="GU102" s="49"/>
      <c r="GV102" s="49"/>
      <c r="GW102" s="49"/>
      <c r="GX102" s="49"/>
      <c r="GY102" s="49"/>
      <c r="GZ102" s="49"/>
      <c r="HA102" s="49"/>
      <c r="HB102" s="49"/>
      <c r="HC102" s="49"/>
      <c r="HD102" s="49"/>
      <c r="HE102" s="49"/>
      <c r="HF102" s="49"/>
      <c r="HG102" s="49"/>
      <c r="HH102" s="49"/>
      <c r="HI102" s="49"/>
      <c r="HJ102" s="49"/>
      <c r="HK102" s="49"/>
      <c r="HL102" s="49"/>
      <c r="HM102" s="49"/>
      <c r="HN102" s="49"/>
    </row>
    <row r="103" spans="1:222" ht="16.5" customHeight="1">
      <c r="A103" s="1"/>
      <c r="B103" s="3"/>
      <c r="C103" s="3"/>
      <c r="D103" s="38"/>
      <c r="E103" s="126"/>
      <c r="F103" s="126"/>
      <c r="G103" s="43"/>
      <c r="H103" s="43"/>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116"/>
      <c r="FN103" s="116"/>
      <c r="FO103" s="47"/>
      <c r="FP103" s="47"/>
      <c r="FQ103" s="47"/>
      <c r="FR103" s="127"/>
      <c r="FS103" s="127"/>
      <c r="FT103" s="127"/>
      <c r="FU103" s="127"/>
      <c r="FV103" s="127"/>
      <c r="FW103" s="127"/>
      <c r="FX103" s="47"/>
      <c r="FY103" s="32"/>
      <c r="FZ103" s="32"/>
      <c r="GA103" s="32"/>
      <c r="GB103" s="32"/>
      <c r="GC103" s="32"/>
      <c r="GD103" s="32"/>
      <c r="GE103" s="32"/>
      <c r="GF103" s="32"/>
      <c r="GG103" s="32"/>
      <c r="GH103" s="32"/>
      <c r="GI103" s="32"/>
      <c r="GJ103" s="32"/>
      <c r="GK103" s="32"/>
      <c r="GL103" s="32"/>
      <c r="GM103" s="49"/>
      <c r="GN103" s="49"/>
      <c r="GO103" s="49"/>
      <c r="GP103" s="49"/>
      <c r="GQ103" s="49"/>
      <c r="GR103" s="49"/>
      <c r="GS103" s="49"/>
      <c r="GT103" s="49"/>
      <c r="GU103" s="49"/>
      <c r="GV103" s="49"/>
      <c r="GW103" s="49"/>
      <c r="GX103" s="49"/>
      <c r="GY103" s="49"/>
      <c r="GZ103" s="49"/>
      <c r="HA103" s="49"/>
      <c r="HB103" s="49"/>
      <c r="HC103" s="49"/>
      <c r="HD103" s="49"/>
      <c r="HE103" s="49"/>
      <c r="HF103" s="49"/>
      <c r="HG103" s="49"/>
      <c r="HH103" s="49"/>
      <c r="HI103" s="49"/>
      <c r="HJ103" s="49"/>
      <c r="HK103" s="49"/>
      <c r="HL103" s="49"/>
      <c r="HM103" s="49"/>
      <c r="HN103" s="49"/>
    </row>
    <row r="104" spans="1:222" ht="16.5" customHeight="1">
      <c r="A104" s="1"/>
      <c r="B104" s="3"/>
      <c r="C104" s="3"/>
      <c r="D104" s="38" t="str">
        <f ca="1">IF(FO98=0,"","De vraagfunctie waarop de GO-functie hierboven is gebaseerd luidt:")</f>
        <v/>
      </c>
      <c r="E104" s="126"/>
      <c r="F104" s="126"/>
      <c r="G104" s="43"/>
      <c r="H104" s="43"/>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116"/>
      <c r="FN104" s="116"/>
      <c r="FO104" s="47"/>
      <c r="FP104" s="94">
        <f ca="1">IF(programma!B1="X",GH31,IF(FO98=0,0,GH31))</f>
        <v>0</v>
      </c>
      <c r="FQ104" s="94">
        <f ca="1">IF(programma!B1="X",GH32,IF(FO98=0,0,GH32))</f>
        <v>0</v>
      </c>
      <c r="FR104" s="127"/>
      <c r="FS104" s="94">
        <f ca="1">IF(programma!B1="X",GH32,IF(FO98=0,0,0))</f>
        <v>0</v>
      </c>
      <c r="FT104" s="94">
        <f ca="1">IF(programma!B1="X",GH32,IF(FO98=0,0,FV67))</f>
        <v>0</v>
      </c>
      <c r="FU104" s="94">
        <f ca="1">IF(programma!B1="X",GH32,IF(FO98=0,0,GO40))</f>
        <v>0</v>
      </c>
      <c r="FV104" s="127"/>
      <c r="FW104" s="127"/>
      <c r="FX104" s="47"/>
      <c r="FY104" s="32"/>
      <c r="FZ104" s="32"/>
      <c r="GA104" s="32"/>
      <c r="GB104" s="32"/>
      <c r="GC104" s="32"/>
      <c r="GD104" s="32"/>
      <c r="GE104" s="32"/>
      <c r="GF104" s="32"/>
      <c r="GG104" s="32"/>
      <c r="GH104" s="32"/>
      <c r="GI104" s="32"/>
      <c r="GJ104" s="32"/>
      <c r="GK104" s="32"/>
      <c r="GL104" s="32"/>
      <c r="GM104" s="49"/>
      <c r="GN104" s="49"/>
      <c r="GO104" s="49"/>
      <c r="GP104" s="49"/>
      <c r="GQ104" s="49"/>
      <c r="GR104" s="49"/>
      <c r="GS104" s="49"/>
      <c r="GT104" s="49"/>
      <c r="GU104" s="49"/>
      <c r="GV104" s="49"/>
      <c r="GW104" s="49"/>
      <c r="GX104" s="49"/>
      <c r="GY104" s="49"/>
      <c r="GZ104" s="49"/>
      <c r="HA104" s="49"/>
      <c r="HB104" s="49"/>
      <c r="HC104" s="49"/>
      <c r="HD104" s="49"/>
      <c r="HE104" s="49"/>
      <c r="HF104" s="49"/>
      <c r="HG104" s="49"/>
      <c r="HH104" s="49"/>
      <c r="HI104" s="49"/>
      <c r="HJ104" s="49"/>
      <c r="HK104" s="49"/>
      <c r="HL104" s="49"/>
      <c r="HM104" s="49"/>
      <c r="HN104" s="49"/>
    </row>
    <row r="105" spans="1:222" ht="10.5" customHeight="1">
      <c r="A105" s="1"/>
      <c r="B105" s="3"/>
      <c r="C105" s="3"/>
      <c r="D105" s="38"/>
      <c r="E105" s="126"/>
      <c r="F105" s="126"/>
      <c r="G105" s="43"/>
      <c r="H105" s="43"/>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79"/>
      <c r="DR105" s="79"/>
      <c r="DS105" s="79"/>
      <c r="DT105" s="79"/>
      <c r="DU105" s="79"/>
      <c r="DV105" s="79"/>
      <c r="DW105" s="79"/>
      <c r="DX105" s="79"/>
      <c r="DY105" s="79"/>
      <c r="DZ105" s="79"/>
      <c r="EA105" s="79"/>
      <c r="EB105" s="79"/>
      <c r="EC105" s="79"/>
      <c r="ED105" s="79"/>
      <c r="EE105" s="79"/>
      <c r="EF105" s="79"/>
      <c r="EG105" s="79"/>
      <c r="EH105" s="79"/>
      <c r="EI105" s="79"/>
      <c r="EJ105" s="79"/>
      <c r="EK105" s="79"/>
      <c r="EL105" s="79"/>
      <c r="EM105" s="79"/>
      <c r="EN105" s="79"/>
      <c r="EO105" s="79"/>
      <c r="EP105" s="79"/>
      <c r="EQ105" s="79"/>
      <c r="ER105" s="79"/>
      <c r="ES105" s="79"/>
      <c r="ET105" s="79"/>
      <c r="EU105" s="79"/>
      <c r="EV105" s="79"/>
      <c r="EW105" s="79"/>
      <c r="EX105" s="79"/>
      <c r="EY105" s="79"/>
      <c r="EZ105" s="79"/>
      <c r="FA105" s="79"/>
      <c r="FB105" s="79"/>
      <c r="FC105" s="79"/>
      <c r="FD105" s="79"/>
      <c r="FE105" s="79"/>
      <c r="FF105" s="79"/>
      <c r="FG105" s="79"/>
      <c r="FH105" s="79"/>
      <c r="FI105" s="79"/>
      <c r="FJ105" s="79"/>
      <c r="FK105" s="79"/>
      <c r="FL105" s="79"/>
      <c r="FM105" s="116"/>
      <c r="FN105" s="116"/>
      <c r="FO105" s="47"/>
      <c r="FP105" s="47"/>
      <c r="FQ105" s="47"/>
      <c r="FR105" s="127"/>
      <c r="FS105" s="127"/>
      <c r="FT105" s="127"/>
      <c r="FU105" s="127"/>
      <c r="FV105" s="127"/>
      <c r="FW105" s="127"/>
      <c r="FX105" s="47"/>
      <c r="FY105" s="32"/>
      <c r="FZ105" s="32"/>
      <c r="GA105" s="32"/>
      <c r="GB105" s="32"/>
      <c r="GC105" s="32"/>
      <c r="GD105" s="32"/>
      <c r="GE105" s="32"/>
      <c r="GF105" s="32"/>
      <c r="GG105" s="32"/>
      <c r="GH105" s="32"/>
      <c r="GI105" s="32"/>
      <c r="GJ105" s="32"/>
      <c r="GK105" s="32"/>
      <c r="GL105" s="32"/>
      <c r="GM105" s="49"/>
      <c r="GN105" s="49"/>
      <c r="GO105" s="49"/>
      <c r="GP105" s="49"/>
      <c r="GQ105" s="49"/>
      <c r="GR105" s="49"/>
      <c r="GS105" s="49"/>
      <c r="GT105" s="49"/>
      <c r="GU105" s="49"/>
      <c r="GV105" s="49"/>
      <c r="GW105" s="49"/>
      <c r="GX105" s="49"/>
      <c r="GY105" s="49"/>
      <c r="GZ105" s="49"/>
      <c r="HA105" s="49"/>
      <c r="HB105" s="49"/>
      <c r="HC105" s="49"/>
      <c r="HD105" s="49"/>
      <c r="HE105" s="49"/>
      <c r="HF105" s="49"/>
      <c r="HG105" s="49"/>
      <c r="HH105" s="49"/>
      <c r="HI105" s="49"/>
      <c r="HJ105" s="49"/>
      <c r="HK105" s="49"/>
      <c r="HL105" s="49"/>
      <c r="HM105" s="49"/>
      <c r="HN105" s="49"/>
    </row>
    <row r="106" spans="1:222" ht="16.5" customHeight="1">
      <c r="A106" s="1"/>
      <c r="B106" s="3"/>
      <c r="C106" s="3"/>
      <c r="D106" s="38"/>
      <c r="E106" s="126"/>
      <c r="F106" s="126"/>
      <c r="G106" s="43"/>
      <c r="H106" s="43"/>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163" t="str">
        <f ca="1">IF(FO98=0,"","qv = -"&amp;FP104&amp;"p + "&amp;FQ104&amp;"")</f>
        <v/>
      </c>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79"/>
      <c r="DR106" s="79"/>
      <c r="DS106" s="79"/>
      <c r="DT106" s="79"/>
      <c r="DU106" s="79"/>
      <c r="DV106" s="79"/>
      <c r="DW106" s="79"/>
      <c r="DX106" s="79"/>
      <c r="DY106" s="79"/>
      <c r="DZ106" s="79"/>
      <c r="EA106" s="79"/>
      <c r="EB106" s="79"/>
      <c r="EC106" s="79"/>
      <c r="ED106" s="79"/>
      <c r="EE106" s="79"/>
      <c r="EF106" s="79"/>
      <c r="EG106" s="79"/>
      <c r="EH106" s="79"/>
      <c r="EI106" s="79"/>
      <c r="EJ106" s="79"/>
      <c r="EK106" s="79"/>
      <c r="EL106" s="79"/>
      <c r="EM106" s="79"/>
      <c r="EN106" s="79"/>
      <c r="EO106" s="79"/>
      <c r="EP106" s="79"/>
      <c r="EQ106" s="79"/>
      <c r="ER106" s="79"/>
      <c r="ES106" s="79"/>
      <c r="ET106" s="79"/>
      <c r="EU106" s="79"/>
      <c r="EV106" s="79"/>
      <c r="EW106" s="79"/>
      <c r="EX106" s="79"/>
      <c r="EY106" s="79"/>
      <c r="EZ106" s="79"/>
      <c r="FA106" s="79"/>
      <c r="FB106" s="79"/>
      <c r="FC106" s="79"/>
      <c r="FD106" s="79"/>
      <c r="FE106" s="79"/>
      <c r="FF106" s="79"/>
      <c r="FG106" s="79"/>
      <c r="FH106" s="79"/>
      <c r="FI106" s="79"/>
      <c r="FJ106" s="79"/>
      <c r="FK106" s="79"/>
      <c r="FL106" s="79"/>
      <c r="FM106" s="116"/>
      <c r="FN106" s="116"/>
      <c r="FO106" s="47"/>
      <c r="FP106" s="47"/>
      <c r="FQ106" s="47"/>
      <c r="FR106" s="127"/>
      <c r="FS106" s="127"/>
      <c r="FT106" s="127"/>
      <c r="FU106" s="127"/>
      <c r="FV106" s="127"/>
      <c r="FW106" s="127"/>
      <c r="FX106" s="47"/>
      <c r="FY106" s="32"/>
      <c r="FZ106" s="32"/>
      <c r="GA106" s="32"/>
      <c r="GB106" s="32"/>
      <c r="GC106" s="32"/>
      <c r="GD106" s="32"/>
      <c r="GE106" s="32"/>
      <c r="GF106" s="32"/>
      <c r="GG106" s="32"/>
      <c r="GH106" s="32"/>
      <c r="GI106" s="32"/>
      <c r="GJ106" s="32"/>
      <c r="GK106" s="32"/>
      <c r="GL106" s="32"/>
      <c r="GM106" s="49"/>
      <c r="GN106" s="49"/>
      <c r="GO106" s="49"/>
      <c r="GP106" s="49"/>
      <c r="GQ106" s="49"/>
      <c r="GR106" s="49"/>
      <c r="GS106" s="49"/>
      <c r="GT106" s="49"/>
      <c r="GU106" s="49"/>
      <c r="GV106" s="49"/>
      <c r="GW106" s="49"/>
      <c r="GX106" s="49"/>
      <c r="GY106" s="49"/>
      <c r="GZ106" s="49"/>
      <c r="HA106" s="49"/>
      <c r="HB106" s="49"/>
      <c r="HC106" s="49"/>
      <c r="HD106" s="49"/>
      <c r="HE106" s="49"/>
      <c r="HF106" s="49"/>
      <c r="HG106" s="49"/>
      <c r="HH106" s="49"/>
      <c r="HI106" s="49"/>
      <c r="HJ106" s="49"/>
      <c r="HK106" s="49"/>
      <c r="HL106" s="49"/>
      <c r="HM106" s="49"/>
      <c r="HN106" s="49"/>
    </row>
    <row r="107" spans="1:222" ht="11.25" customHeight="1">
      <c r="A107" s="1"/>
      <c r="B107" s="3"/>
      <c r="C107" s="3"/>
      <c r="D107" s="38"/>
      <c r="E107" s="126"/>
      <c r="F107" s="126"/>
      <c r="G107" s="43"/>
      <c r="H107" s="43"/>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116"/>
      <c r="FN107" s="116"/>
      <c r="FO107" s="47"/>
      <c r="FP107" s="47"/>
      <c r="FQ107" s="47"/>
      <c r="FR107" s="127"/>
      <c r="FS107" s="127"/>
      <c r="FT107" s="127"/>
      <c r="FU107" s="127"/>
      <c r="FV107" s="127"/>
      <c r="FW107" s="127"/>
      <c r="FX107" s="47"/>
      <c r="FY107" s="32"/>
      <c r="FZ107" s="32"/>
      <c r="GA107" s="32"/>
      <c r="GB107" s="32"/>
      <c r="GC107" s="32"/>
      <c r="GD107" s="32"/>
      <c r="GE107" s="32"/>
      <c r="GF107" s="32"/>
      <c r="GG107" s="32"/>
      <c r="GH107" s="32"/>
      <c r="GI107" s="32"/>
      <c r="GJ107" s="32"/>
      <c r="GK107" s="32"/>
      <c r="GL107" s="32"/>
      <c r="GM107" s="49"/>
      <c r="GN107" s="49"/>
      <c r="GO107" s="49"/>
      <c r="GP107" s="49"/>
      <c r="GQ107" s="49"/>
      <c r="GR107" s="49"/>
      <c r="GS107" s="49"/>
      <c r="GT107" s="49"/>
      <c r="GU107" s="49"/>
      <c r="GV107" s="49"/>
      <c r="GW107" s="49"/>
      <c r="GX107" s="49"/>
      <c r="GY107" s="49"/>
      <c r="GZ107" s="49"/>
      <c r="HA107" s="49"/>
      <c r="HB107" s="49"/>
      <c r="HC107" s="49"/>
      <c r="HD107" s="49"/>
      <c r="HE107" s="49"/>
      <c r="HF107" s="49"/>
      <c r="HG107" s="49"/>
      <c r="HH107" s="49"/>
      <c r="HI107" s="49"/>
      <c r="HJ107" s="49"/>
      <c r="HK107" s="49"/>
      <c r="HL107" s="49"/>
      <c r="HM107" s="49"/>
      <c r="HN107" s="49"/>
    </row>
    <row r="108" spans="1:222" ht="16.95" customHeight="1">
      <c r="A108" s="1"/>
      <c r="B108" s="3"/>
      <c r="C108" s="3"/>
      <c r="D108" s="38" t="str">
        <f ca="1">IF(FO98=0,"","Door de functie ''om te schrijven'' van ''q = …'' naar p = ...'', krijg je de")</f>
        <v/>
      </c>
      <c r="E108" s="126"/>
      <c r="F108" s="126"/>
      <c r="G108" s="43"/>
      <c r="H108" s="43"/>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116"/>
      <c r="FN108" s="116"/>
      <c r="FO108" s="47"/>
      <c r="FP108" s="47"/>
      <c r="FQ108" s="47"/>
      <c r="FR108" s="127"/>
      <c r="FS108" s="127"/>
      <c r="FT108" s="127"/>
      <c r="FU108" s="127"/>
      <c r="FV108" s="127"/>
      <c r="FW108" s="127"/>
      <c r="FX108" s="47"/>
      <c r="FY108" s="32"/>
      <c r="FZ108" s="32"/>
      <c r="GA108" s="32"/>
      <c r="GB108" s="32"/>
      <c r="GC108" s="32"/>
      <c r="GD108" s="32"/>
      <c r="GE108" s="32"/>
      <c r="GF108" s="32"/>
      <c r="GG108" s="32"/>
      <c r="GH108" s="32"/>
      <c r="GI108" s="32"/>
      <c r="GJ108" s="32"/>
      <c r="GK108" s="32"/>
      <c r="GL108" s="32"/>
      <c r="GM108" s="49"/>
      <c r="GN108" s="49"/>
      <c r="GO108" s="49"/>
      <c r="GP108" s="49"/>
      <c r="GQ108" s="49"/>
      <c r="GR108" s="49"/>
      <c r="GS108" s="49"/>
      <c r="GT108" s="49"/>
      <c r="GU108" s="49"/>
      <c r="GV108" s="49"/>
      <c r="GW108" s="49"/>
      <c r="GX108" s="49"/>
      <c r="GY108" s="49"/>
      <c r="GZ108" s="49"/>
      <c r="HA108" s="49"/>
      <c r="HB108" s="49"/>
      <c r="HC108" s="49"/>
      <c r="HD108" s="49"/>
      <c r="HE108" s="49"/>
      <c r="HF108" s="49"/>
      <c r="HG108" s="49"/>
      <c r="HH108" s="49"/>
      <c r="HI108" s="49"/>
      <c r="HJ108" s="49"/>
      <c r="HK108" s="49"/>
      <c r="HL108" s="49"/>
      <c r="HM108" s="49"/>
      <c r="HN108" s="49"/>
    </row>
    <row r="109" spans="1:222" ht="16.95" customHeight="1">
      <c r="A109" s="1"/>
      <c r="B109" s="3"/>
      <c r="C109" s="3"/>
      <c r="D109" s="373" t="str">
        <f ca="1">IF(FO98=0,"","prijsafzetfunctie:")</f>
        <v/>
      </c>
      <c r="E109" s="376"/>
      <c r="F109" s="376"/>
      <c r="G109" s="43"/>
      <c r="H109" s="43"/>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79"/>
      <c r="DR109" s="79"/>
      <c r="DS109" s="79"/>
      <c r="DT109" s="79"/>
      <c r="DU109" s="79"/>
      <c r="DV109" s="79"/>
      <c r="DW109" s="79"/>
      <c r="DX109" s="79"/>
      <c r="DY109" s="79"/>
      <c r="DZ109" s="79"/>
      <c r="EA109" s="79"/>
      <c r="EB109" s="79"/>
      <c r="EC109" s="79"/>
      <c r="ED109" s="79"/>
      <c r="EE109" s="79"/>
      <c r="EF109" s="79"/>
      <c r="EG109" s="79"/>
      <c r="EH109" s="79"/>
      <c r="EI109" s="79"/>
      <c r="EJ109" s="79"/>
      <c r="EK109" s="79"/>
      <c r="EL109" s="79"/>
      <c r="EM109" s="79"/>
      <c r="EN109" s="79"/>
      <c r="EO109" s="79"/>
      <c r="EP109" s="79"/>
      <c r="EQ109" s="79"/>
      <c r="ER109" s="79"/>
      <c r="ES109" s="79"/>
      <c r="ET109" s="79"/>
      <c r="EU109" s="79"/>
      <c r="EV109" s="79"/>
      <c r="EW109" s="79"/>
      <c r="EX109" s="79"/>
      <c r="EY109" s="79"/>
      <c r="EZ109" s="79"/>
      <c r="FA109" s="79"/>
      <c r="FB109" s="79"/>
      <c r="FC109" s="79"/>
      <c r="FD109" s="79"/>
      <c r="FE109" s="79"/>
      <c r="FF109" s="79"/>
      <c r="FG109" s="79"/>
      <c r="FH109" s="79"/>
      <c r="FI109" s="79"/>
      <c r="FJ109" s="79"/>
      <c r="FK109" s="79"/>
      <c r="FL109" s="79"/>
      <c r="FM109" s="116"/>
      <c r="FN109" s="116"/>
      <c r="FO109" s="47"/>
      <c r="FP109" s="47"/>
      <c r="FQ109" s="47"/>
      <c r="FR109" s="127"/>
      <c r="FS109" s="127"/>
      <c r="FT109" s="127"/>
      <c r="FU109" s="127"/>
      <c r="FV109" s="127"/>
      <c r="FW109" s="127"/>
      <c r="FX109" s="47"/>
      <c r="FY109" s="32"/>
      <c r="FZ109" s="32"/>
      <c r="GA109" s="32"/>
      <c r="GB109" s="32"/>
      <c r="GC109" s="32"/>
      <c r="GD109" s="32"/>
      <c r="GE109" s="32"/>
      <c r="GF109" s="32"/>
      <c r="GG109" s="32"/>
      <c r="GH109" s="32"/>
      <c r="GI109" s="32"/>
      <c r="GJ109" s="32"/>
      <c r="GK109" s="32"/>
      <c r="GL109" s="32"/>
      <c r="GM109" s="49"/>
      <c r="GN109" s="49"/>
      <c r="GO109" s="49"/>
      <c r="GP109" s="49"/>
      <c r="GQ109" s="49"/>
      <c r="GR109" s="49"/>
      <c r="GS109" s="49"/>
      <c r="GT109" s="49"/>
      <c r="GU109" s="49"/>
      <c r="GV109" s="49"/>
      <c r="GW109" s="49"/>
      <c r="GX109" s="49"/>
      <c r="GY109" s="49"/>
      <c r="GZ109" s="49"/>
      <c r="HA109" s="49"/>
      <c r="HB109" s="49"/>
      <c r="HC109" s="49"/>
      <c r="HD109" s="49"/>
      <c r="HE109" s="49"/>
      <c r="HF109" s="49"/>
      <c r="HG109" s="49"/>
      <c r="HH109" s="49"/>
      <c r="HI109" s="49"/>
      <c r="HJ109" s="49"/>
      <c r="HK109" s="49"/>
      <c r="HL109" s="49"/>
      <c r="HM109" s="49"/>
      <c r="HN109" s="49"/>
    </row>
    <row r="110" spans="1:222" ht="4.2" customHeight="1">
      <c r="A110" s="1"/>
      <c r="B110" s="3"/>
      <c r="C110" s="3"/>
      <c r="D110" s="38"/>
      <c r="E110" s="126"/>
      <c r="F110" s="126"/>
      <c r="G110" s="43"/>
      <c r="H110" s="43"/>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79"/>
      <c r="DR110" s="79"/>
      <c r="DS110" s="79"/>
      <c r="DT110" s="79"/>
      <c r="DU110" s="79"/>
      <c r="DV110" s="79"/>
      <c r="DW110" s="79"/>
      <c r="DX110" s="79"/>
      <c r="DY110" s="79"/>
      <c r="DZ110" s="79"/>
      <c r="EA110" s="79"/>
      <c r="EB110" s="79"/>
      <c r="EC110" s="79"/>
      <c r="ED110" s="79"/>
      <c r="EE110" s="79"/>
      <c r="EF110" s="79"/>
      <c r="EG110" s="79"/>
      <c r="EH110" s="79"/>
      <c r="EI110" s="79"/>
      <c r="EJ110" s="79"/>
      <c r="EK110" s="79"/>
      <c r="EL110" s="79"/>
      <c r="EM110" s="79"/>
      <c r="EN110" s="79"/>
      <c r="EO110" s="79"/>
      <c r="EP110" s="79"/>
      <c r="EQ110" s="79"/>
      <c r="ER110" s="79"/>
      <c r="ES110" s="79"/>
      <c r="ET110" s="79"/>
      <c r="EU110" s="79"/>
      <c r="EV110" s="79"/>
      <c r="EW110" s="79"/>
      <c r="EX110" s="79"/>
      <c r="EY110" s="79"/>
      <c r="EZ110" s="79"/>
      <c r="FA110" s="79"/>
      <c r="FB110" s="79"/>
      <c r="FC110" s="79"/>
      <c r="FD110" s="79"/>
      <c r="FE110" s="79"/>
      <c r="FF110" s="79"/>
      <c r="FG110" s="79"/>
      <c r="FH110" s="79"/>
      <c r="FI110" s="79"/>
      <c r="FJ110" s="79"/>
      <c r="FK110" s="79"/>
      <c r="FL110" s="79"/>
      <c r="FM110" s="116"/>
      <c r="FN110" s="116"/>
      <c r="FO110" s="47"/>
      <c r="FP110" s="47"/>
      <c r="FQ110" s="47"/>
      <c r="FR110" s="127"/>
      <c r="FS110" s="127"/>
      <c r="FT110" s="127"/>
      <c r="FU110" s="127"/>
      <c r="FV110" s="127"/>
      <c r="FW110" s="127"/>
      <c r="FX110" s="47"/>
      <c r="FY110" s="32"/>
      <c r="FZ110" s="32"/>
      <c r="GA110" s="32"/>
      <c r="GB110" s="32"/>
      <c r="GC110" s="32"/>
      <c r="GD110" s="32"/>
      <c r="GE110" s="32"/>
      <c r="GF110" s="32"/>
      <c r="GG110" s="32"/>
      <c r="GH110" s="32"/>
      <c r="GI110" s="32"/>
      <c r="GJ110" s="32"/>
      <c r="GK110" s="32"/>
      <c r="GL110" s="32"/>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row>
    <row r="111" spans="1:222" ht="16.5" customHeight="1">
      <c r="A111" s="1"/>
      <c r="B111" s="3"/>
      <c r="C111" s="3"/>
      <c r="D111" s="373"/>
      <c r="E111" s="376"/>
      <c r="F111" s="376"/>
      <c r="G111" s="43"/>
      <c r="H111" s="43"/>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43"/>
      <c r="AN111" s="43"/>
      <c r="AO111" s="43"/>
      <c r="AP111" s="43"/>
      <c r="AQ111" s="43"/>
      <c r="AR111" s="43"/>
      <c r="AS111" s="43"/>
      <c r="AT111" s="368"/>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374" t="str">
        <f ca="1">IF(FO98=0,"",""&amp;FP104&amp;"p = -q + "&amp;FQ104&amp;" dus p = "&amp;1/FP104&amp;" × (-q + "&amp;FQ104&amp;") dus")</f>
        <v/>
      </c>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368"/>
      <c r="DG111" s="43"/>
      <c r="DH111" s="43"/>
      <c r="DI111" s="43"/>
      <c r="DJ111" s="43"/>
      <c r="DK111" s="43"/>
      <c r="DL111" s="43"/>
      <c r="DM111" s="43"/>
      <c r="DN111" s="43"/>
      <c r="DO111" s="43"/>
      <c r="DP111" s="43"/>
      <c r="DQ111" s="79"/>
      <c r="DR111" s="79"/>
      <c r="DS111" s="79"/>
      <c r="DT111" s="79"/>
      <c r="DU111" s="79"/>
      <c r="DV111" s="79"/>
      <c r="DW111" s="79"/>
      <c r="DX111" s="79"/>
      <c r="DY111" s="79"/>
      <c r="DZ111" s="79"/>
      <c r="EA111" s="79"/>
      <c r="EB111" s="79"/>
      <c r="EC111" s="79"/>
      <c r="ED111" s="79"/>
      <c r="EE111" s="79"/>
      <c r="EF111" s="79"/>
      <c r="EG111" s="79"/>
      <c r="EH111" s="79"/>
      <c r="EI111" s="79"/>
      <c r="EJ111" s="79"/>
      <c r="EK111" s="79"/>
      <c r="EL111" s="79"/>
      <c r="EM111" s="79"/>
      <c r="EN111" s="79"/>
      <c r="EO111" s="79"/>
      <c r="EP111" s="79"/>
      <c r="EQ111" s="79"/>
      <c r="ER111" s="79"/>
      <c r="ES111" s="79"/>
      <c r="ET111" s="79"/>
      <c r="EU111" s="79"/>
      <c r="EV111" s="79"/>
      <c r="EW111" s="79"/>
      <c r="EX111" s="79"/>
      <c r="EY111" s="79"/>
      <c r="EZ111" s="79"/>
      <c r="FA111" s="79"/>
      <c r="FB111" s="79"/>
      <c r="FC111" s="79"/>
      <c r="FD111" s="79"/>
      <c r="FE111" s="79"/>
      <c r="FF111" s="79"/>
      <c r="FG111" s="79"/>
      <c r="FH111" s="79"/>
      <c r="FI111" s="79"/>
      <c r="FJ111" s="79"/>
      <c r="FK111" s="79"/>
      <c r="FL111" s="79"/>
      <c r="FM111" s="116"/>
      <c r="FN111" s="116"/>
      <c r="FO111" s="47"/>
      <c r="FP111" s="47"/>
      <c r="FQ111" s="47"/>
      <c r="FR111" s="127"/>
      <c r="FS111" s="127"/>
      <c r="FT111" s="127"/>
      <c r="FU111" s="127"/>
      <c r="FV111" s="127"/>
      <c r="FW111" s="127"/>
      <c r="FX111" s="47"/>
      <c r="FY111" s="32"/>
      <c r="FZ111" s="32"/>
      <c r="GA111" s="32"/>
      <c r="GB111" s="32"/>
      <c r="GC111" s="32"/>
      <c r="GD111" s="32"/>
      <c r="GE111" s="32"/>
      <c r="GF111" s="32"/>
      <c r="GG111" s="32"/>
      <c r="GH111" s="32"/>
      <c r="GI111" s="32"/>
      <c r="GJ111" s="32"/>
      <c r="GK111" s="32"/>
      <c r="GL111" s="32"/>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row>
    <row r="112" spans="1:222" ht="12.6" customHeight="1">
      <c r="A112" s="1"/>
      <c r="B112" s="3"/>
      <c r="C112" s="3"/>
      <c r="D112" s="373"/>
      <c r="E112" s="376"/>
      <c r="F112" s="376"/>
      <c r="G112" s="43"/>
      <c r="H112" s="43"/>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43"/>
      <c r="AN112" s="43"/>
      <c r="AO112" s="43"/>
      <c r="AP112" s="43"/>
      <c r="AQ112" s="43"/>
      <c r="AR112" s="43"/>
      <c r="AS112" s="43"/>
      <c r="AT112" s="368"/>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374"/>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368"/>
      <c r="DG112" s="43"/>
      <c r="DH112" s="43"/>
      <c r="DI112" s="43"/>
      <c r="DJ112" s="43"/>
      <c r="DK112" s="43"/>
      <c r="DL112" s="43"/>
      <c r="DM112" s="43"/>
      <c r="DN112" s="43"/>
      <c r="DO112" s="43"/>
      <c r="DP112" s="43"/>
      <c r="DQ112" s="79"/>
      <c r="DR112" s="79"/>
      <c r="DS112" s="79"/>
      <c r="DT112" s="79"/>
      <c r="DU112" s="79"/>
      <c r="DV112" s="79"/>
      <c r="DW112" s="79"/>
      <c r="DX112" s="79"/>
      <c r="DY112" s="79"/>
      <c r="DZ112" s="79"/>
      <c r="EA112" s="79"/>
      <c r="EB112" s="79"/>
      <c r="EC112" s="79"/>
      <c r="ED112" s="79"/>
      <c r="EE112" s="79"/>
      <c r="EF112" s="79"/>
      <c r="EG112" s="79"/>
      <c r="EH112" s="79"/>
      <c r="EI112" s="79"/>
      <c r="EJ112" s="79"/>
      <c r="EK112" s="79"/>
      <c r="EL112" s="79"/>
      <c r="EM112" s="79"/>
      <c r="EN112" s="79"/>
      <c r="EO112" s="79"/>
      <c r="EP112" s="79"/>
      <c r="EQ112" s="79"/>
      <c r="ER112" s="79"/>
      <c r="ES112" s="79"/>
      <c r="ET112" s="79"/>
      <c r="EU112" s="79"/>
      <c r="EV112" s="79"/>
      <c r="EW112" s="79"/>
      <c r="EX112" s="79"/>
      <c r="EY112" s="79"/>
      <c r="EZ112" s="79"/>
      <c r="FA112" s="79"/>
      <c r="FB112" s="79"/>
      <c r="FC112" s="79"/>
      <c r="FD112" s="79"/>
      <c r="FE112" s="79"/>
      <c r="FF112" s="79"/>
      <c r="FG112" s="79"/>
      <c r="FH112" s="79"/>
      <c r="FI112" s="79"/>
      <c r="FJ112" s="79"/>
      <c r="FK112" s="79"/>
      <c r="FL112" s="79"/>
      <c r="FM112" s="116"/>
      <c r="FN112" s="116"/>
      <c r="FO112" s="47"/>
      <c r="FP112" s="47"/>
      <c r="FQ112" s="47"/>
      <c r="FR112" s="127"/>
      <c r="FS112" s="127"/>
      <c r="FT112" s="127"/>
      <c r="FU112" s="127"/>
      <c r="FV112" s="127"/>
      <c r="FW112" s="127"/>
      <c r="FX112" s="47"/>
      <c r="FY112" s="32"/>
      <c r="FZ112" s="32"/>
      <c r="GA112" s="32"/>
      <c r="GB112" s="32"/>
      <c r="GC112" s="32"/>
      <c r="GD112" s="32"/>
      <c r="GE112" s="32"/>
      <c r="GF112" s="32"/>
      <c r="GG112" s="32"/>
      <c r="GH112" s="32"/>
      <c r="GI112" s="32"/>
      <c r="GJ112" s="32"/>
      <c r="GK112" s="32"/>
      <c r="GL112" s="32"/>
      <c r="GM112" s="49"/>
      <c r="GN112" s="49"/>
      <c r="GO112" s="49"/>
      <c r="GP112" s="49"/>
      <c r="GQ112" s="49"/>
      <c r="GR112" s="49"/>
      <c r="GS112" s="49"/>
      <c r="GT112" s="49"/>
      <c r="GU112" s="49"/>
      <c r="GV112" s="49"/>
      <c r="GW112" s="49"/>
      <c r="GX112" s="49"/>
      <c r="GY112" s="49"/>
      <c r="GZ112" s="49"/>
      <c r="HA112" s="49"/>
      <c r="HB112" s="49"/>
      <c r="HC112" s="49"/>
      <c r="HD112" s="49"/>
      <c r="HE112" s="49"/>
      <c r="HF112" s="49"/>
      <c r="HG112" s="49"/>
      <c r="HH112" s="49"/>
      <c r="HI112" s="49"/>
      <c r="HJ112" s="49"/>
      <c r="HK112" s="49"/>
      <c r="HL112" s="49"/>
      <c r="HM112" s="49"/>
      <c r="HN112" s="49"/>
    </row>
    <row r="113" spans="1:222" ht="16.5" customHeight="1">
      <c r="A113" s="1"/>
      <c r="B113" s="3"/>
      <c r="C113" s="3"/>
      <c r="D113" s="38"/>
      <c r="E113" s="126"/>
      <c r="F113" s="126"/>
      <c r="G113" s="43"/>
      <c r="H113" s="43"/>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43"/>
      <c r="AN113" s="43"/>
      <c r="AO113" s="43"/>
      <c r="AP113" s="43"/>
      <c r="AQ113" s="43"/>
      <c r="AR113" s="43"/>
      <c r="AS113" s="43"/>
      <c r="AT113" s="195"/>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200" t="str">
        <f ca="1">IF(FO98=0,"","p = -"&amp;1/FP104&amp;"q + "&amp;FQ104/FP104&amp;"")</f>
        <v/>
      </c>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195"/>
      <c r="DG113" s="43"/>
      <c r="DH113" s="43"/>
      <c r="DI113" s="43"/>
      <c r="DJ113" s="43"/>
      <c r="DK113" s="43"/>
      <c r="DL113" s="43"/>
      <c r="DM113" s="43"/>
      <c r="DN113" s="43"/>
      <c r="DO113" s="43"/>
      <c r="DP113" s="43"/>
      <c r="DQ113" s="79"/>
      <c r="DR113" s="79"/>
      <c r="DS113" s="79"/>
      <c r="DT113" s="79"/>
      <c r="DU113" s="79"/>
      <c r="DV113" s="79"/>
      <c r="DW113" s="79"/>
      <c r="DX113" s="79"/>
      <c r="DY113" s="79"/>
      <c r="DZ113" s="79"/>
      <c r="EA113" s="79"/>
      <c r="EB113" s="79"/>
      <c r="EC113" s="79"/>
      <c r="ED113" s="79"/>
      <c r="EE113" s="79"/>
      <c r="EF113" s="79"/>
      <c r="EG113" s="79"/>
      <c r="EH113" s="79"/>
      <c r="EI113" s="79"/>
      <c r="EJ113" s="79"/>
      <c r="EK113" s="79"/>
      <c r="EL113" s="79"/>
      <c r="EM113" s="79"/>
      <c r="EN113" s="79"/>
      <c r="EO113" s="79"/>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116"/>
      <c r="FN113" s="116"/>
      <c r="FO113" s="47"/>
      <c r="FP113" s="47"/>
      <c r="FQ113" s="47"/>
      <c r="FR113" s="127"/>
      <c r="FS113" s="127"/>
      <c r="FT113" s="127"/>
      <c r="FU113" s="127"/>
      <c r="FV113" s="127"/>
      <c r="FW113" s="127"/>
      <c r="FX113" s="47"/>
      <c r="FY113" s="32"/>
      <c r="FZ113" s="32"/>
      <c r="GA113" s="32"/>
      <c r="GB113" s="32"/>
      <c r="GC113" s="32"/>
      <c r="GD113" s="32"/>
      <c r="GE113" s="32"/>
      <c r="GF113" s="32"/>
      <c r="GG113" s="32"/>
      <c r="GH113" s="32"/>
      <c r="GI113" s="32"/>
      <c r="GJ113" s="32"/>
      <c r="GK113" s="32"/>
      <c r="GL113" s="32"/>
      <c r="GM113" s="49"/>
      <c r="GN113" s="49"/>
      <c r="GO113" s="49"/>
      <c r="GP113" s="49"/>
      <c r="GQ113" s="49"/>
      <c r="GR113" s="49"/>
      <c r="GS113" s="49"/>
      <c r="GT113" s="49"/>
      <c r="GU113" s="49"/>
      <c r="GV113" s="49"/>
      <c r="GW113" s="49"/>
      <c r="GX113" s="49"/>
      <c r="GY113" s="49"/>
      <c r="GZ113" s="49"/>
      <c r="HA113" s="49"/>
      <c r="HB113" s="49"/>
      <c r="HC113" s="49"/>
      <c r="HD113" s="49"/>
      <c r="HE113" s="49"/>
      <c r="HF113" s="49"/>
      <c r="HG113" s="49"/>
      <c r="HH113" s="49"/>
      <c r="HI113" s="49"/>
      <c r="HJ113" s="49"/>
      <c r="HK113" s="49"/>
      <c r="HL113" s="49"/>
      <c r="HM113" s="49"/>
      <c r="HN113" s="49"/>
    </row>
    <row r="114" spans="1:222" ht="11.25" customHeight="1">
      <c r="A114" s="1"/>
      <c r="B114" s="3"/>
      <c r="C114" s="3"/>
      <c r="D114" s="38"/>
      <c r="E114" s="126"/>
      <c r="F114" s="126"/>
      <c r="G114" s="43"/>
      <c r="H114" s="43"/>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79"/>
      <c r="DR114" s="79"/>
      <c r="DS114" s="79"/>
      <c r="DT114" s="79"/>
      <c r="DU114" s="79"/>
      <c r="DV114" s="79"/>
      <c r="DW114" s="79"/>
      <c r="DX114" s="79"/>
      <c r="DY114" s="79"/>
      <c r="DZ114" s="79"/>
      <c r="EA114" s="79"/>
      <c r="EB114" s="79"/>
      <c r="EC114" s="79"/>
      <c r="ED114" s="79"/>
      <c r="EE114" s="79"/>
      <c r="EF114" s="79"/>
      <c r="EG114" s="79"/>
      <c r="EH114" s="79"/>
      <c r="EI114" s="79"/>
      <c r="EJ114" s="79"/>
      <c r="EK114" s="79"/>
      <c r="EL114" s="79"/>
      <c r="EM114" s="79"/>
      <c r="EN114" s="79"/>
      <c r="EO114" s="79"/>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116"/>
      <c r="FN114" s="116"/>
      <c r="FO114" s="47"/>
      <c r="FP114" s="47"/>
      <c r="FQ114" s="47"/>
      <c r="FR114" s="127"/>
      <c r="FS114" s="127"/>
      <c r="FT114" s="127"/>
      <c r="FU114" s="127"/>
      <c r="FV114" s="127"/>
      <c r="FW114" s="127"/>
      <c r="FX114" s="47"/>
      <c r="FY114" s="32"/>
      <c r="FZ114" s="32"/>
      <c r="GA114" s="32"/>
      <c r="GB114" s="32"/>
      <c r="GC114" s="32"/>
      <c r="GD114" s="32"/>
      <c r="GE114" s="32"/>
      <c r="GF114" s="32"/>
      <c r="GG114" s="32"/>
      <c r="GH114" s="32"/>
      <c r="GI114" s="32"/>
      <c r="GJ114" s="32"/>
      <c r="GK114" s="32"/>
      <c r="GL114" s="32"/>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row>
    <row r="115" spans="1:222" ht="16.5" customHeight="1">
      <c r="A115" s="1"/>
      <c r="B115" s="3"/>
      <c r="C115" s="3"/>
      <c r="D115" s="38" t="str">
        <f ca="1">IF(FO98=0,"","Door de ''p'' te vervangen door ''GO'' krijg je de GO-functie:")</f>
        <v/>
      </c>
      <c r="E115" s="126"/>
      <c r="F115" s="126"/>
      <c r="G115" s="43"/>
      <c r="H115" s="43"/>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79"/>
      <c r="DR115" s="79"/>
      <c r="DS115" s="79"/>
      <c r="DT115" s="79"/>
      <c r="DU115" s="79"/>
      <c r="DV115" s="79"/>
      <c r="DW115" s="79"/>
      <c r="DX115" s="79"/>
      <c r="DY115" s="79"/>
      <c r="DZ115" s="79"/>
      <c r="EA115" s="79"/>
      <c r="EB115" s="79"/>
      <c r="EC115" s="79"/>
      <c r="ED115" s="79"/>
      <c r="EE115" s="79"/>
      <c r="EF115" s="79"/>
      <c r="EG115" s="79"/>
      <c r="EH115" s="79"/>
      <c r="EI115" s="79"/>
      <c r="EJ115" s="79"/>
      <c r="EK115" s="79"/>
      <c r="EL115" s="79"/>
      <c r="EM115" s="79"/>
      <c r="EN115" s="79"/>
      <c r="EO115" s="79"/>
      <c r="EP115" s="79"/>
      <c r="EQ115" s="79"/>
      <c r="ER115" s="79"/>
      <c r="ES115" s="79"/>
      <c r="ET115" s="79"/>
      <c r="EU115" s="79"/>
      <c r="EV115" s="79"/>
      <c r="EW115" s="79"/>
      <c r="EX115" s="79"/>
      <c r="EY115" s="79"/>
      <c r="EZ115" s="79"/>
      <c r="FA115" s="79"/>
      <c r="FB115" s="79"/>
      <c r="FC115" s="79"/>
      <c r="FD115" s="79"/>
      <c r="FE115" s="79"/>
      <c r="FF115" s="79"/>
      <c r="FG115" s="79"/>
      <c r="FH115" s="79"/>
      <c r="FI115" s="79"/>
      <c r="FJ115" s="79"/>
      <c r="FK115" s="79"/>
      <c r="FL115" s="79"/>
      <c r="FM115" s="116"/>
      <c r="FN115" s="116"/>
      <c r="FO115" s="47"/>
      <c r="FP115" s="47"/>
      <c r="FQ115" s="47"/>
      <c r="FR115" s="127"/>
      <c r="FS115" s="127"/>
      <c r="FT115" s="127"/>
      <c r="FU115" s="127"/>
      <c r="FV115" s="127"/>
      <c r="FW115" s="127"/>
      <c r="FX115" s="47"/>
      <c r="FY115" s="32"/>
      <c r="FZ115" s="32"/>
      <c r="GA115" s="32"/>
      <c r="GB115" s="32"/>
      <c r="GC115" s="32"/>
      <c r="GD115" s="32"/>
      <c r="GE115" s="32"/>
      <c r="GF115" s="32"/>
      <c r="GG115" s="32"/>
      <c r="GH115" s="32"/>
      <c r="GI115" s="32"/>
      <c r="GJ115" s="32"/>
      <c r="GK115" s="32"/>
      <c r="GL115" s="32"/>
      <c r="GM115" s="49"/>
      <c r="GN115" s="49"/>
      <c r="GO115" s="49"/>
      <c r="GP115" s="49"/>
      <c r="GQ115" s="49"/>
      <c r="GR115" s="49"/>
      <c r="GS115" s="49"/>
      <c r="GT115" s="49"/>
      <c r="GU115" s="49"/>
      <c r="GV115" s="49"/>
      <c r="GW115" s="49"/>
      <c r="GX115" s="49"/>
      <c r="GY115" s="49"/>
      <c r="GZ115" s="49"/>
      <c r="HA115" s="49"/>
      <c r="HB115" s="49"/>
      <c r="HC115" s="49"/>
      <c r="HD115" s="49"/>
      <c r="HE115" s="49"/>
      <c r="HF115" s="49"/>
      <c r="HG115" s="49"/>
      <c r="HH115" s="49"/>
      <c r="HI115" s="49"/>
      <c r="HJ115" s="49"/>
      <c r="HK115" s="49"/>
      <c r="HL115" s="49"/>
      <c r="HM115" s="49"/>
      <c r="HN115" s="49"/>
    </row>
    <row r="116" spans="1:222" ht="7.5" customHeight="1">
      <c r="A116" s="1"/>
      <c r="B116" s="3"/>
      <c r="C116" s="3"/>
      <c r="D116" s="38"/>
      <c r="E116" s="126"/>
      <c r="F116" s="126"/>
      <c r="G116" s="43"/>
      <c r="H116" s="43"/>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79"/>
      <c r="DR116" s="79"/>
      <c r="DS116" s="79"/>
      <c r="DT116" s="79"/>
      <c r="DU116" s="79"/>
      <c r="DV116" s="79"/>
      <c r="DW116" s="79"/>
      <c r="DX116" s="79"/>
      <c r="DY116" s="79"/>
      <c r="DZ116" s="79"/>
      <c r="EA116" s="79"/>
      <c r="EB116" s="79"/>
      <c r="EC116" s="79"/>
      <c r="ED116" s="79"/>
      <c r="EE116" s="79"/>
      <c r="EF116" s="79"/>
      <c r="EG116" s="79"/>
      <c r="EH116" s="79"/>
      <c r="EI116" s="79"/>
      <c r="EJ116" s="79"/>
      <c r="EK116" s="79"/>
      <c r="EL116" s="79"/>
      <c r="EM116" s="79"/>
      <c r="EN116" s="79"/>
      <c r="EO116" s="79"/>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116"/>
      <c r="FN116" s="116"/>
      <c r="FO116" s="47"/>
      <c r="FP116" s="47"/>
      <c r="FQ116" s="47"/>
      <c r="FR116" s="127"/>
      <c r="FS116" s="127"/>
      <c r="FT116" s="127"/>
      <c r="FU116" s="127"/>
      <c r="FV116" s="127"/>
      <c r="FW116" s="127"/>
      <c r="FX116" s="47"/>
      <c r="FY116" s="32"/>
      <c r="FZ116" s="32"/>
      <c r="GA116" s="32"/>
      <c r="GB116" s="32"/>
      <c r="GC116" s="32"/>
      <c r="GD116" s="32"/>
      <c r="GE116" s="32"/>
      <c r="GF116" s="32"/>
      <c r="GG116" s="32"/>
      <c r="GH116" s="32"/>
      <c r="GI116" s="32"/>
      <c r="GJ116" s="32"/>
      <c r="GK116" s="32"/>
      <c r="GL116" s="32"/>
      <c r="GM116" s="49"/>
      <c r="GN116" s="49"/>
      <c r="GO116" s="49"/>
      <c r="GP116" s="49"/>
      <c r="GQ116" s="49"/>
      <c r="GR116" s="49"/>
      <c r="GS116" s="49"/>
      <c r="GT116" s="49"/>
      <c r="GU116" s="49"/>
      <c r="GV116" s="49"/>
      <c r="GW116" s="49"/>
      <c r="GX116" s="49"/>
      <c r="GY116" s="49"/>
      <c r="GZ116" s="49"/>
      <c r="HA116" s="49"/>
      <c r="HB116" s="49"/>
      <c r="HC116" s="49"/>
      <c r="HD116" s="49"/>
      <c r="HE116" s="49"/>
      <c r="HF116" s="49"/>
      <c r="HG116" s="49"/>
      <c r="HH116" s="49"/>
      <c r="HI116" s="49"/>
      <c r="HJ116" s="49"/>
      <c r="HK116" s="49"/>
      <c r="HL116" s="49"/>
      <c r="HM116" s="49"/>
      <c r="HN116" s="49"/>
    </row>
    <row r="117" spans="1:222" ht="16.5" customHeight="1">
      <c r="A117" s="1"/>
      <c r="B117" s="3"/>
      <c r="C117" s="3"/>
      <c r="D117" s="38"/>
      <c r="E117" s="126"/>
      <c r="F117" s="126"/>
      <c r="G117" s="43"/>
      <c r="H117" s="43"/>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43"/>
      <c r="AN117" s="43"/>
      <c r="AO117" s="43"/>
      <c r="AP117" s="43"/>
      <c r="AQ117" s="43"/>
      <c r="AR117" s="43"/>
      <c r="AS117" s="43"/>
      <c r="AT117" s="195"/>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200" t="str">
        <f ca="1">IF(FO98=0,"","GO = -"&amp;1/FP104&amp;"q + "&amp;FQ104/FP104&amp;"")</f>
        <v/>
      </c>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195"/>
      <c r="DG117" s="43"/>
      <c r="DH117" s="43"/>
      <c r="DI117" s="43"/>
      <c r="DJ117" s="43"/>
      <c r="DK117" s="43"/>
      <c r="DL117" s="43"/>
      <c r="DM117" s="43"/>
      <c r="DN117" s="43"/>
      <c r="DO117" s="43"/>
      <c r="DP117" s="43"/>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116"/>
      <c r="FN117" s="116"/>
      <c r="FO117" s="47"/>
      <c r="FP117" s="47"/>
      <c r="FQ117" s="47"/>
      <c r="FR117" s="127"/>
      <c r="FS117" s="127"/>
      <c r="FT117" s="127"/>
      <c r="FU117" s="127"/>
      <c r="FV117" s="127"/>
      <c r="FW117" s="127"/>
      <c r="FX117" s="47"/>
      <c r="FY117" s="32"/>
      <c r="FZ117" s="32"/>
      <c r="GA117" s="32"/>
      <c r="GB117" s="32"/>
      <c r="GC117" s="32"/>
      <c r="GD117" s="32"/>
      <c r="GE117" s="32"/>
      <c r="GF117" s="32"/>
      <c r="GG117" s="32"/>
      <c r="GH117" s="32"/>
      <c r="GI117" s="32"/>
      <c r="GJ117" s="32"/>
      <c r="GK117" s="32"/>
      <c r="GL117" s="32"/>
      <c r="GM117" s="49"/>
      <c r="GN117" s="49"/>
      <c r="GO117" s="49"/>
      <c r="GP117" s="49"/>
      <c r="GQ117" s="49"/>
      <c r="GR117" s="49"/>
      <c r="GS117" s="49"/>
      <c r="GT117" s="49"/>
      <c r="GU117" s="49"/>
      <c r="GV117" s="49"/>
      <c r="GW117" s="49"/>
      <c r="GX117" s="49"/>
      <c r="GY117" s="49"/>
      <c r="GZ117" s="49"/>
      <c r="HA117" s="49"/>
      <c r="HB117" s="49"/>
      <c r="HC117" s="49"/>
      <c r="HD117" s="49"/>
      <c r="HE117" s="49"/>
      <c r="HF117" s="49"/>
      <c r="HG117" s="49"/>
      <c r="HH117" s="49"/>
      <c r="HI117" s="49"/>
      <c r="HJ117" s="49"/>
      <c r="HK117" s="49"/>
      <c r="HL117" s="49"/>
      <c r="HM117" s="49"/>
      <c r="HN117" s="49"/>
    </row>
    <row r="118" spans="1:222" ht="11.25" customHeight="1">
      <c r="A118" s="1"/>
      <c r="B118" s="3"/>
      <c r="C118" s="3"/>
      <c r="D118" s="38"/>
      <c r="E118" s="126"/>
      <c r="F118" s="126"/>
      <c r="G118" s="43"/>
      <c r="H118" s="43"/>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79"/>
      <c r="AL118" s="79"/>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79"/>
      <c r="DR118" s="79"/>
      <c r="DS118" s="79"/>
      <c r="DT118" s="79"/>
      <c r="DU118" s="79"/>
      <c r="DV118" s="79"/>
      <c r="DW118" s="79"/>
      <c r="DX118" s="79"/>
      <c r="DY118" s="79"/>
      <c r="DZ118" s="79"/>
      <c r="EA118" s="79"/>
      <c r="EB118" s="79"/>
      <c r="EC118" s="79"/>
      <c r="ED118" s="79"/>
      <c r="EE118" s="79"/>
      <c r="EF118" s="79"/>
      <c r="EG118" s="79"/>
      <c r="EH118" s="79"/>
      <c r="EI118" s="79"/>
      <c r="EJ118" s="79"/>
      <c r="EK118" s="79"/>
      <c r="EL118" s="79"/>
      <c r="EM118" s="79"/>
      <c r="EN118" s="79"/>
      <c r="EO118" s="79"/>
      <c r="EP118" s="79"/>
      <c r="EQ118" s="79"/>
      <c r="ER118" s="79"/>
      <c r="ES118" s="79"/>
      <c r="ET118" s="79"/>
      <c r="EU118" s="79"/>
      <c r="EV118" s="79"/>
      <c r="EW118" s="79"/>
      <c r="EX118" s="79"/>
      <c r="EY118" s="79"/>
      <c r="EZ118" s="79"/>
      <c r="FA118" s="79"/>
      <c r="FB118" s="79"/>
      <c r="FC118" s="79"/>
      <c r="FD118" s="79"/>
      <c r="FE118" s="79"/>
      <c r="FF118" s="79"/>
      <c r="FG118" s="79"/>
      <c r="FH118" s="79"/>
      <c r="FI118" s="79"/>
      <c r="FJ118" s="79"/>
      <c r="FK118" s="79"/>
      <c r="FL118" s="79"/>
      <c r="FM118" s="116"/>
      <c r="FN118" s="116"/>
      <c r="FO118" s="47"/>
      <c r="FP118" s="47"/>
      <c r="FQ118" s="47"/>
      <c r="FR118" s="127"/>
      <c r="FS118" s="127"/>
      <c r="FT118" s="127"/>
      <c r="FU118" s="127"/>
      <c r="FV118" s="127"/>
      <c r="FW118" s="127"/>
      <c r="FX118" s="47"/>
      <c r="FY118" s="32"/>
      <c r="FZ118" s="32"/>
      <c r="GA118" s="32"/>
      <c r="GB118" s="32"/>
      <c r="GC118" s="32"/>
      <c r="GD118" s="32"/>
      <c r="GE118" s="32"/>
      <c r="GF118" s="32"/>
      <c r="GG118" s="32"/>
      <c r="GH118" s="32"/>
      <c r="GI118" s="32"/>
      <c r="GJ118" s="32"/>
      <c r="GK118" s="32"/>
      <c r="GL118" s="32"/>
      <c r="GM118" s="49"/>
      <c r="GN118" s="49"/>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c r="HN118" s="49"/>
    </row>
    <row r="119" spans="1:222" ht="16.95" customHeight="1">
      <c r="A119" s="1"/>
      <c r="B119" s="3"/>
      <c r="C119" s="3"/>
      <c r="D119" s="373" t="str">
        <f ca="1">IF(FO98=0,"","Door het geheel rechts van het ''='' teken te vermenigvuldigen met q, krijg je")</f>
        <v/>
      </c>
      <c r="E119" s="10"/>
      <c r="F119" s="10"/>
      <c r="G119" s="10"/>
      <c r="H119" s="10"/>
      <c r="I119" s="10"/>
      <c r="J119" s="10"/>
      <c r="K119" s="10"/>
      <c r="L119" s="10"/>
      <c r="M119" s="10"/>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c r="DC119" s="79"/>
      <c r="DD119" s="79"/>
      <c r="DE119" s="79"/>
      <c r="DF119" s="79"/>
      <c r="DG119" s="79"/>
      <c r="DH119" s="79"/>
      <c r="DI119" s="79"/>
      <c r="DJ119" s="79"/>
      <c r="DK119" s="79"/>
      <c r="DL119" s="79"/>
      <c r="DM119" s="79"/>
      <c r="DN119" s="79"/>
      <c r="DO119" s="79"/>
      <c r="DP119" s="79"/>
      <c r="DQ119" s="79"/>
      <c r="DR119" s="79"/>
      <c r="DS119" s="79"/>
      <c r="DT119" s="79"/>
      <c r="DU119" s="79"/>
      <c r="DV119" s="79"/>
      <c r="DW119" s="79"/>
      <c r="DX119" s="79"/>
      <c r="DY119" s="79"/>
      <c r="DZ119" s="79"/>
      <c r="EA119" s="79"/>
      <c r="EB119" s="79"/>
      <c r="EC119" s="79"/>
      <c r="ED119" s="79"/>
      <c r="EE119" s="79"/>
      <c r="EF119" s="79"/>
      <c r="EG119" s="79"/>
      <c r="EH119" s="79"/>
      <c r="EI119" s="79"/>
      <c r="EJ119" s="79"/>
      <c r="EK119" s="79"/>
      <c r="EL119" s="79"/>
      <c r="EM119" s="79"/>
      <c r="EN119" s="79"/>
      <c r="EO119" s="79"/>
      <c r="EP119" s="79"/>
      <c r="EQ119" s="79"/>
      <c r="ER119" s="79"/>
      <c r="ES119" s="79"/>
      <c r="ET119" s="79"/>
      <c r="EU119" s="79"/>
      <c r="EV119" s="79"/>
      <c r="EW119" s="79"/>
      <c r="EX119" s="79"/>
      <c r="EY119" s="79"/>
      <c r="EZ119" s="79"/>
      <c r="FA119" s="79"/>
      <c r="FB119" s="79"/>
      <c r="FC119" s="79"/>
      <c r="FD119" s="79"/>
      <c r="FE119" s="79"/>
      <c r="FF119" s="79"/>
      <c r="FG119" s="79"/>
      <c r="FH119" s="79"/>
      <c r="FI119" s="79"/>
      <c r="FJ119" s="79"/>
      <c r="FK119" s="79"/>
      <c r="FL119" s="79"/>
      <c r="FM119" s="47"/>
      <c r="FN119" s="47"/>
      <c r="FO119" s="47"/>
      <c r="FP119" s="47"/>
      <c r="FQ119" s="47"/>
      <c r="FR119" s="47"/>
      <c r="FS119" s="47"/>
      <c r="FT119" s="47"/>
      <c r="FU119" s="47"/>
      <c r="FV119" s="47"/>
      <c r="FW119" s="47"/>
      <c r="FX119" s="47"/>
      <c r="FY119" s="32"/>
      <c r="FZ119" s="32"/>
      <c r="GA119" s="32"/>
      <c r="GB119" s="32"/>
      <c r="GC119" s="32"/>
      <c r="GD119" s="32"/>
      <c r="GE119" s="32"/>
      <c r="GF119" s="32"/>
      <c r="GG119" s="32"/>
      <c r="GH119" s="32"/>
      <c r="GI119" s="32"/>
      <c r="GJ119" s="32"/>
      <c r="GK119" s="32"/>
      <c r="GL119" s="32"/>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row>
    <row r="120" spans="1:222" ht="16.95" customHeight="1">
      <c r="A120" s="1"/>
      <c r="B120" s="3"/>
      <c r="C120" s="3"/>
      <c r="D120" s="373" t="str">
        <f ca="1">IF(FO98=0,"","de bijbehorende TO-functie:")</f>
        <v/>
      </c>
      <c r="E120" s="10"/>
      <c r="F120" s="10"/>
      <c r="G120" s="10"/>
      <c r="H120" s="10"/>
      <c r="I120" s="10"/>
      <c r="J120" s="10"/>
      <c r="K120" s="10"/>
      <c r="L120" s="10"/>
      <c r="M120" s="10"/>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c r="CJ120" s="79"/>
      <c r="CK120" s="79"/>
      <c r="CL120" s="79"/>
      <c r="CM120" s="79"/>
      <c r="CN120" s="79"/>
      <c r="CO120" s="79"/>
      <c r="CP120" s="79"/>
      <c r="CQ120" s="79"/>
      <c r="CR120" s="79"/>
      <c r="CS120" s="79"/>
      <c r="CT120" s="79"/>
      <c r="CU120" s="79"/>
      <c r="CV120" s="79"/>
      <c r="CW120" s="79"/>
      <c r="CX120" s="79"/>
      <c r="CY120" s="79"/>
      <c r="CZ120" s="79"/>
      <c r="DA120" s="79"/>
      <c r="DB120" s="79"/>
      <c r="DC120" s="79"/>
      <c r="DD120" s="79"/>
      <c r="DE120" s="79"/>
      <c r="DF120" s="79"/>
      <c r="DG120" s="79"/>
      <c r="DH120" s="79"/>
      <c r="DI120" s="79"/>
      <c r="DJ120" s="79"/>
      <c r="DK120" s="79"/>
      <c r="DL120" s="79"/>
      <c r="DM120" s="79"/>
      <c r="DN120" s="79"/>
      <c r="DO120" s="79"/>
      <c r="DP120" s="79"/>
      <c r="DQ120" s="79"/>
      <c r="DR120" s="79"/>
      <c r="DS120" s="79"/>
      <c r="DT120" s="79"/>
      <c r="DU120" s="79"/>
      <c r="DV120" s="79"/>
      <c r="DW120" s="79"/>
      <c r="DX120" s="79"/>
      <c r="DY120" s="79"/>
      <c r="DZ120" s="79"/>
      <c r="EA120" s="79"/>
      <c r="EB120" s="79"/>
      <c r="EC120" s="79"/>
      <c r="ED120" s="79"/>
      <c r="EE120" s="79"/>
      <c r="EF120" s="79"/>
      <c r="EG120" s="79"/>
      <c r="EH120" s="79"/>
      <c r="EI120" s="79"/>
      <c r="EJ120" s="79"/>
      <c r="EK120" s="79"/>
      <c r="EL120" s="79"/>
      <c r="EM120" s="79"/>
      <c r="EN120" s="79"/>
      <c r="EO120" s="79"/>
      <c r="EP120" s="79"/>
      <c r="EQ120" s="79"/>
      <c r="ER120" s="79"/>
      <c r="ES120" s="79"/>
      <c r="ET120" s="79"/>
      <c r="EU120" s="79"/>
      <c r="EV120" s="79"/>
      <c r="EW120" s="79"/>
      <c r="EX120" s="79"/>
      <c r="EY120" s="79"/>
      <c r="EZ120" s="79"/>
      <c r="FA120" s="79"/>
      <c r="FB120" s="79"/>
      <c r="FC120" s="79"/>
      <c r="FD120" s="79"/>
      <c r="FE120" s="79"/>
      <c r="FF120" s="79"/>
      <c r="FG120" s="79"/>
      <c r="FH120" s="79"/>
      <c r="FI120" s="79"/>
      <c r="FJ120" s="79"/>
      <c r="FK120" s="79"/>
      <c r="FL120" s="79"/>
      <c r="FM120" s="47"/>
      <c r="FN120" s="47"/>
      <c r="FO120" s="47"/>
      <c r="FP120" s="47"/>
      <c r="FQ120" s="47"/>
      <c r="FR120" s="47"/>
      <c r="FS120" s="47"/>
      <c r="FT120" s="47"/>
      <c r="FU120" s="47"/>
      <c r="FV120" s="47"/>
      <c r="FW120" s="47"/>
      <c r="FX120" s="47"/>
      <c r="FY120" s="32"/>
      <c r="FZ120" s="32"/>
      <c r="GA120" s="32"/>
      <c r="GB120" s="32"/>
      <c r="GC120" s="32"/>
      <c r="GD120" s="32"/>
      <c r="GE120" s="32"/>
      <c r="GF120" s="32"/>
      <c r="GG120" s="32"/>
      <c r="GH120" s="32"/>
      <c r="GI120" s="32"/>
      <c r="GJ120" s="32"/>
      <c r="GK120" s="32"/>
      <c r="GL120" s="32"/>
      <c r="GM120" s="49"/>
      <c r="GN120" s="49"/>
      <c r="GO120" s="49"/>
      <c r="GP120" s="49"/>
      <c r="GQ120" s="49"/>
      <c r="GR120" s="49"/>
      <c r="GS120" s="49"/>
      <c r="GT120" s="49"/>
      <c r="GU120" s="49"/>
      <c r="GV120" s="49"/>
      <c r="GW120" s="49"/>
      <c r="GX120" s="49"/>
      <c r="GY120" s="49"/>
      <c r="GZ120" s="49"/>
      <c r="HA120" s="49"/>
      <c r="HB120" s="49"/>
      <c r="HC120" s="49"/>
      <c r="HD120" s="49"/>
      <c r="HE120" s="49"/>
      <c r="HF120" s="49"/>
      <c r="HG120" s="49"/>
      <c r="HH120" s="49"/>
      <c r="HI120" s="49"/>
      <c r="HJ120" s="49"/>
      <c r="HK120" s="49"/>
      <c r="HL120" s="49"/>
      <c r="HM120" s="49"/>
      <c r="HN120" s="49"/>
    </row>
    <row r="121" spans="1:222" ht="5.4" customHeight="1">
      <c r="A121" s="1"/>
      <c r="B121" s="3"/>
      <c r="C121" s="3"/>
      <c r="D121" s="373"/>
      <c r="E121" s="376"/>
      <c r="F121" s="376"/>
      <c r="G121" s="43"/>
      <c r="H121" s="43"/>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116"/>
      <c r="FN121" s="116"/>
      <c r="FO121" s="47"/>
      <c r="FP121" s="47"/>
      <c r="FQ121" s="47"/>
      <c r="FR121" s="127"/>
      <c r="FS121" s="127"/>
      <c r="FT121" s="127"/>
      <c r="FU121" s="127"/>
      <c r="FV121" s="127"/>
      <c r="FW121" s="127"/>
      <c r="FX121" s="47"/>
      <c r="FY121" s="32"/>
      <c r="FZ121" s="32"/>
      <c r="GA121" s="32"/>
      <c r="GB121" s="32"/>
      <c r="GC121" s="32"/>
      <c r="GD121" s="32"/>
      <c r="GE121" s="32"/>
      <c r="GF121" s="32"/>
      <c r="GG121" s="32"/>
      <c r="GH121" s="32"/>
      <c r="GI121" s="32"/>
      <c r="GJ121" s="32"/>
      <c r="GK121" s="32"/>
      <c r="GL121" s="32"/>
      <c r="GM121" s="49"/>
      <c r="GN121" s="49"/>
      <c r="GO121" s="49"/>
      <c r="GP121" s="49"/>
      <c r="GQ121" s="49"/>
      <c r="GR121" s="49"/>
      <c r="GS121" s="49"/>
      <c r="GT121" s="49"/>
      <c r="GU121" s="49"/>
      <c r="GV121" s="49"/>
      <c r="GW121" s="49"/>
      <c r="GX121" s="49"/>
      <c r="GY121" s="49"/>
      <c r="GZ121" s="49"/>
      <c r="HA121" s="49"/>
      <c r="HB121" s="49"/>
      <c r="HC121" s="49"/>
      <c r="HD121" s="49"/>
      <c r="HE121" s="49"/>
      <c r="HF121" s="49"/>
      <c r="HG121" s="49"/>
      <c r="HH121" s="49"/>
      <c r="HI121" s="49"/>
      <c r="HJ121" s="49"/>
      <c r="HK121" s="49"/>
      <c r="HL121" s="49"/>
      <c r="HM121" s="49"/>
      <c r="HN121" s="49"/>
    </row>
    <row r="122" spans="1:222" ht="16.5" customHeight="1">
      <c r="A122" s="1"/>
      <c r="B122" s="3"/>
      <c r="C122" s="3"/>
      <c r="D122" s="373"/>
      <c r="E122" s="376"/>
      <c r="F122" s="376"/>
      <c r="G122" s="43"/>
      <c r="H122" s="43"/>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43"/>
      <c r="AN122" s="43"/>
      <c r="AO122" s="43"/>
      <c r="AP122" s="43"/>
      <c r="AQ122" s="43"/>
      <c r="AR122" s="43"/>
      <c r="AS122" s="43"/>
      <c r="AT122" s="368"/>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374" t="str">
        <f ca="1">IF(FO98=0,"","TO = q x (-"&amp;1/FP104&amp;"q + "&amp;FQ104/FP104&amp;") dus")</f>
        <v/>
      </c>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368"/>
      <c r="DG122" s="43"/>
      <c r="DH122" s="43"/>
      <c r="DI122" s="43"/>
      <c r="DJ122" s="43"/>
      <c r="DK122" s="43"/>
      <c r="DL122" s="43"/>
      <c r="DM122" s="43"/>
      <c r="DN122" s="43"/>
      <c r="DO122" s="43"/>
      <c r="DP122" s="43"/>
      <c r="DQ122" s="79"/>
      <c r="DR122" s="79"/>
      <c r="DS122" s="79"/>
      <c r="DT122" s="79"/>
      <c r="DU122" s="79"/>
      <c r="DV122" s="79"/>
      <c r="DW122" s="79"/>
      <c r="DX122" s="79"/>
      <c r="DY122" s="79"/>
      <c r="DZ122" s="79"/>
      <c r="EA122" s="79"/>
      <c r="EB122" s="79"/>
      <c r="EC122" s="79"/>
      <c r="ED122" s="79"/>
      <c r="EE122" s="79"/>
      <c r="EF122" s="79"/>
      <c r="EG122" s="79"/>
      <c r="EH122" s="79"/>
      <c r="EI122" s="79"/>
      <c r="EJ122" s="79"/>
      <c r="EK122" s="79"/>
      <c r="EL122" s="79"/>
      <c r="EM122" s="79"/>
      <c r="EN122" s="79"/>
      <c r="EO122" s="79"/>
      <c r="EP122" s="79"/>
      <c r="EQ122" s="79"/>
      <c r="ER122" s="79"/>
      <c r="ES122" s="79"/>
      <c r="ET122" s="79"/>
      <c r="EU122" s="79"/>
      <c r="EV122" s="79"/>
      <c r="EW122" s="79"/>
      <c r="EX122" s="79"/>
      <c r="EY122" s="79"/>
      <c r="EZ122" s="79"/>
      <c r="FA122" s="79"/>
      <c r="FB122" s="79"/>
      <c r="FC122" s="79"/>
      <c r="FD122" s="79"/>
      <c r="FE122" s="79"/>
      <c r="FF122" s="79"/>
      <c r="FG122" s="79"/>
      <c r="FH122" s="79"/>
      <c r="FI122" s="79"/>
      <c r="FJ122" s="79"/>
      <c r="FK122" s="79"/>
      <c r="FL122" s="79"/>
      <c r="FM122" s="116"/>
      <c r="FN122" s="116"/>
      <c r="FO122" s="47"/>
      <c r="FP122" s="47"/>
      <c r="FQ122" s="47"/>
      <c r="FR122" s="127"/>
      <c r="FS122" s="127"/>
      <c r="FT122" s="127"/>
      <c r="FU122" s="127"/>
      <c r="FV122" s="127"/>
      <c r="FW122" s="127"/>
      <c r="FX122" s="47"/>
      <c r="FY122" s="32"/>
      <c r="FZ122" s="32"/>
      <c r="GA122" s="32"/>
      <c r="GB122" s="32"/>
      <c r="GC122" s="32"/>
      <c r="GD122" s="32"/>
      <c r="GE122" s="32"/>
      <c r="GF122" s="32"/>
      <c r="GG122" s="32"/>
      <c r="GH122" s="32"/>
      <c r="GI122" s="32"/>
      <c r="GJ122" s="32"/>
      <c r="GK122" s="32"/>
      <c r="GL122" s="32"/>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row>
    <row r="123" spans="1:222" ht="12.6" customHeight="1">
      <c r="A123" s="1"/>
      <c r="B123" s="3"/>
      <c r="C123" s="3"/>
      <c r="D123" s="373"/>
      <c r="E123" s="376"/>
      <c r="F123" s="376"/>
      <c r="G123" s="43"/>
      <c r="H123" s="43"/>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43"/>
      <c r="AN123" s="43"/>
      <c r="AO123" s="43"/>
      <c r="AP123" s="43"/>
      <c r="AQ123" s="43"/>
      <c r="AR123" s="43"/>
      <c r="AS123" s="43"/>
      <c r="AT123" s="368"/>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374"/>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368"/>
      <c r="DG123" s="43"/>
      <c r="DH123" s="43"/>
      <c r="DI123" s="43"/>
      <c r="DJ123" s="43"/>
      <c r="DK123" s="43"/>
      <c r="DL123" s="43"/>
      <c r="DM123" s="43"/>
      <c r="DN123" s="43"/>
      <c r="DO123" s="43"/>
      <c r="DP123" s="43"/>
      <c r="DQ123" s="79"/>
      <c r="DR123" s="79"/>
      <c r="DS123" s="79"/>
      <c r="DT123" s="79"/>
      <c r="DU123" s="79"/>
      <c r="DV123" s="79"/>
      <c r="DW123" s="79"/>
      <c r="DX123" s="79"/>
      <c r="DY123" s="79"/>
      <c r="DZ123" s="79"/>
      <c r="EA123" s="79"/>
      <c r="EB123" s="79"/>
      <c r="EC123" s="79"/>
      <c r="ED123" s="79"/>
      <c r="EE123" s="79"/>
      <c r="EF123" s="79"/>
      <c r="EG123" s="79"/>
      <c r="EH123" s="79"/>
      <c r="EI123" s="79"/>
      <c r="EJ123" s="79"/>
      <c r="EK123" s="79"/>
      <c r="EL123" s="79"/>
      <c r="EM123" s="79"/>
      <c r="EN123" s="79"/>
      <c r="EO123" s="79"/>
      <c r="EP123" s="79"/>
      <c r="EQ123" s="79"/>
      <c r="ER123" s="79"/>
      <c r="ES123" s="79"/>
      <c r="ET123" s="79"/>
      <c r="EU123" s="79"/>
      <c r="EV123" s="79"/>
      <c r="EW123" s="79"/>
      <c r="EX123" s="79"/>
      <c r="EY123" s="79"/>
      <c r="EZ123" s="79"/>
      <c r="FA123" s="79"/>
      <c r="FB123" s="79"/>
      <c r="FC123" s="79"/>
      <c r="FD123" s="79"/>
      <c r="FE123" s="79"/>
      <c r="FF123" s="79"/>
      <c r="FG123" s="79"/>
      <c r="FH123" s="79"/>
      <c r="FI123" s="79"/>
      <c r="FJ123" s="79"/>
      <c r="FK123" s="79"/>
      <c r="FL123" s="79"/>
      <c r="FM123" s="116"/>
      <c r="FN123" s="116"/>
      <c r="FO123" s="47"/>
      <c r="FP123" s="47"/>
      <c r="FQ123" s="47"/>
      <c r="FR123" s="127"/>
      <c r="FS123" s="127"/>
      <c r="FT123" s="127"/>
      <c r="FU123" s="127"/>
      <c r="FV123" s="127"/>
      <c r="FW123" s="127"/>
      <c r="FX123" s="47"/>
      <c r="FY123" s="32"/>
      <c r="FZ123" s="32"/>
      <c r="GA123" s="32"/>
      <c r="GB123" s="32"/>
      <c r="GC123" s="32"/>
      <c r="GD123" s="32"/>
      <c r="GE123" s="32"/>
      <c r="GF123" s="32"/>
      <c r="GG123" s="32"/>
      <c r="GH123" s="32"/>
      <c r="GI123" s="32"/>
      <c r="GJ123" s="32"/>
      <c r="GK123" s="32"/>
      <c r="GL123" s="32"/>
      <c r="GM123" s="49"/>
      <c r="GN123" s="49"/>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c r="HN123" s="49"/>
    </row>
    <row r="124" spans="1:222" ht="16.5" customHeight="1">
      <c r="A124" s="1"/>
      <c r="B124" s="3"/>
      <c r="C124" s="3"/>
      <c r="D124" s="38"/>
      <c r="E124" s="126"/>
      <c r="F124" s="126"/>
      <c r="G124" s="43"/>
      <c r="H124" s="43"/>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43"/>
      <c r="AN124" s="43"/>
      <c r="AO124" s="43"/>
      <c r="AP124" s="43"/>
      <c r="AQ124" s="43"/>
      <c r="AR124" s="43"/>
      <c r="AS124" s="43"/>
      <c r="AT124" s="195"/>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200" t="str">
        <f ca="1">IF(FO98=0,"","TO = -"&amp;1/FP104&amp;"q² + "&amp;FQ104/FP104&amp;"q")</f>
        <v/>
      </c>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195"/>
      <c r="DG124" s="43"/>
      <c r="DH124" s="43"/>
      <c r="DI124" s="43"/>
      <c r="DJ124" s="43"/>
      <c r="DK124" s="43"/>
      <c r="DL124" s="43"/>
      <c r="DM124" s="43"/>
      <c r="DN124" s="43"/>
      <c r="DO124" s="43"/>
      <c r="DP124" s="43"/>
      <c r="DQ124" s="79"/>
      <c r="DR124" s="79"/>
      <c r="DS124" s="79"/>
      <c r="DT124" s="79"/>
      <c r="DU124" s="79"/>
      <c r="DV124" s="79"/>
      <c r="DW124" s="79"/>
      <c r="DX124" s="79"/>
      <c r="DY124" s="79"/>
      <c r="DZ124" s="79"/>
      <c r="EA124" s="79"/>
      <c r="EB124" s="79"/>
      <c r="EC124" s="79"/>
      <c r="ED124" s="79"/>
      <c r="EE124" s="79"/>
      <c r="EF124" s="79"/>
      <c r="EG124" s="79"/>
      <c r="EH124" s="79"/>
      <c r="EI124" s="79"/>
      <c r="EJ124" s="79"/>
      <c r="EK124" s="79"/>
      <c r="EL124" s="79"/>
      <c r="EM124" s="79"/>
      <c r="EN124" s="79"/>
      <c r="EO124" s="79"/>
      <c r="EP124" s="79"/>
      <c r="EQ124" s="79"/>
      <c r="ER124" s="79"/>
      <c r="ES124" s="79"/>
      <c r="ET124" s="79"/>
      <c r="EU124" s="79"/>
      <c r="EV124" s="79"/>
      <c r="EW124" s="79"/>
      <c r="EX124" s="79"/>
      <c r="EY124" s="79"/>
      <c r="EZ124" s="79"/>
      <c r="FA124" s="79"/>
      <c r="FB124" s="79"/>
      <c r="FC124" s="79"/>
      <c r="FD124" s="79"/>
      <c r="FE124" s="79"/>
      <c r="FF124" s="79"/>
      <c r="FG124" s="79"/>
      <c r="FH124" s="79"/>
      <c r="FI124" s="79"/>
      <c r="FJ124" s="79"/>
      <c r="FK124" s="79"/>
      <c r="FL124" s="79"/>
      <c r="FM124" s="116"/>
      <c r="FN124" s="116"/>
      <c r="FO124" s="47"/>
      <c r="FP124" s="47"/>
      <c r="FQ124" s="47"/>
      <c r="FR124" s="127"/>
      <c r="FS124" s="127"/>
      <c r="FT124" s="127"/>
      <c r="FU124" s="127"/>
      <c r="FV124" s="127"/>
      <c r="FW124" s="127"/>
      <c r="FX124" s="47"/>
      <c r="FY124" s="32"/>
      <c r="FZ124" s="32"/>
      <c r="GA124" s="32"/>
      <c r="GB124" s="32"/>
      <c r="GC124" s="32"/>
      <c r="GD124" s="32"/>
      <c r="GE124" s="32"/>
      <c r="GF124" s="32"/>
      <c r="GG124" s="32"/>
      <c r="GH124" s="32"/>
      <c r="GI124" s="32"/>
      <c r="GJ124" s="32"/>
      <c r="GK124" s="32"/>
      <c r="GL124" s="32"/>
      <c r="GM124" s="49"/>
      <c r="GN124" s="49"/>
      <c r="GO124" s="49"/>
      <c r="GP124" s="49"/>
      <c r="GQ124" s="49"/>
      <c r="GR124" s="49"/>
      <c r="GS124" s="49"/>
      <c r="GT124" s="49"/>
      <c r="GU124" s="49"/>
      <c r="GV124" s="49"/>
      <c r="GW124" s="49"/>
      <c r="GX124" s="49"/>
      <c r="GY124" s="49"/>
      <c r="GZ124" s="49"/>
      <c r="HA124" s="49"/>
      <c r="HB124" s="49"/>
      <c r="HC124" s="49"/>
      <c r="HD124" s="49"/>
      <c r="HE124" s="49"/>
      <c r="HF124" s="49"/>
      <c r="HG124" s="49"/>
      <c r="HH124" s="49"/>
      <c r="HI124" s="49"/>
      <c r="HJ124" s="49"/>
      <c r="HK124" s="49"/>
      <c r="HL124" s="49"/>
      <c r="HM124" s="49"/>
      <c r="HN124" s="49"/>
    </row>
    <row r="125" spans="1:222" ht="11.25" customHeight="1">
      <c r="A125" s="1"/>
      <c r="B125" s="3"/>
      <c r="C125" s="3"/>
      <c r="D125" s="38"/>
      <c r="E125" s="126"/>
      <c r="F125" s="126"/>
      <c r="G125" s="43"/>
      <c r="H125" s="43"/>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79"/>
      <c r="DR125" s="79"/>
      <c r="DS125" s="79"/>
      <c r="DT125" s="79"/>
      <c r="DU125" s="79"/>
      <c r="DV125" s="79"/>
      <c r="DW125" s="79"/>
      <c r="DX125" s="79"/>
      <c r="DY125" s="79"/>
      <c r="DZ125" s="79"/>
      <c r="EA125" s="79"/>
      <c r="EB125" s="79"/>
      <c r="EC125" s="79"/>
      <c r="ED125" s="79"/>
      <c r="EE125" s="79"/>
      <c r="EF125" s="79"/>
      <c r="EG125" s="79"/>
      <c r="EH125" s="79"/>
      <c r="EI125" s="79"/>
      <c r="EJ125" s="79"/>
      <c r="EK125" s="79"/>
      <c r="EL125" s="79"/>
      <c r="EM125" s="79"/>
      <c r="EN125" s="79"/>
      <c r="EO125" s="79"/>
      <c r="EP125" s="79"/>
      <c r="EQ125" s="79"/>
      <c r="ER125" s="79"/>
      <c r="ES125" s="79"/>
      <c r="ET125" s="79"/>
      <c r="EU125" s="79"/>
      <c r="EV125" s="79"/>
      <c r="EW125" s="79"/>
      <c r="EX125" s="79"/>
      <c r="EY125" s="79"/>
      <c r="EZ125" s="79"/>
      <c r="FA125" s="79"/>
      <c r="FB125" s="79"/>
      <c r="FC125" s="79"/>
      <c r="FD125" s="79"/>
      <c r="FE125" s="79"/>
      <c r="FF125" s="79"/>
      <c r="FG125" s="79"/>
      <c r="FH125" s="79"/>
      <c r="FI125" s="79"/>
      <c r="FJ125" s="79"/>
      <c r="FK125" s="79"/>
      <c r="FL125" s="79"/>
      <c r="FM125" s="116"/>
      <c r="FN125" s="116"/>
      <c r="FO125" s="47"/>
      <c r="FP125" s="47"/>
      <c r="FQ125" s="47"/>
      <c r="FR125" s="127"/>
      <c r="FS125" s="127"/>
      <c r="FT125" s="127"/>
      <c r="FU125" s="127"/>
      <c r="FV125" s="127"/>
      <c r="FW125" s="127"/>
      <c r="FX125" s="47"/>
      <c r="FY125" s="32"/>
      <c r="FZ125" s="32"/>
      <c r="GA125" s="32"/>
      <c r="GB125" s="32"/>
      <c r="GC125" s="32"/>
      <c r="GD125" s="32"/>
      <c r="GE125" s="32"/>
      <c r="GF125" s="32"/>
      <c r="GG125" s="32"/>
      <c r="GH125" s="32"/>
      <c r="GI125" s="32"/>
      <c r="GJ125" s="32"/>
      <c r="GK125" s="32"/>
      <c r="GL125" s="32"/>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c r="HN125" s="49"/>
    </row>
    <row r="126" spans="1:222" ht="16.5" customHeight="1">
      <c r="A126" s="1"/>
      <c r="B126" s="3"/>
      <c r="C126" s="3"/>
      <c r="D126" s="38" t="str">
        <f ca="1">IF(FO98=0,"","Door te afgeleide van de TO-functie te nemen, krijg je de MO-functie:")</f>
        <v/>
      </c>
      <c r="E126" s="126"/>
      <c r="F126" s="126"/>
      <c r="G126" s="43"/>
      <c r="H126" s="43"/>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79"/>
      <c r="DR126" s="79"/>
      <c r="DS126" s="79"/>
      <c r="DT126" s="79"/>
      <c r="DU126" s="79"/>
      <c r="DV126" s="79"/>
      <c r="DW126" s="79"/>
      <c r="DX126" s="79"/>
      <c r="DY126" s="79"/>
      <c r="DZ126" s="79"/>
      <c r="EA126" s="79"/>
      <c r="EB126" s="79"/>
      <c r="EC126" s="79"/>
      <c r="ED126" s="79"/>
      <c r="EE126" s="79"/>
      <c r="EF126" s="79"/>
      <c r="EG126" s="79"/>
      <c r="EH126" s="79"/>
      <c r="EI126" s="79"/>
      <c r="EJ126" s="79"/>
      <c r="EK126" s="79"/>
      <c r="EL126" s="79"/>
      <c r="EM126" s="79"/>
      <c r="EN126" s="79"/>
      <c r="EO126" s="79"/>
      <c r="EP126" s="79"/>
      <c r="EQ126" s="79"/>
      <c r="ER126" s="79"/>
      <c r="ES126" s="79"/>
      <c r="ET126" s="79"/>
      <c r="EU126" s="79"/>
      <c r="EV126" s="79"/>
      <c r="EW126" s="79"/>
      <c r="EX126" s="79"/>
      <c r="EY126" s="79"/>
      <c r="EZ126" s="79"/>
      <c r="FA126" s="79"/>
      <c r="FB126" s="79"/>
      <c r="FC126" s="79"/>
      <c r="FD126" s="79"/>
      <c r="FE126" s="79"/>
      <c r="FF126" s="79"/>
      <c r="FG126" s="79"/>
      <c r="FH126" s="79"/>
      <c r="FI126" s="79"/>
      <c r="FJ126" s="79"/>
      <c r="FK126" s="79"/>
      <c r="FL126" s="79"/>
      <c r="FM126" s="116"/>
      <c r="FN126" s="116"/>
      <c r="FO126" s="47"/>
      <c r="FP126" s="47"/>
      <c r="FQ126" s="47"/>
      <c r="FR126" s="127"/>
      <c r="FS126" s="127"/>
      <c r="FT126" s="127"/>
      <c r="FU126" s="127"/>
      <c r="FV126" s="127"/>
      <c r="FW126" s="127"/>
      <c r="FX126" s="47"/>
      <c r="FY126" s="32"/>
      <c r="FZ126" s="32"/>
      <c r="GA126" s="32"/>
      <c r="GB126" s="32"/>
      <c r="GC126" s="32"/>
      <c r="GD126" s="32"/>
      <c r="GE126" s="32"/>
      <c r="GF126" s="32"/>
      <c r="GG126" s="32"/>
      <c r="GH126" s="32"/>
      <c r="GI126" s="32"/>
      <c r="GJ126" s="32"/>
      <c r="GK126" s="32"/>
      <c r="GL126" s="32"/>
      <c r="GM126" s="49"/>
      <c r="GN126" s="49"/>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c r="HN126" s="49"/>
    </row>
    <row r="127" spans="1:222" ht="7.5" customHeight="1">
      <c r="A127" s="1"/>
      <c r="B127" s="3"/>
      <c r="C127" s="3"/>
      <c r="D127" s="38"/>
      <c r="E127" s="126"/>
      <c r="F127" s="126"/>
      <c r="G127" s="43"/>
      <c r="H127" s="43"/>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79"/>
      <c r="DR127" s="79"/>
      <c r="DS127" s="79"/>
      <c r="DT127" s="79"/>
      <c r="DU127" s="79"/>
      <c r="DV127" s="79"/>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c r="EW127" s="79"/>
      <c r="EX127" s="79"/>
      <c r="EY127" s="79"/>
      <c r="EZ127" s="79"/>
      <c r="FA127" s="79"/>
      <c r="FB127" s="79"/>
      <c r="FC127" s="79"/>
      <c r="FD127" s="79"/>
      <c r="FE127" s="79"/>
      <c r="FF127" s="79"/>
      <c r="FG127" s="79"/>
      <c r="FH127" s="79"/>
      <c r="FI127" s="79"/>
      <c r="FJ127" s="79"/>
      <c r="FK127" s="79"/>
      <c r="FL127" s="79"/>
      <c r="FM127" s="116"/>
      <c r="FN127" s="116"/>
      <c r="FO127" s="47"/>
      <c r="FP127" s="47"/>
      <c r="FQ127" s="47"/>
      <c r="FR127" s="127"/>
      <c r="FS127" s="127"/>
      <c r="FT127" s="127"/>
      <c r="FU127" s="127"/>
      <c r="FV127" s="127"/>
      <c r="FW127" s="127"/>
      <c r="FX127" s="47"/>
      <c r="FY127" s="32"/>
      <c r="FZ127" s="32"/>
      <c r="GA127" s="32"/>
      <c r="GB127" s="32"/>
      <c r="GC127" s="32"/>
      <c r="GD127" s="32"/>
      <c r="GE127" s="32"/>
      <c r="GF127" s="32"/>
      <c r="GG127" s="32"/>
      <c r="GH127" s="32"/>
      <c r="GI127" s="32"/>
      <c r="GJ127" s="32"/>
      <c r="GK127" s="32"/>
      <c r="GL127" s="32"/>
      <c r="GM127" s="49"/>
      <c r="GN127" s="49"/>
      <c r="GO127" s="49"/>
      <c r="GP127" s="49"/>
      <c r="GQ127" s="49"/>
      <c r="GR127" s="49"/>
      <c r="GS127" s="49"/>
      <c r="GT127" s="49"/>
      <c r="GU127" s="49"/>
      <c r="GV127" s="49"/>
      <c r="GW127" s="49"/>
      <c r="GX127" s="49"/>
      <c r="GY127" s="49"/>
      <c r="GZ127" s="49"/>
      <c r="HA127" s="49"/>
      <c r="HB127" s="49"/>
      <c r="HC127" s="49"/>
      <c r="HD127" s="49"/>
      <c r="HE127" s="49"/>
      <c r="HF127" s="49"/>
      <c r="HG127" s="49"/>
      <c r="HH127" s="49"/>
      <c r="HI127" s="49"/>
      <c r="HJ127" s="49"/>
      <c r="HK127" s="49"/>
      <c r="HL127" s="49"/>
      <c r="HM127" s="49"/>
      <c r="HN127" s="49"/>
    </row>
    <row r="128" spans="1:222" ht="16.5" customHeight="1">
      <c r="A128" s="1"/>
      <c r="B128" s="3"/>
      <c r="C128" s="3"/>
      <c r="D128" s="38"/>
      <c r="E128" s="126"/>
      <c r="F128" s="126"/>
      <c r="G128" s="43"/>
      <c r="H128" s="43"/>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43"/>
      <c r="AN128" s="43"/>
      <c r="AO128" s="43"/>
      <c r="AP128" s="43"/>
      <c r="AQ128" s="43"/>
      <c r="AR128" s="43"/>
      <c r="AS128" s="43"/>
      <c r="AT128" s="195"/>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200" t="str">
        <f ca="1">IF(FO98=0,"","MO = -"&amp;2/FP104&amp;"q + "&amp;FQ104/FP104&amp;"")</f>
        <v/>
      </c>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195"/>
      <c r="DG128" s="43"/>
      <c r="DH128" s="43"/>
      <c r="DI128" s="43"/>
      <c r="DJ128" s="43"/>
      <c r="DK128" s="43"/>
      <c r="DL128" s="43"/>
      <c r="DM128" s="43"/>
      <c r="DN128" s="43"/>
      <c r="DO128" s="43"/>
      <c r="DP128" s="43"/>
      <c r="DQ128" s="79"/>
      <c r="DR128" s="79"/>
      <c r="DS128" s="79"/>
      <c r="DT128" s="79"/>
      <c r="DU128" s="79"/>
      <c r="DV128" s="79"/>
      <c r="DW128" s="79"/>
      <c r="DX128" s="79"/>
      <c r="DY128" s="79"/>
      <c r="DZ128" s="79"/>
      <c r="EA128" s="79"/>
      <c r="EB128" s="79"/>
      <c r="EC128" s="79"/>
      <c r="ED128" s="79"/>
      <c r="EE128" s="79"/>
      <c r="EF128" s="79"/>
      <c r="EG128" s="79"/>
      <c r="EH128" s="79"/>
      <c r="EI128" s="79"/>
      <c r="EJ128" s="79"/>
      <c r="EK128" s="79"/>
      <c r="EL128" s="79"/>
      <c r="EM128" s="79"/>
      <c r="EN128" s="79"/>
      <c r="EO128" s="79"/>
      <c r="EP128" s="79"/>
      <c r="EQ128" s="79"/>
      <c r="ER128" s="79"/>
      <c r="ES128" s="79"/>
      <c r="ET128" s="79"/>
      <c r="EU128" s="79"/>
      <c r="EV128" s="79"/>
      <c r="EW128" s="79"/>
      <c r="EX128" s="79"/>
      <c r="EY128" s="79"/>
      <c r="EZ128" s="79"/>
      <c r="FA128" s="79"/>
      <c r="FB128" s="79"/>
      <c r="FC128" s="79"/>
      <c r="FD128" s="79"/>
      <c r="FE128" s="79"/>
      <c r="FF128" s="79"/>
      <c r="FG128" s="79"/>
      <c r="FH128" s="79"/>
      <c r="FI128" s="79"/>
      <c r="FJ128" s="79"/>
      <c r="FK128" s="79"/>
      <c r="FL128" s="79"/>
      <c r="FM128" s="116"/>
      <c r="FN128" s="116"/>
      <c r="FO128" s="47"/>
      <c r="FP128" s="47"/>
      <c r="FQ128" s="47"/>
      <c r="FR128" s="127"/>
      <c r="FS128" s="127"/>
      <c r="FT128" s="127"/>
      <c r="FU128" s="127"/>
      <c r="FV128" s="127"/>
      <c r="FW128" s="127"/>
      <c r="FX128" s="47"/>
      <c r="FY128" s="32"/>
      <c r="FZ128" s="32"/>
      <c r="GA128" s="32"/>
      <c r="GB128" s="32"/>
      <c r="GC128" s="32"/>
      <c r="GD128" s="32"/>
      <c r="GE128" s="32"/>
      <c r="GF128" s="32"/>
      <c r="GG128" s="32"/>
      <c r="GH128" s="32"/>
      <c r="GI128" s="32"/>
      <c r="GJ128" s="32"/>
      <c r="GK128" s="32"/>
      <c r="GL128" s="32"/>
      <c r="GM128" s="49"/>
      <c r="GN128" s="49"/>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c r="HN128" s="49"/>
    </row>
    <row r="129" spans="1:222" ht="11.25" customHeight="1">
      <c r="A129" s="1"/>
      <c r="B129" s="3"/>
      <c r="C129" s="3"/>
      <c r="D129" s="38"/>
      <c r="E129" s="126"/>
      <c r="F129" s="126"/>
      <c r="G129" s="43"/>
      <c r="H129" s="43"/>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79"/>
      <c r="DR129" s="79"/>
      <c r="DS129" s="79"/>
      <c r="DT129" s="79"/>
      <c r="DU129" s="79"/>
      <c r="DV129" s="79"/>
      <c r="DW129" s="79"/>
      <c r="DX129" s="79"/>
      <c r="DY129" s="79"/>
      <c r="DZ129" s="79"/>
      <c r="EA129" s="79"/>
      <c r="EB129" s="79"/>
      <c r="EC129" s="79"/>
      <c r="ED129" s="79"/>
      <c r="EE129" s="79"/>
      <c r="EF129" s="79"/>
      <c r="EG129" s="79"/>
      <c r="EH129" s="79"/>
      <c r="EI129" s="79"/>
      <c r="EJ129" s="79"/>
      <c r="EK129" s="79"/>
      <c r="EL129" s="79"/>
      <c r="EM129" s="79"/>
      <c r="EN129" s="79"/>
      <c r="EO129" s="79"/>
      <c r="EP129" s="79"/>
      <c r="EQ129" s="79"/>
      <c r="ER129" s="79"/>
      <c r="ES129" s="79"/>
      <c r="ET129" s="79"/>
      <c r="EU129" s="79"/>
      <c r="EV129" s="79"/>
      <c r="EW129" s="79"/>
      <c r="EX129" s="79"/>
      <c r="EY129" s="79"/>
      <c r="EZ129" s="79"/>
      <c r="FA129" s="79"/>
      <c r="FB129" s="79"/>
      <c r="FC129" s="79"/>
      <c r="FD129" s="79"/>
      <c r="FE129" s="79"/>
      <c r="FF129" s="79"/>
      <c r="FG129" s="79"/>
      <c r="FH129" s="79"/>
      <c r="FI129" s="79"/>
      <c r="FJ129" s="79"/>
      <c r="FK129" s="79"/>
      <c r="FL129" s="79"/>
      <c r="FM129" s="116"/>
      <c r="FN129" s="116"/>
      <c r="FO129" s="47"/>
      <c r="FP129" s="47"/>
      <c r="FQ129" s="47"/>
      <c r="FR129" s="127"/>
      <c r="FS129" s="127"/>
      <c r="FT129" s="127"/>
      <c r="FU129" s="127"/>
      <c r="FV129" s="127"/>
      <c r="FW129" s="127"/>
      <c r="FX129" s="47"/>
      <c r="FY129" s="32"/>
      <c r="FZ129" s="32"/>
      <c r="GA129" s="32"/>
      <c r="GB129" s="32"/>
      <c r="GC129" s="32"/>
      <c r="GD129" s="32"/>
      <c r="GE129" s="32"/>
      <c r="GF129" s="32"/>
      <c r="GG129" s="32"/>
      <c r="GH129" s="32"/>
      <c r="GI129" s="32"/>
      <c r="GJ129" s="32"/>
      <c r="GK129" s="32"/>
      <c r="GL129" s="32"/>
      <c r="GM129" s="49"/>
      <c r="GN129" s="49"/>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c r="HN129" s="49"/>
    </row>
    <row r="130" spans="1:222" ht="16.5" customHeight="1">
      <c r="A130" s="1"/>
      <c r="B130" s="3"/>
      <c r="C130" s="3"/>
      <c r="D130" s="38" t="str">
        <f ca="1">IF(FO98=0,"","Merk op dat het enige verschil met de GO-functie is dat het getal voor de q")</f>
        <v/>
      </c>
      <c r="E130" s="126"/>
      <c r="F130" s="126"/>
      <c r="G130" s="43"/>
      <c r="H130" s="43"/>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79"/>
      <c r="DR130" s="79"/>
      <c r="DS130" s="79"/>
      <c r="DT130" s="79"/>
      <c r="DU130" s="79"/>
      <c r="DV130" s="79"/>
      <c r="DW130" s="79"/>
      <c r="DX130" s="79"/>
      <c r="DY130" s="79"/>
      <c r="DZ130" s="79"/>
      <c r="EA130" s="79"/>
      <c r="EB130" s="79"/>
      <c r="EC130" s="79"/>
      <c r="ED130" s="79"/>
      <c r="EE130" s="79"/>
      <c r="EF130" s="79"/>
      <c r="EG130" s="79"/>
      <c r="EH130" s="79"/>
      <c r="EI130" s="79"/>
      <c r="EJ130" s="79"/>
      <c r="EK130" s="79"/>
      <c r="EL130" s="79"/>
      <c r="EM130" s="79"/>
      <c r="EN130" s="79"/>
      <c r="EO130" s="79"/>
      <c r="EP130" s="79"/>
      <c r="EQ130" s="79"/>
      <c r="ER130" s="79"/>
      <c r="ES130" s="79"/>
      <c r="ET130" s="79"/>
      <c r="EU130" s="79"/>
      <c r="EV130" s="79"/>
      <c r="EW130" s="79"/>
      <c r="EX130" s="79"/>
      <c r="EY130" s="79"/>
      <c r="EZ130" s="79"/>
      <c r="FA130" s="79"/>
      <c r="FB130" s="79"/>
      <c r="FC130" s="79"/>
      <c r="FD130" s="79"/>
      <c r="FE130" s="79"/>
      <c r="FF130" s="79"/>
      <c r="FG130" s="79"/>
      <c r="FH130" s="79"/>
      <c r="FI130" s="79"/>
      <c r="FJ130" s="79"/>
      <c r="FK130" s="79"/>
      <c r="FL130" s="79"/>
      <c r="FM130" s="116"/>
      <c r="FN130" s="116"/>
      <c r="FO130" s="47"/>
      <c r="FP130" s="47"/>
      <c r="FQ130" s="47"/>
      <c r="FR130" s="127"/>
      <c r="FS130" s="127"/>
      <c r="FT130" s="127"/>
      <c r="FU130" s="127"/>
      <c r="FV130" s="127"/>
      <c r="FW130" s="127"/>
      <c r="FX130" s="47"/>
      <c r="FY130" s="32"/>
      <c r="FZ130" s="32"/>
      <c r="GA130" s="32"/>
      <c r="GB130" s="32"/>
      <c r="GC130" s="32"/>
      <c r="GD130" s="32"/>
      <c r="GE130" s="32"/>
      <c r="GF130" s="32"/>
      <c r="GG130" s="32"/>
      <c r="GH130" s="32"/>
      <c r="GI130" s="32"/>
      <c r="GJ130" s="32"/>
      <c r="GK130" s="32"/>
      <c r="GL130" s="32"/>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row>
    <row r="131" spans="1:222" ht="16.5" customHeight="1">
      <c r="A131" s="1"/>
      <c r="B131" s="3"/>
      <c r="C131" s="3"/>
      <c r="D131" s="38" t="str">
        <f ca="1">IF(FO98=0,"","twee keer zo groot is.")</f>
        <v/>
      </c>
      <c r="E131" s="126"/>
      <c r="F131" s="126"/>
      <c r="G131" s="43"/>
      <c r="H131" s="43"/>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79"/>
      <c r="DR131" s="79"/>
      <c r="DS131" s="79"/>
      <c r="DT131" s="79"/>
      <c r="DU131" s="79"/>
      <c r="DV131" s="79"/>
      <c r="DW131" s="79"/>
      <c r="DX131" s="79"/>
      <c r="DY131" s="79"/>
      <c r="DZ131" s="79"/>
      <c r="EA131" s="79"/>
      <c r="EB131" s="79"/>
      <c r="EC131" s="79"/>
      <c r="ED131" s="79"/>
      <c r="EE131" s="79"/>
      <c r="EF131" s="79"/>
      <c r="EG131" s="79"/>
      <c r="EH131" s="79"/>
      <c r="EI131" s="79"/>
      <c r="EJ131" s="79"/>
      <c r="EK131" s="79"/>
      <c r="EL131" s="79"/>
      <c r="EM131" s="79"/>
      <c r="EN131" s="79"/>
      <c r="EO131" s="79"/>
      <c r="EP131" s="79"/>
      <c r="EQ131" s="79"/>
      <c r="ER131" s="79"/>
      <c r="ES131" s="79"/>
      <c r="ET131" s="79"/>
      <c r="EU131" s="79"/>
      <c r="EV131" s="79"/>
      <c r="EW131" s="79"/>
      <c r="EX131" s="79"/>
      <c r="EY131" s="79"/>
      <c r="EZ131" s="79"/>
      <c r="FA131" s="79"/>
      <c r="FB131" s="79"/>
      <c r="FC131" s="79"/>
      <c r="FD131" s="79"/>
      <c r="FE131" s="79"/>
      <c r="FF131" s="79"/>
      <c r="FG131" s="79"/>
      <c r="FH131" s="79"/>
      <c r="FI131" s="79"/>
      <c r="FJ131" s="79"/>
      <c r="FK131" s="79"/>
      <c r="FL131" s="79"/>
      <c r="FM131" s="116"/>
      <c r="FN131" s="116"/>
      <c r="FO131" s="47"/>
      <c r="FP131" s="47"/>
      <c r="FQ131" s="47"/>
      <c r="FR131" s="127"/>
      <c r="FS131" s="127"/>
      <c r="FT131" s="127"/>
      <c r="FU131" s="127"/>
      <c r="FV131" s="127"/>
      <c r="FW131" s="127"/>
      <c r="FX131" s="47"/>
      <c r="FY131" s="32"/>
      <c r="FZ131" s="32"/>
      <c r="GA131" s="32"/>
      <c r="GB131" s="32"/>
      <c r="GC131" s="32"/>
      <c r="GD131" s="32"/>
      <c r="GE131" s="32"/>
      <c r="GF131" s="32"/>
      <c r="GG131" s="32"/>
      <c r="GH131" s="32"/>
      <c r="GI131" s="32"/>
      <c r="GJ131" s="32"/>
      <c r="GK131" s="32"/>
      <c r="GL131" s="32"/>
      <c r="GM131" s="49"/>
      <c r="GN131" s="49"/>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c r="HN131" s="49"/>
    </row>
    <row r="132" spans="1:222" ht="16.5" customHeight="1">
      <c r="A132" s="1"/>
      <c r="B132" s="3"/>
      <c r="C132" s="3"/>
      <c r="D132" s="38"/>
      <c r="E132" s="126"/>
      <c r="F132" s="126"/>
      <c r="G132" s="43"/>
      <c r="H132" s="43"/>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79"/>
      <c r="DR132" s="79"/>
      <c r="DS132" s="79"/>
      <c r="DT132" s="79"/>
      <c r="DU132" s="79"/>
      <c r="DV132" s="79"/>
      <c r="DW132" s="79"/>
      <c r="DX132" s="79"/>
      <c r="DY132" s="79"/>
      <c r="DZ132" s="79"/>
      <c r="EA132" s="79"/>
      <c r="EB132" s="79"/>
      <c r="EC132" s="79"/>
      <c r="ED132" s="79"/>
      <c r="EE132" s="79"/>
      <c r="EF132" s="79"/>
      <c r="EG132" s="79"/>
      <c r="EH132" s="79"/>
      <c r="EI132" s="79"/>
      <c r="EJ132" s="79"/>
      <c r="EK132" s="79"/>
      <c r="EL132" s="79"/>
      <c r="EM132" s="79"/>
      <c r="EN132" s="79"/>
      <c r="EO132" s="79"/>
      <c r="EP132" s="79"/>
      <c r="EQ132" s="79"/>
      <c r="ER132" s="79"/>
      <c r="ES132" s="79"/>
      <c r="ET132" s="79"/>
      <c r="EU132" s="79"/>
      <c r="EV132" s="79"/>
      <c r="EW132" s="79"/>
      <c r="EX132" s="79"/>
      <c r="EY132" s="79"/>
      <c r="EZ132" s="79"/>
      <c r="FA132" s="79"/>
      <c r="FB132" s="79"/>
      <c r="FC132" s="79"/>
      <c r="FD132" s="79"/>
      <c r="FE132" s="79"/>
      <c r="FF132" s="79"/>
      <c r="FG132" s="79"/>
      <c r="FH132" s="79"/>
      <c r="FI132" s="79"/>
      <c r="FJ132" s="79"/>
      <c r="FK132" s="79"/>
      <c r="FL132" s="79"/>
      <c r="FM132" s="116"/>
      <c r="FN132" s="116"/>
      <c r="FO132" s="47"/>
      <c r="FP132" s="47"/>
      <c r="FQ132" s="47"/>
      <c r="FR132" s="127"/>
      <c r="FS132" s="127"/>
      <c r="FT132" s="127"/>
      <c r="FU132" s="127"/>
      <c r="FV132" s="127"/>
      <c r="FW132" s="127"/>
      <c r="FX132" s="47"/>
      <c r="FY132" s="32"/>
      <c r="FZ132" s="32"/>
      <c r="GA132" s="32"/>
      <c r="GB132" s="32"/>
      <c r="GC132" s="32"/>
      <c r="GD132" s="32"/>
      <c r="GE132" s="32"/>
      <c r="GF132" s="32"/>
      <c r="GG132" s="32"/>
      <c r="GH132" s="32"/>
      <c r="GI132" s="32"/>
      <c r="GJ132" s="32"/>
      <c r="GK132" s="32"/>
      <c r="GL132" s="32"/>
      <c r="GM132" s="49"/>
      <c r="GN132" s="49"/>
      <c r="GO132" s="49"/>
      <c r="GP132" s="49"/>
      <c r="GQ132" s="49"/>
      <c r="GR132" s="49"/>
      <c r="GS132" s="49"/>
      <c r="GT132" s="49"/>
      <c r="GU132" s="49"/>
      <c r="GV132" s="49"/>
      <c r="GW132" s="49"/>
      <c r="GX132" s="49"/>
      <c r="GY132" s="49"/>
      <c r="GZ132" s="49"/>
      <c r="HA132" s="49"/>
      <c r="HB132" s="49"/>
      <c r="HC132" s="49"/>
      <c r="HD132" s="49"/>
      <c r="HE132" s="49"/>
      <c r="HF132" s="49"/>
      <c r="HG132" s="49"/>
      <c r="HH132" s="49"/>
      <c r="HI132" s="49"/>
      <c r="HJ132" s="49"/>
      <c r="HK132" s="49"/>
      <c r="HL132" s="49"/>
      <c r="HM132" s="49"/>
      <c r="HN132" s="49"/>
    </row>
    <row r="133" spans="1:222" ht="16.5" customHeight="1">
      <c r="A133" s="1"/>
      <c r="B133" s="3"/>
      <c r="C133" s="3"/>
      <c r="D133" s="38" t="str">
        <f ca="1">IF(FO98=0,"","Nu gaan we over tot de kostenfunctie die hierboven gebruikt is. De functie")</f>
        <v/>
      </c>
      <c r="E133" s="126"/>
      <c r="F133" s="126"/>
      <c r="G133" s="43"/>
      <c r="H133" s="43"/>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79"/>
      <c r="DR133" s="79"/>
      <c r="DS133" s="79"/>
      <c r="DT133" s="79"/>
      <c r="DU133" s="79"/>
      <c r="DV133" s="79"/>
      <c r="DW133" s="79"/>
      <c r="DX133" s="79"/>
      <c r="DY133" s="79"/>
      <c r="DZ133" s="79"/>
      <c r="EA133" s="79"/>
      <c r="EB133" s="79"/>
      <c r="EC133" s="79"/>
      <c r="ED133" s="79"/>
      <c r="EE133" s="79"/>
      <c r="EF133" s="79"/>
      <c r="EG133" s="79"/>
      <c r="EH133" s="79"/>
      <c r="EI133" s="79"/>
      <c r="EJ133" s="79"/>
      <c r="EK133" s="79"/>
      <c r="EL133" s="79"/>
      <c r="EM133" s="79"/>
      <c r="EN133" s="79"/>
      <c r="EO133" s="79"/>
      <c r="EP133" s="79"/>
      <c r="EQ133" s="79"/>
      <c r="ER133" s="79"/>
      <c r="ES133" s="79"/>
      <c r="ET133" s="79"/>
      <c r="EU133" s="79"/>
      <c r="EV133" s="79"/>
      <c r="EW133" s="79"/>
      <c r="EX133" s="79"/>
      <c r="EY133" s="79"/>
      <c r="EZ133" s="79"/>
      <c r="FA133" s="79"/>
      <c r="FB133" s="79"/>
      <c r="FC133" s="79"/>
      <c r="FD133" s="79"/>
      <c r="FE133" s="79"/>
      <c r="FF133" s="79"/>
      <c r="FG133" s="79"/>
      <c r="FH133" s="79"/>
      <c r="FI133" s="79"/>
      <c r="FJ133" s="79"/>
      <c r="FK133" s="79"/>
      <c r="FL133" s="79"/>
      <c r="FM133" s="116"/>
      <c r="FN133" s="116"/>
      <c r="FO133" s="47"/>
      <c r="FP133" s="47"/>
      <c r="FQ133" s="47"/>
      <c r="FR133" s="127"/>
      <c r="FS133" s="127"/>
      <c r="FT133" s="127"/>
      <c r="FU133" s="127"/>
      <c r="FV133" s="127"/>
      <c r="FW133" s="127"/>
      <c r="FX133" s="47"/>
      <c r="FY133" s="32"/>
      <c r="FZ133" s="32"/>
      <c r="GA133" s="32"/>
      <c r="GB133" s="32"/>
      <c r="GC133" s="32"/>
      <c r="GD133" s="32"/>
      <c r="GE133" s="32"/>
      <c r="GF133" s="32"/>
      <c r="GG133" s="32"/>
      <c r="GH133" s="32"/>
      <c r="GI133" s="32"/>
      <c r="GJ133" s="32"/>
      <c r="GK133" s="32"/>
      <c r="GL133" s="32"/>
      <c r="GM133" s="49"/>
      <c r="GN133" s="49"/>
      <c r="GO133" s="49"/>
      <c r="GP133" s="49"/>
      <c r="GQ133" s="49"/>
      <c r="GR133" s="49"/>
      <c r="GS133" s="49"/>
      <c r="GT133" s="49"/>
      <c r="GU133" s="49"/>
      <c r="GV133" s="49"/>
      <c r="GW133" s="49"/>
      <c r="GX133" s="49"/>
      <c r="GY133" s="49"/>
      <c r="GZ133" s="49"/>
      <c r="HA133" s="49"/>
      <c r="HB133" s="49"/>
      <c r="HC133" s="49"/>
      <c r="HD133" s="49"/>
      <c r="HE133" s="49"/>
      <c r="HF133" s="49"/>
      <c r="HG133" s="49"/>
      <c r="HH133" s="49"/>
      <c r="HI133" s="49"/>
      <c r="HJ133" s="49"/>
      <c r="HK133" s="49"/>
      <c r="HL133" s="49"/>
      <c r="HM133" s="49"/>
      <c r="HN133" s="49"/>
    </row>
    <row r="134" spans="1:222" ht="16.5" customHeight="1">
      <c r="A134" s="1"/>
      <c r="B134" s="3"/>
      <c r="C134" s="3"/>
      <c r="D134" s="38" t="str">
        <f ca="1">IF(FO98=0,"","van de totale constante kosten luidt:")</f>
        <v/>
      </c>
      <c r="E134" s="126"/>
      <c r="F134" s="126"/>
      <c r="G134" s="43"/>
      <c r="H134" s="43"/>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116"/>
      <c r="FN134" s="116"/>
      <c r="FO134" s="47"/>
      <c r="FP134" s="47"/>
      <c r="FQ134" s="47"/>
      <c r="FR134" s="127"/>
      <c r="FS134" s="127"/>
      <c r="FT134" s="127"/>
      <c r="FU134" s="127"/>
      <c r="FV134" s="127"/>
      <c r="FW134" s="127"/>
      <c r="FX134" s="47"/>
      <c r="FY134" s="32"/>
      <c r="FZ134" s="32"/>
      <c r="GA134" s="32"/>
      <c r="GB134" s="32"/>
      <c r="GC134" s="32"/>
      <c r="GD134" s="32"/>
      <c r="GE134" s="32"/>
      <c r="GF134" s="32"/>
      <c r="GG134" s="32"/>
      <c r="GH134" s="32"/>
      <c r="GI134" s="32"/>
      <c r="GJ134" s="32"/>
      <c r="GK134" s="32"/>
      <c r="GL134" s="32"/>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row>
    <row r="135" spans="1:222" ht="3" customHeight="1">
      <c r="A135" s="1"/>
      <c r="B135" s="3"/>
      <c r="C135" s="3"/>
      <c r="D135" s="38"/>
      <c r="E135" s="126"/>
      <c r="F135" s="126"/>
      <c r="G135" s="43"/>
      <c r="H135" s="43"/>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79"/>
      <c r="DR135" s="79"/>
      <c r="DS135" s="79"/>
      <c r="DT135" s="79"/>
      <c r="DU135" s="79"/>
      <c r="DV135" s="79"/>
      <c r="DW135" s="79"/>
      <c r="DX135" s="79"/>
      <c r="DY135" s="79"/>
      <c r="DZ135" s="79"/>
      <c r="EA135" s="79"/>
      <c r="EB135" s="79"/>
      <c r="EC135" s="79"/>
      <c r="ED135" s="79"/>
      <c r="EE135" s="79"/>
      <c r="EF135" s="79"/>
      <c r="EG135" s="79"/>
      <c r="EH135" s="79"/>
      <c r="EI135" s="79"/>
      <c r="EJ135" s="79"/>
      <c r="EK135" s="79"/>
      <c r="EL135" s="79"/>
      <c r="EM135" s="79"/>
      <c r="EN135" s="79"/>
      <c r="EO135" s="79"/>
      <c r="EP135" s="79"/>
      <c r="EQ135" s="79"/>
      <c r="ER135" s="79"/>
      <c r="ES135" s="79"/>
      <c r="ET135" s="79"/>
      <c r="EU135" s="79"/>
      <c r="EV135" s="79"/>
      <c r="EW135" s="79"/>
      <c r="EX135" s="79"/>
      <c r="EY135" s="79"/>
      <c r="EZ135" s="79"/>
      <c r="FA135" s="79"/>
      <c r="FB135" s="79"/>
      <c r="FC135" s="79"/>
      <c r="FD135" s="79"/>
      <c r="FE135" s="79"/>
      <c r="FF135" s="79"/>
      <c r="FG135" s="79"/>
      <c r="FH135" s="79"/>
      <c r="FI135" s="79"/>
      <c r="FJ135" s="79"/>
      <c r="FK135" s="79"/>
      <c r="FL135" s="79"/>
      <c r="FM135" s="116"/>
      <c r="FN135" s="116"/>
      <c r="FO135" s="47"/>
      <c r="FP135" s="47"/>
      <c r="FQ135" s="47"/>
      <c r="FR135" s="127"/>
      <c r="FS135" s="127"/>
      <c r="FT135" s="127"/>
      <c r="FU135" s="127"/>
      <c r="FV135" s="127"/>
      <c r="FW135" s="127"/>
      <c r="FX135" s="47"/>
      <c r="FY135" s="32"/>
      <c r="FZ135" s="32"/>
      <c r="GA135" s="32"/>
      <c r="GB135" s="32"/>
      <c r="GC135" s="32"/>
      <c r="GD135" s="32"/>
      <c r="GE135" s="32"/>
      <c r="GF135" s="32"/>
      <c r="GG135" s="32"/>
      <c r="GH135" s="32"/>
      <c r="GI135" s="32"/>
      <c r="GJ135" s="32"/>
      <c r="GK135" s="32"/>
      <c r="GL135" s="32"/>
      <c r="GM135" s="49"/>
      <c r="GN135" s="49"/>
      <c r="GO135" s="49"/>
      <c r="GP135" s="49"/>
      <c r="GQ135" s="49"/>
      <c r="GR135" s="49"/>
      <c r="GS135" s="49"/>
      <c r="GT135" s="49"/>
      <c r="GU135" s="49"/>
      <c r="GV135" s="49"/>
      <c r="GW135" s="49"/>
      <c r="GX135" s="49"/>
      <c r="GY135" s="49"/>
      <c r="GZ135" s="49"/>
      <c r="HA135" s="49"/>
      <c r="HB135" s="49"/>
      <c r="HC135" s="49"/>
      <c r="HD135" s="49"/>
      <c r="HE135" s="49"/>
      <c r="HF135" s="49"/>
      <c r="HG135" s="49"/>
      <c r="HH135" s="49"/>
      <c r="HI135" s="49"/>
      <c r="HJ135" s="49"/>
      <c r="HK135" s="49"/>
      <c r="HL135" s="49"/>
      <c r="HM135" s="49"/>
      <c r="HN135" s="49"/>
    </row>
    <row r="136" spans="1:222" ht="16.5" customHeight="1">
      <c r="A136" s="1"/>
      <c r="B136" s="3"/>
      <c r="C136" s="3"/>
      <c r="D136" s="38"/>
      <c r="E136" s="126"/>
      <c r="F136" s="126"/>
      <c r="G136" s="43"/>
      <c r="H136" s="43"/>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c r="AJ136" s="79"/>
      <c r="AK136" s="79"/>
      <c r="AL136" s="79"/>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163" t="str">
        <f ca="1">IF(FO98=0,"","TCK = "&amp;FU104&amp;"")</f>
        <v/>
      </c>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79"/>
      <c r="DR136" s="79"/>
      <c r="DS136" s="79"/>
      <c r="DT136" s="79"/>
      <c r="DU136" s="79"/>
      <c r="DV136" s="79"/>
      <c r="DW136" s="79"/>
      <c r="DX136" s="79"/>
      <c r="DY136" s="79"/>
      <c r="DZ136" s="79"/>
      <c r="EA136" s="79"/>
      <c r="EB136" s="79"/>
      <c r="EC136" s="79"/>
      <c r="ED136" s="79"/>
      <c r="EE136" s="79"/>
      <c r="EF136" s="79"/>
      <c r="EG136" s="79"/>
      <c r="EH136" s="79"/>
      <c r="EI136" s="79"/>
      <c r="EJ136" s="79"/>
      <c r="EK136" s="79"/>
      <c r="EL136" s="79"/>
      <c r="EM136" s="79"/>
      <c r="EN136" s="79"/>
      <c r="EO136" s="79"/>
      <c r="EP136" s="79"/>
      <c r="EQ136" s="79"/>
      <c r="ER136" s="79"/>
      <c r="ES136" s="79"/>
      <c r="ET136" s="79"/>
      <c r="EU136" s="79"/>
      <c r="EV136" s="79"/>
      <c r="EW136" s="79"/>
      <c r="EX136" s="79"/>
      <c r="EY136" s="79"/>
      <c r="EZ136" s="79"/>
      <c r="FA136" s="79"/>
      <c r="FB136" s="79"/>
      <c r="FC136" s="79"/>
      <c r="FD136" s="79"/>
      <c r="FE136" s="79"/>
      <c r="FF136" s="79"/>
      <c r="FG136" s="79"/>
      <c r="FH136" s="79"/>
      <c r="FI136" s="79"/>
      <c r="FJ136" s="79"/>
      <c r="FK136" s="79"/>
      <c r="FL136" s="79"/>
      <c r="FM136" s="116"/>
      <c r="FN136" s="116"/>
      <c r="FO136" s="47"/>
      <c r="FP136" s="47"/>
      <c r="FQ136" s="47"/>
      <c r="FR136" s="127"/>
      <c r="FS136" s="127"/>
      <c r="FT136" s="127"/>
      <c r="FU136" s="127"/>
      <c r="FV136" s="127"/>
      <c r="FW136" s="127"/>
      <c r="FX136" s="47"/>
      <c r="FY136" s="32"/>
      <c r="FZ136" s="32"/>
      <c r="GA136" s="32"/>
      <c r="GB136" s="32"/>
      <c r="GC136" s="32"/>
      <c r="GD136" s="32"/>
      <c r="GE136" s="32"/>
      <c r="GF136" s="32"/>
      <c r="GG136" s="32"/>
      <c r="GH136" s="32"/>
      <c r="GI136" s="32"/>
      <c r="GJ136" s="32"/>
      <c r="GK136" s="32"/>
      <c r="GL136" s="32"/>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row>
    <row r="137" spans="1:222" ht="13.5" customHeight="1">
      <c r="A137" s="1"/>
      <c r="B137" s="3"/>
      <c r="C137" s="3"/>
      <c r="D137" s="38"/>
      <c r="E137" s="126"/>
      <c r="F137" s="126"/>
      <c r="G137" s="43"/>
      <c r="H137" s="43"/>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c r="AJ137" s="79"/>
      <c r="AK137" s="79"/>
      <c r="AL137" s="79"/>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79"/>
      <c r="DR137" s="79"/>
      <c r="DS137" s="79"/>
      <c r="DT137" s="79"/>
      <c r="DU137" s="79"/>
      <c r="DV137" s="79"/>
      <c r="DW137" s="79"/>
      <c r="DX137" s="79"/>
      <c r="DY137" s="79"/>
      <c r="DZ137" s="79"/>
      <c r="EA137" s="79"/>
      <c r="EB137" s="79"/>
      <c r="EC137" s="79"/>
      <c r="ED137" s="79"/>
      <c r="EE137" s="79"/>
      <c r="EF137" s="79"/>
      <c r="EG137" s="79"/>
      <c r="EH137" s="79"/>
      <c r="EI137" s="79"/>
      <c r="EJ137" s="79"/>
      <c r="EK137" s="79"/>
      <c r="EL137" s="79"/>
      <c r="EM137" s="79"/>
      <c r="EN137" s="79"/>
      <c r="EO137" s="79"/>
      <c r="EP137" s="79"/>
      <c r="EQ137" s="79"/>
      <c r="ER137" s="79"/>
      <c r="ES137" s="79"/>
      <c r="ET137" s="79"/>
      <c r="EU137" s="79"/>
      <c r="EV137" s="79"/>
      <c r="EW137" s="79"/>
      <c r="EX137" s="79"/>
      <c r="EY137" s="79"/>
      <c r="EZ137" s="79"/>
      <c r="FA137" s="79"/>
      <c r="FB137" s="79"/>
      <c r="FC137" s="79"/>
      <c r="FD137" s="79"/>
      <c r="FE137" s="79"/>
      <c r="FF137" s="79"/>
      <c r="FG137" s="79"/>
      <c r="FH137" s="79"/>
      <c r="FI137" s="79"/>
      <c r="FJ137" s="79"/>
      <c r="FK137" s="79"/>
      <c r="FL137" s="79"/>
      <c r="FM137" s="116"/>
      <c r="FN137" s="116"/>
      <c r="FO137" s="47"/>
      <c r="FP137" s="47"/>
      <c r="FQ137" s="47"/>
      <c r="FR137" s="127"/>
      <c r="FS137" s="127"/>
      <c r="FT137" s="127"/>
      <c r="FU137" s="127"/>
      <c r="FV137" s="127"/>
      <c r="FW137" s="127"/>
      <c r="FX137" s="47"/>
      <c r="FY137" s="32"/>
      <c r="FZ137" s="32"/>
      <c r="GA137" s="32"/>
      <c r="GB137" s="32"/>
      <c r="GC137" s="32"/>
      <c r="GD137" s="32"/>
      <c r="GE137" s="32"/>
      <c r="GF137" s="32"/>
      <c r="GG137" s="32"/>
      <c r="GH137" s="32"/>
      <c r="GI137" s="32"/>
      <c r="GJ137" s="32"/>
      <c r="GK137" s="32"/>
      <c r="GL137" s="32"/>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row>
    <row r="138" spans="1:222" ht="16.5" customHeight="1">
      <c r="A138" s="1"/>
      <c r="B138" s="3"/>
      <c r="C138" s="3"/>
      <c r="D138" s="38" t="str">
        <f ca="1">IF(FO98=0,"","De functie van de totale variabele kosten luidt:")</f>
        <v/>
      </c>
      <c r="E138" s="126"/>
      <c r="F138" s="126"/>
      <c r="G138" s="43"/>
      <c r="H138" s="43"/>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79"/>
      <c r="DR138" s="79"/>
      <c r="DS138" s="79"/>
      <c r="DT138" s="79"/>
      <c r="DU138" s="79"/>
      <c r="DV138" s="79"/>
      <c r="DW138" s="79"/>
      <c r="DX138" s="79"/>
      <c r="DY138" s="79"/>
      <c r="DZ138" s="79"/>
      <c r="EA138" s="79"/>
      <c r="EB138" s="79"/>
      <c r="EC138" s="79"/>
      <c r="ED138" s="79"/>
      <c r="EE138" s="79"/>
      <c r="EF138" s="79"/>
      <c r="EG138" s="79"/>
      <c r="EH138" s="79"/>
      <c r="EI138" s="79"/>
      <c r="EJ138" s="79"/>
      <c r="EK138" s="79"/>
      <c r="EL138" s="79"/>
      <c r="EM138" s="79"/>
      <c r="EN138" s="79"/>
      <c r="EO138" s="79"/>
      <c r="EP138" s="79"/>
      <c r="EQ138" s="79"/>
      <c r="ER138" s="79"/>
      <c r="ES138" s="79"/>
      <c r="ET138" s="79"/>
      <c r="EU138" s="79"/>
      <c r="EV138" s="79"/>
      <c r="EW138" s="79"/>
      <c r="EX138" s="79"/>
      <c r="EY138" s="79"/>
      <c r="EZ138" s="79"/>
      <c r="FA138" s="79"/>
      <c r="FB138" s="79"/>
      <c r="FC138" s="79"/>
      <c r="FD138" s="79"/>
      <c r="FE138" s="79"/>
      <c r="FF138" s="79"/>
      <c r="FG138" s="79"/>
      <c r="FH138" s="79"/>
      <c r="FI138" s="79"/>
      <c r="FJ138" s="79"/>
      <c r="FK138" s="79"/>
      <c r="FL138" s="79"/>
      <c r="FM138" s="116"/>
      <c r="FN138" s="116"/>
      <c r="FO138" s="47"/>
      <c r="FP138" s="47"/>
      <c r="FQ138" s="79"/>
      <c r="FR138" s="127"/>
      <c r="FS138" s="127"/>
      <c r="FT138" s="127"/>
      <c r="FU138" s="127"/>
      <c r="FV138" s="127"/>
      <c r="FW138" s="127"/>
      <c r="FX138" s="47"/>
      <c r="FY138" s="32"/>
      <c r="FZ138" s="32"/>
      <c r="GA138" s="32"/>
      <c r="GB138" s="32"/>
      <c r="GC138" s="32"/>
      <c r="GD138" s="32"/>
      <c r="GE138" s="32"/>
      <c r="GF138" s="32"/>
      <c r="GG138" s="32"/>
      <c r="GH138" s="32"/>
      <c r="GI138" s="32"/>
      <c r="GJ138" s="32"/>
      <c r="GK138" s="32"/>
      <c r="GL138" s="32"/>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row>
    <row r="139" spans="1:222" ht="11.25" customHeight="1">
      <c r="A139" s="1"/>
      <c r="B139" s="3"/>
      <c r="C139" s="3"/>
      <c r="D139" s="38"/>
      <c r="E139" s="126"/>
      <c r="F139" s="126"/>
      <c r="G139" s="43"/>
      <c r="H139" s="43"/>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79"/>
      <c r="DR139" s="79"/>
      <c r="DS139" s="79"/>
      <c r="DT139" s="79"/>
      <c r="DU139" s="79"/>
      <c r="DV139" s="79"/>
      <c r="DW139" s="79"/>
      <c r="DX139" s="79"/>
      <c r="DY139" s="79"/>
      <c r="DZ139" s="79"/>
      <c r="EA139" s="79"/>
      <c r="EB139" s="79"/>
      <c r="EC139" s="79"/>
      <c r="ED139" s="79"/>
      <c r="EE139" s="79"/>
      <c r="EF139" s="79"/>
      <c r="EG139" s="79"/>
      <c r="EH139" s="79"/>
      <c r="EI139" s="79"/>
      <c r="EJ139" s="79"/>
      <c r="EK139" s="79"/>
      <c r="EL139" s="79"/>
      <c r="EM139" s="79"/>
      <c r="EN139" s="79"/>
      <c r="EO139" s="79"/>
      <c r="EP139" s="79"/>
      <c r="EQ139" s="79"/>
      <c r="ER139" s="79"/>
      <c r="ES139" s="79"/>
      <c r="ET139" s="79"/>
      <c r="EU139" s="79"/>
      <c r="EV139" s="79"/>
      <c r="EW139" s="79"/>
      <c r="EX139" s="79"/>
      <c r="EY139" s="79"/>
      <c r="EZ139" s="79"/>
      <c r="FA139" s="79"/>
      <c r="FB139" s="79"/>
      <c r="FC139" s="79"/>
      <c r="FD139" s="79"/>
      <c r="FE139" s="79"/>
      <c r="FF139" s="79"/>
      <c r="FG139" s="79"/>
      <c r="FH139" s="79"/>
      <c r="FI139" s="79"/>
      <c r="FJ139" s="79"/>
      <c r="FK139" s="79"/>
      <c r="FL139" s="79"/>
      <c r="FM139" s="116"/>
      <c r="FN139" s="116"/>
      <c r="FO139" s="47"/>
      <c r="FP139" s="47"/>
      <c r="FQ139" s="79"/>
      <c r="FR139" s="127"/>
      <c r="FS139" s="127"/>
      <c r="FT139" s="127"/>
      <c r="FU139" s="127"/>
      <c r="FV139" s="127"/>
      <c r="FW139" s="127"/>
      <c r="FX139" s="47"/>
      <c r="FY139" s="32"/>
      <c r="FZ139" s="32"/>
      <c r="GA139" s="32"/>
      <c r="GB139" s="32"/>
      <c r="GC139" s="32"/>
      <c r="GD139" s="32"/>
      <c r="GE139" s="32"/>
      <c r="GF139" s="32"/>
      <c r="GG139" s="32"/>
      <c r="GH139" s="32"/>
      <c r="GI139" s="32"/>
      <c r="GJ139" s="32"/>
      <c r="GK139" s="32"/>
      <c r="GL139" s="32"/>
      <c r="GM139" s="49"/>
      <c r="GN139" s="49"/>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c r="HN139" s="49"/>
    </row>
    <row r="140" spans="1:222" ht="16.5" customHeight="1">
      <c r="A140" s="1"/>
      <c r="B140" s="3"/>
      <c r="C140" s="3"/>
      <c r="D140" s="38"/>
      <c r="E140" s="126"/>
      <c r="F140" s="126"/>
      <c r="G140" s="43"/>
      <c r="H140" s="43"/>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c r="AJ140" s="79"/>
      <c r="AK140" s="79"/>
      <c r="AL140" s="79"/>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163" t="str">
        <f ca="1">IF(FO98=0,"","TVK = "&amp;FV67&amp;"q")</f>
        <v/>
      </c>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79"/>
      <c r="DR140" s="79"/>
      <c r="DS140" s="79"/>
      <c r="DT140" s="79"/>
      <c r="DU140" s="79"/>
      <c r="DV140" s="79"/>
      <c r="DW140" s="79"/>
      <c r="DX140" s="79"/>
      <c r="DY140" s="79"/>
      <c r="DZ140" s="79"/>
      <c r="EA140" s="79"/>
      <c r="EB140" s="79"/>
      <c r="EC140" s="79"/>
      <c r="ED140" s="79"/>
      <c r="EE140" s="79"/>
      <c r="EF140" s="79"/>
      <c r="EG140" s="79"/>
      <c r="EH140" s="79"/>
      <c r="EI140" s="79"/>
      <c r="EJ140" s="79"/>
      <c r="EK140" s="79"/>
      <c r="EL140" s="79"/>
      <c r="EM140" s="79"/>
      <c r="EN140" s="79"/>
      <c r="EO140" s="79"/>
      <c r="EP140" s="79"/>
      <c r="EQ140" s="79"/>
      <c r="ER140" s="79"/>
      <c r="ES140" s="79"/>
      <c r="ET140" s="79"/>
      <c r="EU140" s="79"/>
      <c r="EV140" s="79"/>
      <c r="EW140" s="79"/>
      <c r="EX140" s="79"/>
      <c r="EY140" s="79"/>
      <c r="EZ140" s="79"/>
      <c r="FA140" s="79"/>
      <c r="FB140" s="79"/>
      <c r="FC140" s="79"/>
      <c r="FD140" s="79"/>
      <c r="FE140" s="79"/>
      <c r="FF140" s="79"/>
      <c r="FG140" s="79"/>
      <c r="FH140" s="79"/>
      <c r="FI140" s="79"/>
      <c r="FJ140" s="79"/>
      <c r="FK140" s="79"/>
      <c r="FL140" s="79"/>
      <c r="FM140" s="116"/>
      <c r="FN140" s="116"/>
      <c r="FO140" s="47"/>
      <c r="FP140" s="47"/>
      <c r="FQ140" s="79"/>
      <c r="FR140" s="127"/>
      <c r="FS140" s="127"/>
      <c r="FT140" s="127"/>
      <c r="FU140" s="127"/>
      <c r="FV140" s="127"/>
      <c r="FW140" s="127"/>
      <c r="FX140" s="47"/>
      <c r="FY140" s="32"/>
      <c r="FZ140" s="32"/>
      <c r="GA140" s="32"/>
      <c r="GB140" s="32"/>
      <c r="GC140" s="32"/>
      <c r="GD140" s="32"/>
      <c r="GE140" s="32"/>
      <c r="GF140" s="32"/>
      <c r="GG140" s="32"/>
      <c r="GH140" s="32"/>
      <c r="GI140" s="32"/>
      <c r="GJ140" s="32"/>
      <c r="GK140" s="32"/>
      <c r="GL140" s="32"/>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c r="HN140" s="49"/>
    </row>
    <row r="141" spans="1:222" ht="8.25" customHeight="1">
      <c r="A141" s="1"/>
      <c r="B141" s="3"/>
      <c r="C141" s="3"/>
      <c r="D141" s="38"/>
      <c r="E141" s="126"/>
      <c r="F141" s="126"/>
      <c r="G141" s="43"/>
      <c r="H141" s="43"/>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79"/>
      <c r="DR141" s="79"/>
      <c r="DS141" s="79"/>
      <c r="DT141" s="79"/>
      <c r="DU141" s="79"/>
      <c r="DV141" s="79"/>
      <c r="DW141" s="79"/>
      <c r="DX141" s="79"/>
      <c r="DY141" s="79"/>
      <c r="DZ141" s="79"/>
      <c r="EA141" s="79"/>
      <c r="EB141" s="79"/>
      <c r="EC141" s="79"/>
      <c r="ED141" s="79"/>
      <c r="EE141" s="79"/>
      <c r="EF141" s="79"/>
      <c r="EG141" s="79"/>
      <c r="EH141" s="79"/>
      <c r="EI141" s="79"/>
      <c r="EJ141" s="79"/>
      <c r="EK141" s="79"/>
      <c r="EL141" s="79"/>
      <c r="EM141" s="79"/>
      <c r="EN141" s="79"/>
      <c r="EO141" s="79"/>
      <c r="EP141" s="79"/>
      <c r="EQ141" s="79"/>
      <c r="ER141" s="79"/>
      <c r="ES141" s="79"/>
      <c r="ET141" s="79"/>
      <c r="EU141" s="79"/>
      <c r="EV141" s="79"/>
      <c r="EW141" s="79"/>
      <c r="EX141" s="79"/>
      <c r="EY141" s="79"/>
      <c r="EZ141" s="79"/>
      <c r="FA141" s="79"/>
      <c r="FB141" s="79"/>
      <c r="FC141" s="79"/>
      <c r="FD141" s="79"/>
      <c r="FE141" s="79"/>
      <c r="FF141" s="79"/>
      <c r="FG141" s="79"/>
      <c r="FH141" s="79"/>
      <c r="FI141" s="79"/>
      <c r="FJ141" s="79"/>
      <c r="FK141" s="79"/>
      <c r="FL141" s="79"/>
      <c r="FM141" s="116"/>
      <c r="FN141" s="116"/>
      <c r="FO141" s="47"/>
      <c r="FP141" s="47"/>
      <c r="FQ141" s="79"/>
      <c r="FR141" s="127"/>
      <c r="FS141" s="127"/>
      <c r="FT141" s="127"/>
      <c r="FU141" s="127"/>
      <c r="FV141" s="127"/>
      <c r="FW141" s="127"/>
      <c r="FX141" s="47"/>
      <c r="FY141" s="32"/>
      <c r="FZ141" s="32"/>
      <c r="GA141" s="32"/>
      <c r="GB141" s="32"/>
      <c r="GC141" s="32"/>
      <c r="GD141" s="32"/>
      <c r="GE141" s="32"/>
      <c r="GF141" s="32"/>
      <c r="GG141" s="32"/>
      <c r="GH141" s="32"/>
      <c r="GI141" s="32"/>
      <c r="GJ141" s="32"/>
      <c r="GK141" s="32"/>
      <c r="GL141" s="32"/>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row>
    <row r="142" spans="1:222" ht="16.5" customHeight="1">
      <c r="A142" s="1"/>
      <c r="B142" s="3"/>
      <c r="C142" s="3"/>
      <c r="D142" s="38" t="str">
        <f ca="1">IF(FO98=0,"","Hoe luidt dan de functie van de GTK?")</f>
        <v/>
      </c>
      <c r="E142" s="126"/>
      <c r="F142" s="126"/>
      <c r="G142" s="43"/>
      <c r="H142" s="43"/>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79"/>
      <c r="DR142" s="79"/>
      <c r="DS142" s="79"/>
      <c r="DT142" s="79"/>
      <c r="DU142" s="79"/>
      <c r="DV142" s="79"/>
      <c r="DW142" s="79"/>
      <c r="DX142" s="79"/>
      <c r="DY142" s="79"/>
      <c r="DZ142" s="79"/>
      <c r="EA142" s="79"/>
      <c r="EB142" s="79"/>
      <c r="EC142" s="79"/>
      <c r="ED142" s="79"/>
      <c r="EE142" s="79"/>
      <c r="EF142" s="79"/>
      <c r="EG142" s="79"/>
      <c r="EH142" s="79"/>
      <c r="EI142" s="79"/>
      <c r="EJ142" s="79"/>
      <c r="EK142" s="79"/>
      <c r="EL142" s="79"/>
      <c r="EM142" s="79"/>
      <c r="EN142" s="79"/>
      <c r="EO142" s="79"/>
      <c r="EP142" s="79"/>
      <c r="EQ142" s="79"/>
      <c r="ER142" s="79"/>
      <c r="ES142" s="79"/>
      <c r="ET142" s="79"/>
      <c r="EU142" s="79"/>
      <c r="EV142" s="79"/>
      <c r="EW142" s="79"/>
      <c r="EX142" s="79"/>
      <c r="EY142" s="79"/>
      <c r="EZ142" s="79"/>
      <c r="FA142" s="79"/>
      <c r="FB142" s="79"/>
      <c r="FC142" s="79"/>
      <c r="FD142" s="79"/>
      <c r="FE142" s="79"/>
      <c r="FF142" s="79"/>
      <c r="FG142" s="79"/>
      <c r="FH142" s="79"/>
      <c r="FI142" s="79"/>
      <c r="FJ142" s="79"/>
      <c r="FK142" s="79"/>
      <c r="FL142" s="79"/>
      <c r="FM142" s="116"/>
      <c r="FN142" s="116"/>
      <c r="FO142" s="47"/>
      <c r="FP142" s="47"/>
      <c r="FQ142" s="47"/>
      <c r="FR142" s="127"/>
      <c r="FS142" s="127"/>
      <c r="FT142" s="127"/>
      <c r="FU142" s="127"/>
      <c r="FV142" s="127"/>
      <c r="FW142" s="127"/>
      <c r="FX142" s="47"/>
      <c r="FY142" s="32"/>
      <c r="FZ142" s="32"/>
      <c r="GA142" s="32"/>
      <c r="GB142" s="32"/>
      <c r="GC142" s="32"/>
      <c r="GD142" s="32"/>
      <c r="GE142" s="32"/>
      <c r="GF142" s="32"/>
      <c r="GG142" s="32"/>
      <c r="GH142" s="32"/>
      <c r="GI142" s="32"/>
      <c r="GJ142" s="32"/>
      <c r="GK142" s="32"/>
      <c r="GL142" s="32"/>
      <c r="GM142" s="49"/>
      <c r="GN142" s="49"/>
      <c r="GO142" s="49"/>
      <c r="GP142" s="49"/>
      <c r="GQ142" s="49"/>
      <c r="GR142" s="49"/>
      <c r="GS142" s="49"/>
      <c r="GT142" s="49"/>
      <c r="GU142" s="49"/>
      <c r="GV142" s="49"/>
      <c r="GW142" s="49"/>
      <c r="GX142" s="49"/>
      <c r="GY142" s="49"/>
      <c r="GZ142" s="49"/>
      <c r="HA142" s="49"/>
      <c r="HB142" s="49"/>
      <c r="HC142" s="49"/>
      <c r="HD142" s="49"/>
      <c r="HE142" s="49"/>
      <c r="HF142" s="49"/>
      <c r="HG142" s="49"/>
      <c r="HH142" s="49"/>
      <c r="HI142" s="49"/>
      <c r="HJ142" s="49"/>
      <c r="HK142" s="49"/>
      <c r="HL142" s="49"/>
      <c r="HM142" s="49"/>
      <c r="HN142" s="49"/>
    </row>
    <row r="143" spans="1:222" ht="8.25" customHeight="1">
      <c r="A143" s="1"/>
      <c r="B143" s="3"/>
      <c r="C143" s="3"/>
      <c r="D143" s="38"/>
      <c r="E143" s="126"/>
      <c r="F143" s="126"/>
      <c r="G143" s="43"/>
      <c r="H143" s="43"/>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c r="AJ143" s="79"/>
      <c r="AK143" s="79"/>
      <c r="AL143" s="79"/>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79"/>
      <c r="DR143" s="79"/>
      <c r="DS143" s="79"/>
      <c r="DT143" s="79"/>
      <c r="DU143" s="79"/>
      <c r="DV143" s="79"/>
      <c r="DW143" s="79"/>
      <c r="DX143" s="79"/>
      <c r="DY143" s="79"/>
      <c r="DZ143" s="79"/>
      <c r="EA143" s="79"/>
      <c r="EB143" s="79"/>
      <c r="EC143" s="79"/>
      <c r="ED143" s="79"/>
      <c r="EE143" s="79"/>
      <c r="EF143" s="79"/>
      <c r="EG143" s="79"/>
      <c r="EH143" s="79"/>
      <c r="EI143" s="79"/>
      <c r="EJ143" s="79"/>
      <c r="EK143" s="79"/>
      <c r="EL143" s="79"/>
      <c r="EM143" s="79"/>
      <c r="EN143" s="79"/>
      <c r="EO143" s="79"/>
      <c r="EP143" s="79"/>
      <c r="EQ143" s="79"/>
      <c r="ER143" s="79"/>
      <c r="ES143" s="79"/>
      <c r="ET143" s="79"/>
      <c r="EU143" s="79"/>
      <c r="EV143" s="79"/>
      <c r="EW143" s="79"/>
      <c r="EX143" s="79"/>
      <c r="EY143" s="79"/>
      <c r="EZ143" s="79"/>
      <c r="FA143" s="79"/>
      <c r="FB143" s="79"/>
      <c r="FC143" s="79"/>
      <c r="FD143" s="79"/>
      <c r="FE143" s="79"/>
      <c r="FF143" s="79"/>
      <c r="FG143" s="79"/>
      <c r="FH143" s="79"/>
      <c r="FI143" s="79"/>
      <c r="FJ143" s="79"/>
      <c r="FK143" s="79"/>
      <c r="FL143" s="79"/>
      <c r="FM143" s="116"/>
      <c r="FN143" s="116"/>
      <c r="FO143" s="47"/>
      <c r="FP143" s="47"/>
      <c r="FQ143" s="47"/>
      <c r="FR143" s="127"/>
      <c r="FS143" s="127"/>
      <c r="FT143" s="127"/>
      <c r="FU143" s="127"/>
      <c r="FV143" s="127"/>
      <c r="FW143" s="127"/>
      <c r="FX143" s="47"/>
      <c r="FY143" s="32"/>
      <c r="FZ143" s="32"/>
      <c r="GA143" s="32"/>
      <c r="GB143" s="32"/>
      <c r="GC143" s="32"/>
      <c r="GD143" s="32"/>
      <c r="GE143" s="32"/>
      <c r="GF143" s="32"/>
      <c r="GG143" s="32"/>
      <c r="GH143" s="32"/>
      <c r="GI143" s="32"/>
      <c r="GJ143" s="32"/>
      <c r="GK143" s="32"/>
      <c r="GL143" s="32"/>
      <c r="GM143" s="49"/>
      <c r="GN143" s="49"/>
      <c r="GO143" s="49"/>
      <c r="GP143" s="49"/>
      <c r="GQ143" s="49"/>
      <c r="GR143" s="49"/>
      <c r="GS143" s="49"/>
      <c r="GT143" s="49"/>
      <c r="GU143" s="49"/>
      <c r="GV143" s="49"/>
      <c r="GW143" s="49"/>
      <c r="GX143" s="49"/>
      <c r="GY143" s="49"/>
      <c r="GZ143" s="49"/>
      <c r="HA143" s="49"/>
      <c r="HB143" s="49"/>
      <c r="HC143" s="49"/>
      <c r="HD143" s="49"/>
      <c r="HE143" s="49"/>
      <c r="HF143" s="49"/>
      <c r="HG143" s="49"/>
      <c r="HH143" s="49"/>
      <c r="HI143" s="49"/>
      <c r="HJ143" s="49"/>
      <c r="HK143" s="49"/>
      <c r="HL143" s="49"/>
      <c r="HM143" s="49"/>
      <c r="HN143" s="49"/>
    </row>
    <row r="144" spans="1:222" ht="3.75" customHeight="1">
      <c r="A144" s="1"/>
      <c r="B144" s="3"/>
      <c r="C144" s="3"/>
      <c r="D144" s="38"/>
      <c r="E144" s="126"/>
      <c r="F144" s="126"/>
      <c r="G144" s="43"/>
      <c r="H144" s="43"/>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c r="AJ144" s="79"/>
      <c r="AK144" s="79"/>
      <c r="AL144" s="79"/>
      <c r="AM144" s="43"/>
      <c r="AN144" s="43"/>
      <c r="AO144" s="43"/>
      <c r="AP144" s="43"/>
      <c r="AQ144" s="43"/>
      <c r="AR144" s="43"/>
      <c r="AS144" s="43"/>
      <c r="AT144" s="538" t="str">
        <f ca="1">IF(FO98=0,"",".")</f>
        <v/>
      </c>
      <c r="AU144" s="538"/>
      <c r="AV144" s="538"/>
      <c r="AW144" s="538"/>
      <c r="AX144" s="538"/>
      <c r="AY144" s="538"/>
      <c r="AZ144" s="538"/>
      <c r="BA144" s="538"/>
      <c r="BB144" s="538"/>
      <c r="BC144" s="538"/>
      <c r="BD144" s="538"/>
      <c r="BE144" s="538"/>
      <c r="BF144" s="538"/>
      <c r="BG144" s="538"/>
      <c r="BH144" s="538"/>
      <c r="BI144" s="538"/>
      <c r="BJ144" s="538"/>
      <c r="BK144" s="538"/>
      <c r="BL144" s="538"/>
      <c r="BM144" s="538"/>
      <c r="BN144" s="538"/>
      <c r="BO144" s="538"/>
      <c r="BP144" s="538"/>
      <c r="BQ144" s="538"/>
      <c r="BR144" s="538"/>
      <c r="BS144" s="538"/>
      <c r="BT144" s="538"/>
      <c r="BU144" s="538"/>
      <c r="BV144" s="538"/>
      <c r="BW144" s="538"/>
      <c r="BX144" s="538"/>
      <c r="BY144" s="538"/>
      <c r="BZ144" s="538"/>
      <c r="CA144" s="538"/>
      <c r="CB144" s="538"/>
      <c r="CC144" s="538"/>
      <c r="CD144" s="538"/>
      <c r="CE144" s="538"/>
      <c r="CF144" s="538"/>
      <c r="CG144" s="538"/>
      <c r="CH144" s="538"/>
      <c r="CI144" s="538"/>
      <c r="CJ144" s="538"/>
      <c r="CK144" s="538"/>
      <c r="CL144" s="538"/>
      <c r="CM144" s="538"/>
      <c r="CN144" s="538"/>
      <c r="CO144" s="538"/>
      <c r="CP144" s="538"/>
      <c r="CQ144" s="538"/>
      <c r="CR144" s="538"/>
      <c r="CS144" s="538"/>
      <c r="CT144" s="538"/>
      <c r="CU144" s="538"/>
      <c r="CV144" s="538"/>
      <c r="CW144" s="538"/>
      <c r="CX144" s="538"/>
      <c r="CY144" s="538"/>
      <c r="CZ144" s="538"/>
      <c r="DA144" s="538"/>
      <c r="DB144" s="538"/>
      <c r="DC144" s="538"/>
      <c r="DD144" s="538"/>
      <c r="DE144" s="538"/>
      <c r="DF144" s="538"/>
      <c r="DG144" s="43"/>
      <c r="DH144" s="43"/>
      <c r="DI144" s="43"/>
      <c r="DJ144" s="43"/>
      <c r="DK144" s="43"/>
      <c r="DL144" s="43"/>
      <c r="DM144" s="43"/>
      <c r="DN144" s="43"/>
      <c r="DO144" s="43"/>
      <c r="DP144" s="43"/>
      <c r="DQ144" s="79"/>
      <c r="DR144" s="79"/>
      <c r="DS144" s="79"/>
      <c r="DT144" s="79"/>
      <c r="DU144" s="79"/>
      <c r="DV144" s="79"/>
      <c r="DW144" s="79"/>
      <c r="DX144" s="79"/>
      <c r="DY144" s="79"/>
      <c r="DZ144" s="79"/>
      <c r="EA144" s="79"/>
      <c r="EB144" s="79"/>
      <c r="EC144" s="79"/>
      <c r="ED144" s="79"/>
      <c r="EE144" s="79"/>
      <c r="EF144" s="79"/>
      <c r="EG144" s="79"/>
      <c r="EH144" s="79"/>
      <c r="EI144" s="79"/>
      <c r="EJ144" s="79"/>
      <c r="EK144" s="79"/>
      <c r="EL144" s="79"/>
      <c r="EM144" s="79"/>
      <c r="EN144" s="79"/>
      <c r="EO144" s="79"/>
      <c r="EP144" s="79"/>
      <c r="EQ144" s="79"/>
      <c r="ER144" s="79"/>
      <c r="ES144" s="79"/>
      <c r="ET144" s="79"/>
      <c r="EU144" s="79"/>
      <c r="EV144" s="79"/>
      <c r="EW144" s="79"/>
      <c r="EX144" s="79"/>
      <c r="EY144" s="79"/>
      <c r="EZ144" s="79"/>
      <c r="FA144" s="79"/>
      <c r="FB144" s="79"/>
      <c r="FC144" s="79"/>
      <c r="FD144" s="79"/>
      <c r="FE144" s="79"/>
      <c r="FF144" s="79"/>
      <c r="FG144" s="79"/>
      <c r="FH144" s="79"/>
      <c r="FI144" s="79"/>
      <c r="FJ144" s="79"/>
      <c r="FK144" s="79"/>
      <c r="FL144" s="79"/>
      <c r="FM144" s="116"/>
      <c r="FN144" s="116"/>
      <c r="FO144" s="47"/>
      <c r="FP144" s="47"/>
      <c r="FQ144" s="47"/>
      <c r="FR144" s="127"/>
      <c r="FS144" s="127"/>
      <c r="FT144" s="127"/>
      <c r="FU144" s="127"/>
      <c r="FV144" s="127"/>
      <c r="FW144" s="127"/>
      <c r="FX144" s="47"/>
      <c r="FY144" s="32"/>
      <c r="FZ144" s="32"/>
      <c r="GA144" s="32"/>
      <c r="GB144" s="32"/>
      <c r="GC144" s="32"/>
      <c r="GD144" s="32"/>
      <c r="GE144" s="32"/>
      <c r="GF144" s="32"/>
      <c r="GG144" s="32"/>
      <c r="GH144" s="32"/>
      <c r="GI144" s="32"/>
      <c r="GJ144" s="32"/>
      <c r="GK144" s="32"/>
      <c r="GL144" s="32"/>
      <c r="GM144" s="49"/>
      <c r="GN144" s="49"/>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c r="HN144" s="49"/>
    </row>
    <row r="145" spans="1:222" ht="16.5" customHeight="1">
      <c r="A145" s="1"/>
      <c r="B145" s="3"/>
      <c r="C145" s="3"/>
      <c r="D145" s="38"/>
      <c r="E145" s="126"/>
      <c r="F145" s="126"/>
      <c r="G145" s="43"/>
      <c r="H145" s="43"/>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c r="AJ145" s="79"/>
      <c r="AK145" s="79"/>
      <c r="AL145" s="79"/>
      <c r="AM145" s="43"/>
      <c r="AN145" s="43"/>
      <c r="AO145" s="43"/>
      <c r="AP145" s="43"/>
      <c r="AQ145" s="43"/>
      <c r="AR145" s="43"/>
      <c r="AS145" s="43"/>
      <c r="AT145" s="195" t="str">
        <f ca="1">IF(FO98=0,"",".")</f>
        <v/>
      </c>
      <c r="AU145" s="689"/>
      <c r="AV145" s="689"/>
      <c r="AW145" s="689"/>
      <c r="AX145" s="689"/>
      <c r="AY145" s="689"/>
      <c r="AZ145" s="689"/>
      <c r="BA145" s="689"/>
      <c r="BB145" s="689"/>
      <c r="BC145" s="689"/>
      <c r="BD145" s="689"/>
      <c r="BE145" s="689"/>
      <c r="BF145" s="689"/>
      <c r="BG145" s="689"/>
      <c r="BH145" s="689"/>
      <c r="BI145" s="689"/>
      <c r="BJ145" s="689"/>
      <c r="BK145" s="689"/>
      <c r="BL145" s="689"/>
      <c r="BM145" s="689"/>
      <c r="BN145" s="689"/>
      <c r="BO145" s="689"/>
      <c r="BP145" s="689"/>
      <c r="BQ145" s="689"/>
      <c r="BR145" s="689"/>
      <c r="BS145" s="689"/>
      <c r="BT145" s="689"/>
      <c r="BU145" s="689"/>
      <c r="BV145" s="689"/>
      <c r="BW145" s="689"/>
      <c r="BX145" s="689"/>
      <c r="BY145" s="689"/>
      <c r="BZ145" s="689"/>
      <c r="CA145" s="689"/>
      <c r="CB145" s="689"/>
      <c r="CC145" s="689"/>
      <c r="CD145" s="689"/>
      <c r="CE145" s="689"/>
      <c r="CF145" s="689"/>
      <c r="CG145" s="689"/>
      <c r="CH145" s="689"/>
      <c r="CI145" s="689"/>
      <c r="CJ145" s="689"/>
      <c r="CK145" s="689"/>
      <c r="CL145" s="689"/>
      <c r="CM145" s="689"/>
      <c r="CN145" s="689"/>
      <c r="CO145" s="689"/>
      <c r="CP145" s="689"/>
      <c r="CQ145" s="689"/>
      <c r="CR145" s="689"/>
      <c r="CS145" s="689"/>
      <c r="CT145" s="689"/>
      <c r="CU145" s="689"/>
      <c r="CV145" s="689"/>
      <c r="CW145" s="689"/>
      <c r="CX145" s="689"/>
      <c r="CY145" s="689"/>
      <c r="CZ145" s="689"/>
      <c r="DA145" s="689"/>
      <c r="DB145" s="689"/>
      <c r="DC145" s="689"/>
      <c r="DD145" s="689"/>
      <c r="DE145" s="689"/>
      <c r="DF145" s="195" t="str">
        <f ca="1">IF(FO98=0,"",".")</f>
        <v/>
      </c>
      <c r="DG145" s="43"/>
      <c r="DH145" s="207" t="str">
        <f>IF(AU145="","",IF(FO145=1,"Goed!",IF(AU145=FR145,"Fout! Dit is de TK-functie. Probeert het opnieuw.",IF(AU145=FS145,"Fout! Dit is de GVK-functie. Probeert het opnieuw.",IF(AU145=FQ145,"Fout! Je moet de TVK ook door q delen.","Fout! Als je door q deelt blijven de ''cijfergetallen'' hetzelfde.")))))</f>
        <v/>
      </c>
      <c r="DI145" s="43"/>
      <c r="DJ145" s="43"/>
      <c r="DK145" s="43"/>
      <c r="DL145" s="43"/>
      <c r="DM145" s="43"/>
      <c r="DN145" s="43"/>
      <c r="DO145" s="43"/>
      <c r="DP145" s="43"/>
      <c r="DQ145" s="79"/>
      <c r="DR145" s="79"/>
      <c r="DS145" s="79"/>
      <c r="DT145" s="79"/>
      <c r="DU145" s="79"/>
      <c r="DV145" s="79"/>
      <c r="DW145" s="79"/>
      <c r="DX145" s="79"/>
      <c r="DY145" s="79"/>
      <c r="DZ145" s="79"/>
      <c r="EA145" s="79"/>
      <c r="EB145" s="79"/>
      <c r="EC145" s="79"/>
      <c r="ED145" s="79"/>
      <c r="EE145" s="79"/>
      <c r="EF145" s="79"/>
      <c r="EG145" s="79"/>
      <c r="EH145" s="79"/>
      <c r="EI145" s="79"/>
      <c r="EJ145" s="79"/>
      <c r="EK145" s="79"/>
      <c r="EL145" s="79"/>
      <c r="EM145" s="79"/>
      <c r="EN145" s="79"/>
      <c r="EO145" s="79"/>
      <c r="EP145" s="79"/>
      <c r="EQ145" s="79"/>
      <c r="ER145" s="79"/>
      <c r="ES145" s="79"/>
      <c r="ET145" s="79"/>
      <c r="EU145" s="79"/>
      <c r="EV145" s="79"/>
      <c r="EW145" s="79"/>
      <c r="EX145" s="79"/>
      <c r="EY145" s="79"/>
      <c r="EZ145" s="79"/>
      <c r="FA145" s="79"/>
      <c r="FB145" s="79"/>
      <c r="FC145" s="79"/>
      <c r="FD145" s="79"/>
      <c r="FE145" s="79"/>
      <c r="FF145" s="79"/>
      <c r="FG145" s="79"/>
      <c r="FH145" s="79"/>
      <c r="FI145" s="79"/>
      <c r="FJ145" s="79"/>
      <c r="FK145" s="79"/>
      <c r="FL145" s="79"/>
      <c r="FM145" s="116"/>
      <c r="FN145" s="116"/>
      <c r="FO145" s="48">
        <f ca="1">IF(programma!B1="X",1,IF(FO98=0,0,IF(AU145=FT145,1,0)))</f>
        <v>0</v>
      </c>
      <c r="FP145" s="94" t="str">
        <f ca="1">IF(FO1=0,"",FT145)</f>
        <v/>
      </c>
      <c r="FQ145" s="94" t="str">
        <f ca="1">IF(FO98=0,"","GTK = "&amp;FV67&amp;"q + "&amp;FU104&amp;"/q")</f>
        <v/>
      </c>
      <c r="FR145" s="130" t="str">
        <f ca="1">IF(FO98=0,"","GTK = "&amp;FV67&amp;"q + "&amp;FU104&amp;"")</f>
        <v/>
      </c>
      <c r="FS145" s="130" t="str">
        <f ca="1">IF(FO98=0,"","GTK = "&amp;FV67&amp;"q ")</f>
        <v/>
      </c>
      <c r="FT145" s="130" t="str">
        <f ca="1">IF(FO98=0,"","GTK = "&amp;FV67&amp;" + "&amp;FU104&amp;"/q")</f>
        <v/>
      </c>
      <c r="FU145" s="48" t="str">
        <f ca="1">IF(FO98=0,"","GTK = "&amp;FV67&amp;"")</f>
        <v/>
      </c>
      <c r="FV145" s="48" t="str">
        <f ca="1">IF(FO98=0,"","GTK = "&amp;FU104&amp;"/q")</f>
        <v/>
      </c>
      <c r="FW145" s="130"/>
      <c r="FX145" s="130"/>
      <c r="FY145" s="32"/>
      <c r="FZ145" s="32"/>
      <c r="GA145" s="32"/>
      <c r="GB145" s="32"/>
      <c r="GC145" s="32"/>
      <c r="GD145" s="32"/>
      <c r="GE145" s="32"/>
      <c r="GF145" s="32"/>
      <c r="GG145" s="32"/>
      <c r="GH145" s="32"/>
      <c r="GI145" s="32"/>
      <c r="GJ145" s="32"/>
      <c r="GK145" s="32"/>
      <c r="GL145" s="32"/>
      <c r="GM145" s="49"/>
      <c r="GN145" s="49"/>
      <c r="GO145" s="49"/>
      <c r="GP145" s="49"/>
      <c r="GQ145" s="49"/>
      <c r="GR145" s="49"/>
      <c r="GS145" s="49"/>
      <c r="GT145" s="49"/>
      <c r="GU145" s="49"/>
      <c r="GV145" s="49"/>
      <c r="GW145" s="49"/>
      <c r="GX145" s="49"/>
      <c r="GY145" s="49"/>
      <c r="GZ145" s="49"/>
      <c r="HA145" s="49"/>
      <c r="HB145" s="49"/>
      <c r="HC145" s="49"/>
      <c r="HD145" s="49"/>
      <c r="HE145" s="49"/>
      <c r="HF145" s="49"/>
      <c r="HG145" s="49"/>
      <c r="HH145" s="49"/>
      <c r="HI145" s="49"/>
      <c r="HJ145" s="49"/>
      <c r="HK145" s="49"/>
      <c r="HL145" s="49"/>
      <c r="HM145" s="49"/>
      <c r="HN145" s="49"/>
    </row>
    <row r="146" spans="1:222" ht="3.75" customHeight="1">
      <c r="A146" s="1"/>
      <c r="B146" s="3"/>
      <c r="C146" s="3"/>
      <c r="D146" s="38"/>
      <c r="E146" s="126"/>
      <c r="F146" s="126"/>
      <c r="G146" s="43"/>
      <c r="H146" s="43"/>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43"/>
      <c r="AN146" s="43"/>
      <c r="AO146" s="43"/>
      <c r="AP146" s="43"/>
      <c r="AQ146" s="43"/>
      <c r="AR146" s="43"/>
      <c r="AS146" s="43"/>
      <c r="AT146" s="538" t="str">
        <f ca="1">IF(FO98=0,"",".")</f>
        <v/>
      </c>
      <c r="AU146" s="538"/>
      <c r="AV146" s="538"/>
      <c r="AW146" s="538"/>
      <c r="AX146" s="538"/>
      <c r="AY146" s="538"/>
      <c r="AZ146" s="538"/>
      <c r="BA146" s="538"/>
      <c r="BB146" s="538"/>
      <c r="BC146" s="538"/>
      <c r="BD146" s="538"/>
      <c r="BE146" s="538"/>
      <c r="BF146" s="538"/>
      <c r="BG146" s="538"/>
      <c r="BH146" s="538"/>
      <c r="BI146" s="538"/>
      <c r="BJ146" s="538"/>
      <c r="BK146" s="538"/>
      <c r="BL146" s="538"/>
      <c r="BM146" s="538"/>
      <c r="BN146" s="538"/>
      <c r="BO146" s="538"/>
      <c r="BP146" s="538"/>
      <c r="BQ146" s="538"/>
      <c r="BR146" s="538"/>
      <c r="BS146" s="538"/>
      <c r="BT146" s="538"/>
      <c r="BU146" s="538"/>
      <c r="BV146" s="538"/>
      <c r="BW146" s="538"/>
      <c r="BX146" s="538"/>
      <c r="BY146" s="538"/>
      <c r="BZ146" s="538"/>
      <c r="CA146" s="538"/>
      <c r="CB146" s="538"/>
      <c r="CC146" s="538"/>
      <c r="CD146" s="538"/>
      <c r="CE146" s="538"/>
      <c r="CF146" s="538"/>
      <c r="CG146" s="538"/>
      <c r="CH146" s="538"/>
      <c r="CI146" s="538"/>
      <c r="CJ146" s="538"/>
      <c r="CK146" s="538"/>
      <c r="CL146" s="538"/>
      <c r="CM146" s="538"/>
      <c r="CN146" s="538"/>
      <c r="CO146" s="538"/>
      <c r="CP146" s="538"/>
      <c r="CQ146" s="538"/>
      <c r="CR146" s="538"/>
      <c r="CS146" s="538"/>
      <c r="CT146" s="538"/>
      <c r="CU146" s="538"/>
      <c r="CV146" s="538"/>
      <c r="CW146" s="538"/>
      <c r="CX146" s="538"/>
      <c r="CY146" s="538"/>
      <c r="CZ146" s="538"/>
      <c r="DA146" s="538"/>
      <c r="DB146" s="538"/>
      <c r="DC146" s="538"/>
      <c r="DD146" s="538"/>
      <c r="DE146" s="538"/>
      <c r="DF146" s="538"/>
      <c r="DG146" s="43"/>
      <c r="DH146" s="43"/>
      <c r="DI146" s="43"/>
      <c r="DJ146" s="43"/>
      <c r="DK146" s="43"/>
      <c r="DL146" s="43"/>
      <c r="DM146" s="43"/>
      <c r="DN146" s="43"/>
      <c r="DO146" s="43"/>
      <c r="DP146" s="43"/>
      <c r="DQ146" s="79"/>
      <c r="DR146" s="79"/>
      <c r="DS146" s="79"/>
      <c r="DT146" s="79"/>
      <c r="DU146" s="79"/>
      <c r="DV146" s="79"/>
      <c r="DW146" s="79"/>
      <c r="DX146" s="79"/>
      <c r="DY146" s="79"/>
      <c r="DZ146" s="79"/>
      <c r="EA146" s="79"/>
      <c r="EB146" s="79"/>
      <c r="EC146" s="79"/>
      <c r="ED146" s="79"/>
      <c r="EE146" s="79"/>
      <c r="EF146" s="79"/>
      <c r="EG146" s="79"/>
      <c r="EH146" s="79"/>
      <c r="EI146" s="79"/>
      <c r="EJ146" s="79"/>
      <c r="EK146" s="79"/>
      <c r="EL146" s="79"/>
      <c r="EM146" s="79"/>
      <c r="EN146" s="79"/>
      <c r="EO146" s="79"/>
      <c r="EP146" s="79"/>
      <c r="EQ146" s="79"/>
      <c r="ER146" s="79"/>
      <c r="ES146" s="79"/>
      <c r="ET146" s="79"/>
      <c r="EU146" s="79"/>
      <c r="EV146" s="79"/>
      <c r="EW146" s="79"/>
      <c r="EX146" s="79"/>
      <c r="EY146" s="79"/>
      <c r="EZ146" s="79"/>
      <c r="FA146" s="79"/>
      <c r="FB146" s="79"/>
      <c r="FC146" s="79"/>
      <c r="FD146" s="79"/>
      <c r="FE146" s="79"/>
      <c r="FF146" s="79"/>
      <c r="FG146" s="79"/>
      <c r="FH146" s="79"/>
      <c r="FI146" s="79"/>
      <c r="FJ146" s="79"/>
      <c r="FK146" s="79"/>
      <c r="FL146" s="79"/>
      <c r="FM146" s="116"/>
      <c r="FN146" s="116"/>
      <c r="FO146" s="47"/>
      <c r="FP146" s="47"/>
      <c r="FQ146" s="47"/>
      <c r="FR146" s="47"/>
      <c r="FS146" s="47"/>
      <c r="FT146" s="47"/>
      <c r="FU146" s="47"/>
      <c r="FV146" s="47"/>
      <c r="FW146" s="47"/>
      <c r="FX146" s="47"/>
      <c r="FY146" s="32"/>
      <c r="FZ146" s="32"/>
      <c r="GA146" s="32"/>
      <c r="GB146" s="32"/>
      <c r="GC146" s="32"/>
      <c r="GD146" s="32"/>
      <c r="GE146" s="32"/>
      <c r="GF146" s="32"/>
      <c r="GG146" s="32"/>
      <c r="GH146" s="32"/>
      <c r="GI146" s="32"/>
      <c r="GJ146" s="32"/>
      <c r="GK146" s="32"/>
      <c r="GL146" s="32"/>
      <c r="GM146" s="49"/>
      <c r="GN146" s="49"/>
      <c r="GO146" s="49"/>
      <c r="GP146" s="49"/>
      <c r="GQ146" s="49"/>
      <c r="GR146" s="49"/>
      <c r="GS146" s="49"/>
      <c r="GT146" s="49"/>
      <c r="GU146" s="49"/>
      <c r="GV146" s="49"/>
      <c r="GW146" s="49"/>
      <c r="GX146" s="49"/>
      <c r="GY146" s="49"/>
      <c r="GZ146" s="49"/>
      <c r="HA146" s="49"/>
      <c r="HB146" s="49"/>
      <c r="HC146" s="49"/>
      <c r="HD146" s="49"/>
      <c r="HE146" s="49"/>
      <c r="HF146" s="49"/>
      <c r="HG146" s="49"/>
      <c r="HH146" s="49"/>
      <c r="HI146" s="49"/>
      <c r="HJ146" s="49"/>
      <c r="HK146" s="49"/>
      <c r="HL146" s="49"/>
      <c r="HM146" s="49"/>
      <c r="HN146" s="49"/>
    </row>
    <row r="147" spans="1:222" ht="11.25" customHeight="1">
      <c r="A147" s="1"/>
      <c r="B147" s="3"/>
      <c r="C147" s="3"/>
      <c r="D147" s="38"/>
      <c r="E147" s="126"/>
      <c r="F147" s="126"/>
      <c r="G147" s="43"/>
      <c r="H147" s="43"/>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c r="AJ147" s="79"/>
      <c r="AK147" s="79"/>
      <c r="AL147" s="79"/>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79"/>
      <c r="DR147" s="79"/>
      <c r="DS147" s="79"/>
      <c r="DT147" s="79"/>
      <c r="DU147" s="79"/>
      <c r="DV147" s="79"/>
      <c r="DW147" s="79"/>
      <c r="DX147" s="79"/>
      <c r="DY147" s="79"/>
      <c r="DZ147" s="79"/>
      <c r="EA147" s="79"/>
      <c r="EB147" s="79"/>
      <c r="EC147" s="79"/>
      <c r="ED147" s="79"/>
      <c r="EE147" s="79"/>
      <c r="EF147" s="79"/>
      <c r="EG147" s="79"/>
      <c r="EH147" s="79"/>
      <c r="EI147" s="79"/>
      <c r="EJ147" s="79"/>
      <c r="EK147" s="79"/>
      <c r="EL147" s="79"/>
      <c r="EM147" s="79"/>
      <c r="EN147" s="79"/>
      <c r="EO147" s="79"/>
      <c r="EP147" s="79"/>
      <c r="EQ147" s="79"/>
      <c r="ER147" s="79"/>
      <c r="ES147" s="79"/>
      <c r="ET147" s="79"/>
      <c r="EU147" s="79"/>
      <c r="EV147" s="79"/>
      <c r="EW147" s="79"/>
      <c r="EX147" s="79"/>
      <c r="EY147" s="79"/>
      <c r="EZ147" s="79"/>
      <c r="FA147" s="79"/>
      <c r="FB147" s="79"/>
      <c r="FC147" s="79"/>
      <c r="FD147" s="79"/>
      <c r="FE147" s="79"/>
      <c r="FF147" s="79"/>
      <c r="FG147" s="79"/>
      <c r="FH147" s="79"/>
      <c r="FI147" s="79"/>
      <c r="FJ147" s="79"/>
      <c r="FK147" s="79"/>
      <c r="FL147" s="79"/>
      <c r="FM147" s="116"/>
      <c r="FN147" s="116"/>
      <c r="FO147" s="47"/>
      <c r="FP147" s="47"/>
      <c r="FQ147" s="47"/>
      <c r="FR147" s="127"/>
      <c r="FS147" s="127"/>
      <c r="FT147" s="127"/>
      <c r="FU147" s="127"/>
      <c r="FV147" s="127"/>
      <c r="FW147" s="127"/>
      <c r="FX147" s="47"/>
      <c r="FY147" s="32"/>
      <c r="FZ147" s="32"/>
      <c r="GA147" s="32"/>
      <c r="GB147" s="32"/>
      <c r="GC147" s="32"/>
      <c r="GD147" s="32"/>
      <c r="GE147" s="32"/>
      <c r="GF147" s="32"/>
      <c r="GG147" s="32"/>
      <c r="GH147" s="32"/>
      <c r="GI147" s="32"/>
      <c r="GJ147" s="32"/>
      <c r="GK147" s="32"/>
      <c r="GL147" s="32"/>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row>
    <row r="148" spans="1:222" ht="16.5" customHeight="1">
      <c r="A148" s="1"/>
      <c r="B148" s="3"/>
      <c r="C148" s="3"/>
      <c r="D148" s="38" t="str">
        <f ca="1">IF(FO145=0,"",IF(FO98=2,"Hoe luidt de functie van de MK?",IF(FO98=1,"De functie van de MK valt samen met die van de GVK en luidt dus:","")))</f>
        <v/>
      </c>
      <c r="E148" s="126"/>
      <c r="F148" s="126"/>
      <c r="G148" s="43"/>
      <c r="H148" s="43"/>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c r="EZ148" s="79"/>
      <c r="FA148" s="79"/>
      <c r="FB148" s="79"/>
      <c r="FC148" s="79"/>
      <c r="FD148" s="79"/>
      <c r="FE148" s="79"/>
      <c r="FF148" s="79"/>
      <c r="FG148" s="79"/>
      <c r="FH148" s="79"/>
      <c r="FI148" s="79"/>
      <c r="FJ148" s="79"/>
      <c r="FK148" s="79"/>
      <c r="FL148" s="79"/>
      <c r="FM148" s="116"/>
      <c r="FN148" s="116"/>
      <c r="FO148" s="47"/>
      <c r="FP148" s="47"/>
      <c r="FQ148" s="130"/>
      <c r="FR148" s="127"/>
      <c r="FS148" s="127"/>
      <c r="FT148" s="127"/>
      <c r="FU148" s="127"/>
      <c r="FV148" s="127"/>
      <c r="FW148" s="127"/>
      <c r="FX148" s="47"/>
      <c r="FY148" s="32"/>
      <c r="FZ148" s="32"/>
      <c r="GA148" s="32"/>
      <c r="GB148" s="32"/>
      <c r="GC148" s="32"/>
      <c r="GD148" s="32"/>
      <c r="GE148" s="32"/>
      <c r="GF148" s="32"/>
      <c r="GG148" s="32"/>
      <c r="GH148" s="32"/>
      <c r="GI148" s="32"/>
      <c r="GJ148" s="32"/>
      <c r="GK148" s="32"/>
      <c r="GL148" s="32"/>
      <c r="GM148" s="49"/>
      <c r="GN148" s="49"/>
      <c r="GO148" s="49"/>
      <c r="GP148" s="49"/>
      <c r="GQ148" s="49"/>
      <c r="GR148" s="49"/>
      <c r="GS148" s="49"/>
      <c r="GT148" s="49"/>
      <c r="GU148" s="49"/>
      <c r="GV148" s="49"/>
      <c r="GW148" s="49"/>
      <c r="GX148" s="49"/>
      <c r="GY148" s="49"/>
      <c r="GZ148" s="49"/>
      <c r="HA148" s="49"/>
      <c r="HB148" s="49"/>
      <c r="HC148" s="49"/>
      <c r="HD148" s="49"/>
      <c r="HE148" s="49"/>
      <c r="HF148" s="49"/>
      <c r="HG148" s="49"/>
      <c r="HH148" s="49"/>
      <c r="HI148" s="49"/>
      <c r="HJ148" s="49"/>
      <c r="HK148" s="49"/>
      <c r="HL148" s="49"/>
      <c r="HM148" s="49"/>
      <c r="HN148" s="49"/>
    </row>
    <row r="149" spans="1:222" ht="11.25" customHeight="1">
      <c r="A149" s="1"/>
      <c r="B149" s="3"/>
      <c r="C149" s="3"/>
      <c r="D149" s="38"/>
      <c r="E149" s="126"/>
      <c r="F149" s="126"/>
      <c r="G149" s="43"/>
      <c r="H149" s="43"/>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c r="AJ149" s="79"/>
      <c r="AK149" s="79"/>
      <c r="AL149" s="79"/>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79"/>
      <c r="DR149" s="79"/>
      <c r="DS149" s="79"/>
      <c r="DT149" s="79"/>
      <c r="DU149" s="79"/>
      <c r="DV149" s="79"/>
      <c r="DW149" s="79"/>
      <c r="DX149" s="79"/>
      <c r="DY149" s="79"/>
      <c r="DZ149" s="79"/>
      <c r="EA149" s="79"/>
      <c r="EB149" s="79"/>
      <c r="EC149" s="79"/>
      <c r="ED149" s="79"/>
      <c r="EE149" s="79"/>
      <c r="EF149" s="79"/>
      <c r="EG149" s="79"/>
      <c r="EH149" s="79"/>
      <c r="EI149" s="79"/>
      <c r="EJ149" s="79"/>
      <c r="EK149" s="79"/>
      <c r="EL149" s="79"/>
      <c r="EM149" s="79"/>
      <c r="EN149" s="79"/>
      <c r="EO149" s="79"/>
      <c r="EP149" s="79"/>
      <c r="EQ149" s="79"/>
      <c r="ER149" s="79"/>
      <c r="ES149" s="79"/>
      <c r="ET149" s="79"/>
      <c r="EU149" s="79"/>
      <c r="EV149" s="79"/>
      <c r="EW149" s="79"/>
      <c r="EX149" s="79"/>
      <c r="EY149" s="79"/>
      <c r="EZ149" s="79"/>
      <c r="FA149" s="79"/>
      <c r="FB149" s="79"/>
      <c r="FC149" s="79"/>
      <c r="FD149" s="79"/>
      <c r="FE149" s="79"/>
      <c r="FF149" s="79"/>
      <c r="FG149" s="79"/>
      <c r="FH149" s="79"/>
      <c r="FI149" s="79"/>
      <c r="FJ149" s="79"/>
      <c r="FK149" s="79"/>
      <c r="FL149" s="79"/>
      <c r="FM149" s="116"/>
      <c r="FN149" s="116"/>
      <c r="FO149" s="47"/>
      <c r="FP149" s="47"/>
      <c r="FQ149" s="79"/>
      <c r="FR149" s="127"/>
      <c r="FS149" s="127"/>
      <c r="FT149" s="127"/>
      <c r="FU149" s="127"/>
      <c r="FV149" s="127"/>
      <c r="FW149" s="127"/>
      <c r="FX149" s="47"/>
      <c r="FY149" s="32"/>
      <c r="FZ149" s="32"/>
      <c r="GA149" s="32"/>
      <c r="GB149" s="32"/>
      <c r="GC149" s="32"/>
      <c r="GD149" s="32"/>
      <c r="GE149" s="32"/>
      <c r="GF149" s="32"/>
      <c r="GG149" s="32"/>
      <c r="GH149" s="32"/>
      <c r="GI149" s="32"/>
      <c r="GJ149" s="32"/>
      <c r="GK149" s="32"/>
      <c r="GL149" s="32"/>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c r="HN149" s="49"/>
    </row>
    <row r="150" spans="1:222" ht="16.5" customHeight="1">
      <c r="A150" s="1"/>
      <c r="B150" s="3"/>
      <c r="C150" s="3"/>
      <c r="D150" s="38"/>
      <c r="E150" s="126"/>
      <c r="F150" s="126"/>
      <c r="G150" s="43"/>
      <c r="H150" s="43"/>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163" t="str">
        <f ca="1">IF(FO145=0,"","MK (= GVK) = "&amp;FV67&amp;"")</f>
        <v/>
      </c>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79"/>
      <c r="DR150" s="79"/>
      <c r="DS150" s="79"/>
      <c r="DT150" s="79"/>
      <c r="DU150" s="79"/>
      <c r="DV150" s="79"/>
      <c r="DW150" s="79"/>
      <c r="DX150" s="79"/>
      <c r="DY150" s="79"/>
      <c r="DZ150" s="79"/>
      <c r="EA150" s="79"/>
      <c r="EB150" s="79"/>
      <c r="EC150" s="79"/>
      <c r="ED150" s="79"/>
      <c r="EE150" s="79"/>
      <c r="EF150" s="79"/>
      <c r="EG150" s="79"/>
      <c r="EH150" s="79"/>
      <c r="EI150" s="79"/>
      <c r="EJ150" s="79"/>
      <c r="EK150" s="79"/>
      <c r="EL150" s="79"/>
      <c r="EM150" s="79"/>
      <c r="EN150" s="79"/>
      <c r="EO150" s="79"/>
      <c r="EP150" s="79"/>
      <c r="EQ150" s="79"/>
      <c r="ER150" s="79"/>
      <c r="ES150" s="79"/>
      <c r="ET150" s="79"/>
      <c r="EU150" s="79"/>
      <c r="EV150" s="79"/>
      <c r="EW150" s="79"/>
      <c r="EX150" s="79"/>
      <c r="EY150" s="79"/>
      <c r="EZ150" s="79"/>
      <c r="FA150" s="79"/>
      <c r="FB150" s="79"/>
      <c r="FC150" s="79"/>
      <c r="FD150" s="79"/>
      <c r="FE150" s="79"/>
      <c r="FF150" s="79"/>
      <c r="FG150" s="79"/>
      <c r="FH150" s="79"/>
      <c r="FI150" s="79"/>
      <c r="FJ150" s="79"/>
      <c r="FK150" s="79"/>
      <c r="FL150" s="79"/>
      <c r="FM150" s="116"/>
      <c r="FN150" s="116"/>
      <c r="FO150" s="47"/>
      <c r="FP150" s="47"/>
      <c r="FQ150" s="79"/>
      <c r="FR150" s="127"/>
      <c r="FS150" s="127"/>
      <c r="FT150" s="127"/>
      <c r="FU150" s="127"/>
      <c r="FV150" s="127"/>
      <c r="FW150" s="127"/>
      <c r="FX150" s="47"/>
      <c r="FY150" s="32"/>
      <c r="FZ150" s="32"/>
      <c r="GA150" s="32"/>
      <c r="GB150" s="32"/>
      <c r="GC150" s="32"/>
      <c r="GD150" s="32"/>
      <c r="GE150" s="32"/>
      <c r="GF150" s="32"/>
      <c r="GG150" s="32"/>
      <c r="GH150" s="32"/>
      <c r="GI150" s="32"/>
      <c r="GJ150" s="32"/>
      <c r="GK150" s="32"/>
      <c r="GL150" s="32"/>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row>
    <row r="151" spans="1:222" ht="8.25" customHeight="1">
      <c r="A151" s="1"/>
      <c r="B151" s="3"/>
      <c r="C151" s="3"/>
      <c r="D151" s="38"/>
      <c r="E151" s="126"/>
      <c r="F151" s="126"/>
      <c r="G151" s="43"/>
      <c r="H151" s="43"/>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79"/>
      <c r="DR151" s="79"/>
      <c r="DS151" s="79"/>
      <c r="DT151" s="79"/>
      <c r="DU151" s="79"/>
      <c r="DV151" s="79"/>
      <c r="DW151" s="79"/>
      <c r="DX151" s="79"/>
      <c r="DY151" s="79"/>
      <c r="DZ151" s="79"/>
      <c r="EA151" s="79"/>
      <c r="EB151" s="79"/>
      <c r="EC151" s="79"/>
      <c r="ED151" s="79"/>
      <c r="EE151" s="79"/>
      <c r="EF151" s="79"/>
      <c r="EG151" s="79"/>
      <c r="EH151" s="79"/>
      <c r="EI151" s="79"/>
      <c r="EJ151" s="79"/>
      <c r="EK151" s="79"/>
      <c r="EL151" s="79"/>
      <c r="EM151" s="79"/>
      <c r="EN151" s="79"/>
      <c r="EO151" s="79"/>
      <c r="EP151" s="79"/>
      <c r="EQ151" s="79"/>
      <c r="ER151" s="79"/>
      <c r="ES151" s="79"/>
      <c r="ET151" s="79"/>
      <c r="EU151" s="79"/>
      <c r="EV151" s="79"/>
      <c r="EW151" s="79"/>
      <c r="EX151" s="79"/>
      <c r="EY151" s="79"/>
      <c r="EZ151" s="79"/>
      <c r="FA151" s="79"/>
      <c r="FB151" s="79"/>
      <c r="FC151" s="79"/>
      <c r="FD151" s="79"/>
      <c r="FE151" s="79"/>
      <c r="FF151" s="79"/>
      <c r="FG151" s="79"/>
      <c r="FH151" s="79"/>
      <c r="FI151" s="79"/>
      <c r="FJ151" s="79"/>
      <c r="FK151" s="79"/>
      <c r="FL151" s="79"/>
      <c r="FM151" s="116"/>
      <c r="FN151" s="116"/>
      <c r="FO151" s="47"/>
      <c r="FP151" s="47"/>
      <c r="FQ151" s="79"/>
      <c r="FR151" s="127"/>
      <c r="FS151" s="127"/>
      <c r="FT151" s="127"/>
      <c r="FU151" s="127"/>
      <c r="FV151" s="127"/>
      <c r="FW151" s="127"/>
      <c r="FX151" s="47"/>
      <c r="FY151" s="32"/>
      <c r="FZ151" s="32"/>
      <c r="GA151" s="32"/>
      <c r="GB151" s="32"/>
      <c r="GC151" s="32"/>
      <c r="GD151" s="32"/>
      <c r="GE151" s="32"/>
      <c r="GF151" s="32"/>
      <c r="GG151" s="32"/>
      <c r="GH151" s="32"/>
      <c r="GI151" s="32"/>
      <c r="GJ151" s="32"/>
      <c r="GK151" s="32"/>
      <c r="GL151" s="32"/>
      <c r="GM151" s="49"/>
      <c r="GN151" s="49"/>
      <c r="GO151" s="49"/>
      <c r="GP151" s="49"/>
      <c r="GQ151" s="49"/>
      <c r="GR151" s="49"/>
      <c r="GS151" s="49"/>
      <c r="GT151" s="49"/>
      <c r="GU151" s="49"/>
      <c r="GV151" s="49"/>
      <c r="GW151" s="49"/>
      <c r="GX151" s="49"/>
      <c r="GY151" s="49"/>
      <c r="GZ151" s="49"/>
      <c r="HA151" s="49"/>
      <c r="HB151" s="49"/>
      <c r="HC151" s="49"/>
      <c r="HD151" s="49"/>
      <c r="HE151" s="49"/>
      <c r="HF151" s="49"/>
      <c r="HG151" s="49"/>
      <c r="HH151" s="49"/>
      <c r="HI151" s="49"/>
      <c r="HJ151" s="49"/>
      <c r="HK151" s="49"/>
      <c r="HL151" s="49"/>
      <c r="HM151" s="49"/>
      <c r="HN151" s="49"/>
    </row>
    <row r="152" spans="1:222" ht="16.95" customHeight="1">
      <c r="A152" s="1"/>
      <c r="B152" s="3"/>
      <c r="C152" s="3"/>
      <c r="D152" s="373" t="str">
        <f ca="1">IF(FO145=0,"","Je hebt nu voldoende gegevens om de hoeveelheid waarbij maximale winst")</f>
        <v/>
      </c>
      <c r="E152" s="10"/>
      <c r="F152" s="10"/>
      <c r="G152" s="10"/>
      <c r="H152" s="10"/>
      <c r="I152" s="10"/>
      <c r="J152" s="10"/>
      <c r="K152" s="10"/>
      <c r="L152" s="10"/>
      <c r="M152" s="10"/>
      <c r="N152" s="79"/>
      <c r="O152" s="79"/>
      <c r="P152" s="79"/>
      <c r="Q152" s="79"/>
      <c r="R152" s="79"/>
      <c r="S152" s="7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c r="BM152" s="79"/>
      <c r="BN152" s="79"/>
      <c r="BO152" s="79"/>
      <c r="BP152" s="79"/>
      <c r="BQ152" s="79"/>
      <c r="BR152" s="79"/>
      <c r="BS152" s="79"/>
      <c r="BT152" s="79"/>
      <c r="BU152" s="79"/>
      <c r="BV152" s="79"/>
      <c r="BW152" s="79"/>
      <c r="BX152" s="79"/>
      <c r="BY152" s="79"/>
      <c r="BZ152" s="79"/>
      <c r="CA152" s="79"/>
      <c r="CB152" s="79"/>
      <c r="CC152" s="79"/>
      <c r="CD152" s="79"/>
      <c r="CE152" s="79"/>
      <c r="CF152" s="79"/>
      <c r="CG152" s="79"/>
      <c r="CH152" s="79"/>
      <c r="CI152" s="79"/>
      <c r="CJ152" s="79"/>
      <c r="CK152" s="79"/>
      <c r="CL152" s="79"/>
      <c r="CM152" s="79"/>
      <c r="CN152" s="79"/>
      <c r="CO152" s="79"/>
      <c r="CP152" s="79"/>
      <c r="CQ152" s="79"/>
      <c r="CR152" s="79"/>
      <c r="CS152" s="79"/>
      <c r="CT152" s="79"/>
      <c r="CU152" s="79"/>
      <c r="CV152" s="79"/>
      <c r="CW152" s="79"/>
      <c r="CX152" s="79"/>
      <c r="CY152" s="79"/>
      <c r="CZ152" s="79"/>
      <c r="DA152" s="79"/>
      <c r="DB152" s="79"/>
      <c r="DC152" s="79"/>
      <c r="DD152" s="79"/>
      <c r="DE152" s="79"/>
      <c r="DF152" s="79"/>
      <c r="DG152" s="79"/>
      <c r="DH152" s="79"/>
      <c r="DI152" s="79"/>
      <c r="DJ152" s="79"/>
      <c r="DK152" s="79"/>
      <c r="DL152" s="79"/>
      <c r="DM152" s="79"/>
      <c r="DN152" s="79"/>
      <c r="DO152" s="79"/>
      <c r="DP152" s="79"/>
      <c r="DQ152" s="79"/>
      <c r="DR152" s="79"/>
      <c r="DS152" s="79"/>
      <c r="DT152" s="79"/>
      <c r="DU152" s="79"/>
      <c r="DV152" s="79"/>
      <c r="DW152" s="79"/>
      <c r="DX152" s="79"/>
      <c r="DY152" s="79"/>
      <c r="DZ152" s="79"/>
      <c r="EA152" s="79"/>
      <c r="EB152" s="79"/>
      <c r="EC152" s="79"/>
      <c r="ED152" s="79"/>
      <c r="EE152" s="79"/>
      <c r="EF152" s="79"/>
      <c r="EG152" s="79"/>
      <c r="EH152" s="79"/>
      <c r="EI152" s="79"/>
      <c r="EJ152" s="79"/>
      <c r="EK152" s="79"/>
      <c r="EL152" s="79"/>
      <c r="EM152" s="79"/>
      <c r="EN152" s="79"/>
      <c r="EO152" s="79"/>
      <c r="EP152" s="79"/>
      <c r="EQ152" s="79"/>
      <c r="ER152" s="79"/>
      <c r="ES152" s="79"/>
      <c r="ET152" s="79"/>
      <c r="EU152" s="79"/>
      <c r="EV152" s="79"/>
      <c r="EW152" s="79"/>
      <c r="EX152" s="79"/>
      <c r="EY152" s="79"/>
      <c r="EZ152" s="79"/>
      <c r="FA152" s="79"/>
      <c r="FB152" s="79"/>
      <c r="FC152" s="79"/>
      <c r="FD152" s="79"/>
      <c r="FE152" s="79"/>
      <c r="FF152" s="79"/>
      <c r="FG152" s="79"/>
      <c r="FH152" s="79"/>
      <c r="FI152" s="79"/>
      <c r="FJ152" s="79"/>
      <c r="FK152" s="79"/>
      <c r="FL152" s="79"/>
      <c r="FM152" s="47"/>
      <c r="FN152" s="47"/>
      <c r="FO152" s="47"/>
      <c r="FP152" s="47"/>
      <c r="FQ152" s="47"/>
      <c r="FR152" s="47"/>
      <c r="FS152" s="47"/>
      <c r="FT152" s="47"/>
      <c r="FU152" s="47"/>
      <c r="FV152" s="47"/>
      <c r="FW152" s="47"/>
      <c r="FX152" s="47"/>
      <c r="FY152" s="32"/>
      <c r="FZ152" s="32"/>
      <c r="GA152" s="32"/>
      <c r="GB152" s="32"/>
      <c r="GC152" s="32"/>
      <c r="GD152" s="32"/>
      <c r="GE152" s="32"/>
      <c r="GF152" s="32"/>
      <c r="GG152" s="32"/>
      <c r="GH152" s="32"/>
      <c r="GI152" s="32"/>
      <c r="GJ152" s="32"/>
      <c r="GK152" s="32"/>
      <c r="GL152" s="32"/>
      <c r="GM152" s="49"/>
      <c r="GN152" s="49"/>
      <c r="GO152" s="49"/>
      <c r="GP152" s="49"/>
      <c r="GQ152" s="49"/>
      <c r="GR152" s="49"/>
      <c r="GS152" s="49"/>
      <c r="GT152" s="49"/>
      <c r="GU152" s="49"/>
      <c r="GV152" s="49"/>
      <c r="GW152" s="49"/>
      <c r="GX152" s="49"/>
      <c r="GY152" s="49"/>
      <c r="GZ152" s="49"/>
      <c r="HA152" s="49"/>
      <c r="HB152" s="49"/>
      <c r="HC152" s="49"/>
      <c r="HD152" s="49"/>
      <c r="HE152" s="49"/>
      <c r="HF152" s="49"/>
      <c r="HG152" s="49"/>
      <c r="HH152" s="49"/>
      <c r="HI152" s="49"/>
      <c r="HJ152" s="49"/>
      <c r="HK152" s="49"/>
      <c r="HL152" s="49"/>
      <c r="HM152" s="49"/>
      <c r="HN152" s="49"/>
    </row>
    <row r="153" spans="1:222" ht="16.95" customHeight="1">
      <c r="A153" s="1"/>
      <c r="B153" s="3"/>
      <c r="C153" s="3"/>
      <c r="D153" s="373" t="str">
        <f ca="1">IF(FO145=0,"","wordt gemaakt uit te rekenen. De techniek van het berekenen van het snijpunt")</f>
        <v/>
      </c>
      <c r="E153" s="10"/>
      <c r="F153" s="10"/>
      <c r="G153" s="10"/>
      <c r="H153" s="10"/>
      <c r="I153" s="10"/>
      <c r="J153" s="10"/>
      <c r="K153" s="10"/>
      <c r="L153" s="10"/>
      <c r="M153" s="10"/>
      <c r="N153" s="79"/>
      <c r="O153" s="79"/>
      <c r="P153" s="79"/>
      <c r="Q153" s="7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79"/>
      <c r="EK153" s="79"/>
      <c r="EL153" s="79"/>
      <c r="EM153" s="79"/>
      <c r="EN153" s="79"/>
      <c r="EO153" s="79"/>
      <c r="EP153" s="79"/>
      <c r="EQ153" s="79"/>
      <c r="ER153" s="79"/>
      <c r="ES153" s="79"/>
      <c r="ET153" s="79"/>
      <c r="EU153" s="79"/>
      <c r="EV153" s="79"/>
      <c r="EW153" s="79"/>
      <c r="EX153" s="79"/>
      <c r="EY153" s="79"/>
      <c r="EZ153" s="79"/>
      <c r="FA153" s="79"/>
      <c r="FB153" s="79"/>
      <c r="FC153" s="79"/>
      <c r="FD153" s="79"/>
      <c r="FE153" s="79"/>
      <c r="FF153" s="79"/>
      <c r="FG153" s="79"/>
      <c r="FH153" s="79"/>
      <c r="FI153" s="79"/>
      <c r="FJ153" s="79"/>
      <c r="FK153" s="79"/>
      <c r="FL153" s="79"/>
      <c r="FM153" s="47"/>
      <c r="FN153" s="47"/>
      <c r="FO153" s="47"/>
      <c r="FP153" s="47"/>
      <c r="FQ153" s="47"/>
      <c r="FR153" s="47"/>
      <c r="FS153" s="47"/>
      <c r="FT153" s="47"/>
      <c r="FU153" s="47"/>
      <c r="FV153" s="47"/>
      <c r="FW153" s="47"/>
      <c r="FX153" s="47"/>
      <c r="FY153" s="32"/>
      <c r="FZ153" s="32"/>
      <c r="GA153" s="32"/>
      <c r="GB153" s="32"/>
      <c r="GC153" s="32"/>
      <c r="GD153" s="32"/>
      <c r="GE153" s="32"/>
      <c r="GF153" s="32"/>
      <c r="GG153" s="32"/>
      <c r="GH153" s="32"/>
      <c r="GI153" s="32"/>
      <c r="GJ153" s="32"/>
      <c r="GK153" s="32"/>
      <c r="GL153" s="32"/>
      <c r="GM153" s="49"/>
      <c r="GN153" s="49"/>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c r="HN153" s="49"/>
    </row>
    <row r="154" spans="1:222" ht="16.95" customHeight="1">
      <c r="A154" s="1"/>
      <c r="B154" s="3"/>
      <c r="C154" s="3"/>
      <c r="D154" s="373" t="str">
        <f ca="1">IF(FO145=0,"","van twee functies moet je al onder de knie hebben. Het verschilt niet van het")</f>
        <v/>
      </c>
      <c r="E154" s="10"/>
      <c r="F154" s="10"/>
      <c r="G154" s="10"/>
      <c r="H154" s="10"/>
      <c r="I154" s="10"/>
      <c r="J154" s="10"/>
      <c r="K154" s="10"/>
      <c r="L154" s="10"/>
      <c r="M154" s="10"/>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c r="CJ154" s="79"/>
      <c r="CK154" s="79"/>
      <c r="CL154" s="79"/>
      <c r="CM154" s="79"/>
      <c r="CN154" s="79"/>
      <c r="CO154" s="79"/>
      <c r="CP154" s="79"/>
      <c r="CQ154" s="79"/>
      <c r="CR154" s="79"/>
      <c r="CS154" s="79"/>
      <c r="CT154" s="79"/>
      <c r="CU154" s="79"/>
      <c r="CV154" s="79"/>
      <c r="CW154" s="79"/>
      <c r="CX154" s="79"/>
      <c r="CY154" s="79"/>
      <c r="CZ154" s="79"/>
      <c r="DA154" s="79"/>
      <c r="DB154" s="79"/>
      <c r="DC154" s="79"/>
      <c r="DD154" s="79"/>
      <c r="DE154" s="79"/>
      <c r="DF154" s="79"/>
      <c r="DG154" s="79"/>
      <c r="DH154" s="79"/>
      <c r="DI154" s="79"/>
      <c r="DJ154" s="79"/>
      <c r="DK154" s="79"/>
      <c r="DL154" s="79"/>
      <c r="DM154" s="79"/>
      <c r="DN154" s="79"/>
      <c r="DO154" s="79"/>
      <c r="DP154" s="79"/>
      <c r="DQ154" s="79"/>
      <c r="DR154" s="79"/>
      <c r="DS154" s="79"/>
      <c r="DT154" s="79"/>
      <c r="DU154" s="79"/>
      <c r="DV154" s="79"/>
      <c r="DW154" s="79"/>
      <c r="DX154" s="79"/>
      <c r="DY154" s="79"/>
      <c r="DZ154" s="79"/>
      <c r="EA154" s="79"/>
      <c r="EB154" s="79"/>
      <c r="EC154" s="79"/>
      <c r="ED154" s="79"/>
      <c r="EE154" s="79"/>
      <c r="EF154" s="79"/>
      <c r="EG154" s="79"/>
      <c r="EH154" s="79"/>
      <c r="EI154" s="79"/>
      <c r="EJ154" s="79"/>
      <c r="EK154" s="79"/>
      <c r="EL154" s="79"/>
      <c r="EM154" s="79"/>
      <c r="EN154" s="79"/>
      <c r="EO154" s="79"/>
      <c r="EP154" s="79"/>
      <c r="EQ154" s="79"/>
      <c r="ER154" s="79"/>
      <c r="ES154" s="79"/>
      <c r="ET154" s="79"/>
      <c r="EU154" s="79"/>
      <c r="EV154" s="79"/>
      <c r="EW154" s="79"/>
      <c r="EX154" s="79"/>
      <c r="EY154" s="79"/>
      <c r="EZ154" s="79"/>
      <c r="FA154" s="79"/>
      <c r="FB154" s="79"/>
      <c r="FC154" s="79"/>
      <c r="FD154" s="79"/>
      <c r="FE154" s="79"/>
      <c r="FF154" s="79"/>
      <c r="FG154" s="79"/>
      <c r="FH154" s="79"/>
      <c r="FI154" s="79"/>
      <c r="FJ154" s="79"/>
      <c r="FK154" s="79"/>
      <c r="FL154" s="79"/>
      <c r="FM154" s="47"/>
      <c r="FN154" s="47"/>
      <c r="FO154" s="47"/>
      <c r="FP154" s="47"/>
      <c r="FQ154" s="47"/>
      <c r="FR154" s="47"/>
      <c r="FS154" s="47"/>
      <c r="FT154" s="47"/>
      <c r="FU154" s="47"/>
      <c r="FV154" s="47"/>
      <c r="FW154" s="47"/>
      <c r="FX154" s="47"/>
      <c r="FY154" s="32"/>
      <c r="FZ154" s="32"/>
      <c r="GA154" s="32"/>
      <c r="GB154" s="32"/>
      <c r="GC154" s="32"/>
      <c r="GD154" s="32"/>
      <c r="GE154" s="32"/>
      <c r="GF154" s="32"/>
      <c r="GG154" s="32"/>
      <c r="GH154" s="32"/>
      <c r="GI154" s="32"/>
      <c r="GJ154" s="32"/>
      <c r="GK154" s="32"/>
      <c r="GL154" s="32"/>
      <c r="GM154" s="49"/>
      <c r="GN154" s="49"/>
      <c r="GO154" s="49"/>
      <c r="GP154" s="49"/>
      <c r="GQ154" s="49"/>
      <c r="GR154" s="49"/>
      <c r="GS154" s="49"/>
      <c r="GT154" s="49"/>
      <c r="GU154" s="49"/>
      <c r="GV154" s="49"/>
      <c r="GW154" s="49"/>
      <c r="GX154" s="49"/>
      <c r="GY154" s="49"/>
      <c r="GZ154" s="49"/>
      <c r="HA154" s="49"/>
      <c r="HB154" s="49"/>
      <c r="HC154" s="49"/>
      <c r="HD154" s="49"/>
      <c r="HE154" s="49"/>
      <c r="HF154" s="49"/>
      <c r="HG154" s="49"/>
      <c r="HH154" s="49"/>
      <c r="HI154" s="49"/>
      <c r="HJ154" s="49"/>
      <c r="HK154" s="49"/>
      <c r="HL154" s="49"/>
      <c r="HM154" s="49"/>
      <c r="HN154" s="49"/>
    </row>
    <row r="155" spans="1:222" ht="16.95" customHeight="1">
      <c r="A155" s="1"/>
      <c r="B155" s="3"/>
      <c r="C155" s="3"/>
      <c r="D155" s="373" t="str">
        <f ca="1">IF(FO145=0,"","berekenen van de marktprijs bij een gegeven vraag- en aanbodfunctie.")</f>
        <v/>
      </c>
      <c r="E155" s="10"/>
      <c r="F155" s="10"/>
      <c r="G155" s="10"/>
      <c r="H155" s="10"/>
      <c r="I155" s="10"/>
      <c r="J155" s="10"/>
      <c r="K155" s="10"/>
      <c r="L155" s="10"/>
      <c r="M155" s="10"/>
      <c r="N155" s="79"/>
      <c r="O155" s="79"/>
      <c r="P155" s="79"/>
      <c r="Q155" s="7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c r="CJ155" s="79"/>
      <c r="CK155" s="79"/>
      <c r="CL155" s="79"/>
      <c r="CM155" s="79"/>
      <c r="CN155" s="79"/>
      <c r="CO155" s="79"/>
      <c r="CP155" s="79"/>
      <c r="CQ155" s="79"/>
      <c r="CR155" s="79"/>
      <c r="CS155" s="79"/>
      <c r="CT155" s="79"/>
      <c r="CU155" s="79"/>
      <c r="CV155" s="79"/>
      <c r="CW155" s="79"/>
      <c r="CX155" s="79"/>
      <c r="CY155" s="79"/>
      <c r="CZ155" s="79"/>
      <c r="DA155" s="79"/>
      <c r="DB155" s="79"/>
      <c r="DC155" s="79"/>
      <c r="DD155" s="79"/>
      <c r="DE155" s="79"/>
      <c r="DF155" s="79"/>
      <c r="DG155" s="79"/>
      <c r="DH155" s="79"/>
      <c r="DI155" s="79"/>
      <c r="DJ155" s="79"/>
      <c r="DK155" s="79"/>
      <c r="DL155" s="79"/>
      <c r="DM155" s="79"/>
      <c r="DN155" s="79"/>
      <c r="DO155" s="79"/>
      <c r="DP155" s="79"/>
      <c r="DQ155" s="79"/>
      <c r="DR155" s="79"/>
      <c r="DS155" s="79"/>
      <c r="DT155" s="79"/>
      <c r="DU155" s="79"/>
      <c r="DV155" s="79"/>
      <c r="DW155" s="79"/>
      <c r="DX155" s="79"/>
      <c r="DY155" s="79"/>
      <c r="DZ155" s="79"/>
      <c r="EA155" s="79"/>
      <c r="EB155" s="79"/>
      <c r="EC155" s="79"/>
      <c r="ED155" s="79"/>
      <c r="EE155" s="79"/>
      <c r="EF155" s="79"/>
      <c r="EG155" s="79"/>
      <c r="EH155" s="79"/>
      <c r="EI155" s="79"/>
      <c r="EJ155" s="79"/>
      <c r="EK155" s="79"/>
      <c r="EL155" s="79"/>
      <c r="EM155" s="79"/>
      <c r="EN155" s="79"/>
      <c r="EO155" s="79"/>
      <c r="EP155" s="79"/>
      <c r="EQ155" s="79"/>
      <c r="ER155" s="79"/>
      <c r="ES155" s="79"/>
      <c r="ET155" s="79"/>
      <c r="EU155" s="79"/>
      <c r="EV155" s="79"/>
      <c r="EW155" s="79"/>
      <c r="EX155" s="79"/>
      <c r="EY155" s="79"/>
      <c r="EZ155" s="79"/>
      <c r="FA155" s="79"/>
      <c r="FB155" s="79"/>
      <c r="FC155" s="79"/>
      <c r="FD155" s="79"/>
      <c r="FE155" s="79"/>
      <c r="FF155" s="79"/>
      <c r="FG155" s="79"/>
      <c r="FH155" s="79"/>
      <c r="FI155" s="79"/>
      <c r="FJ155" s="79"/>
      <c r="FK155" s="79"/>
      <c r="FL155" s="79"/>
      <c r="FM155" s="47"/>
      <c r="FN155" s="47"/>
      <c r="FO155" s="47"/>
      <c r="FP155" s="47"/>
      <c r="FQ155" s="47"/>
      <c r="FR155" s="47"/>
      <c r="FS155" s="47"/>
      <c r="FT155" s="47"/>
      <c r="FU155" s="47"/>
      <c r="FV155" s="47"/>
      <c r="FW155" s="47"/>
      <c r="FX155" s="47"/>
      <c r="FY155" s="32"/>
      <c r="FZ155" s="32"/>
      <c r="GA155" s="32"/>
      <c r="GB155" s="32"/>
      <c r="GC155" s="32"/>
      <c r="GD155" s="32"/>
      <c r="GE155" s="32"/>
      <c r="GF155" s="32"/>
      <c r="GG155" s="32"/>
      <c r="GH155" s="32"/>
      <c r="GI155" s="32"/>
      <c r="GJ155" s="32"/>
      <c r="GK155" s="32"/>
      <c r="GL155" s="32"/>
      <c r="GM155" s="49"/>
      <c r="GN155" s="49"/>
      <c r="GO155" s="49"/>
      <c r="GP155" s="49"/>
      <c r="GQ155" s="49"/>
      <c r="GR155" s="49"/>
      <c r="GS155" s="49"/>
      <c r="GT155" s="49"/>
      <c r="GU155" s="49"/>
      <c r="GV155" s="49"/>
      <c r="GW155" s="49"/>
      <c r="GX155" s="49"/>
      <c r="GY155" s="49"/>
      <c r="GZ155" s="49"/>
      <c r="HA155" s="49"/>
      <c r="HB155" s="49"/>
      <c r="HC155" s="49"/>
      <c r="HD155" s="49"/>
      <c r="HE155" s="49"/>
      <c r="HF155" s="49"/>
      <c r="HG155" s="49"/>
      <c r="HH155" s="49"/>
      <c r="HI155" s="49"/>
      <c r="HJ155" s="49"/>
      <c r="HK155" s="49"/>
      <c r="HL155" s="49"/>
      <c r="HM155" s="49"/>
      <c r="HN155" s="49"/>
    </row>
    <row r="156" spans="1:222" ht="16.95" customHeight="1">
      <c r="A156" s="1"/>
      <c r="B156" s="3"/>
      <c r="C156" s="3"/>
      <c r="D156" s="373"/>
      <c r="E156" s="10"/>
      <c r="F156" s="10"/>
      <c r="G156" s="10"/>
      <c r="H156" s="10"/>
      <c r="I156" s="10"/>
      <c r="J156" s="10"/>
      <c r="K156" s="10"/>
      <c r="L156" s="10"/>
      <c r="M156" s="10"/>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79"/>
      <c r="BW156" s="79"/>
      <c r="BX156" s="79"/>
      <c r="BY156" s="79"/>
      <c r="BZ156" s="79"/>
      <c r="CA156" s="79"/>
      <c r="CB156" s="79"/>
      <c r="CC156" s="79"/>
      <c r="CD156" s="79"/>
      <c r="CE156" s="79"/>
      <c r="CF156" s="79"/>
      <c r="CG156" s="79"/>
      <c r="CH156" s="79"/>
      <c r="CI156" s="79"/>
      <c r="CJ156" s="79"/>
      <c r="CK156" s="79"/>
      <c r="CL156" s="79"/>
      <c r="CM156" s="79"/>
      <c r="CN156" s="79"/>
      <c r="CO156" s="79"/>
      <c r="CP156" s="79"/>
      <c r="CQ156" s="79"/>
      <c r="CR156" s="79"/>
      <c r="CS156" s="79"/>
      <c r="CT156" s="79"/>
      <c r="CU156" s="79"/>
      <c r="CV156" s="79"/>
      <c r="CW156" s="79"/>
      <c r="CX156" s="79"/>
      <c r="CY156" s="79"/>
      <c r="CZ156" s="79"/>
      <c r="DA156" s="79"/>
      <c r="DB156" s="79"/>
      <c r="DC156" s="79"/>
      <c r="DD156" s="79"/>
      <c r="DE156" s="79"/>
      <c r="DF156" s="79"/>
      <c r="DG156" s="79"/>
      <c r="DH156" s="79"/>
      <c r="DI156" s="79"/>
      <c r="DJ156" s="79"/>
      <c r="DK156" s="79"/>
      <c r="DL156" s="79"/>
      <c r="DM156" s="79"/>
      <c r="DN156" s="79"/>
      <c r="DO156" s="79"/>
      <c r="DP156" s="79"/>
      <c r="DQ156" s="79"/>
      <c r="DR156" s="79"/>
      <c r="DS156" s="79"/>
      <c r="DT156" s="79"/>
      <c r="DU156" s="79"/>
      <c r="DV156" s="79"/>
      <c r="DW156" s="79"/>
      <c r="DX156" s="79"/>
      <c r="DY156" s="79"/>
      <c r="DZ156" s="79"/>
      <c r="EA156" s="79"/>
      <c r="EB156" s="79"/>
      <c r="EC156" s="79"/>
      <c r="ED156" s="79"/>
      <c r="EE156" s="79"/>
      <c r="EF156" s="79"/>
      <c r="EG156" s="79"/>
      <c r="EH156" s="79"/>
      <c r="EI156" s="79"/>
      <c r="EJ156" s="79"/>
      <c r="EK156" s="79"/>
      <c r="EL156" s="79"/>
      <c r="EM156" s="79"/>
      <c r="EN156" s="79"/>
      <c r="EO156" s="79"/>
      <c r="EP156" s="79"/>
      <c r="EQ156" s="79"/>
      <c r="ER156" s="79"/>
      <c r="ES156" s="79"/>
      <c r="ET156" s="79"/>
      <c r="EU156" s="79"/>
      <c r="EV156" s="79"/>
      <c r="EW156" s="79"/>
      <c r="EX156" s="79"/>
      <c r="EY156" s="79"/>
      <c r="EZ156" s="79"/>
      <c r="FA156" s="79"/>
      <c r="FB156" s="79"/>
      <c r="FC156" s="79"/>
      <c r="FD156" s="79"/>
      <c r="FE156" s="79"/>
      <c r="FF156" s="79"/>
      <c r="FG156" s="79"/>
      <c r="FH156" s="79"/>
      <c r="FI156" s="79"/>
      <c r="FJ156" s="79"/>
      <c r="FK156" s="79"/>
      <c r="FL156" s="79"/>
      <c r="FM156" s="47"/>
      <c r="FN156" s="47"/>
      <c r="FO156" s="47"/>
      <c r="FP156" s="47"/>
      <c r="FQ156" s="47"/>
      <c r="FR156" s="47"/>
      <c r="FS156" s="47"/>
      <c r="FT156" s="47"/>
      <c r="FU156" s="47"/>
      <c r="FV156" s="47"/>
      <c r="FW156" s="47"/>
      <c r="FX156" s="47"/>
      <c r="FY156" s="32"/>
      <c r="FZ156" s="32"/>
      <c r="GA156" s="32"/>
      <c r="GB156" s="32"/>
      <c r="GC156" s="32"/>
      <c r="GD156" s="32"/>
      <c r="GE156" s="32"/>
      <c r="GF156" s="32"/>
      <c r="GG156" s="32"/>
      <c r="GH156" s="32"/>
      <c r="GI156" s="32"/>
      <c r="GJ156" s="32"/>
      <c r="GK156" s="32"/>
      <c r="GL156" s="32"/>
      <c r="GM156" s="49"/>
      <c r="GN156" s="49"/>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c r="HN156" s="49"/>
    </row>
    <row r="157" spans="1:222" ht="16.95" customHeight="1">
      <c r="A157" s="1"/>
      <c r="B157" s="3"/>
      <c r="C157" s="3"/>
      <c r="D157" s="373" t="str">
        <f ca="1">IF(FO145=0,"","Bereken bij welke hoeveelheid maximale winst wordt gemaakt en vul deze")</f>
        <v/>
      </c>
      <c r="E157" s="10"/>
      <c r="F157" s="10"/>
      <c r="G157" s="10"/>
      <c r="H157" s="10"/>
      <c r="I157" s="10"/>
      <c r="J157" s="10"/>
      <c r="K157" s="10"/>
      <c r="L157" s="10"/>
      <c r="M157" s="10"/>
      <c r="N157" s="79"/>
      <c r="O157" s="79"/>
      <c r="P157" s="79"/>
      <c r="Q157" s="7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c r="CJ157" s="79"/>
      <c r="CK157" s="79"/>
      <c r="CL157" s="79"/>
      <c r="CM157" s="79"/>
      <c r="CN157" s="79"/>
      <c r="CO157" s="79"/>
      <c r="CP157" s="79"/>
      <c r="CQ157" s="79"/>
      <c r="CR157" s="79"/>
      <c r="CS157" s="79"/>
      <c r="CT157" s="79"/>
      <c r="CU157" s="79"/>
      <c r="CV157" s="79"/>
      <c r="CW157" s="79"/>
      <c r="CX157" s="79"/>
      <c r="CY157" s="79"/>
      <c r="CZ157" s="79"/>
      <c r="DA157" s="79"/>
      <c r="DB157" s="79"/>
      <c r="DC157" s="79"/>
      <c r="DD157" s="79"/>
      <c r="DE157" s="79"/>
      <c r="DF157" s="79"/>
      <c r="DG157" s="79"/>
      <c r="DH157" s="79"/>
      <c r="DI157" s="79"/>
      <c r="DJ157" s="79"/>
      <c r="DK157" s="79"/>
      <c r="DL157" s="79"/>
      <c r="DM157" s="79"/>
      <c r="DN157" s="79"/>
      <c r="DO157" s="79"/>
      <c r="DP157" s="79"/>
      <c r="DQ157" s="79"/>
      <c r="DR157" s="79"/>
      <c r="DS157" s="79"/>
      <c r="DT157" s="79"/>
      <c r="DU157" s="79"/>
      <c r="DV157" s="79"/>
      <c r="DW157" s="79"/>
      <c r="DX157" s="79"/>
      <c r="DY157" s="79"/>
      <c r="DZ157" s="79"/>
      <c r="EA157" s="79"/>
      <c r="EB157" s="79"/>
      <c r="EC157" s="79"/>
      <c r="ED157" s="79"/>
      <c r="EE157" s="79"/>
      <c r="EF157" s="79"/>
      <c r="EG157" s="79"/>
      <c r="EH157" s="79"/>
      <c r="EI157" s="79"/>
      <c r="EJ157" s="79"/>
      <c r="EK157" s="79"/>
      <c r="EL157" s="79"/>
      <c r="EM157" s="79"/>
      <c r="EN157" s="79"/>
      <c r="EO157" s="79"/>
      <c r="EP157" s="79"/>
      <c r="EQ157" s="79"/>
      <c r="ER157" s="79"/>
      <c r="ES157" s="79"/>
      <c r="ET157" s="79"/>
      <c r="EU157" s="79"/>
      <c r="EV157" s="79"/>
      <c r="EW157" s="79"/>
      <c r="EX157" s="79"/>
      <c r="EY157" s="79"/>
      <c r="EZ157" s="79"/>
      <c r="FA157" s="79"/>
      <c r="FB157" s="79"/>
      <c r="FC157" s="79"/>
      <c r="FD157" s="79"/>
      <c r="FE157" s="79"/>
      <c r="FF157" s="79"/>
      <c r="FG157" s="79"/>
      <c r="FH157" s="79"/>
      <c r="FI157" s="79"/>
      <c r="FJ157" s="79"/>
      <c r="FK157" s="79"/>
      <c r="FL157" s="79"/>
      <c r="FM157" s="47"/>
      <c r="FN157" s="47"/>
      <c r="FO157" s="47"/>
      <c r="FP157" s="47"/>
      <c r="FQ157" s="47"/>
      <c r="FR157" s="47"/>
      <c r="FS157" s="47"/>
      <c r="FT157" s="47"/>
      <c r="FU157" s="47"/>
      <c r="FV157" s="47"/>
      <c r="FW157" s="47"/>
      <c r="FX157" s="47"/>
      <c r="FY157" s="32"/>
      <c r="FZ157" s="32"/>
      <c r="GA157" s="32"/>
      <c r="GB157" s="32"/>
      <c r="GC157" s="32"/>
      <c r="GD157" s="32"/>
      <c r="GE157" s="32"/>
      <c r="GF157" s="32"/>
      <c r="GG157" s="32"/>
      <c r="GH157" s="32"/>
      <c r="GI157" s="32"/>
      <c r="GJ157" s="32"/>
      <c r="GK157" s="32"/>
      <c r="GL157" s="32"/>
      <c r="GM157" s="49"/>
      <c r="GN157" s="49"/>
      <c r="GO157" s="49"/>
      <c r="GP157" s="49"/>
      <c r="GQ157" s="49"/>
      <c r="GR157" s="49"/>
      <c r="GS157" s="49"/>
      <c r="GT157" s="49"/>
      <c r="GU157" s="49"/>
      <c r="GV157" s="49"/>
      <c r="GW157" s="49"/>
      <c r="GX157" s="49"/>
      <c r="GY157" s="49"/>
      <c r="GZ157" s="49"/>
      <c r="HA157" s="49"/>
      <c r="HB157" s="49"/>
      <c r="HC157" s="49"/>
      <c r="HD157" s="49"/>
      <c r="HE157" s="49"/>
      <c r="HF157" s="49"/>
      <c r="HG157" s="49"/>
      <c r="HH157" s="49"/>
      <c r="HI157" s="49"/>
      <c r="HJ157" s="49"/>
      <c r="HK157" s="49"/>
      <c r="HL157" s="49"/>
      <c r="HM157" s="49"/>
      <c r="HN157" s="49"/>
    </row>
    <row r="158" spans="1:222" ht="16.95" customHeight="1">
      <c r="A158" s="1"/>
      <c r="B158" s="3"/>
      <c r="C158" s="3"/>
      <c r="D158" s="373" t="str">
        <f ca="1">IF(FO145=0,"","hoeveelheid hieronder in. Rond af op een heel getal. Doe je dat niet dan krijg")</f>
        <v/>
      </c>
      <c r="E158" s="10"/>
      <c r="F158" s="10"/>
      <c r="G158" s="10"/>
      <c r="H158" s="10"/>
      <c r="I158" s="10"/>
      <c r="J158" s="10"/>
      <c r="K158" s="10"/>
      <c r="L158" s="10"/>
      <c r="M158" s="10"/>
      <c r="N158" s="79"/>
      <c r="O158" s="79"/>
      <c r="P158" s="79"/>
      <c r="Q158" s="79"/>
      <c r="R158" s="79"/>
      <c r="S158" s="7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c r="CJ158" s="79"/>
      <c r="CK158" s="79"/>
      <c r="CL158" s="79"/>
      <c r="CM158" s="79"/>
      <c r="CN158" s="79"/>
      <c r="CO158" s="79"/>
      <c r="CP158" s="79"/>
      <c r="CQ158" s="79"/>
      <c r="CR158" s="79"/>
      <c r="CS158" s="79"/>
      <c r="CT158" s="79"/>
      <c r="CU158" s="79"/>
      <c r="CV158" s="79"/>
      <c r="CW158" s="79"/>
      <c r="CX158" s="79"/>
      <c r="CY158" s="79"/>
      <c r="CZ158" s="79"/>
      <c r="DA158" s="79"/>
      <c r="DB158" s="79"/>
      <c r="DC158" s="79"/>
      <c r="DD158" s="79"/>
      <c r="DE158" s="79"/>
      <c r="DF158" s="79"/>
      <c r="DG158" s="79"/>
      <c r="DH158" s="79"/>
      <c r="DI158" s="79"/>
      <c r="DJ158" s="79"/>
      <c r="DK158" s="79"/>
      <c r="DL158" s="79"/>
      <c r="DM158" s="79"/>
      <c r="DN158" s="79"/>
      <c r="DO158" s="79"/>
      <c r="DP158" s="79"/>
      <c r="DQ158" s="79"/>
      <c r="DR158" s="79"/>
      <c r="DS158" s="79"/>
      <c r="DT158" s="79"/>
      <c r="DU158" s="79"/>
      <c r="DV158" s="79"/>
      <c r="DW158" s="79"/>
      <c r="DX158" s="79"/>
      <c r="DY158" s="79"/>
      <c r="DZ158" s="79"/>
      <c r="EA158" s="79"/>
      <c r="EB158" s="79"/>
      <c r="EC158" s="79"/>
      <c r="ED158" s="79"/>
      <c r="EE158" s="79"/>
      <c r="EF158" s="79"/>
      <c r="EG158" s="79"/>
      <c r="EH158" s="79"/>
      <c r="EI158" s="79"/>
      <c r="EJ158" s="79"/>
      <c r="EK158" s="79"/>
      <c r="EL158" s="79"/>
      <c r="EM158" s="79"/>
      <c r="EN158" s="79"/>
      <c r="EO158" s="79"/>
      <c r="EP158" s="79"/>
      <c r="EQ158" s="79"/>
      <c r="ER158" s="79"/>
      <c r="ES158" s="79"/>
      <c r="ET158" s="79"/>
      <c r="EU158" s="79"/>
      <c r="EV158" s="79"/>
      <c r="EW158" s="79"/>
      <c r="EX158" s="79"/>
      <c r="EY158" s="79"/>
      <c r="EZ158" s="79"/>
      <c r="FA158" s="79"/>
      <c r="FB158" s="79"/>
      <c r="FC158" s="79"/>
      <c r="FD158" s="79"/>
      <c r="FE158" s="79"/>
      <c r="FF158" s="79"/>
      <c r="FG158" s="79"/>
      <c r="FH158" s="79"/>
      <c r="FI158" s="79"/>
      <c r="FJ158" s="79"/>
      <c r="FK158" s="79"/>
      <c r="FL158" s="79"/>
      <c r="FM158" s="47"/>
      <c r="FN158" s="47"/>
      <c r="FO158" s="47"/>
      <c r="FP158" s="47"/>
      <c r="FQ158" s="47"/>
      <c r="FR158" s="47"/>
      <c r="FS158" s="47"/>
      <c r="FT158" s="47"/>
      <c r="FU158" s="47"/>
      <c r="FV158" s="47"/>
      <c r="FW158" s="47"/>
      <c r="FX158" s="47"/>
      <c r="FY158" s="32"/>
      <c r="FZ158" s="32"/>
      <c r="GA158" s="32"/>
      <c r="GB158" s="32"/>
      <c r="GC158" s="32"/>
      <c r="GD158" s="32"/>
      <c r="GE158" s="32"/>
      <c r="GF158" s="32"/>
      <c r="GG158" s="32"/>
      <c r="GH158" s="32"/>
      <c r="GI158" s="32"/>
      <c r="GJ158" s="32"/>
      <c r="GK158" s="32"/>
      <c r="GL158" s="32"/>
      <c r="GM158" s="49"/>
      <c r="GN158" s="49"/>
      <c r="GO158" s="49"/>
      <c r="GP158" s="49"/>
      <c r="GQ158" s="49"/>
      <c r="GR158" s="49"/>
      <c r="GS158" s="49"/>
      <c r="GT158" s="49"/>
      <c r="GU158" s="49"/>
      <c r="GV158" s="49"/>
      <c r="GW158" s="49"/>
      <c r="GX158" s="49"/>
      <c r="GY158" s="49"/>
      <c r="GZ158" s="49"/>
      <c r="HA158" s="49"/>
      <c r="HB158" s="49"/>
      <c r="HC158" s="49"/>
      <c r="HD158" s="49"/>
      <c r="HE158" s="49"/>
      <c r="HF158" s="49"/>
      <c r="HG158" s="49"/>
      <c r="HH158" s="49"/>
      <c r="HI158" s="49"/>
      <c r="HJ158" s="49"/>
      <c r="HK158" s="49"/>
      <c r="HL158" s="49"/>
      <c r="HM158" s="49"/>
      <c r="HN158" s="49"/>
    </row>
    <row r="159" spans="1:222" ht="16.95" customHeight="1">
      <c r="A159" s="1"/>
      <c r="B159" s="3"/>
      <c r="C159" s="3"/>
      <c r="D159" s="373" t="str">
        <f ca="1">IF(FO145=0,"","je een foutmelding.")</f>
        <v/>
      </c>
      <c r="E159" s="10"/>
      <c r="F159" s="10"/>
      <c r="G159" s="10"/>
      <c r="H159" s="10"/>
      <c r="I159" s="10"/>
      <c r="J159" s="10"/>
      <c r="K159" s="10"/>
      <c r="L159" s="10"/>
      <c r="M159" s="10"/>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c r="CJ159" s="79"/>
      <c r="CK159" s="79"/>
      <c r="CL159" s="79"/>
      <c r="CM159" s="79"/>
      <c r="CN159" s="79"/>
      <c r="CO159" s="79"/>
      <c r="CP159" s="79"/>
      <c r="CQ159" s="79"/>
      <c r="CR159" s="79"/>
      <c r="CS159" s="79"/>
      <c r="CT159" s="79"/>
      <c r="CU159" s="79"/>
      <c r="CV159" s="79"/>
      <c r="CW159" s="79"/>
      <c r="CX159" s="79"/>
      <c r="CY159" s="79"/>
      <c r="CZ159" s="79"/>
      <c r="DA159" s="79"/>
      <c r="DB159" s="79"/>
      <c r="DC159" s="79"/>
      <c r="DD159" s="79"/>
      <c r="DE159" s="79"/>
      <c r="DF159" s="79"/>
      <c r="DG159" s="79"/>
      <c r="DH159" s="79"/>
      <c r="DI159" s="79"/>
      <c r="DJ159" s="79"/>
      <c r="DK159" s="79"/>
      <c r="DL159" s="79"/>
      <c r="DM159" s="79"/>
      <c r="DN159" s="79"/>
      <c r="DO159" s="79"/>
      <c r="DP159" s="79"/>
      <c r="DQ159" s="79"/>
      <c r="DR159" s="79"/>
      <c r="DS159" s="79"/>
      <c r="DT159" s="79"/>
      <c r="DU159" s="79"/>
      <c r="DV159" s="79"/>
      <c r="DW159" s="79"/>
      <c r="DX159" s="79"/>
      <c r="DY159" s="79"/>
      <c r="DZ159" s="79"/>
      <c r="EA159" s="79"/>
      <c r="EB159" s="79"/>
      <c r="EC159" s="79"/>
      <c r="ED159" s="79"/>
      <c r="EE159" s="79"/>
      <c r="EF159" s="79"/>
      <c r="EG159" s="79"/>
      <c r="EH159" s="79"/>
      <c r="EI159" s="79"/>
      <c r="EJ159" s="79"/>
      <c r="EK159" s="79"/>
      <c r="EL159" s="79"/>
      <c r="EM159" s="79"/>
      <c r="EN159" s="79"/>
      <c r="EO159" s="79"/>
      <c r="EP159" s="79"/>
      <c r="EQ159" s="79"/>
      <c r="ER159" s="79"/>
      <c r="ES159" s="79"/>
      <c r="ET159" s="79"/>
      <c r="EU159" s="79"/>
      <c r="EV159" s="79"/>
      <c r="EW159" s="79"/>
      <c r="EX159" s="79"/>
      <c r="EY159" s="79"/>
      <c r="EZ159" s="79"/>
      <c r="FA159" s="79"/>
      <c r="FB159" s="79"/>
      <c r="FC159" s="79"/>
      <c r="FD159" s="79"/>
      <c r="FE159" s="79"/>
      <c r="FF159" s="79"/>
      <c r="FG159" s="79"/>
      <c r="FH159" s="79"/>
      <c r="FI159" s="79"/>
      <c r="FJ159" s="79"/>
      <c r="FK159" s="79"/>
      <c r="FL159" s="79"/>
      <c r="FM159" s="47"/>
      <c r="FN159" s="47"/>
      <c r="FO159" s="47"/>
      <c r="FP159" s="47"/>
      <c r="FQ159" s="47"/>
      <c r="FR159" s="47"/>
      <c r="FS159" s="47"/>
      <c r="FT159" s="47"/>
      <c r="FU159" s="47"/>
      <c r="FV159" s="47"/>
      <c r="FW159" s="47"/>
      <c r="FX159" s="47"/>
      <c r="FY159" s="32"/>
      <c r="FZ159" s="32"/>
      <c r="GA159" s="32"/>
      <c r="GB159" s="32"/>
      <c r="GC159" s="32"/>
      <c r="GD159" s="32"/>
      <c r="GE159" s="32"/>
      <c r="GF159" s="32"/>
      <c r="GG159" s="32"/>
      <c r="GH159" s="32"/>
      <c r="GI159" s="32"/>
      <c r="GJ159" s="32"/>
      <c r="GK159" s="32"/>
      <c r="GL159" s="32"/>
      <c r="GM159" s="49"/>
      <c r="GN159" s="49"/>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c r="HN159" s="49"/>
    </row>
    <row r="160" spans="1:222" ht="12" customHeight="1">
      <c r="A160" s="1"/>
      <c r="B160" s="3"/>
      <c r="C160" s="3"/>
      <c r="D160" s="38"/>
      <c r="E160" s="126"/>
      <c r="F160" s="126"/>
      <c r="G160" s="126"/>
      <c r="H160" s="126"/>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26"/>
      <c r="AJ160" s="126"/>
      <c r="AK160" s="126"/>
      <c r="AL160" s="126"/>
      <c r="AM160" s="126"/>
      <c r="AN160" s="126"/>
      <c r="AO160" s="126"/>
      <c r="AP160" s="126"/>
      <c r="AQ160" s="126"/>
      <c r="AR160" s="126"/>
      <c r="AS160" s="126"/>
      <c r="AT160" s="126"/>
      <c r="AU160" s="126"/>
      <c r="AV160" s="126"/>
      <c r="AW160" s="126"/>
      <c r="AX160" s="197"/>
      <c r="AY160" s="43"/>
      <c r="AZ160" s="41"/>
      <c r="BA160" s="41"/>
      <c r="BB160" s="41"/>
      <c r="BC160" s="41"/>
      <c r="BD160" s="42"/>
      <c r="BE160" s="41"/>
      <c r="BF160" s="41"/>
      <c r="BG160" s="41"/>
      <c r="BH160" s="41"/>
      <c r="BI160" s="41"/>
      <c r="BJ160" s="41"/>
      <c r="BK160" s="42"/>
      <c r="BL160" s="41"/>
      <c r="BM160" s="41"/>
      <c r="BN160" s="41"/>
      <c r="BO160" s="41"/>
      <c r="BP160" s="41"/>
      <c r="BQ160" s="41"/>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79"/>
      <c r="DZ160" s="79"/>
      <c r="EA160" s="79"/>
      <c r="EB160" s="79"/>
      <c r="EC160" s="79"/>
      <c r="ED160" s="79"/>
      <c r="EE160" s="79"/>
      <c r="EF160" s="79"/>
      <c r="EG160" s="79"/>
      <c r="EH160" s="79"/>
      <c r="EI160" s="79"/>
      <c r="EJ160" s="79"/>
      <c r="EK160" s="79"/>
      <c r="EL160" s="79"/>
      <c r="EM160" s="79"/>
      <c r="EN160" s="79"/>
      <c r="EO160" s="79"/>
      <c r="EP160" s="79"/>
      <c r="EQ160" s="79"/>
      <c r="ER160" s="79"/>
      <c r="ES160" s="79"/>
      <c r="ET160" s="79"/>
      <c r="EU160" s="79"/>
      <c r="EV160" s="79"/>
      <c r="EW160" s="79"/>
      <c r="EX160" s="79"/>
      <c r="EY160" s="79"/>
      <c r="EZ160" s="79"/>
      <c r="FA160" s="79"/>
      <c r="FB160" s="79"/>
      <c r="FC160" s="79"/>
      <c r="FD160" s="79"/>
      <c r="FE160" s="79"/>
      <c r="FF160" s="79"/>
      <c r="FG160" s="79"/>
      <c r="FH160" s="79"/>
      <c r="FI160" s="79"/>
      <c r="FJ160" s="79"/>
      <c r="FK160" s="79"/>
      <c r="FL160" s="79"/>
      <c r="FM160" s="47"/>
      <c r="FN160" s="47"/>
      <c r="FO160" s="48"/>
      <c r="FP160" s="47"/>
      <c r="FQ160" s="79"/>
      <c r="FR160" s="47"/>
      <c r="FS160" s="47"/>
      <c r="FT160" s="47"/>
      <c r="FU160" s="47"/>
      <c r="FV160" s="47"/>
      <c r="FW160" s="47"/>
      <c r="FX160" s="47"/>
      <c r="FY160" s="32"/>
      <c r="FZ160" s="32"/>
      <c r="GA160" s="32"/>
      <c r="GB160" s="32"/>
      <c r="GC160" s="32"/>
      <c r="GD160" s="32"/>
      <c r="GE160" s="32"/>
      <c r="GF160" s="32"/>
      <c r="GG160" s="32"/>
      <c r="GH160" s="32"/>
      <c r="GI160" s="32"/>
      <c r="GJ160" s="32"/>
      <c r="GK160" s="32"/>
      <c r="GL160" s="32"/>
      <c r="GM160" s="49"/>
      <c r="GN160" s="49"/>
      <c r="GO160" s="49"/>
      <c r="GP160" s="49"/>
      <c r="GQ160" s="49"/>
      <c r="GR160" s="49"/>
      <c r="GS160" s="49"/>
      <c r="GT160" s="49"/>
      <c r="GU160" s="49"/>
      <c r="GV160" s="49"/>
      <c r="GW160" s="49"/>
      <c r="GX160" s="49"/>
      <c r="GY160" s="49"/>
      <c r="GZ160" s="49"/>
      <c r="HA160" s="49"/>
      <c r="HB160" s="49"/>
      <c r="HC160" s="49"/>
      <c r="HD160" s="49"/>
      <c r="HE160" s="49"/>
      <c r="HF160" s="49"/>
      <c r="HG160" s="49"/>
      <c r="HH160" s="49"/>
      <c r="HI160" s="49"/>
      <c r="HJ160" s="49"/>
      <c r="HK160" s="49"/>
      <c r="HL160" s="49"/>
      <c r="HM160" s="49"/>
      <c r="HN160" s="49"/>
    </row>
    <row r="161" spans="1:222" ht="3.75" customHeight="1">
      <c r="A161" s="1"/>
      <c r="B161" s="3"/>
      <c r="C161" s="3"/>
      <c r="D161" s="38"/>
      <c r="E161" s="126"/>
      <c r="F161" s="126"/>
      <c r="G161" s="126"/>
      <c r="H161" s="126"/>
      <c r="I161" s="10"/>
      <c r="J161" s="10"/>
      <c r="K161" s="538" t="str">
        <f ca="1">IF(FO145=0,"",".")</f>
        <v/>
      </c>
      <c r="L161" s="538"/>
      <c r="M161" s="538"/>
      <c r="N161" s="538"/>
      <c r="O161" s="538"/>
      <c r="P161" s="538"/>
      <c r="Q161" s="538"/>
      <c r="R161" s="538"/>
      <c r="S161" s="538"/>
      <c r="T161" s="538"/>
      <c r="U161" s="538"/>
      <c r="V161" s="538"/>
      <c r="W161" s="538"/>
      <c r="X161" s="538"/>
      <c r="Y161" s="538"/>
      <c r="Z161" s="538"/>
      <c r="AA161" s="538"/>
      <c r="AB161" s="538"/>
      <c r="AC161" s="538"/>
      <c r="AD161" s="538"/>
      <c r="AE161" s="538"/>
      <c r="AF161" s="538"/>
      <c r="AG161" s="538"/>
      <c r="AH161" s="538"/>
      <c r="AI161" s="538"/>
      <c r="AJ161" s="538"/>
      <c r="AK161" s="538"/>
      <c r="AL161" s="538"/>
      <c r="AM161" s="538"/>
      <c r="AN161" s="538"/>
      <c r="AO161" s="43"/>
      <c r="AP161" s="43"/>
      <c r="AQ161" s="43"/>
      <c r="AR161" s="43"/>
      <c r="BG161" s="43"/>
      <c r="BH161" s="43"/>
      <c r="BI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79"/>
      <c r="DZ161" s="79"/>
      <c r="EA161" s="79"/>
      <c r="EB161" s="79"/>
      <c r="EC161" s="79"/>
      <c r="ED161" s="79"/>
      <c r="EE161" s="79"/>
      <c r="EF161" s="79"/>
      <c r="EG161" s="79"/>
      <c r="EH161" s="79"/>
      <c r="EI161" s="79"/>
      <c r="EJ161" s="79"/>
      <c r="EK161" s="79"/>
      <c r="EL161" s="79"/>
      <c r="EM161" s="79"/>
      <c r="EN161" s="79"/>
      <c r="EO161" s="79"/>
      <c r="EP161" s="79"/>
      <c r="EQ161" s="79"/>
      <c r="ER161" s="79"/>
      <c r="ES161" s="79"/>
      <c r="ET161" s="79"/>
      <c r="EU161" s="79"/>
      <c r="EV161" s="79"/>
      <c r="EW161" s="79"/>
      <c r="EX161" s="79"/>
      <c r="EY161" s="79"/>
      <c r="EZ161" s="79"/>
      <c r="FA161" s="79"/>
      <c r="FB161" s="79"/>
      <c r="FC161" s="79"/>
      <c r="FD161" s="79"/>
      <c r="FE161" s="79"/>
      <c r="FF161" s="79"/>
      <c r="FG161" s="79"/>
      <c r="FH161" s="79"/>
      <c r="FI161" s="79"/>
      <c r="FJ161" s="79"/>
      <c r="FK161" s="79"/>
      <c r="FL161" s="79"/>
      <c r="FM161" s="47"/>
      <c r="FN161" s="47"/>
      <c r="FO161" s="48"/>
      <c r="FP161" s="47"/>
      <c r="FQ161" s="79"/>
      <c r="FR161" s="47"/>
      <c r="FS161" s="47"/>
      <c r="FT161" s="47"/>
      <c r="FU161" s="47"/>
      <c r="FV161" s="47"/>
      <c r="FW161" s="47"/>
      <c r="FX161" s="47"/>
      <c r="FY161" s="32"/>
      <c r="FZ161" s="32"/>
      <c r="GA161" s="32"/>
      <c r="GB161" s="32"/>
      <c r="GC161" s="32"/>
      <c r="GD161" s="32"/>
      <c r="GE161" s="32"/>
      <c r="GF161" s="32"/>
      <c r="GG161" s="32"/>
      <c r="GH161" s="32"/>
      <c r="GI161" s="32"/>
      <c r="GJ161" s="32"/>
      <c r="GK161" s="32"/>
      <c r="GL161" s="32"/>
      <c r="GM161" s="49"/>
      <c r="GN161" s="49"/>
      <c r="GO161" s="49"/>
      <c r="GP161" s="49"/>
      <c r="GQ161" s="49"/>
      <c r="GR161" s="49"/>
      <c r="GS161" s="49"/>
      <c r="GT161" s="49"/>
      <c r="GU161" s="49"/>
      <c r="GV161" s="49"/>
      <c r="GW161" s="49"/>
      <c r="GX161" s="49"/>
      <c r="GY161" s="49"/>
      <c r="GZ161" s="49"/>
      <c r="HA161" s="49"/>
      <c r="HB161" s="49"/>
      <c r="HC161" s="49"/>
      <c r="HD161" s="49"/>
      <c r="HE161" s="49"/>
      <c r="HF161" s="49"/>
      <c r="HG161" s="49"/>
      <c r="HH161" s="49"/>
      <c r="HI161" s="49"/>
      <c r="HJ161" s="49"/>
      <c r="HK161" s="49"/>
      <c r="HL161" s="49"/>
      <c r="HM161" s="49"/>
      <c r="HN161" s="49"/>
    </row>
    <row r="162" spans="1:222" ht="16.5" customHeight="1">
      <c r="A162" s="1"/>
      <c r="B162" s="476"/>
      <c r="C162" s="3"/>
      <c r="D162" s="38"/>
      <c r="E162" s="126"/>
      <c r="F162" s="126"/>
      <c r="G162" s="507"/>
      <c r="H162" s="507"/>
      <c r="I162" s="507"/>
      <c r="J162" s="507"/>
      <c r="K162" s="503" t="str">
        <f ca="1">IF(FO145=0,"",".")</f>
        <v/>
      </c>
      <c r="L162" s="689"/>
      <c r="M162" s="689"/>
      <c r="N162" s="689"/>
      <c r="O162" s="689"/>
      <c r="P162" s="689"/>
      <c r="Q162" s="689"/>
      <c r="R162" s="689"/>
      <c r="S162" s="689"/>
      <c r="T162" s="689"/>
      <c r="U162" s="689"/>
      <c r="V162" s="689"/>
      <c r="W162" s="689"/>
      <c r="X162" s="689"/>
      <c r="Y162" s="689"/>
      <c r="Z162" s="689"/>
      <c r="AA162" s="689"/>
      <c r="AB162" s="689"/>
      <c r="AC162" s="689"/>
      <c r="AD162" s="689"/>
      <c r="AE162" s="689"/>
      <c r="AF162" s="689"/>
      <c r="AG162" s="689"/>
      <c r="AH162" s="689"/>
      <c r="AI162" s="689"/>
      <c r="AJ162" s="689"/>
      <c r="AK162" s="689"/>
      <c r="AL162" s="689"/>
      <c r="AM162" s="689"/>
      <c r="AN162" s="503" t="str">
        <f ca="1">IF(FO145=0,"",".")</f>
        <v/>
      </c>
      <c r="AO162" s="43"/>
      <c r="AP162" s="506" t="str">
        <f>IF(L162="","",IF(AND(programma!$A$301="uitwerking",$B162="X"),FM162,IF(FO162=1,"Goed!",IF(FQ162=1,"Je hebt verkeerd afgerond.",IF(L162=FR162,"Je hebt "&amp;2*FS104&amp;"q en "&amp;2/FP104&amp;"q niet bij elkaar opgeteld. Verbeter dit.",IF(L162=FS162,"Je hebt "&amp;FQ104/FP104&amp;" en "&amp;FV67&amp;" niet van elkaar afgetrokken. Verbeter dit.","Fout! Heb je wel MO = MK berekend?"))))))</f>
        <v/>
      </c>
      <c r="AQ162" s="43"/>
      <c r="AR162" s="43"/>
      <c r="BG162" s="43"/>
      <c r="BH162" s="43"/>
      <c r="BI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79"/>
      <c r="DZ162" s="79"/>
      <c r="EA162" s="79"/>
      <c r="EB162" s="79"/>
      <c r="EC162" s="79"/>
      <c r="ED162" s="79"/>
      <c r="EE162" s="79"/>
      <c r="EF162" s="79"/>
      <c r="EG162" s="79"/>
      <c r="EH162" s="79"/>
      <c r="EI162" s="79"/>
      <c r="EJ162" s="79"/>
      <c r="EK162" s="79"/>
      <c r="EL162" s="79"/>
      <c r="EM162" s="79"/>
      <c r="EN162" s="79"/>
      <c r="EO162" s="79"/>
      <c r="EP162" s="79"/>
      <c r="EQ162" s="79"/>
      <c r="ER162" s="79"/>
      <c r="ES162" s="79"/>
      <c r="ET162" s="79"/>
      <c r="EU162" s="79"/>
      <c r="EV162" s="79"/>
      <c r="EW162" s="79"/>
      <c r="EX162" s="79"/>
      <c r="EY162" s="79"/>
      <c r="EZ162" s="79"/>
      <c r="FA162" s="79"/>
      <c r="FB162" s="79"/>
      <c r="FC162" s="79"/>
      <c r="FD162" s="79"/>
      <c r="FE162" s="79"/>
      <c r="FF162" s="79"/>
      <c r="FG162" s="79"/>
      <c r="FH162" s="79"/>
      <c r="FI162" s="79"/>
      <c r="FJ162" s="79"/>
      <c r="FK162" s="79"/>
      <c r="FL162" s="79"/>
      <c r="FM162" s="468" t="e">
        <f ca="1">"MO = MK dus -"&amp;2/FP104&amp;"q + "&amp;FQ104/FP104&amp;" = "&amp;FV67&amp;" dus q = "&amp;FQ104/FP104&amp;" - "&amp;FV67&amp;" = "&amp;2/FP104&amp;"q dus q = "&amp;FQ104/FP104-FV67&amp;" / "&amp;2/FP104&amp;" wordt "&amp;FP162</f>
        <v>#DIV/0!</v>
      </c>
      <c r="FN162" s="47"/>
      <c r="FO162" s="48">
        <f ca="1">IF(programma!B1="X",1,IF(FO145=0,0,IF(L162=FP162,1,0)))</f>
        <v>0</v>
      </c>
      <c r="FP162" s="94" t="e">
        <f ca="1">IF(FO1=0,"",ROUND((FQ104/FP104-FV67)/(2/FP104+2*FS104),0))</f>
        <v>#DIV/0!</v>
      </c>
      <c r="FQ162" s="79" t="e">
        <f ca="1">IF(AND(L162&gt;=FP162-1.000000001,L162&lt;=FP162+1.000000001),1,0)</f>
        <v>#DIV/0!</v>
      </c>
      <c r="FR162" s="94" t="e">
        <f ca="1">ROUND((FQ104/FP104-FV67)/(2/FP104-2*FS104),0)</f>
        <v>#DIV/0!</v>
      </c>
      <c r="FS162" s="94" t="e">
        <f ca="1">ROUND((FQ104/FP104+FV67)/(2/FP104+2*FS104),0)</f>
        <v>#DIV/0!</v>
      </c>
      <c r="FT162" s="47"/>
      <c r="FU162" s="47"/>
      <c r="FV162" s="47"/>
      <c r="FW162" s="47"/>
      <c r="FX162" s="47"/>
      <c r="FY162" s="32"/>
      <c r="FZ162" s="32"/>
      <c r="GA162" s="32"/>
      <c r="GB162" s="32"/>
      <c r="GC162" s="32"/>
      <c r="GD162" s="32"/>
      <c r="GE162" s="32"/>
      <c r="GF162" s="32"/>
      <c r="GG162" s="32"/>
      <c r="GH162" s="32"/>
      <c r="GI162" s="32"/>
      <c r="GJ162" s="32"/>
      <c r="GK162" s="32"/>
      <c r="GL162" s="32"/>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row>
    <row r="163" spans="1:222" ht="3.75" customHeight="1">
      <c r="A163" s="1"/>
      <c r="B163" s="3"/>
      <c r="C163" s="3"/>
      <c r="D163" s="38"/>
      <c r="E163" s="126"/>
      <c r="F163" s="126"/>
      <c r="G163" s="507"/>
      <c r="H163" s="507"/>
      <c r="I163" s="507"/>
      <c r="J163" s="507"/>
      <c r="K163" s="538" t="str">
        <f ca="1">IF(FO145=0,"",".")</f>
        <v/>
      </c>
      <c r="L163" s="538"/>
      <c r="M163" s="538"/>
      <c r="N163" s="538"/>
      <c r="O163" s="538"/>
      <c r="P163" s="538"/>
      <c r="Q163" s="538"/>
      <c r="R163" s="538"/>
      <c r="S163" s="538"/>
      <c r="T163" s="538"/>
      <c r="U163" s="538"/>
      <c r="V163" s="538"/>
      <c r="W163" s="538"/>
      <c r="X163" s="538"/>
      <c r="Y163" s="538"/>
      <c r="Z163" s="538"/>
      <c r="AA163" s="538"/>
      <c r="AB163" s="538"/>
      <c r="AC163" s="538"/>
      <c r="AD163" s="538"/>
      <c r="AE163" s="538"/>
      <c r="AF163" s="538"/>
      <c r="AG163" s="538"/>
      <c r="AH163" s="538"/>
      <c r="AI163" s="538"/>
      <c r="AJ163" s="538"/>
      <c r="AK163" s="538"/>
      <c r="AL163" s="538"/>
      <c r="AM163" s="538"/>
      <c r="AN163" s="538"/>
      <c r="AO163" s="43"/>
      <c r="AP163" s="43"/>
      <c r="AQ163" s="43"/>
      <c r="AR163" s="43"/>
      <c r="BG163" s="43"/>
      <c r="BH163" s="43"/>
      <c r="BI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79"/>
      <c r="DZ163" s="79"/>
      <c r="EA163" s="79"/>
      <c r="EB163" s="79"/>
      <c r="EC163" s="79"/>
      <c r="ED163" s="79"/>
      <c r="EE163" s="79"/>
      <c r="EF163" s="79"/>
      <c r="EG163" s="79"/>
      <c r="EH163" s="79"/>
      <c r="EI163" s="79"/>
      <c r="EJ163" s="79"/>
      <c r="EK163" s="79"/>
      <c r="EL163" s="79"/>
      <c r="EM163" s="79"/>
      <c r="EN163" s="79"/>
      <c r="EO163" s="79"/>
      <c r="EP163" s="79"/>
      <c r="EQ163" s="79"/>
      <c r="ER163" s="79"/>
      <c r="ES163" s="79"/>
      <c r="ET163" s="79"/>
      <c r="EU163" s="79"/>
      <c r="EV163" s="79"/>
      <c r="EW163" s="79"/>
      <c r="EX163" s="79"/>
      <c r="EY163" s="79"/>
      <c r="EZ163" s="79"/>
      <c r="FA163" s="79"/>
      <c r="FB163" s="79"/>
      <c r="FC163" s="79"/>
      <c r="FD163" s="79"/>
      <c r="FE163" s="79"/>
      <c r="FF163" s="79"/>
      <c r="FG163" s="79"/>
      <c r="FH163" s="79"/>
      <c r="FI163" s="79"/>
      <c r="FJ163" s="79"/>
      <c r="FK163" s="79"/>
      <c r="FL163" s="79"/>
      <c r="FM163" s="47"/>
      <c r="FN163" s="47"/>
      <c r="FO163" s="48"/>
      <c r="FP163" s="47"/>
      <c r="FQ163" s="79"/>
      <c r="FR163" s="47"/>
      <c r="FS163" s="47"/>
      <c r="FT163" s="47"/>
      <c r="FU163" s="47"/>
      <c r="FV163" s="47"/>
      <c r="FW163" s="47"/>
      <c r="FX163" s="47"/>
      <c r="FY163" s="32"/>
      <c r="FZ163" s="32"/>
      <c r="GA163" s="32"/>
      <c r="GB163" s="32"/>
      <c r="GC163" s="32"/>
      <c r="GD163" s="32"/>
      <c r="GE163" s="32"/>
      <c r="GF163" s="32"/>
      <c r="GG163" s="32"/>
      <c r="GH163" s="32"/>
      <c r="GI163" s="32"/>
      <c r="GJ163" s="32"/>
      <c r="GK163" s="32"/>
      <c r="GL163" s="32"/>
      <c r="GM163" s="49"/>
      <c r="GN163" s="49"/>
      <c r="GO163" s="49"/>
      <c r="GP163" s="49"/>
      <c r="GQ163" s="49"/>
      <c r="GR163" s="49"/>
      <c r="GS163" s="49"/>
      <c r="GT163" s="49"/>
      <c r="GU163" s="49"/>
      <c r="GV163" s="49"/>
      <c r="GW163" s="49"/>
      <c r="GX163" s="49"/>
      <c r="GY163" s="49"/>
      <c r="GZ163" s="49"/>
      <c r="HA163" s="49"/>
      <c r="HB163" s="49"/>
      <c r="HC163" s="49"/>
      <c r="HD163" s="49"/>
      <c r="HE163" s="49"/>
      <c r="HF163" s="49"/>
      <c r="HG163" s="49"/>
      <c r="HH163" s="49"/>
      <c r="HI163" s="49"/>
      <c r="HJ163" s="49"/>
      <c r="HK163" s="49"/>
      <c r="HL163" s="49"/>
      <c r="HM163" s="49"/>
      <c r="HN163" s="49"/>
    </row>
    <row r="164" spans="1:222" ht="10.5" customHeight="1">
      <c r="A164" s="1"/>
      <c r="B164" s="3"/>
      <c r="C164" s="3"/>
      <c r="D164" s="38"/>
      <c r="E164" s="126"/>
      <c r="F164" s="126"/>
      <c r="G164" s="507"/>
      <c r="H164" s="507"/>
      <c r="I164" s="507"/>
      <c r="J164" s="507"/>
      <c r="K164" s="351"/>
      <c r="L164" s="351"/>
      <c r="M164" s="351"/>
      <c r="N164" s="351"/>
      <c r="O164" s="351"/>
      <c r="P164" s="351"/>
      <c r="Q164" s="351"/>
      <c r="R164" s="351"/>
      <c r="S164" s="351"/>
      <c r="T164" s="351"/>
      <c r="U164" s="351"/>
      <c r="V164" s="351"/>
      <c r="W164" s="351"/>
      <c r="X164" s="351"/>
      <c r="Y164" s="351"/>
      <c r="Z164" s="351"/>
      <c r="AA164" s="351"/>
      <c r="AB164" s="351"/>
      <c r="AC164" s="351"/>
      <c r="AD164" s="351"/>
      <c r="AE164" s="351"/>
      <c r="AF164" s="351"/>
      <c r="AG164" s="351"/>
      <c r="AH164" s="351"/>
      <c r="AI164" s="351"/>
      <c r="AJ164" s="351"/>
      <c r="AK164" s="351"/>
      <c r="AL164" s="351"/>
      <c r="AM164" s="351"/>
      <c r="AN164" s="351"/>
      <c r="AO164" s="351"/>
      <c r="AP164" s="351"/>
      <c r="AQ164" s="351"/>
      <c r="AR164" s="351"/>
      <c r="AS164" s="43"/>
      <c r="AT164" s="43"/>
      <c r="AU164" s="43"/>
      <c r="AV164" s="43"/>
      <c r="AW164" s="43"/>
      <c r="AX164" s="43"/>
      <c r="AY164" s="43"/>
      <c r="AZ164" s="43"/>
      <c r="BA164" s="43"/>
      <c r="BB164" s="43"/>
      <c r="BC164" s="43"/>
      <c r="BD164" s="43"/>
      <c r="BE164" s="43"/>
      <c r="BF164" s="43"/>
      <c r="BG164" s="43"/>
      <c r="BH164" s="43"/>
      <c r="BI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79"/>
      <c r="DZ164" s="79"/>
      <c r="EA164" s="79"/>
      <c r="EB164" s="79"/>
      <c r="EC164" s="79"/>
      <c r="ED164" s="79"/>
      <c r="EE164" s="79"/>
      <c r="EF164" s="79"/>
      <c r="EG164" s="79"/>
      <c r="EH164" s="79"/>
      <c r="EI164" s="79"/>
      <c r="EJ164" s="79"/>
      <c r="EK164" s="79"/>
      <c r="EL164" s="79"/>
      <c r="EM164" s="79"/>
      <c r="EN164" s="79"/>
      <c r="EO164" s="79"/>
      <c r="EP164" s="79"/>
      <c r="EQ164" s="79"/>
      <c r="ER164" s="79"/>
      <c r="ES164" s="79"/>
      <c r="ET164" s="79"/>
      <c r="EU164" s="79"/>
      <c r="EV164" s="79"/>
      <c r="EW164" s="79"/>
      <c r="EX164" s="79"/>
      <c r="EY164" s="79"/>
      <c r="EZ164" s="79"/>
      <c r="FA164" s="79"/>
      <c r="FB164" s="79"/>
      <c r="FC164" s="79"/>
      <c r="FD164" s="79"/>
      <c r="FE164" s="79"/>
      <c r="FF164" s="79"/>
      <c r="FG164" s="79"/>
      <c r="FH164" s="79"/>
      <c r="FI164" s="79"/>
      <c r="FJ164" s="79"/>
      <c r="FK164" s="79"/>
      <c r="FL164" s="79"/>
      <c r="FM164" s="47"/>
      <c r="FN164" s="47"/>
      <c r="FO164" s="48"/>
      <c r="FP164" s="47"/>
      <c r="FQ164" s="79"/>
      <c r="FR164" s="47"/>
      <c r="FS164" s="47"/>
      <c r="FT164" s="47"/>
      <c r="FU164" s="47"/>
      <c r="FV164" s="47"/>
      <c r="FW164" s="47"/>
      <c r="FX164" s="47"/>
      <c r="FY164" s="32"/>
      <c r="FZ164" s="32"/>
      <c r="GA164" s="32"/>
      <c r="GB164" s="32"/>
      <c r="GC164" s="32"/>
      <c r="GD164" s="32"/>
      <c r="GE164" s="32"/>
      <c r="GF164" s="32"/>
      <c r="GG164" s="32"/>
      <c r="GH164" s="32"/>
      <c r="GI164" s="32"/>
      <c r="GJ164" s="32"/>
      <c r="GK164" s="32"/>
      <c r="GL164" s="32"/>
      <c r="GM164" s="49"/>
      <c r="GN164" s="49"/>
      <c r="GO164" s="49"/>
      <c r="GP164" s="49"/>
      <c r="GQ164" s="49"/>
      <c r="GR164" s="49"/>
      <c r="GS164" s="49"/>
      <c r="GT164" s="49"/>
      <c r="GU164" s="49"/>
      <c r="GV164" s="49"/>
      <c r="GW164" s="49"/>
      <c r="GX164" s="49"/>
      <c r="GY164" s="49"/>
      <c r="GZ164" s="49"/>
      <c r="HA164" s="49"/>
      <c r="HB164" s="49"/>
      <c r="HC164" s="49"/>
      <c r="HD164" s="49"/>
      <c r="HE164" s="49"/>
      <c r="HF164" s="49"/>
      <c r="HG164" s="49"/>
      <c r="HH164" s="49"/>
      <c r="HI164" s="49"/>
      <c r="HJ164" s="49"/>
      <c r="HK164" s="49"/>
      <c r="HL164" s="49"/>
      <c r="HM164" s="49"/>
      <c r="HN164" s="49"/>
    </row>
    <row r="165" spans="1:222" ht="16.95" customHeight="1">
      <c r="A165" s="1"/>
      <c r="B165" s="3"/>
      <c r="C165" s="3"/>
      <c r="D165" s="373" t="str">
        <f ca="1">IF(FO162=0,"","Kijk nu nog eens naar de grafiek en zie dat het snijpunt inderdaad bij q = "&amp;FP162&amp;"")</f>
        <v/>
      </c>
      <c r="E165" s="507"/>
      <c r="F165" s="507"/>
      <c r="G165" s="507"/>
      <c r="H165" s="507"/>
      <c r="I165" s="507"/>
      <c r="J165" s="507"/>
      <c r="K165" s="351"/>
      <c r="L165" s="351"/>
      <c r="M165" s="351"/>
      <c r="N165" s="351"/>
      <c r="O165" s="351"/>
      <c r="P165" s="351"/>
      <c r="Q165" s="351"/>
      <c r="R165" s="351"/>
      <c r="S165" s="351"/>
      <c r="T165" s="351"/>
      <c r="U165" s="351"/>
      <c r="V165" s="351"/>
      <c r="W165" s="351"/>
      <c r="X165" s="351"/>
      <c r="Y165" s="351"/>
      <c r="Z165" s="351"/>
      <c r="AA165" s="351"/>
      <c r="AB165" s="351"/>
      <c r="AC165" s="351"/>
      <c r="AD165" s="351"/>
      <c r="AE165" s="351"/>
      <c r="AF165" s="351"/>
      <c r="AG165" s="351"/>
      <c r="AH165" s="351"/>
      <c r="AI165" s="351"/>
      <c r="AJ165" s="351"/>
      <c r="AK165" s="351"/>
      <c r="AL165" s="351"/>
      <c r="AM165" s="351"/>
      <c r="AN165" s="351"/>
      <c r="AO165" s="351"/>
      <c r="AP165" s="351"/>
      <c r="AQ165" s="351"/>
      <c r="AR165" s="351"/>
      <c r="AS165" s="43"/>
      <c r="AT165" s="43"/>
      <c r="AU165" s="43"/>
      <c r="AV165" s="43"/>
      <c r="AW165" s="43"/>
      <c r="AX165" s="43"/>
      <c r="AY165" s="43"/>
      <c r="AZ165" s="43"/>
      <c r="BA165" s="43"/>
      <c r="BB165" s="43"/>
      <c r="BC165" s="43"/>
      <c r="BD165" s="43"/>
      <c r="BE165" s="43"/>
      <c r="BF165" s="43"/>
      <c r="BG165" s="43"/>
      <c r="BH165" s="43"/>
      <c r="BI165" s="43"/>
      <c r="BJ165" s="351"/>
      <c r="BK165" s="351"/>
      <c r="BL165" s="351"/>
      <c r="BM165" s="351"/>
      <c r="BN165" s="351"/>
      <c r="BO165" s="351"/>
      <c r="BP165" s="351"/>
      <c r="BQ165" s="351"/>
      <c r="BR165" s="351"/>
      <c r="BS165" s="351"/>
      <c r="BT165" s="351"/>
      <c r="BU165" s="351"/>
      <c r="BV165" s="351"/>
      <c r="BW165" s="351"/>
      <c r="BX165" s="351"/>
      <c r="BY165" s="351"/>
      <c r="BZ165" s="351"/>
      <c r="CA165" s="351"/>
      <c r="CB165" s="351"/>
      <c r="CC165" s="351"/>
      <c r="CD165" s="351"/>
      <c r="CE165" s="351"/>
      <c r="CF165" s="351"/>
      <c r="CG165" s="351"/>
      <c r="CH165" s="351"/>
      <c r="CI165" s="351"/>
      <c r="CJ165" s="351"/>
      <c r="CK165" s="351"/>
      <c r="CL165" s="351"/>
      <c r="CM165" s="351"/>
      <c r="CN165" s="351"/>
      <c r="CO165" s="351"/>
      <c r="CP165" s="351"/>
      <c r="CQ165" s="351"/>
      <c r="CR165" s="351"/>
      <c r="CS165" s="351"/>
      <c r="CT165" s="351"/>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7"/>
      <c r="FN165" s="47"/>
      <c r="FO165" s="47"/>
      <c r="FP165" s="47"/>
      <c r="FQ165" s="47"/>
      <c r="FR165" s="47"/>
      <c r="FS165" s="47"/>
      <c r="FT165" s="47"/>
      <c r="FU165" s="47"/>
      <c r="FV165" s="47"/>
      <c r="FW165" s="47"/>
      <c r="FX165" s="47"/>
      <c r="FY165" s="32"/>
      <c r="FZ165" s="32"/>
      <c r="GA165" s="32"/>
      <c r="GB165" s="32"/>
      <c r="GC165" s="32"/>
      <c r="GD165" s="32"/>
      <c r="GE165" s="32"/>
      <c r="GF165" s="32"/>
      <c r="GG165" s="32"/>
      <c r="GH165" s="32"/>
      <c r="GI165" s="32"/>
      <c r="GJ165" s="32"/>
      <c r="GK165" s="32"/>
      <c r="GL165" s="32"/>
      <c r="GM165" s="49"/>
      <c r="GN165" s="49"/>
      <c r="GO165" s="49"/>
      <c r="GP165" s="49"/>
      <c r="GQ165" s="49"/>
      <c r="GR165" s="49"/>
      <c r="GS165" s="49"/>
      <c r="GT165" s="49"/>
      <c r="GU165" s="49"/>
      <c r="GV165" s="49"/>
      <c r="GW165" s="49"/>
      <c r="GX165" s="49"/>
      <c r="GY165" s="49"/>
      <c r="GZ165" s="49"/>
      <c r="HA165" s="49"/>
      <c r="HB165" s="49"/>
      <c r="HC165" s="49"/>
      <c r="HD165" s="49"/>
      <c r="HE165" s="49"/>
      <c r="HF165" s="49"/>
      <c r="HG165" s="49"/>
      <c r="HH165" s="49"/>
      <c r="HI165" s="49"/>
      <c r="HJ165" s="49"/>
      <c r="HK165" s="49"/>
      <c r="HL165" s="49"/>
      <c r="HM165" s="49"/>
      <c r="HN165" s="49"/>
    </row>
    <row r="166" spans="1:222" ht="16.95" customHeight="1">
      <c r="A166" s="1"/>
      <c r="B166" s="3"/>
      <c r="C166" s="3"/>
      <c r="D166" s="373" t="str">
        <f ca="1">IF(FO162=0,"","moet liggen (al is dat door de grote schaal niet precies te zien). Kijk ook nog")</f>
        <v/>
      </c>
      <c r="E166" s="507"/>
      <c r="F166" s="507"/>
      <c r="G166" s="507"/>
      <c r="H166" s="507"/>
      <c r="I166" s="507"/>
      <c r="J166" s="507"/>
      <c r="K166" s="351"/>
      <c r="L166" s="351"/>
      <c r="M166" s="351"/>
      <c r="N166" s="351"/>
      <c r="O166" s="351"/>
      <c r="P166" s="351"/>
      <c r="Q166" s="351"/>
      <c r="R166" s="351"/>
      <c r="S166" s="351"/>
      <c r="T166" s="351"/>
      <c r="U166" s="351"/>
      <c r="V166" s="351"/>
      <c r="W166" s="351"/>
      <c r="X166" s="351"/>
      <c r="Y166" s="351"/>
      <c r="Z166" s="351"/>
      <c r="AA166" s="351"/>
      <c r="AB166" s="351"/>
      <c r="AC166" s="351"/>
      <c r="AD166" s="351"/>
      <c r="AE166" s="351"/>
      <c r="AF166" s="351"/>
      <c r="AG166" s="351"/>
      <c r="AH166" s="351"/>
      <c r="AI166" s="351"/>
      <c r="AJ166" s="351"/>
      <c r="AK166" s="351"/>
      <c r="AL166" s="351"/>
      <c r="AM166" s="351"/>
      <c r="AN166" s="351"/>
      <c r="AO166" s="351"/>
      <c r="AP166" s="351"/>
      <c r="AQ166" s="351"/>
      <c r="AR166" s="351"/>
      <c r="AS166" s="43"/>
      <c r="AT166" s="43"/>
      <c r="AU166" s="43"/>
      <c r="AV166" s="43"/>
      <c r="AW166" s="43"/>
      <c r="AX166" s="43"/>
      <c r="AY166" s="43"/>
      <c r="AZ166" s="43"/>
      <c r="BA166" s="43"/>
      <c r="BB166" s="43"/>
      <c r="BC166" s="43"/>
      <c r="BD166" s="43"/>
      <c r="BE166" s="43"/>
      <c r="BF166" s="43"/>
      <c r="BG166" s="43"/>
      <c r="BH166" s="43"/>
      <c r="BI166" s="43"/>
      <c r="BJ166" s="351"/>
      <c r="BK166" s="351"/>
      <c r="BL166" s="351"/>
      <c r="BM166" s="351"/>
      <c r="BN166" s="351"/>
      <c r="BO166" s="351"/>
      <c r="BP166" s="351"/>
      <c r="BQ166" s="351"/>
      <c r="BR166" s="351"/>
      <c r="BS166" s="351"/>
      <c r="BT166" s="351"/>
      <c r="BU166" s="351"/>
      <c r="BV166" s="351"/>
      <c r="BW166" s="351"/>
      <c r="BX166" s="351"/>
      <c r="BY166" s="351"/>
      <c r="BZ166" s="351"/>
      <c r="CA166" s="351"/>
      <c r="CB166" s="351"/>
      <c r="CC166" s="351"/>
      <c r="CD166" s="351"/>
      <c r="CE166" s="351"/>
      <c r="CF166" s="351"/>
      <c r="CG166" s="351"/>
      <c r="CH166" s="351"/>
      <c r="CI166" s="351"/>
      <c r="CJ166" s="351"/>
      <c r="CK166" s="351"/>
      <c r="CL166" s="351"/>
      <c r="CM166" s="351"/>
      <c r="CN166" s="351"/>
      <c r="CO166" s="351"/>
      <c r="CP166" s="351"/>
      <c r="CQ166" s="351"/>
      <c r="CR166" s="351"/>
      <c r="CS166" s="351"/>
      <c r="CT166" s="351"/>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43"/>
      <c r="FE166" s="43"/>
      <c r="FF166" s="43"/>
      <c r="FG166" s="43"/>
      <c r="FH166" s="43"/>
      <c r="FI166" s="43"/>
      <c r="FJ166" s="43"/>
      <c r="FK166" s="43"/>
      <c r="FL166" s="43"/>
      <c r="FM166" s="47"/>
      <c r="FN166" s="47"/>
      <c r="FO166" s="47"/>
      <c r="FP166" s="47"/>
      <c r="FQ166" s="47"/>
      <c r="FR166" s="47"/>
      <c r="FS166" s="47"/>
      <c r="FT166" s="47"/>
      <c r="FU166" s="47"/>
      <c r="FV166" s="47"/>
      <c r="FW166" s="47"/>
      <c r="FX166" s="47"/>
      <c r="FY166" s="32"/>
      <c r="FZ166" s="32"/>
      <c r="GA166" s="32"/>
      <c r="GB166" s="32"/>
      <c r="GC166" s="32"/>
      <c r="GD166" s="32"/>
      <c r="GE166" s="32"/>
      <c r="GF166" s="32"/>
      <c r="GG166" s="32"/>
      <c r="GH166" s="32"/>
      <c r="GI166" s="32"/>
      <c r="GJ166" s="32"/>
      <c r="GK166" s="32"/>
      <c r="GL166" s="32"/>
      <c r="GM166" s="49"/>
      <c r="GN166" s="49"/>
      <c r="GO166" s="49"/>
      <c r="GP166" s="49"/>
      <c r="GQ166" s="49"/>
      <c r="GR166" s="49"/>
      <c r="GS166" s="49"/>
      <c r="GT166" s="49"/>
      <c r="GU166" s="49"/>
      <c r="GV166" s="49"/>
      <c r="GW166" s="49"/>
      <c r="GX166" s="49"/>
      <c r="GY166" s="49"/>
      <c r="GZ166" s="49"/>
      <c r="HA166" s="49"/>
      <c r="HB166" s="49"/>
      <c r="HC166" s="49"/>
      <c r="HD166" s="49"/>
      <c r="HE166" s="49"/>
      <c r="HF166" s="49"/>
      <c r="HG166" s="49"/>
      <c r="HH166" s="49"/>
      <c r="HI166" s="49"/>
      <c r="HJ166" s="49"/>
      <c r="HK166" s="49"/>
      <c r="HL166" s="49"/>
      <c r="HM166" s="49"/>
      <c r="HN166" s="49"/>
    </row>
    <row r="167" spans="1:222" ht="16.95" customHeight="1">
      <c r="A167" s="1"/>
      <c r="B167" s="3"/>
      <c r="C167" s="3"/>
      <c r="D167" s="373" t="str">
        <f ca="1">IF(FO162=0,"","eens naar de tabel en zie dat de MW rond q = "&amp;FP162&amp;" de nul passeert.")</f>
        <v/>
      </c>
      <c r="E167" s="507"/>
      <c r="F167" s="507"/>
      <c r="G167" s="507"/>
      <c r="H167" s="507"/>
      <c r="I167" s="507"/>
      <c r="J167" s="507"/>
      <c r="K167" s="507"/>
      <c r="L167" s="507"/>
      <c r="M167" s="507"/>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351"/>
      <c r="BK167" s="351"/>
      <c r="BL167" s="351"/>
      <c r="BM167" s="351"/>
      <c r="BN167" s="351"/>
      <c r="BO167" s="351"/>
      <c r="BP167" s="351"/>
      <c r="BQ167" s="351"/>
      <c r="BR167" s="351"/>
      <c r="BS167" s="351"/>
      <c r="BT167" s="351"/>
      <c r="BU167" s="351"/>
      <c r="BV167" s="351"/>
      <c r="BW167" s="351"/>
      <c r="BX167" s="351"/>
      <c r="BY167" s="351"/>
      <c r="BZ167" s="351"/>
      <c r="CA167" s="351"/>
      <c r="CB167" s="351"/>
      <c r="CC167" s="351"/>
      <c r="CD167" s="351"/>
      <c r="CE167" s="351"/>
      <c r="CF167" s="351"/>
      <c r="CG167" s="351"/>
      <c r="CH167" s="351"/>
      <c r="CI167" s="351"/>
      <c r="CJ167" s="351"/>
      <c r="CK167" s="351"/>
      <c r="CL167" s="351"/>
      <c r="CM167" s="351"/>
      <c r="CN167" s="351"/>
      <c r="CO167" s="351"/>
      <c r="CP167" s="351"/>
      <c r="CQ167" s="351"/>
      <c r="CR167" s="351"/>
      <c r="CS167" s="351"/>
      <c r="CT167" s="351"/>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7"/>
      <c r="FN167" s="47"/>
      <c r="FO167" s="47"/>
      <c r="FP167" s="47"/>
      <c r="FQ167" s="47"/>
      <c r="FR167" s="47"/>
      <c r="FS167" s="47"/>
      <c r="FT167" s="47"/>
      <c r="FU167" s="47"/>
      <c r="FV167" s="47"/>
      <c r="FW167" s="47"/>
      <c r="FX167" s="47"/>
      <c r="FY167" s="32"/>
      <c r="FZ167" s="32"/>
      <c r="GA167" s="32"/>
      <c r="GB167" s="32"/>
      <c r="GC167" s="32"/>
      <c r="GD167" s="32"/>
      <c r="GE167" s="32"/>
      <c r="GF167" s="32"/>
      <c r="GG167" s="32"/>
      <c r="GH167" s="32"/>
      <c r="GI167" s="32"/>
      <c r="GJ167" s="32"/>
      <c r="GK167" s="32"/>
      <c r="GL167" s="32"/>
      <c r="GM167" s="49"/>
      <c r="GN167" s="49"/>
      <c r="GO167" s="49"/>
      <c r="GP167" s="49"/>
      <c r="GQ167" s="49"/>
      <c r="GR167" s="49"/>
      <c r="GS167" s="49"/>
      <c r="GT167" s="49"/>
      <c r="GU167" s="49"/>
      <c r="GV167" s="49"/>
      <c r="GW167" s="49"/>
      <c r="GX167" s="49"/>
      <c r="GY167" s="49"/>
      <c r="GZ167" s="49"/>
      <c r="HA167" s="49"/>
      <c r="HB167" s="49"/>
      <c r="HC167" s="49"/>
      <c r="HD167" s="49"/>
      <c r="HE167" s="49"/>
      <c r="HF167" s="49"/>
      <c r="HG167" s="49"/>
      <c r="HH167" s="49"/>
      <c r="HI167" s="49"/>
      <c r="HJ167" s="49"/>
      <c r="HK167" s="49"/>
      <c r="HL167" s="49"/>
      <c r="HM167" s="49"/>
      <c r="HN167" s="49"/>
    </row>
    <row r="168" spans="1:222" ht="16.95" customHeight="1">
      <c r="A168" s="1"/>
      <c r="B168" s="3"/>
      <c r="C168" s="3"/>
      <c r="D168" s="373"/>
      <c r="E168" s="507"/>
      <c r="F168" s="507"/>
      <c r="G168" s="507"/>
      <c r="H168" s="507"/>
      <c r="I168" s="507"/>
      <c r="J168" s="507"/>
      <c r="K168" s="507"/>
      <c r="L168" s="507"/>
      <c r="M168" s="507"/>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351"/>
      <c r="BK168" s="351"/>
      <c r="BL168" s="351"/>
      <c r="BM168" s="351"/>
      <c r="BN168" s="351"/>
      <c r="BO168" s="351"/>
      <c r="BP168" s="351"/>
      <c r="BQ168" s="351"/>
      <c r="BR168" s="351"/>
      <c r="BS168" s="351"/>
      <c r="BT168" s="351"/>
      <c r="BU168" s="351"/>
      <c r="BV168" s="351"/>
      <c r="BW168" s="351"/>
      <c r="BX168" s="351"/>
      <c r="BY168" s="351"/>
      <c r="BZ168" s="351"/>
      <c r="CA168" s="351"/>
      <c r="CB168" s="351"/>
      <c r="CC168" s="351"/>
      <c r="CD168" s="351"/>
      <c r="CE168" s="351"/>
      <c r="CF168" s="351"/>
      <c r="CG168" s="351"/>
      <c r="CH168" s="351"/>
      <c r="CI168" s="351"/>
      <c r="CJ168" s="351"/>
      <c r="CK168" s="351"/>
      <c r="CL168" s="351"/>
      <c r="CM168" s="351"/>
      <c r="CN168" s="351"/>
      <c r="CO168" s="351"/>
      <c r="CP168" s="351"/>
      <c r="CQ168" s="351"/>
      <c r="CR168" s="351"/>
      <c r="CS168" s="351"/>
      <c r="CT168" s="351"/>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43"/>
      <c r="FE168" s="43"/>
      <c r="FF168" s="43"/>
      <c r="FG168" s="43"/>
      <c r="FH168" s="43"/>
      <c r="FI168" s="43"/>
      <c r="FJ168" s="43"/>
      <c r="FK168" s="43"/>
      <c r="FL168" s="43"/>
      <c r="FM168" s="47"/>
      <c r="FN168" s="47"/>
      <c r="FO168" s="47"/>
      <c r="FP168" s="47"/>
      <c r="FQ168" s="47"/>
      <c r="FR168" s="47"/>
      <c r="FS168" s="47"/>
      <c r="FT168" s="47"/>
      <c r="FU168" s="47"/>
      <c r="FV168" s="47"/>
      <c r="FW168" s="47"/>
      <c r="FX168" s="47"/>
      <c r="FY168" s="32"/>
      <c r="FZ168" s="32"/>
      <c r="GA168" s="32"/>
      <c r="GB168" s="32"/>
      <c r="GC168" s="32"/>
      <c r="GD168" s="32"/>
      <c r="GE168" s="32"/>
      <c r="GF168" s="32"/>
      <c r="GG168" s="32"/>
      <c r="GH168" s="32"/>
      <c r="GI168" s="32"/>
      <c r="GJ168" s="32"/>
      <c r="GK168" s="32"/>
      <c r="GL168" s="32"/>
      <c r="GM168" s="49"/>
      <c r="GN168" s="49"/>
      <c r="GO168" s="49"/>
      <c r="GP168" s="49"/>
      <c r="GQ168" s="49"/>
      <c r="GR168" s="49"/>
      <c r="GS168" s="49"/>
      <c r="GT168" s="49"/>
      <c r="GU168" s="49"/>
      <c r="GV168" s="49"/>
      <c r="GW168" s="49"/>
      <c r="GX168" s="49"/>
      <c r="GY168" s="49"/>
      <c r="GZ168" s="49"/>
      <c r="HA168" s="49"/>
      <c r="HB168" s="49"/>
      <c r="HC168" s="49"/>
      <c r="HD168" s="49"/>
      <c r="HE168" s="49"/>
      <c r="HF168" s="49"/>
      <c r="HG168" s="49"/>
      <c r="HH168" s="49"/>
      <c r="HI168" s="49"/>
      <c r="HJ168" s="49"/>
      <c r="HK168" s="49"/>
      <c r="HL168" s="49"/>
      <c r="HM168" s="49"/>
      <c r="HN168" s="49"/>
    </row>
    <row r="169" spans="1:222" ht="16.95" customHeight="1">
      <c r="A169" s="1"/>
      <c r="B169" s="3"/>
      <c r="C169" s="3"/>
      <c r="D169" s="373" t="str">
        <f ca="1">IF(FO162=0,"","Nu moet je de totale winst berekenen bij de hoeveelheid waarbij maximale")</f>
        <v/>
      </c>
      <c r="E169" s="507"/>
      <c r="F169" s="507"/>
      <c r="G169" s="507"/>
      <c r="H169" s="507"/>
      <c r="I169" s="507"/>
      <c r="J169" s="507"/>
      <c r="K169" s="507"/>
      <c r="L169" s="507"/>
      <c r="M169" s="507"/>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351"/>
      <c r="BK169" s="351"/>
      <c r="BL169" s="351"/>
      <c r="BM169" s="351"/>
      <c r="BN169" s="351"/>
      <c r="BO169" s="351"/>
      <c r="BP169" s="351"/>
      <c r="BQ169" s="351"/>
      <c r="BR169" s="351"/>
      <c r="BS169" s="351"/>
      <c r="BT169" s="351"/>
      <c r="BU169" s="351"/>
      <c r="BV169" s="351"/>
      <c r="BW169" s="351"/>
      <c r="BX169" s="351"/>
      <c r="BY169" s="351"/>
      <c r="BZ169" s="351"/>
      <c r="CA169" s="351"/>
      <c r="CB169" s="351"/>
      <c r="CC169" s="351"/>
      <c r="CD169" s="351"/>
      <c r="CE169" s="351"/>
      <c r="CF169" s="351"/>
      <c r="CG169" s="351"/>
      <c r="CH169" s="351"/>
      <c r="CI169" s="351"/>
      <c r="CJ169" s="351"/>
      <c r="CK169" s="351"/>
      <c r="CL169" s="351"/>
      <c r="CM169" s="351"/>
      <c r="CN169" s="351"/>
      <c r="CO169" s="351"/>
      <c r="CP169" s="351"/>
      <c r="CQ169" s="351"/>
      <c r="CR169" s="351"/>
      <c r="CS169" s="351"/>
      <c r="CT169" s="351"/>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43"/>
      <c r="FE169" s="43"/>
      <c r="FF169" s="43"/>
      <c r="FG169" s="43"/>
      <c r="FH169" s="43"/>
      <c r="FI169" s="43"/>
      <c r="FJ169" s="43"/>
      <c r="FK169" s="43"/>
      <c r="FL169" s="43"/>
      <c r="FM169" s="47"/>
      <c r="FN169" s="47"/>
      <c r="FO169" s="47"/>
      <c r="FP169" s="47"/>
      <c r="FQ169" s="47"/>
      <c r="FR169" s="47"/>
      <c r="FS169" s="47"/>
      <c r="FT169" s="47"/>
      <c r="FU169" s="47"/>
      <c r="FV169" s="47"/>
      <c r="FW169" s="47"/>
      <c r="FX169" s="47"/>
      <c r="FY169" s="32"/>
      <c r="FZ169" s="32"/>
      <c r="GA169" s="32"/>
      <c r="GB169" s="32"/>
      <c r="GC169" s="32"/>
      <c r="GD169" s="32"/>
      <c r="GE169" s="32"/>
      <c r="GF169" s="32"/>
      <c r="GG169" s="32"/>
      <c r="GH169" s="32"/>
      <c r="GI169" s="32"/>
      <c r="GJ169" s="32"/>
      <c r="GK169" s="32"/>
      <c r="GL169" s="32"/>
      <c r="GM169" s="49"/>
      <c r="GN169" s="49"/>
      <c r="GO169" s="49"/>
      <c r="GP169" s="49"/>
      <c r="GQ169" s="49"/>
      <c r="GR169" s="49"/>
      <c r="GS169" s="49"/>
      <c r="GT169" s="49"/>
      <c r="GU169" s="49"/>
      <c r="GV169" s="49"/>
      <c r="GW169" s="49"/>
      <c r="GX169" s="49"/>
      <c r="GY169" s="49"/>
      <c r="GZ169" s="49"/>
      <c r="HA169" s="49"/>
      <c r="HB169" s="49"/>
      <c r="HC169" s="49"/>
      <c r="HD169" s="49"/>
      <c r="HE169" s="49"/>
      <c r="HF169" s="49"/>
      <c r="HG169" s="49"/>
      <c r="HH169" s="49"/>
      <c r="HI169" s="49"/>
      <c r="HJ169" s="49"/>
      <c r="HK169" s="49"/>
      <c r="HL169" s="49"/>
      <c r="HM169" s="49"/>
      <c r="HN169" s="49"/>
    </row>
    <row r="170" spans="1:222" ht="16.95" customHeight="1">
      <c r="A170" s="1"/>
      <c r="B170" s="3"/>
      <c r="C170" s="3"/>
      <c r="D170" s="373" t="str">
        <f ca="1">IF(FO162=0,"","winst wordt gemaakt. Rond het eindbedrag af op hele euro's.")</f>
        <v/>
      </c>
      <c r="E170" s="507"/>
      <c r="F170" s="507"/>
      <c r="G170" s="507"/>
      <c r="H170" s="507"/>
      <c r="I170" s="507"/>
      <c r="J170" s="507"/>
      <c r="K170" s="507"/>
      <c r="L170" s="507"/>
      <c r="M170" s="507"/>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351"/>
      <c r="BK170" s="351"/>
      <c r="BL170" s="351"/>
      <c r="BM170" s="351"/>
      <c r="BN170" s="351"/>
      <c r="BO170" s="351"/>
      <c r="BP170" s="351"/>
      <c r="BQ170" s="351"/>
      <c r="BR170" s="351"/>
      <c r="BS170" s="351"/>
      <c r="BT170" s="351"/>
      <c r="BU170" s="351"/>
      <c r="BV170" s="351"/>
      <c r="BW170" s="351"/>
      <c r="BX170" s="351"/>
      <c r="BY170" s="351"/>
      <c r="BZ170" s="351"/>
      <c r="CA170" s="351"/>
      <c r="CB170" s="351"/>
      <c r="CC170" s="351"/>
      <c r="CD170" s="351"/>
      <c r="CE170" s="351"/>
      <c r="CF170" s="351"/>
      <c r="CG170" s="351"/>
      <c r="CH170" s="351"/>
      <c r="CI170" s="351"/>
      <c r="CJ170" s="351"/>
      <c r="CK170" s="351"/>
      <c r="CL170" s="351"/>
      <c r="CM170" s="351"/>
      <c r="CN170" s="351"/>
      <c r="CO170" s="351"/>
      <c r="CP170" s="351"/>
      <c r="CQ170" s="351"/>
      <c r="CR170" s="351"/>
      <c r="CS170" s="351"/>
      <c r="CT170" s="351"/>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43"/>
      <c r="FE170" s="43"/>
      <c r="FF170" s="43"/>
      <c r="FG170" s="43"/>
      <c r="FH170" s="43"/>
      <c r="FI170" s="43"/>
      <c r="FJ170" s="43"/>
      <c r="FK170" s="43"/>
      <c r="FL170" s="43"/>
      <c r="FM170" s="47"/>
      <c r="FN170" s="47"/>
      <c r="FO170" s="47"/>
      <c r="FP170" s="47"/>
      <c r="FQ170" s="47"/>
      <c r="FR170" s="47"/>
      <c r="FS170" s="47"/>
      <c r="FT170" s="47"/>
      <c r="FU170" s="47"/>
      <c r="FV170" s="47"/>
      <c r="FW170" s="47"/>
      <c r="FX170" s="47"/>
      <c r="FY170" s="32"/>
      <c r="FZ170" s="32"/>
      <c r="GA170" s="32"/>
      <c r="GB170" s="32"/>
      <c r="GC170" s="32"/>
      <c r="GD170" s="32"/>
      <c r="GE170" s="32"/>
      <c r="GF170" s="32"/>
      <c r="GG170" s="32"/>
      <c r="GH170" s="32"/>
      <c r="GI170" s="32"/>
      <c r="GJ170" s="32"/>
      <c r="GK170" s="32"/>
      <c r="GL170" s="32"/>
      <c r="GM170" s="49"/>
      <c r="GN170" s="49"/>
      <c r="GO170" s="49"/>
      <c r="GP170" s="49"/>
      <c r="GQ170" s="49"/>
      <c r="GR170" s="49"/>
      <c r="GS170" s="49"/>
      <c r="GT170" s="49"/>
      <c r="GU170" s="49"/>
      <c r="GV170" s="49"/>
      <c r="GW170" s="49"/>
      <c r="GX170" s="49"/>
      <c r="GY170" s="49"/>
      <c r="GZ170" s="49"/>
      <c r="HA170" s="49"/>
      <c r="HB170" s="49"/>
      <c r="HC170" s="49"/>
      <c r="HD170" s="49"/>
      <c r="HE170" s="49"/>
      <c r="HF170" s="49"/>
      <c r="HG170" s="49"/>
      <c r="HH170" s="49"/>
      <c r="HI170" s="49"/>
      <c r="HJ170" s="49"/>
      <c r="HK170" s="49"/>
      <c r="HL170" s="49"/>
      <c r="HM170" s="49"/>
      <c r="HN170" s="49"/>
    </row>
    <row r="171" spans="1:222" ht="7.95" customHeight="1">
      <c r="A171" s="1"/>
      <c r="B171" s="3"/>
      <c r="C171" s="3"/>
      <c r="D171" s="38"/>
      <c r="E171" s="507"/>
      <c r="F171" s="507"/>
      <c r="G171" s="507"/>
      <c r="H171" s="507"/>
      <c r="I171" s="507"/>
      <c r="J171" s="507"/>
      <c r="K171" s="507"/>
      <c r="L171" s="507"/>
      <c r="M171" s="507"/>
      <c r="N171" s="507"/>
      <c r="O171" s="507"/>
      <c r="P171" s="507"/>
      <c r="Q171" s="507"/>
      <c r="R171" s="507"/>
      <c r="S171" s="507"/>
      <c r="T171" s="507"/>
      <c r="U171" s="41"/>
      <c r="V171" s="41"/>
      <c r="W171" s="41"/>
      <c r="X171" s="41"/>
      <c r="Y171" s="41"/>
      <c r="Z171" s="42"/>
      <c r="AA171" s="41"/>
      <c r="AB171" s="41"/>
      <c r="AC171" s="41"/>
      <c r="AD171" s="41"/>
      <c r="AE171" s="41"/>
      <c r="AF171" s="41"/>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351"/>
      <c r="BK171" s="351"/>
      <c r="BL171" s="351"/>
      <c r="BM171" s="351"/>
      <c r="BN171" s="351"/>
      <c r="BO171" s="351"/>
      <c r="BP171" s="351"/>
      <c r="BQ171" s="351"/>
      <c r="BR171" s="351"/>
      <c r="BS171" s="351"/>
      <c r="BT171" s="351"/>
      <c r="BU171" s="351"/>
      <c r="BV171" s="351"/>
      <c r="BW171" s="351"/>
      <c r="BX171" s="351"/>
      <c r="BY171" s="351"/>
      <c r="BZ171" s="351"/>
      <c r="CA171" s="351"/>
      <c r="CB171" s="351"/>
      <c r="CC171" s="351"/>
      <c r="CD171" s="351"/>
      <c r="CE171" s="351"/>
      <c r="CF171" s="351"/>
      <c r="CG171" s="351"/>
      <c r="CH171" s="351"/>
      <c r="CI171" s="351"/>
      <c r="CJ171" s="351"/>
      <c r="CK171" s="351"/>
      <c r="CL171" s="351"/>
      <c r="CM171" s="351"/>
      <c r="CN171" s="351"/>
      <c r="CO171" s="351"/>
      <c r="CP171" s="351"/>
      <c r="CQ171" s="351"/>
      <c r="CR171" s="351"/>
      <c r="CS171" s="351"/>
      <c r="CT171" s="351"/>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7"/>
      <c r="FN171" s="47"/>
      <c r="FO171" s="48"/>
      <c r="FP171" s="47"/>
      <c r="FQ171" s="79"/>
      <c r="FR171" s="47"/>
      <c r="FS171" s="47"/>
      <c r="FT171" s="47"/>
      <c r="FU171" s="47"/>
      <c r="FV171" s="47"/>
      <c r="FW171" s="47"/>
      <c r="FX171" s="47"/>
      <c r="FY171" s="32"/>
      <c r="FZ171" s="32"/>
      <c r="GA171" s="32"/>
      <c r="GB171" s="32"/>
      <c r="GC171" s="32"/>
      <c r="GD171" s="32"/>
      <c r="GE171" s="32"/>
      <c r="GF171" s="32"/>
      <c r="GG171" s="32"/>
      <c r="GH171" s="32"/>
      <c r="GI171" s="32"/>
      <c r="GJ171" s="32"/>
      <c r="GK171" s="32"/>
      <c r="GL171" s="32"/>
      <c r="GM171" s="49"/>
      <c r="GN171" s="49"/>
      <c r="GO171" s="49"/>
      <c r="GP171" s="49"/>
      <c r="GQ171" s="49"/>
      <c r="GR171" s="49"/>
      <c r="GS171" s="49"/>
      <c r="GT171" s="49"/>
      <c r="GU171" s="49"/>
      <c r="GV171" s="49"/>
      <c r="GW171" s="49"/>
      <c r="GX171" s="49"/>
      <c r="GY171" s="49"/>
      <c r="GZ171" s="49"/>
      <c r="HA171" s="49"/>
      <c r="HB171" s="49"/>
      <c r="HC171" s="49"/>
      <c r="HD171" s="49"/>
      <c r="HE171" s="49"/>
      <c r="HF171" s="49"/>
      <c r="HG171" s="49"/>
      <c r="HH171" s="49"/>
      <c r="HI171" s="49"/>
      <c r="HJ171" s="49"/>
      <c r="HK171" s="49"/>
      <c r="HL171" s="49"/>
      <c r="HM171" s="49"/>
      <c r="HN171" s="49"/>
    </row>
    <row r="172" spans="1:222" ht="3.75" customHeight="1">
      <c r="A172" s="1"/>
      <c r="B172" s="3"/>
      <c r="C172" s="3"/>
      <c r="D172" s="38"/>
      <c r="E172" s="507"/>
      <c r="F172" s="507"/>
      <c r="G172" s="507"/>
      <c r="H172" s="507"/>
      <c r="I172" s="507"/>
      <c r="J172" s="507"/>
      <c r="K172" s="538" t="str">
        <f ca="1">IF(FO162=0,"",".")</f>
        <v/>
      </c>
      <c r="L172" s="538"/>
      <c r="M172" s="538"/>
      <c r="N172" s="538"/>
      <c r="O172" s="538"/>
      <c r="P172" s="538"/>
      <c r="Q172" s="538"/>
      <c r="R172" s="538"/>
      <c r="S172" s="538"/>
      <c r="T172" s="538"/>
      <c r="U172" s="538"/>
      <c r="V172" s="538"/>
      <c r="W172" s="538"/>
      <c r="X172" s="538"/>
      <c r="Y172" s="538"/>
      <c r="Z172" s="538"/>
      <c r="AA172" s="538"/>
      <c r="AB172" s="538"/>
      <c r="AC172" s="538"/>
      <c r="AD172" s="538"/>
      <c r="AE172" s="538"/>
      <c r="AF172" s="538"/>
      <c r="AG172" s="538"/>
      <c r="AH172" s="538"/>
      <c r="AI172" s="538"/>
      <c r="AJ172" s="538"/>
      <c r="AK172" s="538"/>
      <c r="AL172" s="538"/>
      <c r="AM172" s="538"/>
      <c r="AN172" s="538"/>
      <c r="AO172" s="43"/>
      <c r="AP172" s="43"/>
      <c r="AQ172" s="43"/>
      <c r="AR172" s="43"/>
      <c r="AS172" s="43"/>
      <c r="AT172" s="43"/>
      <c r="AU172" s="43"/>
      <c r="AV172" s="351"/>
      <c r="AW172" s="351"/>
      <c r="AX172" s="351"/>
      <c r="AY172" s="351"/>
      <c r="AZ172" s="351"/>
      <c r="BA172" s="351"/>
      <c r="BB172" s="351"/>
      <c r="BC172" s="351"/>
      <c r="BD172" s="351"/>
      <c r="BE172" s="351"/>
      <c r="BF172" s="351"/>
      <c r="BG172" s="351"/>
      <c r="BH172" s="351"/>
      <c r="BI172" s="351"/>
      <c r="BJ172" s="351"/>
      <c r="BK172" s="351"/>
      <c r="BL172" s="351"/>
      <c r="BM172" s="351"/>
      <c r="BN172" s="351"/>
      <c r="BO172" s="351"/>
      <c r="BP172" s="351"/>
      <c r="BQ172" s="351"/>
      <c r="BR172" s="351"/>
      <c r="BS172" s="351"/>
      <c r="BT172" s="351"/>
      <c r="BU172" s="351"/>
      <c r="BV172" s="351"/>
      <c r="BW172" s="351"/>
      <c r="BX172" s="351"/>
      <c r="BY172" s="351"/>
      <c r="BZ172" s="351"/>
      <c r="CA172" s="351"/>
      <c r="CB172" s="351"/>
      <c r="CC172" s="351"/>
      <c r="CD172" s="351"/>
      <c r="CE172" s="351"/>
      <c r="CF172" s="351"/>
      <c r="CG172" s="351"/>
      <c r="CH172" s="351"/>
      <c r="CI172" s="351"/>
      <c r="CJ172" s="351"/>
      <c r="CK172" s="351"/>
      <c r="CL172" s="351"/>
      <c r="CM172" s="351"/>
      <c r="CN172" s="351"/>
      <c r="CO172" s="351"/>
      <c r="CP172" s="351"/>
      <c r="CQ172" s="351"/>
      <c r="CR172" s="351"/>
      <c r="CS172" s="351"/>
      <c r="CT172" s="351"/>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3"/>
      <c r="FI172" s="43"/>
      <c r="FJ172" s="43"/>
      <c r="FK172" s="43"/>
      <c r="FL172" s="43"/>
      <c r="FM172" s="47"/>
      <c r="FN172" s="47"/>
      <c r="FO172" s="48"/>
      <c r="FP172" s="47"/>
      <c r="FQ172" s="79"/>
      <c r="FR172" s="47"/>
      <c r="FS172" s="47"/>
      <c r="FT172" s="47"/>
      <c r="FU172" s="47"/>
      <c r="FV172" s="47"/>
      <c r="FW172" s="47"/>
      <c r="FX172" s="47"/>
      <c r="FY172" s="32"/>
      <c r="FZ172" s="32"/>
      <c r="GA172" s="32"/>
      <c r="GB172" s="32"/>
      <c r="GC172" s="32"/>
      <c r="GD172" s="32"/>
      <c r="GE172" s="32"/>
      <c r="GF172" s="32"/>
      <c r="GG172" s="32"/>
      <c r="GH172" s="32"/>
      <c r="GI172" s="32"/>
      <c r="GJ172" s="32"/>
      <c r="GK172" s="32"/>
      <c r="GL172" s="32"/>
      <c r="GM172" s="49"/>
      <c r="GN172" s="49"/>
      <c r="GO172" s="49"/>
      <c r="GP172" s="49"/>
      <c r="GQ172" s="49"/>
      <c r="GR172" s="49"/>
      <c r="GS172" s="49"/>
      <c r="GT172" s="49"/>
      <c r="GU172" s="49"/>
      <c r="GV172" s="49"/>
      <c r="GW172" s="49"/>
      <c r="GX172" s="49"/>
      <c r="GY172" s="49"/>
      <c r="GZ172" s="49"/>
      <c r="HA172" s="49"/>
      <c r="HB172" s="49"/>
      <c r="HC172" s="49"/>
      <c r="HD172" s="49"/>
      <c r="HE172" s="49"/>
      <c r="HF172" s="49"/>
      <c r="HG172" s="49"/>
      <c r="HH172" s="49"/>
      <c r="HI172" s="49"/>
      <c r="HJ172" s="49"/>
      <c r="HK172" s="49"/>
      <c r="HL172" s="49"/>
      <c r="HM172" s="49"/>
      <c r="HN172" s="49"/>
    </row>
    <row r="173" spans="1:222" ht="16.5" customHeight="1">
      <c r="A173" s="1"/>
      <c r="B173" s="476"/>
      <c r="C173" s="3"/>
      <c r="D173" s="38"/>
      <c r="E173" s="507"/>
      <c r="F173" s="507"/>
      <c r="G173" s="507"/>
      <c r="H173" s="507"/>
      <c r="I173" s="507"/>
      <c r="J173" s="507"/>
      <c r="K173" s="503" t="str">
        <f ca="1">IF(FO162=0,"",".")</f>
        <v/>
      </c>
      <c r="L173" s="690"/>
      <c r="M173" s="690"/>
      <c r="N173" s="690"/>
      <c r="O173" s="690"/>
      <c r="P173" s="690"/>
      <c r="Q173" s="690"/>
      <c r="R173" s="690"/>
      <c r="S173" s="690"/>
      <c r="T173" s="690"/>
      <c r="U173" s="690"/>
      <c r="V173" s="690"/>
      <c r="W173" s="690"/>
      <c r="X173" s="690"/>
      <c r="Y173" s="690"/>
      <c r="Z173" s="690"/>
      <c r="AA173" s="690"/>
      <c r="AB173" s="690"/>
      <c r="AC173" s="690"/>
      <c r="AD173" s="690"/>
      <c r="AE173" s="690"/>
      <c r="AF173" s="690"/>
      <c r="AG173" s="690"/>
      <c r="AH173" s="690"/>
      <c r="AI173" s="690"/>
      <c r="AJ173" s="690"/>
      <c r="AK173" s="690"/>
      <c r="AL173" s="690"/>
      <c r="AM173" s="690"/>
      <c r="AN173" s="503" t="str">
        <f ca="1">IF(FO162=0,"",".")</f>
        <v/>
      </c>
      <c r="AO173" s="43"/>
      <c r="AP173" s="506" t="str">
        <f>IF(L173="","",IF(AND(programma!$A$301="uitwerking",$B173="X"),FM173,IF(FO173=1,"Goed!",IF(L173=FU173,"OK, maar je hebt tussendoor wel de TK al afgerond op hele eurocenten.",IF(FQ173=1,"Je hebt verkeerd afgerond.",IF(FV173=1,"Je hebt verkeerd afgerond.",IF(OR(L173=FW173,L173=FX173),"Je hebt afgerond op hele euro's. Dat mocht niet.",IF(L173=FT173,"Dit is de winst per product ipv de totale winst!","Fout! Heb je wel TO - TK genomen?"))))))))</f>
        <v/>
      </c>
      <c r="AQ173" s="43"/>
      <c r="AR173" s="43"/>
      <c r="AS173" s="43"/>
      <c r="AT173" s="43"/>
      <c r="AU173" s="43"/>
      <c r="AV173" s="351"/>
      <c r="AW173" s="351"/>
      <c r="AX173" s="351"/>
      <c r="AY173" s="351"/>
      <c r="AZ173" s="351"/>
      <c r="BA173" s="351"/>
      <c r="BB173" s="351"/>
      <c r="BC173" s="351"/>
      <c r="BD173" s="351"/>
      <c r="BE173" s="351"/>
      <c r="BF173" s="351"/>
      <c r="BG173" s="351"/>
      <c r="BH173" s="351"/>
      <c r="BI173" s="351"/>
      <c r="BJ173" s="351"/>
      <c r="BK173" s="351"/>
      <c r="BL173" s="351"/>
      <c r="BM173" s="351"/>
      <c r="BN173" s="351"/>
      <c r="BO173" s="351"/>
      <c r="BP173" s="351"/>
      <c r="BQ173" s="351"/>
      <c r="BR173" s="351"/>
      <c r="BS173" s="351"/>
      <c r="BT173" s="351"/>
      <c r="BU173" s="351"/>
      <c r="BV173" s="351"/>
      <c r="BW173" s="351"/>
      <c r="BX173" s="351"/>
      <c r="BY173" s="351"/>
      <c r="BZ173" s="351"/>
      <c r="CA173" s="351"/>
      <c r="CB173" s="351"/>
      <c r="CC173" s="351"/>
      <c r="CD173" s="351"/>
      <c r="CE173" s="351"/>
      <c r="CF173" s="351"/>
      <c r="CG173" s="351"/>
      <c r="CH173" s="351"/>
      <c r="CI173" s="351"/>
      <c r="CJ173" s="351"/>
      <c r="CK173" s="351"/>
      <c r="CL173" s="351"/>
      <c r="CM173" s="351"/>
      <c r="CN173" s="351"/>
      <c r="CO173" s="351"/>
      <c r="CP173" s="351"/>
      <c r="CQ173" s="351"/>
      <c r="CR173" s="351"/>
      <c r="CS173" s="351"/>
      <c r="CT173" s="351"/>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508"/>
      <c r="FM173" s="48" t="e">
        <f ca="1">"p = -"&amp;1/FP104&amp;" x "&amp;FP162&amp;" + "&amp;FQ104/FP104&amp;" = "&amp;-1/FP104*FP162+FQ104/FP104&amp;" dus TO = "&amp;FP162&amp;" x "&amp;FR173&amp;" = "&amp;FP162*FR173&amp;" en TK = "&amp;FP162&amp;" x "&amp;FV67&amp;" + "&amp;FU104&amp;" = "&amp;FP162*FV67+FU104&amp;" dus "&amp;FP173</f>
        <v>#DIV/0!</v>
      </c>
      <c r="FN173" s="47"/>
      <c r="FO173" s="48">
        <f ca="1">IF(programma!B1="X",1,IF(FO162=0,0,IF(L173=FP173,1,0)))</f>
        <v>0</v>
      </c>
      <c r="FP173" s="103" t="e">
        <f ca="1">IF(FO1=0,"",ROUND((-1/FP104*FP162+FQ104/FP104-(FS104*FP162+FT104+FU104/FP162))*FP162,0))</f>
        <v>#DIV/0!</v>
      </c>
      <c r="FQ173" s="79" t="e">
        <f ca="1">IF(AND(L173&gt;=FP173-0.01000000001,L173&lt;=FP173+0.01000000001),1,0)</f>
        <v>#DIV/0!</v>
      </c>
      <c r="FR173" s="94" t="e">
        <f ca="1">-1/FP104*FP162+FQ104/FP104</f>
        <v>#DIV/0!</v>
      </c>
      <c r="FS173" s="94" t="e">
        <f ca="1">ROUND(FS104*FP162+FT104+FU104/FP162,3)</f>
        <v>#DIV/0!</v>
      </c>
      <c r="FT173" s="94" t="e">
        <f ca="1">FR173-FS173</f>
        <v>#DIV/0!</v>
      </c>
      <c r="FU173" s="103" t="e">
        <f ca="1">(FR173-FS173)*FP162</f>
        <v>#DIV/0!</v>
      </c>
      <c r="FV173" s="79" t="e">
        <f ca="1">IF(AND(L173&gt;=FU173-1.000000001,L173&lt;=FU173+1.000000001),1,0)</f>
        <v>#DIV/0!</v>
      </c>
      <c r="FW173" s="103" t="e">
        <f ca="1">ROUND((-1/FP104*FP162+FQ104/FP104-(FS104*FP162+FT104+FU104/FP162))*FP162,0)</f>
        <v>#DIV/0!</v>
      </c>
      <c r="FX173" s="103" t="e">
        <f ca="1">ROUND((FR173-FS173)*FP162,0)</f>
        <v>#DIV/0!</v>
      </c>
      <c r="FY173" s="32"/>
      <c r="FZ173" s="32"/>
      <c r="GA173" s="32"/>
      <c r="GB173" s="32"/>
      <c r="GC173" s="32"/>
      <c r="GD173" s="32"/>
      <c r="GE173" s="32"/>
      <c r="GF173" s="32"/>
      <c r="GG173" s="32"/>
      <c r="GH173" s="32"/>
      <c r="GI173" s="32"/>
      <c r="GJ173" s="32"/>
      <c r="GK173" s="32"/>
      <c r="GL173" s="32"/>
      <c r="GM173" s="49"/>
      <c r="GN173" s="49"/>
      <c r="GO173" s="49"/>
      <c r="GP173" s="49"/>
      <c r="GQ173" s="49"/>
      <c r="GR173" s="49"/>
      <c r="GS173" s="49"/>
      <c r="GT173" s="49"/>
      <c r="GU173" s="49"/>
      <c r="GV173" s="49"/>
      <c r="GW173" s="49"/>
      <c r="GX173" s="49"/>
      <c r="GY173" s="49"/>
      <c r="GZ173" s="49"/>
      <c r="HA173" s="49"/>
      <c r="HB173" s="49"/>
      <c r="HC173" s="49"/>
      <c r="HD173" s="49"/>
      <c r="HE173" s="49"/>
      <c r="HF173" s="49"/>
      <c r="HG173" s="49"/>
      <c r="HH173" s="49"/>
      <c r="HI173" s="49"/>
      <c r="HJ173" s="49"/>
      <c r="HK173" s="49"/>
      <c r="HL173" s="49"/>
      <c r="HM173" s="49"/>
      <c r="HN173" s="49"/>
    </row>
    <row r="174" spans="1:222" ht="3.75" customHeight="1">
      <c r="A174" s="1"/>
      <c r="B174" s="3"/>
      <c r="C174" s="3"/>
      <c r="D174" s="38"/>
      <c r="E174" s="507"/>
      <c r="F174" s="507"/>
      <c r="G174" s="507"/>
      <c r="H174" s="507"/>
      <c r="I174" s="507"/>
      <c r="J174" s="507"/>
      <c r="K174" s="538" t="str">
        <f ca="1">IF(FO162=0,"",".")</f>
        <v/>
      </c>
      <c r="L174" s="538"/>
      <c r="M174" s="538"/>
      <c r="N174" s="538"/>
      <c r="O174" s="538"/>
      <c r="P174" s="538"/>
      <c r="Q174" s="538"/>
      <c r="R174" s="538"/>
      <c r="S174" s="538"/>
      <c r="T174" s="538"/>
      <c r="U174" s="538"/>
      <c r="V174" s="538"/>
      <c r="W174" s="538"/>
      <c r="X174" s="538"/>
      <c r="Y174" s="538"/>
      <c r="Z174" s="538"/>
      <c r="AA174" s="538"/>
      <c r="AB174" s="538"/>
      <c r="AC174" s="538"/>
      <c r="AD174" s="538"/>
      <c r="AE174" s="538"/>
      <c r="AF174" s="538"/>
      <c r="AG174" s="538"/>
      <c r="AH174" s="538"/>
      <c r="AI174" s="538"/>
      <c r="AJ174" s="538"/>
      <c r="AK174" s="538"/>
      <c r="AL174" s="538"/>
      <c r="AM174" s="538"/>
      <c r="AN174" s="538"/>
      <c r="AO174" s="43"/>
      <c r="AP174" s="43"/>
      <c r="AQ174" s="43"/>
      <c r="AR174" s="43"/>
      <c r="AS174" s="43"/>
      <c r="AT174" s="43"/>
      <c r="AU174" s="43"/>
      <c r="AV174" s="351"/>
      <c r="AW174" s="351"/>
      <c r="AX174" s="351"/>
      <c r="AY174" s="351"/>
      <c r="AZ174" s="351"/>
      <c r="BA174" s="351"/>
      <c r="BB174" s="351"/>
      <c r="BC174" s="351"/>
      <c r="BD174" s="351"/>
      <c r="BE174" s="351"/>
      <c r="BF174" s="351"/>
      <c r="BG174" s="351"/>
      <c r="BH174" s="351"/>
      <c r="BI174" s="351"/>
      <c r="BJ174" s="351"/>
      <c r="BK174" s="351"/>
      <c r="BL174" s="351"/>
      <c r="BM174" s="351"/>
      <c r="BN174" s="351"/>
      <c r="BO174" s="351"/>
      <c r="BP174" s="351"/>
      <c r="BQ174" s="351"/>
      <c r="BR174" s="351"/>
      <c r="BS174" s="351"/>
      <c r="BT174" s="351"/>
      <c r="BU174" s="351"/>
      <c r="BV174" s="351"/>
      <c r="BW174" s="351"/>
      <c r="BX174" s="351"/>
      <c r="BY174" s="351"/>
      <c r="BZ174" s="351"/>
      <c r="CA174" s="351"/>
      <c r="CB174" s="351"/>
      <c r="CC174" s="351"/>
      <c r="CD174" s="351"/>
      <c r="CE174" s="351"/>
      <c r="CF174" s="351"/>
      <c r="CG174" s="351"/>
      <c r="CH174" s="351"/>
      <c r="CI174" s="351"/>
      <c r="CJ174" s="351"/>
      <c r="CK174" s="351"/>
      <c r="CL174" s="351"/>
      <c r="CM174" s="351"/>
      <c r="CN174" s="351"/>
      <c r="CO174" s="351"/>
      <c r="CP174" s="351"/>
      <c r="CQ174" s="351"/>
      <c r="CR174" s="351"/>
      <c r="CS174" s="351"/>
      <c r="CT174" s="351"/>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c r="EN174" s="43"/>
      <c r="EO174" s="43"/>
      <c r="EP174" s="43"/>
      <c r="EQ174" s="43"/>
      <c r="ER174" s="43"/>
      <c r="ES174" s="43"/>
      <c r="ET174" s="43"/>
      <c r="EU174" s="43"/>
      <c r="EV174" s="43"/>
      <c r="EW174" s="43"/>
      <c r="EX174" s="43"/>
      <c r="EY174" s="43"/>
      <c r="EZ174" s="43"/>
      <c r="FA174" s="43"/>
      <c r="FB174" s="43"/>
      <c r="FC174" s="43"/>
      <c r="FD174" s="43"/>
      <c r="FE174" s="43"/>
      <c r="FF174" s="43"/>
      <c r="FG174" s="43"/>
      <c r="FH174" s="43"/>
      <c r="FI174" s="43"/>
      <c r="FJ174" s="43"/>
      <c r="FK174" s="43"/>
      <c r="FL174" s="43"/>
      <c r="FM174" s="47"/>
      <c r="FN174" s="47"/>
      <c r="FO174" s="48"/>
      <c r="FP174" s="47"/>
      <c r="FQ174" s="79"/>
      <c r="FR174" s="47"/>
      <c r="FS174" s="47"/>
      <c r="FT174" s="47"/>
      <c r="FU174" s="47"/>
      <c r="FV174" s="47"/>
      <c r="FW174" s="47"/>
      <c r="FX174" s="47"/>
      <c r="FY174" s="32"/>
      <c r="FZ174" s="32"/>
      <c r="GA174" s="32"/>
      <c r="GB174" s="32"/>
      <c r="GC174" s="32"/>
      <c r="GD174" s="32"/>
      <c r="GE174" s="32"/>
      <c r="GF174" s="32"/>
      <c r="GG174" s="32"/>
      <c r="GH174" s="32"/>
      <c r="GI174" s="32"/>
      <c r="GJ174" s="32"/>
      <c r="GK174" s="32"/>
      <c r="GL174" s="32"/>
      <c r="GM174" s="49"/>
      <c r="GN174" s="49"/>
      <c r="GO174" s="49"/>
      <c r="GP174" s="49"/>
      <c r="GQ174" s="49"/>
      <c r="GR174" s="49"/>
      <c r="GS174" s="49"/>
      <c r="GT174" s="49"/>
      <c r="GU174" s="49"/>
      <c r="GV174" s="49"/>
      <c r="GW174" s="49"/>
      <c r="GX174" s="49"/>
      <c r="GY174" s="49"/>
      <c r="GZ174" s="49"/>
      <c r="HA174" s="49"/>
      <c r="HB174" s="49"/>
      <c r="HC174" s="49"/>
      <c r="HD174" s="49"/>
      <c r="HE174" s="49"/>
      <c r="HF174" s="49"/>
      <c r="HG174" s="49"/>
      <c r="HH174" s="49"/>
      <c r="HI174" s="49"/>
      <c r="HJ174" s="49"/>
      <c r="HK174" s="49"/>
      <c r="HL174" s="49"/>
      <c r="HM174" s="49"/>
      <c r="HN174" s="49"/>
    </row>
    <row r="175" spans="1:222" ht="10.5" customHeight="1">
      <c r="A175" s="1"/>
      <c r="B175" s="3"/>
      <c r="C175" s="3"/>
      <c r="D175" s="38"/>
      <c r="E175" s="507"/>
      <c r="F175" s="507"/>
      <c r="G175" s="507"/>
      <c r="H175" s="507"/>
      <c r="I175" s="507"/>
      <c r="J175" s="507"/>
      <c r="K175" s="351"/>
      <c r="L175" s="351"/>
      <c r="M175" s="351"/>
      <c r="N175" s="351"/>
      <c r="O175" s="351"/>
      <c r="P175" s="351"/>
      <c r="Q175" s="351"/>
      <c r="R175" s="351"/>
      <c r="S175" s="351"/>
      <c r="T175" s="351"/>
      <c r="U175" s="351"/>
      <c r="V175" s="351"/>
      <c r="W175" s="351"/>
      <c r="X175" s="351"/>
      <c r="Y175" s="351"/>
      <c r="Z175" s="351"/>
      <c r="AA175" s="351"/>
      <c r="AB175" s="351"/>
      <c r="AC175" s="351"/>
      <c r="AD175" s="351"/>
      <c r="AE175" s="351"/>
      <c r="AF175" s="351"/>
      <c r="AG175" s="351"/>
      <c r="AH175" s="351"/>
      <c r="AI175" s="351"/>
      <c r="AJ175" s="351"/>
      <c r="AK175" s="351"/>
      <c r="AL175" s="351"/>
      <c r="AM175" s="351"/>
      <c r="AN175" s="351"/>
      <c r="AO175" s="351"/>
      <c r="AP175" s="351"/>
      <c r="AQ175" s="351"/>
      <c r="AR175" s="351"/>
      <c r="AS175" s="351"/>
      <c r="AT175" s="351"/>
      <c r="AU175" s="351"/>
      <c r="AV175" s="351"/>
      <c r="AW175" s="351"/>
      <c r="AX175" s="351"/>
      <c r="AY175" s="351"/>
      <c r="AZ175" s="41"/>
      <c r="BA175" s="41"/>
      <c r="BB175" s="41"/>
      <c r="BC175" s="41"/>
      <c r="BD175" s="42"/>
      <c r="BE175" s="41"/>
      <c r="BF175" s="41"/>
      <c r="BG175" s="41"/>
      <c r="BH175" s="41"/>
      <c r="BI175" s="41"/>
      <c r="BJ175" s="41"/>
      <c r="BK175" s="42"/>
      <c r="BL175" s="41"/>
      <c r="BM175" s="41"/>
      <c r="BN175" s="41"/>
      <c r="BO175" s="41"/>
      <c r="BP175" s="41"/>
      <c r="BQ175" s="41"/>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43"/>
      <c r="FI175" s="43"/>
      <c r="FJ175" s="43"/>
      <c r="FK175" s="43"/>
      <c r="FL175" s="43"/>
      <c r="FM175" s="47"/>
      <c r="FN175" s="47"/>
      <c r="FO175" s="48"/>
      <c r="FP175" s="47"/>
      <c r="FQ175" s="79"/>
      <c r="FR175" s="47"/>
      <c r="FS175" s="47"/>
      <c r="FT175" s="47"/>
      <c r="FU175" s="47"/>
      <c r="FV175" s="47"/>
      <c r="FW175" s="47"/>
      <c r="FX175" s="47"/>
      <c r="FY175" s="32"/>
      <c r="FZ175" s="32"/>
      <c r="GA175" s="32"/>
      <c r="GB175" s="32"/>
      <c r="GC175" s="32"/>
      <c r="GD175" s="32"/>
      <c r="GE175" s="32"/>
      <c r="GF175" s="32"/>
      <c r="GG175" s="32"/>
      <c r="GH175" s="32"/>
      <c r="GI175" s="32"/>
      <c r="GJ175" s="32"/>
      <c r="GK175" s="32"/>
      <c r="GL175" s="32"/>
      <c r="GM175" s="49"/>
      <c r="GN175" s="49"/>
      <c r="GO175" s="49"/>
      <c r="GP175" s="49"/>
      <c r="GQ175" s="49"/>
      <c r="GR175" s="49"/>
      <c r="GS175" s="49"/>
      <c r="GT175" s="49"/>
      <c r="GU175" s="49"/>
      <c r="GV175" s="49"/>
      <c r="GW175" s="49"/>
      <c r="GX175" s="49"/>
      <c r="GY175" s="49"/>
      <c r="GZ175" s="49"/>
      <c r="HA175" s="49"/>
      <c r="HB175" s="49"/>
      <c r="HC175" s="49"/>
      <c r="HD175" s="49"/>
      <c r="HE175" s="49"/>
      <c r="HF175" s="49"/>
      <c r="HG175" s="49"/>
      <c r="HH175" s="49"/>
      <c r="HI175" s="49"/>
      <c r="HJ175" s="49"/>
      <c r="HK175" s="49"/>
      <c r="HL175" s="49"/>
      <c r="HM175" s="49"/>
      <c r="HN175" s="49"/>
    </row>
    <row r="176" spans="1:222" ht="16.95" customHeight="1">
      <c r="A176" s="1"/>
      <c r="B176" s="3"/>
      <c r="C176" s="3"/>
      <c r="D176" s="373" t="str">
        <f ca="1">IF(FO173=0,"","In de grafiek en de tabel kun je bij de TW zien dat dit bedrag moet kloppen.")</f>
        <v/>
      </c>
      <c r="E176" s="507"/>
      <c r="F176" s="507"/>
      <c r="G176" s="507"/>
      <c r="H176" s="507"/>
      <c r="I176" s="507"/>
      <c r="J176" s="507"/>
      <c r="K176" s="351"/>
      <c r="L176" s="351"/>
      <c r="M176" s="351"/>
      <c r="N176" s="351"/>
      <c r="O176" s="351"/>
      <c r="P176" s="351"/>
      <c r="Q176" s="351"/>
      <c r="R176" s="351"/>
      <c r="S176" s="351"/>
      <c r="T176" s="351"/>
      <c r="U176" s="351"/>
      <c r="V176" s="351"/>
      <c r="W176" s="351"/>
      <c r="X176" s="351"/>
      <c r="Y176" s="351"/>
      <c r="Z176" s="351"/>
      <c r="AA176" s="351"/>
      <c r="AB176" s="351"/>
      <c r="AC176" s="351"/>
      <c r="AD176" s="351"/>
      <c r="AE176" s="351"/>
      <c r="AF176" s="351"/>
      <c r="AG176" s="351"/>
      <c r="AH176" s="351"/>
      <c r="AI176" s="351"/>
      <c r="AJ176" s="351"/>
      <c r="AK176" s="351"/>
      <c r="AL176" s="351"/>
      <c r="AM176" s="351"/>
      <c r="AN176" s="351"/>
      <c r="AO176" s="351"/>
      <c r="AP176" s="351"/>
      <c r="AQ176" s="351"/>
      <c r="AR176" s="351"/>
      <c r="AS176" s="351"/>
      <c r="AT176" s="351"/>
      <c r="AU176" s="351"/>
      <c r="AV176" s="351"/>
      <c r="AW176" s="351"/>
      <c r="AX176" s="351"/>
      <c r="AY176" s="351"/>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c r="FL176" s="43"/>
      <c r="FM176" s="47"/>
      <c r="FN176" s="47"/>
      <c r="FO176" s="47"/>
      <c r="FP176" s="47"/>
      <c r="FQ176" s="47"/>
      <c r="FR176" s="47"/>
      <c r="FS176" s="47"/>
      <c r="FT176" s="47"/>
      <c r="FU176" s="47"/>
      <c r="FV176" s="47"/>
      <c r="FW176" s="47"/>
      <c r="FX176" s="47"/>
      <c r="FY176" s="32"/>
      <c r="FZ176" s="32"/>
      <c r="GA176" s="32"/>
      <c r="GB176" s="32"/>
      <c r="GC176" s="32"/>
      <c r="GD176" s="32"/>
      <c r="GE176" s="32"/>
      <c r="GF176" s="32"/>
      <c r="GG176" s="32"/>
      <c r="GH176" s="32"/>
      <c r="GI176" s="32"/>
      <c r="GJ176" s="32"/>
      <c r="GK176" s="32"/>
      <c r="GL176" s="32"/>
      <c r="GM176" s="49"/>
      <c r="GN176" s="49"/>
      <c r="GO176" s="49"/>
      <c r="GP176" s="49"/>
      <c r="GQ176" s="49"/>
      <c r="GR176" s="49"/>
      <c r="GS176" s="49"/>
      <c r="GT176" s="49"/>
      <c r="GU176" s="49"/>
      <c r="GV176" s="49"/>
      <c r="GW176" s="49"/>
      <c r="GX176" s="49"/>
      <c r="GY176" s="49"/>
      <c r="GZ176" s="49"/>
      <c r="HA176" s="49"/>
      <c r="HB176" s="49"/>
      <c r="HC176" s="49"/>
      <c r="HD176" s="49"/>
      <c r="HE176" s="49"/>
      <c r="HF176" s="49"/>
      <c r="HG176" s="49"/>
      <c r="HH176" s="49"/>
      <c r="HI176" s="49"/>
      <c r="HJ176" s="49"/>
      <c r="HK176" s="49"/>
      <c r="HL176" s="49"/>
      <c r="HM176" s="49"/>
      <c r="HN176" s="49"/>
    </row>
    <row r="177" spans="1:222" ht="16.95" customHeight="1">
      <c r="A177" s="1"/>
      <c r="B177" s="3"/>
      <c r="C177" s="3"/>
      <c r="D177" s="373"/>
      <c r="E177" s="507"/>
      <c r="F177" s="507"/>
      <c r="G177" s="507"/>
      <c r="H177" s="507"/>
      <c r="I177" s="507"/>
      <c r="J177" s="507"/>
      <c r="K177" s="351"/>
      <c r="L177" s="351"/>
      <c r="M177" s="351"/>
      <c r="N177" s="351"/>
      <c r="O177" s="351"/>
      <c r="P177" s="351"/>
      <c r="Q177" s="351"/>
      <c r="R177" s="351"/>
      <c r="S177" s="351"/>
      <c r="T177" s="351"/>
      <c r="U177" s="351"/>
      <c r="V177" s="351"/>
      <c r="W177" s="351"/>
      <c r="X177" s="351"/>
      <c r="Y177" s="351"/>
      <c r="Z177" s="351"/>
      <c r="AA177" s="351"/>
      <c r="AB177" s="351"/>
      <c r="AC177" s="351"/>
      <c r="AD177" s="351"/>
      <c r="AE177" s="351"/>
      <c r="AF177" s="351"/>
      <c r="AG177" s="351"/>
      <c r="AH177" s="351"/>
      <c r="AI177" s="351"/>
      <c r="AJ177" s="351"/>
      <c r="AK177" s="351"/>
      <c r="AL177" s="351"/>
      <c r="AM177" s="351"/>
      <c r="AN177" s="351"/>
      <c r="AO177" s="351"/>
      <c r="AP177" s="351"/>
      <c r="AQ177" s="351"/>
      <c r="AR177" s="351"/>
      <c r="AS177" s="351"/>
      <c r="AT177" s="351"/>
      <c r="AU177" s="351"/>
      <c r="AV177" s="351"/>
      <c r="AW177" s="351"/>
      <c r="AX177" s="351"/>
      <c r="AY177" s="351"/>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c r="FL177" s="43"/>
      <c r="FM177" s="47"/>
      <c r="FN177" s="47"/>
      <c r="FO177" s="47"/>
      <c r="FP177" s="47"/>
      <c r="FQ177" s="47"/>
      <c r="FR177" s="47"/>
      <c r="FS177" s="47"/>
      <c r="FT177" s="47"/>
      <c r="FU177" s="47"/>
      <c r="FV177" s="47"/>
      <c r="FW177" s="47"/>
      <c r="FX177" s="47"/>
      <c r="FY177" s="32"/>
      <c r="FZ177" s="32"/>
      <c r="GA177" s="32"/>
      <c r="GB177" s="32"/>
      <c r="GC177" s="32"/>
      <c r="GD177" s="32"/>
      <c r="GE177" s="32"/>
      <c r="GF177" s="32"/>
      <c r="GG177" s="32"/>
      <c r="GH177" s="32"/>
      <c r="GI177" s="32"/>
      <c r="GJ177" s="32"/>
      <c r="GK177" s="32"/>
      <c r="GL177" s="32"/>
      <c r="GM177" s="49"/>
      <c r="GN177" s="49"/>
      <c r="GO177" s="49"/>
      <c r="GP177" s="49"/>
      <c r="GQ177" s="49"/>
      <c r="GR177" s="49"/>
      <c r="GS177" s="49"/>
      <c r="GT177" s="49"/>
      <c r="GU177" s="49"/>
      <c r="GV177" s="49"/>
      <c r="GW177" s="49"/>
      <c r="GX177" s="49"/>
      <c r="GY177" s="49"/>
      <c r="GZ177" s="49"/>
      <c r="HA177" s="49"/>
      <c r="HB177" s="49"/>
      <c r="HC177" s="49"/>
      <c r="HD177" s="49"/>
      <c r="HE177" s="49"/>
      <c r="HF177" s="49"/>
      <c r="HG177" s="49"/>
      <c r="HH177" s="49"/>
      <c r="HI177" s="49"/>
      <c r="HJ177" s="49"/>
      <c r="HK177" s="49"/>
      <c r="HL177" s="49"/>
      <c r="HM177" s="49"/>
      <c r="HN177" s="49"/>
    </row>
    <row r="178" spans="1:222" ht="16.95" customHeight="1">
      <c r="A178" s="1"/>
      <c r="B178" s="3"/>
      <c r="C178" s="3"/>
      <c r="D178" s="373" t="str">
        <f ca="1">IF(FO173=0,"","Nu nog eentje, maar met een andere vraagfunctie en andere variabele kosten.")</f>
        <v/>
      </c>
      <c r="E178" s="507"/>
      <c r="F178" s="507"/>
      <c r="G178" s="507"/>
      <c r="H178" s="507"/>
      <c r="I178" s="507"/>
      <c r="J178" s="507"/>
      <c r="K178" s="507"/>
      <c r="L178" s="507"/>
      <c r="M178" s="507"/>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c r="EN178" s="43"/>
      <c r="EO178" s="43"/>
      <c r="EP178" s="43"/>
      <c r="EQ178" s="43"/>
      <c r="ER178" s="43"/>
      <c r="ES178" s="43"/>
      <c r="ET178" s="43"/>
      <c r="EU178" s="43"/>
      <c r="EV178" s="43"/>
      <c r="EW178" s="43"/>
      <c r="EX178" s="43"/>
      <c r="EY178" s="43"/>
      <c r="EZ178" s="43"/>
      <c r="FA178" s="43"/>
      <c r="FB178" s="43"/>
      <c r="FC178" s="43"/>
      <c r="FD178" s="43"/>
      <c r="FE178" s="43"/>
      <c r="FF178" s="43"/>
      <c r="FG178" s="43"/>
      <c r="FH178" s="43"/>
      <c r="FI178" s="43"/>
      <c r="FJ178" s="43"/>
      <c r="FK178" s="43"/>
      <c r="FL178" s="43"/>
      <c r="FM178" s="47"/>
      <c r="FN178" s="47"/>
      <c r="FO178" s="47"/>
      <c r="FP178" s="47"/>
      <c r="FQ178" s="47"/>
      <c r="FR178" s="47"/>
      <c r="FS178" s="47"/>
      <c r="FT178" s="47"/>
      <c r="FU178" s="47"/>
      <c r="FV178" s="47"/>
      <c r="FW178" s="47"/>
      <c r="FX178" s="47"/>
      <c r="FY178" s="32"/>
      <c r="FZ178" s="32"/>
      <c r="GA178" s="32"/>
      <c r="GB178" s="32"/>
      <c r="GC178" s="32"/>
      <c r="GD178" s="32"/>
      <c r="GE178" s="32"/>
      <c r="GF178" s="32"/>
      <c r="GG178" s="32"/>
      <c r="GH178" s="32"/>
      <c r="GI178" s="32"/>
      <c r="GJ178" s="32"/>
      <c r="GK178" s="32"/>
      <c r="GL178" s="32"/>
      <c r="GM178" s="49"/>
      <c r="GN178" s="49"/>
      <c r="GO178" s="49"/>
      <c r="GP178" s="49"/>
      <c r="GQ178" s="49"/>
      <c r="GR178" s="49"/>
      <c r="GS178" s="49"/>
      <c r="GT178" s="49"/>
      <c r="GU178" s="49"/>
      <c r="GV178" s="49"/>
      <c r="GW178" s="49"/>
      <c r="GX178" s="49"/>
      <c r="GY178" s="49"/>
      <c r="GZ178" s="49"/>
      <c r="HA178" s="49"/>
      <c r="HB178" s="49"/>
      <c r="HC178" s="49"/>
      <c r="HD178" s="49"/>
      <c r="HE178" s="49"/>
      <c r="HF178" s="49"/>
      <c r="HG178" s="49"/>
      <c r="HH178" s="49"/>
      <c r="HI178" s="49"/>
      <c r="HJ178" s="49"/>
      <c r="HK178" s="49"/>
      <c r="HL178" s="49"/>
      <c r="HM178" s="49"/>
      <c r="HN178" s="49"/>
    </row>
    <row r="179" spans="1:222" ht="16.95" customHeight="1">
      <c r="A179" s="1"/>
      <c r="B179" s="3"/>
      <c r="C179" s="3"/>
      <c r="D179" s="373" t="str">
        <f ca="1">IF(FO173=0,"","De totale constante kosten hebben we wel hetzelfde gehouden.")</f>
        <v/>
      </c>
      <c r="E179" s="507"/>
      <c r="F179" s="507"/>
      <c r="G179" s="507"/>
      <c r="H179" s="507"/>
      <c r="I179" s="507"/>
      <c r="J179" s="507"/>
      <c r="K179" s="507"/>
      <c r="L179" s="507"/>
      <c r="M179" s="507"/>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3"/>
      <c r="FI179" s="43"/>
      <c r="FJ179" s="43"/>
      <c r="FK179" s="43"/>
      <c r="FL179" s="43"/>
      <c r="FM179" s="47"/>
      <c r="FN179" s="47"/>
      <c r="FO179" s="47"/>
      <c r="FP179" s="47"/>
      <c r="FQ179" s="47"/>
      <c r="FR179" s="47"/>
      <c r="FS179" s="47"/>
      <c r="FT179" s="47"/>
      <c r="FU179" s="47"/>
      <c r="FV179" s="47"/>
      <c r="FW179" s="47"/>
      <c r="FX179" s="47"/>
      <c r="FY179" s="32"/>
      <c r="FZ179" s="32"/>
      <c r="GA179" s="32"/>
      <c r="GB179" s="32"/>
      <c r="GC179" s="32"/>
      <c r="GD179" s="32"/>
      <c r="GE179" s="32"/>
      <c r="GF179" s="32"/>
      <c r="GG179" s="32"/>
      <c r="GH179" s="32"/>
      <c r="GI179" s="32"/>
      <c r="GJ179" s="32"/>
      <c r="GK179" s="32"/>
      <c r="GL179" s="32"/>
      <c r="GM179" s="49"/>
      <c r="GN179" s="49"/>
      <c r="GO179" s="49"/>
      <c r="GP179" s="49"/>
      <c r="GQ179" s="49"/>
      <c r="GR179" s="49"/>
      <c r="GS179" s="49"/>
      <c r="GT179" s="49"/>
      <c r="GU179" s="49"/>
      <c r="GV179" s="49"/>
      <c r="GW179" s="49"/>
      <c r="GX179" s="49"/>
      <c r="GY179" s="49"/>
      <c r="GZ179" s="49"/>
      <c r="HA179" s="49"/>
      <c r="HB179" s="49"/>
      <c r="HC179" s="49"/>
      <c r="HD179" s="49"/>
      <c r="HE179" s="49"/>
      <c r="HF179" s="49"/>
      <c r="HG179" s="49"/>
      <c r="HH179" s="49"/>
      <c r="HI179" s="49"/>
      <c r="HJ179" s="49"/>
      <c r="HK179" s="49"/>
      <c r="HL179" s="49"/>
      <c r="HM179" s="49"/>
      <c r="HN179" s="49"/>
    </row>
    <row r="180" spans="1:222" ht="16.95" customHeight="1">
      <c r="A180" s="1"/>
      <c r="B180" s="3"/>
      <c r="C180" s="3"/>
      <c r="D180" s="373"/>
      <c r="E180" s="507"/>
      <c r="F180" s="507"/>
      <c r="G180" s="507"/>
      <c r="H180" s="507"/>
      <c r="I180" s="507"/>
      <c r="J180" s="507"/>
      <c r="K180" s="507"/>
      <c r="L180" s="507"/>
      <c r="M180" s="507"/>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7"/>
      <c r="FN180" s="47"/>
      <c r="FO180" s="47"/>
      <c r="FP180" s="47"/>
      <c r="FQ180" s="47"/>
      <c r="FR180" s="47"/>
      <c r="FS180" s="47"/>
      <c r="FT180" s="47"/>
      <c r="FU180" s="47"/>
      <c r="FV180" s="47"/>
      <c r="FW180" s="47"/>
      <c r="FX180" s="47"/>
      <c r="FY180" s="32"/>
      <c r="FZ180" s="32"/>
      <c r="GA180" s="32"/>
      <c r="GB180" s="32"/>
      <c r="GC180" s="32"/>
      <c r="GD180" s="32"/>
      <c r="GE180" s="32"/>
      <c r="GF180" s="32"/>
      <c r="GG180" s="32"/>
      <c r="GH180" s="32"/>
      <c r="GI180" s="32"/>
      <c r="GJ180" s="32"/>
      <c r="GK180" s="32"/>
      <c r="GL180" s="32"/>
      <c r="GM180" s="49"/>
      <c r="GN180" s="49"/>
      <c r="GO180" s="49"/>
      <c r="GP180" s="49"/>
      <c r="GQ180" s="49"/>
      <c r="GR180" s="49"/>
      <c r="GS180" s="49"/>
      <c r="GT180" s="49"/>
      <c r="GU180" s="49"/>
      <c r="GV180" s="49"/>
      <c r="GW180" s="49"/>
      <c r="GX180" s="49"/>
      <c r="GY180" s="49"/>
      <c r="GZ180" s="49"/>
      <c r="HA180" s="49"/>
      <c r="HB180" s="49"/>
      <c r="HC180" s="49"/>
      <c r="HD180" s="49"/>
      <c r="HE180" s="49"/>
      <c r="HF180" s="49"/>
      <c r="HG180" s="49"/>
      <c r="HH180" s="49"/>
      <c r="HI180" s="49"/>
      <c r="HJ180" s="49"/>
      <c r="HK180" s="49"/>
      <c r="HL180" s="49"/>
      <c r="HM180" s="49"/>
      <c r="HN180" s="49"/>
    </row>
    <row r="181" spans="1:222" ht="16.95" customHeight="1">
      <c r="A181" s="1"/>
      <c r="B181" s="3"/>
      <c r="C181" s="3"/>
      <c r="D181" s="373" t="str">
        <f ca="1">IF(FO173=0,"","De vraagfunctie waar de individuele prijszetter mee te maken heeft luidt:")</f>
        <v/>
      </c>
      <c r="E181" s="507"/>
      <c r="F181" s="507"/>
      <c r="G181" s="507"/>
      <c r="H181" s="507"/>
      <c r="I181" s="507"/>
      <c r="J181" s="507"/>
      <c r="K181" s="507"/>
      <c r="L181" s="507"/>
      <c r="M181" s="507"/>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43"/>
      <c r="FH181" s="43"/>
      <c r="FI181" s="43"/>
      <c r="FJ181" s="43"/>
      <c r="FK181" s="43"/>
      <c r="FL181" s="43"/>
      <c r="FM181" s="47"/>
      <c r="FN181" s="47"/>
      <c r="FO181" s="47"/>
      <c r="FP181" s="47">
        <f ca="1">IF(programma!B1="X",GH31,IF(FO98=0,0,Blad1!AA36))</f>
        <v>0</v>
      </c>
      <c r="FQ181" s="47">
        <f ca="1">IF(programma!B1="X",GH32,IF(OR(programma!Q3=34,programma!Q3=36),2*GH32*FP181,IF(OR(programma!Q3=2,programma!Q3=4,programma!Q3=12,programma!Q3=20,programma!Q3=21,programma!Q3=24),1.5*GH32*FP181,IF(OR(programma!Q3=1,programma!Q3=9,programma!Q3=14,programma!Q3=15,programma!Q3=22,programma!Q3=26),0.6*GH32*FP181,IF(OR(programma!Q3=5,programma!Q3=10,programma!Q3=11,programma!Q3=16,programma!Q3=18,programma!Q3=27,programma!Q3=38,programma!Q3=40),0.45*GH32*FP181,IF(OR(programma!Q3=17,programma!Q3=19,programma!Q3=32,programma!Q3=33),0.33*GH32*FP181,IF(programma!Q3=39,0.25*GH32*FP181,GH32*FP181)))))))</f>
        <v>0</v>
      </c>
      <c r="FR181" s="47" t="e">
        <f ca="1">FQ181/FP181</f>
        <v>#DIV/0!</v>
      </c>
      <c r="FS181" s="47"/>
      <c r="FT181" s="47">
        <f ca="1">IF(programma!B1="X",GH32,IF(FO173=0,0,CEILING(GN44/FP181,10)))</f>
        <v>0</v>
      </c>
      <c r="FU181" s="47">
        <f ca="1">IF(programma!B1="X",GH32,IF(FO173=0,0,GO40))</f>
        <v>0</v>
      </c>
      <c r="FV181" s="47"/>
      <c r="FW181" s="47"/>
      <c r="FX181" s="47"/>
      <c r="FY181" s="32"/>
      <c r="FZ181" s="32"/>
      <c r="GA181" s="32"/>
      <c r="GB181" s="32"/>
      <c r="GC181" s="32"/>
      <c r="GD181" s="32"/>
      <c r="GE181" s="32"/>
      <c r="GF181" s="32"/>
      <c r="GG181" s="32"/>
      <c r="GH181" s="32"/>
      <c r="GI181" s="32"/>
      <c r="GJ181" s="32"/>
      <c r="GK181" s="32"/>
      <c r="GL181" s="32"/>
      <c r="GM181" s="49"/>
      <c r="GN181" s="49"/>
      <c r="GO181" s="49"/>
      <c r="GP181" s="49"/>
      <c r="GQ181" s="49"/>
      <c r="GR181" s="49"/>
      <c r="GS181" s="49"/>
      <c r="GT181" s="49"/>
      <c r="GU181" s="49"/>
      <c r="GV181" s="49"/>
      <c r="GW181" s="49"/>
      <c r="GX181" s="49"/>
      <c r="GY181" s="49"/>
      <c r="GZ181" s="49"/>
      <c r="HA181" s="49"/>
      <c r="HB181" s="49"/>
      <c r="HC181" s="49"/>
      <c r="HD181" s="49"/>
      <c r="HE181" s="49"/>
      <c r="HF181" s="49"/>
      <c r="HG181" s="49"/>
      <c r="HH181" s="49"/>
      <c r="HI181" s="49"/>
      <c r="HJ181" s="49"/>
      <c r="HK181" s="49"/>
      <c r="HL181" s="49"/>
      <c r="HM181" s="49"/>
      <c r="HN181" s="49"/>
    </row>
    <row r="182" spans="1:222" ht="10.5" customHeight="1">
      <c r="A182" s="1"/>
      <c r="B182" s="3"/>
      <c r="C182" s="3"/>
      <c r="D182" s="38"/>
      <c r="E182" s="507"/>
      <c r="F182" s="507"/>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3"/>
      <c r="FI182" s="43"/>
      <c r="FJ182" s="43"/>
      <c r="FK182" s="43"/>
      <c r="FL182" s="43"/>
      <c r="FM182" s="116"/>
      <c r="FN182" s="116"/>
      <c r="FO182" s="47"/>
      <c r="FP182" s="47"/>
      <c r="FQ182" s="47"/>
      <c r="FR182" s="127"/>
      <c r="FS182" s="127"/>
      <c r="FT182" s="127"/>
      <c r="FU182" s="127"/>
      <c r="FV182" s="127"/>
      <c r="FW182" s="127"/>
      <c r="FX182" s="47"/>
      <c r="FY182" s="32"/>
      <c r="FZ182" s="32"/>
      <c r="GA182" s="32"/>
      <c r="GB182" s="32"/>
      <c r="GC182" s="32"/>
      <c r="GD182" s="32"/>
      <c r="GE182" s="32"/>
      <c r="GF182" s="32"/>
      <c r="GG182" s="32"/>
      <c r="GH182" s="32"/>
      <c r="GI182" s="32"/>
      <c r="GJ182" s="32"/>
      <c r="GK182" s="32"/>
      <c r="GL182" s="32"/>
      <c r="GM182" s="49"/>
      <c r="GN182" s="49"/>
      <c r="GO182" s="49"/>
      <c r="GP182" s="49"/>
      <c r="GQ182" s="49"/>
      <c r="GR182" s="49"/>
      <c r="GS182" s="49"/>
      <c r="GT182" s="49"/>
      <c r="GU182" s="49"/>
      <c r="GV182" s="49"/>
      <c r="GW182" s="49"/>
      <c r="GX182" s="49"/>
      <c r="GY182" s="49"/>
      <c r="GZ182" s="49"/>
      <c r="HA182" s="49"/>
      <c r="HB182" s="49"/>
      <c r="HC182" s="49"/>
      <c r="HD182" s="49"/>
      <c r="HE182" s="49"/>
      <c r="HF182" s="49"/>
      <c r="HG182" s="49"/>
      <c r="HH182" s="49"/>
      <c r="HI182" s="49"/>
      <c r="HJ182" s="49"/>
      <c r="HK182" s="49"/>
      <c r="HL182" s="49"/>
      <c r="HM182" s="49"/>
      <c r="HN182" s="49"/>
    </row>
    <row r="183" spans="1:222" ht="16.5" customHeight="1">
      <c r="A183" s="1"/>
      <c r="B183" s="3"/>
      <c r="C183" s="3"/>
      <c r="D183" s="38"/>
      <c r="E183" s="507"/>
      <c r="F183" s="507"/>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163" t="str">
        <f ca="1">IF(FO173=0,"","qv = -"&amp;FP181&amp;"p + "&amp;FQ181&amp;"")</f>
        <v/>
      </c>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116"/>
      <c r="FN183" s="116"/>
      <c r="FO183" s="47"/>
      <c r="FP183" s="47"/>
      <c r="FQ183" s="47"/>
      <c r="FR183" s="127"/>
      <c r="FS183" s="127"/>
      <c r="FT183" s="127"/>
      <c r="FU183" s="127"/>
      <c r="FV183" s="127"/>
      <c r="FW183" s="127"/>
      <c r="FX183" s="47"/>
      <c r="FY183" s="32"/>
      <c r="FZ183" s="32"/>
      <c r="GA183" s="32"/>
      <c r="GB183" s="32"/>
      <c r="GC183" s="32"/>
      <c r="GD183" s="32"/>
      <c r="GE183" s="32"/>
      <c r="GF183" s="32"/>
      <c r="GG183" s="32"/>
      <c r="GH183" s="32"/>
      <c r="GI183" s="32"/>
      <c r="GJ183" s="32"/>
      <c r="GK183" s="32"/>
      <c r="GL183" s="32"/>
      <c r="GM183" s="49"/>
      <c r="GN183" s="49"/>
      <c r="GO183" s="49"/>
      <c r="GP183" s="49"/>
      <c r="GQ183" s="49"/>
      <c r="GR183" s="49"/>
      <c r="GS183" s="49"/>
      <c r="GT183" s="49"/>
      <c r="GU183" s="49"/>
      <c r="GV183" s="49"/>
      <c r="GW183" s="49"/>
      <c r="GX183" s="49"/>
      <c r="GY183" s="49"/>
      <c r="GZ183" s="49"/>
      <c r="HA183" s="49"/>
      <c r="HB183" s="49"/>
      <c r="HC183" s="49"/>
      <c r="HD183" s="49"/>
      <c r="HE183" s="49"/>
      <c r="HF183" s="49"/>
      <c r="HG183" s="49"/>
      <c r="HH183" s="49"/>
      <c r="HI183" s="49"/>
      <c r="HJ183" s="49"/>
      <c r="HK183" s="49"/>
      <c r="HL183" s="49"/>
      <c r="HM183" s="49"/>
      <c r="HN183" s="49"/>
    </row>
    <row r="184" spans="1:222" ht="11.25" customHeight="1">
      <c r="A184" s="1"/>
      <c r="B184" s="3"/>
      <c r="C184" s="3"/>
      <c r="D184" s="38"/>
      <c r="E184" s="507"/>
      <c r="F184" s="507"/>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43"/>
      <c r="FH184" s="43"/>
      <c r="FI184" s="43"/>
      <c r="FJ184" s="43"/>
      <c r="FK184" s="43"/>
      <c r="FL184" s="43"/>
      <c r="FM184" s="116"/>
      <c r="FN184" s="116"/>
      <c r="FO184" s="47"/>
      <c r="FP184" s="47"/>
      <c r="FQ184" s="47"/>
      <c r="FR184" s="127"/>
      <c r="FS184" s="127"/>
      <c r="FT184" s="127"/>
      <c r="FU184" s="127"/>
      <c r="FV184" s="127"/>
      <c r="FW184" s="127"/>
      <c r="FX184" s="47"/>
      <c r="FY184" s="32"/>
      <c r="FZ184" s="32"/>
      <c r="GA184" s="32"/>
      <c r="GB184" s="32"/>
      <c r="GC184" s="32"/>
      <c r="GD184" s="32"/>
      <c r="GE184" s="32"/>
      <c r="GF184" s="32"/>
      <c r="GG184" s="32"/>
      <c r="GH184" s="32"/>
      <c r="GI184" s="32"/>
      <c r="GJ184" s="32"/>
      <c r="GK184" s="32"/>
      <c r="GL184" s="32"/>
      <c r="GM184" s="49"/>
      <c r="GN184" s="49"/>
      <c r="GO184" s="49"/>
      <c r="GP184" s="49"/>
      <c r="GQ184" s="49"/>
      <c r="GR184" s="49"/>
      <c r="GS184" s="49"/>
      <c r="GT184" s="49"/>
      <c r="GU184" s="49"/>
      <c r="GV184" s="49"/>
      <c r="GW184" s="49"/>
      <c r="GX184" s="49"/>
      <c r="GY184" s="49"/>
      <c r="GZ184" s="49"/>
      <c r="HA184" s="49"/>
      <c r="HB184" s="49"/>
      <c r="HC184" s="49"/>
      <c r="HD184" s="49"/>
      <c r="HE184" s="49"/>
      <c r="HF184" s="49"/>
      <c r="HG184" s="49"/>
      <c r="HH184" s="49"/>
      <c r="HI184" s="49"/>
      <c r="HJ184" s="49"/>
      <c r="HK184" s="49"/>
      <c r="HL184" s="49"/>
      <c r="HM184" s="49"/>
      <c r="HN184" s="49"/>
    </row>
    <row r="185" spans="1:222" ht="16.5" customHeight="1">
      <c r="A185" s="1"/>
      <c r="B185" s="3"/>
      <c r="C185" s="3"/>
      <c r="D185" s="38" t="str">
        <f ca="1">IF(FO173=0,"",IF(FO98=1,"De prijsafzetfunctie die gebaseerd is op deze vraagfunctie luidt:",""))</f>
        <v/>
      </c>
      <c r="E185" s="507"/>
      <c r="F185" s="507"/>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3"/>
      <c r="FI185" s="43"/>
      <c r="FJ185" s="43"/>
      <c r="FK185" s="43"/>
      <c r="FL185" s="43"/>
      <c r="FM185" s="116"/>
      <c r="FN185" s="116"/>
      <c r="FO185" s="47"/>
      <c r="FP185" s="47"/>
      <c r="FQ185" s="47"/>
      <c r="FR185" s="127"/>
      <c r="FS185" s="127"/>
      <c r="FT185" s="127"/>
      <c r="FU185" s="127"/>
      <c r="FV185" s="127"/>
      <c r="FW185" s="127"/>
      <c r="FX185" s="47"/>
      <c r="FY185" s="32"/>
      <c r="FZ185" s="32"/>
      <c r="GA185" s="32"/>
      <c r="GB185" s="32"/>
      <c r="GC185" s="32"/>
      <c r="GD185" s="32"/>
      <c r="GE185" s="32"/>
      <c r="GF185" s="32"/>
      <c r="GG185" s="32"/>
      <c r="GH185" s="32"/>
      <c r="GI185" s="32"/>
      <c r="GJ185" s="32"/>
      <c r="GK185" s="32"/>
      <c r="GL185" s="32"/>
      <c r="GM185" s="49"/>
      <c r="GN185" s="49"/>
      <c r="GO185" s="49"/>
      <c r="GP185" s="49"/>
      <c r="GQ185" s="49"/>
      <c r="GR185" s="49"/>
      <c r="GS185" s="49"/>
      <c r="GT185" s="49"/>
      <c r="GU185" s="49"/>
      <c r="GV185" s="49"/>
      <c r="GW185" s="49"/>
      <c r="GX185" s="49"/>
      <c r="GY185" s="49"/>
      <c r="GZ185" s="49"/>
      <c r="HA185" s="49"/>
      <c r="HB185" s="49"/>
      <c r="HC185" s="49"/>
      <c r="HD185" s="49"/>
      <c r="HE185" s="49"/>
      <c r="HF185" s="49"/>
      <c r="HG185" s="49"/>
      <c r="HH185" s="49"/>
      <c r="HI185" s="49"/>
      <c r="HJ185" s="49"/>
      <c r="HK185" s="49"/>
      <c r="HL185" s="49"/>
      <c r="HM185" s="49"/>
      <c r="HN185" s="49"/>
    </row>
    <row r="186" spans="1:222" ht="10.5" customHeight="1">
      <c r="A186" s="1"/>
      <c r="B186" s="3"/>
      <c r="C186" s="3"/>
      <c r="D186" s="38"/>
      <c r="E186" s="507"/>
      <c r="F186" s="507"/>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43"/>
      <c r="FE186" s="43"/>
      <c r="FF186" s="43"/>
      <c r="FG186" s="43"/>
      <c r="FH186" s="43"/>
      <c r="FI186" s="43"/>
      <c r="FJ186" s="43"/>
      <c r="FK186" s="43"/>
      <c r="FL186" s="43"/>
      <c r="FM186" s="116"/>
      <c r="FN186" s="116"/>
      <c r="FO186" s="47"/>
      <c r="FP186" s="47"/>
      <c r="FQ186" s="47"/>
      <c r="FR186" s="127"/>
      <c r="FS186" s="127"/>
      <c r="FT186" s="127"/>
      <c r="FU186" s="127"/>
      <c r="FV186" s="127"/>
      <c r="FW186" s="127"/>
      <c r="FX186" s="47"/>
      <c r="FY186" s="32"/>
      <c r="FZ186" s="32"/>
      <c r="GA186" s="32"/>
      <c r="GB186" s="32"/>
      <c r="GC186" s="32"/>
      <c r="GD186" s="32"/>
      <c r="GE186" s="32"/>
      <c r="GF186" s="32"/>
      <c r="GG186" s="32"/>
      <c r="GH186" s="32"/>
      <c r="GI186" s="32"/>
      <c r="GJ186" s="32"/>
      <c r="GK186" s="32"/>
      <c r="GL186" s="32"/>
      <c r="GM186" s="49"/>
      <c r="GN186" s="49"/>
      <c r="GO186" s="49"/>
      <c r="GP186" s="49"/>
      <c r="GQ186" s="49"/>
      <c r="GR186" s="49"/>
      <c r="GS186" s="49"/>
      <c r="GT186" s="49"/>
      <c r="GU186" s="49"/>
      <c r="GV186" s="49"/>
      <c r="GW186" s="49"/>
      <c r="GX186" s="49"/>
      <c r="GY186" s="49"/>
      <c r="GZ186" s="49"/>
      <c r="HA186" s="49"/>
      <c r="HB186" s="49"/>
      <c r="HC186" s="49"/>
      <c r="HD186" s="49"/>
      <c r="HE186" s="49"/>
      <c r="HF186" s="49"/>
      <c r="HG186" s="49"/>
      <c r="HH186" s="49"/>
      <c r="HI186" s="49"/>
      <c r="HJ186" s="49"/>
      <c r="HK186" s="49"/>
      <c r="HL186" s="49"/>
      <c r="HM186" s="49"/>
      <c r="HN186" s="49"/>
    </row>
    <row r="187" spans="1:222" ht="16.5" customHeight="1">
      <c r="A187" s="1"/>
      <c r="B187" s="3"/>
      <c r="C187" s="3"/>
      <c r="D187" s="38"/>
      <c r="E187" s="507"/>
      <c r="F187" s="507"/>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163" t="str">
        <f ca="1">IF(FO173=0,""," p = "&amp;1/FP181&amp;"q + "&amp;FQ181/FP181&amp;"")</f>
        <v/>
      </c>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43"/>
      <c r="FE187" s="43"/>
      <c r="FF187" s="43"/>
      <c r="FG187" s="43"/>
      <c r="FH187" s="43"/>
      <c r="FI187" s="43"/>
      <c r="FJ187" s="43"/>
      <c r="FK187" s="43"/>
      <c r="FL187" s="43"/>
      <c r="FM187" s="116"/>
      <c r="FN187" s="116"/>
      <c r="FO187" s="47"/>
      <c r="FP187" s="47"/>
      <c r="FQ187" s="47"/>
      <c r="FR187" s="127"/>
      <c r="FS187" s="127"/>
      <c r="FT187" s="127"/>
      <c r="FU187" s="127"/>
      <c r="FV187" s="127"/>
      <c r="FW187" s="127"/>
      <c r="FX187" s="47"/>
      <c r="FY187" s="32"/>
      <c r="FZ187" s="32"/>
      <c r="GA187" s="32"/>
      <c r="GB187" s="32"/>
      <c r="GC187" s="32"/>
      <c r="GD187" s="32"/>
      <c r="GE187" s="32"/>
      <c r="GF187" s="32"/>
      <c r="GG187" s="32"/>
      <c r="GH187" s="32"/>
      <c r="GI187" s="32"/>
      <c r="GJ187" s="32"/>
      <c r="GK187" s="32"/>
      <c r="GL187" s="32"/>
      <c r="GM187" s="49"/>
      <c r="GN187" s="49"/>
      <c r="GO187" s="49"/>
      <c r="GP187" s="49"/>
      <c r="GQ187" s="49"/>
      <c r="GR187" s="49"/>
      <c r="GS187" s="49"/>
      <c r="GT187" s="49"/>
      <c r="GU187" s="49"/>
      <c r="GV187" s="49"/>
      <c r="GW187" s="49"/>
      <c r="GX187" s="49"/>
      <c r="GY187" s="49"/>
      <c r="GZ187" s="49"/>
      <c r="HA187" s="49"/>
      <c r="HB187" s="49"/>
      <c r="HC187" s="49"/>
      <c r="HD187" s="49"/>
      <c r="HE187" s="49"/>
      <c r="HF187" s="49"/>
      <c r="HG187" s="49"/>
      <c r="HH187" s="49"/>
      <c r="HI187" s="49"/>
      <c r="HJ187" s="49"/>
      <c r="HK187" s="49"/>
      <c r="HL187" s="49"/>
      <c r="HM187" s="49"/>
      <c r="HN187" s="49"/>
    </row>
    <row r="188" spans="1:222" ht="11.25" customHeight="1">
      <c r="A188" s="1"/>
      <c r="B188" s="3"/>
      <c r="C188" s="3"/>
      <c r="D188" s="38"/>
      <c r="E188" s="507"/>
      <c r="F188" s="507"/>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503"/>
      <c r="AU188" s="504"/>
      <c r="AV188" s="504"/>
      <c r="AW188" s="504"/>
      <c r="AX188" s="504"/>
      <c r="AY188" s="504"/>
      <c r="AZ188" s="504"/>
      <c r="BA188" s="504"/>
      <c r="BB188" s="504"/>
      <c r="BC188" s="504"/>
      <c r="BD188" s="504"/>
      <c r="BE188" s="504"/>
      <c r="BF188" s="504"/>
      <c r="BG188" s="504"/>
      <c r="BH188" s="504"/>
      <c r="BI188" s="504"/>
      <c r="BJ188" s="504"/>
      <c r="BK188" s="504"/>
      <c r="BL188" s="504"/>
      <c r="BM188" s="504"/>
      <c r="BN188" s="504"/>
      <c r="BO188" s="504"/>
      <c r="BP188" s="504"/>
      <c r="BQ188" s="505"/>
      <c r="BR188" s="505"/>
      <c r="BS188" s="505"/>
      <c r="BT188" s="505"/>
      <c r="BU188" s="505"/>
      <c r="BV188" s="505"/>
      <c r="BW188" s="505"/>
      <c r="BX188" s="505"/>
      <c r="BY188" s="505"/>
      <c r="BZ188" s="505"/>
      <c r="CA188" s="505"/>
      <c r="CB188" s="505"/>
      <c r="CC188" s="505"/>
      <c r="CD188" s="505"/>
      <c r="CE188" s="505"/>
      <c r="CF188" s="505"/>
      <c r="CG188" s="505"/>
      <c r="CH188" s="505"/>
      <c r="CI188" s="505"/>
      <c r="CJ188" s="505"/>
      <c r="CK188" s="505"/>
      <c r="CL188" s="505"/>
      <c r="CM188" s="505"/>
      <c r="CN188" s="505"/>
      <c r="CO188" s="505"/>
      <c r="CP188" s="505"/>
      <c r="CQ188" s="505"/>
      <c r="CR188" s="505"/>
      <c r="CS188" s="505"/>
      <c r="CT188" s="505"/>
      <c r="CU188" s="505"/>
      <c r="CV188" s="505"/>
      <c r="CW188" s="505"/>
      <c r="CX188" s="505"/>
      <c r="CY188" s="505"/>
      <c r="CZ188" s="505"/>
      <c r="DA188" s="505"/>
      <c r="DB188" s="505"/>
      <c r="DC188" s="505"/>
      <c r="DD188" s="505"/>
      <c r="DE188" s="505"/>
      <c r="DF188" s="505"/>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c r="EN188" s="43"/>
      <c r="EO188" s="43"/>
      <c r="EP188" s="43"/>
      <c r="EQ188" s="43"/>
      <c r="ER188" s="43"/>
      <c r="ES188" s="43"/>
      <c r="ET188" s="43"/>
      <c r="EU188" s="43"/>
      <c r="EV188" s="43"/>
      <c r="EW188" s="43"/>
      <c r="EX188" s="43"/>
      <c r="EY188" s="43"/>
      <c r="EZ188" s="43"/>
      <c r="FA188" s="43"/>
      <c r="FB188" s="43"/>
      <c r="FC188" s="43"/>
      <c r="FD188" s="43"/>
      <c r="FE188" s="43"/>
      <c r="FF188" s="43"/>
      <c r="FG188" s="43"/>
      <c r="FH188" s="43"/>
      <c r="FI188" s="43"/>
      <c r="FJ188" s="43"/>
      <c r="FK188" s="43"/>
      <c r="FL188" s="43"/>
      <c r="FM188" s="116"/>
      <c r="FN188" s="116"/>
      <c r="FO188" s="47"/>
      <c r="FP188" s="47"/>
      <c r="FQ188" s="79"/>
      <c r="FR188" s="79"/>
      <c r="FS188" s="79"/>
      <c r="FT188" s="79"/>
      <c r="FU188" s="127"/>
      <c r="FV188" s="127"/>
      <c r="FW188" s="127"/>
      <c r="FX188" s="47"/>
      <c r="FY188" s="32"/>
      <c r="FZ188" s="32"/>
      <c r="GA188" s="32"/>
      <c r="GB188" s="32"/>
      <c r="GC188" s="32"/>
      <c r="GD188" s="32"/>
      <c r="GE188" s="32"/>
      <c r="GF188" s="32"/>
      <c r="GG188" s="32"/>
      <c r="GH188" s="32"/>
      <c r="GI188" s="32"/>
      <c r="GJ188" s="32"/>
      <c r="GK188" s="32"/>
      <c r="GL188" s="32"/>
      <c r="GM188" s="49"/>
      <c r="GN188" s="49"/>
      <c r="GO188" s="49"/>
      <c r="GP188" s="49"/>
      <c r="GQ188" s="49"/>
      <c r="GR188" s="49"/>
      <c r="GS188" s="49"/>
      <c r="GT188" s="49"/>
      <c r="GU188" s="49"/>
      <c r="GV188" s="49"/>
      <c r="GW188" s="49"/>
      <c r="GX188" s="49"/>
      <c r="GY188" s="49"/>
      <c r="GZ188" s="49"/>
      <c r="HA188" s="49"/>
      <c r="HB188" s="49"/>
      <c r="HC188" s="49"/>
      <c r="HD188" s="49"/>
      <c r="HE188" s="49"/>
      <c r="HF188" s="49"/>
      <c r="HG188" s="49"/>
      <c r="HH188" s="49"/>
      <c r="HI188" s="49"/>
      <c r="HJ188" s="49"/>
      <c r="HK188" s="49"/>
      <c r="HL188" s="49"/>
      <c r="HM188" s="49"/>
      <c r="HN188" s="49"/>
    </row>
    <row r="189" spans="1:222" ht="16.5" customHeight="1">
      <c r="A189" s="1"/>
      <c r="B189" s="3"/>
      <c r="C189" s="3"/>
      <c r="D189" s="38" t="str">
        <f ca="1">IF(FO173=0,"","Vul hieronder in hoe de GO-functie luidt:")</f>
        <v/>
      </c>
      <c r="E189" s="507"/>
      <c r="F189" s="507"/>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c r="EN189" s="43"/>
      <c r="EO189" s="43"/>
      <c r="EP189" s="43"/>
      <c r="EQ189" s="43"/>
      <c r="ER189" s="43"/>
      <c r="ES189" s="43"/>
      <c r="ET189" s="43"/>
      <c r="EU189" s="43"/>
      <c r="EV189" s="43"/>
      <c r="EW189" s="43"/>
      <c r="EX189" s="43"/>
      <c r="EY189" s="43"/>
      <c r="EZ189" s="43"/>
      <c r="FA189" s="43"/>
      <c r="FB189" s="43"/>
      <c r="FC189" s="43"/>
      <c r="FD189" s="43"/>
      <c r="FE189" s="43"/>
      <c r="FF189" s="43"/>
      <c r="FG189" s="43"/>
      <c r="FH189" s="43"/>
      <c r="FI189" s="43"/>
      <c r="FJ189" s="43"/>
      <c r="FK189" s="43"/>
      <c r="FL189" s="43"/>
      <c r="FM189" s="116"/>
      <c r="FN189" s="116"/>
      <c r="FO189" s="47"/>
      <c r="FP189" s="47"/>
      <c r="FQ189" s="79"/>
      <c r="FR189" s="79"/>
      <c r="FS189" s="127"/>
      <c r="FT189" s="79"/>
      <c r="FU189" s="127"/>
      <c r="FV189" s="127"/>
      <c r="FW189" s="127"/>
      <c r="FX189" s="47"/>
      <c r="FY189" s="32"/>
      <c r="FZ189" s="32"/>
      <c r="GA189" s="32"/>
      <c r="GB189" s="32"/>
      <c r="GC189" s="32"/>
      <c r="GD189" s="32"/>
      <c r="GE189" s="32"/>
      <c r="GF189" s="32"/>
      <c r="GG189" s="32"/>
      <c r="GH189" s="32"/>
      <c r="GI189" s="32"/>
      <c r="GJ189" s="32"/>
      <c r="GK189" s="32"/>
      <c r="GL189" s="32"/>
      <c r="GM189" s="49"/>
      <c r="GN189" s="49"/>
      <c r="GO189" s="49"/>
      <c r="GP189" s="49"/>
      <c r="GQ189" s="49"/>
      <c r="GR189" s="49"/>
      <c r="GS189" s="49"/>
      <c r="GT189" s="49"/>
      <c r="GU189" s="49"/>
      <c r="GV189" s="49"/>
      <c r="GW189" s="49"/>
      <c r="GX189" s="49"/>
      <c r="GY189" s="49"/>
      <c r="GZ189" s="49"/>
      <c r="HA189" s="49"/>
      <c r="HB189" s="49"/>
      <c r="HC189" s="49"/>
      <c r="HD189" s="49"/>
      <c r="HE189" s="49"/>
      <c r="HF189" s="49"/>
      <c r="HG189" s="49"/>
      <c r="HH189" s="49"/>
      <c r="HI189" s="49"/>
      <c r="HJ189" s="49"/>
      <c r="HK189" s="49"/>
      <c r="HL189" s="49"/>
      <c r="HM189" s="49"/>
      <c r="HN189" s="49"/>
    </row>
    <row r="190" spans="1:222" ht="7.5" customHeight="1">
      <c r="A190" s="1"/>
      <c r="B190" s="3"/>
      <c r="C190" s="3"/>
      <c r="D190" s="38"/>
      <c r="E190" s="507"/>
      <c r="F190" s="507"/>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43"/>
      <c r="FE190" s="43"/>
      <c r="FF190" s="43"/>
      <c r="FG190" s="43"/>
      <c r="FH190" s="43"/>
      <c r="FI190" s="43"/>
      <c r="FJ190" s="43"/>
      <c r="FK190" s="43"/>
      <c r="FL190" s="43"/>
      <c r="FM190" s="116"/>
      <c r="FN190" s="116"/>
      <c r="FO190" s="47"/>
      <c r="FP190" s="47"/>
      <c r="FQ190" s="79"/>
      <c r="FR190" s="79"/>
      <c r="FS190" s="127"/>
      <c r="FT190" s="79"/>
      <c r="FU190" s="127"/>
      <c r="FV190" s="127"/>
      <c r="FW190" s="127"/>
      <c r="FX190" s="47"/>
      <c r="FY190" s="32"/>
      <c r="FZ190" s="32"/>
      <c r="GA190" s="32"/>
      <c r="GB190" s="32"/>
      <c r="GC190" s="32"/>
      <c r="GD190" s="32"/>
      <c r="GE190" s="32"/>
      <c r="GF190" s="32"/>
      <c r="GG190" s="32"/>
      <c r="GH190" s="32"/>
      <c r="GI190" s="32"/>
      <c r="GJ190" s="32"/>
      <c r="GK190" s="32"/>
      <c r="GL190" s="32"/>
      <c r="GM190" s="49"/>
      <c r="GN190" s="49"/>
      <c r="GO190" s="49"/>
      <c r="GP190" s="49"/>
      <c r="GQ190" s="49"/>
      <c r="GR190" s="49"/>
      <c r="GS190" s="49"/>
      <c r="GT190" s="49"/>
      <c r="GU190" s="49"/>
      <c r="GV190" s="49"/>
      <c r="GW190" s="49"/>
      <c r="GX190" s="49"/>
      <c r="GY190" s="49"/>
      <c r="GZ190" s="49"/>
      <c r="HA190" s="49"/>
      <c r="HB190" s="49"/>
      <c r="HC190" s="49"/>
      <c r="HD190" s="49"/>
      <c r="HE190" s="49"/>
      <c r="HF190" s="49"/>
      <c r="HG190" s="49"/>
      <c r="HH190" s="49"/>
      <c r="HI190" s="49"/>
      <c r="HJ190" s="49"/>
      <c r="HK190" s="49"/>
      <c r="HL190" s="49"/>
      <c r="HM190" s="49"/>
      <c r="HN190" s="49"/>
    </row>
    <row r="191" spans="1:222" ht="3.75" customHeight="1">
      <c r="A191" s="1"/>
      <c r="B191" s="3"/>
      <c r="C191" s="3"/>
      <c r="D191" s="38"/>
      <c r="E191" s="507"/>
      <c r="F191" s="507"/>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538" t="str">
        <f ca="1">IF(FO173=0,"",".")</f>
        <v/>
      </c>
      <c r="AU191" s="541"/>
      <c r="AV191" s="541"/>
      <c r="AW191" s="541"/>
      <c r="AX191" s="541"/>
      <c r="AY191" s="541"/>
      <c r="AZ191" s="541"/>
      <c r="BA191" s="541"/>
      <c r="BB191" s="541"/>
      <c r="BC191" s="541"/>
      <c r="BD191" s="541"/>
      <c r="BE191" s="541"/>
      <c r="BF191" s="541"/>
      <c r="BG191" s="541"/>
      <c r="BH191" s="541"/>
      <c r="BI191" s="541"/>
      <c r="BJ191" s="541"/>
      <c r="BK191" s="541"/>
      <c r="BL191" s="541"/>
      <c r="BM191" s="541"/>
      <c r="BN191" s="541"/>
      <c r="BO191" s="541"/>
      <c r="BP191" s="541"/>
      <c r="BQ191" s="545"/>
      <c r="BR191" s="545"/>
      <c r="BS191" s="545"/>
      <c r="BT191" s="545"/>
      <c r="BU191" s="545"/>
      <c r="BV191" s="545"/>
      <c r="BW191" s="545"/>
      <c r="BX191" s="545"/>
      <c r="BY191" s="545"/>
      <c r="BZ191" s="545"/>
      <c r="CA191" s="545"/>
      <c r="CB191" s="545"/>
      <c r="CC191" s="545"/>
      <c r="CD191" s="545"/>
      <c r="CE191" s="545"/>
      <c r="CF191" s="545"/>
      <c r="CG191" s="545"/>
      <c r="CH191" s="545"/>
      <c r="CI191" s="545"/>
      <c r="CJ191" s="545"/>
      <c r="CK191" s="545"/>
      <c r="CL191" s="545"/>
      <c r="CM191" s="545"/>
      <c r="CN191" s="545"/>
      <c r="CO191" s="545"/>
      <c r="CP191" s="545"/>
      <c r="CQ191" s="545"/>
      <c r="CR191" s="545"/>
      <c r="CS191" s="545"/>
      <c r="CT191" s="545"/>
      <c r="CU191" s="545"/>
      <c r="CV191" s="545"/>
      <c r="CW191" s="545"/>
      <c r="CX191" s="545"/>
      <c r="CY191" s="545"/>
      <c r="CZ191" s="545"/>
      <c r="DA191" s="545"/>
      <c r="DB191" s="545"/>
      <c r="DC191" s="545"/>
      <c r="DD191" s="545"/>
      <c r="DE191" s="545"/>
      <c r="DF191" s="545"/>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43"/>
      <c r="FE191" s="43"/>
      <c r="FF191" s="43"/>
      <c r="FG191" s="43"/>
      <c r="FH191" s="43"/>
      <c r="FI191" s="43"/>
      <c r="FJ191" s="43"/>
      <c r="FK191" s="43"/>
      <c r="FL191" s="43"/>
      <c r="FM191" s="116"/>
      <c r="FN191" s="116"/>
      <c r="FO191" s="47"/>
      <c r="FP191" s="47"/>
      <c r="FQ191" s="47"/>
      <c r="FR191" s="127"/>
      <c r="FS191" s="127"/>
      <c r="FT191" s="94"/>
      <c r="FU191" s="127"/>
      <c r="FV191" s="127"/>
      <c r="FW191" s="127"/>
      <c r="FX191" s="47"/>
      <c r="FY191" s="32"/>
      <c r="FZ191" s="32"/>
      <c r="GA191" s="32"/>
      <c r="GB191" s="32"/>
      <c r="GC191" s="32"/>
      <c r="GD191" s="32"/>
      <c r="GE191" s="32"/>
      <c r="GF191" s="32"/>
      <c r="GG191" s="32"/>
      <c r="GH191" s="32"/>
      <c r="GI191" s="32"/>
      <c r="GJ191" s="32"/>
      <c r="GK191" s="32"/>
      <c r="GL191" s="32"/>
      <c r="GM191" s="49"/>
      <c r="GN191" s="49"/>
      <c r="GO191" s="49"/>
      <c r="GP191" s="49"/>
      <c r="GQ191" s="49"/>
      <c r="GR191" s="49"/>
      <c r="GS191" s="49"/>
      <c r="GT191" s="49"/>
      <c r="GU191" s="49"/>
      <c r="GV191" s="49"/>
      <c r="GW191" s="49"/>
      <c r="GX191" s="49"/>
      <c r="GY191" s="49"/>
      <c r="GZ191" s="49"/>
      <c r="HA191" s="49"/>
      <c r="HB191" s="49"/>
      <c r="HC191" s="49"/>
      <c r="HD191" s="49"/>
      <c r="HE191" s="49"/>
      <c r="HF191" s="49"/>
      <c r="HG191" s="49"/>
      <c r="HH191" s="49"/>
      <c r="HI191" s="49"/>
      <c r="HJ191" s="49"/>
      <c r="HK191" s="49"/>
      <c r="HL191" s="49"/>
      <c r="HM191" s="49"/>
      <c r="HN191" s="49"/>
    </row>
    <row r="192" spans="1:222" ht="16.5" customHeight="1">
      <c r="A192" s="1"/>
      <c r="B192" s="3"/>
      <c r="C192" s="3"/>
      <c r="D192" s="38"/>
      <c r="E192" s="507"/>
      <c r="F192" s="507"/>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503" t="str">
        <f ca="1">IF(FO173=0,"",".")</f>
        <v/>
      </c>
      <c r="AU192" s="689"/>
      <c r="AV192" s="629"/>
      <c r="AW192" s="629"/>
      <c r="AX192" s="629"/>
      <c r="AY192" s="629"/>
      <c r="AZ192" s="629"/>
      <c r="BA192" s="629"/>
      <c r="BB192" s="629"/>
      <c r="BC192" s="629"/>
      <c r="BD192" s="629"/>
      <c r="BE192" s="629"/>
      <c r="BF192" s="629"/>
      <c r="BG192" s="629"/>
      <c r="BH192" s="629"/>
      <c r="BI192" s="629"/>
      <c r="BJ192" s="629"/>
      <c r="BK192" s="629"/>
      <c r="BL192" s="629"/>
      <c r="BM192" s="629"/>
      <c r="BN192" s="629"/>
      <c r="BO192" s="629"/>
      <c r="BP192" s="629"/>
      <c r="BQ192" s="629"/>
      <c r="BR192" s="629"/>
      <c r="BS192" s="629"/>
      <c r="BT192" s="629"/>
      <c r="BU192" s="629"/>
      <c r="BV192" s="629"/>
      <c r="BW192" s="629"/>
      <c r="BX192" s="629"/>
      <c r="BY192" s="629"/>
      <c r="BZ192" s="629"/>
      <c r="CA192" s="629"/>
      <c r="CB192" s="629"/>
      <c r="CC192" s="629"/>
      <c r="CD192" s="629"/>
      <c r="CE192" s="629"/>
      <c r="CF192" s="629"/>
      <c r="CG192" s="629"/>
      <c r="CH192" s="629"/>
      <c r="CI192" s="629"/>
      <c r="CJ192" s="629"/>
      <c r="CK192" s="629"/>
      <c r="CL192" s="629"/>
      <c r="CM192" s="629"/>
      <c r="CN192" s="629"/>
      <c r="CO192" s="629"/>
      <c r="CP192" s="629"/>
      <c r="CQ192" s="629"/>
      <c r="CR192" s="629"/>
      <c r="CS192" s="629"/>
      <c r="CT192" s="629"/>
      <c r="CU192" s="555"/>
      <c r="CV192" s="555"/>
      <c r="CW192" s="555"/>
      <c r="CX192" s="555"/>
      <c r="CY192" s="555"/>
      <c r="CZ192" s="555"/>
      <c r="DA192" s="555"/>
      <c r="DB192" s="555"/>
      <c r="DC192" s="555"/>
      <c r="DD192" s="555"/>
      <c r="DE192" s="555"/>
      <c r="DF192" s="503" t="str">
        <f ca="1">IF(FO173=0,"",".")</f>
        <v/>
      </c>
      <c r="DG192" s="43"/>
      <c r="DH192" s="506" t="str">
        <f>IF(AU192="","",IF(FO192=1,"Goed!","Fout! Je hoeft de P maar te vervangen door GO, want P = GO."))</f>
        <v/>
      </c>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c r="EN192" s="43"/>
      <c r="EO192" s="43"/>
      <c r="EP192" s="43"/>
      <c r="EQ192" s="43"/>
      <c r="ER192" s="43"/>
      <c r="ES192" s="43"/>
      <c r="ET192" s="43"/>
      <c r="EU192" s="43"/>
      <c r="EV192" s="43"/>
      <c r="EW192" s="43"/>
      <c r="EX192" s="43"/>
      <c r="EY192" s="43"/>
      <c r="EZ192" s="43"/>
      <c r="FA192" s="43"/>
      <c r="FB192" s="43"/>
      <c r="FC192" s="43"/>
      <c r="FD192" s="43"/>
      <c r="FE192" s="43"/>
      <c r="FF192" s="43"/>
      <c r="FG192" s="43"/>
      <c r="FH192" s="43"/>
      <c r="FI192" s="43"/>
      <c r="FJ192" s="43"/>
      <c r="FK192" s="43"/>
      <c r="FL192" s="43"/>
      <c r="FM192" s="116"/>
      <c r="FN192" s="116"/>
      <c r="FO192" s="48">
        <f ca="1">IF(programma!B1="X",1,IF(FO173=0,0,IF(AU192=FT192,1,0)))</f>
        <v>0</v>
      </c>
      <c r="FP192" s="94" t="str">
        <f ca="1">IF(FO1=0,"",FT192)</f>
        <v/>
      </c>
      <c r="FQ192" s="94" t="str">
        <f ca="1">IF(FO173=0,"","GO = -"&amp;FP181&amp;"q + "&amp;FQ181&amp;"")</f>
        <v/>
      </c>
      <c r="FR192" s="79" t="str">
        <f ca="1">IF(FO173=0,"","GO = -"&amp;FP181&amp;"q + "&amp;FQ181/FP181&amp;"")</f>
        <v/>
      </c>
      <c r="FS192" s="94" t="str">
        <f ca="1">IF(FO173=0,"","GO = -"&amp;1/FP181&amp;"q + "&amp;FQ181&amp;"")</f>
        <v/>
      </c>
      <c r="FT192" s="94" t="str">
        <f ca="1">IF(FO173=0,"","GO = -"&amp;1/FP181&amp;"q + "&amp;FQ181/FP181&amp;"")</f>
        <v/>
      </c>
      <c r="FU192" s="127"/>
      <c r="FV192" s="127"/>
      <c r="FW192" s="127"/>
      <c r="FX192" s="47"/>
      <c r="FY192" s="32"/>
      <c r="FZ192" s="32"/>
      <c r="GA192" s="32"/>
      <c r="GB192" s="32"/>
      <c r="GC192" s="32"/>
      <c r="GD192" s="32"/>
      <c r="GE192" s="32"/>
      <c r="GF192" s="32"/>
      <c r="GG192" s="32"/>
      <c r="GH192" s="32"/>
      <c r="GI192" s="32"/>
      <c r="GJ192" s="32"/>
      <c r="GK192" s="32"/>
      <c r="GL192" s="32"/>
      <c r="GM192" s="49"/>
      <c r="GN192" s="49"/>
      <c r="GO192" s="49"/>
      <c r="GP192" s="49"/>
      <c r="GQ192" s="49"/>
      <c r="GR192" s="49"/>
      <c r="GS192" s="49"/>
      <c r="GT192" s="49"/>
      <c r="GU192" s="49"/>
      <c r="GV192" s="49"/>
      <c r="GW192" s="49"/>
      <c r="GX192" s="49"/>
      <c r="GY192" s="49"/>
      <c r="GZ192" s="49"/>
      <c r="HA192" s="49"/>
      <c r="HB192" s="49"/>
      <c r="HC192" s="49"/>
      <c r="HD192" s="49"/>
      <c r="HE192" s="49"/>
      <c r="HF192" s="49"/>
      <c r="HG192" s="49"/>
      <c r="HH192" s="49"/>
      <c r="HI192" s="49"/>
      <c r="HJ192" s="49"/>
      <c r="HK192" s="49"/>
      <c r="HL192" s="49"/>
      <c r="HM192" s="49"/>
      <c r="HN192" s="49"/>
    </row>
    <row r="193" spans="1:222" ht="3.75" customHeight="1">
      <c r="A193" s="1"/>
      <c r="B193" s="3"/>
      <c r="C193" s="3"/>
      <c r="D193" s="38"/>
      <c r="E193" s="507"/>
      <c r="F193" s="507"/>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538" t="str">
        <f ca="1">IF(FO173=0,"",".")</f>
        <v/>
      </c>
      <c r="AU193" s="541"/>
      <c r="AV193" s="541"/>
      <c r="AW193" s="541"/>
      <c r="AX193" s="541"/>
      <c r="AY193" s="541"/>
      <c r="AZ193" s="541"/>
      <c r="BA193" s="541"/>
      <c r="BB193" s="541"/>
      <c r="BC193" s="541"/>
      <c r="BD193" s="541"/>
      <c r="BE193" s="541"/>
      <c r="BF193" s="541"/>
      <c r="BG193" s="541"/>
      <c r="BH193" s="541"/>
      <c r="BI193" s="541"/>
      <c r="BJ193" s="541"/>
      <c r="BK193" s="541"/>
      <c r="BL193" s="541"/>
      <c r="BM193" s="541"/>
      <c r="BN193" s="541"/>
      <c r="BO193" s="541"/>
      <c r="BP193" s="541"/>
      <c r="BQ193" s="545"/>
      <c r="BR193" s="545"/>
      <c r="BS193" s="545"/>
      <c r="BT193" s="545"/>
      <c r="BU193" s="545"/>
      <c r="BV193" s="545"/>
      <c r="BW193" s="545"/>
      <c r="BX193" s="545"/>
      <c r="BY193" s="545"/>
      <c r="BZ193" s="545"/>
      <c r="CA193" s="545"/>
      <c r="CB193" s="545"/>
      <c r="CC193" s="545"/>
      <c r="CD193" s="545"/>
      <c r="CE193" s="545"/>
      <c r="CF193" s="545"/>
      <c r="CG193" s="545"/>
      <c r="CH193" s="545"/>
      <c r="CI193" s="545"/>
      <c r="CJ193" s="545"/>
      <c r="CK193" s="545"/>
      <c r="CL193" s="545"/>
      <c r="CM193" s="545"/>
      <c r="CN193" s="545"/>
      <c r="CO193" s="545"/>
      <c r="CP193" s="545"/>
      <c r="CQ193" s="545"/>
      <c r="CR193" s="545"/>
      <c r="CS193" s="545"/>
      <c r="CT193" s="545"/>
      <c r="CU193" s="545"/>
      <c r="CV193" s="545"/>
      <c r="CW193" s="545"/>
      <c r="CX193" s="545"/>
      <c r="CY193" s="545"/>
      <c r="CZ193" s="545"/>
      <c r="DA193" s="545"/>
      <c r="DB193" s="545"/>
      <c r="DC193" s="545"/>
      <c r="DD193" s="545"/>
      <c r="DE193" s="545"/>
      <c r="DF193" s="545"/>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43"/>
      <c r="FE193" s="43"/>
      <c r="FF193" s="43"/>
      <c r="FG193" s="43"/>
      <c r="FH193" s="43"/>
      <c r="FI193" s="43"/>
      <c r="FJ193" s="43"/>
      <c r="FK193" s="43"/>
      <c r="FL193" s="43"/>
      <c r="FM193" s="116"/>
      <c r="FN193" s="116"/>
      <c r="FO193" s="47"/>
      <c r="FP193" s="47"/>
      <c r="FQ193" s="47"/>
      <c r="FR193" s="127"/>
      <c r="FS193" s="127"/>
      <c r="FT193" s="127"/>
      <c r="FU193" s="127"/>
      <c r="FV193" s="127"/>
      <c r="FW193" s="127"/>
      <c r="FX193" s="47"/>
      <c r="FY193" s="32"/>
      <c r="FZ193" s="32"/>
      <c r="GA193" s="32"/>
      <c r="GB193" s="32"/>
      <c r="GC193" s="32"/>
      <c r="GD193" s="32"/>
      <c r="GE193" s="32"/>
      <c r="GF193" s="32"/>
      <c r="GG193" s="32"/>
      <c r="GH193" s="32"/>
      <c r="GI193" s="32"/>
      <c r="GJ193" s="32"/>
      <c r="GK193" s="32"/>
      <c r="GL193" s="32"/>
      <c r="GM193" s="49"/>
      <c r="GN193" s="49"/>
      <c r="GO193" s="49"/>
      <c r="GP193" s="49"/>
      <c r="GQ193" s="49"/>
      <c r="GR193" s="49"/>
      <c r="GS193" s="49"/>
      <c r="GT193" s="49"/>
      <c r="GU193" s="49"/>
      <c r="GV193" s="49"/>
      <c r="GW193" s="49"/>
      <c r="GX193" s="49"/>
      <c r="GY193" s="49"/>
      <c r="GZ193" s="49"/>
      <c r="HA193" s="49"/>
      <c r="HB193" s="49"/>
      <c r="HC193" s="49"/>
      <c r="HD193" s="49"/>
      <c r="HE193" s="49"/>
      <c r="HF193" s="49"/>
      <c r="HG193" s="49"/>
      <c r="HH193" s="49"/>
      <c r="HI193" s="49"/>
      <c r="HJ193" s="49"/>
      <c r="HK193" s="49"/>
      <c r="HL193" s="49"/>
      <c r="HM193" s="49"/>
      <c r="HN193" s="49"/>
    </row>
    <row r="194" spans="1:222" ht="11.25" customHeight="1">
      <c r="A194" s="1"/>
      <c r="B194" s="3"/>
      <c r="C194" s="3"/>
      <c r="D194" s="38"/>
      <c r="E194" s="507"/>
      <c r="F194" s="507"/>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503"/>
      <c r="AU194" s="504"/>
      <c r="AV194" s="504"/>
      <c r="AW194" s="504"/>
      <c r="AX194" s="504"/>
      <c r="AY194" s="504"/>
      <c r="AZ194" s="504"/>
      <c r="BA194" s="504"/>
      <c r="BB194" s="504"/>
      <c r="BC194" s="504"/>
      <c r="BD194" s="504"/>
      <c r="BE194" s="504"/>
      <c r="BF194" s="504"/>
      <c r="BG194" s="504"/>
      <c r="BH194" s="504"/>
      <c r="BI194" s="504"/>
      <c r="BJ194" s="504"/>
      <c r="BK194" s="504"/>
      <c r="BL194" s="504"/>
      <c r="BM194" s="504"/>
      <c r="BN194" s="504"/>
      <c r="BO194" s="504"/>
      <c r="BP194" s="504"/>
      <c r="BQ194" s="505"/>
      <c r="BR194" s="505"/>
      <c r="BS194" s="505"/>
      <c r="BT194" s="505"/>
      <c r="BU194" s="505"/>
      <c r="BV194" s="505"/>
      <c r="BW194" s="505"/>
      <c r="BX194" s="505"/>
      <c r="BY194" s="505"/>
      <c r="BZ194" s="505"/>
      <c r="CA194" s="505"/>
      <c r="CB194" s="505"/>
      <c r="CC194" s="505"/>
      <c r="CD194" s="505"/>
      <c r="CE194" s="505"/>
      <c r="CF194" s="505"/>
      <c r="CG194" s="505"/>
      <c r="CH194" s="505"/>
      <c r="CI194" s="505"/>
      <c r="CJ194" s="505"/>
      <c r="CK194" s="505"/>
      <c r="CL194" s="505"/>
      <c r="CM194" s="505"/>
      <c r="CN194" s="505"/>
      <c r="CO194" s="505"/>
      <c r="CP194" s="505"/>
      <c r="CQ194" s="505"/>
      <c r="CR194" s="505"/>
      <c r="CS194" s="505"/>
      <c r="CT194" s="505"/>
      <c r="CU194" s="505"/>
      <c r="CV194" s="505"/>
      <c r="CW194" s="505"/>
      <c r="CX194" s="505"/>
      <c r="CY194" s="505"/>
      <c r="CZ194" s="505"/>
      <c r="DA194" s="505"/>
      <c r="DB194" s="505"/>
      <c r="DC194" s="505"/>
      <c r="DD194" s="505"/>
      <c r="DE194" s="505"/>
      <c r="DF194" s="505"/>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43"/>
      <c r="FE194" s="43"/>
      <c r="FF194" s="43"/>
      <c r="FG194" s="43"/>
      <c r="FH194" s="43"/>
      <c r="FI194" s="43"/>
      <c r="FJ194" s="43"/>
      <c r="FK194" s="43"/>
      <c r="FL194" s="43"/>
      <c r="FM194" s="116"/>
      <c r="FN194" s="116"/>
      <c r="FO194" s="47"/>
      <c r="FP194" s="47"/>
      <c r="FQ194" s="79"/>
      <c r="FR194" s="79"/>
      <c r="FS194" s="79"/>
      <c r="FT194" s="79"/>
      <c r="FU194" s="127"/>
      <c r="FV194" s="127"/>
      <c r="FW194" s="127"/>
      <c r="FX194" s="47"/>
      <c r="FY194" s="32"/>
      <c r="FZ194" s="32"/>
      <c r="GA194" s="32"/>
      <c r="GB194" s="32"/>
      <c r="GC194" s="32"/>
      <c r="GD194" s="32"/>
      <c r="GE194" s="32"/>
      <c r="GF194" s="32"/>
      <c r="GG194" s="32"/>
      <c r="GH194" s="32"/>
      <c r="GI194" s="32"/>
      <c r="GJ194" s="32"/>
      <c r="GK194" s="32"/>
      <c r="GL194" s="32"/>
      <c r="GM194" s="49"/>
      <c r="GN194" s="49"/>
      <c r="GO194" s="49"/>
      <c r="GP194" s="49"/>
      <c r="GQ194" s="49"/>
      <c r="GR194" s="49"/>
      <c r="GS194" s="49"/>
      <c r="GT194" s="49"/>
      <c r="GU194" s="49"/>
      <c r="GV194" s="49"/>
      <c r="GW194" s="49"/>
      <c r="GX194" s="49"/>
      <c r="GY194" s="49"/>
      <c r="GZ194" s="49"/>
      <c r="HA194" s="49"/>
      <c r="HB194" s="49"/>
      <c r="HC194" s="49"/>
      <c r="HD194" s="49"/>
      <c r="HE194" s="49"/>
      <c r="HF194" s="49"/>
      <c r="HG194" s="49"/>
      <c r="HH194" s="49"/>
      <c r="HI194" s="49"/>
      <c r="HJ194" s="49"/>
      <c r="HK194" s="49"/>
      <c r="HL194" s="49"/>
      <c r="HM194" s="49"/>
      <c r="HN194" s="49"/>
    </row>
    <row r="195" spans="1:222" ht="16.5" customHeight="1">
      <c r="A195" s="1"/>
      <c r="B195" s="3"/>
      <c r="C195" s="3"/>
      <c r="D195" s="38" t="str">
        <f ca="1">IF(FO192=0,"","Hoe luidt dan de TO-functie?")</f>
        <v/>
      </c>
      <c r="E195" s="507"/>
      <c r="F195" s="507"/>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116"/>
      <c r="FN195" s="116"/>
      <c r="FO195" s="47"/>
      <c r="FP195" s="47"/>
      <c r="FQ195" s="79"/>
      <c r="FR195" s="79"/>
      <c r="FS195" s="127"/>
      <c r="FT195" s="79"/>
      <c r="FU195" s="127"/>
      <c r="FV195" s="127"/>
      <c r="FW195" s="127"/>
      <c r="FX195" s="47"/>
      <c r="FY195" s="32"/>
      <c r="FZ195" s="32"/>
      <c r="GA195" s="32"/>
      <c r="GB195" s="32"/>
      <c r="GC195" s="32"/>
      <c r="GD195" s="32"/>
      <c r="GE195" s="32"/>
      <c r="GF195" s="32"/>
      <c r="GG195" s="32"/>
      <c r="GH195" s="32"/>
      <c r="GI195" s="32"/>
      <c r="GJ195" s="32"/>
      <c r="GK195" s="32"/>
      <c r="GL195" s="32"/>
      <c r="GM195" s="49"/>
      <c r="GN195" s="49"/>
      <c r="GO195" s="49"/>
      <c r="GP195" s="49"/>
      <c r="GQ195" s="49"/>
      <c r="GR195" s="49"/>
      <c r="GS195" s="49"/>
      <c r="GT195" s="49"/>
      <c r="GU195" s="49"/>
      <c r="GV195" s="49"/>
      <c r="GW195" s="49"/>
      <c r="GX195" s="49"/>
      <c r="GY195" s="49"/>
      <c r="GZ195" s="49"/>
      <c r="HA195" s="49"/>
      <c r="HB195" s="49"/>
      <c r="HC195" s="49"/>
      <c r="HD195" s="49"/>
      <c r="HE195" s="49"/>
      <c r="HF195" s="49"/>
      <c r="HG195" s="49"/>
      <c r="HH195" s="49"/>
      <c r="HI195" s="49"/>
      <c r="HJ195" s="49"/>
      <c r="HK195" s="49"/>
      <c r="HL195" s="49"/>
      <c r="HM195" s="49"/>
      <c r="HN195" s="49"/>
    </row>
    <row r="196" spans="1:222" ht="7.5" customHeight="1">
      <c r="A196" s="1"/>
      <c r="B196" s="3"/>
      <c r="C196" s="3"/>
      <c r="D196" s="38"/>
      <c r="E196" s="126"/>
      <c r="F196" s="126"/>
      <c r="G196" s="43"/>
      <c r="H196" s="43"/>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79"/>
      <c r="DZ196" s="79"/>
      <c r="EA196" s="79"/>
      <c r="EB196" s="79"/>
      <c r="EC196" s="79"/>
      <c r="ED196" s="79"/>
      <c r="EE196" s="79"/>
      <c r="EF196" s="79"/>
      <c r="EG196" s="79"/>
      <c r="EH196" s="79"/>
      <c r="EI196" s="79"/>
      <c r="EJ196" s="79"/>
      <c r="EK196" s="79"/>
      <c r="EL196" s="79"/>
      <c r="EM196" s="79"/>
      <c r="EN196" s="79"/>
      <c r="EO196" s="79"/>
      <c r="EP196" s="79"/>
      <c r="EQ196" s="79"/>
      <c r="ER196" s="79"/>
      <c r="ES196" s="79"/>
      <c r="ET196" s="79"/>
      <c r="EU196" s="79"/>
      <c r="EV196" s="79"/>
      <c r="EW196" s="79"/>
      <c r="EX196" s="79"/>
      <c r="EY196" s="79"/>
      <c r="EZ196" s="79"/>
      <c r="FA196" s="79"/>
      <c r="FB196" s="79"/>
      <c r="FC196" s="79"/>
      <c r="FD196" s="79"/>
      <c r="FE196" s="79"/>
      <c r="FF196" s="79"/>
      <c r="FG196" s="79"/>
      <c r="FH196" s="79"/>
      <c r="FI196" s="79"/>
      <c r="FJ196" s="79"/>
      <c r="FK196" s="79"/>
      <c r="FL196" s="79"/>
      <c r="FM196" s="116"/>
      <c r="FN196" s="116"/>
      <c r="FO196" s="47"/>
      <c r="FP196" s="47"/>
      <c r="FQ196" s="79"/>
      <c r="FR196" s="79"/>
      <c r="FS196" s="127"/>
      <c r="FT196" s="79"/>
      <c r="FU196" s="127"/>
      <c r="FV196" s="127"/>
      <c r="FW196" s="127"/>
      <c r="FX196" s="47"/>
      <c r="FY196" s="32"/>
      <c r="FZ196" s="32"/>
      <c r="GA196" s="32"/>
      <c r="GB196" s="32"/>
      <c r="GC196" s="32"/>
      <c r="GD196" s="32"/>
      <c r="GE196" s="32"/>
      <c r="GF196" s="32"/>
      <c r="GG196" s="32"/>
      <c r="GH196" s="32"/>
      <c r="GI196" s="32"/>
      <c r="GJ196" s="32"/>
      <c r="GK196" s="32"/>
      <c r="GL196" s="32"/>
      <c r="GM196" s="49"/>
      <c r="GN196" s="49"/>
      <c r="GO196" s="49"/>
      <c r="GP196" s="49"/>
      <c r="GQ196" s="49"/>
      <c r="GR196" s="49"/>
      <c r="GS196" s="49"/>
      <c r="GT196" s="49"/>
      <c r="GU196" s="49"/>
      <c r="GV196" s="49"/>
      <c r="GW196" s="49"/>
      <c r="GX196" s="49"/>
      <c r="GY196" s="49"/>
      <c r="GZ196" s="49"/>
      <c r="HA196" s="49"/>
      <c r="HB196" s="49"/>
      <c r="HC196" s="49"/>
      <c r="HD196" s="49"/>
      <c r="HE196" s="49"/>
      <c r="HF196" s="49"/>
      <c r="HG196" s="49"/>
      <c r="HH196" s="49"/>
      <c r="HI196" s="49"/>
      <c r="HJ196" s="49"/>
      <c r="HK196" s="49"/>
      <c r="HL196" s="49"/>
      <c r="HM196" s="49"/>
      <c r="HN196" s="49"/>
    </row>
    <row r="197" spans="1:222" ht="3.75" customHeight="1">
      <c r="A197" s="1"/>
      <c r="B197" s="3"/>
      <c r="C197" s="3"/>
      <c r="D197" s="38"/>
      <c r="E197" s="126"/>
      <c r="F197" s="126"/>
      <c r="G197" s="43"/>
      <c r="H197" s="43"/>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43"/>
      <c r="AJ197" s="43"/>
      <c r="AK197" s="43"/>
      <c r="AL197" s="43"/>
      <c r="AM197" s="43"/>
      <c r="AN197" s="43"/>
      <c r="AO197" s="43"/>
      <c r="AP197" s="43"/>
      <c r="AQ197" s="43"/>
      <c r="AR197" s="43"/>
      <c r="AS197" s="43"/>
      <c r="AT197" s="538" t="str">
        <f ca="1">IF(FO192=0,"",".")</f>
        <v/>
      </c>
      <c r="AU197" s="541"/>
      <c r="AV197" s="541"/>
      <c r="AW197" s="541"/>
      <c r="AX197" s="541"/>
      <c r="AY197" s="541"/>
      <c r="AZ197" s="541"/>
      <c r="BA197" s="541"/>
      <c r="BB197" s="541"/>
      <c r="BC197" s="541"/>
      <c r="BD197" s="541"/>
      <c r="BE197" s="541"/>
      <c r="BF197" s="541"/>
      <c r="BG197" s="541"/>
      <c r="BH197" s="541"/>
      <c r="BI197" s="541"/>
      <c r="BJ197" s="541"/>
      <c r="BK197" s="541"/>
      <c r="BL197" s="541"/>
      <c r="BM197" s="541"/>
      <c r="BN197" s="541"/>
      <c r="BO197" s="541"/>
      <c r="BP197" s="541"/>
      <c r="BQ197" s="545"/>
      <c r="BR197" s="545"/>
      <c r="BS197" s="545"/>
      <c r="BT197" s="545"/>
      <c r="BU197" s="545"/>
      <c r="BV197" s="545"/>
      <c r="BW197" s="545"/>
      <c r="BX197" s="545"/>
      <c r="BY197" s="545"/>
      <c r="BZ197" s="545"/>
      <c r="CA197" s="545"/>
      <c r="CB197" s="545"/>
      <c r="CC197" s="545"/>
      <c r="CD197" s="545"/>
      <c r="CE197" s="545"/>
      <c r="CF197" s="545"/>
      <c r="CG197" s="545"/>
      <c r="CH197" s="545"/>
      <c r="CI197" s="545"/>
      <c r="CJ197" s="545"/>
      <c r="CK197" s="545"/>
      <c r="CL197" s="545"/>
      <c r="CM197" s="545"/>
      <c r="CN197" s="545"/>
      <c r="CO197" s="545"/>
      <c r="CP197" s="545"/>
      <c r="CQ197" s="545"/>
      <c r="CR197" s="545"/>
      <c r="CS197" s="545"/>
      <c r="CT197" s="545"/>
      <c r="CU197" s="545"/>
      <c r="CV197" s="545"/>
      <c r="CW197" s="545"/>
      <c r="CX197" s="545"/>
      <c r="CY197" s="545"/>
      <c r="CZ197" s="545"/>
      <c r="DA197" s="545"/>
      <c r="DB197" s="545"/>
      <c r="DC197" s="545"/>
      <c r="DD197" s="545"/>
      <c r="DE197" s="545"/>
      <c r="DF197" s="545"/>
      <c r="DG197" s="43"/>
      <c r="DH197" s="43"/>
      <c r="DI197" s="43"/>
      <c r="DJ197" s="43"/>
      <c r="DK197" s="43"/>
      <c r="DL197" s="43"/>
      <c r="DM197" s="43"/>
      <c r="DN197" s="43"/>
      <c r="DO197" s="43"/>
      <c r="DP197" s="43"/>
      <c r="DQ197" s="43"/>
      <c r="DR197" s="43"/>
      <c r="DS197" s="43"/>
      <c r="DT197" s="43"/>
      <c r="DU197" s="43"/>
      <c r="DV197" s="43"/>
      <c r="DW197" s="43"/>
      <c r="DX197" s="43"/>
      <c r="DY197" s="79"/>
      <c r="DZ197" s="79"/>
      <c r="EA197" s="79"/>
      <c r="EB197" s="79"/>
      <c r="EC197" s="79"/>
      <c r="ED197" s="79"/>
      <c r="EE197" s="79"/>
      <c r="EF197" s="79"/>
      <c r="EG197" s="79"/>
      <c r="EH197" s="79"/>
      <c r="EI197" s="79"/>
      <c r="EJ197" s="79"/>
      <c r="EK197" s="79"/>
      <c r="EL197" s="79"/>
      <c r="EM197" s="79"/>
      <c r="EN197" s="79"/>
      <c r="EO197" s="79"/>
      <c r="EP197" s="79"/>
      <c r="EQ197" s="79"/>
      <c r="ER197" s="79"/>
      <c r="ES197" s="79"/>
      <c r="ET197" s="79"/>
      <c r="EU197" s="79"/>
      <c r="EV197" s="79"/>
      <c r="EW197" s="79"/>
      <c r="EX197" s="79"/>
      <c r="EY197" s="79"/>
      <c r="EZ197" s="79"/>
      <c r="FA197" s="79"/>
      <c r="FB197" s="79"/>
      <c r="FC197" s="79"/>
      <c r="FD197" s="79"/>
      <c r="FE197" s="79"/>
      <c r="FF197" s="79"/>
      <c r="FG197" s="79"/>
      <c r="FH197" s="79"/>
      <c r="FI197" s="79"/>
      <c r="FJ197" s="79"/>
      <c r="FK197" s="79"/>
      <c r="FL197" s="79"/>
      <c r="FM197" s="116"/>
      <c r="FN197" s="116"/>
      <c r="FO197" s="47"/>
      <c r="FP197" s="47"/>
      <c r="FQ197" s="47"/>
      <c r="FR197" s="127"/>
      <c r="FS197" s="127"/>
      <c r="FT197" s="94"/>
      <c r="FU197" s="127"/>
      <c r="FV197" s="127"/>
      <c r="FW197" s="127"/>
      <c r="FX197" s="47"/>
      <c r="FY197" s="32"/>
      <c r="FZ197" s="32"/>
      <c r="GA197" s="32"/>
      <c r="GB197" s="32"/>
      <c r="GC197" s="32"/>
      <c r="GD197" s="32"/>
      <c r="GE197" s="32"/>
      <c r="GF197" s="32"/>
      <c r="GG197" s="32"/>
      <c r="GH197" s="32"/>
      <c r="GI197" s="32"/>
      <c r="GJ197" s="32"/>
      <c r="GK197" s="32"/>
      <c r="GL197" s="32"/>
      <c r="GM197" s="49"/>
      <c r="GN197" s="49"/>
      <c r="GO197" s="49"/>
      <c r="GP197" s="49"/>
      <c r="GQ197" s="49"/>
      <c r="GR197" s="49"/>
      <c r="GS197" s="49"/>
      <c r="GT197" s="49"/>
      <c r="GU197" s="49"/>
      <c r="GV197" s="49"/>
      <c r="GW197" s="49"/>
      <c r="GX197" s="49"/>
      <c r="GY197" s="49"/>
      <c r="GZ197" s="49"/>
      <c r="HA197" s="49"/>
      <c r="HB197" s="49"/>
      <c r="HC197" s="49"/>
      <c r="HD197" s="49"/>
      <c r="HE197" s="49"/>
      <c r="HF197" s="49"/>
      <c r="HG197" s="49"/>
      <c r="HH197" s="49"/>
      <c r="HI197" s="49"/>
      <c r="HJ197" s="49"/>
      <c r="HK197" s="49"/>
      <c r="HL197" s="49"/>
      <c r="HM197" s="49"/>
      <c r="HN197" s="49"/>
    </row>
    <row r="198" spans="1:222" ht="16.5" customHeight="1">
      <c r="A198" s="1"/>
      <c r="B198" s="3"/>
      <c r="C198" s="3"/>
      <c r="D198" s="38"/>
      <c r="E198" s="126"/>
      <c r="F198" s="126"/>
      <c r="G198" s="43"/>
      <c r="H198" s="43"/>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43"/>
      <c r="AJ198" s="43"/>
      <c r="AK198" s="43"/>
      <c r="AL198" s="43"/>
      <c r="AM198" s="43"/>
      <c r="AN198" s="43"/>
      <c r="AO198" s="43"/>
      <c r="AP198" s="43"/>
      <c r="AQ198" s="43"/>
      <c r="AR198" s="43"/>
      <c r="AS198" s="43"/>
      <c r="AT198" s="195" t="str">
        <f ca="1">IF(FO192=0,"",".")</f>
        <v/>
      </c>
      <c r="AU198" s="689"/>
      <c r="AV198" s="629"/>
      <c r="AW198" s="629"/>
      <c r="AX198" s="629"/>
      <c r="AY198" s="629"/>
      <c r="AZ198" s="629"/>
      <c r="BA198" s="629"/>
      <c r="BB198" s="629"/>
      <c r="BC198" s="629"/>
      <c r="BD198" s="629"/>
      <c r="BE198" s="629"/>
      <c r="BF198" s="629"/>
      <c r="BG198" s="629"/>
      <c r="BH198" s="629"/>
      <c r="BI198" s="629"/>
      <c r="BJ198" s="629"/>
      <c r="BK198" s="629"/>
      <c r="BL198" s="629"/>
      <c r="BM198" s="629"/>
      <c r="BN198" s="629"/>
      <c r="BO198" s="629"/>
      <c r="BP198" s="629"/>
      <c r="BQ198" s="629"/>
      <c r="BR198" s="629"/>
      <c r="BS198" s="629"/>
      <c r="BT198" s="629"/>
      <c r="BU198" s="629"/>
      <c r="BV198" s="629"/>
      <c r="BW198" s="629"/>
      <c r="BX198" s="629"/>
      <c r="BY198" s="629"/>
      <c r="BZ198" s="629"/>
      <c r="CA198" s="629"/>
      <c r="CB198" s="629"/>
      <c r="CC198" s="629"/>
      <c r="CD198" s="629"/>
      <c r="CE198" s="629"/>
      <c r="CF198" s="629"/>
      <c r="CG198" s="629"/>
      <c r="CH198" s="629"/>
      <c r="CI198" s="629"/>
      <c r="CJ198" s="629"/>
      <c r="CK198" s="629"/>
      <c r="CL198" s="629"/>
      <c r="CM198" s="629"/>
      <c r="CN198" s="629"/>
      <c r="CO198" s="629"/>
      <c r="CP198" s="629"/>
      <c r="CQ198" s="629"/>
      <c r="CR198" s="629"/>
      <c r="CS198" s="629"/>
      <c r="CT198" s="629"/>
      <c r="CU198" s="555"/>
      <c r="CV198" s="555"/>
      <c r="CW198" s="555"/>
      <c r="CX198" s="555"/>
      <c r="CY198" s="555"/>
      <c r="CZ198" s="555"/>
      <c r="DA198" s="555"/>
      <c r="DB198" s="555"/>
      <c r="DC198" s="555"/>
      <c r="DD198" s="555"/>
      <c r="DE198" s="555"/>
      <c r="DF198" s="195" t="str">
        <f ca="1">IF(FO192=0,"",".")</f>
        <v/>
      </c>
      <c r="DG198" s="43"/>
      <c r="DH198" s="207" t="str">
        <f>IF(AU198="","",IF(FO198=1,"Goed!","Fout! Je moet alles van GO vermenigvuldigen met q."))</f>
        <v/>
      </c>
      <c r="DI198" s="43"/>
      <c r="DJ198" s="43"/>
      <c r="DK198" s="43"/>
      <c r="DL198" s="43"/>
      <c r="DM198" s="43"/>
      <c r="DN198" s="43"/>
      <c r="DO198" s="43"/>
      <c r="DP198" s="43"/>
      <c r="DQ198" s="43"/>
      <c r="DR198" s="43"/>
      <c r="DS198" s="43"/>
      <c r="DT198" s="43"/>
      <c r="DU198" s="43"/>
      <c r="DV198" s="43"/>
      <c r="DW198" s="43"/>
      <c r="DX198" s="43"/>
      <c r="DY198" s="79"/>
      <c r="DZ198" s="79"/>
      <c r="EA198" s="79"/>
      <c r="EB198" s="79"/>
      <c r="EC198" s="79"/>
      <c r="ED198" s="79"/>
      <c r="EE198" s="79"/>
      <c r="EF198" s="79"/>
      <c r="EG198" s="79"/>
      <c r="EH198" s="79"/>
      <c r="EI198" s="79"/>
      <c r="EJ198" s="79"/>
      <c r="EK198" s="79"/>
      <c r="EL198" s="79"/>
      <c r="EM198" s="79"/>
      <c r="EN198" s="79"/>
      <c r="EO198" s="79"/>
      <c r="EP198" s="79"/>
      <c r="EQ198" s="79"/>
      <c r="ER198" s="79"/>
      <c r="ES198" s="79"/>
      <c r="ET198" s="79"/>
      <c r="EU198" s="79"/>
      <c r="EV198" s="79"/>
      <c r="EW198" s="79"/>
      <c r="EX198" s="79"/>
      <c r="EY198" s="79"/>
      <c r="EZ198" s="79"/>
      <c r="FA198" s="79"/>
      <c r="FB198" s="79"/>
      <c r="FC198" s="79"/>
      <c r="FD198" s="79"/>
      <c r="FE198" s="79"/>
      <c r="FF198" s="79"/>
      <c r="FG198" s="79"/>
      <c r="FH198" s="79"/>
      <c r="FI198" s="79"/>
      <c r="FJ198" s="79"/>
      <c r="FK198" s="79"/>
      <c r="FL198" s="79"/>
      <c r="FM198" s="116"/>
      <c r="FN198" s="116"/>
      <c r="FO198" s="48">
        <f ca="1">IF(programma!B1="X",1,IF(FO192=0,0,IF(AU198=FR198,1,0)))</f>
        <v>0</v>
      </c>
      <c r="FP198" s="94" t="str">
        <f ca="1">IF(FO1=0,"",FR198)</f>
        <v/>
      </c>
      <c r="FQ198" s="94" t="str">
        <f ca="1">IF(FO192=0,"","TO = -"&amp;1/FP181&amp;"q² + "&amp;FQ181/FP181&amp;"")</f>
        <v/>
      </c>
      <c r="FR198" s="79" t="str">
        <f ca="1">IF(FO192=0,"","TO = -"&amp;1/FP181&amp;"q² + "&amp;FQ181/FP181&amp;"q")</f>
        <v/>
      </c>
      <c r="FS198" s="94" t="str">
        <f ca="1">IF(FO192=0,"","TO = -"&amp;FP181&amp;"q² + "&amp;FQ181/FP181&amp;"")</f>
        <v/>
      </c>
      <c r="FT198" s="94" t="str">
        <f ca="1">IF(FO192=0,"","TO = -"&amp;FP181&amp;"q² + "&amp;FQ181/FP181&amp;"q")</f>
        <v/>
      </c>
      <c r="FU198" s="127"/>
      <c r="FV198" s="127"/>
      <c r="FW198" s="127"/>
      <c r="FX198" s="47"/>
      <c r="FY198" s="32"/>
      <c r="FZ198" s="32"/>
      <c r="GA198" s="32"/>
      <c r="GB198" s="32"/>
      <c r="GC198" s="32"/>
      <c r="GD198" s="32"/>
      <c r="GE198" s="32"/>
      <c r="GF198" s="32"/>
      <c r="GG198" s="32"/>
      <c r="GH198" s="32"/>
      <c r="GI198" s="32"/>
      <c r="GJ198" s="32"/>
      <c r="GK198" s="32"/>
      <c r="GL198" s="32"/>
      <c r="GM198" s="49"/>
      <c r="GN198" s="49"/>
      <c r="GO198" s="49"/>
      <c r="GP198" s="49"/>
      <c r="GQ198" s="49"/>
      <c r="GR198" s="49"/>
      <c r="GS198" s="49"/>
      <c r="GT198" s="49"/>
      <c r="GU198" s="49"/>
      <c r="GV198" s="49"/>
      <c r="GW198" s="49"/>
      <c r="GX198" s="49"/>
      <c r="GY198" s="49"/>
      <c r="GZ198" s="49"/>
      <c r="HA198" s="49"/>
      <c r="HB198" s="49"/>
      <c r="HC198" s="49"/>
      <c r="HD198" s="49"/>
      <c r="HE198" s="49"/>
      <c r="HF198" s="49"/>
      <c r="HG198" s="49"/>
      <c r="HH198" s="49"/>
      <c r="HI198" s="49"/>
      <c r="HJ198" s="49"/>
      <c r="HK198" s="49"/>
      <c r="HL198" s="49"/>
      <c r="HM198" s="49"/>
      <c r="HN198" s="49"/>
    </row>
    <row r="199" spans="1:222" ht="3.75" customHeight="1">
      <c r="A199" s="1"/>
      <c r="B199" s="3"/>
      <c r="C199" s="3"/>
      <c r="D199" s="38"/>
      <c r="E199" s="126"/>
      <c r="F199" s="126"/>
      <c r="G199" s="43"/>
      <c r="H199" s="43"/>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43"/>
      <c r="AJ199" s="43"/>
      <c r="AK199" s="43"/>
      <c r="AL199" s="43"/>
      <c r="AM199" s="43"/>
      <c r="AN199" s="43"/>
      <c r="AO199" s="43"/>
      <c r="AP199" s="43"/>
      <c r="AQ199" s="43"/>
      <c r="AR199" s="43"/>
      <c r="AS199" s="43"/>
      <c r="AT199" s="538" t="str">
        <f ca="1">IF(FO192=0,"",".")</f>
        <v/>
      </c>
      <c r="AU199" s="541"/>
      <c r="AV199" s="541"/>
      <c r="AW199" s="541"/>
      <c r="AX199" s="541"/>
      <c r="AY199" s="541"/>
      <c r="AZ199" s="541"/>
      <c r="BA199" s="541"/>
      <c r="BB199" s="541"/>
      <c r="BC199" s="541"/>
      <c r="BD199" s="541"/>
      <c r="BE199" s="541"/>
      <c r="BF199" s="541"/>
      <c r="BG199" s="541"/>
      <c r="BH199" s="541"/>
      <c r="BI199" s="541"/>
      <c r="BJ199" s="541"/>
      <c r="BK199" s="541"/>
      <c r="BL199" s="541"/>
      <c r="BM199" s="541"/>
      <c r="BN199" s="541"/>
      <c r="BO199" s="541"/>
      <c r="BP199" s="541"/>
      <c r="BQ199" s="545"/>
      <c r="BR199" s="545"/>
      <c r="BS199" s="545"/>
      <c r="BT199" s="545"/>
      <c r="BU199" s="545"/>
      <c r="BV199" s="545"/>
      <c r="BW199" s="545"/>
      <c r="BX199" s="545"/>
      <c r="BY199" s="545"/>
      <c r="BZ199" s="545"/>
      <c r="CA199" s="545"/>
      <c r="CB199" s="545"/>
      <c r="CC199" s="545"/>
      <c r="CD199" s="545"/>
      <c r="CE199" s="545"/>
      <c r="CF199" s="545"/>
      <c r="CG199" s="545"/>
      <c r="CH199" s="545"/>
      <c r="CI199" s="545"/>
      <c r="CJ199" s="545"/>
      <c r="CK199" s="545"/>
      <c r="CL199" s="545"/>
      <c r="CM199" s="545"/>
      <c r="CN199" s="545"/>
      <c r="CO199" s="545"/>
      <c r="CP199" s="545"/>
      <c r="CQ199" s="545"/>
      <c r="CR199" s="545"/>
      <c r="CS199" s="545"/>
      <c r="CT199" s="545"/>
      <c r="CU199" s="545"/>
      <c r="CV199" s="545"/>
      <c r="CW199" s="545"/>
      <c r="CX199" s="545"/>
      <c r="CY199" s="545"/>
      <c r="CZ199" s="545"/>
      <c r="DA199" s="545"/>
      <c r="DB199" s="545"/>
      <c r="DC199" s="545"/>
      <c r="DD199" s="545"/>
      <c r="DE199" s="545"/>
      <c r="DF199" s="545"/>
      <c r="DG199" s="43"/>
      <c r="DH199" s="43"/>
      <c r="DI199" s="43"/>
      <c r="DJ199" s="43"/>
      <c r="DK199" s="43"/>
      <c r="DL199" s="43"/>
      <c r="DM199" s="43"/>
      <c r="DN199" s="43"/>
      <c r="DO199" s="43"/>
      <c r="DP199" s="43"/>
      <c r="DQ199" s="43"/>
      <c r="DR199" s="43"/>
      <c r="DS199" s="43"/>
      <c r="DT199" s="43"/>
      <c r="DU199" s="43"/>
      <c r="DV199" s="43"/>
      <c r="DW199" s="43"/>
      <c r="DX199" s="43"/>
      <c r="DY199" s="79"/>
      <c r="DZ199" s="79"/>
      <c r="EA199" s="79"/>
      <c r="EB199" s="79"/>
      <c r="EC199" s="79"/>
      <c r="ED199" s="79"/>
      <c r="EE199" s="79"/>
      <c r="EF199" s="79"/>
      <c r="EG199" s="79"/>
      <c r="EH199" s="79"/>
      <c r="EI199" s="79"/>
      <c r="EJ199" s="79"/>
      <c r="EK199" s="79"/>
      <c r="EL199" s="79"/>
      <c r="EM199" s="79"/>
      <c r="EN199" s="79"/>
      <c r="EO199" s="79"/>
      <c r="EP199" s="79"/>
      <c r="EQ199" s="79"/>
      <c r="ER199" s="79"/>
      <c r="ES199" s="79"/>
      <c r="ET199" s="79"/>
      <c r="EU199" s="79"/>
      <c r="EV199" s="79"/>
      <c r="EW199" s="79"/>
      <c r="EX199" s="79"/>
      <c r="EY199" s="79"/>
      <c r="EZ199" s="79"/>
      <c r="FA199" s="79"/>
      <c r="FB199" s="79"/>
      <c r="FC199" s="79"/>
      <c r="FD199" s="79"/>
      <c r="FE199" s="79"/>
      <c r="FF199" s="79"/>
      <c r="FG199" s="79"/>
      <c r="FH199" s="79"/>
      <c r="FI199" s="79"/>
      <c r="FJ199" s="79"/>
      <c r="FK199" s="79"/>
      <c r="FL199" s="79"/>
      <c r="FM199" s="116"/>
      <c r="FN199" s="116"/>
      <c r="FO199" s="47"/>
      <c r="FP199" s="47"/>
      <c r="FQ199" s="47"/>
      <c r="FR199" s="127"/>
      <c r="FS199" s="127"/>
      <c r="FT199" s="127"/>
      <c r="FU199" s="127"/>
      <c r="FV199" s="127"/>
      <c r="FW199" s="127"/>
      <c r="FX199" s="47"/>
      <c r="FY199" s="32"/>
      <c r="FZ199" s="32"/>
      <c r="GA199" s="32"/>
      <c r="GB199" s="32"/>
      <c r="GC199" s="32"/>
      <c r="GD199" s="32"/>
      <c r="GE199" s="32"/>
      <c r="GF199" s="32"/>
      <c r="GG199" s="32"/>
      <c r="GH199" s="32"/>
      <c r="GI199" s="32"/>
      <c r="GJ199" s="32"/>
      <c r="GK199" s="32"/>
      <c r="GL199" s="32"/>
      <c r="GM199" s="49"/>
      <c r="GN199" s="49"/>
      <c r="GO199" s="49"/>
      <c r="GP199" s="49"/>
      <c r="GQ199" s="49"/>
      <c r="GR199" s="49"/>
      <c r="GS199" s="49"/>
      <c r="GT199" s="49"/>
      <c r="GU199" s="49"/>
      <c r="GV199" s="49"/>
      <c r="GW199" s="49"/>
      <c r="GX199" s="49"/>
      <c r="GY199" s="49"/>
      <c r="GZ199" s="49"/>
      <c r="HA199" s="49"/>
      <c r="HB199" s="49"/>
      <c r="HC199" s="49"/>
      <c r="HD199" s="49"/>
      <c r="HE199" s="49"/>
      <c r="HF199" s="49"/>
      <c r="HG199" s="49"/>
      <c r="HH199" s="49"/>
      <c r="HI199" s="49"/>
      <c r="HJ199" s="49"/>
      <c r="HK199" s="49"/>
      <c r="HL199" s="49"/>
      <c r="HM199" s="49"/>
      <c r="HN199" s="49"/>
    </row>
    <row r="200" spans="1:222" ht="11.25" customHeight="1">
      <c r="A200" s="1"/>
      <c r="B200" s="3"/>
      <c r="C200" s="3"/>
      <c r="D200" s="38"/>
      <c r="E200" s="126"/>
      <c r="F200" s="126"/>
      <c r="G200" s="43"/>
      <c r="H200" s="43"/>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79"/>
      <c r="DZ200" s="79"/>
      <c r="EA200" s="79"/>
      <c r="EB200" s="79"/>
      <c r="EC200" s="79"/>
      <c r="ED200" s="79"/>
      <c r="EE200" s="79"/>
      <c r="EF200" s="79"/>
      <c r="EG200" s="79"/>
      <c r="EH200" s="79"/>
      <c r="EI200" s="79"/>
      <c r="EJ200" s="79"/>
      <c r="EK200" s="79"/>
      <c r="EL200" s="79"/>
      <c r="EM200" s="79"/>
      <c r="EN200" s="79"/>
      <c r="EO200" s="79"/>
      <c r="EP200" s="79"/>
      <c r="EQ200" s="79"/>
      <c r="ER200" s="79"/>
      <c r="ES200" s="79"/>
      <c r="ET200" s="79"/>
      <c r="EU200" s="79"/>
      <c r="EV200" s="79"/>
      <c r="EW200" s="79"/>
      <c r="EX200" s="79"/>
      <c r="EY200" s="79"/>
      <c r="EZ200" s="79"/>
      <c r="FA200" s="79"/>
      <c r="FB200" s="79"/>
      <c r="FC200" s="79"/>
      <c r="FD200" s="79"/>
      <c r="FE200" s="79"/>
      <c r="FF200" s="79"/>
      <c r="FG200" s="79"/>
      <c r="FH200" s="79"/>
      <c r="FI200" s="79"/>
      <c r="FJ200" s="79"/>
      <c r="FK200" s="79"/>
      <c r="FL200" s="79"/>
      <c r="FM200" s="116"/>
      <c r="FN200" s="116"/>
      <c r="FO200" s="47"/>
      <c r="FP200" s="47"/>
      <c r="FQ200" s="47"/>
      <c r="FR200" s="127"/>
      <c r="FS200" s="127"/>
      <c r="FT200" s="127"/>
      <c r="FU200" s="127"/>
      <c r="FV200" s="127"/>
      <c r="FW200" s="127"/>
      <c r="FX200" s="47"/>
      <c r="FY200" s="32"/>
      <c r="FZ200" s="32"/>
      <c r="GA200" s="32"/>
      <c r="GB200" s="32"/>
      <c r="GC200" s="32"/>
      <c r="GD200" s="32"/>
      <c r="GE200" s="32"/>
      <c r="GF200" s="32"/>
      <c r="GG200" s="32"/>
      <c r="GH200" s="32"/>
      <c r="GI200" s="32"/>
      <c r="GJ200" s="32"/>
      <c r="GK200" s="32"/>
      <c r="GL200" s="32"/>
      <c r="GM200" s="49"/>
      <c r="GN200" s="49"/>
      <c r="GO200" s="49"/>
      <c r="GP200" s="49"/>
      <c r="GQ200" s="49"/>
      <c r="GR200" s="49"/>
      <c r="GS200" s="49"/>
      <c r="GT200" s="49"/>
      <c r="GU200" s="49"/>
      <c r="GV200" s="49"/>
      <c r="GW200" s="49"/>
      <c r="GX200" s="49"/>
      <c r="GY200" s="49"/>
      <c r="GZ200" s="49"/>
      <c r="HA200" s="49"/>
      <c r="HB200" s="49"/>
      <c r="HC200" s="49"/>
      <c r="HD200" s="49"/>
      <c r="HE200" s="49"/>
      <c r="HF200" s="49"/>
      <c r="HG200" s="49"/>
      <c r="HH200" s="49"/>
      <c r="HI200" s="49"/>
      <c r="HJ200" s="49"/>
      <c r="HK200" s="49"/>
      <c r="HL200" s="49"/>
      <c r="HM200" s="49"/>
      <c r="HN200" s="49"/>
    </row>
    <row r="201" spans="1:222" ht="16.5" customHeight="1">
      <c r="A201" s="1"/>
      <c r="B201" s="3"/>
      <c r="C201" s="3"/>
      <c r="D201" s="38" t="str">
        <f ca="1">IF(FO198=0,"",IF(FO98=1,"De MO-functie luidt:",""))</f>
        <v/>
      </c>
      <c r="E201" s="126"/>
      <c r="F201" s="126"/>
      <c r="G201" s="43"/>
      <c r="H201" s="43"/>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79"/>
      <c r="DZ201" s="79"/>
      <c r="EA201" s="79"/>
      <c r="EB201" s="79"/>
      <c r="EC201" s="79"/>
      <c r="ED201" s="79"/>
      <c r="EE201" s="79"/>
      <c r="EF201" s="79"/>
      <c r="EG201" s="79"/>
      <c r="EH201" s="79"/>
      <c r="EI201" s="79"/>
      <c r="EJ201" s="79"/>
      <c r="EK201" s="79"/>
      <c r="EL201" s="79"/>
      <c r="EM201" s="79"/>
      <c r="EN201" s="79"/>
      <c r="EO201" s="79"/>
      <c r="EP201" s="79"/>
      <c r="EQ201" s="79"/>
      <c r="ER201" s="79"/>
      <c r="ES201" s="79"/>
      <c r="ET201" s="79"/>
      <c r="EU201" s="79"/>
      <c r="EV201" s="79"/>
      <c r="EW201" s="79"/>
      <c r="EX201" s="79"/>
      <c r="EY201" s="79"/>
      <c r="EZ201" s="79"/>
      <c r="FA201" s="79"/>
      <c r="FB201" s="79"/>
      <c r="FC201" s="79"/>
      <c r="FD201" s="79"/>
      <c r="FE201" s="79"/>
      <c r="FF201" s="79"/>
      <c r="FG201" s="79"/>
      <c r="FH201" s="79"/>
      <c r="FI201" s="79"/>
      <c r="FJ201" s="79"/>
      <c r="FK201" s="79"/>
      <c r="FL201" s="79"/>
      <c r="FM201" s="116"/>
      <c r="FN201" s="116"/>
      <c r="FO201" s="47"/>
      <c r="FP201" s="47"/>
      <c r="FQ201" s="94" t="str">
        <f ca="1">IF(FO173=0,"","MO = -"&amp;2/FP181&amp;"q + "&amp;FQ181/FP181&amp;"")</f>
        <v/>
      </c>
      <c r="FR201" s="127"/>
      <c r="FS201" s="127"/>
      <c r="FT201" s="127"/>
      <c r="FU201" s="127"/>
      <c r="FV201" s="127"/>
      <c r="FW201" s="127"/>
      <c r="FX201" s="47"/>
      <c r="FY201" s="32"/>
      <c r="FZ201" s="32"/>
      <c r="GA201" s="32"/>
      <c r="GB201" s="32"/>
      <c r="GC201" s="32"/>
      <c r="GD201" s="32"/>
      <c r="GE201" s="32"/>
      <c r="GF201" s="32"/>
      <c r="GG201" s="32"/>
      <c r="GH201" s="32"/>
      <c r="GI201" s="32"/>
      <c r="GJ201" s="32"/>
      <c r="GK201" s="32"/>
      <c r="GL201" s="32"/>
      <c r="GM201" s="49"/>
      <c r="GN201" s="49"/>
      <c r="GO201" s="49"/>
      <c r="GP201" s="49"/>
      <c r="GQ201" s="49"/>
      <c r="GR201" s="49"/>
      <c r="GS201" s="49"/>
      <c r="GT201" s="49"/>
      <c r="GU201" s="49"/>
      <c r="GV201" s="49"/>
      <c r="GW201" s="49"/>
      <c r="GX201" s="49"/>
      <c r="GY201" s="49"/>
      <c r="GZ201" s="49"/>
      <c r="HA201" s="49"/>
      <c r="HB201" s="49"/>
      <c r="HC201" s="49"/>
      <c r="HD201" s="49"/>
      <c r="HE201" s="49"/>
      <c r="HF201" s="49"/>
      <c r="HG201" s="49"/>
      <c r="HH201" s="49"/>
      <c r="HI201" s="49"/>
      <c r="HJ201" s="49"/>
      <c r="HK201" s="49"/>
      <c r="HL201" s="49"/>
      <c r="HM201" s="49"/>
      <c r="HN201" s="49"/>
    </row>
    <row r="202" spans="1:222" ht="16.5" customHeight="1">
      <c r="A202" s="1"/>
      <c r="B202" s="3"/>
      <c r="C202" s="3"/>
      <c r="D202" s="38"/>
      <c r="E202" s="126"/>
      <c r="F202" s="126"/>
      <c r="G202" s="43"/>
      <c r="H202" s="43"/>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163" t="str">
        <f ca="1">IF(FO198=0,"",FQ201)</f>
        <v/>
      </c>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79"/>
      <c r="DR202" s="79"/>
      <c r="DS202" s="79"/>
      <c r="DT202" s="79"/>
      <c r="DU202" s="79"/>
      <c r="DV202" s="79"/>
      <c r="DW202" s="79"/>
      <c r="DX202" s="79"/>
      <c r="DY202" s="79"/>
      <c r="DZ202" s="79"/>
      <c r="EA202" s="79"/>
      <c r="EB202" s="79"/>
      <c r="EC202" s="79"/>
      <c r="ED202" s="79"/>
      <c r="EE202" s="79"/>
      <c r="EF202" s="79"/>
      <c r="EG202" s="79"/>
      <c r="EH202" s="79"/>
      <c r="EI202" s="79"/>
      <c r="EJ202" s="79"/>
      <c r="EK202" s="79"/>
      <c r="EL202" s="79"/>
      <c r="EM202" s="79"/>
      <c r="EN202" s="79"/>
      <c r="EO202" s="79"/>
      <c r="EP202" s="79"/>
      <c r="EQ202" s="79"/>
      <c r="ER202" s="79"/>
      <c r="ES202" s="79"/>
      <c r="ET202" s="79"/>
      <c r="EU202" s="79"/>
      <c r="EV202" s="79"/>
      <c r="EW202" s="79"/>
      <c r="EX202" s="79"/>
      <c r="EY202" s="79"/>
      <c r="EZ202" s="79"/>
      <c r="FA202" s="79"/>
      <c r="FB202" s="79"/>
      <c r="FC202" s="79"/>
      <c r="FD202" s="79"/>
      <c r="FE202" s="79"/>
      <c r="FF202" s="79"/>
      <c r="FG202" s="79"/>
      <c r="FH202" s="79"/>
      <c r="FI202" s="79"/>
      <c r="FJ202" s="79"/>
      <c r="FK202" s="79"/>
      <c r="FL202" s="79"/>
      <c r="FM202" s="116"/>
      <c r="FN202" s="116"/>
      <c r="FO202" s="47"/>
      <c r="FP202" s="47"/>
      <c r="FQ202" s="79"/>
      <c r="FR202" s="127"/>
      <c r="FS202" s="127"/>
      <c r="FT202" s="127"/>
      <c r="FU202" s="127"/>
      <c r="FV202" s="127"/>
      <c r="FW202" s="127"/>
      <c r="FX202" s="47"/>
      <c r="FY202" s="32"/>
      <c r="FZ202" s="32"/>
      <c r="GA202" s="32"/>
      <c r="GB202" s="32"/>
      <c r="GC202" s="32"/>
      <c r="GD202" s="32"/>
      <c r="GE202" s="32"/>
      <c r="GF202" s="32"/>
      <c r="GG202" s="32"/>
      <c r="GH202" s="32"/>
      <c r="GI202" s="32"/>
      <c r="GJ202" s="32"/>
      <c r="GK202" s="32"/>
      <c r="GL202" s="32"/>
      <c r="GM202" s="49"/>
      <c r="GN202" s="49"/>
      <c r="GO202" s="49"/>
      <c r="GP202" s="49"/>
      <c r="GQ202" s="49"/>
      <c r="GR202" s="49"/>
      <c r="GS202" s="49"/>
      <c r="GT202" s="49"/>
      <c r="GU202" s="49"/>
      <c r="GV202" s="49"/>
      <c r="GW202" s="49"/>
      <c r="GX202" s="49"/>
      <c r="GY202" s="49"/>
      <c r="GZ202" s="49"/>
      <c r="HA202" s="49"/>
      <c r="HB202" s="49"/>
      <c r="HC202" s="49"/>
      <c r="HD202" s="49"/>
      <c r="HE202" s="49"/>
      <c r="HF202" s="49"/>
      <c r="HG202" s="49"/>
      <c r="HH202" s="49"/>
      <c r="HI202" s="49"/>
      <c r="HJ202" s="49"/>
      <c r="HK202" s="49"/>
      <c r="HL202" s="49"/>
      <c r="HM202" s="49"/>
      <c r="HN202" s="49"/>
    </row>
    <row r="203" spans="1:222" ht="11.25" customHeight="1">
      <c r="A203" s="1"/>
      <c r="B203" s="3"/>
      <c r="C203" s="3"/>
      <c r="D203" s="38"/>
      <c r="E203" s="126"/>
      <c r="F203" s="126"/>
      <c r="G203" s="43"/>
      <c r="H203" s="43"/>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79"/>
      <c r="DZ203" s="79"/>
      <c r="EA203" s="79"/>
      <c r="EB203" s="79"/>
      <c r="EC203" s="79"/>
      <c r="ED203" s="79"/>
      <c r="EE203" s="79"/>
      <c r="EF203" s="79"/>
      <c r="EG203" s="79"/>
      <c r="EH203" s="79"/>
      <c r="EI203" s="79"/>
      <c r="EJ203" s="79"/>
      <c r="EK203" s="79"/>
      <c r="EL203" s="79"/>
      <c r="EM203" s="79"/>
      <c r="EN203" s="79"/>
      <c r="EO203" s="79"/>
      <c r="EP203" s="79"/>
      <c r="EQ203" s="79"/>
      <c r="ER203" s="79"/>
      <c r="ES203" s="79"/>
      <c r="ET203" s="79"/>
      <c r="EU203" s="79"/>
      <c r="EV203" s="79"/>
      <c r="EW203" s="79"/>
      <c r="EX203" s="79"/>
      <c r="EY203" s="79"/>
      <c r="EZ203" s="79"/>
      <c r="FA203" s="79"/>
      <c r="FB203" s="79"/>
      <c r="FC203" s="79"/>
      <c r="FD203" s="79"/>
      <c r="FE203" s="79"/>
      <c r="FF203" s="79"/>
      <c r="FG203" s="79"/>
      <c r="FH203" s="79"/>
      <c r="FI203" s="79"/>
      <c r="FJ203" s="79"/>
      <c r="FK203" s="79"/>
      <c r="FL203" s="79"/>
      <c r="FM203" s="116"/>
      <c r="FN203" s="116"/>
      <c r="FO203" s="47"/>
      <c r="FP203" s="47"/>
      <c r="FQ203" s="47"/>
      <c r="FR203" s="127"/>
      <c r="FS203" s="127"/>
      <c r="FT203" s="127"/>
      <c r="FU203" s="127"/>
      <c r="FV203" s="127"/>
      <c r="FW203" s="127"/>
      <c r="FX203" s="47"/>
      <c r="FY203" s="32"/>
      <c r="FZ203" s="32"/>
      <c r="GA203" s="32"/>
      <c r="GB203" s="32"/>
      <c r="GC203" s="32"/>
      <c r="GD203" s="32"/>
      <c r="GE203" s="32"/>
      <c r="GF203" s="32"/>
      <c r="GG203" s="32"/>
      <c r="GH203" s="32"/>
      <c r="GI203" s="32"/>
      <c r="GJ203" s="32"/>
      <c r="GK203" s="32"/>
      <c r="GL203" s="32"/>
      <c r="GM203" s="49"/>
      <c r="GN203" s="49"/>
      <c r="GO203" s="49"/>
      <c r="GP203" s="49"/>
      <c r="GQ203" s="49"/>
      <c r="GR203" s="49"/>
      <c r="GS203" s="49"/>
      <c r="GT203" s="49"/>
      <c r="GU203" s="49"/>
      <c r="GV203" s="49"/>
      <c r="GW203" s="49"/>
      <c r="GX203" s="49"/>
      <c r="GY203" s="49"/>
      <c r="GZ203" s="49"/>
      <c r="HA203" s="49"/>
      <c r="HB203" s="49"/>
      <c r="HC203" s="49"/>
      <c r="HD203" s="49"/>
      <c r="HE203" s="49"/>
      <c r="HF203" s="49"/>
      <c r="HG203" s="49"/>
      <c r="HH203" s="49"/>
      <c r="HI203" s="49"/>
      <c r="HJ203" s="49"/>
      <c r="HK203" s="49"/>
      <c r="HL203" s="49"/>
      <c r="HM203" s="49"/>
      <c r="HN203" s="49"/>
    </row>
    <row r="204" spans="1:222" ht="16.95" customHeight="1">
      <c r="A204" s="1"/>
      <c r="B204" s="3"/>
      <c r="C204" s="3"/>
      <c r="D204" s="373" t="str">
        <f ca="1">IF(FO198=0,"","Nu gaan we over tot een kostenfunctie waarbij de constante kosten hetzelfde")</f>
        <v/>
      </c>
      <c r="E204" s="10"/>
      <c r="F204" s="10"/>
      <c r="G204" s="10"/>
      <c r="H204" s="10"/>
      <c r="I204" s="10"/>
      <c r="J204" s="10"/>
      <c r="K204" s="10"/>
      <c r="L204" s="10"/>
      <c r="M204" s="10"/>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c r="BM204" s="79"/>
      <c r="BN204" s="79"/>
      <c r="BO204" s="79"/>
      <c r="BP204" s="79"/>
      <c r="BQ204" s="79"/>
      <c r="BR204" s="79"/>
      <c r="BS204" s="79"/>
      <c r="BT204" s="79"/>
      <c r="BU204" s="79"/>
      <c r="BV204" s="79"/>
      <c r="BW204" s="79"/>
      <c r="BX204" s="79"/>
      <c r="BY204" s="79"/>
      <c r="BZ204" s="79"/>
      <c r="CA204" s="79"/>
      <c r="CB204" s="79"/>
      <c r="CC204" s="79"/>
      <c r="CD204" s="79"/>
      <c r="CE204" s="79"/>
      <c r="CF204" s="79"/>
      <c r="CG204" s="79"/>
      <c r="CH204" s="79"/>
      <c r="CI204" s="79"/>
      <c r="CJ204" s="79"/>
      <c r="CK204" s="79"/>
      <c r="CL204" s="79"/>
      <c r="CM204" s="79"/>
      <c r="CN204" s="79"/>
      <c r="CO204" s="79"/>
      <c r="CP204" s="79"/>
      <c r="CQ204" s="79"/>
      <c r="CR204" s="79"/>
      <c r="CS204" s="79"/>
      <c r="CT204" s="79"/>
      <c r="CU204" s="79"/>
      <c r="CV204" s="79"/>
      <c r="CW204" s="79"/>
      <c r="CX204" s="79"/>
      <c r="CY204" s="79"/>
      <c r="CZ204" s="79"/>
      <c r="DA204" s="79"/>
      <c r="DB204" s="79"/>
      <c r="DC204" s="79"/>
      <c r="DD204" s="79"/>
      <c r="DE204" s="79"/>
      <c r="DF204" s="79"/>
      <c r="DG204" s="79"/>
      <c r="DH204" s="79"/>
      <c r="DI204" s="79"/>
      <c r="DJ204" s="79"/>
      <c r="DK204" s="79"/>
      <c r="DL204" s="79"/>
      <c r="DM204" s="79"/>
      <c r="DN204" s="79"/>
      <c r="DO204" s="79"/>
      <c r="DP204" s="79"/>
      <c r="DQ204" s="79"/>
      <c r="DR204" s="79"/>
      <c r="DS204" s="79"/>
      <c r="DT204" s="79"/>
      <c r="DU204" s="79"/>
      <c r="DV204" s="79"/>
      <c r="DW204" s="79"/>
      <c r="DX204" s="79"/>
      <c r="DY204" s="79"/>
      <c r="DZ204" s="79"/>
      <c r="EA204" s="79"/>
      <c r="EB204" s="79"/>
      <c r="EC204" s="79"/>
      <c r="ED204" s="79"/>
      <c r="EE204" s="79"/>
      <c r="EF204" s="79"/>
      <c r="EG204" s="79"/>
      <c r="EH204" s="79"/>
      <c r="EI204" s="79"/>
      <c r="EJ204" s="79"/>
      <c r="EK204" s="79"/>
      <c r="EL204" s="79"/>
      <c r="EM204" s="79"/>
      <c r="EN204" s="79"/>
      <c r="EO204" s="79"/>
      <c r="EP204" s="79"/>
      <c r="EQ204" s="79"/>
      <c r="ER204" s="79"/>
      <c r="ES204" s="79"/>
      <c r="ET204" s="79"/>
      <c r="EU204" s="79"/>
      <c r="EV204" s="79"/>
      <c r="EW204" s="79"/>
      <c r="EX204" s="79"/>
      <c r="EY204" s="79"/>
      <c r="EZ204" s="79"/>
      <c r="FA204" s="79"/>
      <c r="FB204" s="79"/>
      <c r="FC204" s="79"/>
      <c r="FD204" s="79"/>
      <c r="FE204" s="79"/>
      <c r="FF204" s="79"/>
      <c r="FG204" s="79"/>
      <c r="FH204" s="79"/>
      <c r="FI204" s="79"/>
      <c r="FJ204" s="79"/>
      <c r="FK204" s="79"/>
      <c r="FL204" s="79"/>
      <c r="FM204" s="47"/>
      <c r="FN204" s="47"/>
      <c r="FO204" s="47"/>
      <c r="FP204" s="47"/>
      <c r="FQ204" s="47"/>
      <c r="FR204" s="47"/>
      <c r="FS204" s="47"/>
      <c r="FT204" s="47"/>
      <c r="FU204" s="47"/>
      <c r="FV204" s="47"/>
      <c r="FW204" s="47"/>
      <c r="FX204" s="47"/>
      <c r="FY204" s="32"/>
      <c r="FZ204" s="32"/>
      <c r="GA204" s="32"/>
      <c r="GB204" s="32"/>
      <c r="GC204" s="32"/>
      <c r="GD204" s="32"/>
      <c r="GE204" s="32"/>
      <c r="GF204" s="32"/>
      <c r="GG204" s="32"/>
      <c r="GH204" s="32"/>
      <c r="GI204" s="32"/>
      <c r="GJ204" s="32"/>
      <c r="GK204" s="32"/>
      <c r="GL204" s="32"/>
      <c r="GM204" s="49"/>
      <c r="GN204" s="49"/>
      <c r="GO204" s="49"/>
      <c r="GP204" s="49"/>
      <c r="GQ204" s="49"/>
      <c r="GR204" s="49"/>
      <c r="GS204" s="49"/>
      <c r="GT204" s="49"/>
      <c r="GU204" s="49"/>
      <c r="GV204" s="49"/>
      <c r="GW204" s="49"/>
      <c r="GX204" s="49"/>
      <c r="GY204" s="49"/>
      <c r="GZ204" s="49"/>
      <c r="HA204" s="49"/>
      <c r="HB204" s="49"/>
      <c r="HC204" s="49"/>
      <c r="HD204" s="49"/>
      <c r="HE204" s="49"/>
      <c r="HF204" s="49"/>
      <c r="HG204" s="49"/>
      <c r="HH204" s="49"/>
      <c r="HI204" s="49"/>
      <c r="HJ204" s="49"/>
      <c r="HK204" s="49"/>
      <c r="HL204" s="49"/>
      <c r="HM204" s="49"/>
      <c r="HN204" s="49"/>
    </row>
    <row r="205" spans="1:222" ht="16.95" customHeight="1">
      <c r="A205" s="1"/>
      <c r="B205" s="3"/>
      <c r="C205" s="3"/>
      <c r="D205" s="373" t="str">
        <f ca="1">IF(FO198=0,"","zijn als zonet. De functie van de totale constante kosten luidt dus weer:")</f>
        <v/>
      </c>
      <c r="E205" s="10"/>
      <c r="F205" s="10"/>
      <c r="G205" s="10"/>
      <c r="H205" s="10"/>
      <c r="I205" s="10"/>
      <c r="J205" s="10"/>
      <c r="K205" s="10"/>
      <c r="L205" s="10"/>
      <c r="M205" s="10"/>
      <c r="N205" s="79"/>
      <c r="O205" s="79"/>
      <c r="P205" s="79"/>
      <c r="Q205" s="79"/>
      <c r="R205" s="79"/>
      <c r="S205" s="7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c r="BG205" s="79"/>
      <c r="BH205" s="79"/>
      <c r="BI205" s="79"/>
      <c r="BJ205" s="79"/>
      <c r="BK205" s="79"/>
      <c r="BL205" s="79"/>
      <c r="BM205" s="79"/>
      <c r="BN205" s="79"/>
      <c r="BO205" s="79"/>
      <c r="BP205" s="79"/>
      <c r="BQ205" s="79"/>
      <c r="BR205" s="79"/>
      <c r="BS205" s="79"/>
      <c r="BT205" s="79"/>
      <c r="BU205" s="79"/>
      <c r="BV205" s="79"/>
      <c r="BW205" s="79"/>
      <c r="BX205" s="79"/>
      <c r="BY205" s="79"/>
      <c r="BZ205" s="79"/>
      <c r="CA205" s="79"/>
      <c r="CB205" s="79"/>
      <c r="CC205" s="79"/>
      <c r="CD205" s="79"/>
      <c r="CE205" s="79"/>
      <c r="CF205" s="79"/>
      <c r="CG205" s="79"/>
      <c r="CH205" s="79"/>
      <c r="CI205" s="79"/>
      <c r="CJ205" s="79"/>
      <c r="CK205" s="79"/>
      <c r="CL205" s="79"/>
      <c r="CM205" s="79"/>
      <c r="CN205" s="79"/>
      <c r="CO205" s="79"/>
      <c r="CP205" s="79"/>
      <c r="CQ205" s="79"/>
      <c r="CR205" s="79"/>
      <c r="CS205" s="79"/>
      <c r="CT205" s="79"/>
      <c r="CU205" s="79"/>
      <c r="CV205" s="79"/>
      <c r="CW205" s="79"/>
      <c r="CX205" s="79"/>
      <c r="CY205" s="79"/>
      <c r="CZ205" s="79"/>
      <c r="DA205" s="79"/>
      <c r="DB205" s="79"/>
      <c r="DC205" s="79"/>
      <c r="DD205" s="79"/>
      <c r="DE205" s="79"/>
      <c r="DF205" s="79"/>
      <c r="DG205" s="79"/>
      <c r="DH205" s="79"/>
      <c r="DI205" s="79"/>
      <c r="DJ205" s="79"/>
      <c r="DK205" s="79"/>
      <c r="DL205" s="79"/>
      <c r="DM205" s="79"/>
      <c r="DN205" s="79"/>
      <c r="DO205" s="79"/>
      <c r="DP205" s="79"/>
      <c r="DQ205" s="79"/>
      <c r="DR205" s="79"/>
      <c r="DS205" s="79"/>
      <c r="DT205" s="79"/>
      <c r="DU205" s="79"/>
      <c r="DV205" s="79"/>
      <c r="DW205" s="79"/>
      <c r="DX205" s="79"/>
      <c r="DY205" s="79"/>
      <c r="DZ205" s="79"/>
      <c r="EA205" s="79"/>
      <c r="EB205" s="79"/>
      <c r="EC205" s="79"/>
      <c r="ED205" s="79"/>
      <c r="EE205" s="79"/>
      <c r="EF205" s="79"/>
      <c r="EG205" s="79"/>
      <c r="EH205" s="79"/>
      <c r="EI205" s="79"/>
      <c r="EJ205" s="79"/>
      <c r="EK205" s="79"/>
      <c r="EL205" s="79"/>
      <c r="EM205" s="79"/>
      <c r="EN205" s="79"/>
      <c r="EO205" s="79"/>
      <c r="EP205" s="79"/>
      <c r="EQ205" s="79"/>
      <c r="ER205" s="79"/>
      <c r="ES205" s="79"/>
      <c r="ET205" s="79"/>
      <c r="EU205" s="79"/>
      <c r="EV205" s="79"/>
      <c r="EW205" s="79"/>
      <c r="EX205" s="79"/>
      <c r="EY205" s="79"/>
      <c r="EZ205" s="79"/>
      <c r="FA205" s="79"/>
      <c r="FB205" s="79"/>
      <c r="FC205" s="79"/>
      <c r="FD205" s="79"/>
      <c r="FE205" s="79"/>
      <c r="FF205" s="79"/>
      <c r="FG205" s="79"/>
      <c r="FH205" s="79"/>
      <c r="FI205" s="79"/>
      <c r="FJ205" s="79"/>
      <c r="FK205" s="79"/>
      <c r="FL205" s="79"/>
      <c r="FM205" s="47"/>
      <c r="FN205" s="47"/>
      <c r="FO205" s="47"/>
      <c r="FP205" s="47"/>
      <c r="FQ205" s="47"/>
      <c r="FR205" s="47"/>
      <c r="FS205" s="47"/>
      <c r="FT205" s="47"/>
      <c r="FU205" s="47"/>
      <c r="FV205" s="47"/>
      <c r="FW205" s="47"/>
      <c r="FX205" s="47"/>
      <c r="FY205" s="32"/>
      <c r="FZ205" s="32"/>
      <c r="GA205" s="32"/>
      <c r="GB205" s="32"/>
      <c r="GC205" s="32"/>
      <c r="GD205" s="32"/>
      <c r="GE205" s="32"/>
      <c r="GF205" s="32"/>
      <c r="GG205" s="32"/>
      <c r="GH205" s="32"/>
      <c r="GI205" s="32"/>
      <c r="GJ205" s="32"/>
      <c r="GK205" s="32"/>
      <c r="GL205" s="32"/>
      <c r="GM205" s="49"/>
      <c r="GN205" s="49"/>
      <c r="GO205" s="49"/>
      <c r="GP205" s="49"/>
      <c r="GQ205" s="49"/>
      <c r="GR205" s="49"/>
      <c r="GS205" s="49"/>
      <c r="GT205" s="49"/>
      <c r="GU205" s="49"/>
      <c r="GV205" s="49"/>
      <c r="GW205" s="49"/>
      <c r="GX205" s="49"/>
      <c r="GY205" s="49"/>
      <c r="GZ205" s="49"/>
      <c r="HA205" s="49"/>
      <c r="HB205" s="49"/>
      <c r="HC205" s="49"/>
      <c r="HD205" s="49"/>
      <c r="HE205" s="49"/>
      <c r="HF205" s="49"/>
      <c r="HG205" s="49"/>
      <c r="HH205" s="49"/>
      <c r="HI205" s="49"/>
      <c r="HJ205" s="49"/>
      <c r="HK205" s="49"/>
      <c r="HL205" s="49"/>
      <c r="HM205" s="49"/>
      <c r="HN205" s="49"/>
    </row>
    <row r="206" spans="1:222" ht="13.5" customHeight="1">
      <c r="A206" s="1"/>
      <c r="B206" s="3"/>
      <c r="C206" s="3"/>
      <c r="D206" s="38"/>
      <c r="E206" s="126"/>
      <c r="F206" s="126"/>
      <c r="G206" s="43"/>
      <c r="H206" s="43"/>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79"/>
      <c r="DZ206" s="79"/>
      <c r="EA206" s="79"/>
      <c r="EB206" s="79"/>
      <c r="EC206" s="79"/>
      <c r="ED206" s="79"/>
      <c r="EE206" s="79"/>
      <c r="EF206" s="79"/>
      <c r="EG206" s="79"/>
      <c r="EH206" s="79"/>
      <c r="EI206" s="79"/>
      <c r="EJ206" s="79"/>
      <c r="EK206" s="79"/>
      <c r="EL206" s="79"/>
      <c r="EM206" s="79"/>
      <c r="EN206" s="79"/>
      <c r="EO206" s="79"/>
      <c r="EP206" s="79"/>
      <c r="EQ206" s="79"/>
      <c r="ER206" s="79"/>
      <c r="ES206" s="79"/>
      <c r="ET206" s="79"/>
      <c r="EU206" s="79"/>
      <c r="EV206" s="79"/>
      <c r="EW206" s="79"/>
      <c r="EX206" s="79"/>
      <c r="EY206" s="79"/>
      <c r="EZ206" s="79"/>
      <c r="FA206" s="79"/>
      <c r="FB206" s="79"/>
      <c r="FC206" s="79"/>
      <c r="FD206" s="79"/>
      <c r="FE206" s="79"/>
      <c r="FF206" s="79"/>
      <c r="FG206" s="79"/>
      <c r="FH206" s="79"/>
      <c r="FI206" s="79"/>
      <c r="FJ206" s="79"/>
      <c r="FK206" s="79"/>
      <c r="FL206" s="79"/>
      <c r="FM206" s="116"/>
      <c r="FN206" s="116"/>
      <c r="FO206" s="47"/>
      <c r="FP206" s="47"/>
      <c r="FQ206" s="47"/>
      <c r="FR206" s="127"/>
      <c r="FS206" s="127"/>
      <c r="FT206" s="127"/>
      <c r="FU206" s="127"/>
      <c r="FV206" s="127"/>
      <c r="FW206" s="127"/>
      <c r="FX206" s="47"/>
      <c r="FY206" s="32"/>
      <c r="FZ206" s="32"/>
      <c r="GA206" s="32"/>
      <c r="GB206" s="32"/>
      <c r="GC206" s="32"/>
      <c r="GD206" s="32"/>
      <c r="GE206" s="32"/>
      <c r="GF206" s="32"/>
      <c r="GG206" s="32"/>
      <c r="GH206" s="32"/>
      <c r="GI206" s="32"/>
      <c r="GJ206" s="32"/>
      <c r="GK206" s="32"/>
      <c r="GL206" s="32"/>
      <c r="GM206" s="49"/>
      <c r="GN206" s="49"/>
      <c r="GO206" s="49"/>
      <c r="GP206" s="49"/>
      <c r="GQ206" s="49"/>
      <c r="GR206" s="49"/>
      <c r="GS206" s="49"/>
      <c r="GT206" s="49"/>
      <c r="GU206" s="49"/>
      <c r="GV206" s="49"/>
      <c r="GW206" s="49"/>
      <c r="GX206" s="49"/>
      <c r="GY206" s="49"/>
      <c r="GZ206" s="49"/>
      <c r="HA206" s="49"/>
      <c r="HB206" s="49"/>
      <c r="HC206" s="49"/>
      <c r="HD206" s="49"/>
      <c r="HE206" s="49"/>
      <c r="HF206" s="49"/>
      <c r="HG206" s="49"/>
      <c r="HH206" s="49"/>
      <c r="HI206" s="49"/>
      <c r="HJ206" s="49"/>
      <c r="HK206" s="49"/>
      <c r="HL206" s="49"/>
      <c r="HM206" s="49"/>
      <c r="HN206" s="49"/>
    </row>
    <row r="207" spans="1:222" ht="16.5" customHeight="1">
      <c r="A207" s="1"/>
      <c r="B207" s="3"/>
      <c r="C207" s="3"/>
      <c r="D207" s="38"/>
      <c r="E207" s="126"/>
      <c r="F207" s="126"/>
      <c r="G207" s="43"/>
      <c r="H207" s="43"/>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163" t="str">
        <f ca="1">IF(FO198=0,"","TCK = "&amp;FU181&amp;"")</f>
        <v/>
      </c>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79"/>
      <c r="DZ207" s="79"/>
      <c r="EA207" s="79"/>
      <c r="EB207" s="79"/>
      <c r="EC207" s="79"/>
      <c r="ED207" s="79"/>
      <c r="EE207" s="79"/>
      <c r="EF207" s="79"/>
      <c r="EG207" s="79"/>
      <c r="EH207" s="79"/>
      <c r="EI207" s="79"/>
      <c r="EJ207" s="79"/>
      <c r="EK207" s="79"/>
      <c r="EL207" s="79"/>
      <c r="EM207" s="79"/>
      <c r="EN207" s="79"/>
      <c r="EO207" s="79"/>
      <c r="EP207" s="79"/>
      <c r="EQ207" s="79"/>
      <c r="ER207" s="79"/>
      <c r="ES207" s="79"/>
      <c r="ET207" s="79"/>
      <c r="EU207" s="79"/>
      <c r="EV207" s="79"/>
      <c r="EW207" s="79"/>
      <c r="EX207" s="79"/>
      <c r="EY207" s="79"/>
      <c r="EZ207" s="79"/>
      <c r="FA207" s="79"/>
      <c r="FB207" s="79"/>
      <c r="FC207" s="79"/>
      <c r="FD207" s="79"/>
      <c r="FE207" s="79"/>
      <c r="FF207" s="79"/>
      <c r="FG207" s="79"/>
      <c r="FH207" s="79"/>
      <c r="FI207" s="79"/>
      <c r="FJ207" s="79"/>
      <c r="FK207" s="79"/>
      <c r="FL207" s="79"/>
      <c r="FM207" s="116"/>
      <c r="FN207" s="116"/>
      <c r="FO207" s="47"/>
      <c r="FP207" s="47"/>
      <c r="FQ207" s="47"/>
      <c r="FR207" s="127"/>
      <c r="FS207" s="127"/>
      <c r="FT207" s="127"/>
      <c r="FU207" s="127"/>
      <c r="FV207" s="127"/>
      <c r="FW207" s="127"/>
      <c r="FX207" s="47"/>
      <c r="FY207" s="32"/>
      <c r="FZ207" s="32"/>
      <c r="GA207" s="32"/>
      <c r="GB207" s="32"/>
      <c r="GC207" s="32"/>
      <c r="GD207" s="32"/>
      <c r="GE207" s="32"/>
      <c r="GF207" s="32"/>
      <c r="GG207" s="32"/>
      <c r="GH207" s="32"/>
      <c r="GI207" s="32"/>
      <c r="GJ207" s="32"/>
      <c r="GK207" s="32"/>
      <c r="GL207" s="32"/>
      <c r="GM207" s="49"/>
      <c r="GN207" s="49"/>
      <c r="GO207" s="49"/>
      <c r="GP207" s="49"/>
      <c r="GQ207" s="49"/>
      <c r="GR207" s="49"/>
      <c r="GS207" s="49"/>
      <c r="GT207" s="49"/>
      <c r="GU207" s="49"/>
      <c r="GV207" s="49"/>
      <c r="GW207" s="49"/>
      <c r="GX207" s="49"/>
      <c r="GY207" s="49"/>
      <c r="GZ207" s="49"/>
      <c r="HA207" s="49"/>
      <c r="HB207" s="49"/>
      <c r="HC207" s="49"/>
      <c r="HD207" s="49"/>
      <c r="HE207" s="49"/>
      <c r="HF207" s="49"/>
      <c r="HG207" s="49"/>
      <c r="HH207" s="49"/>
      <c r="HI207" s="49"/>
      <c r="HJ207" s="49"/>
      <c r="HK207" s="49"/>
      <c r="HL207" s="49"/>
      <c r="HM207" s="49"/>
      <c r="HN207" s="49"/>
    </row>
    <row r="208" spans="1:222" ht="13.5" customHeight="1">
      <c r="A208" s="1"/>
      <c r="B208" s="3"/>
      <c r="C208" s="3"/>
      <c r="D208" s="38"/>
      <c r="E208" s="126"/>
      <c r="F208" s="126"/>
      <c r="G208" s="43"/>
      <c r="H208" s="43"/>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79"/>
      <c r="DZ208" s="79"/>
      <c r="EA208" s="79"/>
      <c r="EB208" s="79"/>
      <c r="EC208" s="79"/>
      <c r="ED208" s="79"/>
      <c r="EE208" s="79"/>
      <c r="EF208" s="79"/>
      <c r="EG208" s="79"/>
      <c r="EH208" s="79"/>
      <c r="EI208" s="79"/>
      <c r="EJ208" s="79"/>
      <c r="EK208" s="79"/>
      <c r="EL208" s="79"/>
      <c r="EM208" s="79"/>
      <c r="EN208" s="79"/>
      <c r="EO208" s="79"/>
      <c r="EP208" s="79"/>
      <c r="EQ208" s="79"/>
      <c r="ER208" s="79"/>
      <c r="ES208" s="79"/>
      <c r="ET208" s="79"/>
      <c r="EU208" s="79"/>
      <c r="EV208" s="79"/>
      <c r="EW208" s="79"/>
      <c r="EX208" s="79"/>
      <c r="EY208" s="79"/>
      <c r="EZ208" s="79"/>
      <c r="FA208" s="79"/>
      <c r="FB208" s="79"/>
      <c r="FC208" s="79"/>
      <c r="FD208" s="79"/>
      <c r="FE208" s="79"/>
      <c r="FF208" s="79"/>
      <c r="FG208" s="79"/>
      <c r="FH208" s="79"/>
      <c r="FI208" s="79"/>
      <c r="FJ208" s="79"/>
      <c r="FK208" s="79"/>
      <c r="FL208" s="79"/>
      <c r="FM208" s="116"/>
      <c r="FN208" s="116"/>
      <c r="FO208" s="47"/>
      <c r="FP208" s="47"/>
      <c r="FQ208" s="47"/>
      <c r="FR208" s="127"/>
      <c r="FS208" s="127"/>
      <c r="FT208" s="127"/>
      <c r="FU208" s="127"/>
      <c r="FV208" s="127"/>
      <c r="FW208" s="127"/>
      <c r="FX208" s="47"/>
      <c r="FY208" s="32"/>
      <c r="FZ208" s="32"/>
      <c r="GA208" s="32"/>
      <c r="GB208" s="32"/>
      <c r="GC208" s="32"/>
      <c r="GD208" s="32"/>
      <c r="GE208" s="32"/>
      <c r="GF208" s="32"/>
      <c r="GG208" s="32"/>
      <c r="GH208" s="32"/>
      <c r="GI208" s="32"/>
      <c r="GJ208" s="32"/>
      <c r="GK208" s="32"/>
      <c r="GL208" s="32"/>
      <c r="GM208" s="49"/>
      <c r="GN208" s="49"/>
      <c r="GO208" s="49"/>
      <c r="GP208" s="49"/>
      <c r="GQ208" s="49"/>
      <c r="GR208" s="49"/>
      <c r="GS208" s="49"/>
      <c r="GT208" s="49"/>
      <c r="GU208" s="49"/>
      <c r="GV208" s="49"/>
      <c r="GW208" s="49"/>
      <c r="GX208" s="49"/>
      <c r="GY208" s="49"/>
      <c r="GZ208" s="49"/>
      <c r="HA208" s="49"/>
      <c r="HB208" s="49"/>
      <c r="HC208" s="49"/>
      <c r="HD208" s="49"/>
      <c r="HE208" s="49"/>
      <c r="HF208" s="49"/>
      <c r="HG208" s="49"/>
      <c r="HH208" s="49"/>
      <c r="HI208" s="49"/>
      <c r="HJ208" s="49"/>
      <c r="HK208" s="49"/>
      <c r="HL208" s="49"/>
      <c r="HM208" s="49"/>
      <c r="HN208" s="49"/>
    </row>
    <row r="209" spans="1:222" ht="16.5" customHeight="1">
      <c r="A209" s="1"/>
      <c r="B209" s="3"/>
      <c r="C209" s="3"/>
      <c r="D209" s="38" t="str">
        <f ca="1">IF(FO198=0,"","De functie van de totale (proportioneel) variabele kosten luidt:")</f>
        <v/>
      </c>
      <c r="E209" s="126"/>
      <c r="F209" s="126"/>
      <c r="G209" s="43"/>
      <c r="H209" s="43"/>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79"/>
      <c r="DZ209" s="79"/>
      <c r="EA209" s="79"/>
      <c r="EB209" s="79"/>
      <c r="EC209" s="79"/>
      <c r="ED209" s="79"/>
      <c r="EE209" s="79"/>
      <c r="EF209" s="79"/>
      <c r="EG209" s="79"/>
      <c r="EH209" s="79"/>
      <c r="EI209" s="79"/>
      <c r="EJ209" s="79"/>
      <c r="EK209" s="79"/>
      <c r="EL209" s="79"/>
      <c r="EM209" s="79"/>
      <c r="EN209" s="79"/>
      <c r="EO209" s="79"/>
      <c r="EP209" s="79"/>
      <c r="EQ209" s="79"/>
      <c r="ER209" s="79"/>
      <c r="ES209" s="79"/>
      <c r="ET209" s="79"/>
      <c r="EU209" s="79"/>
      <c r="EV209" s="79"/>
      <c r="EW209" s="79"/>
      <c r="EX209" s="79"/>
      <c r="EY209" s="79"/>
      <c r="EZ209" s="79"/>
      <c r="FA209" s="79"/>
      <c r="FB209" s="79"/>
      <c r="FC209" s="79"/>
      <c r="FD209" s="79"/>
      <c r="FE209" s="79"/>
      <c r="FF209" s="79"/>
      <c r="FG209" s="79"/>
      <c r="FH209" s="79"/>
      <c r="FI209" s="79"/>
      <c r="FJ209" s="79"/>
      <c r="FK209" s="79"/>
      <c r="FL209" s="79"/>
      <c r="FM209" s="116"/>
      <c r="FN209" s="116"/>
      <c r="FO209" s="47"/>
      <c r="FP209" s="47"/>
      <c r="FQ209" s="47"/>
      <c r="FR209" s="127"/>
      <c r="FS209" s="127"/>
      <c r="FT209" s="127"/>
      <c r="FU209" s="127"/>
      <c r="FV209" s="127"/>
      <c r="FW209" s="127"/>
      <c r="FX209" s="47"/>
      <c r="FY209" s="32"/>
      <c r="FZ209" s="32"/>
      <c r="GA209" s="32"/>
      <c r="GB209" s="32"/>
      <c r="GC209" s="32"/>
      <c r="GD209" s="32"/>
      <c r="GE209" s="32"/>
      <c r="GF209" s="32"/>
      <c r="GG209" s="32"/>
      <c r="GH209" s="32"/>
      <c r="GI209" s="32"/>
      <c r="GJ209" s="32"/>
      <c r="GK209" s="32"/>
      <c r="GL209" s="32"/>
      <c r="GM209" s="49"/>
      <c r="GN209" s="49"/>
      <c r="GO209" s="49"/>
      <c r="GP209" s="49"/>
      <c r="GQ209" s="49"/>
      <c r="GR209" s="49"/>
      <c r="GS209" s="49"/>
      <c r="GT209" s="49"/>
      <c r="GU209" s="49"/>
      <c r="GV209" s="49"/>
      <c r="GW209" s="49"/>
      <c r="GX209" s="49"/>
      <c r="GY209" s="49"/>
      <c r="GZ209" s="49"/>
      <c r="HA209" s="49"/>
      <c r="HB209" s="49"/>
      <c r="HC209" s="49"/>
      <c r="HD209" s="49"/>
      <c r="HE209" s="49"/>
      <c r="HF209" s="49"/>
      <c r="HG209" s="49"/>
      <c r="HH209" s="49"/>
      <c r="HI209" s="49"/>
      <c r="HJ209" s="49"/>
      <c r="HK209" s="49"/>
      <c r="HL209" s="49"/>
      <c r="HM209" s="49"/>
      <c r="HN209" s="49"/>
    </row>
    <row r="210" spans="1:222" ht="11.25" customHeight="1">
      <c r="A210" s="1"/>
      <c r="B210" s="3"/>
      <c r="C210" s="3"/>
      <c r="D210" s="38"/>
      <c r="E210" s="126"/>
      <c r="F210" s="126"/>
      <c r="G210" s="43"/>
      <c r="H210" s="43"/>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79"/>
      <c r="DZ210" s="79"/>
      <c r="EA210" s="79"/>
      <c r="EB210" s="79"/>
      <c r="EC210" s="79"/>
      <c r="ED210" s="79"/>
      <c r="EE210" s="79"/>
      <c r="EF210" s="79"/>
      <c r="EG210" s="79"/>
      <c r="EH210" s="79"/>
      <c r="EI210" s="79"/>
      <c r="EJ210" s="79"/>
      <c r="EK210" s="79"/>
      <c r="EL210" s="79"/>
      <c r="EM210" s="79"/>
      <c r="EN210" s="79"/>
      <c r="EO210" s="79"/>
      <c r="EP210" s="79"/>
      <c r="EQ210" s="79"/>
      <c r="ER210" s="79"/>
      <c r="ES210" s="79"/>
      <c r="ET210" s="79"/>
      <c r="EU210" s="79"/>
      <c r="EV210" s="79"/>
      <c r="EW210" s="79"/>
      <c r="EX210" s="79"/>
      <c r="EY210" s="79"/>
      <c r="EZ210" s="79"/>
      <c r="FA210" s="79"/>
      <c r="FB210" s="79"/>
      <c r="FC210" s="79"/>
      <c r="FD210" s="79"/>
      <c r="FE210" s="79"/>
      <c r="FF210" s="79"/>
      <c r="FG210" s="79"/>
      <c r="FH210" s="79"/>
      <c r="FI210" s="79"/>
      <c r="FJ210" s="79"/>
      <c r="FK210" s="79"/>
      <c r="FL210" s="79"/>
      <c r="FM210" s="116"/>
      <c r="FN210" s="116"/>
      <c r="FO210" s="47"/>
      <c r="FP210" s="47"/>
      <c r="FQ210" s="47"/>
      <c r="FR210" s="127"/>
      <c r="FS210" s="127"/>
      <c r="FT210" s="127"/>
      <c r="FU210" s="127"/>
      <c r="FV210" s="127"/>
      <c r="FW210" s="127"/>
      <c r="FX210" s="47"/>
      <c r="FY210" s="32"/>
      <c r="FZ210" s="32"/>
      <c r="GA210" s="32"/>
      <c r="GB210" s="32"/>
      <c r="GC210" s="32"/>
      <c r="GD210" s="32"/>
      <c r="GE210" s="32"/>
      <c r="GF210" s="32"/>
      <c r="GG210" s="32"/>
      <c r="GH210" s="32"/>
      <c r="GI210" s="32"/>
      <c r="GJ210" s="32"/>
      <c r="GK210" s="32"/>
      <c r="GL210" s="32"/>
      <c r="GM210" s="49"/>
      <c r="GN210" s="49"/>
      <c r="GO210" s="49"/>
      <c r="GP210" s="49"/>
      <c r="GQ210" s="49"/>
      <c r="GR210" s="49"/>
      <c r="GS210" s="49"/>
      <c r="GT210" s="49"/>
      <c r="GU210" s="49"/>
      <c r="GV210" s="49"/>
      <c r="GW210" s="49"/>
      <c r="GX210" s="49"/>
      <c r="GY210" s="49"/>
      <c r="GZ210" s="49"/>
      <c r="HA210" s="49"/>
      <c r="HB210" s="49"/>
      <c r="HC210" s="49"/>
      <c r="HD210" s="49"/>
      <c r="HE210" s="49"/>
      <c r="HF210" s="49"/>
      <c r="HG210" s="49"/>
      <c r="HH210" s="49"/>
      <c r="HI210" s="49"/>
      <c r="HJ210" s="49"/>
      <c r="HK210" s="49"/>
      <c r="HL210" s="49"/>
      <c r="HM210" s="49"/>
      <c r="HN210" s="49"/>
    </row>
    <row r="211" spans="1:222" ht="16.5" customHeight="1">
      <c r="A211" s="1"/>
      <c r="B211" s="3"/>
      <c r="C211" s="3"/>
      <c r="D211" s="38"/>
      <c r="E211" s="126"/>
      <c r="F211" s="126"/>
      <c r="G211" s="43"/>
      <c r="H211" s="43"/>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163" t="str">
        <f ca="1">IF(FO198=0,"","TVK = "&amp;FT181&amp;"q")</f>
        <v/>
      </c>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79"/>
      <c r="DZ211" s="79"/>
      <c r="EA211" s="79"/>
      <c r="EB211" s="79"/>
      <c r="EC211" s="79"/>
      <c r="ED211" s="79"/>
      <c r="EE211" s="79"/>
      <c r="EF211" s="79"/>
      <c r="EG211" s="79"/>
      <c r="EH211" s="79"/>
      <c r="EI211" s="79"/>
      <c r="EJ211" s="79"/>
      <c r="EK211" s="79"/>
      <c r="EL211" s="79"/>
      <c r="EM211" s="79"/>
      <c r="EN211" s="79"/>
      <c r="EO211" s="79"/>
      <c r="EP211" s="79"/>
      <c r="EQ211" s="79"/>
      <c r="ER211" s="79"/>
      <c r="ES211" s="79"/>
      <c r="ET211" s="79"/>
      <c r="EU211" s="79"/>
      <c r="EV211" s="79"/>
      <c r="EW211" s="79"/>
      <c r="EX211" s="79"/>
      <c r="EY211" s="79"/>
      <c r="EZ211" s="79"/>
      <c r="FA211" s="79"/>
      <c r="FB211" s="79"/>
      <c r="FC211" s="79"/>
      <c r="FD211" s="79"/>
      <c r="FE211" s="79"/>
      <c r="FF211" s="79"/>
      <c r="FG211" s="79"/>
      <c r="FH211" s="79"/>
      <c r="FI211" s="79"/>
      <c r="FJ211" s="79"/>
      <c r="FK211" s="79"/>
      <c r="FL211" s="79"/>
      <c r="FM211" s="116"/>
      <c r="FN211" s="116"/>
      <c r="FO211" s="47"/>
      <c r="FP211" s="47"/>
      <c r="FQ211" s="47"/>
      <c r="FR211" s="127"/>
      <c r="FS211" s="127"/>
      <c r="FT211" s="127"/>
      <c r="FU211" s="127"/>
      <c r="FV211" s="127"/>
      <c r="FW211" s="127"/>
      <c r="FX211" s="47"/>
      <c r="FY211" s="32"/>
      <c r="FZ211" s="32"/>
      <c r="GA211" s="32"/>
      <c r="GB211" s="32"/>
      <c r="GC211" s="32"/>
      <c r="GD211" s="32"/>
      <c r="GE211" s="32"/>
      <c r="GF211" s="32"/>
      <c r="GG211" s="32"/>
      <c r="GH211" s="32"/>
      <c r="GI211" s="32"/>
      <c r="GJ211" s="32"/>
      <c r="GK211" s="32"/>
      <c r="GL211" s="32"/>
      <c r="GM211" s="49"/>
      <c r="GN211" s="49"/>
      <c r="GO211" s="49"/>
      <c r="GP211" s="49"/>
      <c r="GQ211" s="49"/>
      <c r="GR211" s="49"/>
      <c r="GS211" s="49"/>
      <c r="GT211" s="49"/>
      <c r="GU211" s="49"/>
      <c r="GV211" s="49"/>
      <c r="GW211" s="49"/>
      <c r="GX211" s="49"/>
      <c r="GY211" s="49"/>
      <c r="GZ211" s="49"/>
      <c r="HA211" s="49"/>
      <c r="HB211" s="49"/>
      <c r="HC211" s="49"/>
      <c r="HD211" s="49"/>
      <c r="HE211" s="49"/>
      <c r="HF211" s="49"/>
      <c r="HG211" s="49"/>
      <c r="HH211" s="49"/>
      <c r="HI211" s="49"/>
      <c r="HJ211" s="49"/>
      <c r="HK211" s="49"/>
      <c r="HL211" s="49"/>
      <c r="HM211" s="49"/>
      <c r="HN211" s="49"/>
    </row>
    <row r="212" spans="1:222" ht="8.25" customHeight="1">
      <c r="A212" s="1"/>
      <c r="B212" s="3"/>
      <c r="C212" s="3"/>
      <c r="D212" s="38"/>
      <c r="E212" s="126"/>
      <c r="F212" s="126"/>
      <c r="G212" s="43"/>
      <c r="H212" s="43"/>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79"/>
      <c r="DZ212" s="79"/>
      <c r="EA212" s="79"/>
      <c r="EB212" s="79"/>
      <c r="EC212" s="79"/>
      <c r="ED212" s="79"/>
      <c r="EE212" s="79"/>
      <c r="EF212" s="79"/>
      <c r="EG212" s="79"/>
      <c r="EH212" s="79"/>
      <c r="EI212" s="79"/>
      <c r="EJ212" s="79"/>
      <c r="EK212" s="79"/>
      <c r="EL212" s="79"/>
      <c r="EM212" s="79"/>
      <c r="EN212" s="79"/>
      <c r="EO212" s="79"/>
      <c r="EP212" s="79"/>
      <c r="EQ212" s="79"/>
      <c r="ER212" s="79"/>
      <c r="ES212" s="79"/>
      <c r="ET212" s="79"/>
      <c r="EU212" s="79"/>
      <c r="EV212" s="79"/>
      <c r="EW212" s="79"/>
      <c r="EX212" s="79"/>
      <c r="EY212" s="79"/>
      <c r="EZ212" s="79"/>
      <c r="FA212" s="79"/>
      <c r="FB212" s="79"/>
      <c r="FC212" s="79"/>
      <c r="FD212" s="79"/>
      <c r="FE212" s="79"/>
      <c r="FF212" s="79"/>
      <c r="FG212" s="79"/>
      <c r="FH212" s="79"/>
      <c r="FI212" s="79"/>
      <c r="FJ212" s="79"/>
      <c r="FK212" s="79"/>
      <c r="FL212" s="79"/>
      <c r="FM212" s="116"/>
      <c r="FN212" s="116"/>
      <c r="FO212" s="47"/>
      <c r="FP212" s="47"/>
      <c r="FQ212" s="47"/>
      <c r="FR212" s="127"/>
      <c r="FS212" s="127"/>
      <c r="FT212" s="127"/>
      <c r="FU212" s="127"/>
      <c r="FV212" s="127"/>
      <c r="FW212" s="127"/>
      <c r="FX212" s="47"/>
      <c r="FY212" s="32"/>
      <c r="FZ212" s="32"/>
      <c r="GA212" s="32"/>
      <c r="GB212" s="32"/>
      <c r="GC212" s="32"/>
      <c r="GD212" s="32"/>
      <c r="GE212" s="32"/>
      <c r="GF212" s="32"/>
      <c r="GG212" s="32"/>
      <c r="GH212" s="32"/>
      <c r="GI212" s="32"/>
      <c r="GJ212" s="32"/>
      <c r="GK212" s="32"/>
      <c r="GL212" s="32"/>
      <c r="GM212" s="49"/>
      <c r="GN212" s="49"/>
      <c r="GO212" s="49"/>
      <c r="GP212" s="49"/>
      <c r="GQ212" s="49"/>
      <c r="GR212" s="49"/>
      <c r="GS212" s="49"/>
      <c r="GT212" s="49"/>
      <c r="GU212" s="49"/>
      <c r="GV212" s="49"/>
      <c r="GW212" s="49"/>
      <c r="GX212" s="49"/>
      <c r="GY212" s="49"/>
      <c r="GZ212" s="49"/>
      <c r="HA212" s="49"/>
      <c r="HB212" s="49"/>
      <c r="HC212" s="49"/>
      <c r="HD212" s="49"/>
      <c r="HE212" s="49"/>
      <c r="HF212" s="49"/>
      <c r="HG212" s="49"/>
      <c r="HH212" s="49"/>
      <c r="HI212" s="49"/>
      <c r="HJ212" s="49"/>
      <c r="HK212" s="49"/>
      <c r="HL212" s="49"/>
      <c r="HM212" s="49"/>
      <c r="HN212" s="49"/>
    </row>
    <row r="213" spans="1:222" ht="16.5" customHeight="1">
      <c r="A213" s="1"/>
      <c r="B213" s="3"/>
      <c r="C213" s="3"/>
      <c r="D213" s="38" t="str">
        <f ca="1">IF(FO198=0,"","Hoe luidt de functie van de GTK?")</f>
        <v/>
      </c>
      <c r="E213" s="126"/>
      <c r="F213" s="126"/>
      <c r="G213" s="43"/>
      <c r="H213" s="43"/>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79"/>
      <c r="DZ213" s="79"/>
      <c r="EA213" s="79"/>
      <c r="EB213" s="79"/>
      <c r="EC213" s="79"/>
      <c r="ED213" s="79"/>
      <c r="EE213" s="79"/>
      <c r="EF213" s="79"/>
      <c r="EG213" s="79"/>
      <c r="EH213" s="79"/>
      <c r="EI213" s="79"/>
      <c r="EJ213" s="79"/>
      <c r="EK213" s="79"/>
      <c r="EL213" s="79"/>
      <c r="EM213" s="79"/>
      <c r="EN213" s="79"/>
      <c r="EO213" s="79"/>
      <c r="EP213" s="79"/>
      <c r="EQ213" s="79"/>
      <c r="ER213" s="79"/>
      <c r="ES213" s="79"/>
      <c r="ET213" s="79"/>
      <c r="EU213" s="79"/>
      <c r="EV213" s="79"/>
      <c r="EW213" s="79"/>
      <c r="EX213" s="79"/>
      <c r="EY213" s="79"/>
      <c r="EZ213" s="79"/>
      <c r="FA213" s="79"/>
      <c r="FB213" s="79"/>
      <c r="FC213" s="79"/>
      <c r="FD213" s="79"/>
      <c r="FE213" s="79"/>
      <c r="FF213" s="79"/>
      <c r="FG213" s="79"/>
      <c r="FH213" s="79"/>
      <c r="FI213" s="79"/>
      <c r="FJ213" s="79"/>
      <c r="FK213" s="79"/>
      <c r="FL213" s="79"/>
      <c r="FM213" s="116"/>
      <c r="FN213" s="116"/>
      <c r="FO213" s="47"/>
      <c r="FP213" s="47"/>
      <c r="FQ213" s="47"/>
      <c r="FR213" s="127"/>
      <c r="FS213" s="127"/>
      <c r="FT213" s="127"/>
      <c r="FU213" s="127"/>
      <c r="FV213" s="127"/>
      <c r="FW213" s="127"/>
      <c r="FX213" s="47"/>
      <c r="FY213" s="32"/>
      <c r="FZ213" s="32"/>
      <c r="GA213" s="32"/>
      <c r="GB213" s="32"/>
      <c r="GC213" s="32"/>
      <c r="GD213" s="32"/>
      <c r="GE213" s="32"/>
      <c r="GF213" s="32"/>
      <c r="GG213" s="32"/>
      <c r="GH213" s="32"/>
      <c r="GI213" s="32"/>
      <c r="GJ213" s="32"/>
      <c r="GK213" s="32"/>
      <c r="GL213" s="32"/>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row>
    <row r="214" spans="1:222" ht="8.25" customHeight="1">
      <c r="A214" s="1"/>
      <c r="B214" s="3"/>
      <c r="C214" s="3"/>
      <c r="D214" s="38"/>
      <c r="E214" s="126"/>
      <c r="F214" s="126"/>
      <c r="G214" s="43"/>
      <c r="H214" s="43"/>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79"/>
      <c r="DZ214" s="79"/>
      <c r="EA214" s="79"/>
      <c r="EB214" s="79"/>
      <c r="EC214" s="79"/>
      <c r="ED214" s="79"/>
      <c r="EE214" s="79"/>
      <c r="EF214" s="79"/>
      <c r="EG214" s="79"/>
      <c r="EH214" s="79"/>
      <c r="EI214" s="79"/>
      <c r="EJ214" s="79"/>
      <c r="EK214" s="79"/>
      <c r="EL214" s="79"/>
      <c r="EM214" s="79"/>
      <c r="EN214" s="79"/>
      <c r="EO214" s="79"/>
      <c r="EP214" s="79"/>
      <c r="EQ214" s="79"/>
      <c r="ER214" s="79"/>
      <c r="ES214" s="79"/>
      <c r="ET214" s="79"/>
      <c r="EU214" s="79"/>
      <c r="EV214" s="79"/>
      <c r="EW214" s="79"/>
      <c r="EX214" s="79"/>
      <c r="EY214" s="79"/>
      <c r="EZ214" s="79"/>
      <c r="FA214" s="79"/>
      <c r="FB214" s="79"/>
      <c r="FC214" s="79"/>
      <c r="FD214" s="79"/>
      <c r="FE214" s="79"/>
      <c r="FF214" s="79"/>
      <c r="FG214" s="79"/>
      <c r="FH214" s="79"/>
      <c r="FI214" s="79"/>
      <c r="FJ214" s="79"/>
      <c r="FK214" s="79"/>
      <c r="FL214" s="79"/>
      <c r="FM214" s="116"/>
      <c r="FN214" s="116"/>
      <c r="FO214" s="47"/>
      <c r="FP214" s="47"/>
      <c r="FQ214" s="47"/>
      <c r="FR214" s="127"/>
      <c r="FS214" s="127"/>
      <c r="FT214" s="127"/>
      <c r="FU214" s="127"/>
      <c r="FV214" s="127"/>
      <c r="FW214" s="127"/>
      <c r="FX214" s="47"/>
      <c r="FY214" s="32"/>
      <c r="FZ214" s="32"/>
      <c r="GA214" s="32"/>
      <c r="GB214" s="32"/>
      <c r="GC214" s="32"/>
      <c r="GD214" s="32"/>
      <c r="GE214" s="32"/>
      <c r="GF214" s="32"/>
      <c r="GG214" s="32"/>
      <c r="GH214" s="32"/>
      <c r="GI214" s="32"/>
      <c r="GJ214" s="32"/>
      <c r="GK214" s="32"/>
      <c r="GL214" s="32"/>
      <c r="GM214" s="49"/>
      <c r="GN214" s="49"/>
      <c r="GO214" s="49"/>
      <c r="GP214" s="49"/>
      <c r="GQ214" s="49"/>
      <c r="GR214" s="49"/>
      <c r="GS214" s="49"/>
      <c r="GT214" s="49"/>
      <c r="GU214" s="49"/>
      <c r="GV214" s="49"/>
      <c r="GW214" s="49"/>
      <c r="GX214" s="49"/>
      <c r="GY214" s="49"/>
      <c r="GZ214" s="49"/>
      <c r="HA214" s="49"/>
      <c r="HB214" s="49"/>
      <c r="HC214" s="49"/>
      <c r="HD214" s="49"/>
      <c r="HE214" s="49"/>
      <c r="HF214" s="49"/>
      <c r="HG214" s="49"/>
      <c r="HH214" s="49"/>
      <c r="HI214" s="49"/>
      <c r="HJ214" s="49"/>
      <c r="HK214" s="49"/>
      <c r="HL214" s="49"/>
      <c r="HM214" s="49"/>
      <c r="HN214" s="49"/>
    </row>
    <row r="215" spans="1:222" ht="3.75" customHeight="1">
      <c r="A215" s="1"/>
      <c r="B215" s="3"/>
      <c r="C215" s="3"/>
      <c r="D215" s="38"/>
      <c r="E215" s="126"/>
      <c r="F215" s="126"/>
      <c r="G215" s="43"/>
      <c r="H215" s="43"/>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43"/>
      <c r="AJ215" s="43"/>
      <c r="AK215" s="43"/>
      <c r="AL215" s="43"/>
      <c r="AM215" s="43"/>
      <c r="AN215" s="43"/>
      <c r="AO215" s="43"/>
      <c r="AP215" s="43"/>
      <c r="AQ215" s="43"/>
      <c r="AR215" s="43"/>
      <c r="AS215" s="43"/>
      <c r="AT215" s="538" t="str">
        <f ca="1">IF(FO198=0,"",".")</f>
        <v/>
      </c>
      <c r="AU215" s="541"/>
      <c r="AV215" s="541"/>
      <c r="AW215" s="541"/>
      <c r="AX215" s="541"/>
      <c r="AY215" s="541"/>
      <c r="AZ215" s="541"/>
      <c r="BA215" s="541"/>
      <c r="BB215" s="541"/>
      <c r="BC215" s="541"/>
      <c r="BD215" s="541"/>
      <c r="BE215" s="541"/>
      <c r="BF215" s="541"/>
      <c r="BG215" s="541"/>
      <c r="BH215" s="541"/>
      <c r="BI215" s="541"/>
      <c r="BJ215" s="541"/>
      <c r="BK215" s="541"/>
      <c r="BL215" s="541"/>
      <c r="BM215" s="541"/>
      <c r="BN215" s="541"/>
      <c r="BO215" s="541"/>
      <c r="BP215" s="541"/>
      <c r="BQ215" s="545"/>
      <c r="BR215" s="545"/>
      <c r="BS215" s="545"/>
      <c r="BT215" s="545"/>
      <c r="BU215" s="545"/>
      <c r="BV215" s="545"/>
      <c r="BW215" s="545"/>
      <c r="BX215" s="545"/>
      <c r="BY215" s="545"/>
      <c r="BZ215" s="545"/>
      <c r="CA215" s="545"/>
      <c r="CB215" s="545"/>
      <c r="CC215" s="545"/>
      <c r="CD215" s="545"/>
      <c r="CE215" s="545"/>
      <c r="CF215" s="545"/>
      <c r="CG215" s="545"/>
      <c r="CH215" s="545"/>
      <c r="CI215" s="545"/>
      <c r="CJ215" s="545"/>
      <c r="CK215" s="545"/>
      <c r="CL215" s="545"/>
      <c r="CM215" s="545"/>
      <c r="CN215" s="545"/>
      <c r="CO215" s="545"/>
      <c r="CP215" s="545"/>
      <c r="CQ215" s="545"/>
      <c r="CR215" s="545"/>
      <c r="CS215" s="545"/>
      <c r="CT215" s="545"/>
      <c r="CU215" s="545"/>
      <c r="CV215" s="545"/>
      <c r="CW215" s="545"/>
      <c r="CX215" s="545"/>
      <c r="CY215" s="545"/>
      <c r="CZ215" s="545"/>
      <c r="DA215" s="545"/>
      <c r="DB215" s="545"/>
      <c r="DC215" s="545"/>
      <c r="DD215" s="545"/>
      <c r="DE215" s="545"/>
      <c r="DF215" s="545"/>
      <c r="DG215" s="43"/>
      <c r="DH215" s="43"/>
      <c r="DI215" s="43"/>
      <c r="DJ215" s="43"/>
      <c r="DK215" s="43"/>
      <c r="DL215" s="43"/>
      <c r="DM215" s="43"/>
      <c r="DN215" s="43"/>
      <c r="DO215" s="43"/>
      <c r="DP215" s="43"/>
      <c r="DQ215" s="43"/>
      <c r="DR215" s="43"/>
      <c r="DS215" s="43"/>
      <c r="DT215" s="43"/>
      <c r="DU215" s="43"/>
      <c r="DV215" s="43"/>
      <c r="DW215" s="43"/>
      <c r="DX215" s="43"/>
      <c r="DY215" s="79"/>
      <c r="DZ215" s="79"/>
      <c r="EA215" s="79"/>
      <c r="EB215" s="79"/>
      <c r="EC215" s="79"/>
      <c r="ED215" s="79"/>
      <c r="EE215" s="79"/>
      <c r="EF215" s="79"/>
      <c r="EG215" s="79"/>
      <c r="EH215" s="79"/>
      <c r="EI215" s="79"/>
      <c r="EJ215" s="79"/>
      <c r="EK215" s="79"/>
      <c r="EL215" s="79"/>
      <c r="EM215" s="79"/>
      <c r="EN215" s="79"/>
      <c r="EO215" s="79"/>
      <c r="EP215" s="79"/>
      <c r="EQ215" s="79"/>
      <c r="ER215" s="79"/>
      <c r="ES215" s="79"/>
      <c r="ET215" s="79"/>
      <c r="EU215" s="79"/>
      <c r="EV215" s="79"/>
      <c r="EW215" s="79"/>
      <c r="EX215" s="79"/>
      <c r="EY215" s="79"/>
      <c r="EZ215" s="79"/>
      <c r="FA215" s="79"/>
      <c r="FB215" s="79"/>
      <c r="FC215" s="79"/>
      <c r="FD215" s="79"/>
      <c r="FE215" s="79"/>
      <c r="FF215" s="79"/>
      <c r="FG215" s="79"/>
      <c r="FH215" s="79"/>
      <c r="FI215" s="79"/>
      <c r="FJ215" s="79"/>
      <c r="FK215" s="79"/>
      <c r="FL215" s="79"/>
      <c r="FM215" s="116"/>
      <c r="FN215" s="116"/>
      <c r="FO215" s="47"/>
      <c r="FP215" s="47"/>
      <c r="FQ215" s="47"/>
      <c r="FR215" s="127"/>
      <c r="FS215" s="127"/>
      <c r="FT215" s="127"/>
      <c r="FU215" s="127"/>
      <c r="FV215" s="127"/>
      <c r="FW215" s="127"/>
      <c r="FX215" s="47"/>
      <c r="FY215" s="32"/>
      <c r="FZ215" s="32"/>
      <c r="GA215" s="32"/>
      <c r="GB215" s="32"/>
      <c r="GC215" s="32"/>
      <c r="GD215" s="32"/>
      <c r="GE215" s="32"/>
      <c r="GF215" s="32"/>
      <c r="GG215" s="32"/>
      <c r="GH215" s="32"/>
      <c r="GI215" s="32"/>
      <c r="GJ215" s="32"/>
      <c r="GK215" s="32"/>
      <c r="GL215" s="32"/>
      <c r="GM215" s="49"/>
      <c r="GN215" s="49"/>
      <c r="GO215" s="49"/>
      <c r="GP215" s="49"/>
      <c r="GQ215" s="49"/>
      <c r="GR215" s="49"/>
      <c r="GS215" s="49"/>
      <c r="GT215" s="49"/>
      <c r="GU215" s="49"/>
      <c r="GV215" s="49"/>
      <c r="GW215" s="49"/>
      <c r="GX215" s="49"/>
      <c r="GY215" s="49"/>
      <c r="GZ215" s="49"/>
      <c r="HA215" s="49"/>
      <c r="HB215" s="49"/>
      <c r="HC215" s="49"/>
      <c r="HD215" s="49"/>
      <c r="HE215" s="49"/>
      <c r="HF215" s="49"/>
      <c r="HG215" s="49"/>
      <c r="HH215" s="49"/>
      <c r="HI215" s="49"/>
      <c r="HJ215" s="49"/>
      <c r="HK215" s="49"/>
      <c r="HL215" s="49"/>
      <c r="HM215" s="49"/>
      <c r="HN215" s="49"/>
    </row>
    <row r="216" spans="1:222" ht="16.5" customHeight="1">
      <c r="A216" s="1"/>
      <c r="B216" s="3"/>
      <c r="C216" s="3"/>
      <c r="D216" s="38"/>
      <c r="E216" s="126"/>
      <c r="F216" s="126"/>
      <c r="G216" s="43"/>
      <c r="H216" s="43"/>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43"/>
      <c r="AJ216" s="43"/>
      <c r="AK216" s="43"/>
      <c r="AL216" s="43"/>
      <c r="AM216" s="43"/>
      <c r="AN216" s="43"/>
      <c r="AO216" s="43"/>
      <c r="AP216" s="43"/>
      <c r="AQ216" s="43"/>
      <c r="AR216" s="43"/>
      <c r="AS216" s="43"/>
      <c r="AT216" s="195" t="str">
        <f ca="1">IF(FO198=0,"",".")</f>
        <v/>
      </c>
      <c r="AU216" s="689"/>
      <c r="AV216" s="629"/>
      <c r="AW216" s="629"/>
      <c r="AX216" s="629"/>
      <c r="AY216" s="629"/>
      <c r="AZ216" s="629"/>
      <c r="BA216" s="629"/>
      <c r="BB216" s="629"/>
      <c r="BC216" s="629"/>
      <c r="BD216" s="629"/>
      <c r="BE216" s="629"/>
      <c r="BF216" s="629"/>
      <c r="BG216" s="629"/>
      <c r="BH216" s="629"/>
      <c r="BI216" s="629"/>
      <c r="BJ216" s="629"/>
      <c r="BK216" s="629"/>
      <c r="BL216" s="629"/>
      <c r="BM216" s="629"/>
      <c r="BN216" s="629"/>
      <c r="BO216" s="629"/>
      <c r="BP216" s="629"/>
      <c r="BQ216" s="629"/>
      <c r="BR216" s="629"/>
      <c r="BS216" s="629"/>
      <c r="BT216" s="629"/>
      <c r="BU216" s="629"/>
      <c r="BV216" s="629"/>
      <c r="BW216" s="629"/>
      <c r="BX216" s="629"/>
      <c r="BY216" s="629"/>
      <c r="BZ216" s="629"/>
      <c r="CA216" s="629"/>
      <c r="CB216" s="629"/>
      <c r="CC216" s="629"/>
      <c r="CD216" s="629"/>
      <c r="CE216" s="629"/>
      <c r="CF216" s="629"/>
      <c r="CG216" s="629"/>
      <c r="CH216" s="629"/>
      <c r="CI216" s="629"/>
      <c r="CJ216" s="629"/>
      <c r="CK216" s="629"/>
      <c r="CL216" s="629"/>
      <c r="CM216" s="629"/>
      <c r="CN216" s="629"/>
      <c r="CO216" s="629"/>
      <c r="CP216" s="629"/>
      <c r="CQ216" s="629"/>
      <c r="CR216" s="629"/>
      <c r="CS216" s="629"/>
      <c r="CT216" s="629"/>
      <c r="CU216" s="555"/>
      <c r="CV216" s="555"/>
      <c r="CW216" s="555"/>
      <c r="CX216" s="555"/>
      <c r="CY216" s="555"/>
      <c r="CZ216" s="555"/>
      <c r="DA216" s="555"/>
      <c r="DB216" s="555"/>
      <c r="DC216" s="555"/>
      <c r="DD216" s="555"/>
      <c r="DE216" s="555"/>
      <c r="DF216" s="195" t="str">
        <f ca="1">IF(FO198=0,"",".")</f>
        <v/>
      </c>
      <c r="DG216" s="43"/>
      <c r="DH216" s="207" t="str">
        <f>IF(AU216="","",IF(FO216=1,"Goed!",IF(AU216=FT216,"Fout! Dit is de TK-functie. Probeert het opnieuw.",IF(AU216=FV216,"Fout! Dit is de GVK-functie. Probeert het opnieuw.",IF(AU216=FS216,"Fout! Je moet de TVK ook door q delen.","Fout! Als je door q deelt blijven de ''cijfergetallen'' hetzelfde.")))))</f>
        <v/>
      </c>
      <c r="DI216" s="43"/>
      <c r="DJ216" s="43"/>
      <c r="DK216" s="43"/>
      <c r="DL216" s="43"/>
      <c r="DM216" s="43"/>
      <c r="DN216" s="43"/>
      <c r="DO216" s="43"/>
      <c r="DP216" s="43"/>
      <c r="DQ216" s="43"/>
      <c r="DR216" s="43"/>
      <c r="DS216" s="43"/>
      <c r="DT216" s="43"/>
      <c r="DU216" s="43"/>
      <c r="DV216" s="43"/>
      <c r="DW216" s="43"/>
      <c r="DX216" s="43"/>
      <c r="DY216" s="79"/>
      <c r="DZ216" s="79"/>
      <c r="EA216" s="79"/>
      <c r="EB216" s="79"/>
      <c r="EC216" s="79"/>
      <c r="ED216" s="79"/>
      <c r="EE216" s="79"/>
      <c r="EF216" s="79"/>
      <c r="EG216" s="79"/>
      <c r="EH216" s="79"/>
      <c r="EI216" s="79"/>
      <c r="EJ216" s="79"/>
      <c r="EK216" s="79"/>
      <c r="EL216" s="79"/>
      <c r="EM216" s="79"/>
      <c r="EN216" s="79"/>
      <c r="EO216" s="79"/>
      <c r="EP216" s="79"/>
      <c r="EQ216" s="79"/>
      <c r="ER216" s="79"/>
      <c r="ES216" s="79"/>
      <c r="ET216" s="79"/>
      <c r="EU216" s="79"/>
      <c r="EV216" s="79"/>
      <c r="EW216" s="79"/>
      <c r="EX216" s="79"/>
      <c r="EY216" s="79"/>
      <c r="EZ216" s="79"/>
      <c r="FA216" s="79"/>
      <c r="FB216" s="79"/>
      <c r="FC216" s="79"/>
      <c r="FD216" s="79"/>
      <c r="FE216" s="79"/>
      <c r="FF216" s="79"/>
      <c r="FG216" s="79"/>
      <c r="FH216" s="79"/>
      <c r="FI216" s="79"/>
      <c r="FJ216" s="79"/>
      <c r="FK216" s="79"/>
      <c r="FL216" s="79"/>
      <c r="FM216" s="116"/>
      <c r="FN216" s="116"/>
      <c r="FO216" s="48">
        <f ca="1">IF(programma!B1="X",1,IF(FO173=0,0,IF(AU216=FU216,1,0)))</f>
        <v>0</v>
      </c>
      <c r="FP216" s="94" t="str">
        <f ca="1">IF(FO1=0,"",FU216)</f>
        <v/>
      </c>
      <c r="FQ216" s="79" t="str">
        <f ca="1">IF(FO198=0,"","GTK = "&amp;FT181&amp;"q² + "&amp;FU181&amp;"q")</f>
        <v/>
      </c>
      <c r="FR216" s="79" t="str">
        <f ca="1">IF(FO198=0,"","GTK = "&amp;FT181&amp;"q² + "&amp;FU181&amp;"")</f>
        <v/>
      </c>
      <c r="FS216" s="94" t="str">
        <f ca="1">IF(FO173=0,"","GTK = "&amp;FT181&amp;"q + "&amp;FU181&amp;"")</f>
        <v/>
      </c>
      <c r="FT216" s="130" t="str">
        <f ca="1">IF(FO173=0,"","GTK = "&amp;FT181&amp;"q + "&amp;FU181&amp;"/q")</f>
        <v/>
      </c>
      <c r="FU216" s="130" t="str">
        <f ca="1">IF(FO173=0,"","GTK = "&amp;FT181&amp;" + "&amp;FU181&amp;"/q")</f>
        <v/>
      </c>
      <c r="FV216" s="130" t="str">
        <f ca="1">IF(FO173=0,"","GTK = "&amp;FT181&amp;" ")</f>
        <v/>
      </c>
      <c r="FW216" s="130"/>
      <c r="FX216" s="130"/>
      <c r="FY216" s="32"/>
      <c r="FZ216" s="32"/>
      <c r="GA216" s="32"/>
      <c r="GB216" s="32"/>
      <c r="GC216" s="32"/>
      <c r="GD216" s="32"/>
      <c r="GE216" s="32"/>
      <c r="GF216" s="32"/>
      <c r="GG216" s="32"/>
      <c r="GH216" s="32"/>
      <c r="GI216" s="32"/>
      <c r="GJ216" s="32"/>
      <c r="GK216" s="32"/>
      <c r="GL216" s="32"/>
      <c r="GM216" s="49"/>
      <c r="GN216" s="49"/>
      <c r="GO216" s="49"/>
      <c r="GP216" s="49"/>
      <c r="GQ216" s="49"/>
      <c r="GR216" s="49"/>
      <c r="GS216" s="49"/>
      <c r="GT216" s="49"/>
      <c r="GU216" s="49"/>
      <c r="GV216" s="49"/>
      <c r="GW216" s="49"/>
      <c r="GX216" s="49"/>
      <c r="GY216" s="49"/>
      <c r="GZ216" s="49"/>
      <c r="HA216" s="49"/>
      <c r="HB216" s="49"/>
      <c r="HC216" s="49"/>
      <c r="HD216" s="49"/>
      <c r="HE216" s="49"/>
      <c r="HF216" s="49"/>
      <c r="HG216" s="49"/>
      <c r="HH216" s="49"/>
      <c r="HI216" s="49"/>
      <c r="HJ216" s="49"/>
      <c r="HK216" s="49"/>
      <c r="HL216" s="49"/>
      <c r="HM216" s="49"/>
      <c r="HN216" s="49"/>
    </row>
    <row r="217" spans="1:222" ht="3.75" customHeight="1">
      <c r="A217" s="1"/>
      <c r="B217" s="3"/>
      <c r="C217" s="3"/>
      <c r="D217" s="38"/>
      <c r="E217" s="126"/>
      <c r="F217" s="126"/>
      <c r="G217" s="43"/>
      <c r="H217" s="43"/>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43"/>
      <c r="AJ217" s="43"/>
      <c r="AK217" s="43"/>
      <c r="AL217" s="43"/>
      <c r="AM217" s="43"/>
      <c r="AN217" s="43"/>
      <c r="AO217" s="43"/>
      <c r="AP217" s="43"/>
      <c r="AQ217" s="43"/>
      <c r="AR217" s="43"/>
      <c r="AS217" s="43"/>
      <c r="AT217" s="538" t="str">
        <f ca="1">IF(FO198=0,"",".")</f>
        <v/>
      </c>
      <c r="AU217" s="538"/>
      <c r="AV217" s="538"/>
      <c r="AW217" s="538"/>
      <c r="AX217" s="538"/>
      <c r="AY217" s="538"/>
      <c r="AZ217" s="538"/>
      <c r="BA217" s="538"/>
      <c r="BB217" s="538"/>
      <c r="BC217" s="538"/>
      <c r="BD217" s="538"/>
      <c r="BE217" s="538"/>
      <c r="BF217" s="538"/>
      <c r="BG217" s="538"/>
      <c r="BH217" s="538"/>
      <c r="BI217" s="538"/>
      <c r="BJ217" s="538"/>
      <c r="BK217" s="538"/>
      <c r="BL217" s="538"/>
      <c r="BM217" s="538"/>
      <c r="BN217" s="538"/>
      <c r="BO217" s="538"/>
      <c r="BP217" s="538"/>
      <c r="BQ217" s="538"/>
      <c r="BR217" s="538"/>
      <c r="BS217" s="538"/>
      <c r="BT217" s="538"/>
      <c r="BU217" s="538"/>
      <c r="BV217" s="538"/>
      <c r="BW217" s="538"/>
      <c r="BX217" s="538"/>
      <c r="BY217" s="538"/>
      <c r="BZ217" s="538"/>
      <c r="CA217" s="538"/>
      <c r="CB217" s="538"/>
      <c r="CC217" s="538"/>
      <c r="CD217" s="538"/>
      <c r="CE217" s="538"/>
      <c r="CF217" s="538"/>
      <c r="CG217" s="538"/>
      <c r="CH217" s="538"/>
      <c r="CI217" s="538"/>
      <c r="CJ217" s="538"/>
      <c r="CK217" s="538"/>
      <c r="CL217" s="538"/>
      <c r="CM217" s="538"/>
      <c r="CN217" s="538"/>
      <c r="CO217" s="538"/>
      <c r="CP217" s="538"/>
      <c r="CQ217" s="538"/>
      <c r="CR217" s="538"/>
      <c r="CS217" s="538"/>
      <c r="CT217" s="538"/>
      <c r="CU217" s="538"/>
      <c r="CV217" s="538"/>
      <c r="CW217" s="538"/>
      <c r="CX217" s="538"/>
      <c r="CY217" s="538"/>
      <c r="CZ217" s="538"/>
      <c r="DA217" s="538"/>
      <c r="DB217" s="538"/>
      <c r="DC217" s="538"/>
      <c r="DD217" s="538"/>
      <c r="DE217" s="538"/>
      <c r="DF217" s="538"/>
      <c r="DG217" s="43"/>
      <c r="DH217" s="43"/>
      <c r="DI217" s="43"/>
      <c r="DJ217" s="43"/>
      <c r="DK217" s="43"/>
      <c r="DL217" s="43"/>
      <c r="DM217" s="43"/>
      <c r="DN217" s="43"/>
      <c r="DO217" s="43"/>
      <c r="DP217" s="43"/>
      <c r="DQ217" s="43"/>
      <c r="DR217" s="43"/>
      <c r="DS217" s="43"/>
      <c r="DT217" s="43"/>
      <c r="DU217" s="43"/>
      <c r="DV217" s="43"/>
      <c r="DW217" s="43"/>
      <c r="DX217" s="43"/>
      <c r="DY217" s="79"/>
      <c r="DZ217" s="79"/>
      <c r="EA217" s="79"/>
      <c r="EB217" s="79"/>
      <c r="EC217" s="79"/>
      <c r="ED217" s="79"/>
      <c r="EE217" s="79"/>
      <c r="EF217" s="79"/>
      <c r="EG217" s="79"/>
      <c r="EH217" s="79"/>
      <c r="EI217" s="79"/>
      <c r="EJ217" s="79"/>
      <c r="EK217" s="79"/>
      <c r="EL217" s="79"/>
      <c r="EM217" s="79"/>
      <c r="EN217" s="79"/>
      <c r="EO217" s="79"/>
      <c r="EP217" s="79"/>
      <c r="EQ217" s="79"/>
      <c r="ER217" s="79"/>
      <c r="ES217" s="79"/>
      <c r="ET217" s="79"/>
      <c r="EU217" s="79"/>
      <c r="EV217" s="79"/>
      <c r="EW217" s="79"/>
      <c r="EX217" s="79"/>
      <c r="EY217" s="79"/>
      <c r="EZ217" s="79"/>
      <c r="FA217" s="79"/>
      <c r="FB217" s="79"/>
      <c r="FC217" s="79"/>
      <c r="FD217" s="79"/>
      <c r="FE217" s="79"/>
      <c r="FF217" s="79"/>
      <c r="FG217" s="79"/>
      <c r="FH217" s="79"/>
      <c r="FI217" s="79"/>
      <c r="FJ217" s="79"/>
      <c r="FK217" s="79"/>
      <c r="FL217" s="79"/>
      <c r="FM217" s="116"/>
      <c r="FN217" s="116"/>
      <c r="FO217" s="47"/>
      <c r="FP217" s="47"/>
      <c r="FQ217" s="47"/>
      <c r="FR217" s="47"/>
      <c r="FS217" s="47"/>
      <c r="FT217" s="47"/>
      <c r="FU217" s="47"/>
      <c r="FV217" s="47"/>
      <c r="FW217" s="47"/>
      <c r="FX217" s="47"/>
      <c r="FY217" s="32"/>
      <c r="FZ217" s="32"/>
      <c r="GA217" s="32"/>
      <c r="GB217" s="32"/>
      <c r="GC217" s="32"/>
      <c r="GD217" s="32"/>
      <c r="GE217" s="32"/>
      <c r="GF217" s="32"/>
      <c r="GG217" s="32"/>
      <c r="GH217" s="32"/>
      <c r="GI217" s="32"/>
      <c r="GJ217" s="32"/>
      <c r="GK217" s="32"/>
      <c r="GL217" s="32"/>
      <c r="GM217" s="49"/>
      <c r="GN217" s="49"/>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row>
    <row r="218" spans="1:222" ht="11.25" customHeight="1">
      <c r="A218" s="1"/>
      <c r="B218" s="3"/>
      <c r="C218" s="3"/>
      <c r="D218" s="38"/>
      <c r="E218" s="126"/>
      <c r="F218" s="126"/>
      <c r="G218" s="43"/>
      <c r="H218" s="43"/>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79"/>
      <c r="DZ218" s="79"/>
      <c r="EA218" s="79"/>
      <c r="EB218" s="79"/>
      <c r="EC218" s="79"/>
      <c r="ED218" s="79"/>
      <c r="EE218" s="79"/>
      <c r="EF218" s="79"/>
      <c r="EG218" s="79"/>
      <c r="EH218" s="79"/>
      <c r="EI218" s="79"/>
      <c r="EJ218" s="79"/>
      <c r="EK218" s="79"/>
      <c r="EL218" s="79"/>
      <c r="EM218" s="79"/>
      <c r="EN218" s="79"/>
      <c r="EO218" s="79"/>
      <c r="EP218" s="79"/>
      <c r="EQ218" s="79"/>
      <c r="ER218" s="79"/>
      <c r="ES218" s="79"/>
      <c r="ET218" s="79"/>
      <c r="EU218" s="79"/>
      <c r="EV218" s="79"/>
      <c r="EW218" s="79"/>
      <c r="EX218" s="79"/>
      <c r="EY218" s="79"/>
      <c r="EZ218" s="79"/>
      <c r="FA218" s="79"/>
      <c r="FB218" s="79"/>
      <c r="FC218" s="79"/>
      <c r="FD218" s="79"/>
      <c r="FE218" s="79"/>
      <c r="FF218" s="79"/>
      <c r="FG218" s="79"/>
      <c r="FH218" s="79"/>
      <c r="FI218" s="79"/>
      <c r="FJ218" s="79"/>
      <c r="FK218" s="79"/>
      <c r="FL218" s="79"/>
      <c r="FM218" s="116"/>
      <c r="FN218" s="116"/>
      <c r="FO218" s="47"/>
      <c r="FP218" s="47"/>
      <c r="FQ218" s="47"/>
      <c r="FR218" s="127"/>
      <c r="FS218" s="127"/>
      <c r="FT218" s="127"/>
      <c r="FU218" s="127"/>
      <c r="FV218" s="127"/>
      <c r="FW218" s="127"/>
      <c r="FX218" s="47"/>
      <c r="FY218" s="32"/>
      <c r="FZ218" s="32"/>
      <c r="GA218" s="32"/>
      <c r="GB218" s="32"/>
      <c r="GC218" s="32"/>
      <c r="GD218" s="32"/>
      <c r="GE218" s="32"/>
      <c r="GF218" s="32"/>
      <c r="GG218" s="32"/>
      <c r="GH218" s="32"/>
      <c r="GI218" s="32"/>
      <c r="GJ218" s="32"/>
      <c r="GK218" s="32"/>
      <c r="GL218" s="32"/>
      <c r="GM218" s="49"/>
      <c r="GN218" s="49"/>
      <c r="GO218" s="49"/>
      <c r="GP218" s="49"/>
      <c r="GQ218" s="49"/>
      <c r="GR218" s="49"/>
      <c r="GS218" s="49"/>
      <c r="GT218" s="49"/>
      <c r="GU218" s="49"/>
      <c r="GV218" s="49"/>
      <c r="GW218" s="49"/>
      <c r="GX218" s="49"/>
      <c r="GY218" s="49"/>
      <c r="GZ218" s="49"/>
      <c r="HA218" s="49"/>
      <c r="HB218" s="49"/>
      <c r="HC218" s="49"/>
      <c r="HD218" s="49"/>
      <c r="HE218" s="49"/>
      <c r="HF218" s="49"/>
      <c r="HG218" s="49"/>
      <c r="HH218" s="49"/>
      <c r="HI218" s="49"/>
      <c r="HJ218" s="49"/>
      <c r="HK218" s="49"/>
      <c r="HL218" s="49"/>
      <c r="HM218" s="49"/>
      <c r="HN218" s="49"/>
    </row>
    <row r="219" spans="1:222" ht="16.5" customHeight="1">
      <c r="A219" s="1"/>
      <c r="B219" s="3"/>
      <c r="C219" s="3"/>
      <c r="D219" s="38" t="str">
        <f ca="1">IF(FO216=0,"",IF(FO98=2,"Hoe luidt de functie van de MK?",IF(FO98=1,"De MK-functie luidt:","")))</f>
        <v/>
      </c>
      <c r="E219" s="126"/>
      <c r="F219" s="126"/>
      <c r="G219" s="43"/>
      <c r="H219" s="43"/>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79"/>
      <c r="DZ219" s="79"/>
      <c r="EA219" s="79"/>
      <c r="EB219" s="79"/>
      <c r="EC219" s="79"/>
      <c r="ED219" s="79"/>
      <c r="EE219" s="79"/>
      <c r="EF219" s="79"/>
      <c r="EG219" s="79"/>
      <c r="EH219" s="79"/>
      <c r="EI219" s="79"/>
      <c r="EJ219" s="79"/>
      <c r="EK219" s="79"/>
      <c r="EL219" s="79"/>
      <c r="EM219" s="79"/>
      <c r="EN219" s="79"/>
      <c r="EO219" s="79"/>
      <c r="EP219" s="79"/>
      <c r="EQ219" s="79"/>
      <c r="ER219" s="79"/>
      <c r="ES219" s="79"/>
      <c r="ET219" s="79"/>
      <c r="EU219" s="79"/>
      <c r="EV219" s="79"/>
      <c r="EW219" s="79"/>
      <c r="EX219" s="79"/>
      <c r="EY219" s="79"/>
      <c r="EZ219" s="79"/>
      <c r="FA219" s="79"/>
      <c r="FB219" s="79"/>
      <c r="FC219" s="79"/>
      <c r="FD219" s="79"/>
      <c r="FE219" s="79"/>
      <c r="FF219" s="79"/>
      <c r="FG219" s="79"/>
      <c r="FH219" s="79"/>
      <c r="FI219" s="79"/>
      <c r="FJ219" s="79"/>
      <c r="FK219" s="79"/>
      <c r="FL219" s="79"/>
      <c r="FM219" s="116"/>
      <c r="FN219" s="116"/>
      <c r="FO219" s="47"/>
      <c r="FP219" s="47"/>
      <c r="FQ219" s="47"/>
      <c r="FR219" s="127"/>
      <c r="FS219" s="127"/>
      <c r="FT219" s="127"/>
      <c r="FU219" s="127"/>
      <c r="FV219" s="127"/>
      <c r="FW219" s="127"/>
      <c r="FX219" s="47"/>
      <c r="FY219" s="32"/>
      <c r="FZ219" s="32"/>
      <c r="GA219" s="32"/>
      <c r="GB219" s="32"/>
      <c r="GC219" s="32"/>
      <c r="GD219" s="32"/>
      <c r="GE219" s="32"/>
      <c r="GF219" s="32"/>
      <c r="GG219" s="32"/>
      <c r="GH219" s="32"/>
      <c r="GI219" s="32"/>
      <c r="GJ219" s="32"/>
      <c r="GK219" s="32"/>
      <c r="GL219" s="32"/>
      <c r="GM219" s="49"/>
      <c r="GN219" s="49"/>
      <c r="GO219" s="49"/>
      <c r="GP219" s="49"/>
      <c r="GQ219" s="49"/>
      <c r="GR219" s="49"/>
      <c r="GS219" s="49"/>
      <c r="GT219" s="49"/>
      <c r="GU219" s="49"/>
      <c r="GV219" s="49"/>
      <c r="GW219" s="49"/>
      <c r="GX219" s="49"/>
      <c r="GY219" s="49"/>
      <c r="GZ219" s="49"/>
      <c r="HA219" s="49"/>
      <c r="HB219" s="49"/>
      <c r="HC219" s="49"/>
      <c r="HD219" s="49"/>
      <c r="HE219" s="49"/>
      <c r="HF219" s="49"/>
      <c r="HG219" s="49"/>
      <c r="HH219" s="49"/>
      <c r="HI219" s="49"/>
      <c r="HJ219" s="49"/>
      <c r="HK219" s="49"/>
      <c r="HL219" s="49"/>
      <c r="HM219" s="49"/>
      <c r="HN219" s="49"/>
    </row>
    <row r="220" spans="1:222" ht="16.5" customHeight="1">
      <c r="A220" s="1"/>
      <c r="B220" s="3"/>
      <c r="C220" s="3"/>
      <c r="D220" s="38"/>
      <c r="E220" s="126"/>
      <c r="F220" s="126"/>
      <c r="G220" s="43"/>
      <c r="H220" s="43"/>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163" t="str">
        <f ca="1">IF(FO216=0,"","MK = "&amp;FT181&amp;"")</f>
        <v/>
      </c>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79"/>
      <c r="DZ220" s="79"/>
      <c r="EA220" s="79"/>
      <c r="EB220" s="79"/>
      <c r="EC220" s="79"/>
      <c r="ED220" s="79"/>
      <c r="EE220" s="79"/>
      <c r="EF220" s="79"/>
      <c r="EG220" s="79"/>
      <c r="EH220" s="79"/>
      <c r="EI220" s="79"/>
      <c r="EJ220" s="79"/>
      <c r="EK220" s="79"/>
      <c r="EL220" s="79"/>
      <c r="EM220" s="79"/>
      <c r="EN220" s="79"/>
      <c r="EO220" s="79"/>
      <c r="EP220" s="79"/>
      <c r="EQ220" s="79"/>
      <c r="ER220" s="79"/>
      <c r="ES220" s="79"/>
      <c r="ET220" s="79"/>
      <c r="EU220" s="79"/>
      <c r="EV220" s="79"/>
      <c r="EW220" s="79"/>
      <c r="EX220" s="79"/>
      <c r="EY220" s="79"/>
      <c r="EZ220" s="79"/>
      <c r="FA220" s="79"/>
      <c r="FB220" s="79"/>
      <c r="FC220" s="79"/>
      <c r="FD220" s="79"/>
      <c r="FE220" s="79"/>
      <c r="FF220" s="79"/>
      <c r="FG220" s="79"/>
      <c r="FH220" s="79"/>
      <c r="FI220" s="79"/>
      <c r="FJ220" s="79"/>
      <c r="FK220" s="79"/>
      <c r="FL220" s="79"/>
      <c r="FM220" s="116"/>
      <c r="FN220" s="116"/>
      <c r="FO220" s="47"/>
      <c r="FP220" s="47"/>
      <c r="FQ220" s="47"/>
      <c r="FR220" s="127"/>
      <c r="FS220" s="127"/>
      <c r="FT220" s="127"/>
      <c r="FU220" s="127"/>
      <c r="FV220" s="127"/>
      <c r="FW220" s="127"/>
      <c r="FX220" s="47"/>
      <c r="FY220" s="32"/>
      <c r="FZ220" s="32"/>
      <c r="GA220" s="32"/>
      <c r="GB220" s="32"/>
      <c r="GC220" s="32"/>
      <c r="GD220" s="32"/>
      <c r="GE220" s="32"/>
      <c r="GF220" s="32"/>
      <c r="GG220" s="32"/>
      <c r="GH220" s="32"/>
      <c r="GI220" s="32"/>
      <c r="GJ220" s="32"/>
      <c r="GK220" s="32"/>
      <c r="GL220" s="32"/>
      <c r="GM220" s="49"/>
      <c r="GN220" s="49"/>
      <c r="GO220" s="49"/>
      <c r="GP220" s="49"/>
      <c r="GQ220" s="49"/>
      <c r="GR220" s="49"/>
      <c r="GS220" s="49"/>
      <c r="GT220" s="49"/>
      <c r="GU220" s="49"/>
      <c r="GV220" s="49"/>
      <c r="GW220" s="49"/>
      <c r="GX220" s="49"/>
      <c r="GY220" s="49"/>
      <c r="GZ220" s="49"/>
      <c r="HA220" s="49"/>
      <c r="HB220" s="49"/>
      <c r="HC220" s="49"/>
      <c r="HD220" s="49"/>
      <c r="HE220" s="49"/>
      <c r="HF220" s="49"/>
      <c r="HG220" s="49"/>
      <c r="HH220" s="49"/>
      <c r="HI220" s="49"/>
      <c r="HJ220" s="49"/>
      <c r="HK220" s="49"/>
      <c r="HL220" s="49"/>
      <c r="HM220" s="49"/>
      <c r="HN220" s="49"/>
    </row>
    <row r="221" spans="1:222" ht="8.25" customHeight="1">
      <c r="A221" s="1"/>
      <c r="B221" s="3"/>
      <c r="C221" s="3"/>
      <c r="D221" s="38"/>
      <c r="E221" s="126"/>
      <c r="F221" s="126"/>
      <c r="G221" s="43"/>
      <c r="H221" s="43"/>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79"/>
      <c r="DZ221" s="79"/>
      <c r="EA221" s="79"/>
      <c r="EB221" s="79"/>
      <c r="EC221" s="79"/>
      <c r="ED221" s="79"/>
      <c r="EE221" s="79"/>
      <c r="EF221" s="79"/>
      <c r="EG221" s="79"/>
      <c r="EH221" s="79"/>
      <c r="EI221" s="79"/>
      <c r="EJ221" s="79"/>
      <c r="EK221" s="79"/>
      <c r="EL221" s="79"/>
      <c r="EM221" s="79"/>
      <c r="EN221" s="79"/>
      <c r="EO221" s="79"/>
      <c r="EP221" s="79"/>
      <c r="EQ221" s="79"/>
      <c r="ER221" s="79"/>
      <c r="ES221" s="79"/>
      <c r="ET221" s="79"/>
      <c r="EU221" s="79"/>
      <c r="EV221" s="79"/>
      <c r="EW221" s="79"/>
      <c r="EX221" s="79"/>
      <c r="EY221" s="79"/>
      <c r="EZ221" s="79"/>
      <c r="FA221" s="79"/>
      <c r="FB221" s="79"/>
      <c r="FC221" s="79"/>
      <c r="FD221" s="79"/>
      <c r="FE221" s="79"/>
      <c r="FF221" s="79"/>
      <c r="FG221" s="79"/>
      <c r="FH221" s="79"/>
      <c r="FI221" s="79"/>
      <c r="FJ221" s="79"/>
      <c r="FK221" s="79"/>
      <c r="FL221" s="79"/>
      <c r="FM221" s="116"/>
      <c r="FN221" s="116"/>
      <c r="FO221" s="47"/>
      <c r="FP221" s="47"/>
      <c r="FQ221" s="47"/>
      <c r="FR221" s="127"/>
      <c r="FS221" s="127"/>
      <c r="FT221" s="127"/>
      <c r="FU221" s="127"/>
      <c r="FV221" s="127"/>
      <c r="FW221" s="127"/>
      <c r="FX221" s="47"/>
      <c r="FY221" s="32"/>
      <c r="FZ221" s="32"/>
      <c r="GA221" s="32"/>
      <c r="GB221" s="32"/>
      <c r="GC221" s="32"/>
      <c r="GD221" s="32"/>
      <c r="GE221" s="32"/>
      <c r="GF221" s="32"/>
      <c r="GG221" s="32"/>
      <c r="GH221" s="32"/>
      <c r="GI221" s="32"/>
      <c r="GJ221" s="32"/>
      <c r="GK221" s="32"/>
      <c r="GL221" s="32"/>
      <c r="GM221" s="49"/>
      <c r="GN221" s="49"/>
      <c r="GO221" s="49"/>
      <c r="GP221" s="49"/>
      <c r="GQ221" s="49"/>
      <c r="GR221" s="49"/>
      <c r="GS221" s="49"/>
      <c r="GT221" s="49"/>
      <c r="GU221" s="49"/>
      <c r="GV221" s="49"/>
      <c r="GW221" s="49"/>
      <c r="GX221" s="49"/>
      <c r="GY221" s="49"/>
      <c r="GZ221" s="49"/>
      <c r="HA221" s="49"/>
      <c r="HB221" s="49"/>
      <c r="HC221" s="49"/>
      <c r="HD221" s="49"/>
      <c r="HE221" s="49"/>
      <c r="HF221" s="49"/>
      <c r="HG221" s="49"/>
      <c r="HH221" s="49"/>
      <c r="HI221" s="49"/>
      <c r="HJ221" s="49"/>
      <c r="HK221" s="49"/>
      <c r="HL221" s="49"/>
      <c r="HM221" s="49"/>
      <c r="HN221" s="49"/>
    </row>
    <row r="222" spans="1:222" ht="16.95" customHeight="1">
      <c r="A222" s="1"/>
      <c r="B222" s="3"/>
      <c r="C222" s="3"/>
      <c r="D222" s="373" t="str">
        <f ca="1">IF(FO216=0,"","Bereken bij welke hoeveelheid maximale winst wordt gemaakt en vul deze")</f>
        <v/>
      </c>
      <c r="E222" s="10"/>
      <c r="F222" s="10"/>
      <c r="G222" s="10"/>
      <c r="H222" s="10"/>
      <c r="I222" s="10"/>
      <c r="J222" s="10"/>
      <c r="K222" s="10"/>
      <c r="L222" s="10"/>
      <c r="M222" s="10"/>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c r="CJ222" s="79"/>
      <c r="CK222" s="79"/>
      <c r="CL222" s="79"/>
      <c r="CM222" s="79"/>
      <c r="CN222" s="79"/>
      <c r="CO222" s="79"/>
      <c r="CP222" s="79"/>
      <c r="CQ222" s="79"/>
      <c r="CR222" s="79"/>
      <c r="CS222" s="79"/>
      <c r="CT222" s="79"/>
      <c r="CU222" s="79"/>
      <c r="CV222" s="79"/>
      <c r="CW222" s="79"/>
      <c r="CX222" s="79"/>
      <c r="CY222" s="79"/>
      <c r="CZ222" s="79"/>
      <c r="DA222" s="79"/>
      <c r="DB222" s="79"/>
      <c r="DC222" s="79"/>
      <c r="DD222" s="79"/>
      <c r="DE222" s="79"/>
      <c r="DF222" s="79"/>
      <c r="DG222" s="79"/>
      <c r="DH222" s="79"/>
      <c r="DI222" s="79"/>
      <c r="DJ222" s="79"/>
      <c r="DK222" s="79"/>
      <c r="DL222" s="79"/>
      <c r="DM222" s="79"/>
      <c r="DN222" s="79"/>
      <c r="DO222" s="79"/>
      <c r="DP222" s="79"/>
      <c r="DQ222" s="79"/>
      <c r="DR222" s="79"/>
      <c r="DS222" s="79"/>
      <c r="DT222" s="79"/>
      <c r="DU222" s="79"/>
      <c r="DV222" s="79"/>
      <c r="DW222" s="79"/>
      <c r="DX222" s="79"/>
      <c r="DY222" s="79"/>
      <c r="DZ222" s="79"/>
      <c r="EA222" s="79"/>
      <c r="EB222" s="79"/>
      <c r="EC222" s="79"/>
      <c r="ED222" s="79"/>
      <c r="EE222" s="79"/>
      <c r="EF222" s="79"/>
      <c r="EG222" s="79"/>
      <c r="EH222" s="79"/>
      <c r="EI222" s="79"/>
      <c r="EJ222" s="79"/>
      <c r="EK222" s="79"/>
      <c r="EL222" s="79"/>
      <c r="EM222" s="79"/>
      <c r="EN222" s="79"/>
      <c r="EO222" s="79"/>
      <c r="EP222" s="79"/>
      <c r="EQ222" s="79"/>
      <c r="ER222" s="79"/>
      <c r="ES222" s="79"/>
      <c r="ET222" s="79"/>
      <c r="EU222" s="79"/>
      <c r="EV222" s="79"/>
      <c r="EW222" s="79"/>
      <c r="EX222" s="79"/>
      <c r="EY222" s="79"/>
      <c r="EZ222" s="79"/>
      <c r="FA222" s="79"/>
      <c r="FB222" s="79"/>
      <c r="FC222" s="79"/>
      <c r="FD222" s="79"/>
      <c r="FE222" s="79"/>
      <c r="FF222" s="79"/>
      <c r="FG222" s="79"/>
      <c r="FH222" s="79"/>
      <c r="FI222" s="79"/>
      <c r="FJ222" s="79"/>
      <c r="FK222" s="79"/>
      <c r="FL222" s="79"/>
      <c r="FM222" s="47"/>
      <c r="FN222" s="47"/>
      <c r="FO222" s="47"/>
      <c r="FP222" s="47"/>
      <c r="FQ222" s="47"/>
      <c r="FR222" s="47"/>
      <c r="FS222" s="47"/>
      <c r="FT222" s="47"/>
      <c r="FU222" s="47"/>
      <c r="FV222" s="47"/>
      <c r="FW222" s="47"/>
      <c r="FX222" s="47"/>
      <c r="FY222" s="32"/>
      <c r="FZ222" s="32"/>
      <c r="GA222" s="32"/>
      <c r="GB222" s="32"/>
      <c r="GC222" s="32"/>
      <c r="GD222" s="32"/>
      <c r="GE222" s="32"/>
      <c r="GF222" s="32"/>
      <c r="GG222" s="32"/>
      <c r="GH222" s="32"/>
      <c r="GI222" s="32"/>
      <c r="GJ222" s="32"/>
      <c r="GK222" s="32"/>
      <c r="GL222" s="32"/>
      <c r="GM222" s="49"/>
      <c r="GN222" s="49"/>
      <c r="GO222" s="49"/>
      <c r="GP222" s="49"/>
      <c r="GQ222" s="49"/>
      <c r="GR222" s="49"/>
      <c r="GS222" s="49"/>
      <c r="GT222" s="49"/>
      <c r="GU222" s="49"/>
      <c r="GV222" s="49"/>
      <c r="GW222" s="49"/>
      <c r="GX222" s="49"/>
      <c r="GY222" s="49"/>
      <c r="GZ222" s="49"/>
      <c r="HA222" s="49"/>
      <c r="HB222" s="49"/>
      <c r="HC222" s="49"/>
      <c r="HD222" s="49"/>
      <c r="HE222" s="49"/>
      <c r="HF222" s="49"/>
      <c r="HG222" s="49"/>
      <c r="HH222" s="49"/>
      <c r="HI222" s="49"/>
      <c r="HJ222" s="49"/>
      <c r="HK222" s="49"/>
      <c r="HL222" s="49"/>
      <c r="HM222" s="49"/>
      <c r="HN222" s="49"/>
    </row>
    <row r="223" spans="1:222" ht="16.95" customHeight="1">
      <c r="A223" s="1"/>
      <c r="B223" s="3"/>
      <c r="C223" s="3"/>
      <c r="D223" s="373" t="str">
        <f ca="1">IF(FO216=0,"","hoeveelheid hieronder in. Rond de hoeveelheid af op een heel getal.")</f>
        <v/>
      </c>
      <c r="E223" s="10"/>
      <c r="F223" s="10"/>
      <c r="G223" s="10"/>
      <c r="H223" s="10"/>
      <c r="I223" s="10"/>
      <c r="J223" s="10"/>
      <c r="K223" s="10"/>
      <c r="L223" s="10"/>
      <c r="M223" s="10"/>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c r="CB223" s="79"/>
      <c r="CC223" s="79"/>
      <c r="CD223" s="79"/>
      <c r="CE223" s="79"/>
      <c r="CF223" s="79"/>
      <c r="CG223" s="79"/>
      <c r="CH223" s="79"/>
      <c r="CI223" s="79"/>
      <c r="CJ223" s="79"/>
      <c r="CK223" s="79"/>
      <c r="CL223" s="79"/>
      <c r="CM223" s="79"/>
      <c r="CN223" s="79"/>
      <c r="CO223" s="79"/>
      <c r="CP223" s="79"/>
      <c r="CQ223" s="79"/>
      <c r="CR223" s="79"/>
      <c r="CS223" s="79"/>
      <c r="CT223" s="79"/>
      <c r="CU223" s="79"/>
      <c r="CV223" s="79"/>
      <c r="CW223" s="79"/>
      <c r="CX223" s="79"/>
      <c r="CY223" s="79"/>
      <c r="CZ223" s="79"/>
      <c r="DA223" s="79"/>
      <c r="DB223" s="79"/>
      <c r="DC223" s="79"/>
      <c r="DD223" s="79"/>
      <c r="DE223" s="79"/>
      <c r="DF223" s="79"/>
      <c r="DG223" s="79"/>
      <c r="DH223" s="79"/>
      <c r="DI223" s="79"/>
      <c r="DJ223" s="79"/>
      <c r="DK223" s="79"/>
      <c r="DL223" s="79"/>
      <c r="DM223" s="79"/>
      <c r="DN223" s="79"/>
      <c r="DO223" s="79"/>
      <c r="DP223" s="79"/>
      <c r="DQ223" s="79"/>
      <c r="DR223" s="79"/>
      <c r="DS223" s="79"/>
      <c r="DT223" s="79"/>
      <c r="DU223" s="79"/>
      <c r="DV223" s="79"/>
      <c r="DW223" s="79"/>
      <c r="DX223" s="79"/>
      <c r="DY223" s="79"/>
      <c r="DZ223" s="79"/>
      <c r="EA223" s="79"/>
      <c r="EB223" s="79"/>
      <c r="EC223" s="79"/>
      <c r="ED223" s="79"/>
      <c r="EE223" s="79"/>
      <c r="EF223" s="79"/>
      <c r="EG223" s="79"/>
      <c r="EH223" s="79"/>
      <c r="EI223" s="79"/>
      <c r="EJ223" s="79"/>
      <c r="EK223" s="79"/>
      <c r="EL223" s="79"/>
      <c r="EM223" s="79"/>
      <c r="EN223" s="79"/>
      <c r="EO223" s="79"/>
      <c r="EP223" s="79"/>
      <c r="EQ223" s="79"/>
      <c r="ER223" s="79"/>
      <c r="ES223" s="79"/>
      <c r="ET223" s="79"/>
      <c r="EU223" s="79"/>
      <c r="EV223" s="79"/>
      <c r="EW223" s="79"/>
      <c r="EX223" s="79"/>
      <c r="EY223" s="79"/>
      <c r="EZ223" s="79"/>
      <c r="FA223" s="79"/>
      <c r="FB223" s="79"/>
      <c r="FC223" s="79"/>
      <c r="FD223" s="79"/>
      <c r="FE223" s="79"/>
      <c r="FF223" s="79"/>
      <c r="FG223" s="79"/>
      <c r="FH223" s="79"/>
      <c r="FI223" s="79"/>
      <c r="FJ223" s="79"/>
      <c r="FK223" s="79"/>
      <c r="FL223" s="79"/>
      <c r="FM223" s="47"/>
      <c r="FN223" s="47"/>
      <c r="FO223" s="47"/>
      <c r="FP223" s="47" t="e">
        <f ca="1">FQ181/FP181</f>
        <v>#DIV/0!</v>
      </c>
      <c r="FQ223" s="47">
        <f ca="1">FT181</f>
        <v>0</v>
      </c>
      <c r="FR223" s="47" t="e">
        <f ca="1">2/FP181</f>
        <v>#DIV/0!</v>
      </c>
      <c r="FS223" s="47" t="e">
        <f ca="1">(FP223-FQ223)/FR223</f>
        <v>#DIV/0!</v>
      </c>
      <c r="FT223" s="47"/>
      <c r="FU223" s="47"/>
      <c r="FV223" s="47"/>
      <c r="FW223" s="47"/>
      <c r="FX223" s="47"/>
      <c r="FY223" s="32"/>
      <c r="FZ223" s="32"/>
      <c r="GA223" s="32"/>
      <c r="GB223" s="32"/>
      <c r="GC223" s="32"/>
      <c r="GD223" s="32"/>
      <c r="GE223" s="32"/>
      <c r="GF223" s="32"/>
      <c r="GG223" s="32"/>
      <c r="GH223" s="32"/>
      <c r="GI223" s="32"/>
      <c r="GJ223" s="32"/>
      <c r="GK223" s="32"/>
      <c r="GL223" s="32"/>
      <c r="GM223" s="49"/>
      <c r="GN223" s="49"/>
      <c r="GO223" s="49"/>
      <c r="GP223" s="49"/>
      <c r="GQ223" s="49"/>
      <c r="GR223" s="49"/>
      <c r="GS223" s="49"/>
      <c r="GT223" s="49"/>
      <c r="GU223" s="49"/>
      <c r="GV223" s="49"/>
      <c r="GW223" s="49"/>
      <c r="GX223" s="49"/>
      <c r="GY223" s="49"/>
      <c r="GZ223" s="49"/>
      <c r="HA223" s="49"/>
      <c r="HB223" s="49"/>
      <c r="HC223" s="49"/>
      <c r="HD223" s="49"/>
      <c r="HE223" s="49"/>
      <c r="HF223" s="49"/>
      <c r="HG223" s="49"/>
      <c r="HH223" s="49"/>
      <c r="HI223" s="49"/>
      <c r="HJ223" s="49"/>
      <c r="HK223" s="49"/>
      <c r="HL223" s="49"/>
      <c r="HM223" s="49"/>
      <c r="HN223" s="49"/>
    </row>
    <row r="224" spans="1:222" ht="8.25" customHeight="1">
      <c r="A224" s="1"/>
      <c r="B224" s="3"/>
      <c r="C224" s="3"/>
      <c r="D224" s="38"/>
      <c r="E224" s="126"/>
      <c r="F224" s="126"/>
      <c r="G224" s="43"/>
      <c r="H224" s="43"/>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79"/>
      <c r="DZ224" s="79"/>
      <c r="EA224" s="79"/>
      <c r="EB224" s="79"/>
      <c r="EC224" s="79"/>
      <c r="ED224" s="79"/>
      <c r="EE224" s="79"/>
      <c r="EF224" s="79"/>
      <c r="EG224" s="79"/>
      <c r="EH224" s="79"/>
      <c r="EI224" s="79"/>
      <c r="EJ224" s="79"/>
      <c r="EK224" s="79"/>
      <c r="EL224" s="79"/>
      <c r="EM224" s="79"/>
      <c r="EN224" s="79"/>
      <c r="EO224" s="79"/>
      <c r="EP224" s="79"/>
      <c r="EQ224" s="79"/>
      <c r="ER224" s="79"/>
      <c r="ES224" s="79"/>
      <c r="ET224" s="79"/>
      <c r="EU224" s="79"/>
      <c r="EV224" s="79"/>
      <c r="EW224" s="79"/>
      <c r="EX224" s="79"/>
      <c r="EY224" s="79"/>
      <c r="EZ224" s="79"/>
      <c r="FA224" s="79"/>
      <c r="FB224" s="79"/>
      <c r="FC224" s="79"/>
      <c r="FD224" s="79"/>
      <c r="FE224" s="79"/>
      <c r="FF224" s="79"/>
      <c r="FG224" s="79"/>
      <c r="FH224" s="79"/>
      <c r="FI224" s="79"/>
      <c r="FJ224" s="79"/>
      <c r="FK224" s="79"/>
      <c r="FL224" s="79"/>
      <c r="FM224" s="116"/>
      <c r="FN224" s="116"/>
      <c r="FO224" s="47"/>
      <c r="FP224" s="47"/>
      <c r="FQ224" s="47"/>
      <c r="FR224" s="127"/>
      <c r="FS224" s="127"/>
      <c r="FT224" s="127"/>
      <c r="FU224" s="127"/>
      <c r="FV224" s="127"/>
      <c r="FW224" s="127"/>
      <c r="FX224" s="47"/>
      <c r="FY224" s="32"/>
      <c r="FZ224" s="32"/>
      <c r="GA224" s="32"/>
      <c r="GB224" s="32"/>
      <c r="GC224" s="32"/>
      <c r="GD224" s="32"/>
      <c r="GE224" s="32"/>
      <c r="GF224" s="32"/>
      <c r="GG224" s="32"/>
      <c r="GH224" s="32"/>
      <c r="GI224" s="32"/>
      <c r="GJ224" s="32"/>
      <c r="GK224" s="32"/>
      <c r="GL224" s="32"/>
      <c r="GM224" s="49"/>
      <c r="GN224" s="49"/>
      <c r="GO224" s="49"/>
      <c r="GP224" s="49"/>
      <c r="GQ224" s="49"/>
      <c r="GR224" s="49"/>
      <c r="GS224" s="49"/>
      <c r="GT224" s="49"/>
      <c r="GU224" s="49"/>
      <c r="GV224" s="49"/>
      <c r="GW224" s="49"/>
      <c r="GX224" s="49"/>
      <c r="GY224" s="49"/>
      <c r="GZ224" s="49"/>
      <c r="HA224" s="49"/>
      <c r="HB224" s="49"/>
      <c r="HC224" s="49"/>
      <c r="HD224" s="49"/>
      <c r="HE224" s="49"/>
      <c r="HF224" s="49"/>
      <c r="HG224" s="49"/>
      <c r="HH224" s="49"/>
      <c r="HI224" s="49"/>
      <c r="HJ224" s="49"/>
      <c r="HK224" s="49"/>
      <c r="HL224" s="49"/>
      <c r="HM224" s="49"/>
      <c r="HN224" s="49"/>
    </row>
    <row r="225" spans="1:222" ht="3.75" customHeight="1">
      <c r="A225" s="1"/>
      <c r="B225" s="3"/>
      <c r="C225" s="3"/>
      <c r="D225" s="38"/>
      <c r="E225" s="126"/>
      <c r="F225" s="126"/>
      <c r="G225" s="126"/>
      <c r="H225" s="126"/>
      <c r="I225" s="10"/>
      <c r="J225" s="10"/>
      <c r="K225" s="538" t="str">
        <f ca="1">IF(FO216=0,"",".")</f>
        <v/>
      </c>
      <c r="L225" s="545"/>
      <c r="M225" s="545"/>
      <c r="N225" s="545"/>
      <c r="O225" s="545"/>
      <c r="P225" s="545"/>
      <c r="Q225" s="545"/>
      <c r="R225" s="545"/>
      <c r="S225" s="545"/>
      <c r="T225" s="545"/>
      <c r="U225" s="545"/>
      <c r="V225" s="545"/>
      <c r="W225" s="545"/>
      <c r="X225" s="545"/>
      <c r="Y225" s="545"/>
      <c r="Z225" s="545"/>
      <c r="AA225" s="545"/>
      <c r="AB225" s="545"/>
      <c r="AC225" s="545"/>
      <c r="AD225" s="545"/>
      <c r="AE225" s="545"/>
      <c r="AF225" s="545"/>
      <c r="AG225" s="545"/>
      <c r="AH225" s="545"/>
      <c r="AI225" s="545"/>
      <c r="AJ225" s="545"/>
      <c r="AK225" s="545"/>
      <c r="AL225" s="545"/>
      <c r="AM225" s="545"/>
      <c r="AN225" s="545"/>
      <c r="AO225" s="43"/>
      <c r="AP225" s="43"/>
      <c r="AQ225" s="43"/>
      <c r="AR225" s="43"/>
      <c r="AS225" s="43"/>
      <c r="AT225" s="126"/>
      <c r="AU225" s="126"/>
      <c r="AV225" s="126"/>
      <c r="AW225" s="126"/>
      <c r="AX225" s="197"/>
      <c r="AY225" s="43"/>
      <c r="AZ225" s="41"/>
      <c r="BA225" s="41"/>
      <c r="BB225" s="41"/>
      <c r="BC225" s="41"/>
      <c r="BD225" s="42"/>
      <c r="BE225" s="41"/>
      <c r="BF225" s="41"/>
      <c r="BG225" s="41"/>
      <c r="BH225" s="41"/>
      <c r="BI225" s="41"/>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79"/>
      <c r="DZ225" s="79"/>
      <c r="EA225" s="79"/>
      <c r="EB225" s="79"/>
      <c r="EC225" s="79"/>
      <c r="ED225" s="79"/>
      <c r="EE225" s="79"/>
      <c r="EF225" s="79"/>
      <c r="EG225" s="79"/>
      <c r="EH225" s="79"/>
      <c r="EI225" s="79"/>
      <c r="EJ225" s="79"/>
      <c r="EK225" s="79"/>
      <c r="EL225" s="79"/>
      <c r="EM225" s="79"/>
      <c r="EN225" s="79"/>
      <c r="EO225" s="79"/>
      <c r="EP225" s="79"/>
      <c r="EQ225" s="79"/>
      <c r="ER225" s="79"/>
      <c r="ES225" s="79"/>
      <c r="ET225" s="79"/>
      <c r="EU225" s="79"/>
      <c r="EV225" s="79"/>
      <c r="EW225" s="79"/>
      <c r="EX225" s="79"/>
      <c r="EY225" s="79"/>
      <c r="EZ225" s="79"/>
      <c r="FA225" s="79"/>
      <c r="FB225" s="79"/>
      <c r="FC225" s="79"/>
      <c r="FD225" s="79"/>
      <c r="FE225" s="79"/>
      <c r="FF225" s="79"/>
      <c r="FG225" s="79"/>
      <c r="FH225" s="79"/>
      <c r="FI225" s="79"/>
      <c r="FJ225" s="79"/>
      <c r="FK225" s="79"/>
      <c r="FL225" s="79"/>
      <c r="FM225" s="47"/>
      <c r="FN225" s="47"/>
      <c r="FO225" s="48"/>
      <c r="FP225" s="47"/>
      <c r="FQ225" s="79"/>
      <c r="FR225" s="47"/>
      <c r="FS225" s="47"/>
      <c r="FT225" s="47"/>
      <c r="FU225" s="47"/>
      <c r="FV225" s="47"/>
      <c r="FW225" s="47"/>
      <c r="FX225" s="47"/>
      <c r="FY225" s="32"/>
      <c r="FZ225" s="32"/>
      <c r="GA225" s="32"/>
      <c r="GB225" s="32"/>
      <c r="GC225" s="32"/>
      <c r="GD225" s="32"/>
      <c r="GE225" s="32"/>
      <c r="GF225" s="32"/>
      <c r="GG225" s="32"/>
      <c r="GH225" s="32"/>
      <c r="GI225" s="32"/>
      <c r="GJ225" s="32"/>
      <c r="GK225" s="32"/>
      <c r="GL225" s="32"/>
      <c r="GM225" s="49"/>
      <c r="GN225" s="49"/>
      <c r="GO225" s="49"/>
      <c r="GP225" s="49"/>
      <c r="GQ225" s="49"/>
      <c r="GR225" s="49"/>
      <c r="GS225" s="49"/>
      <c r="GT225" s="49"/>
      <c r="GU225" s="49"/>
      <c r="GV225" s="49"/>
      <c r="GW225" s="49"/>
      <c r="GX225" s="49"/>
      <c r="GY225" s="49"/>
      <c r="GZ225" s="49"/>
      <c r="HA225" s="49"/>
      <c r="HB225" s="49"/>
      <c r="HC225" s="49"/>
      <c r="HD225" s="49"/>
      <c r="HE225" s="49"/>
      <c r="HF225" s="49"/>
      <c r="HG225" s="49"/>
      <c r="HH225" s="49"/>
      <c r="HI225" s="49"/>
      <c r="HJ225" s="49"/>
      <c r="HK225" s="49"/>
      <c r="HL225" s="49"/>
      <c r="HM225" s="49"/>
      <c r="HN225" s="49"/>
    </row>
    <row r="226" spans="1:222" ht="16.5" customHeight="1">
      <c r="A226" s="1"/>
      <c r="B226" s="476"/>
      <c r="C226" s="3"/>
      <c r="D226" s="38"/>
      <c r="E226" s="126"/>
      <c r="F226" s="126"/>
      <c r="G226" s="126"/>
      <c r="H226" s="126"/>
      <c r="I226" s="10"/>
      <c r="J226" s="10"/>
      <c r="K226" s="195" t="str">
        <f ca="1">IF(FO216=0,"",".")</f>
        <v/>
      </c>
      <c r="L226" s="689"/>
      <c r="M226" s="696"/>
      <c r="N226" s="696"/>
      <c r="O226" s="696"/>
      <c r="P226" s="696"/>
      <c r="Q226" s="696"/>
      <c r="R226" s="696"/>
      <c r="S226" s="696"/>
      <c r="T226" s="696"/>
      <c r="U226" s="696"/>
      <c r="V226" s="696"/>
      <c r="W226" s="696"/>
      <c r="X226" s="696"/>
      <c r="Y226" s="696"/>
      <c r="Z226" s="696"/>
      <c r="AA226" s="696"/>
      <c r="AB226" s="696"/>
      <c r="AC226" s="696"/>
      <c r="AD226" s="696"/>
      <c r="AE226" s="696"/>
      <c r="AF226" s="696"/>
      <c r="AG226" s="696"/>
      <c r="AH226" s="697"/>
      <c r="AI226" s="697"/>
      <c r="AJ226" s="697"/>
      <c r="AK226" s="697"/>
      <c r="AL226" s="697"/>
      <c r="AM226" s="697"/>
      <c r="AN226" s="195" t="str">
        <f ca="1">IF(FO216=0,"",".")</f>
        <v/>
      </c>
      <c r="AO226" s="43"/>
      <c r="AP226" s="207" t="str">
        <f>IF(L226="","",IF(AND(programma!$A$301="uitwerking",$B226="X"),FM226,IF(FO226=1,"Goed!",IF(FQ226=1,"Je hebt verkeerd afgerond.",IF(L226=FR226,"Je hebt "&amp;FQ181/FP181&amp;" en "&amp;FT181&amp;" bij elkaar opgeteld ipv van elkaar afgetrokken.","Fout! Heb je wel MO = MK berekend?")))))</f>
        <v/>
      </c>
      <c r="AQ226" s="43"/>
      <c r="AR226" s="43"/>
      <c r="AS226" s="43"/>
      <c r="AT226" s="126"/>
      <c r="AU226" s="126"/>
      <c r="AV226" s="126"/>
      <c r="AW226" s="126"/>
      <c r="AX226" s="197"/>
      <c r="AY226" s="43"/>
      <c r="AZ226" s="41"/>
      <c r="BA226" s="41"/>
      <c r="BB226" s="41"/>
      <c r="BC226" s="41"/>
      <c r="BD226" s="42"/>
      <c r="BE226" s="41"/>
      <c r="BF226" s="41"/>
      <c r="BG226" s="41"/>
      <c r="BH226" s="41"/>
      <c r="BI226" s="41"/>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79"/>
      <c r="DZ226" s="79"/>
      <c r="EA226" s="79"/>
      <c r="EB226" s="79"/>
      <c r="EC226" s="79"/>
      <c r="ED226" s="79"/>
      <c r="EE226" s="79"/>
      <c r="EF226" s="79"/>
      <c r="EG226" s="79"/>
      <c r="EH226" s="79"/>
      <c r="EI226" s="79"/>
      <c r="EJ226" s="79"/>
      <c r="EK226" s="79"/>
      <c r="EL226" s="79"/>
      <c r="EM226" s="79"/>
      <c r="EN226" s="79"/>
      <c r="EO226" s="79"/>
      <c r="EP226" s="79"/>
      <c r="EQ226" s="79"/>
      <c r="ER226" s="79"/>
      <c r="ES226" s="79"/>
      <c r="ET226" s="79"/>
      <c r="EU226" s="79"/>
      <c r="EV226" s="79"/>
      <c r="EW226" s="79"/>
      <c r="EX226" s="79"/>
      <c r="EY226" s="79"/>
      <c r="EZ226" s="79"/>
      <c r="FA226" s="79"/>
      <c r="FB226" s="79"/>
      <c r="FC226" s="79"/>
      <c r="FD226" s="79"/>
      <c r="FE226" s="79"/>
      <c r="FF226" s="79"/>
      <c r="FG226" s="79"/>
      <c r="FH226" s="79"/>
      <c r="FI226" s="79"/>
      <c r="FJ226" s="79"/>
      <c r="FK226" s="79"/>
      <c r="FL226" s="79"/>
      <c r="FM226" s="468" t="e">
        <f ca="1">"MO = MK dus -"&amp;2/FP181&amp;"q + "&amp;FQ181/FP181&amp;" = "&amp;FT181&amp;" dus q = "&amp;FQ181/FP181&amp;" - "&amp;FT181&amp;" = "&amp;2/FP181&amp;"q dus q = "&amp;FQ181/FP181-FT181&amp;" / "&amp;2/FP181&amp;" wordt "&amp;FP226</f>
        <v>#DIV/0!</v>
      </c>
      <c r="FN226" s="47"/>
      <c r="FO226" s="48">
        <f ca="1">IF(programma!B1="X",1,IF(FO216=0,0,IF(L226=FP226,1,0)))</f>
        <v>0</v>
      </c>
      <c r="FP226" s="94" t="e">
        <f ca="1">IF(FO1=0,"",ROUND((FQ181/FP181-FT181)*0.5*FP181,0))</f>
        <v>#DIV/0!</v>
      </c>
      <c r="FQ226" s="79" t="e">
        <f ca="1">IF(AND(L226&gt;=FP226-1.000000001,L226&lt;=FP226+1.000000001),1,0)</f>
        <v>#DIV/0!</v>
      </c>
      <c r="FR226" s="94" t="e">
        <f ca="1">ROUND((FQ181/FP181+FT181)*FP181,0)</f>
        <v>#DIV/0!</v>
      </c>
      <c r="FS226" s="94"/>
      <c r="FT226" s="47"/>
      <c r="FU226" s="47"/>
      <c r="FV226" s="47"/>
      <c r="FW226" s="47"/>
      <c r="FX226" s="47"/>
      <c r="FY226" s="32"/>
      <c r="FZ226" s="32"/>
      <c r="GA226" s="32"/>
      <c r="GB226" s="32"/>
      <c r="GC226" s="32"/>
      <c r="GD226" s="32"/>
      <c r="GE226" s="32"/>
      <c r="GF226" s="32"/>
      <c r="GG226" s="32"/>
      <c r="GH226" s="32"/>
      <c r="GI226" s="32"/>
      <c r="GJ226" s="32"/>
      <c r="GK226" s="32"/>
      <c r="GL226" s="32"/>
      <c r="GM226" s="49"/>
      <c r="GN226" s="49"/>
      <c r="GO226" s="49"/>
      <c r="GP226" s="49"/>
      <c r="GQ226" s="49"/>
      <c r="GR226" s="49"/>
      <c r="GS226" s="49"/>
      <c r="GT226" s="49"/>
      <c r="GU226" s="49"/>
      <c r="GV226" s="49"/>
      <c r="GW226" s="49"/>
      <c r="GX226" s="49"/>
      <c r="GY226" s="49"/>
      <c r="GZ226" s="49"/>
      <c r="HA226" s="49"/>
      <c r="HB226" s="49"/>
      <c r="HC226" s="49"/>
      <c r="HD226" s="49"/>
      <c r="HE226" s="49"/>
      <c r="HF226" s="49"/>
      <c r="HG226" s="49"/>
      <c r="HH226" s="49"/>
      <c r="HI226" s="49"/>
      <c r="HJ226" s="49"/>
      <c r="HK226" s="49"/>
      <c r="HL226" s="49"/>
      <c r="HM226" s="49"/>
      <c r="HN226" s="49"/>
    </row>
    <row r="227" spans="1:222" ht="3.75" customHeight="1">
      <c r="A227" s="1"/>
      <c r="B227" s="3"/>
      <c r="C227" s="3"/>
      <c r="D227" s="38"/>
      <c r="E227" s="126"/>
      <c r="F227" s="126"/>
      <c r="G227" s="126"/>
      <c r="H227" s="126"/>
      <c r="I227" s="10"/>
      <c r="J227" s="10"/>
      <c r="K227" s="538" t="str">
        <f ca="1">IF(FO216=0,"",".")</f>
        <v/>
      </c>
      <c r="L227" s="545"/>
      <c r="M227" s="545"/>
      <c r="N227" s="545"/>
      <c r="O227" s="545"/>
      <c r="P227" s="545"/>
      <c r="Q227" s="545"/>
      <c r="R227" s="545"/>
      <c r="S227" s="545"/>
      <c r="T227" s="545"/>
      <c r="U227" s="545"/>
      <c r="V227" s="545"/>
      <c r="W227" s="545"/>
      <c r="X227" s="545"/>
      <c r="Y227" s="545"/>
      <c r="Z227" s="545"/>
      <c r="AA227" s="545"/>
      <c r="AB227" s="545"/>
      <c r="AC227" s="545"/>
      <c r="AD227" s="545"/>
      <c r="AE227" s="545"/>
      <c r="AF227" s="545"/>
      <c r="AG227" s="545"/>
      <c r="AH227" s="545"/>
      <c r="AI227" s="545"/>
      <c r="AJ227" s="545"/>
      <c r="AK227" s="545"/>
      <c r="AL227" s="545"/>
      <c r="AM227" s="545"/>
      <c r="AN227" s="545"/>
      <c r="AO227" s="43"/>
      <c r="AP227" s="43"/>
      <c r="AQ227" s="43"/>
      <c r="AR227" s="43"/>
      <c r="AS227" s="43"/>
      <c r="AT227" s="126"/>
      <c r="AU227" s="126"/>
      <c r="AV227" s="126"/>
      <c r="AW227" s="126"/>
      <c r="AX227" s="197"/>
      <c r="AY227" s="43"/>
      <c r="AZ227" s="41"/>
      <c r="BA227" s="41"/>
      <c r="BB227" s="41"/>
      <c r="BC227" s="41"/>
      <c r="BD227" s="42"/>
      <c r="BE227" s="41"/>
      <c r="BF227" s="41"/>
      <c r="BG227" s="41"/>
      <c r="BH227" s="41"/>
      <c r="BI227" s="41"/>
      <c r="CS227" s="43"/>
      <c r="CT227" s="43"/>
      <c r="CU227" s="43"/>
      <c r="CV227" s="43"/>
      <c r="CW227" s="43"/>
      <c r="CX227" s="43"/>
      <c r="CY227" s="43"/>
      <c r="CZ227" s="43"/>
      <c r="DA227" s="43"/>
      <c r="DB227" s="43"/>
      <c r="DC227" s="43"/>
      <c r="DD227" s="43"/>
      <c r="DE227" s="43"/>
      <c r="DF227" s="43"/>
      <c r="DG227" s="43"/>
      <c r="DH227" s="43"/>
      <c r="DI227" s="43"/>
      <c r="DJ227" s="43"/>
      <c r="DK227" s="43"/>
      <c r="DL227" s="43"/>
      <c r="DM227" s="43"/>
      <c r="DN227" s="43"/>
      <c r="DO227" s="43"/>
      <c r="DP227" s="43"/>
      <c r="DQ227" s="43"/>
      <c r="DR227" s="43"/>
      <c r="DS227" s="43"/>
      <c r="DT227" s="43"/>
      <c r="DU227" s="43"/>
      <c r="DV227" s="43"/>
      <c r="DW227" s="43"/>
      <c r="DX227" s="43"/>
      <c r="DY227" s="79"/>
      <c r="DZ227" s="79"/>
      <c r="EA227" s="79"/>
      <c r="EB227" s="79"/>
      <c r="EC227" s="79"/>
      <c r="ED227" s="79"/>
      <c r="EE227" s="79"/>
      <c r="EF227" s="79"/>
      <c r="EG227" s="79"/>
      <c r="EH227" s="79"/>
      <c r="EI227" s="79"/>
      <c r="EJ227" s="79"/>
      <c r="EK227" s="79"/>
      <c r="EL227" s="79"/>
      <c r="EM227" s="79"/>
      <c r="EN227" s="79"/>
      <c r="EO227" s="79"/>
      <c r="EP227" s="79"/>
      <c r="EQ227" s="79"/>
      <c r="ER227" s="79"/>
      <c r="ES227" s="79"/>
      <c r="ET227" s="79"/>
      <c r="EU227" s="79"/>
      <c r="EV227" s="79"/>
      <c r="EW227" s="79"/>
      <c r="EX227" s="79"/>
      <c r="EY227" s="79"/>
      <c r="EZ227" s="79"/>
      <c r="FA227" s="79"/>
      <c r="FB227" s="79"/>
      <c r="FC227" s="79"/>
      <c r="FD227" s="79"/>
      <c r="FE227" s="79"/>
      <c r="FF227" s="79"/>
      <c r="FG227" s="79"/>
      <c r="FH227" s="79"/>
      <c r="FI227" s="79"/>
      <c r="FJ227" s="79"/>
      <c r="FK227" s="79"/>
      <c r="FL227" s="79"/>
      <c r="FM227" s="47"/>
      <c r="FN227" s="47"/>
      <c r="FO227" s="48"/>
      <c r="FP227" s="47"/>
      <c r="FQ227" s="79"/>
      <c r="FR227" s="47"/>
      <c r="FS227" s="47"/>
      <c r="FT227" s="47"/>
      <c r="FU227" s="47"/>
      <c r="FV227" s="47"/>
      <c r="FW227" s="47"/>
      <c r="FX227" s="47"/>
      <c r="FY227" s="32"/>
      <c r="FZ227" s="32"/>
      <c r="GA227" s="32"/>
      <c r="GB227" s="32"/>
      <c r="GC227" s="32"/>
      <c r="GD227" s="32"/>
      <c r="GE227" s="32"/>
      <c r="GF227" s="32"/>
      <c r="GG227" s="32"/>
      <c r="GH227" s="32"/>
      <c r="GI227" s="32"/>
      <c r="GJ227" s="32"/>
      <c r="GK227" s="32"/>
      <c r="GL227" s="32"/>
      <c r="GM227" s="49"/>
      <c r="GN227" s="49"/>
      <c r="GO227" s="49"/>
      <c r="GP227" s="49"/>
      <c r="GQ227" s="49"/>
      <c r="GR227" s="49"/>
      <c r="GS227" s="49"/>
      <c r="GT227" s="49"/>
      <c r="GU227" s="49"/>
      <c r="GV227" s="49"/>
      <c r="GW227" s="49"/>
      <c r="GX227" s="49"/>
      <c r="GY227" s="49"/>
      <c r="GZ227" s="49"/>
      <c r="HA227" s="49"/>
      <c r="HB227" s="49"/>
      <c r="HC227" s="49"/>
      <c r="HD227" s="49"/>
      <c r="HE227" s="49"/>
      <c r="HF227" s="49"/>
      <c r="HG227" s="49"/>
      <c r="HH227" s="49"/>
      <c r="HI227" s="49"/>
      <c r="HJ227" s="49"/>
      <c r="HK227" s="49"/>
      <c r="HL227" s="49"/>
      <c r="HM227" s="49"/>
      <c r="HN227" s="49"/>
    </row>
    <row r="228" spans="1:222" ht="10.5" customHeight="1">
      <c r="A228" s="1"/>
      <c r="B228" s="3"/>
      <c r="C228" s="3"/>
      <c r="D228" s="38"/>
      <c r="E228" s="126"/>
      <c r="F228" s="126"/>
      <c r="G228" s="126"/>
      <c r="H228" s="126"/>
      <c r="I228" s="10"/>
      <c r="J228" s="10"/>
      <c r="K228" s="41"/>
      <c r="L228" s="42"/>
      <c r="M228" s="41"/>
      <c r="N228" s="41"/>
      <c r="O228" s="41"/>
      <c r="P228" s="41"/>
      <c r="Q228" s="41"/>
      <c r="R228" s="41"/>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126"/>
      <c r="AU228" s="126"/>
      <c r="AV228" s="126"/>
      <c r="AW228" s="126"/>
      <c r="AX228" s="197"/>
      <c r="AY228" s="43"/>
      <c r="AZ228" s="41"/>
      <c r="BA228" s="41"/>
      <c r="BB228" s="41"/>
      <c r="BC228" s="41"/>
      <c r="BD228" s="42"/>
      <c r="BE228" s="41"/>
      <c r="BF228" s="41"/>
      <c r="BG228" s="41"/>
      <c r="BH228" s="41"/>
      <c r="BI228" s="41"/>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79"/>
      <c r="DZ228" s="79"/>
      <c r="EA228" s="79"/>
      <c r="EB228" s="79"/>
      <c r="EC228" s="79"/>
      <c r="ED228" s="79"/>
      <c r="EE228" s="79"/>
      <c r="EF228" s="79"/>
      <c r="EG228" s="79"/>
      <c r="EH228" s="79"/>
      <c r="EI228" s="79"/>
      <c r="EJ228" s="79"/>
      <c r="EK228" s="79"/>
      <c r="EL228" s="79"/>
      <c r="EM228" s="79"/>
      <c r="EN228" s="79"/>
      <c r="EO228" s="79"/>
      <c r="EP228" s="79"/>
      <c r="EQ228" s="79"/>
      <c r="ER228" s="79"/>
      <c r="ES228" s="79"/>
      <c r="ET228" s="79"/>
      <c r="EU228" s="79"/>
      <c r="EV228" s="79"/>
      <c r="EW228" s="79"/>
      <c r="EX228" s="79"/>
      <c r="EY228" s="79"/>
      <c r="EZ228" s="79"/>
      <c r="FA228" s="79"/>
      <c r="FB228" s="79"/>
      <c r="FC228" s="79"/>
      <c r="FD228" s="79"/>
      <c r="FE228" s="79"/>
      <c r="FF228" s="79"/>
      <c r="FG228" s="79"/>
      <c r="FH228" s="79"/>
      <c r="FI228" s="79"/>
      <c r="FJ228" s="79"/>
      <c r="FK228" s="79"/>
      <c r="FL228" s="79"/>
      <c r="FM228" s="47"/>
      <c r="FN228" s="47"/>
      <c r="FO228" s="48"/>
      <c r="FP228" s="47"/>
      <c r="FQ228" s="79"/>
      <c r="FR228" s="47"/>
      <c r="FS228" s="47"/>
      <c r="FT228" s="47"/>
      <c r="FU228" s="47"/>
      <c r="FV228" s="47"/>
      <c r="FW228" s="47"/>
      <c r="FX228" s="47"/>
      <c r="FY228" s="32"/>
      <c r="FZ228" s="32"/>
      <c r="GA228" s="32"/>
      <c r="GB228" s="32"/>
      <c r="GC228" s="32"/>
      <c r="GD228" s="32"/>
      <c r="GE228" s="32"/>
      <c r="GF228" s="32"/>
      <c r="GG228" s="32"/>
      <c r="GH228" s="32"/>
      <c r="GI228" s="32"/>
      <c r="GJ228" s="32"/>
      <c r="GK228" s="32"/>
      <c r="GL228" s="32"/>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row>
    <row r="229" spans="1:222" ht="16.95" customHeight="1">
      <c r="A229" s="1"/>
      <c r="B229" s="3"/>
      <c r="C229" s="3"/>
      <c r="D229" s="373" t="str">
        <f ca="1">IF(FO226=0,"","Bereken tot slot de totale winst bij de hoeveelheid waarbij maximale winst")</f>
        <v/>
      </c>
      <c r="E229" s="10"/>
      <c r="F229" s="10"/>
      <c r="G229" s="10"/>
      <c r="H229" s="10"/>
      <c r="I229" s="10"/>
      <c r="J229" s="10"/>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c r="BI229" s="79"/>
      <c r="CS229" s="79"/>
      <c r="CT229" s="79"/>
      <c r="CU229" s="79"/>
      <c r="CV229" s="79"/>
      <c r="CW229" s="79"/>
      <c r="CX229" s="79"/>
      <c r="CY229" s="79"/>
      <c r="CZ229" s="79"/>
      <c r="DA229" s="79"/>
      <c r="DB229" s="79"/>
      <c r="DC229" s="79"/>
      <c r="DD229" s="79"/>
      <c r="DE229" s="79"/>
      <c r="DF229" s="79"/>
      <c r="DG229" s="79"/>
      <c r="DH229" s="79"/>
      <c r="DI229" s="79"/>
      <c r="DJ229" s="79"/>
      <c r="DK229" s="79"/>
      <c r="DL229" s="79"/>
      <c r="DM229" s="79"/>
      <c r="DN229" s="79"/>
      <c r="DO229" s="79"/>
      <c r="DP229" s="79"/>
      <c r="DQ229" s="79"/>
      <c r="DR229" s="79"/>
      <c r="DS229" s="79"/>
      <c r="DT229" s="79"/>
      <c r="DU229" s="79"/>
      <c r="DV229" s="79"/>
      <c r="DW229" s="79"/>
      <c r="DX229" s="79"/>
      <c r="DY229" s="79"/>
      <c r="DZ229" s="79"/>
      <c r="EA229" s="79"/>
      <c r="EB229" s="79"/>
      <c r="EC229" s="79"/>
      <c r="ED229" s="79"/>
      <c r="EE229" s="79"/>
      <c r="EF229" s="79"/>
      <c r="EG229" s="79"/>
      <c r="EH229" s="79"/>
      <c r="EI229" s="79"/>
      <c r="EJ229" s="79"/>
      <c r="EK229" s="79"/>
      <c r="EL229" s="79"/>
      <c r="EM229" s="79"/>
      <c r="EN229" s="79"/>
      <c r="EO229" s="79"/>
      <c r="EP229" s="79"/>
      <c r="EQ229" s="79"/>
      <c r="ER229" s="79"/>
      <c r="ES229" s="79"/>
      <c r="ET229" s="79"/>
      <c r="EU229" s="79"/>
      <c r="EV229" s="79"/>
      <c r="EW229" s="79"/>
      <c r="EX229" s="79"/>
      <c r="EY229" s="79"/>
      <c r="EZ229" s="79"/>
      <c r="FA229" s="79"/>
      <c r="FB229" s="79"/>
      <c r="FC229" s="79"/>
      <c r="FD229" s="79"/>
      <c r="FE229" s="79"/>
      <c r="FF229" s="79"/>
      <c r="FG229" s="79"/>
      <c r="FH229" s="79"/>
      <c r="FI229" s="79"/>
      <c r="FJ229" s="79"/>
      <c r="FK229" s="79"/>
      <c r="FL229" s="79"/>
      <c r="FM229" s="47"/>
      <c r="FN229" s="47"/>
      <c r="FO229" s="47"/>
      <c r="FP229" s="47"/>
      <c r="FQ229" s="47"/>
      <c r="FR229" s="47"/>
      <c r="FS229" s="47"/>
      <c r="FT229" s="47"/>
      <c r="FU229" s="47"/>
      <c r="FV229" s="47"/>
      <c r="FW229" s="47"/>
      <c r="FX229" s="47"/>
      <c r="FY229" s="32"/>
      <c r="FZ229" s="32"/>
      <c r="GA229" s="32"/>
      <c r="GB229" s="32"/>
      <c r="GC229" s="32"/>
      <c r="GD229" s="32"/>
      <c r="GE229" s="32"/>
      <c r="GF229" s="32"/>
      <c r="GG229" s="32"/>
      <c r="GH229" s="32"/>
      <c r="GI229" s="32"/>
      <c r="GJ229" s="32"/>
      <c r="GK229" s="32"/>
      <c r="GL229" s="32"/>
      <c r="GM229" s="49"/>
      <c r="GN229" s="49"/>
      <c r="GO229" s="49"/>
      <c r="GP229" s="49"/>
      <c r="GQ229" s="49"/>
      <c r="GR229" s="49"/>
      <c r="GS229" s="49"/>
      <c r="GT229" s="49"/>
      <c r="GU229" s="49"/>
      <c r="GV229" s="49"/>
      <c r="GW229" s="49"/>
      <c r="GX229" s="49"/>
      <c r="GY229" s="49"/>
      <c r="GZ229" s="49"/>
      <c r="HA229" s="49"/>
      <c r="HB229" s="49"/>
      <c r="HC229" s="49"/>
      <c r="HD229" s="49"/>
      <c r="HE229" s="49"/>
      <c r="HF229" s="49"/>
      <c r="HG229" s="49"/>
      <c r="HH229" s="49"/>
      <c r="HI229" s="49"/>
      <c r="HJ229" s="49"/>
      <c r="HK229" s="49"/>
      <c r="HL229" s="49"/>
      <c r="HM229" s="49"/>
      <c r="HN229" s="49"/>
    </row>
    <row r="230" spans="1:222" ht="16.95" customHeight="1">
      <c r="A230" s="1"/>
      <c r="B230" s="3"/>
      <c r="C230" s="3"/>
      <c r="D230" s="373" t="str">
        <f ca="1">IF(FO226=0,"","wordt gemaakt. Rond het eindbedrag af op hele eurocenten.")</f>
        <v/>
      </c>
      <c r="E230" s="10"/>
      <c r="F230" s="10"/>
      <c r="G230" s="10"/>
      <c r="H230" s="10"/>
      <c r="I230" s="10"/>
      <c r="J230" s="10"/>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c r="BE230" s="79"/>
      <c r="BF230" s="79"/>
      <c r="BG230" s="79"/>
      <c r="BH230" s="79"/>
      <c r="BI230" s="79"/>
      <c r="CS230" s="79"/>
      <c r="CT230" s="79"/>
      <c r="CU230" s="79"/>
      <c r="CV230" s="79"/>
      <c r="CW230" s="79"/>
      <c r="CX230" s="79"/>
      <c r="CY230" s="79"/>
      <c r="CZ230" s="79"/>
      <c r="DA230" s="79"/>
      <c r="DB230" s="79"/>
      <c r="DC230" s="79"/>
      <c r="DD230" s="79"/>
      <c r="DE230" s="79"/>
      <c r="DF230" s="79"/>
      <c r="DG230" s="79"/>
      <c r="DH230" s="79"/>
      <c r="DI230" s="79"/>
      <c r="DJ230" s="79"/>
      <c r="DK230" s="79"/>
      <c r="DL230" s="79"/>
      <c r="DM230" s="79"/>
      <c r="DN230" s="79"/>
      <c r="DO230" s="79"/>
      <c r="DP230" s="79"/>
      <c r="DQ230" s="79"/>
      <c r="DR230" s="79"/>
      <c r="DS230" s="79"/>
      <c r="DT230" s="79"/>
      <c r="DU230" s="79"/>
      <c r="DV230" s="79"/>
      <c r="DW230" s="79"/>
      <c r="DX230" s="79"/>
      <c r="DY230" s="79"/>
      <c r="DZ230" s="79"/>
      <c r="EA230" s="79"/>
      <c r="EB230" s="79"/>
      <c r="EC230" s="79"/>
      <c r="ED230" s="79"/>
      <c r="EE230" s="79"/>
      <c r="EF230" s="79"/>
      <c r="EG230" s="79"/>
      <c r="EH230" s="79"/>
      <c r="EI230" s="79"/>
      <c r="EJ230" s="79"/>
      <c r="EK230" s="79"/>
      <c r="EL230" s="79"/>
      <c r="EM230" s="79"/>
      <c r="EN230" s="79"/>
      <c r="EO230" s="79"/>
      <c r="EP230" s="79"/>
      <c r="EQ230" s="79"/>
      <c r="ER230" s="79"/>
      <c r="ES230" s="79"/>
      <c r="ET230" s="79"/>
      <c r="EU230" s="79"/>
      <c r="EV230" s="79"/>
      <c r="EW230" s="79"/>
      <c r="EX230" s="79"/>
      <c r="EY230" s="79"/>
      <c r="EZ230" s="79"/>
      <c r="FA230" s="79"/>
      <c r="FB230" s="79"/>
      <c r="FC230" s="79"/>
      <c r="FD230" s="79"/>
      <c r="FE230" s="79"/>
      <c r="FF230" s="79"/>
      <c r="FG230" s="79"/>
      <c r="FH230" s="79"/>
      <c r="FI230" s="79"/>
      <c r="FJ230" s="79"/>
      <c r="FK230" s="79"/>
      <c r="FL230" s="79"/>
      <c r="FM230" s="47"/>
      <c r="FN230" s="47"/>
      <c r="FO230" s="47"/>
      <c r="FP230" s="47"/>
      <c r="FQ230" s="47"/>
      <c r="FR230" s="47"/>
      <c r="FS230" s="47"/>
      <c r="FT230" s="47"/>
      <c r="FU230" s="47"/>
      <c r="FV230" s="47"/>
      <c r="FW230" s="47"/>
      <c r="FX230" s="47"/>
      <c r="FY230" s="32"/>
      <c r="FZ230" s="32"/>
      <c r="GA230" s="32"/>
      <c r="GB230" s="32"/>
      <c r="GC230" s="32"/>
      <c r="GD230" s="32"/>
      <c r="GE230" s="32"/>
      <c r="GF230" s="32"/>
      <c r="GG230" s="32"/>
      <c r="GH230" s="32"/>
      <c r="GI230" s="32"/>
      <c r="GJ230" s="32"/>
      <c r="GK230" s="32"/>
      <c r="GL230" s="32"/>
      <c r="GM230" s="49"/>
      <c r="GN230" s="49"/>
      <c r="GO230" s="49"/>
      <c r="GP230" s="49"/>
      <c r="GQ230" s="49"/>
      <c r="GR230" s="49"/>
      <c r="GS230" s="49"/>
      <c r="GT230" s="49"/>
      <c r="GU230" s="49"/>
      <c r="GV230" s="49"/>
      <c r="GW230" s="49"/>
      <c r="GX230" s="49"/>
      <c r="GY230" s="49"/>
      <c r="GZ230" s="49"/>
      <c r="HA230" s="49"/>
      <c r="HB230" s="49"/>
      <c r="HC230" s="49"/>
      <c r="HD230" s="49"/>
      <c r="HE230" s="49"/>
      <c r="HF230" s="49"/>
      <c r="HG230" s="49"/>
      <c r="HH230" s="49"/>
      <c r="HI230" s="49"/>
      <c r="HJ230" s="49"/>
      <c r="HK230" s="49"/>
      <c r="HL230" s="49"/>
      <c r="HM230" s="49"/>
      <c r="HN230" s="49"/>
    </row>
    <row r="231" spans="1:222" ht="5.25" customHeight="1">
      <c r="A231" s="1"/>
      <c r="B231" s="3"/>
      <c r="C231" s="3"/>
      <c r="D231" s="38"/>
      <c r="E231" s="126"/>
      <c r="F231" s="126"/>
      <c r="G231" s="126"/>
      <c r="H231" s="126"/>
      <c r="I231" s="10"/>
      <c r="J231" s="10"/>
      <c r="K231" s="41"/>
      <c r="L231" s="42"/>
      <c r="M231" s="41"/>
      <c r="N231" s="41"/>
      <c r="O231" s="41"/>
      <c r="P231" s="41"/>
      <c r="Q231" s="41"/>
      <c r="R231" s="41"/>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126"/>
      <c r="AU231" s="126"/>
      <c r="AV231" s="126"/>
      <c r="AW231" s="126"/>
      <c r="AX231" s="197"/>
      <c r="AY231" s="43"/>
      <c r="AZ231" s="41"/>
      <c r="BA231" s="41"/>
      <c r="BB231" s="41"/>
      <c r="BC231" s="41"/>
      <c r="BD231" s="42"/>
      <c r="BE231" s="41"/>
      <c r="BF231" s="41"/>
      <c r="BG231" s="41"/>
      <c r="BH231" s="41"/>
      <c r="BI231" s="41"/>
      <c r="CS231" s="43"/>
      <c r="CT231" s="43"/>
      <c r="CU231" s="43"/>
      <c r="CV231" s="43"/>
      <c r="CW231" s="43"/>
      <c r="CX231" s="43"/>
      <c r="CY231" s="43"/>
      <c r="CZ231" s="43"/>
      <c r="DA231" s="43"/>
      <c r="DB231" s="43"/>
      <c r="DC231" s="43"/>
      <c r="DD231" s="43"/>
      <c r="DE231" s="43"/>
      <c r="DF231" s="43"/>
      <c r="DG231" s="43"/>
      <c r="DH231" s="43"/>
      <c r="DI231" s="43"/>
      <c r="DJ231" s="43"/>
      <c r="DK231" s="43"/>
      <c r="DL231" s="43"/>
      <c r="DM231" s="43"/>
      <c r="DN231" s="43"/>
      <c r="DO231" s="43"/>
      <c r="DP231" s="43"/>
      <c r="DQ231" s="43"/>
      <c r="DR231" s="43"/>
      <c r="DS231" s="43"/>
      <c r="DT231" s="43"/>
      <c r="DU231" s="43"/>
      <c r="DV231" s="43"/>
      <c r="DW231" s="43"/>
      <c r="DX231" s="43"/>
      <c r="DY231" s="79"/>
      <c r="DZ231" s="79"/>
      <c r="EA231" s="79"/>
      <c r="EB231" s="79"/>
      <c r="EC231" s="79"/>
      <c r="ED231" s="79"/>
      <c r="EE231" s="79"/>
      <c r="EF231" s="79"/>
      <c r="EG231" s="79"/>
      <c r="EH231" s="79"/>
      <c r="EI231" s="79"/>
      <c r="EJ231" s="79"/>
      <c r="EK231" s="79"/>
      <c r="EL231" s="79"/>
      <c r="EM231" s="79"/>
      <c r="EN231" s="79"/>
      <c r="EO231" s="79"/>
      <c r="EP231" s="79"/>
      <c r="EQ231" s="79"/>
      <c r="ER231" s="79"/>
      <c r="ES231" s="79"/>
      <c r="ET231" s="79"/>
      <c r="EU231" s="79"/>
      <c r="EV231" s="79"/>
      <c r="EW231" s="79"/>
      <c r="EX231" s="79"/>
      <c r="EY231" s="79"/>
      <c r="EZ231" s="79"/>
      <c r="FA231" s="79"/>
      <c r="FB231" s="79"/>
      <c r="FC231" s="79"/>
      <c r="FD231" s="79"/>
      <c r="FE231" s="79"/>
      <c r="FF231" s="79"/>
      <c r="FG231" s="79"/>
      <c r="FH231" s="79"/>
      <c r="FI231" s="79"/>
      <c r="FJ231" s="79"/>
      <c r="FK231" s="79"/>
      <c r="FL231" s="79"/>
      <c r="FM231" s="47"/>
      <c r="FN231" s="47"/>
      <c r="FO231" s="48"/>
      <c r="FP231" s="47"/>
      <c r="FQ231" s="79"/>
      <c r="FR231" s="131" t="s">
        <v>22</v>
      </c>
      <c r="FS231" s="131" t="s">
        <v>4</v>
      </c>
      <c r="FT231" s="47"/>
      <c r="FU231" s="47"/>
      <c r="FV231" s="47"/>
      <c r="FW231" s="47"/>
      <c r="FX231" s="47"/>
      <c r="FY231" s="32"/>
      <c r="FZ231" s="32"/>
      <c r="GA231" s="32"/>
      <c r="GB231" s="32"/>
      <c r="GC231" s="32"/>
      <c r="GD231" s="32"/>
      <c r="GE231" s="32"/>
      <c r="GF231" s="32"/>
      <c r="GG231" s="32"/>
      <c r="GH231" s="32"/>
      <c r="GI231" s="32"/>
      <c r="GJ231" s="32"/>
      <c r="GK231" s="32"/>
      <c r="GL231" s="32"/>
      <c r="GM231" s="49"/>
      <c r="GN231" s="49"/>
      <c r="GO231" s="49"/>
      <c r="GP231" s="49"/>
      <c r="GQ231" s="49"/>
      <c r="GR231" s="49"/>
      <c r="GS231" s="49"/>
      <c r="GT231" s="49"/>
      <c r="GU231" s="49"/>
      <c r="GV231" s="49"/>
      <c r="GW231" s="49"/>
      <c r="GX231" s="49"/>
      <c r="GY231" s="49"/>
      <c r="GZ231" s="49"/>
      <c r="HA231" s="49"/>
      <c r="HB231" s="49"/>
      <c r="HC231" s="49"/>
      <c r="HD231" s="49"/>
      <c r="HE231" s="49"/>
      <c r="HF231" s="49"/>
      <c r="HG231" s="49"/>
      <c r="HH231" s="49"/>
      <c r="HI231" s="49"/>
      <c r="HJ231" s="49"/>
      <c r="HK231" s="49"/>
      <c r="HL231" s="49"/>
      <c r="HM231" s="49"/>
      <c r="HN231" s="49"/>
    </row>
    <row r="232" spans="1:222" ht="3.75" customHeight="1">
      <c r="A232" s="1"/>
      <c r="B232" s="3"/>
      <c r="C232" s="3"/>
      <c r="D232" s="38"/>
      <c r="E232" s="126"/>
      <c r="F232" s="126"/>
      <c r="G232" s="126"/>
      <c r="H232" s="126"/>
      <c r="I232" s="10"/>
      <c r="J232" s="10"/>
      <c r="K232" s="538" t="str">
        <f ca="1">IF(FO226=0,"",".")</f>
        <v/>
      </c>
      <c r="L232" s="545"/>
      <c r="M232" s="545"/>
      <c r="N232" s="545"/>
      <c r="O232" s="545"/>
      <c r="P232" s="545"/>
      <c r="Q232" s="545"/>
      <c r="R232" s="545"/>
      <c r="S232" s="545"/>
      <c r="T232" s="545"/>
      <c r="U232" s="545"/>
      <c r="V232" s="545"/>
      <c r="W232" s="545"/>
      <c r="X232" s="545"/>
      <c r="Y232" s="545"/>
      <c r="Z232" s="545"/>
      <c r="AA232" s="545"/>
      <c r="AB232" s="545"/>
      <c r="AC232" s="545"/>
      <c r="AD232" s="545"/>
      <c r="AE232" s="545"/>
      <c r="AF232" s="545"/>
      <c r="AG232" s="545"/>
      <c r="AH232" s="545"/>
      <c r="AI232" s="545"/>
      <c r="AJ232" s="545"/>
      <c r="AK232" s="545"/>
      <c r="AL232" s="545"/>
      <c r="AM232" s="545"/>
      <c r="AN232" s="545"/>
      <c r="AO232" s="43"/>
      <c r="AP232" s="43"/>
      <c r="AQ232" s="43"/>
      <c r="AR232" s="43"/>
      <c r="AS232" s="43"/>
      <c r="AT232" s="126"/>
      <c r="AU232" s="126"/>
      <c r="AV232" s="126"/>
      <c r="AW232" s="126"/>
      <c r="AX232" s="197"/>
      <c r="AY232" s="43"/>
      <c r="AZ232" s="41"/>
      <c r="BA232" s="41"/>
      <c r="BB232" s="41"/>
      <c r="BC232" s="41"/>
      <c r="BD232" s="42"/>
      <c r="BE232" s="41"/>
      <c r="BF232" s="41"/>
      <c r="BG232" s="41"/>
      <c r="BH232" s="41"/>
      <c r="BI232" s="41"/>
      <c r="CS232" s="43"/>
      <c r="CT232" s="43"/>
      <c r="CU232" s="43"/>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c r="DY232" s="79"/>
      <c r="DZ232" s="79"/>
      <c r="EA232" s="79"/>
      <c r="EB232" s="79"/>
      <c r="EC232" s="79"/>
      <c r="ED232" s="79"/>
      <c r="EE232" s="79"/>
      <c r="EF232" s="79"/>
      <c r="EG232" s="79"/>
      <c r="EH232" s="79"/>
      <c r="EI232" s="79"/>
      <c r="EJ232" s="79"/>
      <c r="EK232" s="79"/>
      <c r="EL232" s="79"/>
      <c r="EM232" s="79"/>
      <c r="EN232" s="79"/>
      <c r="EO232" s="79"/>
      <c r="EP232" s="79"/>
      <c r="EQ232" s="79"/>
      <c r="ER232" s="79"/>
      <c r="ES232" s="79"/>
      <c r="ET232" s="79"/>
      <c r="EU232" s="79"/>
      <c r="EV232" s="79"/>
      <c r="EW232" s="79"/>
      <c r="EX232" s="79"/>
      <c r="EY232" s="79"/>
      <c r="EZ232" s="79"/>
      <c r="FA232" s="79"/>
      <c r="FB232" s="79"/>
      <c r="FC232" s="79"/>
      <c r="FD232" s="79"/>
      <c r="FE232" s="79"/>
      <c r="FF232" s="79"/>
      <c r="FG232" s="79"/>
      <c r="FH232" s="79"/>
      <c r="FI232" s="79"/>
      <c r="FJ232" s="79"/>
      <c r="FK232" s="79"/>
      <c r="FL232" s="79"/>
      <c r="FM232" s="47"/>
      <c r="FN232" s="47"/>
      <c r="FO232" s="48"/>
      <c r="FP232" s="47"/>
      <c r="FQ232" s="79"/>
      <c r="FR232" s="47"/>
      <c r="FS232" s="47"/>
      <c r="FT232" s="47"/>
      <c r="FU232" s="47"/>
      <c r="FV232" s="47"/>
      <c r="FW232" s="47"/>
      <c r="FX232" s="47"/>
      <c r="FY232" s="32"/>
      <c r="FZ232" s="32"/>
      <c r="GA232" s="32"/>
      <c r="GB232" s="32"/>
      <c r="GC232" s="32"/>
      <c r="GD232" s="32"/>
      <c r="GE232" s="32"/>
      <c r="GF232" s="32"/>
      <c r="GG232" s="32"/>
      <c r="GH232" s="32"/>
      <c r="GI232" s="32"/>
      <c r="GJ232" s="32"/>
      <c r="GK232" s="32"/>
      <c r="GL232" s="32"/>
      <c r="GM232" s="49"/>
      <c r="GN232" s="49"/>
      <c r="GO232" s="49"/>
      <c r="GP232" s="49"/>
      <c r="GQ232" s="49"/>
      <c r="GR232" s="49"/>
      <c r="GS232" s="49"/>
      <c r="GT232" s="49"/>
      <c r="GU232" s="49"/>
      <c r="GV232" s="49"/>
      <c r="GW232" s="49"/>
      <c r="GX232" s="49"/>
      <c r="GY232" s="49"/>
      <c r="GZ232" s="49"/>
      <c r="HA232" s="49"/>
      <c r="HB232" s="49"/>
      <c r="HC232" s="49"/>
      <c r="HD232" s="49"/>
      <c r="HE232" s="49"/>
      <c r="HF232" s="49"/>
      <c r="HG232" s="49"/>
      <c r="HH232" s="49"/>
      <c r="HI232" s="49"/>
      <c r="HJ232" s="49"/>
      <c r="HK232" s="49"/>
      <c r="HL232" s="49"/>
      <c r="HM232" s="49"/>
      <c r="HN232" s="49"/>
    </row>
    <row r="233" spans="1:222" ht="16.5" customHeight="1">
      <c r="A233" s="1"/>
      <c r="B233" s="476"/>
      <c r="C233" s="3"/>
      <c r="D233" s="38"/>
      <c r="E233" s="126"/>
      <c r="F233" s="126"/>
      <c r="G233" s="126"/>
      <c r="H233" s="126"/>
      <c r="I233" s="10"/>
      <c r="J233" s="10"/>
      <c r="K233" s="195" t="str">
        <f ca="1">IF(FO226=0,"",".")</f>
        <v/>
      </c>
      <c r="L233" s="693"/>
      <c r="M233" s="694"/>
      <c r="N233" s="694"/>
      <c r="O233" s="694"/>
      <c r="P233" s="694"/>
      <c r="Q233" s="694"/>
      <c r="R233" s="694"/>
      <c r="S233" s="694"/>
      <c r="T233" s="694"/>
      <c r="U233" s="694"/>
      <c r="V233" s="694"/>
      <c r="W233" s="694"/>
      <c r="X233" s="694"/>
      <c r="Y233" s="694"/>
      <c r="Z233" s="694"/>
      <c r="AA233" s="694"/>
      <c r="AB233" s="694"/>
      <c r="AC233" s="694"/>
      <c r="AD233" s="694"/>
      <c r="AE233" s="694"/>
      <c r="AF233" s="694"/>
      <c r="AG233" s="694"/>
      <c r="AH233" s="695"/>
      <c r="AI233" s="695"/>
      <c r="AJ233" s="695"/>
      <c r="AK233" s="695"/>
      <c r="AL233" s="695"/>
      <c r="AM233" s="695"/>
      <c r="AN233" s="195" t="str">
        <f ca="1">IF(FO226=0,"",".")</f>
        <v/>
      </c>
      <c r="AO233" s="43"/>
      <c r="AP233" s="207" t="str">
        <f>IF(L233="","",IF(AND(programma!$A$301="uitwerking",$B233="X"),FM233,IF(FO233=1,"Goed!",IF(L233=FU233,"OK, maar je hebt tussendoor wel de TK al afgerond op hele eurocenten.",IF(FQ233=1,"Je hebt verkeerd afgerond.",IF(FV233=1,"Je hebt verkeerd afgerond.",IF(OR(L233=FW233,L233=FX233),"Je hebt afgerond op hele euro's. Dat mocht niet.",IF(L233=FT233,"Dit is de winst per product ipv de totale winst!","Fout! Heb je wel TO - TK genomen?"))))))))</f>
        <v/>
      </c>
      <c r="AQ233" s="43"/>
      <c r="AR233" s="43"/>
      <c r="AS233" s="43"/>
      <c r="AT233" s="126"/>
      <c r="AU233" s="126"/>
      <c r="AV233" s="126"/>
      <c r="AW233" s="126"/>
      <c r="AX233" s="197"/>
      <c r="AY233" s="43"/>
      <c r="AZ233" s="41"/>
      <c r="BA233" s="41"/>
      <c r="BB233" s="41"/>
      <c r="BC233" s="41"/>
      <c r="BD233" s="42"/>
      <c r="BE233" s="41"/>
      <c r="BF233" s="41"/>
      <c r="BG233" s="41"/>
      <c r="BH233" s="41"/>
      <c r="BI233" s="41"/>
      <c r="CS233" s="43"/>
      <c r="CT233" s="43"/>
      <c r="CU233" s="43"/>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c r="DW233" s="43"/>
      <c r="DX233" s="43"/>
      <c r="DY233" s="79"/>
      <c r="DZ233" s="79"/>
      <c r="EA233" s="79"/>
      <c r="EB233" s="79"/>
      <c r="EC233" s="79"/>
      <c r="ED233" s="79"/>
      <c r="EE233" s="79"/>
      <c r="EF233" s="79"/>
      <c r="EG233" s="79"/>
      <c r="EH233" s="79"/>
      <c r="EI233" s="79"/>
      <c r="EJ233" s="79"/>
      <c r="EK233" s="79"/>
      <c r="EL233" s="79"/>
      <c r="EM233" s="79"/>
      <c r="EN233" s="79"/>
      <c r="EO233" s="79"/>
      <c r="EP233" s="79"/>
      <c r="EQ233" s="79"/>
      <c r="ER233" s="79"/>
      <c r="ES233" s="79"/>
      <c r="ET233" s="79"/>
      <c r="EU233" s="79"/>
      <c r="EV233" s="79"/>
      <c r="EW233" s="79"/>
      <c r="EX233" s="79"/>
      <c r="EY233" s="79"/>
      <c r="EZ233" s="79"/>
      <c r="FA233" s="79"/>
      <c r="FB233" s="79"/>
      <c r="FC233" s="79"/>
      <c r="FD233" s="79"/>
      <c r="FE233" s="79"/>
      <c r="FF233" s="79"/>
      <c r="FG233" s="79"/>
      <c r="FH233" s="79"/>
      <c r="FI233" s="79"/>
      <c r="FJ233" s="79"/>
      <c r="FK233" s="79"/>
      <c r="FL233" s="79"/>
      <c r="FM233" s="48" t="e">
        <f ca="1">"p = -"&amp;1/FP181&amp;" x "&amp;FP226&amp;" + "&amp;FQ181/FP181&amp;" = "&amp;FR233&amp;" dus TO = "&amp;FP226&amp;" x "&amp;FR233&amp;" = "&amp;FP226*FR233&amp;" en TK = "&amp;FT181&amp;" x "&amp;FR233&amp;" + "&amp;FU181&amp;" = "&amp;FT181*FR233-FU181&amp;" dus "&amp;FP233</f>
        <v>#DIV/0!</v>
      </c>
      <c r="FN233" s="47"/>
      <c r="FO233" s="48">
        <f ca="1">IF(programma!B1="X",1,IF(FO226=0,0,IF(L233=FP233,1,0)))</f>
        <v>0</v>
      </c>
      <c r="FP233" s="103" t="e">
        <f ca="1">IF(FO1=0,"",ROUND((-1/FP181*FP226+FQ181/FP181-(FT181+FU181/FP226))*FP226,2))</f>
        <v>#DIV/0!</v>
      </c>
      <c r="FQ233" s="79" t="e">
        <f ca="1">IF(AND(L233&gt;=FP233-0.01000000001,L233&lt;=FP233+0.01000000001),1,0)</f>
        <v>#DIV/0!</v>
      </c>
      <c r="FR233" s="94" t="e">
        <f ca="1">-1/FP181*FP226+FQ181/FP181</f>
        <v>#DIV/0!</v>
      </c>
      <c r="FS233" s="94" t="e">
        <f ca="1">ROUND(FT181+FU181/FP226,2)</f>
        <v>#DIV/0!</v>
      </c>
      <c r="FT233" s="94" t="e">
        <f ca="1">FR233-FS233</f>
        <v>#DIV/0!</v>
      </c>
      <c r="FU233" s="103" t="e">
        <f ca="1">(FR233-FS233)*FP226</f>
        <v>#DIV/0!</v>
      </c>
      <c r="FV233" s="79" t="e">
        <f ca="1">IF(AND(L233&gt;=FU233-1.000000001,L233&lt;=FU233+1.000000001),1,0)</f>
        <v>#DIV/0!</v>
      </c>
      <c r="FW233" s="103" t="e">
        <f ca="1">ROUND((-1/FP181*FP226+FQ181/FP181-(FS181*FP226+FT181+FU181/FP226))*FP226,0)</f>
        <v>#DIV/0!</v>
      </c>
      <c r="FX233" s="103" t="e">
        <f ca="1">ROUND((FR233-FS233)*FP226,0)</f>
        <v>#DIV/0!</v>
      </c>
      <c r="FY233" s="32"/>
      <c r="FZ233" s="32"/>
      <c r="GA233" s="32"/>
      <c r="GB233" s="32"/>
      <c r="GC233" s="32"/>
      <c r="GD233" s="32"/>
      <c r="GE233" s="32"/>
      <c r="GF233" s="32"/>
      <c r="GG233" s="32"/>
      <c r="GH233" s="32"/>
      <c r="GI233" s="32"/>
      <c r="GJ233" s="32"/>
      <c r="GK233" s="32"/>
      <c r="GL233" s="32"/>
      <c r="GM233" s="49"/>
      <c r="GN233" s="49"/>
      <c r="GO233" s="49"/>
      <c r="GP233" s="49"/>
      <c r="GQ233" s="49"/>
      <c r="GR233" s="49"/>
      <c r="GS233" s="49"/>
      <c r="GT233" s="49"/>
      <c r="GU233" s="49"/>
      <c r="GV233" s="49"/>
      <c r="GW233" s="49"/>
      <c r="GX233" s="49"/>
      <c r="GY233" s="49"/>
      <c r="GZ233" s="49"/>
      <c r="HA233" s="49"/>
      <c r="HB233" s="49"/>
      <c r="HC233" s="49"/>
      <c r="HD233" s="49"/>
      <c r="HE233" s="49"/>
      <c r="HF233" s="49"/>
      <c r="HG233" s="49"/>
      <c r="HH233" s="49"/>
      <c r="HI233" s="49"/>
      <c r="HJ233" s="49"/>
      <c r="HK233" s="49"/>
      <c r="HL233" s="49"/>
      <c r="HM233" s="49"/>
      <c r="HN233" s="49"/>
    </row>
    <row r="234" spans="1:222" ht="3.75" customHeight="1">
      <c r="A234" s="1"/>
      <c r="B234" s="3"/>
      <c r="C234" s="3"/>
      <c r="D234" s="38"/>
      <c r="E234" s="126"/>
      <c r="F234" s="126"/>
      <c r="G234" s="126"/>
      <c r="H234" s="126"/>
      <c r="I234" s="10"/>
      <c r="J234" s="10"/>
      <c r="K234" s="538" t="str">
        <f ca="1">IF(FO226=0,"",".")</f>
        <v/>
      </c>
      <c r="L234" s="545"/>
      <c r="M234" s="545"/>
      <c r="N234" s="545"/>
      <c r="O234" s="545"/>
      <c r="P234" s="545"/>
      <c r="Q234" s="545"/>
      <c r="R234" s="545"/>
      <c r="S234" s="545"/>
      <c r="T234" s="545"/>
      <c r="U234" s="545"/>
      <c r="V234" s="545"/>
      <c r="W234" s="545"/>
      <c r="X234" s="545"/>
      <c r="Y234" s="545"/>
      <c r="Z234" s="545"/>
      <c r="AA234" s="545"/>
      <c r="AB234" s="545"/>
      <c r="AC234" s="545"/>
      <c r="AD234" s="545"/>
      <c r="AE234" s="545"/>
      <c r="AF234" s="545"/>
      <c r="AG234" s="545"/>
      <c r="AH234" s="545"/>
      <c r="AI234" s="545"/>
      <c r="AJ234" s="545"/>
      <c r="AK234" s="545"/>
      <c r="AL234" s="545"/>
      <c r="AM234" s="545"/>
      <c r="AN234" s="545"/>
      <c r="AO234" s="43"/>
      <c r="AP234" s="43"/>
      <c r="AQ234" s="43"/>
      <c r="AR234" s="43"/>
      <c r="AS234" s="43"/>
      <c r="AT234" s="126"/>
      <c r="AU234" s="126"/>
      <c r="AV234" s="126"/>
      <c r="AW234" s="126"/>
      <c r="AX234" s="197"/>
      <c r="AY234" s="43"/>
      <c r="AZ234" s="41"/>
      <c r="BA234" s="41"/>
      <c r="BB234" s="41"/>
      <c r="BC234" s="41"/>
      <c r="BD234" s="42"/>
      <c r="BE234" s="41"/>
      <c r="BF234" s="41"/>
      <c r="BG234" s="41"/>
      <c r="BH234" s="41"/>
      <c r="BI234" s="41"/>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79"/>
      <c r="DZ234" s="79"/>
      <c r="EA234" s="79"/>
      <c r="EB234" s="79"/>
      <c r="EC234" s="79"/>
      <c r="ED234" s="79"/>
      <c r="EE234" s="79"/>
      <c r="EF234" s="79"/>
      <c r="EG234" s="79"/>
      <c r="EH234" s="79"/>
      <c r="EI234" s="79"/>
      <c r="EJ234" s="79"/>
      <c r="EK234" s="79"/>
      <c r="EL234" s="79"/>
      <c r="EM234" s="79"/>
      <c r="EN234" s="79"/>
      <c r="EO234" s="79"/>
      <c r="EP234" s="79"/>
      <c r="EQ234" s="79"/>
      <c r="ER234" s="79"/>
      <c r="ES234" s="79"/>
      <c r="ET234" s="79"/>
      <c r="EU234" s="79"/>
      <c r="EV234" s="79"/>
      <c r="EW234" s="79"/>
      <c r="EX234" s="79"/>
      <c r="EY234" s="79"/>
      <c r="EZ234" s="79"/>
      <c r="FA234" s="79"/>
      <c r="FB234" s="79"/>
      <c r="FC234" s="79"/>
      <c r="FD234" s="79"/>
      <c r="FE234" s="79"/>
      <c r="FF234" s="79"/>
      <c r="FG234" s="79"/>
      <c r="FH234" s="79"/>
      <c r="FI234" s="79"/>
      <c r="FJ234" s="79"/>
      <c r="FK234" s="79"/>
      <c r="FL234" s="79"/>
      <c r="FM234" s="47"/>
      <c r="FN234" s="47"/>
      <c r="FO234" s="48"/>
      <c r="FP234" s="47"/>
      <c r="FQ234" s="79"/>
      <c r="FR234" s="47"/>
      <c r="FS234" s="47"/>
      <c r="FT234" s="47"/>
      <c r="FU234" s="47"/>
      <c r="FV234" s="47"/>
      <c r="FW234" s="47"/>
      <c r="FX234" s="47"/>
      <c r="FY234" s="32"/>
      <c r="FZ234" s="32"/>
      <c r="GA234" s="32"/>
      <c r="GB234" s="32"/>
      <c r="GC234" s="32"/>
      <c r="GD234" s="32"/>
      <c r="GE234" s="32"/>
      <c r="GF234" s="32"/>
      <c r="GG234" s="32"/>
      <c r="GH234" s="32"/>
      <c r="GI234" s="32"/>
      <c r="GJ234" s="32"/>
      <c r="GK234" s="32"/>
      <c r="GL234" s="32"/>
      <c r="GM234" s="49"/>
      <c r="GN234" s="49"/>
      <c r="GO234" s="49"/>
      <c r="GP234" s="49"/>
      <c r="GQ234" s="49"/>
      <c r="GR234" s="49"/>
      <c r="GS234" s="49"/>
      <c r="GT234" s="49"/>
      <c r="GU234" s="49"/>
      <c r="GV234" s="49"/>
      <c r="GW234" s="49"/>
      <c r="GX234" s="49"/>
      <c r="GY234" s="49"/>
      <c r="GZ234" s="49"/>
      <c r="HA234" s="49"/>
      <c r="HB234" s="49"/>
      <c r="HC234" s="49"/>
      <c r="HD234" s="49"/>
      <c r="HE234" s="49"/>
      <c r="HF234" s="49"/>
      <c r="HG234" s="49"/>
      <c r="HH234" s="49"/>
      <c r="HI234" s="49"/>
      <c r="HJ234" s="49"/>
      <c r="HK234" s="49"/>
      <c r="HL234" s="49"/>
      <c r="HM234" s="49"/>
      <c r="HN234" s="49"/>
    </row>
    <row r="235" spans="1:222" ht="10.5" customHeight="1">
      <c r="A235" s="1"/>
      <c r="B235" s="3"/>
      <c r="C235" s="3"/>
      <c r="D235" s="38"/>
      <c r="E235" s="126"/>
      <c r="F235" s="126"/>
      <c r="G235" s="126"/>
      <c r="H235" s="126"/>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26"/>
      <c r="AJ235" s="126"/>
      <c r="AK235" s="126"/>
      <c r="AL235" s="126"/>
      <c r="AM235" s="126"/>
      <c r="AN235" s="126"/>
      <c r="AO235" s="126"/>
      <c r="AP235" s="126"/>
      <c r="AQ235" s="126"/>
      <c r="AR235" s="126"/>
      <c r="AS235" s="126"/>
      <c r="AT235" s="126"/>
      <c r="AU235" s="126"/>
      <c r="AV235" s="126"/>
      <c r="AW235" s="126"/>
      <c r="AX235" s="197"/>
      <c r="AY235" s="43"/>
      <c r="AZ235" s="41"/>
      <c r="BA235" s="41"/>
      <c r="BB235" s="41"/>
      <c r="BC235" s="41"/>
      <c r="BD235" s="42"/>
      <c r="BE235" s="41"/>
      <c r="BF235" s="41"/>
      <c r="BG235" s="41"/>
      <c r="BH235" s="41"/>
      <c r="BI235" s="41"/>
      <c r="BJ235" s="41"/>
      <c r="BK235" s="42"/>
      <c r="BL235" s="41"/>
      <c r="BM235" s="41"/>
      <c r="BN235" s="41"/>
      <c r="BO235" s="41"/>
      <c r="BP235" s="41"/>
      <c r="BQ235" s="41"/>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c r="DW235" s="43"/>
      <c r="DX235" s="43"/>
      <c r="DY235" s="79"/>
      <c r="DZ235" s="79"/>
      <c r="EA235" s="79"/>
      <c r="EB235" s="79"/>
      <c r="EC235" s="79"/>
      <c r="ED235" s="79"/>
      <c r="EE235" s="79"/>
      <c r="EF235" s="79"/>
      <c r="EG235" s="79"/>
      <c r="EH235" s="79"/>
      <c r="EI235" s="79"/>
      <c r="EJ235" s="79"/>
      <c r="EK235" s="79"/>
      <c r="EL235" s="79"/>
      <c r="EM235" s="79"/>
      <c r="EN235" s="79"/>
      <c r="EO235" s="79"/>
      <c r="EP235" s="79"/>
      <c r="EQ235" s="79"/>
      <c r="ER235" s="79"/>
      <c r="ES235" s="79"/>
      <c r="ET235" s="79"/>
      <c r="EU235" s="79"/>
      <c r="EV235" s="79"/>
      <c r="EW235" s="79"/>
      <c r="EX235" s="79"/>
      <c r="EY235" s="79"/>
      <c r="EZ235" s="79"/>
      <c r="FA235" s="79"/>
      <c r="FB235" s="79"/>
      <c r="FC235" s="79"/>
      <c r="FD235" s="79"/>
      <c r="FE235" s="79"/>
      <c r="FF235" s="79"/>
      <c r="FG235" s="79"/>
      <c r="FH235" s="79"/>
      <c r="FI235" s="79"/>
      <c r="FJ235" s="79"/>
      <c r="FK235" s="79"/>
      <c r="FL235" s="79"/>
      <c r="FM235" s="47"/>
      <c r="FN235" s="47"/>
      <c r="FO235" s="48"/>
      <c r="FP235" s="47"/>
      <c r="FQ235" s="79"/>
      <c r="FR235" s="47"/>
      <c r="FS235" s="47"/>
      <c r="FT235" s="47"/>
      <c r="FU235" s="47"/>
      <c r="FV235" s="47"/>
      <c r="FW235" s="47"/>
      <c r="FX235" s="47"/>
      <c r="FY235" s="32"/>
      <c r="FZ235" s="32"/>
      <c r="GA235" s="32"/>
      <c r="GB235" s="32"/>
      <c r="GC235" s="32"/>
      <c r="GD235" s="32"/>
      <c r="GE235" s="32"/>
      <c r="GF235" s="32"/>
      <c r="GG235" s="32"/>
      <c r="GH235" s="32"/>
      <c r="GI235" s="32"/>
      <c r="GJ235" s="32"/>
      <c r="GK235" s="32"/>
      <c r="GL235" s="32"/>
      <c r="GM235" s="49"/>
      <c r="GN235" s="49"/>
      <c r="GO235" s="49"/>
      <c r="GP235" s="49"/>
      <c r="GQ235" s="49"/>
      <c r="GR235" s="49"/>
      <c r="GS235" s="49"/>
      <c r="GT235" s="49"/>
      <c r="GU235" s="49"/>
      <c r="GV235" s="49"/>
      <c r="GW235" s="49"/>
      <c r="GX235" s="49"/>
      <c r="GY235" s="49"/>
      <c r="GZ235" s="49"/>
      <c r="HA235" s="49"/>
      <c r="HB235" s="49"/>
      <c r="HC235" s="49"/>
      <c r="HD235" s="49"/>
      <c r="HE235" s="49"/>
      <c r="HF235" s="49"/>
      <c r="HG235" s="49"/>
      <c r="HH235" s="49"/>
      <c r="HI235" s="49"/>
      <c r="HJ235" s="49"/>
      <c r="HK235" s="49"/>
      <c r="HL235" s="49"/>
      <c r="HM235" s="49"/>
      <c r="HN235" s="49"/>
    </row>
    <row r="236" spans="1:222" ht="16.95" customHeight="1">
      <c r="A236" s="1"/>
      <c r="B236" s="3"/>
      <c r="C236" s="3"/>
      <c r="D236" s="373" t="str">
        <f ca="1">IF(FO233=0,"","Je hebt nu zoveel kennis dat je alles in de onderstaande grafiek moet kunnen")</f>
        <v/>
      </c>
      <c r="E236" s="10"/>
      <c r="F236" s="10"/>
      <c r="G236" s="10"/>
      <c r="H236" s="10"/>
      <c r="I236" s="10"/>
      <c r="J236" s="10"/>
      <c r="K236" s="10"/>
      <c r="L236" s="10"/>
      <c r="M236" s="10"/>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c r="BI236" s="79"/>
      <c r="BJ236" s="79"/>
      <c r="BK236" s="79"/>
      <c r="BL236" s="79"/>
      <c r="BM236" s="79"/>
      <c r="BN236" s="79"/>
      <c r="BO236" s="79"/>
      <c r="BP236" s="79"/>
      <c r="BQ236" s="79"/>
      <c r="BR236" s="79"/>
      <c r="BS236" s="79"/>
      <c r="BT236" s="79"/>
      <c r="BU236" s="79"/>
      <c r="BV236" s="79"/>
      <c r="BW236" s="79"/>
      <c r="BX236" s="79"/>
      <c r="BY236" s="79"/>
      <c r="BZ236" s="79"/>
      <c r="CA236" s="79"/>
      <c r="CB236" s="79"/>
      <c r="CC236" s="79"/>
      <c r="CD236" s="79"/>
      <c r="CE236" s="79"/>
      <c r="CF236" s="79"/>
      <c r="CG236" s="79"/>
      <c r="CH236" s="79"/>
      <c r="CI236" s="79"/>
      <c r="CJ236" s="79"/>
      <c r="CK236" s="79"/>
      <c r="CL236" s="79"/>
      <c r="CM236" s="79"/>
      <c r="CN236" s="79"/>
      <c r="CO236" s="79"/>
      <c r="CP236" s="79"/>
      <c r="CQ236" s="79"/>
      <c r="CR236" s="79"/>
      <c r="CS236" s="79"/>
      <c r="CT236" s="79"/>
      <c r="CU236" s="79"/>
      <c r="CV236" s="79"/>
      <c r="CW236" s="79"/>
      <c r="CX236" s="79"/>
      <c r="CY236" s="79"/>
      <c r="CZ236" s="79"/>
      <c r="DA236" s="79"/>
      <c r="DB236" s="79"/>
      <c r="DC236" s="79"/>
      <c r="DD236" s="79"/>
      <c r="DE236" s="79"/>
      <c r="DF236" s="79"/>
      <c r="DG236" s="79"/>
      <c r="DH236" s="79"/>
      <c r="DI236" s="79"/>
      <c r="DJ236" s="79"/>
      <c r="DK236" s="79"/>
      <c r="DL236" s="79"/>
      <c r="DM236" s="79"/>
      <c r="DN236" s="79"/>
      <c r="DO236" s="79"/>
      <c r="DP236" s="79"/>
      <c r="DQ236" s="79"/>
      <c r="DR236" s="79"/>
      <c r="DS236" s="79"/>
      <c r="DT236" s="79"/>
      <c r="DU236" s="79"/>
      <c r="DV236" s="79"/>
      <c r="DW236" s="79"/>
      <c r="DX236" s="79"/>
      <c r="DY236" s="79"/>
      <c r="DZ236" s="79"/>
      <c r="EA236" s="79"/>
      <c r="EB236" s="79"/>
      <c r="EC236" s="79"/>
      <c r="ED236" s="79"/>
      <c r="EE236" s="79"/>
      <c r="EF236" s="79"/>
      <c r="EG236" s="79"/>
      <c r="EH236" s="79"/>
      <c r="EI236" s="79"/>
      <c r="EJ236" s="79"/>
      <c r="EK236" s="79"/>
      <c r="EL236" s="79"/>
      <c r="EM236" s="79"/>
      <c r="EN236" s="79"/>
      <c r="EO236" s="79"/>
      <c r="EP236" s="79"/>
      <c r="EQ236" s="79"/>
      <c r="ER236" s="79"/>
      <c r="ES236" s="79"/>
      <c r="ET236" s="79"/>
      <c r="EU236" s="79"/>
      <c r="EV236" s="79"/>
      <c r="EW236" s="79"/>
      <c r="EX236" s="79"/>
      <c r="EY236" s="79"/>
      <c r="EZ236" s="79"/>
      <c r="FA236" s="79"/>
      <c r="FB236" s="79"/>
      <c r="FC236" s="79"/>
      <c r="FD236" s="79"/>
      <c r="FE236" s="79"/>
      <c r="FF236" s="79"/>
      <c r="FG236" s="79"/>
      <c r="FH236" s="79"/>
      <c r="FI236" s="79"/>
      <c r="FJ236" s="79"/>
      <c r="FK236" s="79"/>
      <c r="FL236" s="79"/>
      <c r="FM236" s="47"/>
      <c r="FN236" s="47"/>
      <c r="FO236" s="47"/>
      <c r="FP236" s="47"/>
      <c r="FQ236" s="47"/>
      <c r="FR236" s="47"/>
      <c r="FS236" s="47"/>
      <c r="FT236" s="47"/>
      <c r="FU236" s="47"/>
      <c r="FV236" s="47"/>
      <c r="FW236" s="47"/>
      <c r="FX236" s="47"/>
      <c r="FY236" s="32"/>
      <c r="FZ236" s="32"/>
      <c r="GA236" s="32"/>
      <c r="GB236" s="32"/>
      <c r="GC236" s="32"/>
      <c r="GD236" s="32"/>
      <c r="GE236" s="32"/>
      <c r="GF236" s="32"/>
      <c r="GG236" s="32"/>
      <c r="GH236" s="32"/>
      <c r="GI236" s="32"/>
      <c r="GJ236" s="32"/>
      <c r="GK236" s="32"/>
      <c r="GL236" s="32"/>
      <c r="GM236" s="49"/>
      <c r="GN236" s="49"/>
      <c r="GO236" s="49"/>
      <c r="GP236" s="49"/>
      <c r="GQ236" s="49"/>
      <c r="GR236" s="49"/>
      <c r="GS236" s="49"/>
      <c r="GT236" s="49"/>
      <c r="GU236" s="49"/>
      <c r="GV236" s="49"/>
      <c r="GW236" s="49"/>
      <c r="GX236" s="49"/>
      <c r="GY236" s="49"/>
      <c r="GZ236" s="49"/>
      <c r="HA236" s="49"/>
      <c r="HB236" s="49"/>
      <c r="HC236" s="49"/>
      <c r="HD236" s="49"/>
      <c r="HE236" s="49"/>
      <c r="HF236" s="49"/>
      <c r="HG236" s="49"/>
      <c r="HH236" s="49"/>
      <c r="HI236" s="49"/>
      <c r="HJ236" s="49"/>
      <c r="HK236" s="49"/>
      <c r="HL236" s="49"/>
      <c r="HM236" s="49"/>
      <c r="HN236" s="49"/>
    </row>
    <row r="237" spans="1:222" ht="16.95" customHeight="1">
      <c r="A237" s="1"/>
      <c r="B237" s="3"/>
      <c r="C237" s="3"/>
      <c r="D237" s="373" t="str">
        <f ca="1">IF(FO233=0,"","thuisbrengen. Met de rode stippellijnen zijn allerlei snijpunten aangegeven. De")</f>
        <v/>
      </c>
      <c r="E237" s="10"/>
      <c r="F237" s="10"/>
      <c r="G237" s="10"/>
      <c r="H237" s="10"/>
      <c r="I237" s="10"/>
      <c r="J237" s="10"/>
      <c r="K237" s="10"/>
      <c r="L237" s="10"/>
      <c r="M237" s="10"/>
      <c r="N237" s="79"/>
      <c r="O237" s="79"/>
      <c r="P237" s="79"/>
      <c r="Q237" s="79"/>
      <c r="R237" s="79"/>
      <c r="S237" s="7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79"/>
      <c r="BA237" s="79"/>
      <c r="BB237" s="79"/>
      <c r="BC237" s="79"/>
      <c r="BD237" s="79"/>
      <c r="BE237" s="79"/>
      <c r="BF237" s="79"/>
      <c r="BG237" s="79"/>
      <c r="BH237" s="79"/>
      <c r="BI237" s="79"/>
      <c r="BJ237" s="79"/>
      <c r="BK237" s="79"/>
      <c r="BL237" s="79"/>
      <c r="BM237" s="79"/>
      <c r="BN237" s="79"/>
      <c r="BO237" s="79"/>
      <c r="BP237" s="79"/>
      <c r="BQ237" s="79"/>
      <c r="BR237" s="79"/>
      <c r="BS237" s="79"/>
      <c r="BT237" s="79"/>
      <c r="BU237" s="79"/>
      <c r="BV237" s="79"/>
      <c r="BW237" s="79"/>
      <c r="BX237" s="79"/>
      <c r="BY237" s="79"/>
      <c r="BZ237" s="79"/>
      <c r="CA237" s="79"/>
      <c r="CB237" s="79"/>
      <c r="CC237" s="79"/>
      <c r="CD237" s="79"/>
      <c r="CE237" s="79"/>
      <c r="CF237" s="79"/>
      <c r="CG237" s="79"/>
      <c r="CH237" s="79"/>
      <c r="CI237" s="79"/>
      <c r="CJ237" s="79"/>
      <c r="CK237" s="79"/>
      <c r="CL237" s="79"/>
      <c r="CM237" s="79"/>
      <c r="CN237" s="79"/>
      <c r="CO237" s="79"/>
      <c r="CP237" s="79"/>
      <c r="CQ237" s="79"/>
      <c r="CR237" s="79"/>
      <c r="CS237" s="79"/>
      <c r="CT237" s="79"/>
      <c r="CU237" s="79"/>
      <c r="CV237" s="79"/>
      <c r="CW237" s="79"/>
      <c r="CX237" s="79"/>
      <c r="CY237" s="79"/>
      <c r="CZ237" s="79"/>
      <c r="DA237" s="79"/>
      <c r="DB237" s="79"/>
      <c r="DC237" s="79"/>
      <c r="DD237" s="79"/>
      <c r="DE237" s="79"/>
      <c r="DF237" s="79"/>
      <c r="DG237" s="79"/>
      <c r="DH237" s="79"/>
      <c r="DI237" s="79"/>
      <c r="DJ237" s="79"/>
      <c r="DK237" s="79"/>
      <c r="DL237" s="79"/>
      <c r="DM237" s="79"/>
      <c r="DN237" s="79"/>
      <c r="DO237" s="79"/>
      <c r="DP237" s="79"/>
      <c r="DQ237" s="79"/>
      <c r="DR237" s="79"/>
      <c r="DS237" s="79"/>
      <c r="DT237" s="79"/>
      <c r="DU237" s="79"/>
      <c r="DV237" s="79"/>
      <c r="DW237" s="79"/>
      <c r="DX237" s="79"/>
      <c r="DY237" s="79"/>
      <c r="DZ237" s="79"/>
      <c r="EA237" s="79"/>
      <c r="EB237" s="79"/>
      <c r="EC237" s="79"/>
      <c r="ED237" s="79"/>
      <c r="EE237" s="79"/>
      <c r="EF237" s="79"/>
      <c r="EG237" s="79"/>
      <c r="EH237" s="79"/>
      <c r="EI237" s="79"/>
      <c r="EJ237" s="79"/>
      <c r="EK237" s="79"/>
      <c r="EL237" s="79"/>
      <c r="EM237" s="79"/>
      <c r="EN237" s="79"/>
      <c r="EO237" s="79"/>
      <c r="EP237" s="79"/>
      <c r="EQ237" s="79"/>
      <c r="ER237" s="79"/>
      <c r="ES237" s="79"/>
      <c r="ET237" s="79"/>
      <c r="EU237" s="79"/>
      <c r="EV237" s="79"/>
      <c r="EW237" s="79"/>
      <c r="EX237" s="79"/>
      <c r="EY237" s="79"/>
      <c r="EZ237" s="79"/>
      <c r="FA237" s="79"/>
      <c r="FB237" s="79"/>
      <c r="FC237" s="79"/>
      <c r="FD237" s="79"/>
      <c r="FE237" s="79"/>
      <c r="FF237" s="79"/>
      <c r="FG237" s="79"/>
      <c r="FH237" s="79"/>
      <c r="FI237" s="79"/>
      <c r="FJ237" s="79"/>
      <c r="FK237" s="79"/>
      <c r="FL237" s="79"/>
      <c r="FM237" s="47"/>
      <c r="FN237" s="47"/>
      <c r="FO237" s="47"/>
      <c r="FP237" s="47"/>
      <c r="FQ237" s="47"/>
      <c r="FR237" s="47"/>
      <c r="FS237" s="47"/>
      <c r="FT237" s="47"/>
      <c r="FU237" s="47"/>
      <c r="FV237" s="47"/>
      <c r="FW237" s="47"/>
      <c r="FX237" s="47"/>
      <c r="FY237" s="32"/>
      <c r="FZ237" s="32"/>
      <c r="GA237" s="32"/>
      <c r="GB237" s="32"/>
      <c r="GC237" s="32"/>
      <c r="GD237" s="32"/>
      <c r="GE237" s="32"/>
      <c r="GF237" s="32"/>
      <c r="GG237" s="32"/>
      <c r="GH237" s="32"/>
      <c r="GI237" s="32"/>
      <c r="GJ237" s="32"/>
      <c r="GK237" s="32"/>
      <c r="GL237" s="32"/>
      <c r="GM237" s="49"/>
      <c r="GN237" s="49"/>
      <c r="GO237" s="49"/>
      <c r="GP237" s="49"/>
      <c r="GQ237" s="49"/>
      <c r="GR237" s="49"/>
      <c r="GS237" s="49"/>
      <c r="GT237" s="49"/>
      <c r="GU237" s="49"/>
      <c r="GV237" s="49"/>
      <c r="GW237" s="49"/>
      <c r="GX237" s="49"/>
      <c r="GY237" s="49"/>
      <c r="GZ237" s="49"/>
      <c r="HA237" s="49"/>
      <c r="HB237" s="49"/>
      <c r="HC237" s="49"/>
      <c r="HD237" s="49"/>
      <c r="HE237" s="49"/>
      <c r="HF237" s="49"/>
      <c r="HG237" s="49"/>
      <c r="HH237" s="49"/>
      <c r="HI237" s="49"/>
      <c r="HJ237" s="49"/>
      <c r="HK237" s="49"/>
      <c r="HL237" s="49"/>
      <c r="HM237" s="49"/>
      <c r="HN237" s="49"/>
    </row>
    <row r="238" spans="1:222" ht="16.95" customHeight="1">
      <c r="A238" s="1"/>
      <c r="B238" s="3"/>
      <c r="C238" s="3"/>
      <c r="D238" s="373" t="str">
        <f ca="1">IF(FO233=0,"","rechtse stippellijn (I) geeft aan bij welke hoeveelheid de maximale productie")</f>
        <v/>
      </c>
      <c r="E238" s="10"/>
      <c r="F238" s="10"/>
      <c r="G238" s="10"/>
      <c r="H238" s="10"/>
      <c r="I238" s="10"/>
      <c r="J238" s="10"/>
      <c r="K238" s="10"/>
      <c r="L238" s="10"/>
      <c r="M238" s="10"/>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79"/>
      <c r="BB238" s="79"/>
      <c r="BC238" s="79"/>
      <c r="BD238" s="79"/>
      <c r="BE238" s="79"/>
      <c r="BF238" s="79"/>
      <c r="BG238" s="79"/>
      <c r="BH238" s="79"/>
      <c r="BI238" s="79"/>
      <c r="BJ238" s="79"/>
      <c r="BK238" s="79"/>
      <c r="BL238" s="79"/>
      <c r="BM238" s="79"/>
      <c r="BN238" s="79"/>
      <c r="BO238" s="79"/>
      <c r="BP238" s="79"/>
      <c r="BQ238" s="79"/>
      <c r="BR238" s="79"/>
      <c r="BS238" s="79"/>
      <c r="BT238" s="79"/>
      <c r="BU238" s="79"/>
      <c r="BV238" s="79"/>
      <c r="BW238" s="79"/>
      <c r="BX238" s="79"/>
      <c r="BY238" s="79"/>
      <c r="BZ238" s="79"/>
      <c r="CA238" s="79"/>
      <c r="CB238" s="79"/>
      <c r="CC238" s="79"/>
      <c r="CD238" s="79"/>
      <c r="CE238" s="79"/>
      <c r="CF238" s="79"/>
      <c r="CG238" s="79"/>
      <c r="CH238" s="79"/>
      <c r="CI238" s="79"/>
      <c r="CJ238" s="79"/>
      <c r="CK238" s="79"/>
      <c r="CL238" s="79"/>
      <c r="CM238" s="79"/>
      <c r="CN238" s="79"/>
      <c r="CO238" s="79"/>
      <c r="CP238" s="79"/>
      <c r="CQ238" s="79"/>
      <c r="CR238" s="79"/>
      <c r="CS238" s="79"/>
      <c r="CT238" s="79"/>
      <c r="CU238" s="79"/>
      <c r="CV238" s="79"/>
      <c r="CW238" s="79"/>
      <c r="CX238" s="79"/>
      <c r="CY238" s="79"/>
      <c r="CZ238" s="79"/>
      <c r="DA238" s="79"/>
      <c r="DB238" s="79"/>
      <c r="DC238" s="79"/>
      <c r="DD238" s="79"/>
      <c r="DE238" s="79"/>
      <c r="DF238" s="79"/>
      <c r="DG238" s="79"/>
      <c r="DH238" s="79"/>
      <c r="DI238" s="79"/>
      <c r="DJ238" s="79"/>
      <c r="DK238" s="79"/>
      <c r="DL238" s="79"/>
      <c r="DM238" s="79"/>
      <c r="DN238" s="79"/>
      <c r="DO238" s="79"/>
      <c r="DP238" s="79"/>
      <c r="DQ238" s="79"/>
      <c r="DR238" s="79"/>
      <c r="DS238" s="79"/>
      <c r="DT238" s="79"/>
      <c r="DU238" s="79"/>
      <c r="DV238" s="79"/>
      <c r="DW238" s="79"/>
      <c r="DX238" s="79"/>
      <c r="DY238" s="79"/>
      <c r="DZ238" s="79"/>
      <c r="EA238" s="79"/>
      <c r="EB238" s="79"/>
      <c r="EC238" s="79"/>
      <c r="ED238" s="79"/>
      <c r="EE238" s="79"/>
      <c r="EF238" s="79"/>
      <c r="EG238" s="79"/>
      <c r="EH238" s="79"/>
      <c r="EI238" s="79"/>
      <c r="EJ238" s="79"/>
      <c r="EK238" s="79"/>
      <c r="EL238" s="79"/>
      <c r="EM238" s="79"/>
      <c r="EN238" s="79"/>
      <c r="EO238" s="79"/>
      <c r="EP238" s="79"/>
      <c r="EQ238" s="79"/>
      <c r="ER238" s="79"/>
      <c r="ES238" s="79"/>
      <c r="ET238" s="79"/>
      <c r="EU238" s="79"/>
      <c r="EV238" s="79"/>
      <c r="EW238" s="79"/>
      <c r="EX238" s="79"/>
      <c r="EY238" s="79"/>
      <c r="EZ238" s="79"/>
      <c r="FA238" s="79"/>
      <c r="FB238" s="79"/>
      <c r="FC238" s="79"/>
      <c r="FD238" s="79"/>
      <c r="FE238" s="79"/>
      <c r="FF238" s="79"/>
      <c r="FG238" s="79"/>
      <c r="FH238" s="79"/>
      <c r="FI238" s="79"/>
      <c r="FJ238" s="79"/>
      <c r="FK238" s="79"/>
      <c r="FL238" s="79"/>
      <c r="FM238" s="47"/>
      <c r="FN238" s="47"/>
      <c r="FO238" s="47"/>
      <c r="FP238" s="47"/>
      <c r="FQ238" s="47"/>
      <c r="FR238" s="47"/>
      <c r="FS238" s="47"/>
      <c r="FT238" s="47"/>
      <c r="FU238" s="47"/>
      <c r="FV238" s="47"/>
      <c r="FW238" s="47"/>
      <c r="FX238" s="47"/>
      <c r="FY238" s="32"/>
      <c r="FZ238" s="32"/>
      <c r="GA238" s="32"/>
      <c r="GB238" s="32"/>
      <c r="GC238" s="32"/>
      <c r="GD238" s="32"/>
      <c r="GE238" s="32"/>
      <c r="GF238" s="32"/>
      <c r="GG238" s="32"/>
      <c r="GH238" s="32"/>
      <c r="GI238" s="32"/>
      <c r="GJ238" s="32"/>
      <c r="GK238" s="32"/>
      <c r="GL238" s="32"/>
      <c r="GM238" s="49"/>
      <c r="GN238" s="49"/>
      <c r="GO238" s="49"/>
      <c r="GP238" s="49"/>
      <c r="GQ238" s="49"/>
      <c r="GR238" s="49"/>
      <c r="GS238" s="49"/>
      <c r="GT238" s="49"/>
      <c r="GU238" s="49"/>
      <c r="GV238" s="49"/>
      <c r="GW238" s="49"/>
      <c r="GX238" s="49"/>
      <c r="GY238" s="49"/>
      <c r="GZ238" s="49"/>
      <c r="HA238" s="49"/>
      <c r="HB238" s="49"/>
      <c r="HC238" s="49"/>
      <c r="HD238" s="49"/>
      <c r="HE238" s="49"/>
      <c r="HF238" s="49"/>
      <c r="HG238" s="49"/>
      <c r="HH238" s="49"/>
      <c r="HI238" s="49"/>
      <c r="HJ238" s="49"/>
      <c r="HK238" s="49"/>
      <c r="HL238" s="49"/>
      <c r="HM238" s="49"/>
      <c r="HN238" s="49"/>
    </row>
    <row r="239" spans="1:222" ht="16.95" customHeight="1">
      <c r="A239" s="1"/>
      <c r="B239" s="3"/>
      <c r="C239" s="3"/>
      <c r="D239" s="373" t="str">
        <f ca="1">IF(FO233=0,"","ligt. Je moet met behulp van de letter die bij de rode stippellijn staat, welke")</f>
        <v/>
      </c>
      <c r="E239" s="10"/>
      <c r="F239" s="10"/>
      <c r="G239" s="10"/>
      <c r="H239" s="10"/>
      <c r="I239" s="10"/>
      <c r="J239" s="10"/>
      <c r="K239" s="10"/>
      <c r="L239" s="10"/>
      <c r="M239" s="10"/>
      <c r="N239" s="79"/>
      <c r="O239" s="79"/>
      <c r="P239" s="79"/>
      <c r="Q239" s="79"/>
      <c r="R239" s="79"/>
      <c r="S239" s="7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79"/>
      <c r="BF239" s="79"/>
      <c r="BG239" s="79"/>
      <c r="BH239" s="79"/>
      <c r="BI239" s="79"/>
      <c r="BJ239" s="79"/>
      <c r="BK239" s="79"/>
      <c r="BL239" s="79"/>
      <c r="BM239" s="79"/>
      <c r="BN239" s="79"/>
      <c r="BO239" s="79"/>
      <c r="BP239" s="79"/>
      <c r="BQ239" s="79"/>
      <c r="BR239" s="79"/>
      <c r="BS239" s="79"/>
      <c r="BT239" s="79"/>
      <c r="BU239" s="79"/>
      <c r="BV239" s="79"/>
      <c r="BW239" s="79"/>
      <c r="BX239" s="79"/>
      <c r="BY239" s="79"/>
      <c r="BZ239" s="79"/>
      <c r="CA239" s="79"/>
      <c r="CB239" s="79"/>
      <c r="CC239" s="79"/>
      <c r="CD239" s="79"/>
      <c r="CE239" s="79"/>
      <c r="CF239" s="79"/>
      <c r="CG239" s="79"/>
      <c r="CH239" s="79"/>
      <c r="CI239" s="79"/>
      <c r="CJ239" s="79"/>
      <c r="CK239" s="79"/>
      <c r="CL239" s="79"/>
      <c r="CM239" s="79"/>
      <c r="CN239" s="79"/>
      <c r="CO239" s="79"/>
      <c r="CP239" s="79"/>
      <c r="CQ239" s="79"/>
      <c r="CR239" s="79"/>
      <c r="CS239" s="79"/>
      <c r="CT239" s="79"/>
      <c r="CU239" s="79"/>
      <c r="CV239" s="79"/>
      <c r="CW239" s="79"/>
      <c r="CX239" s="79"/>
      <c r="CY239" s="79"/>
      <c r="CZ239" s="79"/>
      <c r="DA239" s="79"/>
      <c r="DB239" s="79"/>
      <c r="DC239" s="79"/>
      <c r="DD239" s="79"/>
      <c r="DE239" s="79"/>
      <c r="DF239" s="79"/>
      <c r="DG239" s="79"/>
      <c r="DH239" s="79"/>
      <c r="DI239" s="79"/>
      <c r="DJ239" s="79"/>
      <c r="DK239" s="79"/>
      <c r="DL239" s="79"/>
      <c r="DM239" s="79"/>
      <c r="DN239" s="79"/>
      <c r="DO239" s="79"/>
      <c r="DP239" s="79"/>
      <c r="DQ239" s="79"/>
      <c r="DR239" s="79"/>
      <c r="DS239" s="79"/>
      <c r="DT239" s="79"/>
      <c r="DU239" s="79"/>
      <c r="DV239" s="79"/>
      <c r="DW239" s="79"/>
      <c r="DX239" s="79"/>
      <c r="DY239" s="79"/>
      <c r="DZ239" s="79"/>
      <c r="EA239" s="79"/>
      <c r="EB239" s="79"/>
      <c r="EC239" s="79"/>
      <c r="ED239" s="79"/>
      <c r="EE239" s="79"/>
      <c r="EF239" s="79"/>
      <c r="EG239" s="79"/>
      <c r="EH239" s="79"/>
      <c r="EI239" s="79"/>
      <c r="EJ239" s="79"/>
      <c r="EK239" s="79"/>
      <c r="EL239" s="79"/>
      <c r="EM239" s="79"/>
      <c r="EN239" s="79"/>
      <c r="EO239" s="79"/>
      <c r="EP239" s="79"/>
      <c r="EQ239" s="79"/>
      <c r="ER239" s="79"/>
      <c r="ES239" s="79"/>
      <c r="ET239" s="79"/>
      <c r="EU239" s="79"/>
      <c r="EV239" s="79"/>
      <c r="EW239" s="79"/>
      <c r="EX239" s="79"/>
      <c r="EY239" s="79"/>
      <c r="EZ239" s="79"/>
      <c r="FA239" s="79"/>
      <c r="FB239" s="79"/>
      <c r="FC239" s="79"/>
      <c r="FD239" s="79"/>
      <c r="FE239" s="79"/>
      <c r="FF239" s="79"/>
      <c r="FG239" s="79"/>
      <c r="FH239" s="79"/>
      <c r="FI239" s="79"/>
      <c r="FJ239" s="79"/>
      <c r="FK239" s="79"/>
      <c r="FL239" s="79"/>
      <c r="FM239" s="47"/>
      <c r="FN239" s="47"/>
      <c r="FO239" s="47"/>
      <c r="FP239" s="47"/>
      <c r="FQ239" s="47"/>
      <c r="FR239" s="47"/>
      <c r="FS239" s="47"/>
      <c r="FT239" s="47"/>
      <c r="FU239" s="47"/>
      <c r="FV239" s="47"/>
      <c r="FW239" s="47"/>
      <c r="FX239" s="47"/>
      <c r="FY239" s="32"/>
      <c r="FZ239" s="32"/>
      <c r="GA239" s="32"/>
      <c r="GB239" s="32"/>
      <c r="GC239" s="32"/>
      <c r="GD239" s="32"/>
      <c r="GE239" s="32"/>
      <c r="GF239" s="32"/>
      <c r="GG239" s="32"/>
      <c r="GH239" s="32"/>
      <c r="GI239" s="32"/>
      <c r="GJ239" s="32"/>
      <c r="GK239" s="32"/>
      <c r="GL239" s="32"/>
      <c r="GM239" s="49"/>
      <c r="GN239" s="49"/>
      <c r="GO239" s="49"/>
      <c r="GP239" s="49"/>
      <c r="GQ239" s="49"/>
      <c r="GR239" s="49"/>
      <c r="GS239" s="49"/>
      <c r="GT239" s="49"/>
      <c r="GU239" s="49"/>
      <c r="GV239" s="49"/>
      <c r="GW239" s="49"/>
      <c r="GX239" s="49"/>
      <c r="GY239" s="49"/>
      <c r="GZ239" s="49"/>
      <c r="HA239" s="49"/>
      <c r="HB239" s="49"/>
      <c r="HC239" s="49"/>
      <c r="HD239" s="49"/>
      <c r="HE239" s="49"/>
      <c r="HF239" s="49"/>
      <c r="HG239" s="49"/>
      <c r="HH239" s="49"/>
      <c r="HI239" s="49"/>
      <c r="HJ239" s="49"/>
      <c r="HK239" s="49"/>
      <c r="HL239" s="49"/>
      <c r="HM239" s="49"/>
      <c r="HN239" s="49"/>
    </row>
    <row r="240" spans="1:222" ht="16.95" customHeight="1">
      <c r="A240" s="1"/>
      <c r="B240" s="3"/>
      <c r="C240" s="3"/>
      <c r="D240" s="373" t="str">
        <f ca="1">IF(FO233=0,"","stippellijn ligt bij de aangegeven hoeveelheid. Je krijgt pas te zien hoe je het")</f>
        <v/>
      </c>
      <c r="E240" s="10"/>
      <c r="F240" s="10"/>
      <c r="G240" s="10"/>
      <c r="H240" s="10"/>
      <c r="I240" s="10"/>
      <c r="J240" s="10"/>
      <c r="K240" s="10"/>
      <c r="L240" s="10"/>
      <c r="M240" s="10"/>
      <c r="N240" s="79"/>
      <c r="O240" s="79"/>
      <c r="P240" s="79"/>
      <c r="Q240" s="79"/>
      <c r="R240" s="79"/>
      <c r="S240" s="7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79"/>
      <c r="BF240" s="79"/>
      <c r="BG240" s="79"/>
      <c r="BH240" s="79"/>
      <c r="BI240" s="79"/>
      <c r="BJ240" s="79"/>
      <c r="BK240" s="79"/>
      <c r="BL240" s="79"/>
      <c r="BM240" s="79"/>
      <c r="BN240" s="79"/>
      <c r="BO240" s="79"/>
      <c r="BP240" s="79"/>
      <c r="BQ240" s="79"/>
      <c r="BR240" s="79"/>
      <c r="BS240" s="79"/>
      <c r="BT240" s="79"/>
      <c r="BU240" s="79"/>
      <c r="BV240" s="79"/>
      <c r="BW240" s="79"/>
      <c r="BX240" s="79"/>
      <c r="BY240" s="79"/>
      <c r="BZ240" s="79"/>
      <c r="CA240" s="79"/>
      <c r="CB240" s="79"/>
      <c r="CC240" s="79"/>
      <c r="CD240" s="79"/>
      <c r="CE240" s="79"/>
      <c r="CF240" s="79"/>
      <c r="CG240" s="79"/>
      <c r="CH240" s="79"/>
      <c r="CI240" s="79"/>
      <c r="CJ240" s="79"/>
      <c r="CK240" s="79"/>
      <c r="CL240" s="79"/>
      <c r="CM240" s="79"/>
      <c r="CN240" s="79"/>
      <c r="CO240" s="79"/>
      <c r="CP240" s="79"/>
      <c r="CQ240" s="79"/>
      <c r="CR240" s="79"/>
      <c r="CS240" s="79"/>
      <c r="CT240" s="79"/>
      <c r="CU240" s="79"/>
      <c r="CV240" s="79"/>
      <c r="CW240" s="79"/>
      <c r="CX240" s="79"/>
      <c r="CY240" s="79"/>
      <c r="CZ240" s="79"/>
      <c r="DA240" s="79"/>
      <c r="DB240" s="79"/>
      <c r="DC240" s="79"/>
      <c r="DD240" s="79"/>
      <c r="DE240" s="79"/>
      <c r="DF240" s="79"/>
      <c r="DG240" s="79"/>
      <c r="DH240" s="79"/>
      <c r="DI240" s="79"/>
      <c r="DJ240" s="79"/>
      <c r="DK240" s="79"/>
      <c r="DL240" s="79"/>
      <c r="DM240" s="79"/>
      <c r="DN240" s="79"/>
      <c r="DO240" s="79"/>
      <c r="DP240" s="79"/>
      <c r="DQ240" s="79"/>
      <c r="DR240" s="79"/>
      <c r="DS240" s="79"/>
      <c r="DT240" s="79"/>
      <c r="DU240" s="79"/>
      <c r="DV240" s="79"/>
      <c r="DW240" s="79"/>
      <c r="DX240" s="79"/>
      <c r="DY240" s="79"/>
      <c r="DZ240" s="79"/>
      <c r="EA240" s="79"/>
      <c r="EB240" s="79"/>
      <c r="EC240" s="79"/>
      <c r="ED240" s="79"/>
      <c r="EE240" s="79"/>
      <c r="EF240" s="79"/>
      <c r="EG240" s="79"/>
      <c r="EH240" s="79"/>
      <c r="EI240" s="79"/>
      <c r="EJ240" s="79"/>
      <c r="EK240" s="79"/>
      <c r="EL240" s="79"/>
      <c r="EM240" s="79"/>
      <c r="EN240" s="79"/>
      <c r="EO240" s="79"/>
      <c r="EP240" s="79"/>
      <c r="EQ240" s="79"/>
      <c r="ER240" s="79"/>
      <c r="ES240" s="79"/>
      <c r="ET240" s="79"/>
      <c r="EU240" s="79"/>
      <c r="EV240" s="79"/>
      <c r="EW240" s="79"/>
      <c r="EX240" s="79"/>
      <c r="EY240" s="79"/>
      <c r="EZ240" s="79"/>
      <c r="FA240" s="79"/>
      <c r="FB240" s="79"/>
      <c r="FC240" s="79"/>
      <c r="FD240" s="79"/>
      <c r="FE240" s="79"/>
      <c r="FF240" s="79"/>
      <c r="FG240" s="79"/>
      <c r="FH240" s="79"/>
      <c r="FI240" s="79"/>
      <c r="FJ240" s="79"/>
      <c r="FK240" s="79"/>
      <c r="FL240" s="79"/>
      <c r="FM240" s="47"/>
      <c r="FN240" s="47"/>
      <c r="FO240" s="47"/>
      <c r="FP240" s="47"/>
      <c r="FQ240" s="47"/>
      <c r="FR240" s="47"/>
      <c r="FS240" s="47"/>
      <c r="FT240" s="47"/>
      <c r="FU240" s="47"/>
      <c r="FV240" s="47"/>
      <c r="FW240" s="47"/>
      <c r="FX240" s="47"/>
      <c r="FY240" s="32"/>
      <c r="FZ240" s="32"/>
      <c r="GA240" s="32"/>
      <c r="GB240" s="32"/>
      <c r="GC240" s="32"/>
      <c r="GD240" s="32"/>
      <c r="GE240" s="32"/>
      <c r="GF240" s="32"/>
      <c r="GG240" s="32"/>
      <c r="GH240" s="32"/>
      <c r="GI240" s="32"/>
      <c r="GJ240" s="32"/>
      <c r="GK240" s="32"/>
      <c r="GL240" s="32"/>
      <c r="GM240" s="49"/>
      <c r="GN240" s="49"/>
      <c r="GO240" s="49"/>
      <c r="GP240" s="49"/>
      <c r="GQ240" s="49"/>
      <c r="GR240" s="49"/>
      <c r="GS240" s="49"/>
      <c r="GT240" s="49"/>
      <c r="GU240" s="49"/>
      <c r="GV240" s="49"/>
      <c r="GW240" s="49"/>
      <c r="GX240" s="49"/>
      <c r="GY240" s="49"/>
      <c r="GZ240" s="49"/>
      <c r="HA240" s="49"/>
      <c r="HB240" s="49"/>
      <c r="HC240" s="49"/>
      <c r="HD240" s="49"/>
      <c r="HE240" s="49"/>
      <c r="HF240" s="49"/>
      <c r="HG240" s="49"/>
      <c r="HH240" s="49"/>
      <c r="HI240" s="49"/>
      <c r="HJ240" s="49"/>
      <c r="HK240" s="49"/>
      <c r="HL240" s="49"/>
      <c r="HM240" s="49"/>
      <c r="HN240" s="49"/>
    </row>
    <row r="241" spans="1:222" ht="16.95" customHeight="1">
      <c r="A241" s="1"/>
      <c r="B241" s="3"/>
      <c r="C241" s="3"/>
      <c r="D241" s="373" t="str">
        <f ca="1">IF(FO233=0,"","hebt gedaan als je alles hebt ingevuld.")</f>
        <v/>
      </c>
      <c r="E241" s="10"/>
      <c r="F241" s="10"/>
      <c r="G241" s="10"/>
      <c r="H241" s="10"/>
      <c r="I241" s="10"/>
      <c r="J241" s="10"/>
      <c r="K241" s="10"/>
      <c r="L241" s="10"/>
      <c r="M241" s="10"/>
      <c r="N241" s="79"/>
      <c r="O241" s="79"/>
      <c r="P241" s="79"/>
      <c r="Q241" s="79"/>
      <c r="R241" s="79"/>
      <c r="S241" s="7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79"/>
      <c r="BF241" s="79"/>
      <c r="BG241" s="79"/>
      <c r="BH241" s="79"/>
      <c r="BI241" s="79"/>
      <c r="BJ241" s="79"/>
      <c r="BK241" s="79"/>
      <c r="BL241" s="79"/>
      <c r="BM241" s="79"/>
      <c r="BN241" s="79"/>
      <c r="BO241" s="79"/>
      <c r="BP241" s="79"/>
      <c r="BQ241" s="79"/>
      <c r="BR241" s="79"/>
      <c r="BS241" s="79"/>
      <c r="BT241" s="79"/>
      <c r="BU241" s="79"/>
      <c r="BV241" s="79"/>
      <c r="BW241" s="79"/>
      <c r="BX241" s="79"/>
      <c r="BY241" s="79"/>
      <c r="BZ241" s="79"/>
      <c r="CA241" s="79"/>
      <c r="CB241" s="79"/>
      <c r="CC241" s="79"/>
      <c r="CD241" s="79"/>
      <c r="CE241" s="79"/>
      <c r="CF241" s="79"/>
      <c r="CG241" s="79"/>
      <c r="CH241" s="79"/>
      <c r="CI241" s="79"/>
      <c r="CJ241" s="79"/>
      <c r="CK241" s="79"/>
      <c r="CL241" s="79"/>
      <c r="CM241" s="79"/>
      <c r="CN241" s="79"/>
      <c r="CO241" s="79"/>
      <c r="CP241" s="79"/>
      <c r="CQ241" s="79"/>
      <c r="CR241" s="79"/>
      <c r="CS241" s="79"/>
      <c r="CT241" s="79"/>
      <c r="CU241" s="79"/>
      <c r="CV241" s="79"/>
      <c r="CW241" s="79"/>
      <c r="CX241" s="79"/>
      <c r="CY241" s="79"/>
      <c r="CZ241" s="79"/>
      <c r="DA241" s="79"/>
      <c r="DB241" s="79"/>
      <c r="DC241" s="79"/>
      <c r="DD241" s="79"/>
      <c r="DE241" s="79"/>
      <c r="DF241" s="79"/>
      <c r="DG241" s="79"/>
      <c r="DH241" s="79"/>
      <c r="DI241" s="79"/>
      <c r="DJ241" s="79"/>
      <c r="DK241" s="79"/>
      <c r="DL241" s="79"/>
      <c r="DM241" s="79"/>
      <c r="DN241" s="79"/>
      <c r="DO241" s="79"/>
      <c r="DP241" s="79"/>
      <c r="DQ241" s="79"/>
      <c r="DR241" s="79"/>
      <c r="DS241" s="79"/>
      <c r="DT241" s="79"/>
      <c r="DU241" s="79"/>
      <c r="DV241" s="79"/>
      <c r="DW241" s="79"/>
      <c r="DX241" s="79"/>
      <c r="DY241" s="79"/>
      <c r="DZ241" s="79"/>
      <c r="EA241" s="79"/>
      <c r="EB241" s="79"/>
      <c r="EC241" s="79"/>
      <c r="ED241" s="79"/>
      <c r="EE241" s="79"/>
      <c r="EF241" s="79"/>
      <c r="EG241" s="79"/>
      <c r="EH241" s="79"/>
      <c r="EI241" s="79"/>
      <c r="EJ241" s="79"/>
      <c r="EK241" s="79"/>
      <c r="EL241" s="79"/>
      <c r="EM241" s="79"/>
      <c r="EN241" s="79"/>
      <c r="EO241" s="79"/>
      <c r="EP241" s="79"/>
      <c r="EQ241" s="79"/>
      <c r="ER241" s="79"/>
      <c r="ES241" s="79"/>
      <c r="ET241" s="79"/>
      <c r="EU241" s="79"/>
      <c r="EV241" s="79"/>
      <c r="EW241" s="79"/>
      <c r="EX241" s="79"/>
      <c r="EY241" s="79"/>
      <c r="EZ241" s="79"/>
      <c r="FA241" s="79"/>
      <c r="FB241" s="79"/>
      <c r="FC241" s="79"/>
      <c r="FD241" s="79"/>
      <c r="FE241" s="79"/>
      <c r="FF241" s="79"/>
      <c r="FG241" s="79"/>
      <c r="FH241" s="79"/>
      <c r="FI241" s="79"/>
      <c r="FJ241" s="79"/>
      <c r="FK241" s="79"/>
      <c r="FL241" s="79"/>
      <c r="FM241" s="47"/>
      <c r="FN241" s="47"/>
      <c r="FO241" s="47"/>
      <c r="FP241" s="47"/>
      <c r="FQ241" s="47"/>
      <c r="FR241" s="47"/>
      <c r="FS241" s="47"/>
      <c r="FT241" s="47"/>
      <c r="FU241" s="47"/>
      <c r="FV241" s="47"/>
      <c r="FW241" s="47"/>
      <c r="FX241" s="47"/>
      <c r="FY241" s="32"/>
      <c r="FZ241" s="32"/>
      <c r="GA241" s="32"/>
      <c r="GB241" s="32"/>
      <c r="GC241" s="32"/>
      <c r="GD241" s="32"/>
      <c r="GE241" s="32"/>
      <c r="GF241" s="32"/>
      <c r="GG241" s="32"/>
      <c r="GH241" s="32"/>
      <c r="GI241" s="32"/>
      <c r="GJ241" s="32"/>
      <c r="GK241" s="32"/>
      <c r="GL241" s="32"/>
      <c r="GM241" s="49"/>
      <c r="GN241" s="49"/>
      <c r="GO241" s="49"/>
      <c r="GP241" s="49"/>
      <c r="GQ241" s="49"/>
      <c r="GR241" s="49"/>
      <c r="GS241" s="49"/>
      <c r="GT241" s="49"/>
      <c r="GU241" s="49"/>
      <c r="GV241" s="49"/>
      <c r="GW241" s="49"/>
      <c r="GX241" s="49"/>
      <c r="GY241" s="49"/>
      <c r="GZ241" s="49"/>
      <c r="HA241" s="49"/>
      <c r="HB241" s="49"/>
      <c r="HC241" s="49"/>
      <c r="HD241" s="49"/>
      <c r="HE241" s="49"/>
      <c r="HF241" s="49"/>
      <c r="HG241" s="49"/>
      <c r="HH241" s="49"/>
      <c r="HI241" s="49"/>
      <c r="HJ241" s="49"/>
      <c r="HK241" s="49"/>
      <c r="HL241" s="49"/>
      <c r="HM241" s="49"/>
      <c r="HN241" s="49"/>
    </row>
    <row r="242" spans="1:222" ht="16.5" customHeight="1">
      <c r="A242" s="1"/>
      <c r="B242" s="3"/>
      <c r="C242" s="3"/>
      <c r="D242" s="701" t="str">
        <f ca="1">IF(FO233=0,"`","")</f>
        <v>`</v>
      </c>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532"/>
      <c r="AN242" s="532"/>
      <c r="AO242" s="532"/>
      <c r="AP242" s="532"/>
      <c r="AQ242" s="532"/>
      <c r="AR242" s="532"/>
      <c r="AS242" s="532"/>
      <c r="AT242" s="532"/>
      <c r="AU242" s="532"/>
      <c r="AV242" s="532"/>
      <c r="AW242" s="532"/>
      <c r="AX242" s="532"/>
      <c r="AY242" s="532"/>
      <c r="AZ242" s="532"/>
      <c r="BA242" s="532"/>
      <c r="BB242" s="532"/>
      <c r="BC242" s="532"/>
      <c r="BD242" s="532"/>
      <c r="BE242" s="532"/>
      <c r="BF242" s="532"/>
      <c r="BG242" s="532"/>
      <c r="BH242" s="532"/>
      <c r="BI242" s="532"/>
      <c r="BJ242" s="532"/>
      <c r="BK242" s="532"/>
      <c r="BL242" s="532"/>
      <c r="BM242" s="532"/>
      <c r="BN242" s="532"/>
      <c r="BO242" s="532"/>
      <c r="BP242" s="532"/>
      <c r="BQ242" s="532"/>
      <c r="BR242" s="532"/>
      <c r="BS242" s="532"/>
      <c r="BT242" s="532"/>
      <c r="BU242" s="532"/>
      <c r="BV242" s="532"/>
      <c r="BW242" s="532"/>
      <c r="BX242" s="532"/>
      <c r="BY242" s="532"/>
      <c r="BZ242" s="532"/>
      <c r="CA242" s="532"/>
      <c r="CB242" s="532"/>
      <c r="CC242" s="532"/>
      <c r="CD242" s="532"/>
      <c r="CE242" s="532"/>
      <c r="CF242" s="532"/>
      <c r="CG242" s="532"/>
      <c r="CH242" s="532"/>
      <c r="CI242" s="532"/>
      <c r="CJ242" s="532"/>
      <c r="CK242" s="532"/>
      <c r="CL242" s="532"/>
      <c r="CM242" s="532"/>
      <c r="CN242" s="532"/>
      <c r="CO242" s="532"/>
      <c r="CP242" s="532"/>
      <c r="CQ242" s="532"/>
      <c r="CR242" s="532"/>
      <c r="CS242" s="532"/>
      <c r="CT242" s="532"/>
      <c r="CU242" s="532"/>
      <c r="CV242" s="532"/>
      <c r="CW242" s="532"/>
      <c r="CX242" s="532"/>
      <c r="CY242" s="532"/>
      <c r="CZ242" s="532"/>
      <c r="DA242" s="532"/>
      <c r="DB242" s="532"/>
      <c r="DC242" s="532"/>
      <c r="DD242" s="532"/>
      <c r="DE242" s="532"/>
      <c r="DF242" s="532"/>
      <c r="DG242" s="532"/>
      <c r="DH242" s="532"/>
      <c r="DI242" s="532"/>
      <c r="DJ242" s="532"/>
      <c r="DK242" s="532"/>
      <c r="DL242" s="126"/>
      <c r="DM242" s="126"/>
      <c r="DN242" s="126"/>
      <c r="DO242" s="126"/>
      <c r="DP242" s="126"/>
      <c r="DQ242" s="126"/>
      <c r="DR242" s="126"/>
      <c r="DS242" s="126"/>
      <c r="DT242" s="126"/>
      <c r="DU242" s="126"/>
      <c r="DV242" s="126"/>
      <c r="DW242" s="126"/>
      <c r="DX242" s="126"/>
      <c r="DY242" s="126"/>
      <c r="DZ242" s="126"/>
      <c r="EA242" s="126"/>
      <c r="EB242" s="126"/>
      <c r="EC242" s="126"/>
      <c r="ED242" s="126"/>
      <c r="EE242" s="126"/>
      <c r="EF242" s="126"/>
      <c r="EG242" s="126"/>
      <c r="EH242" s="126"/>
      <c r="EI242" s="126"/>
      <c r="EJ242" s="126"/>
      <c r="EK242" s="126"/>
      <c r="EL242" s="126"/>
      <c r="EM242" s="126"/>
      <c r="EN242" s="126"/>
      <c r="EO242" s="126"/>
      <c r="EP242" s="126"/>
      <c r="EQ242" s="126"/>
      <c r="ER242" s="126"/>
      <c r="ES242" s="126"/>
      <c r="ET242" s="126"/>
      <c r="EU242" s="126"/>
      <c r="EV242" s="126"/>
      <c r="EW242" s="126"/>
      <c r="EX242" s="126"/>
      <c r="EY242" s="126"/>
      <c r="EZ242" s="126"/>
      <c r="FA242" s="43"/>
      <c r="FB242" s="43"/>
      <c r="FC242" s="43"/>
      <c r="FD242" s="43"/>
      <c r="FE242" s="43"/>
      <c r="FF242" s="43"/>
      <c r="FG242" s="43"/>
      <c r="FH242" s="43"/>
      <c r="FI242" s="79"/>
      <c r="FJ242" s="79"/>
      <c r="FK242" s="79"/>
      <c r="FL242" s="79"/>
      <c r="FM242" s="338"/>
      <c r="FN242" s="78"/>
      <c r="FO242" s="78"/>
      <c r="FP242" s="78"/>
      <c r="FQ242" s="78"/>
      <c r="FR242" s="78"/>
      <c r="FS242" s="47"/>
      <c r="FT242" s="47"/>
      <c r="FU242" s="47"/>
      <c r="FV242" s="47"/>
      <c r="FW242" s="47"/>
      <c r="FX242" s="47"/>
      <c r="FY242" s="32"/>
      <c r="FZ242" s="32"/>
      <c r="GA242" s="32"/>
      <c r="GB242" s="32"/>
      <c r="GC242" s="32"/>
      <c r="GD242" s="32"/>
      <c r="GE242" s="32"/>
      <c r="GF242" s="32"/>
      <c r="GG242" s="32"/>
      <c r="GH242" s="32"/>
      <c r="GI242" s="32"/>
      <c r="GJ242" s="32"/>
      <c r="GK242" s="32"/>
      <c r="GL242" s="32"/>
      <c r="GM242" s="49"/>
      <c r="GN242" s="49"/>
      <c r="GO242" s="49"/>
      <c r="GP242" s="49"/>
      <c r="GQ242" s="49"/>
      <c r="GR242" s="49"/>
      <c r="GS242" s="49"/>
      <c r="GT242" s="49"/>
      <c r="GU242" s="49"/>
      <c r="GV242" s="49"/>
      <c r="GW242" s="49"/>
      <c r="GX242" s="49"/>
      <c r="GY242" s="49"/>
      <c r="GZ242" s="49"/>
      <c r="HA242" s="49"/>
      <c r="HB242" s="49"/>
      <c r="HC242" s="49"/>
      <c r="HD242" s="49"/>
      <c r="HE242" s="49"/>
      <c r="HF242" s="49"/>
      <c r="HG242" s="49"/>
      <c r="HH242" s="49"/>
      <c r="HI242" s="49"/>
      <c r="HJ242" s="49"/>
      <c r="HK242" s="49"/>
      <c r="HL242" s="49"/>
      <c r="HM242" s="49"/>
      <c r="HN242" s="49"/>
    </row>
    <row r="243" spans="1:222" ht="16.5" customHeight="1">
      <c r="A243" s="1"/>
      <c r="B243" s="3"/>
      <c r="C243" s="3"/>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532"/>
      <c r="AN243" s="532"/>
      <c r="AO243" s="532"/>
      <c r="AP243" s="532"/>
      <c r="AQ243" s="532"/>
      <c r="AR243" s="532"/>
      <c r="AS243" s="532"/>
      <c r="AT243" s="532"/>
      <c r="AU243" s="532"/>
      <c r="AV243" s="532"/>
      <c r="AW243" s="532"/>
      <c r="AX243" s="532"/>
      <c r="AY243" s="532"/>
      <c r="AZ243" s="532"/>
      <c r="BA243" s="532"/>
      <c r="BB243" s="532"/>
      <c r="BC243" s="532"/>
      <c r="BD243" s="532"/>
      <c r="BE243" s="532"/>
      <c r="BF243" s="532"/>
      <c r="BG243" s="532"/>
      <c r="BH243" s="532"/>
      <c r="BI243" s="532"/>
      <c r="BJ243" s="532"/>
      <c r="BK243" s="532"/>
      <c r="BL243" s="532"/>
      <c r="BM243" s="532"/>
      <c r="BN243" s="532"/>
      <c r="BO243" s="532"/>
      <c r="BP243" s="532"/>
      <c r="BQ243" s="532"/>
      <c r="BR243" s="532"/>
      <c r="BS243" s="532"/>
      <c r="BT243" s="532"/>
      <c r="BU243" s="532"/>
      <c r="BV243" s="532"/>
      <c r="BW243" s="532"/>
      <c r="BX243" s="532"/>
      <c r="BY243" s="532"/>
      <c r="BZ243" s="532"/>
      <c r="CA243" s="532"/>
      <c r="CB243" s="532"/>
      <c r="CC243" s="532"/>
      <c r="CD243" s="532"/>
      <c r="CE243" s="532"/>
      <c r="CF243" s="532"/>
      <c r="CG243" s="532"/>
      <c r="CH243" s="532"/>
      <c r="CI243" s="532"/>
      <c r="CJ243" s="532"/>
      <c r="CK243" s="532"/>
      <c r="CL243" s="532"/>
      <c r="CM243" s="532"/>
      <c r="CN243" s="532"/>
      <c r="CO243" s="532"/>
      <c r="CP243" s="532"/>
      <c r="CQ243" s="532"/>
      <c r="CR243" s="532"/>
      <c r="CS243" s="532"/>
      <c r="CT243" s="532"/>
      <c r="CU243" s="532"/>
      <c r="CV243" s="532"/>
      <c r="CW243" s="532"/>
      <c r="CX243" s="532"/>
      <c r="CY243" s="532"/>
      <c r="CZ243" s="532"/>
      <c r="DA243" s="532"/>
      <c r="DB243" s="532"/>
      <c r="DC243" s="532"/>
      <c r="DD243" s="532"/>
      <c r="DE243" s="532"/>
      <c r="DF243" s="532"/>
      <c r="DG243" s="532"/>
      <c r="DH243" s="532"/>
      <c r="DI243" s="532"/>
      <c r="DJ243" s="532"/>
      <c r="DK243" s="532"/>
      <c r="DL243" s="126"/>
      <c r="DM243" s="126"/>
      <c r="DN243" s="126"/>
      <c r="DO243" s="126"/>
      <c r="DP243" s="126"/>
      <c r="DQ243" s="126"/>
      <c r="DR243" s="126"/>
      <c r="DS243" s="126"/>
      <c r="DT243" s="126"/>
      <c r="DU243" s="126"/>
      <c r="DV243" s="126"/>
      <c r="DW243" s="126"/>
      <c r="DX243" s="126"/>
      <c r="DY243" s="126"/>
      <c r="DZ243" s="126"/>
      <c r="EA243" s="126"/>
      <c r="EB243" s="126"/>
      <c r="EC243" s="126"/>
      <c r="ED243" s="126"/>
      <c r="EE243" s="126"/>
      <c r="EF243" s="126"/>
      <c r="EG243" s="126"/>
      <c r="EH243" s="126"/>
      <c r="EI243" s="126"/>
      <c r="EJ243" s="126"/>
      <c r="EK243" s="126"/>
      <c r="EL243" s="126"/>
      <c r="EM243" s="126"/>
      <c r="EN243" s="126"/>
      <c r="EO243" s="126"/>
      <c r="EP243" s="126"/>
      <c r="EQ243" s="126"/>
      <c r="ER243" s="126"/>
      <c r="ES243" s="126"/>
      <c r="ET243" s="126"/>
      <c r="EU243" s="126"/>
      <c r="EV243" s="126"/>
      <c r="EW243" s="126"/>
      <c r="EX243" s="126"/>
      <c r="EY243" s="126"/>
      <c r="EZ243" s="126"/>
      <c r="FA243" s="43"/>
      <c r="FB243" s="43"/>
      <c r="FC243" s="43"/>
      <c r="FD243" s="43"/>
      <c r="FE243" s="43"/>
      <c r="FF243" s="43"/>
      <c r="FG243" s="43"/>
      <c r="FH243" s="43"/>
      <c r="FI243" s="79"/>
      <c r="FJ243" s="79"/>
      <c r="FK243" s="79"/>
      <c r="FL243" s="79"/>
      <c r="FM243" s="338"/>
      <c r="FN243" s="78"/>
      <c r="FO243" s="78"/>
      <c r="FP243" s="78"/>
      <c r="FQ243" s="78"/>
      <c r="FR243" s="78"/>
      <c r="FS243" s="47"/>
      <c r="FT243" s="47"/>
      <c r="FU243" s="47"/>
      <c r="FV243" s="47"/>
      <c r="FW243" s="47"/>
      <c r="FX243" s="47"/>
      <c r="FY243" s="32"/>
      <c r="FZ243" s="32"/>
      <c r="GA243" s="32"/>
      <c r="GB243" s="32"/>
      <c r="GC243" s="32"/>
      <c r="GD243" s="32"/>
      <c r="GE243" s="32"/>
      <c r="GF243" s="32"/>
      <c r="GG243" s="32"/>
      <c r="GH243" s="32"/>
      <c r="GI243" s="32"/>
      <c r="GJ243" s="32"/>
      <c r="GK243" s="32"/>
      <c r="GL243" s="32"/>
      <c r="GM243" s="49"/>
      <c r="GN243" s="49"/>
      <c r="GO243" s="49"/>
      <c r="GP243" s="49"/>
      <c r="GQ243" s="49"/>
      <c r="GR243" s="49"/>
      <c r="GS243" s="49"/>
      <c r="GT243" s="49"/>
      <c r="GU243" s="49"/>
      <c r="GV243" s="49"/>
      <c r="GW243" s="49"/>
      <c r="GX243" s="49"/>
      <c r="GY243" s="49"/>
      <c r="GZ243" s="49"/>
      <c r="HA243" s="49"/>
      <c r="HB243" s="49"/>
      <c r="HC243" s="49"/>
      <c r="HD243" s="49"/>
      <c r="HE243" s="49"/>
      <c r="HF243" s="49"/>
      <c r="HG243" s="49"/>
      <c r="HH243" s="49"/>
      <c r="HI243" s="49"/>
      <c r="HJ243" s="49"/>
      <c r="HK243" s="49"/>
      <c r="HL243" s="49"/>
      <c r="HM243" s="49"/>
      <c r="HN243" s="49"/>
    </row>
    <row r="244" spans="1:222" ht="16.5" customHeight="1">
      <c r="A244" s="1"/>
      <c r="B244" s="3"/>
      <c r="C244" s="3"/>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532"/>
      <c r="AN244" s="532"/>
      <c r="AO244" s="532"/>
      <c r="AP244" s="532"/>
      <c r="AQ244" s="532"/>
      <c r="AR244" s="532"/>
      <c r="AS244" s="532"/>
      <c r="AT244" s="532"/>
      <c r="AU244" s="532"/>
      <c r="AV244" s="532"/>
      <c r="AW244" s="532"/>
      <c r="AX244" s="532"/>
      <c r="AY244" s="532"/>
      <c r="AZ244" s="532"/>
      <c r="BA244" s="532"/>
      <c r="BB244" s="532"/>
      <c r="BC244" s="532"/>
      <c r="BD244" s="532"/>
      <c r="BE244" s="532"/>
      <c r="BF244" s="532"/>
      <c r="BG244" s="532"/>
      <c r="BH244" s="532"/>
      <c r="BI244" s="532"/>
      <c r="BJ244" s="532"/>
      <c r="BK244" s="532"/>
      <c r="BL244" s="532"/>
      <c r="BM244" s="532"/>
      <c r="BN244" s="532"/>
      <c r="BO244" s="532"/>
      <c r="BP244" s="532"/>
      <c r="BQ244" s="532"/>
      <c r="BR244" s="532"/>
      <c r="BS244" s="532"/>
      <c r="BT244" s="532"/>
      <c r="BU244" s="532"/>
      <c r="BV244" s="532"/>
      <c r="BW244" s="532"/>
      <c r="BX244" s="532"/>
      <c r="BY244" s="532"/>
      <c r="BZ244" s="532"/>
      <c r="CA244" s="532"/>
      <c r="CB244" s="532"/>
      <c r="CC244" s="532"/>
      <c r="CD244" s="532"/>
      <c r="CE244" s="532"/>
      <c r="CF244" s="532"/>
      <c r="CG244" s="532"/>
      <c r="CH244" s="532"/>
      <c r="CI244" s="532"/>
      <c r="CJ244" s="532"/>
      <c r="CK244" s="532"/>
      <c r="CL244" s="532"/>
      <c r="CM244" s="532"/>
      <c r="CN244" s="532"/>
      <c r="CO244" s="532"/>
      <c r="CP244" s="532"/>
      <c r="CQ244" s="532"/>
      <c r="CR244" s="532"/>
      <c r="CS244" s="532"/>
      <c r="CT244" s="532"/>
      <c r="CU244" s="532"/>
      <c r="CV244" s="532"/>
      <c r="CW244" s="532"/>
      <c r="CX244" s="532"/>
      <c r="CY244" s="532"/>
      <c r="CZ244" s="532"/>
      <c r="DA244" s="532"/>
      <c r="DB244" s="532"/>
      <c r="DC244" s="532"/>
      <c r="DD244" s="532"/>
      <c r="DE244" s="532"/>
      <c r="DF244" s="532"/>
      <c r="DG244" s="532"/>
      <c r="DH244" s="532"/>
      <c r="DI244" s="532"/>
      <c r="DJ244" s="532"/>
      <c r="DK244" s="532"/>
      <c r="DL244" s="126"/>
      <c r="DM244" s="126"/>
      <c r="DN244" s="126"/>
      <c r="DO244" s="126"/>
      <c r="DP244" s="126"/>
      <c r="DQ244" s="126"/>
      <c r="DR244" s="126"/>
      <c r="DS244" s="126"/>
      <c r="DT244" s="126"/>
      <c r="DU244" s="126"/>
      <c r="DV244" s="126"/>
      <c r="DW244" s="126"/>
      <c r="DX244" s="126"/>
      <c r="DY244" s="126"/>
      <c r="DZ244" s="126"/>
      <c r="EA244" s="126"/>
      <c r="EB244" s="126"/>
      <c r="EC244" s="126"/>
      <c r="ED244" s="126"/>
      <c r="EE244" s="126"/>
      <c r="EF244" s="126"/>
      <c r="EG244" s="126"/>
      <c r="EH244" s="126"/>
      <c r="EI244" s="126"/>
      <c r="EJ244" s="126"/>
      <c r="EK244" s="126"/>
      <c r="EL244" s="126"/>
      <c r="EM244" s="126"/>
      <c r="EN244" s="126"/>
      <c r="EO244" s="126"/>
      <c r="EP244" s="126"/>
      <c r="EQ244" s="126"/>
      <c r="ER244" s="126"/>
      <c r="ES244" s="126"/>
      <c r="ET244" s="126"/>
      <c r="EU244" s="126"/>
      <c r="EV244" s="126"/>
      <c r="EW244" s="126"/>
      <c r="EX244" s="126"/>
      <c r="EY244" s="126"/>
      <c r="EZ244" s="126"/>
      <c r="FA244" s="43"/>
      <c r="FB244" s="43"/>
      <c r="FC244" s="43"/>
      <c r="FD244" s="43"/>
      <c r="FE244" s="43"/>
      <c r="FF244" s="43"/>
      <c r="FG244" s="43"/>
      <c r="FH244" s="43"/>
      <c r="FI244" s="79"/>
      <c r="FJ244" s="79"/>
      <c r="FK244" s="79"/>
      <c r="FL244" s="79"/>
      <c r="FM244" s="338"/>
      <c r="FN244" s="78"/>
      <c r="FO244" s="78"/>
      <c r="FP244" s="78"/>
      <c r="FQ244" s="78"/>
      <c r="FR244" s="78"/>
      <c r="FS244" s="47"/>
      <c r="FT244" s="47"/>
      <c r="FU244" s="47"/>
      <c r="FV244" s="47"/>
      <c r="FW244" s="47"/>
      <c r="FX244" s="47"/>
      <c r="FY244" s="32"/>
      <c r="FZ244" s="32"/>
      <c r="GA244" s="32"/>
      <c r="GB244" s="32"/>
      <c r="GC244" s="32"/>
      <c r="GD244" s="32"/>
      <c r="GE244" s="32"/>
      <c r="GF244" s="32"/>
      <c r="GG244" s="32"/>
      <c r="GH244" s="32"/>
      <c r="GI244" s="32"/>
      <c r="GJ244" s="32"/>
      <c r="GK244" s="32"/>
      <c r="GL244" s="32"/>
      <c r="GM244" s="49"/>
      <c r="GN244" s="49"/>
      <c r="GO244" s="49"/>
      <c r="GP244" s="49"/>
      <c r="GQ244" s="49"/>
      <c r="GR244" s="49"/>
      <c r="GS244" s="49"/>
      <c r="GT244" s="49"/>
      <c r="GU244" s="49"/>
      <c r="GV244" s="49"/>
      <c r="GW244" s="49"/>
      <c r="GX244" s="49"/>
      <c r="GY244" s="49"/>
      <c r="GZ244" s="49"/>
      <c r="HA244" s="49"/>
      <c r="HB244" s="49"/>
      <c r="HC244" s="49"/>
      <c r="HD244" s="49"/>
      <c r="HE244" s="49"/>
      <c r="HF244" s="49"/>
      <c r="HG244" s="49"/>
      <c r="HH244" s="49"/>
      <c r="HI244" s="49"/>
      <c r="HJ244" s="49"/>
      <c r="HK244" s="49"/>
      <c r="HL244" s="49"/>
      <c r="HM244" s="49"/>
      <c r="HN244" s="49"/>
    </row>
    <row r="245" spans="1:222" ht="16.5" customHeight="1">
      <c r="A245" s="1"/>
      <c r="B245" s="3"/>
      <c r="C245" s="3"/>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532"/>
      <c r="AN245" s="532"/>
      <c r="AO245" s="532"/>
      <c r="AP245" s="532"/>
      <c r="AQ245" s="532"/>
      <c r="AR245" s="532"/>
      <c r="AS245" s="532"/>
      <c r="AT245" s="532"/>
      <c r="AU245" s="532"/>
      <c r="AV245" s="532"/>
      <c r="AW245" s="532"/>
      <c r="AX245" s="532"/>
      <c r="AY245" s="532"/>
      <c r="AZ245" s="532"/>
      <c r="BA245" s="532"/>
      <c r="BB245" s="532"/>
      <c r="BC245" s="532"/>
      <c r="BD245" s="532"/>
      <c r="BE245" s="532"/>
      <c r="BF245" s="532"/>
      <c r="BG245" s="532"/>
      <c r="BH245" s="532"/>
      <c r="BI245" s="532"/>
      <c r="BJ245" s="532"/>
      <c r="BK245" s="532"/>
      <c r="BL245" s="532"/>
      <c r="BM245" s="532"/>
      <c r="BN245" s="532"/>
      <c r="BO245" s="532"/>
      <c r="BP245" s="532"/>
      <c r="BQ245" s="532"/>
      <c r="BR245" s="532"/>
      <c r="BS245" s="532"/>
      <c r="BT245" s="532"/>
      <c r="BU245" s="532"/>
      <c r="BV245" s="532"/>
      <c r="BW245" s="532"/>
      <c r="BX245" s="532"/>
      <c r="BY245" s="532"/>
      <c r="BZ245" s="532"/>
      <c r="CA245" s="532"/>
      <c r="CB245" s="532"/>
      <c r="CC245" s="532"/>
      <c r="CD245" s="532"/>
      <c r="CE245" s="532"/>
      <c r="CF245" s="532"/>
      <c r="CG245" s="532"/>
      <c r="CH245" s="532"/>
      <c r="CI245" s="532"/>
      <c r="CJ245" s="532"/>
      <c r="CK245" s="532"/>
      <c r="CL245" s="532"/>
      <c r="CM245" s="532"/>
      <c r="CN245" s="532"/>
      <c r="CO245" s="532"/>
      <c r="CP245" s="532"/>
      <c r="CQ245" s="532"/>
      <c r="CR245" s="532"/>
      <c r="CS245" s="532"/>
      <c r="CT245" s="532"/>
      <c r="CU245" s="532"/>
      <c r="CV245" s="532"/>
      <c r="CW245" s="532"/>
      <c r="CX245" s="532"/>
      <c r="CY245" s="532"/>
      <c r="CZ245" s="532"/>
      <c r="DA245" s="532"/>
      <c r="DB245" s="532"/>
      <c r="DC245" s="532"/>
      <c r="DD245" s="532"/>
      <c r="DE245" s="532"/>
      <c r="DF245" s="532"/>
      <c r="DG245" s="532"/>
      <c r="DH245" s="532"/>
      <c r="DI245" s="532"/>
      <c r="DJ245" s="532"/>
      <c r="DK245" s="532"/>
      <c r="DL245" s="126"/>
      <c r="DM245" s="126"/>
      <c r="DN245" s="126"/>
      <c r="DO245" s="126"/>
      <c r="DP245" s="126"/>
      <c r="DQ245" s="126"/>
      <c r="DR245" s="126"/>
      <c r="DS245" s="126"/>
      <c r="DT245" s="126"/>
      <c r="DU245" s="126"/>
      <c r="DV245" s="126"/>
      <c r="DW245" s="126"/>
      <c r="DX245" s="126"/>
      <c r="DY245" s="126"/>
      <c r="DZ245" s="126"/>
      <c r="EA245" s="126"/>
      <c r="EB245" s="126"/>
      <c r="EC245" s="126"/>
      <c r="ED245" s="126"/>
      <c r="EE245" s="126"/>
      <c r="EF245" s="126"/>
      <c r="EG245" s="126"/>
      <c r="EH245" s="126"/>
      <c r="EI245" s="126"/>
      <c r="EJ245" s="126"/>
      <c r="EK245" s="126"/>
      <c r="EL245" s="126"/>
      <c r="EM245" s="126"/>
      <c r="EN245" s="126"/>
      <c r="EO245" s="126"/>
      <c r="EP245" s="126"/>
      <c r="EQ245" s="126"/>
      <c r="ER245" s="126"/>
      <c r="ES245" s="126"/>
      <c r="ET245" s="126"/>
      <c r="EU245" s="126"/>
      <c r="EV245" s="126"/>
      <c r="EW245" s="126"/>
      <c r="EX245" s="126"/>
      <c r="EY245" s="126"/>
      <c r="EZ245" s="126"/>
      <c r="FA245" s="43"/>
      <c r="FB245" s="43"/>
      <c r="FC245" s="43"/>
      <c r="FD245" s="43"/>
      <c r="FE245" s="43"/>
      <c r="FF245" s="43"/>
      <c r="FG245" s="43"/>
      <c r="FH245" s="43"/>
      <c r="FI245" s="79"/>
      <c r="FJ245" s="79"/>
      <c r="FK245" s="79"/>
      <c r="FL245" s="79"/>
      <c r="FM245" s="338"/>
      <c r="FN245" s="78"/>
      <c r="FO245" s="78"/>
      <c r="FP245" s="78"/>
      <c r="FQ245" s="78"/>
      <c r="FR245" s="78"/>
      <c r="FS245" s="47"/>
      <c r="FT245" s="47"/>
      <c r="FU245" s="47"/>
      <c r="FV245" s="47"/>
      <c r="FW245" s="47"/>
      <c r="FX245" s="47"/>
      <c r="FY245" s="32"/>
      <c r="FZ245" s="32"/>
      <c r="GA245" s="32"/>
      <c r="GB245" s="32"/>
      <c r="GC245" s="32"/>
      <c r="GD245" s="32"/>
      <c r="GE245" s="32"/>
      <c r="GF245" s="32"/>
      <c r="GG245" s="32"/>
      <c r="GH245" s="32"/>
      <c r="GI245" s="32"/>
      <c r="GJ245" s="32"/>
      <c r="GK245" s="32"/>
      <c r="GL245" s="32"/>
      <c r="GM245" s="49"/>
      <c r="GN245" s="49"/>
      <c r="GO245" s="49"/>
      <c r="GP245" s="49"/>
      <c r="GQ245" s="49"/>
      <c r="GR245" s="49"/>
      <c r="GS245" s="49"/>
      <c r="GT245" s="49"/>
      <c r="GU245" s="49"/>
      <c r="GV245" s="49"/>
      <c r="GW245" s="49"/>
      <c r="GX245" s="49"/>
      <c r="GY245" s="49"/>
      <c r="GZ245" s="49"/>
      <c r="HA245" s="49"/>
      <c r="HB245" s="49"/>
      <c r="HC245" s="49"/>
      <c r="HD245" s="49"/>
      <c r="HE245" s="49"/>
      <c r="HF245" s="49"/>
      <c r="HG245" s="49"/>
      <c r="HH245" s="49"/>
      <c r="HI245" s="49"/>
      <c r="HJ245" s="49"/>
      <c r="HK245" s="49"/>
      <c r="HL245" s="49"/>
      <c r="HM245" s="49"/>
      <c r="HN245" s="49"/>
    </row>
    <row r="246" spans="1:222" ht="16.5" customHeight="1">
      <c r="A246" s="1"/>
      <c r="B246" s="3"/>
      <c r="C246" s="3"/>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532"/>
      <c r="AN246" s="532"/>
      <c r="AO246" s="532"/>
      <c r="AP246" s="532"/>
      <c r="AQ246" s="532"/>
      <c r="AR246" s="532"/>
      <c r="AS246" s="532"/>
      <c r="AT246" s="532"/>
      <c r="AU246" s="532"/>
      <c r="AV246" s="532"/>
      <c r="AW246" s="532"/>
      <c r="AX246" s="532"/>
      <c r="AY246" s="532"/>
      <c r="AZ246" s="532"/>
      <c r="BA246" s="532"/>
      <c r="BB246" s="532"/>
      <c r="BC246" s="532"/>
      <c r="BD246" s="532"/>
      <c r="BE246" s="532"/>
      <c r="BF246" s="532"/>
      <c r="BG246" s="532"/>
      <c r="BH246" s="532"/>
      <c r="BI246" s="532"/>
      <c r="BJ246" s="532"/>
      <c r="BK246" s="532"/>
      <c r="BL246" s="532"/>
      <c r="BM246" s="532"/>
      <c r="BN246" s="532"/>
      <c r="BO246" s="532"/>
      <c r="BP246" s="532"/>
      <c r="BQ246" s="532"/>
      <c r="BR246" s="532"/>
      <c r="BS246" s="532"/>
      <c r="BT246" s="532"/>
      <c r="BU246" s="532"/>
      <c r="BV246" s="532"/>
      <c r="BW246" s="532"/>
      <c r="BX246" s="532"/>
      <c r="BY246" s="532"/>
      <c r="BZ246" s="532"/>
      <c r="CA246" s="532"/>
      <c r="CB246" s="532"/>
      <c r="CC246" s="532"/>
      <c r="CD246" s="532"/>
      <c r="CE246" s="532"/>
      <c r="CF246" s="532"/>
      <c r="CG246" s="532"/>
      <c r="CH246" s="532"/>
      <c r="CI246" s="532"/>
      <c r="CJ246" s="532"/>
      <c r="CK246" s="532"/>
      <c r="CL246" s="532"/>
      <c r="CM246" s="532"/>
      <c r="CN246" s="532"/>
      <c r="CO246" s="532"/>
      <c r="CP246" s="532"/>
      <c r="CQ246" s="532"/>
      <c r="CR246" s="532"/>
      <c r="CS246" s="532"/>
      <c r="CT246" s="532"/>
      <c r="CU246" s="532"/>
      <c r="CV246" s="532"/>
      <c r="CW246" s="532"/>
      <c r="CX246" s="532"/>
      <c r="CY246" s="532"/>
      <c r="CZ246" s="532"/>
      <c r="DA246" s="532"/>
      <c r="DB246" s="532"/>
      <c r="DC246" s="532"/>
      <c r="DD246" s="532"/>
      <c r="DE246" s="532"/>
      <c r="DF246" s="532"/>
      <c r="DG246" s="532"/>
      <c r="DH246" s="532"/>
      <c r="DI246" s="532"/>
      <c r="DJ246" s="532"/>
      <c r="DK246" s="532"/>
      <c r="DL246" s="126"/>
      <c r="DM246" s="126"/>
      <c r="DN246" s="126"/>
      <c r="DO246" s="126"/>
      <c r="DP246" s="126"/>
      <c r="DQ246" s="126"/>
      <c r="DR246" s="126"/>
      <c r="DS246" s="126"/>
      <c r="DT246" s="126"/>
      <c r="DU246" s="126"/>
      <c r="DV246" s="126"/>
      <c r="DW246" s="126"/>
      <c r="DX246" s="126"/>
      <c r="DY246" s="126"/>
      <c r="DZ246" s="126"/>
      <c r="EA246" s="126"/>
      <c r="EB246" s="126"/>
      <c r="EC246" s="126"/>
      <c r="ED246" s="126"/>
      <c r="EE246" s="126"/>
      <c r="EF246" s="126"/>
      <c r="EG246" s="126"/>
      <c r="EH246" s="126"/>
      <c r="EI246" s="126"/>
      <c r="EJ246" s="126"/>
      <c r="EK246" s="126"/>
      <c r="EL246" s="126"/>
      <c r="EM246" s="126"/>
      <c r="EN246" s="126"/>
      <c r="EO246" s="126"/>
      <c r="EP246" s="126"/>
      <c r="EQ246" s="126"/>
      <c r="ER246" s="126"/>
      <c r="ES246" s="126"/>
      <c r="ET246" s="126"/>
      <c r="EU246" s="126"/>
      <c r="EV246" s="126"/>
      <c r="EW246" s="126"/>
      <c r="EX246" s="126"/>
      <c r="EY246" s="126"/>
      <c r="EZ246" s="126"/>
      <c r="FA246" s="43"/>
      <c r="FB246" s="43"/>
      <c r="FC246" s="43"/>
      <c r="FD246" s="43"/>
      <c r="FE246" s="43"/>
      <c r="FF246" s="43"/>
      <c r="FG246" s="43"/>
      <c r="FH246" s="43"/>
      <c r="FI246" s="79"/>
      <c r="FJ246" s="79"/>
      <c r="FK246" s="79"/>
      <c r="FL246" s="79"/>
      <c r="FM246" s="338"/>
      <c r="FN246" s="78"/>
      <c r="FO246" s="78"/>
      <c r="FP246" s="78"/>
      <c r="FQ246" s="78"/>
      <c r="FR246" s="78"/>
      <c r="FS246" s="47"/>
      <c r="FT246" s="47"/>
      <c r="FU246" s="47"/>
      <c r="FV246" s="47"/>
      <c r="FW246" s="47"/>
      <c r="FX246" s="47"/>
      <c r="FY246" s="32"/>
      <c r="FZ246" s="32"/>
      <c r="GA246" s="32"/>
      <c r="GB246" s="32"/>
      <c r="GC246" s="32"/>
      <c r="GD246" s="32"/>
      <c r="GE246" s="32"/>
      <c r="GF246" s="32"/>
      <c r="GG246" s="32"/>
      <c r="GH246" s="32"/>
      <c r="GI246" s="32"/>
      <c r="GJ246" s="32"/>
      <c r="GK246" s="32"/>
      <c r="GL246" s="32"/>
      <c r="GM246" s="49"/>
      <c r="GN246" s="49"/>
      <c r="GO246" s="49"/>
      <c r="GP246" s="49"/>
      <c r="GQ246" s="49"/>
      <c r="GR246" s="49"/>
      <c r="GS246" s="49"/>
      <c r="GT246" s="49"/>
      <c r="GU246" s="49"/>
      <c r="GV246" s="49"/>
      <c r="GW246" s="49"/>
      <c r="GX246" s="49"/>
      <c r="GY246" s="49"/>
      <c r="GZ246" s="49"/>
      <c r="HA246" s="49"/>
      <c r="HB246" s="49"/>
      <c r="HC246" s="49"/>
      <c r="HD246" s="49"/>
      <c r="HE246" s="49"/>
      <c r="HF246" s="49"/>
      <c r="HG246" s="49"/>
      <c r="HH246" s="49"/>
      <c r="HI246" s="49"/>
      <c r="HJ246" s="49"/>
      <c r="HK246" s="49"/>
      <c r="HL246" s="49"/>
      <c r="HM246" s="49"/>
      <c r="HN246" s="49"/>
    </row>
    <row r="247" spans="1:222" ht="16.5" customHeight="1">
      <c r="A247" s="1"/>
      <c r="B247" s="3"/>
      <c r="C247" s="3"/>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532"/>
      <c r="AN247" s="532"/>
      <c r="AO247" s="532"/>
      <c r="AP247" s="532"/>
      <c r="AQ247" s="532"/>
      <c r="AR247" s="532"/>
      <c r="AS247" s="532"/>
      <c r="AT247" s="532"/>
      <c r="AU247" s="532"/>
      <c r="AV247" s="532"/>
      <c r="AW247" s="532"/>
      <c r="AX247" s="532"/>
      <c r="AY247" s="532"/>
      <c r="AZ247" s="532"/>
      <c r="BA247" s="532"/>
      <c r="BB247" s="532"/>
      <c r="BC247" s="532"/>
      <c r="BD247" s="532"/>
      <c r="BE247" s="532"/>
      <c r="BF247" s="532"/>
      <c r="BG247" s="532"/>
      <c r="BH247" s="532"/>
      <c r="BI247" s="532"/>
      <c r="BJ247" s="532"/>
      <c r="BK247" s="532"/>
      <c r="BL247" s="532"/>
      <c r="BM247" s="532"/>
      <c r="BN247" s="532"/>
      <c r="BO247" s="532"/>
      <c r="BP247" s="532"/>
      <c r="BQ247" s="532"/>
      <c r="BR247" s="532"/>
      <c r="BS247" s="532"/>
      <c r="BT247" s="532"/>
      <c r="BU247" s="532"/>
      <c r="BV247" s="532"/>
      <c r="BW247" s="532"/>
      <c r="BX247" s="532"/>
      <c r="BY247" s="532"/>
      <c r="BZ247" s="532"/>
      <c r="CA247" s="532"/>
      <c r="CB247" s="532"/>
      <c r="CC247" s="532"/>
      <c r="CD247" s="532"/>
      <c r="CE247" s="532"/>
      <c r="CF247" s="532"/>
      <c r="CG247" s="532"/>
      <c r="CH247" s="532"/>
      <c r="CI247" s="532"/>
      <c r="CJ247" s="532"/>
      <c r="CK247" s="532"/>
      <c r="CL247" s="532"/>
      <c r="CM247" s="532"/>
      <c r="CN247" s="532"/>
      <c r="CO247" s="532"/>
      <c r="CP247" s="532"/>
      <c r="CQ247" s="532"/>
      <c r="CR247" s="532"/>
      <c r="CS247" s="532"/>
      <c r="CT247" s="532"/>
      <c r="CU247" s="532"/>
      <c r="CV247" s="532"/>
      <c r="CW247" s="532"/>
      <c r="CX247" s="532"/>
      <c r="CY247" s="532"/>
      <c r="CZ247" s="532"/>
      <c r="DA247" s="532"/>
      <c r="DB247" s="532"/>
      <c r="DC247" s="532"/>
      <c r="DD247" s="532"/>
      <c r="DE247" s="532"/>
      <c r="DF247" s="532"/>
      <c r="DG247" s="532"/>
      <c r="DH247" s="532"/>
      <c r="DI247" s="532"/>
      <c r="DJ247" s="532"/>
      <c r="DK247" s="532"/>
      <c r="DL247" s="126"/>
      <c r="DM247" s="126"/>
      <c r="DN247" s="126"/>
      <c r="DO247" s="126"/>
      <c r="DP247" s="126"/>
      <c r="DQ247" s="126"/>
      <c r="DR247" s="126"/>
      <c r="DS247" s="126"/>
      <c r="DT247" s="126"/>
      <c r="DU247" s="126"/>
      <c r="DV247" s="126"/>
      <c r="DW247" s="126"/>
      <c r="DX247" s="126"/>
      <c r="DY247" s="126"/>
      <c r="DZ247" s="126"/>
      <c r="EA247" s="126"/>
      <c r="EB247" s="126"/>
      <c r="EC247" s="126"/>
      <c r="ED247" s="126"/>
      <c r="EE247" s="126"/>
      <c r="EF247" s="126"/>
      <c r="EG247" s="126"/>
      <c r="EH247" s="126"/>
      <c r="EI247" s="126"/>
      <c r="EJ247" s="126"/>
      <c r="EK247" s="126"/>
      <c r="EL247" s="126"/>
      <c r="EM247" s="126"/>
      <c r="EN247" s="126"/>
      <c r="EO247" s="126"/>
      <c r="EP247" s="126"/>
      <c r="EQ247" s="126"/>
      <c r="ER247" s="126"/>
      <c r="ES247" s="126"/>
      <c r="ET247" s="126"/>
      <c r="EU247" s="126"/>
      <c r="EV247" s="126"/>
      <c r="EW247" s="126"/>
      <c r="EX247" s="126"/>
      <c r="EY247" s="126"/>
      <c r="EZ247" s="126"/>
      <c r="FA247" s="43"/>
      <c r="FB247" s="43"/>
      <c r="FC247" s="43"/>
      <c r="FD247" s="43"/>
      <c r="FE247" s="43"/>
      <c r="FF247" s="43"/>
      <c r="FG247" s="43"/>
      <c r="FH247" s="43"/>
      <c r="FI247" s="79"/>
      <c r="FJ247" s="79"/>
      <c r="FK247" s="79"/>
      <c r="FL247" s="79"/>
      <c r="FM247" s="338"/>
      <c r="FN247" s="78"/>
      <c r="FO247" s="78"/>
      <c r="FP247" s="78"/>
      <c r="FQ247" s="78"/>
      <c r="FR247" s="78"/>
      <c r="FS247" s="47"/>
      <c r="FT247" s="47"/>
      <c r="FU247" s="47"/>
      <c r="FV247" s="47"/>
      <c r="FW247" s="47"/>
      <c r="FX247" s="47"/>
      <c r="FY247" s="32"/>
      <c r="FZ247" s="32"/>
      <c r="GA247" s="32"/>
      <c r="GB247" s="32"/>
      <c r="GC247" s="32"/>
      <c r="GD247" s="32"/>
      <c r="GE247" s="32"/>
      <c r="GF247" s="32"/>
      <c r="GG247" s="32"/>
      <c r="GH247" s="32"/>
      <c r="GI247" s="32"/>
      <c r="GJ247" s="32"/>
      <c r="GK247" s="32"/>
      <c r="GL247" s="32"/>
      <c r="GM247" s="49"/>
      <c r="GN247" s="49"/>
      <c r="GO247" s="49"/>
      <c r="GP247" s="49"/>
      <c r="GQ247" s="49"/>
      <c r="GR247" s="49"/>
      <c r="GS247" s="49"/>
      <c r="GT247" s="49"/>
      <c r="GU247" s="49"/>
      <c r="GV247" s="49"/>
      <c r="GW247" s="49"/>
      <c r="GX247" s="49"/>
      <c r="GY247" s="49"/>
      <c r="GZ247" s="49"/>
      <c r="HA247" s="49"/>
      <c r="HB247" s="49"/>
      <c r="HC247" s="49"/>
      <c r="HD247" s="49"/>
      <c r="HE247" s="49"/>
      <c r="HF247" s="49"/>
      <c r="HG247" s="49"/>
      <c r="HH247" s="49"/>
      <c r="HI247" s="49"/>
      <c r="HJ247" s="49"/>
      <c r="HK247" s="49"/>
      <c r="HL247" s="49"/>
      <c r="HM247" s="49"/>
      <c r="HN247" s="49"/>
    </row>
    <row r="248" spans="1:222" ht="16.5" customHeight="1">
      <c r="A248" s="1"/>
      <c r="B248" s="3"/>
      <c r="C248" s="3"/>
      <c r="D248" s="532"/>
      <c r="E248" s="532"/>
      <c r="F248" s="532"/>
      <c r="G248" s="532"/>
      <c r="H248" s="532"/>
      <c r="I248" s="532"/>
      <c r="J248" s="532"/>
      <c r="K248" s="532"/>
      <c r="L248" s="532"/>
      <c r="M248" s="532"/>
      <c r="N248" s="532"/>
      <c r="O248" s="532"/>
      <c r="P248" s="532"/>
      <c r="Q248" s="532"/>
      <c r="R248" s="532"/>
      <c r="S248" s="532"/>
      <c r="T248" s="532"/>
      <c r="U248" s="532"/>
      <c r="V248" s="532"/>
      <c r="W248" s="532"/>
      <c r="X248" s="532"/>
      <c r="Y248" s="532"/>
      <c r="Z248" s="532"/>
      <c r="AA248" s="532"/>
      <c r="AB248" s="532"/>
      <c r="AC248" s="532"/>
      <c r="AD248" s="532"/>
      <c r="AE248" s="532"/>
      <c r="AF248" s="532"/>
      <c r="AG248" s="532"/>
      <c r="AH248" s="532"/>
      <c r="AI248" s="532"/>
      <c r="AJ248" s="532"/>
      <c r="AK248" s="532"/>
      <c r="AL248" s="532"/>
      <c r="AM248" s="532"/>
      <c r="AN248" s="532"/>
      <c r="AO248" s="532"/>
      <c r="AP248" s="532"/>
      <c r="AQ248" s="532"/>
      <c r="AR248" s="532"/>
      <c r="AS248" s="532"/>
      <c r="AT248" s="532"/>
      <c r="AU248" s="532"/>
      <c r="AV248" s="532"/>
      <c r="AW248" s="532"/>
      <c r="AX248" s="532"/>
      <c r="AY248" s="532"/>
      <c r="AZ248" s="532"/>
      <c r="BA248" s="532"/>
      <c r="BB248" s="532"/>
      <c r="BC248" s="532"/>
      <c r="BD248" s="532"/>
      <c r="BE248" s="532"/>
      <c r="BF248" s="532"/>
      <c r="BG248" s="532"/>
      <c r="BH248" s="532"/>
      <c r="BI248" s="532"/>
      <c r="BJ248" s="532"/>
      <c r="BK248" s="532"/>
      <c r="BL248" s="532"/>
      <c r="BM248" s="532"/>
      <c r="BN248" s="532"/>
      <c r="BO248" s="532"/>
      <c r="BP248" s="532"/>
      <c r="BQ248" s="532"/>
      <c r="BR248" s="532"/>
      <c r="BS248" s="532"/>
      <c r="BT248" s="532"/>
      <c r="BU248" s="532"/>
      <c r="BV248" s="532"/>
      <c r="BW248" s="532"/>
      <c r="BX248" s="532"/>
      <c r="BY248" s="532"/>
      <c r="BZ248" s="532"/>
      <c r="CA248" s="532"/>
      <c r="CB248" s="532"/>
      <c r="CC248" s="532"/>
      <c r="CD248" s="532"/>
      <c r="CE248" s="532"/>
      <c r="CF248" s="532"/>
      <c r="CG248" s="532"/>
      <c r="CH248" s="532"/>
      <c r="CI248" s="532"/>
      <c r="CJ248" s="532"/>
      <c r="CK248" s="532"/>
      <c r="CL248" s="532"/>
      <c r="CM248" s="532"/>
      <c r="CN248" s="532"/>
      <c r="CO248" s="532"/>
      <c r="CP248" s="532"/>
      <c r="CQ248" s="532"/>
      <c r="CR248" s="532"/>
      <c r="CS248" s="532"/>
      <c r="CT248" s="532"/>
      <c r="CU248" s="532"/>
      <c r="CV248" s="532"/>
      <c r="CW248" s="532"/>
      <c r="CX248" s="532"/>
      <c r="CY248" s="532"/>
      <c r="CZ248" s="532"/>
      <c r="DA248" s="532"/>
      <c r="DB248" s="532"/>
      <c r="DC248" s="532"/>
      <c r="DD248" s="532"/>
      <c r="DE248" s="532"/>
      <c r="DF248" s="532"/>
      <c r="DG248" s="532"/>
      <c r="DH248" s="532"/>
      <c r="DI248" s="532"/>
      <c r="DJ248" s="532"/>
      <c r="DK248" s="532"/>
      <c r="DL248" s="126"/>
      <c r="DM248" s="126"/>
      <c r="DN248" s="126"/>
      <c r="DO248" s="126"/>
      <c r="DP248" s="126"/>
      <c r="DQ248" s="126"/>
      <c r="DR248" s="126"/>
      <c r="DS248" s="126"/>
      <c r="DT248" s="126"/>
      <c r="DU248" s="126"/>
      <c r="DV248" s="126"/>
      <c r="DW248" s="126"/>
      <c r="DX248" s="126"/>
      <c r="DY248" s="126"/>
      <c r="DZ248" s="126"/>
      <c r="EA248" s="126"/>
      <c r="EB248" s="126"/>
      <c r="EC248" s="126"/>
      <c r="ED248" s="126"/>
      <c r="EE248" s="126"/>
      <c r="EF248" s="126"/>
      <c r="EG248" s="126"/>
      <c r="EH248" s="126"/>
      <c r="EI248" s="126"/>
      <c r="EJ248" s="126"/>
      <c r="EK248" s="126"/>
      <c r="EL248" s="126"/>
      <c r="EM248" s="126"/>
      <c r="EN248" s="126"/>
      <c r="EO248" s="126"/>
      <c r="EP248" s="126"/>
      <c r="EQ248" s="126"/>
      <c r="ER248" s="126"/>
      <c r="ES248" s="126"/>
      <c r="ET248" s="126"/>
      <c r="EU248" s="126"/>
      <c r="EV248" s="126"/>
      <c r="EW248" s="126"/>
      <c r="EX248" s="126"/>
      <c r="EY248" s="126"/>
      <c r="EZ248" s="126"/>
      <c r="FA248" s="43"/>
      <c r="FB248" s="43"/>
      <c r="FC248" s="43"/>
      <c r="FD248" s="43"/>
      <c r="FE248" s="43"/>
      <c r="FF248" s="43"/>
      <c r="FG248" s="43"/>
      <c r="FH248" s="43"/>
      <c r="FI248" s="79"/>
      <c r="FJ248" s="79"/>
      <c r="FK248" s="79"/>
      <c r="FL248" s="79"/>
      <c r="FM248" s="338"/>
      <c r="FN248" s="78"/>
      <c r="FO248" s="78"/>
      <c r="FP248" s="78"/>
      <c r="FQ248" s="78"/>
      <c r="FR248" s="78"/>
      <c r="FS248" s="47"/>
      <c r="FT248" s="47"/>
      <c r="FU248" s="47"/>
      <c r="FV248" s="47"/>
      <c r="FW248" s="47"/>
      <c r="FX248" s="47"/>
      <c r="FY248" s="32"/>
      <c r="FZ248" s="32"/>
      <c r="GA248" s="32"/>
      <c r="GB248" s="32"/>
      <c r="GC248" s="32"/>
      <c r="GD248" s="32"/>
      <c r="GE248" s="32"/>
      <c r="GF248" s="32"/>
      <c r="GG248" s="32"/>
      <c r="GH248" s="32"/>
      <c r="GI248" s="32"/>
      <c r="GJ248" s="32"/>
      <c r="GK248" s="32"/>
      <c r="GL248" s="32"/>
      <c r="GM248" s="49"/>
      <c r="GN248" s="49"/>
      <c r="GO248" s="49"/>
      <c r="GP248" s="49"/>
      <c r="GQ248" s="49"/>
      <c r="GR248" s="49"/>
      <c r="GS248" s="49"/>
      <c r="GT248" s="49"/>
      <c r="GU248" s="49"/>
      <c r="GV248" s="49"/>
      <c r="GW248" s="49"/>
      <c r="GX248" s="49"/>
      <c r="GY248" s="49"/>
      <c r="GZ248" s="49"/>
      <c r="HA248" s="49"/>
      <c r="HB248" s="49"/>
      <c r="HC248" s="49"/>
      <c r="HD248" s="49"/>
      <c r="HE248" s="49"/>
      <c r="HF248" s="49"/>
      <c r="HG248" s="49"/>
      <c r="HH248" s="49"/>
      <c r="HI248" s="49"/>
      <c r="HJ248" s="49"/>
      <c r="HK248" s="49"/>
      <c r="HL248" s="49"/>
      <c r="HM248" s="49"/>
      <c r="HN248" s="49"/>
    </row>
    <row r="249" spans="1:222" ht="16.5" customHeight="1">
      <c r="A249" s="1"/>
      <c r="B249" s="3"/>
      <c r="C249" s="3"/>
      <c r="D249" s="532"/>
      <c r="E249" s="532"/>
      <c r="F249" s="532"/>
      <c r="G249" s="532"/>
      <c r="H249" s="532"/>
      <c r="I249" s="532"/>
      <c r="J249" s="532"/>
      <c r="K249" s="532"/>
      <c r="L249" s="532"/>
      <c r="M249" s="532"/>
      <c r="N249" s="532"/>
      <c r="O249" s="532"/>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c r="AM249" s="532"/>
      <c r="AN249" s="532"/>
      <c r="AO249" s="532"/>
      <c r="AP249" s="532"/>
      <c r="AQ249" s="532"/>
      <c r="AR249" s="532"/>
      <c r="AS249" s="532"/>
      <c r="AT249" s="532"/>
      <c r="AU249" s="532"/>
      <c r="AV249" s="532"/>
      <c r="AW249" s="532"/>
      <c r="AX249" s="532"/>
      <c r="AY249" s="532"/>
      <c r="AZ249" s="532"/>
      <c r="BA249" s="532"/>
      <c r="BB249" s="532"/>
      <c r="BC249" s="532"/>
      <c r="BD249" s="532"/>
      <c r="BE249" s="532"/>
      <c r="BF249" s="532"/>
      <c r="BG249" s="532"/>
      <c r="BH249" s="532"/>
      <c r="BI249" s="532"/>
      <c r="BJ249" s="532"/>
      <c r="BK249" s="532"/>
      <c r="BL249" s="532"/>
      <c r="BM249" s="532"/>
      <c r="BN249" s="532"/>
      <c r="BO249" s="532"/>
      <c r="BP249" s="532"/>
      <c r="BQ249" s="532"/>
      <c r="BR249" s="532"/>
      <c r="BS249" s="532"/>
      <c r="BT249" s="532"/>
      <c r="BU249" s="532"/>
      <c r="BV249" s="532"/>
      <c r="BW249" s="532"/>
      <c r="BX249" s="532"/>
      <c r="BY249" s="532"/>
      <c r="BZ249" s="532"/>
      <c r="CA249" s="532"/>
      <c r="CB249" s="532"/>
      <c r="CC249" s="532"/>
      <c r="CD249" s="532"/>
      <c r="CE249" s="532"/>
      <c r="CF249" s="532"/>
      <c r="CG249" s="532"/>
      <c r="CH249" s="532"/>
      <c r="CI249" s="532"/>
      <c r="CJ249" s="532"/>
      <c r="CK249" s="532"/>
      <c r="CL249" s="532"/>
      <c r="CM249" s="532"/>
      <c r="CN249" s="532"/>
      <c r="CO249" s="532"/>
      <c r="CP249" s="532"/>
      <c r="CQ249" s="532"/>
      <c r="CR249" s="532"/>
      <c r="CS249" s="532"/>
      <c r="CT249" s="532"/>
      <c r="CU249" s="532"/>
      <c r="CV249" s="532"/>
      <c r="CW249" s="532"/>
      <c r="CX249" s="532"/>
      <c r="CY249" s="532"/>
      <c r="CZ249" s="532"/>
      <c r="DA249" s="532"/>
      <c r="DB249" s="532"/>
      <c r="DC249" s="532"/>
      <c r="DD249" s="532"/>
      <c r="DE249" s="532"/>
      <c r="DF249" s="532"/>
      <c r="DG249" s="532"/>
      <c r="DH249" s="532"/>
      <c r="DI249" s="532"/>
      <c r="DJ249" s="532"/>
      <c r="DK249" s="532"/>
      <c r="DL249" s="126"/>
      <c r="DM249" s="126"/>
      <c r="DN249" s="126"/>
      <c r="DO249" s="126"/>
      <c r="DP249" s="126"/>
      <c r="DQ249" s="126"/>
      <c r="DR249" s="126"/>
      <c r="DS249" s="126"/>
      <c r="DT249" s="126"/>
      <c r="DU249" s="126"/>
      <c r="DV249" s="126"/>
      <c r="DW249" s="126"/>
      <c r="DX249" s="126"/>
      <c r="DY249" s="126"/>
      <c r="DZ249" s="126"/>
      <c r="EA249" s="126"/>
      <c r="EB249" s="126"/>
      <c r="EC249" s="126"/>
      <c r="ED249" s="126"/>
      <c r="EE249" s="126"/>
      <c r="EF249" s="126"/>
      <c r="EG249" s="126"/>
      <c r="EH249" s="126"/>
      <c r="EI249" s="126"/>
      <c r="EJ249" s="126"/>
      <c r="EK249" s="126"/>
      <c r="EL249" s="126"/>
      <c r="EM249" s="126"/>
      <c r="EN249" s="126"/>
      <c r="EO249" s="126"/>
      <c r="EP249" s="126"/>
      <c r="EQ249" s="126"/>
      <c r="ER249" s="126"/>
      <c r="ES249" s="126"/>
      <c r="ET249" s="126"/>
      <c r="EU249" s="126"/>
      <c r="EV249" s="126"/>
      <c r="EW249" s="126"/>
      <c r="EX249" s="126"/>
      <c r="EY249" s="126"/>
      <c r="EZ249" s="126"/>
      <c r="FA249" s="43"/>
      <c r="FB249" s="43"/>
      <c r="FC249" s="43"/>
      <c r="FD249" s="43"/>
      <c r="FE249" s="43"/>
      <c r="FF249" s="43"/>
      <c r="FG249" s="43"/>
      <c r="FH249" s="43"/>
      <c r="FI249" s="79"/>
      <c r="FJ249" s="79"/>
      <c r="FK249" s="79"/>
      <c r="FL249" s="79"/>
      <c r="FM249" s="338"/>
      <c r="FN249" s="78"/>
      <c r="FO249" s="78"/>
      <c r="FP249" s="78"/>
      <c r="FQ249" s="78"/>
      <c r="FR249" s="78"/>
      <c r="FS249" s="47"/>
      <c r="FT249" s="47"/>
      <c r="FU249" s="47"/>
      <c r="FV249" s="47"/>
      <c r="FW249" s="47"/>
      <c r="FX249" s="47"/>
      <c r="FY249" s="32"/>
      <c r="FZ249" s="32"/>
      <c r="GA249" s="32"/>
      <c r="GB249" s="32"/>
      <c r="GC249" s="32"/>
      <c r="GD249" s="32"/>
      <c r="GE249" s="32"/>
      <c r="GF249" s="32"/>
      <c r="GG249" s="32"/>
      <c r="GH249" s="32"/>
      <c r="GI249" s="32"/>
      <c r="GJ249" s="32"/>
      <c r="GK249" s="32"/>
      <c r="GL249" s="32"/>
      <c r="GM249" s="49"/>
      <c r="GN249" s="49"/>
      <c r="GO249" s="49"/>
      <c r="GP249" s="49"/>
      <c r="GQ249" s="49"/>
      <c r="GR249" s="49"/>
      <c r="GS249" s="49"/>
      <c r="GT249" s="49"/>
      <c r="GU249" s="49"/>
      <c r="GV249" s="49"/>
      <c r="GW249" s="49"/>
      <c r="GX249" s="49"/>
      <c r="GY249" s="49"/>
      <c r="GZ249" s="49"/>
      <c r="HA249" s="49"/>
      <c r="HB249" s="49"/>
      <c r="HC249" s="49"/>
      <c r="HD249" s="49"/>
      <c r="HE249" s="49"/>
      <c r="HF249" s="49"/>
      <c r="HG249" s="49"/>
      <c r="HH249" s="49"/>
      <c r="HI249" s="49"/>
      <c r="HJ249" s="49"/>
      <c r="HK249" s="49"/>
      <c r="HL249" s="49"/>
      <c r="HM249" s="49"/>
      <c r="HN249" s="49"/>
    </row>
    <row r="250" spans="1:222" ht="16.5" customHeight="1">
      <c r="A250" s="1"/>
      <c r="B250" s="3"/>
      <c r="C250" s="3"/>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c r="AM250" s="532"/>
      <c r="AN250" s="532"/>
      <c r="AO250" s="532"/>
      <c r="AP250" s="532"/>
      <c r="AQ250" s="532"/>
      <c r="AR250" s="532"/>
      <c r="AS250" s="532"/>
      <c r="AT250" s="532"/>
      <c r="AU250" s="532"/>
      <c r="AV250" s="532"/>
      <c r="AW250" s="532"/>
      <c r="AX250" s="532"/>
      <c r="AY250" s="532"/>
      <c r="AZ250" s="532"/>
      <c r="BA250" s="532"/>
      <c r="BB250" s="532"/>
      <c r="BC250" s="532"/>
      <c r="BD250" s="532"/>
      <c r="BE250" s="532"/>
      <c r="BF250" s="532"/>
      <c r="BG250" s="532"/>
      <c r="BH250" s="532"/>
      <c r="BI250" s="532"/>
      <c r="BJ250" s="532"/>
      <c r="BK250" s="532"/>
      <c r="BL250" s="532"/>
      <c r="BM250" s="532"/>
      <c r="BN250" s="532"/>
      <c r="BO250" s="532"/>
      <c r="BP250" s="532"/>
      <c r="BQ250" s="532"/>
      <c r="BR250" s="532"/>
      <c r="BS250" s="532"/>
      <c r="BT250" s="532"/>
      <c r="BU250" s="532"/>
      <c r="BV250" s="532"/>
      <c r="BW250" s="532"/>
      <c r="BX250" s="532"/>
      <c r="BY250" s="532"/>
      <c r="BZ250" s="532"/>
      <c r="CA250" s="532"/>
      <c r="CB250" s="532"/>
      <c r="CC250" s="532"/>
      <c r="CD250" s="532"/>
      <c r="CE250" s="532"/>
      <c r="CF250" s="532"/>
      <c r="CG250" s="532"/>
      <c r="CH250" s="532"/>
      <c r="CI250" s="532"/>
      <c r="CJ250" s="532"/>
      <c r="CK250" s="532"/>
      <c r="CL250" s="532"/>
      <c r="CM250" s="532"/>
      <c r="CN250" s="532"/>
      <c r="CO250" s="532"/>
      <c r="CP250" s="532"/>
      <c r="CQ250" s="532"/>
      <c r="CR250" s="532"/>
      <c r="CS250" s="532"/>
      <c r="CT250" s="532"/>
      <c r="CU250" s="532"/>
      <c r="CV250" s="532"/>
      <c r="CW250" s="532"/>
      <c r="CX250" s="532"/>
      <c r="CY250" s="532"/>
      <c r="CZ250" s="532"/>
      <c r="DA250" s="532"/>
      <c r="DB250" s="532"/>
      <c r="DC250" s="532"/>
      <c r="DD250" s="532"/>
      <c r="DE250" s="532"/>
      <c r="DF250" s="532"/>
      <c r="DG250" s="532"/>
      <c r="DH250" s="532"/>
      <c r="DI250" s="532"/>
      <c r="DJ250" s="532"/>
      <c r="DK250" s="532"/>
      <c r="DL250" s="126"/>
      <c r="DM250" s="126"/>
      <c r="DN250" s="126"/>
      <c r="DO250" s="126"/>
      <c r="DP250" s="126"/>
      <c r="DQ250" s="126"/>
      <c r="DR250" s="126"/>
      <c r="DS250" s="126"/>
      <c r="DT250" s="126"/>
      <c r="DU250" s="126"/>
      <c r="DV250" s="126"/>
      <c r="DW250" s="126"/>
      <c r="DX250" s="126"/>
      <c r="DY250" s="126"/>
      <c r="DZ250" s="126"/>
      <c r="EA250" s="126"/>
      <c r="EB250" s="126"/>
      <c r="EC250" s="126"/>
      <c r="ED250" s="126"/>
      <c r="EE250" s="126"/>
      <c r="EF250" s="126"/>
      <c r="EG250" s="126"/>
      <c r="EH250" s="126"/>
      <c r="EI250" s="126"/>
      <c r="EJ250" s="126"/>
      <c r="EK250" s="126"/>
      <c r="EL250" s="126"/>
      <c r="EM250" s="126"/>
      <c r="EN250" s="126"/>
      <c r="EO250" s="126"/>
      <c r="EP250" s="126"/>
      <c r="EQ250" s="126"/>
      <c r="ER250" s="126"/>
      <c r="ES250" s="126"/>
      <c r="ET250" s="126"/>
      <c r="EU250" s="126"/>
      <c r="EV250" s="126"/>
      <c r="EW250" s="126"/>
      <c r="EX250" s="126"/>
      <c r="EY250" s="126"/>
      <c r="EZ250" s="126"/>
      <c r="FA250" s="43"/>
      <c r="FB250" s="43"/>
      <c r="FC250" s="43"/>
      <c r="FD250" s="43"/>
      <c r="FE250" s="43"/>
      <c r="FF250" s="43"/>
      <c r="FG250" s="43"/>
      <c r="FH250" s="43"/>
      <c r="FI250" s="79"/>
      <c r="FJ250" s="79"/>
      <c r="FK250" s="79"/>
      <c r="FL250" s="79"/>
      <c r="FM250" s="338"/>
      <c r="FN250" s="78"/>
      <c r="FO250" s="78"/>
      <c r="FP250" s="78"/>
      <c r="FQ250" s="78"/>
      <c r="FR250" s="78"/>
      <c r="FS250" s="47"/>
      <c r="FT250" s="47"/>
      <c r="FU250" s="47"/>
      <c r="FV250" s="47"/>
      <c r="FW250" s="47"/>
      <c r="FX250" s="47"/>
      <c r="FY250" s="32"/>
      <c r="FZ250" s="32"/>
      <c r="GA250" s="32"/>
      <c r="GB250" s="32"/>
      <c r="GC250" s="32"/>
      <c r="GD250" s="32"/>
      <c r="GE250" s="32"/>
      <c r="GF250" s="32"/>
      <c r="GG250" s="32"/>
      <c r="GH250" s="32"/>
      <c r="GI250" s="32"/>
      <c r="GJ250" s="32"/>
      <c r="GK250" s="32"/>
      <c r="GL250" s="32"/>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row>
    <row r="251" spans="1:222" ht="16.5" customHeight="1">
      <c r="A251" s="1"/>
      <c r="B251" s="3"/>
      <c r="C251" s="3"/>
      <c r="D251" s="532"/>
      <c r="E251" s="532"/>
      <c r="F251" s="532"/>
      <c r="G251" s="532"/>
      <c r="H251" s="532"/>
      <c r="I251" s="532"/>
      <c r="J251" s="532"/>
      <c r="K251" s="532"/>
      <c r="L251" s="532"/>
      <c r="M251" s="532"/>
      <c r="N251" s="532"/>
      <c r="O251" s="532"/>
      <c r="P251" s="532"/>
      <c r="Q251" s="532"/>
      <c r="R251" s="532"/>
      <c r="S251" s="532"/>
      <c r="T251" s="532"/>
      <c r="U251" s="532"/>
      <c r="V251" s="532"/>
      <c r="W251" s="532"/>
      <c r="X251" s="532"/>
      <c r="Y251" s="532"/>
      <c r="Z251" s="532"/>
      <c r="AA251" s="532"/>
      <c r="AB251" s="532"/>
      <c r="AC251" s="532"/>
      <c r="AD251" s="532"/>
      <c r="AE251" s="532"/>
      <c r="AF251" s="532"/>
      <c r="AG251" s="532"/>
      <c r="AH251" s="532"/>
      <c r="AI251" s="532"/>
      <c r="AJ251" s="532"/>
      <c r="AK251" s="532"/>
      <c r="AL251" s="532"/>
      <c r="AM251" s="532"/>
      <c r="AN251" s="532"/>
      <c r="AO251" s="532"/>
      <c r="AP251" s="532"/>
      <c r="AQ251" s="532"/>
      <c r="AR251" s="532"/>
      <c r="AS251" s="532"/>
      <c r="AT251" s="532"/>
      <c r="AU251" s="532"/>
      <c r="AV251" s="532"/>
      <c r="AW251" s="532"/>
      <c r="AX251" s="532"/>
      <c r="AY251" s="532"/>
      <c r="AZ251" s="532"/>
      <c r="BA251" s="532"/>
      <c r="BB251" s="532"/>
      <c r="BC251" s="532"/>
      <c r="BD251" s="532"/>
      <c r="BE251" s="532"/>
      <c r="BF251" s="532"/>
      <c r="BG251" s="532"/>
      <c r="BH251" s="532"/>
      <c r="BI251" s="532"/>
      <c r="BJ251" s="532"/>
      <c r="BK251" s="532"/>
      <c r="BL251" s="532"/>
      <c r="BM251" s="532"/>
      <c r="BN251" s="532"/>
      <c r="BO251" s="532"/>
      <c r="BP251" s="532"/>
      <c r="BQ251" s="532"/>
      <c r="BR251" s="532"/>
      <c r="BS251" s="532"/>
      <c r="BT251" s="532"/>
      <c r="BU251" s="532"/>
      <c r="BV251" s="532"/>
      <c r="BW251" s="532"/>
      <c r="BX251" s="532"/>
      <c r="BY251" s="532"/>
      <c r="BZ251" s="532"/>
      <c r="CA251" s="532"/>
      <c r="CB251" s="532"/>
      <c r="CC251" s="532"/>
      <c r="CD251" s="532"/>
      <c r="CE251" s="532"/>
      <c r="CF251" s="532"/>
      <c r="CG251" s="532"/>
      <c r="CH251" s="532"/>
      <c r="CI251" s="532"/>
      <c r="CJ251" s="532"/>
      <c r="CK251" s="532"/>
      <c r="CL251" s="532"/>
      <c r="CM251" s="532"/>
      <c r="CN251" s="532"/>
      <c r="CO251" s="532"/>
      <c r="CP251" s="532"/>
      <c r="CQ251" s="532"/>
      <c r="CR251" s="532"/>
      <c r="CS251" s="532"/>
      <c r="CT251" s="532"/>
      <c r="CU251" s="532"/>
      <c r="CV251" s="532"/>
      <c r="CW251" s="532"/>
      <c r="CX251" s="532"/>
      <c r="CY251" s="532"/>
      <c r="CZ251" s="532"/>
      <c r="DA251" s="532"/>
      <c r="DB251" s="532"/>
      <c r="DC251" s="532"/>
      <c r="DD251" s="532"/>
      <c r="DE251" s="532"/>
      <c r="DF251" s="532"/>
      <c r="DG251" s="532"/>
      <c r="DH251" s="532"/>
      <c r="DI251" s="532"/>
      <c r="DJ251" s="532"/>
      <c r="DK251" s="532"/>
      <c r="DL251" s="126"/>
      <c r="DM251" s="126"/>
      <c r="DN251" s="126"/>
      <c r="DO251" s="126"/>
      <c r="DP251" s="126"/>
      <c r="DQ251" s="126"/>
      <c r="DR251" s="126"/>
      <c r="DS251" s="126"/>
      <c r="DT251" s="126"/>
      <c r="DU251" s="126"/>
      <c r="DV251" s="126"/>
      <c r="DW251" s="126"/>
      <c r="DX251" s="126"/>
      <c r="DY251" s="126"/>
      <c r="DZ251" s="126"/>
      <c r="EA251" s="126"/>
      <c r="EB251" s="126"/>
      <c r="EC251" s="126"/>
      <c r="ED251" s="126"/>
      <c r="EE251" s="126"/>
      <c r="EF251" s="126"/>
      <c r="EG251" s="126"/>
      <c r="EH251" s="126"/>
      <c r="EI251" s="126"/>
      <c r="EJ251" s="126"/>
      <c r="EK251" s="126"/>
      <c r="EL251" s="126"/>
      <c r="EM251" s="126"/>
      <c r="EN251" s="126"/>
      <c r="EO251" s="126"/>
      <c r="EP251" s="126"/>
      <c r="EQ251" s="126"/>
      <c r="ER251" s="126"/>
      <c r="ES251" s="126"/>
      <c r="ET251" s="126"/>
      <c r="EU251" s="126"/>
      <c r="EV251" s="126"/>
      <c r="EW251" s="126"/>
      <c r="EX251" s="126"/>
      <c r="EY251" s="126"/>
      <c r="EZ251" s="126"/>
      <c r="FA251" s="43"/>
      <c r="FB251" s="43"/>
      <c r="FC251" s="43"/>
      <c r="FD251" s="43"/>
      <c r="FE251" s="43"/>
      <c r="FF251" s="43"/>
      <c r="FG251" s="43"/>
      <c r="FH251" s="43"/>
      <c r="FI251" s="79"/>
      <c r="FJ251" s="79"/>
      <c r="FK251" s="79"/>
      <c r="FL251" s="79"/>
      <c r="FM251" s="338"/>
      <c r="FN251" s="78"/>
      <c r="FO251" s="78"/>
      <c r="FP251" s="78"/>
      <c r="FQ251" s="78"/>
      <c r="FR251" s="78"/>
      <c r="FS251" s="47"/>
      <c r="FT251" s="47"/>
      <c r="FU251" s="47"/>
      <c r="FV251" s="47"/>
      <c r="FW251" s="47"/>
      <c r="FX251" s="47"/>
      <c r="FY251" s="32"/>
      <c r="FZ251" s="32"/>
      <c r="GA251" s="32"/>
      <c r="GB251" s="32"/>
      <c r="GC251" s="32"/>
      <c r="GD251" s="32"/>
      <c r="GE251" s="32"/>
      <c r="GF251" s="32"/>
      <c r="GG251" s="32"/>
      <c r="GH251" s="32"/>
      <c r="GI251" s="32"/>
      <c r="GJ251" s="32"/>
      <c r="GK251" s="32"/>
      <c r="GL251" s="32"/>
      <c r="GM251" s="49"/>
      <c r="GN251" s="49"/>
      <c r="GO251" s="49"/>
      <c r="GP251" s="49"/>
      <c r="GQ251" s="49"/>
      <c r="GR251" s="49"/>
      <c r="GS251" s="49"/>
      <c r="GT251" s="49"/>
      <c r="GU251" s="49"/>
      <c r="GV251" s="49"/>
      <c r="GW251" s="49"/>
      <c r="GX251" s="49"/>
      <c r="GY251" s="49"/>
      <c r="GZ251" s="49"/>
      <c r="HA251" s="49"/>
      <c r="HB251" s="49"/>
      <c r="HC251" s="49"/>
      <c r="HD251" s="49"/>
      <c r="HE251" s="49"/>
      <c r="HF251" s="49"/>
      <c r="HG251" s="49"/>
      <c r="HH251" s="49"/>
      <c r="HI251" s="49"/>
      <c r="HJ251" s="49"/>
      <c r="HK251" s="49"/>
      <c r="HL251" s="49"/>
      <c r="HM251" s="49"/>
      <c r="HN251" s="49"/>
    </row>
    <row r="252" spans="1:222" ht="16.5" customHeight="1">
      <c r="A252" s="1"/>
      <c r="B252" s="3"/>
      <c r="C252" s="3"/>
      <c r="D252" s="532"/>
      <c r="E252" s="532"/>
      <c r="F252" s="532"/>
      <c r="G252" s="532"/>
      <c r="H252" s="532"/>
      <c r="I252" s="532"/>
      <c r="J252" s="532"/>
      <c r="K252" s="532"/>
      <c r="L252" s="532"/>
      <c r="M252" s="532"/>
      <c r="N252" s="532"/>
      <c r="O252" s="532"/>
      <c r="P252" s="532"/>
      <c r="Q252" s="532"/>
      <c r="R252" s="532"/>
      <c r="S252" s="532"/>
      <c r="T252" s="532"/>
      <c r="U252" s="532"/>
      <c r="V252" s="532"/>
      <c r="W252" s="532"/>
      <c r="X252" s="532"/>
      <c r="Y252" s="532"/>
      <c r="Z252" s="532"/>
      <c r="AA252" s="532"/>
      <c r="AB252" s="532"/>
      <c r="AC252" s="532"/>
      <c r="AD252" s="532"/>
      <c r="AE252" s="532"/>
      <c r="AF252" s="532"/>
      <c r="AG252" s="532"/>
      <c r="AH252" s="532"/>
      <c r="AI252" s="532"/>
      <c r="AJ252" s="532"/>
      <c r="AK252" s="532"/>
      <c r="AL252" s="532"/>
      <c r="AM252" s="532"/>
      <c r="AN252" s="532"/>
      <c r="AO252" s="532"/>
      <c r="AP252" s="532"/>
      <c r="AQ252" s="532"/>
      <c r="AR252" s="532"/>
      <c r="AS252" s="532"/>
      <c r="AT252" s="532"/>
      <c r="AU252" s="532"/>
      <c r="AV252" s="532"/>
      <c r="AW252" s="532"/>
      <c r="AX252" s="532"/>
      <c r="AY252" s="532"/>
      <c r="AZ252" s="532"/>
      <c r="BA252" s="532"/>
      <c r="BB252" s="532"/>
      <c r="BC252" s="532"/>
      <c r="BD252" s="532"/>
      <c r="BE252" s="532"/>
      <c r="BF252" s="532"/>
      <c r="BG252" s="532"/>
      <c r="BH252" s="532"/>
      <c r="BI252" s="532"/>
      <c r="BJ252" s="532"/>
      <c r="BK252" s="532"/>
      <c r="BL252" s="532"/>
      <c r="BM252" s="532"/>
      <c r="BN252" s="532"/>
      <c r="BO252" s="532"/>
      <c r="BP252" s="532"/>
      <c r="BQ252" s="532"/>
      <c r="BR252" s="532"/>
      <c r="BS252" s="532"/>
      <c r="BT252" s="532"/>
      <c r="BU252" s="532"/>
      <c r="BV252" s="532"/>
      <c r="BW252" s="532"/>
      <c r="BX252" s="532"/>
      <c r="BY252" s="532"/>
      <c r="BZ252" s="532"/>
      <c r="CA252" s="532"/>
      <c r="CB252" s="532"/>
      <c r="CC252" s="532"/>
      <c r="CD252" s="532"/>
      <c r="CE252" s="532"/>
      <c r="CF252" s="532"/>
      <c r="CG252" s="532"/>
      <c r="CH252" s="532"/>
      <c r="CI252" s="532"/>
      <c r="CJ252" s="532"/>
      <c r="CK252" s="532"/>
      <c r="CL252" s="532"/>
      <c r="CM252" s="532"/>
      <c r="CN252" s="532"/>
      <c r="CO252" s="532"/>
      <c r="CP252" s="532"/>
      <c r="CQ252" s="532"/>
      <c r="CR252" s="532"/>
      <c r="CS252" s="532"/>
      <c r="CT252" s="532"/>
      <c r="CU252" s="532"/>
      <c r="CV252" s="532"/>
      <c r="CW252" s="532"/>
      <c r="CX252" s="532"/>
      <c r="CY252" s="532"/>
      <c r="CZ252" s="532"/>
      <c r="DA252" s="532"/>
      <c r="DB252" s="532"/>
      <c r="DC252" s="532"/>
      <c r="DD252" s="532"/>
      <c r="DE252" s="532"/>
      <c r="DF252" s="532"/>
      <c r="DG252" s="532"/>
      <c r="DH252" s="532"/>
      <c r="DI252" s="532"/>
      <c r="DJ252" s="532"/>
      <c r="DK252" s="532"/>
      <c r="DL252" s="126"/>
      <c r="DM252" s="126"/>
      <c r="DN252" s="126"/>
      <c r="DO252" s="126"/>
      <c r="DP252" s="126"/>
      <c r="DQ252" s="126"/>
      <c r="DR252" s="126"/>
      <c r="DS252" s="126"/>
      <c r="DT252" s="126"/>
      <c r="DU252" s="126"/>
      <c r="DV252" s="126"/>
      <c r="DW252" s="126"/>
      <c r="DX252" s="126"/>
      <c r="DY252" s="126"/>
      <c r="DZ252" s="126"/>
      <c r="EA252" s="126"/>
      <c r="EB252" s="126"/>
      <c r="EC252" s="126"/>
      <c r="ED252" s="126"/>
      <c r="EE252" s="126"/>
      <c r="EF252" s="126"/>
      <c r="EG252" s="126"/>
      <c r="EH252" s="126"/>
      <c r="EI252" s="126"/>
      <c r="EJ252" s="126"/>
      <c r="EK252" s="126"/>
      <c r="EL252" s="126"/>
      <c r="EM252" s="126"/>
      <c r="EN252" s="126"/>
      <c r="EO252" s="126"/>
      <c r="EP252" s="126"/>
      <c r="EQ252" s="126"/>
      <c r="ER252" s="126"/>
      <c r="ES252" s="126"/>
      <c r="ET252" s="126"/>
      <c r="EU252" s="126"/>
      <c r="EV252" s="126"/>
      <c r="EW252" s="126"/>
      <c r="EX252" s="126"/>
      <c r="EY252" s="126"/>
      <c r="EZ252" s="126"/>
      <c r="FA252" s="43"/>
      <c r="FB252" s="43"/>
      <c r="FC252" s="43"/>
      <c r="FD252" s="43"/>
      <c r="FE252" s="43"/>
      <c r="FF252" s="43"/>
      <c r="FG252" s="43"/>
      <c r="FH252" s="43"/>
      <c r="FI252" s="79"/>
      <c r="FJ252" s="79"/>
      <c r="FK252" s="79"/>
      <c r="FL252" s="79"/>
      <c r="FM252" s="338"/>
      <c r="FN252" s="78"/>
      <c r="FO252" s="78"/>
      <c r="FP252" s="78"/>
      <c r="FQ252" s="78"/>
      <c r="FR252" s="78"/>
      <c r="FS252" s="47"/>
      <c r="FT252" s="47"/>
      <c r="FU252" s="47"/>
      <c r="FV252" s="47"/>
      <c r="FW252" s="47"/>
      <c r="FX252" s="47"/>
      <c r="FY252" s="32"/>
      <c r="FZ252" s="32"/>
      <c r="GA252" s="32"/>
      <c r="GB252" s="32"/>
      <c r="GC252" s="32"/>
      <c r="GD252" s="32"/>
      <c r="GE252" s="32"/>
      <c r="GF252" s="32"/>
      <c r="GG252" s="32"/>
      <c r="GH252" s="32"/>
      <c r="GI252" s="32"/>
      <c r="GJ252" s="32"/>
      <c r="GK252" s="32"/>
      <c r="GL252" s="32"/>
      <c r="GM252" s="49"/>
      <c r="GN252" s="49"/>
      <c r="GO252" s="49"/>
      <c r="GP252" s="49"/>
      <c r="GQ252" s="49"/>
      <c r="GR252" s="49"/>
      <c r="GS252" s="49"/>
      <c r="GT252" s="49"/>
      <c r="GU252" s="49"/>
      <c r="GV252" s="49"/>
      <c r="GW252" s="49"/>
      <c r="GX252" s="49"/>
      <c r="GY252" s="49"/>
      <c r="GZ252" s="49"/>
      <c r="HA252" s="49"/>
      <c r="HB252" s="49"/>
      <c r="HC252" s="49"/>
      <c r="HD252" s="49"/>
      <c r="HE252" s="49"/>
      <c r="HF252" s="49"/>
      <c r="HG252" s="49"/>
      <c r="HH252" s="49"/>
      <c r="HI252" s="49"/>
      <c r="HJ252" s="49"/>
      <c r="HK252" s="49"/>
      <c r="HL252" s="49"/>
      <c r="HM252" s="49"/>
      <c r="HN252" s="49"/>
    </row>
    <row r="253" spans="1:222" ht="16.5" customHeight="1">
      <c r="A253" s="1"/>
      <c r="B253" s="3"/>
      <c r="C253" s="3"/>
      <c r="D253" s="532"/>
      <c r="E253" s="532"/>
      <c r="F253" s="532"/>
      <c r="G253" s="532"/>
      <c r="H253" s="532"/>
      <c r="I253" s="532"/>
      <c r="J253" s="532"/>
      <c r="K253" s="532"/>
      <c r="L253" s="532"/>
      <c r="M253" s="532"/>
      <c r="N253" s="532"/>
      <c r="O253" s="532"/>
      <c r="P253" s="532"/>
      <c r="Q253" s="532"/>
      <c r="R253" s="532"/>
      <c r="S253" s="532"/>
      <c r="T253" s="532"/>
      <c r="U253" s="532"/>
      <c r="V253" s="532"/>
      <c r="W253" s="532"/>
      <c r="X253" s="532"/>
      <c r="Y253" s="532"/>
      <c r="Z253" s="532"/>
      <c r="AA253" s="532"/>
      <c r="AB253" s="532"/>
      <c r="AC253" s="532"/>
      <c r="AD253" s="532"/>
      <c r="AE253" s="532"/>
      <c r="AF253" s="532"/>
      <c r="AG253" s="532"/>
      <c r="AH253" s="532"/>
      <c r="AI253" s="532"/>
      <c r="AJ253" s="532"/>
      <c r="AK253" s="532"/>
      <c r="AL253" s="532"/>
      <c r="AM253" s="532"/>
      <c r="AN253" s="532"/>
      <c r="AO253" s="532"/>
      <c r="AP253" s="532"/>
      <c r="AQ253" s="532"/>
      <c r="AR253" s="532"/>
      <c r="AS253" s="532"/>
      <c r="AT253" s="532"/>
      <c r="AU253" s="532"/>
      <c r="AV253" s="532"/>
      <c r="AW253" s="532"/>
      <c r="AX253" s="532"/>
      <c r="AY253" s="532"/>
      <c r="AZ253" s="532"/>
      <c r="BA253" s="532"/>
      <c r="BB253" s="532"/>
      <c r="BC253" s="532"/>
      <c r="BD253" s="532"/>
      <c r="BE253" s="532"/>
      <c r="BF253" s="532"/>
      <c r="BG253" s="532"/>
      <c r="BH253" s="532"/>
      <c r="BI253" s="532"/>
      <c r="BJ253" s="532"/>
      <c r="BK253" s="532"/>
      <c r="BL253" s="532"/>
      <c r="BM253" s="532"/>
      <c r="BN253" s="532"/>
      <c r="BO253" s="532"/>
      <c r="BP253" s="532"/>
      <c r="BQ253" s="532"/>
      <c r="BR253" s="532"/>
      <c r="BS253" s="532"/>
      <c r="BT253" s="532"/>
      <c r="BU253" s="532"/>
      <c r="BV253" s="532"/>
      <c r="BW253" s="532"/>
      <c r="BX253" s="532"/>
      <c r="BY253" s="532"/>
      <c r="BZ253" s="532"/>
      <c r="CA253" s="532"/>
      <c r="CB253" s="532"/>
      <c r="CC253" s="532"/>
      <c r="CD253" s="532"/>
      <c r="CE253" s="532"/>
      <c r="CF253" s="532"/>
      <c r="CG253" s="532"/>
      <c r="CH253" s="532"/>
      <c r="CI253" s="532"/>
      <c r="CJ253" s="532"/>
      <c r="CK253" s="532"/>
      <c r="CL253" s="532"/>
      <c r="CM253" s="532"/>
      <c r="CN253" s="532"/>
      <c r="CO253" s="532"/>
      <c r="CP253" s="532"/>
      <c r="CQ253" s="532"/>
      <c r="CR253" s="532"/>
      <c r="CS253" s="532"/>
      <c r="CT253" s="532"/>
      <c r="CU253" s="532"/>
      <c r="CV253" s="532"/>
      <c r="CW253" s="532"/>
      <c r="CX253" s="532"/>
      <c r="CY253" s="532"/>
      <c r="CZ253" s="532"/>
      <c r="DA253" s="532"/>
      <c r="DB253" s="532"/>
      <c r="DC253" s="532"/>
      <c r="DD253" s="532"/>
      <c r="DE253" s="532"/>
      <c r="DF253" s="532"/>
      <c r="DG253" s="532"/>
      <c r="DH253" s="532"/>
      <c r="DI253" s="532"/>
      <c r="DJ253" s="532"/>
      <c r="DK253" s="532"/>
      <c r="DL253" s="126"/>
      <c r="DM253" s="126"/>
      <c r="DN253" s="126"/>
      <c r="DO253" s="126"/>
      <c r="DP253" s="126"/>
      <c r="DQ253" s="126"/>
      <c r="DR253" s="126"/>
      <c r="DS253" s="126"/>
      <c r="DT253" s="126"/>
      <c r="DU253" s="126"/>
      <c r="DV253" s="126"/>
      <c r="DW253" s="126"/>
      <c r="DX253" s="126"/>
      <c r="DY253" s="126"/>
      <c r="DZ253" s="126"/>
      <c r="EA253" s="126"/>
      <c r="EB253" s="126"/>
      <c r="EC253" s="126"/>
      <c r="ED253" s="126"/>
      <c r="EE253" s="126"/>
      <c r="EF253" s="126"/>
      <c r="EG253" s="126"/>
      <c r="EH253" s="126"/>
      <c r="EI253" s="126"/>
      <c r="EJ253" s="126"/>
      <c r="EK253" s="126"/>
      <c r="EL253" s="126"/>
      <c r="EM253" s="126"/>
      <c r="EN253" s="126"/>
      <c r="EO253" s="126"/>
      <c r="EP253" s="126"/>
      <c r="EQ253" s="126"/>
      <c r="ER253" s="126"/>
      <c r="ES253" s="126"/>
      <c r="ET253" s="126"/>
      <c r="EU253" s="126"/>
      <c r="EV253" s="126"/>
      <c r="EW253" s="126"/>
      <c r="EX253" s="126"/>
      <c r="EY253" s="126"/>
      <c r="EZ253" s="126"/>
      <c r="FA253" s="43"/>
      <c r="FB253" s="43"/>
      <c r="FC253" s="43"/>
      <c r="FD253" s="43"/>
      <c r="FE253" s="43"/>
      <c r="FF253" s="43"/>
      <c r="FG253" s="43"/>
      <c r="FH253" s="43"/>
      <c r="FI253" s="79"/>
      <c r="FJ253" s="79"/>
      <c r="FK253" s="79"/>
      <c r="FL253" s="79"/>
      <c r="FM253" s="338"/>
      <c r="FN253" s="78"/>
      <c r="FO253" s="78"/>
      <c r="FP253" s="78"/>
      <c r="FQ253" s="78"/>
      <c r="FR253" s="78"/>
      <c r="FS253" s="47"/>
      <c r="FT253" s="47"/>
      <c r="FU253" s="47"/>
      <c r="FV253" s="47"/>
      <c r="FW253" s="47"/>
      <c r="FX253" s="47"/>
      <c r="FY253" s="32"/>
      <c r="FZ253" s="32"/>
      <c r="GA253" s="32"/>
      <c r="GB253" s="32"/>
      <c r="GC253" s="32"/>
      <c r="GD253" s="32"/>
      <c r="GE253" s="32"/>
      <c r="GF253" s="32"/>
      <c r="GG253" s="32"/>
      <c r="GH253" s="32"/>
      <c r="GI253" s="32"/>
      <c r="GJ253" s="32"/>
      <c r="GK253" s="32"/>
      <c r="GL253" s="32"/>
      <c r="GM253" s="49"/>
      <c r="GN253" s="49"/>
      <c r="GO253" s="49"/>
      <c r="GP253" s="49"/>
      <c r="GQ253" s="49"/>
      <c r="GR253" s="49"/>
      <c r="GS253" s="49"/>
      <c r="GT253" s="49"/>
      <c r="GU253" s="49"/>
      <c r="GV253" s="49"/>
      <c r="GW253" s="49"/>
      <c r="GX253" s="49"/>
      <c r="GY253" s="49"/>
      <c r="GZ253" s="49"/>
      <c r="HA253" s="49"/>
      <c r="HB253" s="49"/>
      <c r="HC253" s="49"/>
      <c r="HD253" s="49"/>
      <c r="HE253" s="49"/>
      <c r="HF253" s="49"/>
      <c r="HG253" s="49"/>
      <c r="HH253" s="49"/>
      <c r="HI253" s="49"/>
      <c r="HJ253" s="49"/>
      <c r="HK253" s="49"/>
      <c r="HL253" s="49"/>
      <c r="HM253" s="49"/>
      <c r="HN253" s="49"/>
    </row>
    <row r="254" spans="1:222" ht="16.5" customHeight="1">
      <c r="A254" s="1"/>
      <c r="B254" s="3"/>
      <c r="C254" s="3"/>
      <c r="D254" s="532"/>
      <c r="E254" s="532"/>
      <c r="F254" s="532"/>
      <c r="G254" s="532"/>
      <c r="H254" s="532"/>
      <c r="I254" s="532"/>
      <c r="J254" s="532"/>
      <c r="K254" s="532"/>
      <c r="L254" s="532"/>
      <c r="M254" s="532"/>
      <c r="N254" s="532"/>
      <c r="O254" s="532"/>
      <c r="P254" s="532"/>
      <c r="Q254" s="532"/>
      <c r="R254" s="532"/>
      <c r="S254" s="532"/>
      <c r="T254" s="532"/>
      <c r="U254" s="532"/>
      <c r="V254" s="532"/>
      <c r="W254" s="532"/>
      <c r="X254" s="532"/>
      <c r="Y254" s="532"/>
      <c r="Z254" s="532"/>
      <c r="AA254" s="532"/>
      <c r="AB254" s="532"/>
      <c r="AC254" s="532"/>
      <c r="AD254" s="532"/>
      <c r="AE254" s="532"/>
      <c r="AF254" s="532"/>
      <c r="AG254" s="532"/>
      <c r="AH254" s="532"/>
      <c r="AI254" s="532"/>
      <c r="AJ254" s="532"/>
      <c r="AK254" s="532"/>
      <c r="AL254" s="532"/>
      <c r="AM254" s="532"/>
      <c r="AN254" s="532"/>
      <c r="AO254" s="532"/>
      <c r="AP254" s="532"/>
      <c r="AQ254" s="532"/>
      <c r="AR254" s="532"/>
      <c r="AS254" s="532"/>
      <c r="AT254" s="532"/>
      <c r="AU254" s="532"/>
      <c r="AV254" s="532"/>
      <c r="AW254" s="532"/>
      <c r="AX254" s="532"/>
      <c r="AY254" s="532"/>
      <c r="AZ254" s="532"/>
      <c r="BA254" s="532"/>
      <c r="BB254" s="532"/>
      <c r="BC254" s="532"/>
      <c r="BD254" s="532"/>
      <c r="BE254" s="532"/>
      <c r="BF254" s="532"/>
      <c r="BG254" s="532"/>
      <c r="BH254" s="532"/>
      <c r="BI254" s="532"/>
      <c r="BJ254" s="532"/>
      <c r="BK254" s="532"/>
      <c r="BL254" s="532"/>
      <c r="BM254" s="532"/>
      <c r="BN254" s="532"/>
      <c r="BO254" s="532"/>
      <c r="BP254" s="532"/>
      <c r="BQ254" s="532"/>
      <c r="BR254" s="532"/>
      <c r="BS254" s="532"/>
      <c r="BT254" s="532"/>
      <c r="BU254" s="532"/>
      <c r="BV254" s="532"/>
      <c r="BW254" s="532"/>
      <c r="BX254" s="532"/>
      <c r="BY254" s="532"/>
      <c r="BZ254" s="532"/>
      <c r="CA254" s="532"/>
      <c r="CB254" s="532"/>
      <c r="CC254" s="532"/>
      <c r="CD254" s="532"/>
      <c r="CE254" s="532"/>
      <c r="CF254" s="532"/>
      <c r="CG254" s="532"/>
      <c r="CH254" s="532"/>
      <c r="CI254" s="532"/>
      <c r="CJ254" s="532"/>
      <c r="CK254" s="532"/>
      <c r="CL254" s="532"/>
      <c r="CM254" s="532"/>
      <c r="CN254" s="532"/>
      <c r="CO254" s="532"/>
      <c r="CP254" s="532"/>
      <c r="CQ254" s="532"/>
      <c r="CR254" s="532"/>
      <c r="CS254" s="532"/>
      <c r="CT254" s="532"/>
      <c r="CU254" s="532"/>
      <c r="CV254" s="532"/>
      <c r="CW254" s="532"/>
      <c r="CX254" s="532"/>
      <c r="CY254" s="532"/>
      <c r="CZ254" s="532"/>
      <c r="DA254" s="532"/>
      <c r="DB254" s="532"/>
      <c r="DC254" s="532"/>
      <c r="DD254" s="532"/>
      <c r="DE254" s="532"/>
      <c r="DF254" s="532"/>
      <c r="DG254" s="532"/>
      <c r="DH254" s="532"/>
      <c r="DI254" s="532"/>
      <c r="DJ254" s="532"/>
      <c r="DK254" s="532"/>
      <c r="DL254" s="126"/>
      <c r="DM254" s="126"/>
      <c r="DN254" s="126"/>
      <c r="DO254" s="126"/>
      <c r="DP254" s="126"/>
      <c r="DQ254" s="126"/>
      <c r="DR254" s="126"/>
      <c r="DS254" s="126"/>
      <c r="DT254" s="126"/>
      <c r="DU254" s="126"/>
      <c r="DV254" s="126"/>
      <c r="DW254" s="126"/>
      <c r="DX254" s="126"/>
      <c r="DY254" s="126"/>
      <c r="DZ254" s="126"/>
      <c r="EA254" s="126"/>
      <c r="EB254" s="126"/>
      <c r="EC254" s="126"/>
      <c r="ED254" s="126"/>
      <c r="EE254" s="126"/>
      <c r="EF254" s="126"/>
      <c r="EG254" s="126"/>
      <c r="EH254" s="126"/>
      <c r="EI254" s="126"/>
      <c r="EJ254" s="126"/>
      <c r="EK254" s="126"/>
      <c r="EL254" s="126"/>
      <c r="EM254" s="126"/>
      <c r="EN254" s="126"/>
      <c r="EO254" s="126"/>
      <c r="EP254" s="126"/>
      <c r="EQ254" s="126"/>
      <c r="ER254" s="126"/>
      <c r="ES254" s="126"/>
      <c r="ET254" s="126"/>
      <c r="EU254" s="126"/>
      <c r="EV254" s="126"/>
      <c r="EW254" s="126"/>
      <c r="EX254" s="126"/>
      <c r="EY254" s="126"/>
      <c r="EZ254" s="126"/>
      <c r="FA254" s="43"/>
      <c r="FB254" s="43"/>
      <c r="FC254" s="43"/>
      <c r="FD254" s="43"/>
      <c r="FE254" s="43"/>
      <c r="FF254" s="43"/>
      <c r="FG254" s="43"/>
      <c r="FH254" s="43"/>
      <c r="FI254" s="79"/>
      <c r="FJ254" s="79"/>
      <c r="FK254" s="79"/>
      <c r="FL254" s="79"/>
      <c r="FM254" s="338"/>
      <c r="FN254" s="78"/>
      <c r="FO254" s="78"/>
      <c r="FP254" s="78"/>
      <c r="FQ254" s="78"/>
      <c r="FR254" s="78"/>
      <c r="FS254" s="47"/>
      <c r="FT254" s="47"/>
      <c r="FU254" s="47"/>
      <c r="FV254" s="47"/>
      <c r="FW254" s="47"/>
      <c r="FX254" s="47"/>
      <c r="FY254" s="32"/>
      <c r="FZ254" s="32"/>
      <c r="GA254" s="32"/>
      <c r="GB254" s="32"/>
      <c r="GC254" s="32"/>
      <c r="GD254" s="32"/>
      <c r="GE254" s="32"/>
      <c r="GF254" s="32"/>
      <c r="GG254" s="32"/>
      <c r="GH254" s="32"/>
      <c r="GI254" s="32"/>
      <c r="GJ254" s="32"/>
      <c r="GK254" s="32"/>
      <c r="GL254" s="32"/>
      <c r="GM254" s="49"/>
      <c r="GN254" s="49"/>
      <c r="GO254" s="49"/>
      <c r="GP254" s="49"/>
      <c r="GQ254" s="49"/>
      <c r="GR254" s="49"/>
      <c r="GS254" s="49"/>
      <c r="GT254" s="49"/>
      <c r="GU254" s="49"/>
      <c r="GV254" s="49"/>
      <c r="GW254" s="49"/>
      <c r="GX254" s="49"/>
      <c r="GY254" s="49"/>
      <c r="GZ254" s="49"/>
      <c r="HA254" s="49"/>
      <c r="HB254" s="49"/>
      <c r="HC254" s="49"/>
      <c r="HD254" s="49"/>
      <c r="HE254" s="49"/>
      <c r="HF254" s="49"/>
      <c r="HG254" s="49"/>
      <c r="HH254" s="49"/>
      <c r="HI254" s="49"/>
      <c r="HJ254" s="49"/>
      <c r="HK254" s="49"/>
      <c r="HL254" s="49"/>
      <c r="HM254" s="49"/>
      <c r="HN254" s="49"/>
    </row>
    <row r="255" spans="1:222" ht="16.5" customHeight="1">
      <c r="A255" s="1"/>
      <c r="B255" s="3"/>
      <c r="C255" s="3"/>
      <c r="D255" s="532"/>
      <c r="E255" s="532"/>
      <c r="F255" s="532"/>
      <c r="G255" s="532"/>
      <c r="H255" s="532"/>
      <c r="I255" s="532"/>
      <c r="J255" s="532"/>
      <c r="K255" s="532"/>
      <c r="L255" s="532"/>
      <c r="M255" s="532"/>
      <c r="N255" s="532"/>
      <c r="O255" s="532"/>
      <c r="P255" s="532"/>
      <c r="Q255" s="532"/>
      <c r="R255" s="532"/>
      <c r="S255" s="532"/>
      <c r="T255" s="532"/>
      <c r="U255" s="532"/>
      <c r="V255" s="532"/>
      <c r="W255" s="532"/>
      <c r="X255" s="532"/>
      <c r="Y255" s="532"/>
      <c r="Z255" s="532"/>
      <c r="AA255" s="532"/>
      <c r="AB255" s="532"/>
      <c r="AC255" s="532"/>
      <c r="AD255" s="532"/>
      <c r="AE255" s="532"/>
      <c r="AF255" s="532"/>
      <c r="AG255" s="532"/>
      <c r="AH255" s="532"/>
      <c r="AI255" s="532"/>
      <c r="AJ255" s="532"/>
      <c r="AK255" s="532"/>
      <c r="AL255" s="532"/>
      <c r="AM255" s="532"/>
      <c r="AN255" s="532"/>
      <c r="AO255" s="532"/>
      <c r="AP255" s="532"/>
      <c r="AQ255" s="532"/>
      <c r="AR255" s="532"/>
      <c r="AS255" s="532"/>
      <c r="AT255" s="532"/>
      <c r="AU255" s="532"/>
      <c r="AV255" s="532"/>
      <c r="AW255" s="532"/>
      <c r="AX255" s="532"/>
      <c r="AY255" s="532"/>
      <c r="AZ255" s="532"/>
      <c r="BA255" s="532"/>
      <c r="BB255" s="532"/>
      <c r="BC255" s="532"/>
      <c r="BD255" s="532"/>
      <c r="BE255" s="532"/>
      <c r="BF255" s="532"/>
      <c r="BG255" s="532"/>
      <c r="BH255" s="532"/>
      <c r="BI255" s="532"/>
      <c r="BJ255" s="532"/>
      <c r="BK255" s="532"/>
      <c r="BL255" s="532"/>
      <c r="BM255" s="532"/>
      <c r="BN255" s="532"/>
      <c r="BO255" s="532"/>
      <c r="BP255" s="532"/>
      <c r="BQ255" s="532"/>
      <c r="BR255" s="532"/>
      <c r="BS255" s="532"/>
      <c r="BT255" s="532"/>
      <c r="BU255" s="532"/>
      <c r="BV255" s="532"/>
      <c r="BW255" s="532"/>
      <c r="BX255" s="532"/>
      <c r="BY255" s="532"/>
      <c r="BZ255" s="532"/>
      <c r="CA255" s="532"/>
      <c r="CB255" s="532"/>
      <c r="CC255" s="532"/>
      <c r="CD255" s="532"/>
      <c r="CE255" s="532"/>
      <c r="CF255" s="532"/>
      <c r="CG255" s="532"/>
      <c r="CH255" s="532"/>
      <c r="CI255" s="532"/>
      <c r="CJ255" s="532"/>
      <c r="CK255" s="532"/>
      <c r="CL255" s="532"/>
      <c r="CM255" s="532"/>
      <c r="CN255" s="532"/>
      <c r="CO255" s="532"/>
      <c r="CP255" s="532"/>
      <c r="CQ255" s="532"/>
      <c r="CR255" s="532"/>
      <c r="CS255" s="532"/>
      <c r="CT255" s="532"/>
      <c r="CU255" s="532"/>
      <c r="CV255" s="532"/>
      <c r="CW255" s="532"/>
      <c r="CX255" s="532"/>
      <c r="CY255" s="532"/>
      <c r="CZ255" s="532"/>
      <c r="DA255" s="532"/>
      <c r="DB255" s="532"/>
      <c r="DC255" s="532"/>
      <c r="DD255" s="532"/>
      <c r="DE255" s="532"/>
      <c r="DF255" s="532"/>
      <c r="DG255" s="532"/>
      <c r="DH255" s="532"/>
      <c r="DI255" s="532"/>
      <c r="DJ255" s="532"/>
      <c r="DK255" s="532"/>
      <c r="DL255" s="126"/>
      <c r="DM255" s="126"/>
      <c r="DN255" s="126"/>
      <c r="DO255" s="126"/>
      <c r="DP255" s="126"/>
      <c r="DQ255" s="126"/>
      <c r="DR255" s="126"/>
      <c r="DS255" s="126"/>
      <c r="DT255" s="126"/>
      <c r="DU255" s="126"/>
      <c r="DV255" s="126"/>
      <c r="DW255" s="126"/>
      <c r="DX255" s="126"/>
      <c r="DY255" s="126"/>
      <c r="DZ255" s="126"/>
      <c r="EA255" s="126"/>
      <c r="EB255" s="126"/>
      <c r="EC255" s="126"/>
      <c r="ED255" s="126"/>
      <c r="EE255" s="126"/>
      <c r="EF255" s="126"/>
      <c r="EG255" s="126"/>
      <c r="EH255" s="126"/>
      <c r="EI255" s="126"/>
      <c r="EJ255" s="126"/>
      <c r="EK255" s="126"/>
      <c r="EL255" s="126"/>
      <c r="EM255" s="126"/>
      <c r="EN255" s="126"/>
      <c r="EO255" s="126"/>
      <c r="EP255" s="126"/>
      <c r="EQ255" s="126"/>
      <c r="ER255" s="126"/>
      <c r="ES255" s="126"/>
      <c r="ET255" s="126"/>
      <c r="EU255" s="126"/>
      <c r="EV255" s="126"/>
      <c r="EW255" s="126"/>
      <c r="EX255" s="126"/>
      <c r="EY255" s="126"/>
      <c r="EZ255" s="126"/>
      <c r="FA255" s="43"/>
      <c r="FB255" s="43"/>
      <c r="FC255" s="43"/>
      <c r="FD255" s="43"/>
      <c r="FE255" s="43"/>
      <c r="FF255" s="43"/>
      <c r="FG255" s="43"/>
      <c r="FH255" s="43"/>
      <c r="FI255" s="43"/>
      <c r="FJ255" s="43"/>
      <c r="FK255" s="43"/>
      <c r="FL255" s="79"/>
      <c r="FM255" s="338"/>
      <c r="FN255" s="78"/>
      <c r="FO255" s="78"/>
      <c r="FP255" s="78"/>
      <c r="FQ255" s="78"/>
      <c r="FR255" s="78"/>
      <c r="FS255" s="47"/>
      <c r="FT255" s="47"/>
      <c r="FU255" s="47"/>
      <c r="FV255" s="47"/>
      <c r="FW255" s="47"/>
      <c r="FX255" s="47"/>
      <c r="FY255" s="32"/>
      <c r="FZ255" s="32"/>
      <c r="GA255" s="32"/>
      <c r="GB255" s="32"/>
      <c r="GC255" s="32"/>
      <c r="GD255" s="32"/>
      <c r="GE255" s="32"/>
      <c r="GF255" s="32"/>
      <c r="GG255" s="32"/>
      <c r="GH255" s="32"/>
      <c r="GI255" s="32"/>
      <c r="GJ255" s="32"/>
      <c r="GK255" s="32"/>
      <c r="GL255" s="32"/>
      <c r="GM255" s="49"/>
      <c r="GN255" s="49"/>
      <c r="GO255" s="49"/>
      <c r="GP255" s="49"/>
      <c r="GQ255" s="49"/>
      <c r="GR255" s="49"/>
      <c r="GS255" s="49"/>
      <c r="GT255" s="49"/>
      <c r="GU255" s="49"/>
      <c r="GV255" s="49"/>
      <c r="GW255" s="49"/>
      <c r="GX255" s="49"/>
      <c r="GY255" s="49"/>
      <c r="GZ255" s="49"/>
      <c r="HA255" s="49"/>
      <c r="HB255" s="49"/>
      <c r="HC255" s="49"/>
      <c r="HD255" s="49"/>
      <c r="HE255" s="49"/>
      <c r="HF255" s="49"/>
      <c r="HG255" s="49"/>
      <c r="HH255" s="49"/>
      <c r="HI255" s="49"/>
      <c r="HJ255" s="49"/>
      <c r="HK255" s="49"/>
      <c r="HL255" s="49"/>
      <c r="HM255" s="49"/>
      <c r="HN255" s="49"/>
    </row>
    <row r="256" spans="1:222" ht="3.75" customHeight="1">
      <c r="A256" s="1"/>
      <c r="B256" s="3"/>
      <c r="C256" s="3"/>
      <c r="D256" s="124"/>
      <c r="E256" s="38"/>
      <c r="F256" s="38"/>
      <c r="G256" s="38"/>
      <c r="H256" s="38"/>
      <c r="I256" s="38"/>
      <c r="J256" s="79"/>
      <c r="K256" s="79"/>
      <c r="L256" s="41"/>
      <c r="M256" s="42"/>
      <c r="N256" s="41"/>
      <c r="O256" s="41"/>
      <c r="P256" s="41"/>
      <c r="Q256" s="41"/>
      <c r="R256" s="41"/>
      <c r="S256" s="79"/>
      <c r="T256" s="197"/>
      <c r="U256" s="197"/>
      <c r="V256" s="197"/>
      <c r="W256" s="197"/>
      <c r="X256" s="197"/>
      <c r="Y256" s="197"/>
      <c r="Z256" s="197"/>
      <c r="AA256" s="197"/>
      <c r="AB256" s="197"/>
      <c r="AC256" s="197"/>
      <c r="AD256" s="197"/>
      <c r="AE256" s="197"/>
      <c r="AF256" s="197"/>
      <c r="AG256" s="197"/>
      <c r="AH256" s="197"/>
      <c r="AI256" s="197"/>
      <c r="AJ256" s="197"/>
      <c r="AK256" s="197"/>
      <c r="AL256" s="197"/>
      <c r="AM256" s="197"/>
      <c r="AN256" s="197"/>
      <c r="AO256" s="197"/>
      <c r="AP256" s="197"/>
      <c r="AQ256" s="197"/>
      <c r="AR256" s="197"/>
      <c r="AS256" s="197"/>
      <c r="AT256" s="197"/>
      <c r="AU256" s="197"/>
      <c r="AV256" s="197"/>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197"/>
      <c r="CZ256" s="197"/>
      <c r="DA256" s="197"/>
      <c r="DB256" s="197"/>
      <c r="DC256" s="197"/>
      <c r="DD256" s="197"/>
      <c r="DE256" s="536" t="str">
        <f ca="1">IF(FO233=0,"",".")</f>
        <v/>
      </c>
      <c r="DF256" s="686"/>
      <c r="DG256" s="686"/>
      <c r="DH256" s="686"/>
      <c r="DI256" s="686"/>
      <c r="DJ256" s="686"/>
      <c r="DK256" s="686"/>
      <c r="DL256" s="43"/>
      <c r="DM256" s="43"/>
      <c r="DN256" s="43"/>
      <c r="DO256" s="43"/>
      <c r="DP256" s="43"/>
      <c r="DQ256" s="43"/>
      <c r="DR256" s="43"/>
      <c r="DS256" s="43"/>
      <c r="DT256" s="43"/>
      <c r="DU256" s="43"/>
      <c r="DV256" s="43"/>
      <c r="DW256" s="43"/>
      <c r="DX256" s="43"/>
      <c r="DY256" s="126"/>
      <c r="DZ256" s="126"/>
      <c r="EA256" s="126"/>
      <c r="EB256" s="126"/>
      <c r="EC256" s="126"/>
      <c r="ED256" s="126"/>
      <c r="EE256" s="126"/>
      <c r="EF256" s="126"/>
      <c r="EG256" s="126"/>
      <c r="EH256" s="126"/>
      <c r="EI256" s="126"/>
      <c r="EJ256" s="126"/>
      <c r="EK256" s="126"/>
      <c r="EL256" s="126"/>
      <c r="EM256" s="126"/>
      <c r="EN256" s="126"/>
      <c r="EO256" s="126"/>
      <c r="EP256" s="126"/>
      <c r="EQ256" s="126"/>
      <c r="ER256" s="126"/>
      <c r="ES256" s="126"/>
      <c r="ET256" s="126"/>
      <c r="EU256" s="126"/>
      <c r="EV256" s="126"/>
      <c r="EW256" s="126"/>
      <c r="EX256" s="126"/>
      <c r="EY256" s="126"/>
      <c r="EZ256" s="126"/>
      <c r="FA256" s="43"/>
      <c r="FB256" s="43"/>
      <c r="FC256" s="43"/>
      <c r="FD256" s="43"/>
      <c r="FE256" s="43"/>
      <c r="FF256" s="43"/>
      <c r="FG256" s="43"/>
      <c r="FH256" s="43"/>
      <c r="FI256" s="43"/>
      <c r="FJ256" s="43"/>
      <c r="FK256" s="43"/>
      <c r="FL256" s="79"/>
      <c r="FM256" s="338"/>
      <c r="FN256" s="78"/>
      <c r="FO256" s="78"/>
      <c r="FP256" s="78"/>
      <c r="FQ256" s="78"/>
      <c r="FR256" s="78"/>
      <c r="FS256" s="79"/>
      <c r="FT256" s="79"/>
      <c r="FU256" s="47"/>
      <c r="FV256" s="47"/>
      <c r="FW256" s="47"/>
      <c r="FX256" s="47"/>
      <c r="FY256" s="32"/>
      <c r="FZ256" s="32"/>
      <c r="GA256" s="32"/>
      <c r="GB256" s="32"/>
      <c r="GC256" s="32"/>
      <c r="GD256" s="32"/>
      <c r="GE256" s="32"/>
      <c r="GF256" s="32"/>
      <c r="GG256" s="32"/>
      <c r="GH256" s="32"/>
      <c r="GI256" s="32"/>
      <c r="GJ256" s="32"/>
      <c r="GK256" s="32"/>
      <c r="GL256" s="32"/>
      <c r="GM256" s="49"/>
      <c r="GN256" s="49"/>
      <c r="GO256" s="49"/>
      <c r="GP256" s="49"/>
      <c r="GQ256" s="49"/>
      <c r="GR256" s="49"/>
      <c r="GS256" s="49"/>
      <c r="GT256" s="49"/>
      <c r="GU256" s="49"/>
      <c r="GV256" s="49"/>
      <c r="GW256" s="49"/>
      <c r="GX256" s="49"/>
      <c r="GY256" s="49"/>
      <c r="GZ256" s="49"/>
      <c r="HA256" s="49"/>
      <c r="HB256" s="49"/>
      <c r="HC256" s="49"/>
      <c r="HD256" s="49"/>
      <c r="HE256" s="49"/>
      <c r="HF256" s="49"/>
      <c r="HG256" s="49"/>
      <c r="HH256" s="49"/>
      <c r="HI256" s="49"/>
      <c r="HJ256" s="49"/>
      <c r="HK256" s="49"/>
      <c r="HL256" s="49"/>
      <c r="HM256" s="49"/>
      <c r="HN256" s="49"/>
    </row>
    <row r="257" spans="1:222" ht="16.5" customHeight="1">
      <c r="A257" s="1"/>
      <c r="B257" s="3"/>
      <c r="C257" s="3"/>
      <c r="D257" s="124"/>
      <c r="E257" s="38"/>
      <c r="F257" s="38"/>
      <c r="G257" s="38"/>
      <c r="H257" s="38"/>
      <c r="I257" s="38"/>
      <c r="J257" s="79"/>
      <c r="K257" s="79"/>
      <c r="L257" s="41"/>
      <c r="M257" s="42"/>
      <c r="N257" s="41"/>
      <c r="O257" s="41"/>
      <c r="P257" s="41"/>
      <c r="Q257" s="79"/>
      <c r="R257" s="41"/>
      <c r="S257" s="79"/>
      <c r="T257" s="180"/>
      <c r="U257" s="200"/>
      <c r="V257" s="200"/>
      <c r="W257" s="200"/>
      <c r="X257" s="200"/>
      <c r="Y257" s="200"/>
      <c r="Z257" s="200"/>
      <c r="AA257" s="200"/>
      <c r="AB257" s="200"/>
      <c r="AC257" s="200"/>
      <c r="AD257" s="200"/>
      <c r="AE257" s="200"/>
      <c r="AF257" s="200"/>
      <c r="AG257" s="200"/>
      <c r="AH257" s="200"/>
      <c r="AI257" s="200"/>
      <c r="AJ257" s="200"/>
      <c r="AK257" s="200"/>
      <c r="AL257" s="200"/>
      <c r="AM257" s="200"/>
      <c r="AN257" s="200"/>
      <c r="AO257" s="200"/>
      <c r="AP257" s="181"/>
      <c r="AQ257" s="181"/>
      <c r="AR257" s="181"/>
      <c r="AS257" s="181"/>
      <c r="AT257" s="181"/>
      <c r="AU257" s="181"/>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197"/>
      <c r="CZ257" s="197"/>
      <c r="DA257" s="197"/>
      <c r="DB257" s="153" t="str">
        <f ca="1">IF(FO233=0,"","Hoeveelheid waarbij maximale winst wordt gemaakt:")</f>
        <v/>
      </c>
      <c r="DC257" s="197"/>
      <c r="DD257" s="197"/>
      <c r="DE257" s="195" t="str">
        <f ca="1">IF(FO233=0,"",".")</f>
        <v/>
      </c>
      <c r="DF257" s="537"/>
      <c r="DG257" s="537"/>
      <c r="DH257" s="537"/>
      <c r="DI257" s="537"/>
      <c r="DJ257" s="537"/>
      <c r="DK257" s="195" t="str">
        <f ca="1">IF(FO233=0,"",".")</f>
        <v/>
      </c>
      <c r="DL257" s="43"/>
      <c r="DM257" s="43"/>
      <c r="DN257" s="43"/>
      <c r="DO257" s="43"/>
      <c r="DP257" s="43"/>
      <c r="DQ257" s="43"/>
      <c r="DR257" s="43"/>
      <c r="DS257" s="43"/>
      <c r="DT257" s="43"/>
      <c r="DU257" s="43"/>
      <c r="DV257" s="43"/>
      <c r="DW257" s="43"/>
      <c r="DX257" s="43"/>
      <c r="DY257" s="126"/>
      <c r="DZ257" s="126"/>
      <c r="EA257" s="126"/>
      <c r="EB257" s="126"/>
      <c r="EC257" s="126"/>
      <c r="ED257" s="126"/>
      <c r="EE257" s="126"/>
      <c r="EF257" s="126"/>
      <c r="EG257" s="126"/>
      <c r="EH257" s="126"/>
      <c r="EI257" s="126"/>
      <c r="EJ257" s="126"/>
      <c r="EK257" s="126"/>
      <c r="EL257" s="126"/>
      <c r="EM257" s="126"/>
      <c r="EN257" s="126"/>
      <c r="EO257" s="126"/>
      <c r="EP257" s="126"/>
      <c r="EQ257" s="126"/>
      <c r="ER257" s="126"/>
      <c r="ES257" s="126"/>
      <c r="ET257" s="126"/>
      <c r="EU257" s="126"/>
      <c r="EV257" s="126"/>
      <c r="EW257" s="126"/>
      <c r="EX257" s="126"/>
      <c r="EY257" s="126"/>
      <c r="EZ257" s="126"/>
      <c r="FA257" s="43"/>
      <c r="FB257" s="43"/>
      <c r="FC257" s="43"/>
      <c r="FD257" s="43"/>
      <c r="FE257" s="43"/>
      <c r="FF257" s="43"/>
      <c r="FG257" s="43"/>
      <c r="FH257" s="43"/>
      <c r="FI257" s="43"/>
      <c r="FJ257" s="43"/>
      <c r="FK257" s="43"/>
      <c r="FL257" s="79"/>
      <c r="FM257" s="338"/>
      <c r="FN257" s="78"/>
      <c r="FO257" s="79">
        <f ca="1">IF(programma!B1="X",1,IF(FO233=0,0,IF(DF257=FU257,1,0)))</f>
        <v>0</v>
      </c>
      <c r="FP257" s="79">
        <f>IF(DF257="",0,1)</f>
        <v>0</v>
      </c>
      <c r="FQ257" s="93"/>
      <c r="FR257" s="93" t="s">
        <v>12</v>
      </c>
      <c r="FS257" s="93" t="s">
        <v>13</v>
      </c>
      <c r="FT257" s="93" t="s">
        <v>14</v>
      </c>
      <c r="FU257" s="93" t="s">
        <v>138</v>
      </c>
      <c r="FV257" s="93" t="s">
        <v>139</v>
      </c>
      <c r="FW257" s="93" t="s">
        <v>141</v>
      </c>
      <c r="FX257" s="93" t="s">
        <v>140</v>
      </c>
      <c r="FY257" s="32" t="s">
        <v>142</v>
      </c>
      <c r="FZ257" s="32"/>
      <c r="GA257" s="32"/>
      <c r="GB257" s="32"/>
      <c r="GC257" s="32"/>
      <c r="GD257" s="32"/>
      <c r="GE257" s="32"/>
      <c r="GF257" s="32"/>
      <c r="GG257" s="32"/>
      <c r="GH257" s="32"/>
      <c r="GI257" s="32"/>
      <c r="GJ257" s="32"/>
      <c r="GK257" s="32"/>
      <c r="GL257" s="32"/>
      <c r="GM257" s="49"/>
      <c r="GN257" s="49"/>
      <c r="GO257" s="49"/>
      <c r="GP257" s="49"/>
      <c r="GQ257" s="49"/>
      <c r="GR257" s="49"/>
      <c r="GS257" s="49"/>
      <c r="GT257" s="49"/>
      <c r="GU257" s="49"/>
      <c r="GV257" s="49"/>
      <c r="GW257" s="49"/>
      <c r="GX257" s="49"/>
      <c r="GY257" s="49"/>
      <c r="GZ257" s="49"/>
      <c r="HA257" s="49"/>
      <c r="HB257" s="49"/>
      <c r="HC257" s="49"/>
      <c r="HD257" s="49"/>
      <c r="HE257" s="49"/>
      <c r="HF257" s="49"/>
      <c r="HG257" s="49"/>
      <c r="HH257" s="49"/>
      <c r="HI257" s="49"/>
      <c r="HJ257" s="49"/>
      <c r="HK257" s="49"/>
      <c r="HL257" s="49"/>
      <c r="HM257" s="49"/>
      <c r="HN257" s="49"/>
    </row>
    <row r="258" spans="1:222" ht="3.75" customHeight="1">
      <c r="A258" s="1"/>
      <c r="B258" s="3"/>
      <c r="C258" s="3"/>
      <c r="D258" s="124"/>
      <c r="E258" s="38"/>
      <c r="F258" s="38"/>
      <c r="G258" s="38"/>
      <c r="H258" s="38"/>
      <c r="I258" s="38"/>
      <c r="J258" s="79"/>
      <c r="K258" s="79"/>
      <c r="L258" s="41"/>
      <c r="M258" s="42"/>
      <c r="N258" s="41"/>
      <c r="O258" s="41"/>
      <c r="P258" s="41"/>
      <c r="Q258" s="41"/>
      <c r="R258" s="41"/>
      <c r="S258" s="79"/>
      <c r="T258" s="197"/>
      <c r="U258" s="197"/>
      <c r="V258" s="197"/>
      <c r="W258" s="197"/>
      <c r="X258" s="197"/>
      <c r="Y258" s="197"/>
      <c r="Z258" s="197"/>
      <c r="AA258" s="197"/>
      <c r="AB258" s="197"/>
      <c r="AC258" s="197"/>
      <c r="AD258" s="197"/>
      <c r="AE258" s="197"/>
      <c r="AF258" s="197"/>
      <c r="AG258" s="197"/>
      <c r="AH258" s="197"/>
      <c r="AI258" s="197"/>
      <c r="AJ258" s="197"/>
      <c r="AK258" s="197"/>
      <c r="AL258" s="197"/>
      <c r="AM258" s="197"/>
      <c r="AN258" s="197"/>
      <c r="AO258" s="197"/>
      <c r="AP258" s="197"/>
      <c r="AQ258" s="197"/>
      <c r="AR258" s="197"/>
      <c r="AS258" s="197"/>
      <c r="AT258" s="197"/>
      <c r="AU258" s="197"/>
      <c r="AV258" s="197"/>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197"/>
      <c r="CZ258" s="197"/>
      <c r="DA258" s="197"/>
      <c r="DB258" s="197"/>
      <c r="DC258" s="197"/>
      <c r="DD258" s="197"/>
      <c r="DE258" s="536" t="str">
        <f ca="1">IF(FO233=0,"",".")</f>
        <v/>
      </c>
      <c r="DF258" s="686"/>
      <c r="DG258" s="686"/>
      <c r="DH258" s="686"/>
      <c r="DI258" s="686"/>
      <c r="DJ258" s="686"/>
      <c r="DK258" s="686"/>
      <c r="DL258" s="43"/>
      <c r="DM258" s="43"/>
      <c r="DN258" s="43"/>
      <c r="DO258" s="43"/>
      <c r="DP258" s="43"/>
      <c r="DQ258" s="43"/>
      <c r="DR258" s="43"/>
      <c r="DS258" s="43"/>
      <c r="DT258" s="43"/>
      <c r="DU258" s="43"/>
      <c r="DV258" s="43"/>
      <c r="DW258" s="43"/>
      <c r="DX258" s="43"/>
      <c r="DY258" s="126"/>
      <c r="DZ258" s="126"/>
      <c r="EA258" s="126"/>
      <c r="EB258" s="126"/>
      <c r="EC258" s="126"/>
      <c r="ED258" s="126"/>
      <c r="EE258" s="126"/>
      <c r="EF258" s="126"/>
      <c r="EG258" s="126"/>
      <c r="EH258" s="126"/>
      <c r="EI258" s="126"/>
      <c r="EJ258" s="126"/>
      <c r="EK258" s="126"/>
      <c r="EL258" s="126"/>
      <c r="EM258" s="126"/>
      <c r="EN258" s="126"/>
      <c r="EO258" s="126"/>
      <c r="EP258" s="126"/>
      <c r="EQ258" s="126"/>
      <c r="ER258" s="126"/>
      <c r="ES258" s="126"/>
      <c r="ET258" s="126"/>
      <c r="EU258" s="126"/>
      <c r="EV258" s="126"/>
      <c r="EW258" s="126"/>
      <c r="EX258" s="126"/>
      <c r="EY258" s="126"/>
      <c r="EZ258" s="126"/>
      <c r="FA258" s="43"/>
      <c r="FB258" s="43"/>
      <c r="FC258" s="43"/>
      <c r="FD258" s="43"/>
      <c r="FE258" s="43"/>
      <c r="FF258" s="43"/>
      <c r="FG258" s="43"/>
      <c r="FH258" s="43"/>
      <c r="FI258" s="43"/>
      <c r="FJ258" s="43"/>
      <c r="FK258" s="43"/>
      <c r="FL258" s="79"/>
      <c r="FM258" s="338"/>
      <c r="FN258" s="78"/>
      <c r="FO258" s="78"/>
      <c r="FP258" s="78"/>
      <c r="FQ258" s="78"/>
      <c r="FR258" s="78"/>
      <c r="FS258" s="79"/>
      <c r="FT258" s="79"/>
      <c r="FU258" s="47"/>
      <c r="FV258" s="47"/>
      <c r="FW258" s="47"/>
      <c r="FX258" s="47"/>
      <c r="FY258" s="32"/>
      <c r="FZ258" s="32"/>
      <c r="GA258" s="32"/>
      <c r="GB258" s="32"/>
      <c r="GC258" s="32"/>
      <c r="GD258" s="32"/>
      <c r="GE258" s="32"/>
      <c r="GF258" s="32"/>
      <c r="GG258" s="32"/>
      <c r="GH258" s="32"/>
      <c r="GI258" s="32"/>
      <c r="GJ258" s="32"/>
      <c r="GK258" s="32"/>
      <c r="GL258" s="32"/>
      <c r="GM258" s="49"/>
      <c r="GN258" s="49"/>
      <c r="GO258" s="49"/>
      <c r="GP258" s="49"/>
      <c r="GQ258" s="49"/>
      <c r="GR258" s="49"/>
      <c r="GS258" s="49"/>
      <c r="GT258" s="49"/>
      <c r="GU258" s="49"/>
      <c r="GV258" s="49"/>
      <c r="GW258" s="49"/>
      <c r="GX258" s="49"/>
      <c r="GY258" s="49"/>
      <c r="GZ258" s="49"/>
      <c r="HA258" s="49"/>
      <c r="HB258" s="49"/>
      <c r="HC258" s="49"/>
      <c r="HD258" s="49"/>
      <c r="HE258" s="49"/>
      <c r="HF258" s="49"/>
      <c r="HG258" s="49"/>
      <c r="HH258" s="49"/>
      <c r="HI258" s="49"/>
      <c r="HJ258" s="49"/>
      <c r="HK258" s="49"/>
      <c r="HL258" s="49"/>
      <c r="HM258" s="49"/>
      <c r="HN258" s="49"/>
    </row>
    <row r="259" spans="1:222" ht="6.75" customHeight="1">
      <c r="A259" s="1"/>
      <c r="B259" s="3"/>
      <c r="C259" s="3"/>
      <c r="D259" s="124"/>
      <c r="E259" s="38"/>
      <c r="F259" s="38"/>
      <c r="G259" s="38"/>
      <c r="H259" s="38"/>
      <c r="I259" s="38"/>
      <c r="J259" s="79"/>
      <c r="K259" s="79"/>
      <c r="L259" s="79"/>
      <c r="M259" s="79"/>
      <c r="N259" s="79"/>
      <c r="O259" s="79"/>
      <c r="P259" s="79"/>
      <c r="Q259" s="79"/>
      <c r="R259" s="79"/>
      <c r="S259" s="79"/>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26"/>
      <c r="CE259" s="126"/>
      <c r="CF259" s="126"/>
      <c r="CG259" s="126"/>
      <c r="CH259" s="126"/>
      <c r="CI259" s="126"/>
      <c r="CJ259" s="126"/>
      <c r="CK259" s="126"/>
      <c r="CL259" s="126"/>
      <c r="CM259" s="126"/>
      <c r="CN259" s="126"/>
      <c r="CO259" s="126"/>
      <c r="CP259" s="126"/>
      <c r="CQ259" s="126"/>
      <c r="CR259" s="126"/>
      <c r="CS259" s="126"/>
      <c r="CT259" s="126"/>
      <c r="CU259" s="126"/>
      <c r="CV259" s="126"/>
      <c r="CW259" s="126"/>
      <c r="CX259" s="126"/>
      <c r="CY259" s="126"/>
      <c r="CZ259" s="126"/>
      <c r="DA259" s="126"/>
      <c r="DB259" s="126"/>
      <c r="DC259" s="126"/>
      <c r="DD259" s="126"/>
      <c r="DE259" s="197"/>
      <c r="DF259" s="126"/>
      <c r="DG259" s="126"/>
      <c r="DH259" s="126"/>
      <c r="DI259" s="126"/>
      <c r="DJ259" s="126"/>
      <c r="DK259" s="126"/>
      <c r="DL259" s="43"/>
      <c r="DM259" s="43"/>
      <c r="DN259" s="43"/>
      <c r="DO259" s="43"/>
      <c r="DP259" s="43"/>
      <c r="DQ259" s="43"/>
      <c r="DR259" s="43"/>
      <c r="DS259" s="43"/>
      <c r="DT259" s="43"/>
      <c r="DU259" s="43"/>
      <c r="DV259" s="43"/>
      <c r="DW259" s="43"/>
      <c r="DX259" s="43"/>
      <c r="DY259" s="126"/>
      <c r="DZ259" s="126"/>
      <c r="EA259" s="126"/>
      <c r="EB259" s="126"/>
      <c r="EC259" s="126"/>
      <c r="ED259" s="126"/>
      <c r="EE259" s="126"/>
      <c r="EF259" s="126"/>
      <c r="EG259" s="126"/>
      <c r="EH259" s="126"/>
      <c r="EI259" s="126"/>
      <c r="EJ259" s="126"/>
      <c r="EK259" s="126"/>
      <c r="EL259" s="126"/>
      <c r="EM259" s="126"/>
      <c r="EN259" s="126"/>
      <c r="EO259" s="126"/>
      <c r="EP259" s="126"/>
      <c r="EQ259" s="126"/>
      <c r="ER259" s="126"/>
      <c r="ES259" s="126"/>
      <c r="ET259" s="126"/>
      <c r="EU259" s="126"/>
      <c r="EV259" s="126"/>
      <c r="EW259" s="126"/>
      <c r="EX259" s="126"/>
      <c r="EY259" s="126"/>
      <c r="EZ259" s="126"/>
      <c r="FA259" s="43"/>
      <c r="FB259" s="43"/>
      <c r="FC259" s="43"/>
      <c r="FD259" s="43"/>
      <c r="FE259" s="43"/>
      <c r="FF259" s="43"/>
      <c r="FG259" s="43"/>
      <c r="FH259" s="43"/>
      <c r="FI259" s="43"/>
      <c r="FJ259" s="43"/>
      <c r="FK259" s="43"/>
      <c r="FL259" s="79"/>
      <c r="FM259" s="338"/>
      <c r="FN259" s="78"/>
      <c r="FO259" s="78"/>
      <c r="FP259" s="78"/>
      <c r="FQ259" s="78"/>
      <c r="FR259" s="78"/>
      <c r="FS259" s="47"/>
      <c r="FT259" s="47"/>
      <c r="FU259" s="47"/>
      <c r="FV259" s="47"/>
      <c r="FW259" s="47"/>
      <c r="FX259" s="47"/>
      <c r="FY259" s="32"/>
      <c r="FZ259" s="32"/>
      <c r="GA259" s="32"/>
      <c r="GB259" s="32"/>
      <c r="GC259" s="32"/>
      <c r="GD259" s="32"/>
      <c r="GE259" s="32"/>
      <c r="GF259" s="32"/>
      <c r="GG259" s="32"/>
      <c r="GH259" s="32"/>
      <c r="GI259" s="32"/>
      <c r="GJ259" s="32"/>
      <c r="GK259" s="32"/>
      <c r="GL259" s="32"/>
      <c r="GM259" s="49"/>
      <c r="GN259" s="49"/>
      <c r="GO259" s="49"/>
      <c r="GP259" s="49"/>
      <c r="GQ259" s="49"/>
      <c r="GR259" s="49"/>
      <c r="GS259" s="49"/>
      <c r="GT259" s="49"/>
      <c r="GU259" s="49"/>
      <c r="GV259" s="49"/>
      <c r="GW259" s="49"/>
      <c r="GX259" s="49"/>
      <c r="GY259" s="49"/>
      <c r="GZ259" s="49"/>
      <c r="HA259" s="49"/>
      <c r="HB259" s="49"/>
      <c r="HC259" s="49"/>
      <c r="HD259" s="49"/>
      <c r="HE259" s="49"/>
      <c r="HF259" s="49"/>
      <c r="HG259" s="49"/>
      <c r="HH259" s="49"/>
      <c r="HI259" s="49"/>
      <c r="HJ259" s="49"/>
      <c r="HK259" s="49"/>
      <c r="HL259" s="49"/>
      <c r="HM259" s="49"/>
      <c r="HN259" s="49"/>
    </row>
    <row r="260" spans="1:222" ht="3.75" customHeight="1">
      <c r="A260" s="1"/>
      <c r="B260" s="3"/>
      <c r="C260" s="3"/>
      <c r="D260" s="124"/>
      <c r="E260" s="38"/>
      <c r="F260" s="38"/>
      <c r="G260" s="38"/>
      <c r="H260" s="38"/>
      <c r="I260" s="38"/>
      <c r="J260" s="79"/>
      <c r="K260" s="79"/>
      <c r="L260" s="41"/>
      <c r="M260" s="42"/>
      <c r="N260" s="41"/>
      <c r="O260" s="41"/>
      <c r="P260" s="41"/>
      <c r="Q260" s="41"/>
      <c r="R260" s="41"/>
      <c r="S260" s="79"/>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197"/>
      <c r="CZ260" s="197"/>
      <c r="DA260" s="197"/>
      <c r="DB260" s="197"/>
      <c r="DC260" s="197"/>
      <c r="DD260" s="197"/>
      <c r="DE260" s="536" t="str">
        <f ca="1">IF(FO233=0,"",".")</f>
        <v/>
      </c>
      <c r="DF260" s="686"/>
      <c r="DG260" s="686"/>
      <c r="DH260" s="686"/>
      <c r="DI260" s="686"/>
      <c r="DJ260" s="686"/>
      <c r="DK260" s="686"/>
      <c r="DL260" s="43"/>
      <c r="DM260" s="43"/>
      <c r="DN260" s="43"/>
      <c r="DO260" s="43"/>
      <c r="DP260" s="43"/>
      <c r="DQ260" s="43"/>
      <c r="DR260" s="43"/>
      <c r="DS260" s="43"/>
      <c r="DT260" s="43"/>
      <c r="DU260" s="43"/>
      <c r="DV260" s="43"/>
      <c r="DW260" s="43"/>
      <c r="DX260" s="43"/>
      <c r="DY260" s="126"/>
      <c r="DZ260" s="126"/>
      <c r="EA260" s="126"/>
      <c r="EB260" s="126"/>
      <c r="EC260" s="126"/>
      <c r="ED260" s="126"/>
      <c r="EE260" s="126"/>
      <c r="EF260" s="126"/>
      <c r="EG260" s="126"/>
      <c r="EH260" s="126"/>
      <c r="EI260" s="126"/>
      <c r="EJ260" s="126"/>
      <c r="EK260" s="126"/>
      <c r="EL260" s="126"/>
      <c r="EM260" s="126"/>
      <c r="EN260" s="126"/>
      <c r="EO260" s="126"/>
      <c r="EP260" s="126"/>
      <c r="EQ260" s="126"/>
      <c r="ER260" s="126"/>
      <c r="ES260" s="126"/>
      <c r="ET260" s="126"/>
      <c r="EU260" s="126"/>
      <c r="EV260" s="126"/>
      <c r="EW260" s="126"/>
      <c r="EX260" s="126"/>
      <c r="EY260" s="126"/>
      <c r="EZ260" s="126"/>
      <c r="FA260" s="43"/>
      <c r="FB260" s="43"/>
      <c r="FC260" s="43"/>
      <c r="FD260" s="43"/>
      <c r="FE260" s="43"/>
      <c r="FF260" s="43"/>
      <c r="FG260" s="43"/>
      <c r="FH260" s="43"/>
      <c r="FI260" s="43"/>
      <c r="FJ260" s="43"/>
      <c r="FK260" s="43"/>
      <c r="FL260" s="79"/>
      <c r="FM260" s="338"/>
      <c r="FN260" s="78"/>
      <c r="FO260" s="78"/>
      <c r="FP260" s="78"/>
      <c r="FQ260" s="78"/>
      <c r="FR260" s="78"/>
      <c r="FS260" s="79"/>
      <c r="FT260" s="79"/>
      <c r="FU260" s="47"/>
      <c r="FV260" s="47"/>
      <c r="FW260" s="47"/>
      <c r="FX260" s="47"/>
      <c r="FY260" s="32"/>
      <c r="FZ260" s="32"/>
      <c r="GA260" s="32"/>
      <c r="GB260" s="32"/>
      <c r="GC260" s="32"/>
      <c r="GD260" s="32"/>
      <c r="GE260" s="32"/>
      <c r="GF260" s="32"/>
      <c r="GG260" s="32"/>
      <c r="GH260" s="32"/>
      <c r="GI260" s="32"/>
      <c r="GJ260" s="32"/>
      <c r="GK260" s="32"/>
      <c r="GL260" s="32"/>
      <c r="GM260" s="49"/>
      <c r="GN260" s="49"/>
      <c r="GO260" s="49"/>
      <c r="GP260" s="49"/>
      <c r="GQ260" s="49"/>
      <c r="GR260" s="49"/>
      <c r="GS260" s="49"/>
      <c r="GT260" s="49"/>
      <c r="GU260" s="49"/>
      <c r="GV260" s="49"/>
      <c r="GW260" s="49"/>
      <c r="GX260" s="49"/>
      <c r="GY260" s="49"/>
      <c r="GZ260" s="49"/>
      <c r="HA260" s="49"/>
      <c r="HB260" s="49"/>
      <c r="HC260" s="49"/>
      <c r="HD260" s="49"/>
      <c r="HE260" s="49"/>
      <c r="HF260" s="49"/>
      <c r="HG260" s="49"/>
      <c r="HH260" s="49"/>
      <c r="HI260" s="49"/>
      <c r="HJ260" s="49"/>
      <c r="HK260" s="49"/>
      <c r="HL260" s="49"/>
      <c r="HM260" s="49"/>
      <c r="HN260" s="49"/>
    </row>
    <row r="261" spans="1:222" ht="16.5" customHeight="1">
      <c r="A261" s="1"/>
      <c r="B261" s="3"/>
      <c r="C261" s="3"/>
      <c r="D261" s="124"/>
      <c r="E261" s="38"/>
      <c r="F261" s="38"/>
      <c r="G261" s="38"/>
      <c r="H261" s="38"/>
      <c r="I261" s="38"/>
      <c r="J261" s="79"/>
      <c r="K261" s="79"/>
      <c r="L261" s="41"/>
      <c r="M261" s="42"/>
      <c r="N261" s="41"/>
      <c r="O261" s="41"/>
      <c r="P261" s="41"/>
      <c r="Q261" s="79"/>
      <c r="R261" s="41"/>
      <c r="S261" s="79"/>
      <c r="T261" s="180"/>
      <c r="U261" s="200"/>
      <c r="V261" s="200"/>
      <c r="W261" s="200"/>
      <c r="X261" s="200"/>
      <c r="Y261" s="200"/>
      <c r="Z261" s="200"/>
      <c r="AA261" s="200"/>
      <c r="AB261" s="200"/>
      <c r="AC261" s="200"/>
      <c r="AD261" s="200"/>
      <c r="AE261" s="200"/>
      <c r="AF261" s="200"/>
      <c r="AG261" s="200"/>
      <c r="AH261" s="200"/>
      <c r="AI261" s="200"/>
      <c r="AJ261" s="200"/>
      <c r="AK261" s="200"/>
      <c r="AL261" s="200"/>
      <c r="AM261" s="200"/>
      <c r="AN261" s="200"/>
      <c r="AO261" s="200"/>
      <c r="AP261" s="181"/>
      <c r="AQ261" s="181"/>
      <c r="AR261" s="181"/>
      <c r="AS261" s="181"/>
      <c r="AT261" s="181"/>
      <c r="AU261" s="181"/>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197"/>
      <c r="CZ261" s="197"/>
      <c r="DA261" s="197"/>
      <c r="DB261" s="153" t="str">
        <f ca="1">IF(FO233=0,"","Hoeveelheid waarbij maximale omzet wordt gemaakt:")</f>
        <v/>
      </c>
      <c r="DC261" s="197"/>
      <c r="DD261" s="197"/>
      <c r="DE261" s="195" t="str">
        <f ca="1">IF(FO233=0,"",".")</f>
        <v/>
      </c>
      <c r="DF261" s="537"/>
      <c r="DG261" s="537"/>
      <c r="DH261" s="537"/>
      <c r="DI261" s="537"/>
      <c r="DJ261" s="537"/>
      <c r="DK261" s="195" t="str">
        <f ca="1">IF(FO233=0,"",".")</f>
        <v/>
      </c>
      <c r="DL261" s="43"/>
      <c r="DM261" s="43"/>
      <c r="DN261" s="43"/>
      <c r="DO261" s="685" t="str">
        <f ca="1">IF(FO233=0,"",IF(FP257+FP261+FP265+FP269&lt;4,"",IF(FO257+FO261+FO265+FO269=4,"Prima!",IF(FO257+FO261+FO265+FO269=3,"Je hebt er één fout!",IF(FO257+FO261+FO265+FO269=2,"Je hebt er twee fout!",IF(FO257+FO261+FO265+FO269=1,"Je hebt er drie fout!","Je hebt ze allemaal fout!"))))))</f>
        <v/>
      </c>
      <c r="DP261" s="685"/>
      <c r="DQ261" s="685"/>
      <c r="DR261" s="685"/>
      <c r="DS261" s="685"/>
      <c r="DT261" s="685"/>
      <c r="DU261" s="685"/>
      <c r="DV261" s="685"/>
      <c r="DW261" s="685"/>
      <c r="DX261" s="685"/>
      <c r="DY261" s="685"/>
      <c r="DZ261" s="685"/>
      <c r="EA261" s="685"/>
      <c r="EB261" s="685"/>
      <c r="EC261" s="685"/>
      <c r="ED261" s="685"/>
      <c r="EE261" s="685"/>
      <c r="EF261" s="685"/>
      <c r="EG261" s="685"/>
      <c r="EH261" s="685"/>
      <c r="EI261" s="685"/>
      <c r="EJ261" s="685"/>
      <c r="EK261" s="685"/>
      <c r="EL261" s="685"/>
      <c r="EM261" s="685"/>
      <c r="EN261" s="685"/>
      <c r="EO261" s="685"/>
      <c r="EP261" s="685"/>
      <c r="EQ261" s="685"/>
      <c r="ER261" s="685"/>
      <c r="ES261" s="685"/>
      <c r="ET261" s="685"/>
      <c r="EU261" s="685"/>
      <c r="EV261" s="685"/>
      <c r="EW261" s="685"/>
      <c r="EX261" s="685"/>
      <c r="EY261" s="685"/>
      <c r="EZ261" s="685"/>
      <c r="FA261" s="685"/>
      <c r="FB261" s="685"/>
      <c r="FC261" s="685"/>
      <c r="FD261" s="685"/>
      <c r="FE261" s="685"/>
      <c r="FF261" s="685"/>
      <c r="FG261" s="685"/>
      <c r="FH261" s="685"/>
      <c r="FI261" s="685"/>
      <c r="FJ261" s="685"/>
      <c r="FK261" s="685"/>
      <c r="FL261" s="79"/>
      <c r="FM261" s="338"/>
      <c r="FN261" s="78"/>
      <c r="FO261" s="79">
        <f ca="1">IF(programma!B1="X",1,IF(FO233=0,0,IF(DF261=FV257,1,0)))</f>
        <v>0</v>
      </c>
      <c r="FP261" s="79">
        <f>IF(DF261="",0,1)</f>
        <v>0</v>
      </c>
      <c r="FQ261" s="93"/>
      <c r="FR261" s="93" t="str">
        <f ca="1">IF(FO1=0,"",FU257)</f>
        <v>D</v>
      </c>
      <c r="FS261" s="93" t="str">
        <f ca="1">IF(FO1=0,"",FV257)</f>
        <v>E</v>
      </c>
      <c r="FT261" s="93" t="str">
        <f ca="1">IF(FO1=0,"",FR257)</f>
        <v>A</v>
      </c>
      <c r="FU261" s="93" t="str">
        <f ca="1">IF(FO1=0,"",FW257)</f>
        <v>F</v>
      </c>
      <c r="FV261" s="93"/>
      <c r="FW261" s="93"/>
      <c r="FX261" s="93"/>
      <c r="FY261" s="32"/>
      <c r="FZ261" s="32"/>
      <c r="GA261" s="32"/>
      <c r="GB261" s="32"/>
      <c r="GC261" s="32"/>
      <c r="GD261" s="32"/>
      <c r="GE261" s="32"/>
      <c r="GF261" s="32"/>
      <c r="GG261" s="32"/>
      <c r="GH261" s="32"/>
      <c r="GI261" s="32"/>
      <c r="GJ261" s="32"/>
      <c r="GK261" s="32"/>
      <c r="GL261" s="32"/>
      <c r="GM261" s="49"/>
      <c r="GN261" s="49"/>
      <c r="GO261" s="49"/>
      <c r="GP261" s="49"/>
      <c r="GQ261" s="49"/>
      <c r="GR261" s="49"/>
      <c r="GS261" s="49"/>
      <c r="GT261" s="49"/>
      <c r="GU261" s="49"/>
      <c r="GV261" s="49"/>
      <c r="GW261" s="49"/>
      <c r="GX261" s="49"/>
      <c r="GY261" s="49"/>
      <c r="GZ261" s="49"/>
      <c r="HA261" s="49"/>
      <c r="HB261" s="49"/>
      <c r="HC261" s="49"/>
      <c r="HD261" s="49"/>
      <c r="HE261" s="49"/>
      <c r="HF261" s="49"/>
      <c r="HG261" s="49"/>
      <c r="HH261" s="49"/>
      <c r="HI261" s="49"/>
      <c r="HJ261" s="49"/>
      <c r="HK261" s="49"/>
      <c r="HL261" s="49"/>
      <c r="HM261" s="49"/>
      <c r="HN261" s="49"/>
    </row>
    <row r="262" spans="1:222" ht="3.75" customHeight="1">
      <c r="A262" s="1"/>
      <c r="B262" s="3"/>
      <c r="C262" s="3"/>
      <c r="D262" s="124"/>
      <c r="E262" s="38"/>
      <c r="F262" s="38"/>
      <c r="G262" s="38"/>
      <c r="H262" s="38"/>
      <c r="I262" s="38"/>
      <c r="J262" s="79"/>
      <c r="K262" s="79"/>
      <c r="L262" s="41"/>
      <c r="M262" s="42"/>
      <c r="N262" s="41"/>
      <c r="O262" s="41"/>
      <c r="P262" s="41"/>
      <c r="Q262" s="79"/>
      <c r="R262" s="41"/>
      <c r="S262" s="79"/>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197"/>
      <c r="CZ262" s="197"/>
      <c r="DA262" s="197"/>
      <c r="DB262" s="41"/>
      <c r="DC262" s="197"/>
      <c r="DD262" s="197"/>
      <c r="DE262" s="536" t="str">
        <f ca="1">IF(FO233=0,"",".")</f>
        <v/>
      </c>
      <c r="DF262" s="686"/>
      <c r="DG262" s="686"/>
      <c r="DH262" s="686"/>
      <c r="DI262" s="686"/>
      <c r="DJ262" s="686"/>
      <c r="DK262" s="686"/>
      <c r="DL262" s="43"/>
      <c r="DM262" s="43"/>
      <c r="DN262" s="43"/>
      <c r="DO262" s="685"/>
      <c r="DP262" s="685"/>
      <c r="DQ262" s="685"/>
      <c r="DR262" s="685"/>
      <c r="DS262" s="685"/>
      <c r="DT262" s="685"/>
      <c r="DU262" s="685"/>
      <c r="DV262" s="685"/>
      <c r="DW262" s="685"/>
      <c r="DX262" s="685"/>
      <c r="DY262" s="685"/>
      <c r="DZ262" s="685"/>
      <c r="EA262" s="685"/>
      <c r="EB262" s="685"/>
      <c r="EC262" s="685"/>
      <c r="ED262" s="685"/>
      <c r="EE262" s="685"/>
      <c r="EF262" s="685"/>
      <c r="EG262" s="685"/>
      <c r="EH262" s="685"/>
      <c r="EI262" s="685"/>
      <c r="EJ262" s="685"/>
      <c r="EK262" s="685"/>
      <c r="EL262" s="685"/>
      <c r="EM262" s="685"/>
      <c r="EN262" s="685"/>
      <c r="EO262" s="685"/>
      <c r="EP262" s="685"/>
      <c r="EQ262" s="685"/>
      <c r="ER262" s="685"/>
      <c r="ES262" s="685"/>
      <c r="ET262" s="685"/>
      <c r="EU262" s="685"/>
      <c r="EV262" s="685"/>
      <c r="EW262" s="685"/>
      <c r="EX262" s="685"/>
      <c r="EY262" s="685"/>
      <c r="EZ262" s="685"/>
      <c r="FA262" s="685"/>
      <c r="FB262" s="685"/>
      <c r="FC262" s="685"/>
      <c r="FD262" s="685"/>
      <c r="FE262" s="685"/>
      <c r="FF262" s="685"/>
      <c r="FG262" s="685"/>
      <c r="FH262" s="685"/>
      <c r="FI262" s="685"/>
      <c r="FJ262" s="685"/>
      <c r="FK262" s="685"/>
      <c r="FL262" s="79"/>
      <c r="FM262" s="338"/>
      <c r="FN262" s="78"/>
      <c r="FO262" s="78"/>
      <c r="FP262" s="78"/>
      <c r="FQ262" s="78"/>
      <c r="FR262" s="78"/>
      <c r="FS262" s="79"/>
      <c r="FT262" s="79"/>
      <c r="FU262" s="47"/>
      <c r="FV262" s="47"/>
      <c r="FW262" s="47"/>
      <c r="FX262" s="47"/>
      <c r="FY262" s="32"/>
      <c r="FZ262" s="32"/>
      <c r="GA262" s="32"/>
      <c r="GB262" s="32"/>
      <c r="GC262" s="32"/>
      <c r="GD262" s="32"/>
      <c r="GE262" s="32"/>
      <c r="GF262" s="32"/>
      <c r="GG262" s="32"/>
      <c r="GH262" s="32"/>
      <c r="GI262" s="32"/>
      <c r="GJ262" s="32"/>
      <c r="GK262" s="32"/>
      <c r="GL262" s="32"/>
      <c r="GM262" s="49"/>
      <c r="GN262" s="49"/>
      <c r="GO262" s="49"/>
      <c r="GP262" s="49"/>
      <c r="GQ262" s="49"/>
      <c r="GR262" s="49"/>
      <c r="GS262" s="49"/>
      <c r="GT262" s="49"/>
      <c r="GU262" s="49"/>
      <c r="GV262" s="49"/>
      <c r="GW262" s="49"/>
      <c r="GX262" s="49"/>
      <c r="GY262" s="49"/>
      <c r="GZ262" s="49"/>
      <c r="HA262" s="49"/>
      <c r="HB262" s="49"/>
      <c r="HC262" s="49"/>
      <c r="HD262" s="49"/>
      <c r="HE262" s="49"/>
      <c r="HF262" s="49"/>
      <c r="HG262" s="49"/>
      <c r="HH262" s="49"/>
      <c r="HI262" s="49"/>
      <c r="HJ262" s="49"/>
      <c r="HK262" s="49"/>
      <c r="HL262" s="49"/>
      <c r="HM262" s="49"/>
      <c r="HN262" s="49"/>
    </row>
    <row r="263" spans="1:222" ht="6.75" customHeight="1">
      <c r="A263" s="1"/>
      <c r="B263" s="3"/>
      <c r="C263" s="3"/>
      <c r="D263" s="124"/>
      <c r="E263" s="38"/>
      <c r="F263" s="38"/>
      <c r="G263" s="38"/>
      <c r="H263" s="38"/>
      <c r="I263" s="38"/>
      <c r="J263" s="79"/>
      <c r="K263" s="79"/>
      <c r="L263" s="79"/>
      <c r="M263" s="79"/>
      <c r="N263" s="79"/>
      <c r="O263" s="79"/>
      <c r="P263" s="79"/>
      <c r="Q263" s="79"/>
      <c r="R263" s="79"/>
      <c r="S263" s="79"/>
      <c r="T263" s="197"/>
      <c r="U263" s="197"/>
      <c r="V263" s="197"/>
      <c r="W263" s="197"/>
      <c r="X263" s="197"/>
      <c r="Y263" s="197"/>
      <c r="Z263" s="197"/>
      <c r="AA263" s="197"/>
      <c r="AB263" s="197"/>
      <c r="AC263" s="197"/>
      <c r="AD263" s="197"/>
      <c r="AE263" s="197"/>
      <c r="AF263" s="197"/>
      <c r="AG263" s="197"/>
      <c r="AH263" s="197"/>
      <c r="AI263" s="197"/>
      <c r="AJ263" s="197"/>
      <c r="AK263" s="197"/>
      <c r="AL263" s="197"/>
      <c r="AM263" s="197"/>
      <c r="AN263" s="197"/>
      <c r="AO263" s="197"/>
      <c r="AP263" s="197"/>
      <c r="AQ263" s="197"/>
      <c r="AR263" s="197"/>
      <c r="AS263" s="197"/>
      <c r="AT263" s="197"/>
      <c r="AU263" s="197"/>
      <c r="AV263" s="197"/>
      <c r="AW263" s="197"/>
      <c r="AX263" s="197"/>
      <c r="AY263" s="197"/>
      <c r="AZ263" s="197"/>
      <c r="BA263" s="197"/>
      <c r="BB263" s="197"/>
      <c r="BC263" s="197"/>
      <c r="BD263" s="197"/>
      <c r="BE263" s="197"/>
      <c r="BF263" s="197"/>
      <c r="BG263" s="197"/>
      <c r="BH263" s="197"/>
      <c r="BI263" s="197"/>
      <c r="BJ263" s="197"/>
      <c r="BK263" s="197"/>
      <c r="BL263" s="197"/>
      <c r="BM263" s="197"/>
      <c r="BN263" s="197"/>
      <c r="BO263" s="197"/>
      <c r="BP263" s="197"/>
      <c r="BQ263" s="197"/>
      <c r="BR263" s="197"/>
      <c r="BS263" s="197"/>
      <c r="BT263" s="197"/>
      <c r="BU263" s="197"/>
      <c r="BV263" s="197"/>
      <c r="BW263" s="197"/>
      <c r="BX263" s="197"/>
      <c r="BY263" s="197"/>
      <c r="BZ263" s="197"/>
      <c r="CA263" s="197"/>
      <c r="CB263" s="197"/>
      <c r="CC263" s="197"/>
      <c r="CD263" s="126"/>
      <c r="CE263" s="126"/>
      <c r="CF263" s="126"/>
      <c r="CG263" s="126"/>
      <c r="CH263" s="126"/>
      <c r="CI263" s="126"/>
      <c r="CJ263" s="126"/>
      <c r="CK263" s="126"/>
      <c r="CL263" s="126"/>
      <c r="CM263" s="126"/>
      <c r="CN263" s="126"/>
      <c r="CO263" s="126"/>
      <c r="CP263" s="126"/>
      <c r="CQ263" s="126"/>
      <c r="CR263" s="126"/>
      <c r="CS263" s="126"/>
      <c r="CT263" s="126"/>
      <c r="CU263" s="126"/>
      <c r="CV263" s="126"/>
      <c r="CW263" s="126"/>
      <c r="CX263" s="126"/>
      <c r="CY263" s="126"/>
      <c r="CZ263" s="126"/>
      <c r="DA263" s="126"/>
      <c r="DB263" s="43"/>
      <c r="DC263" s="126"/>
      <c r="DD263" s="126"/>
      <c r="DE263" s="197"/>
      <c r="DF263" s="126"/>
      <c r="DG263" s="126"/>
      <c r="DH263" s="126"/>
      <c r="DI263" s="126"/>
      <c r="DJ263" s="126"/>
      <c r="DK263" s="126"/>
      <c r="DL263" s="43"/>
      <c r="DM263" s="43"/>
      <c r="DN263" s="43"/>
      <c r="DO263" s="685"/>
      <c r="DP263" s="685"/>
      <c r="DQ263" s="685"/>
      <c r="DR263" s="685"/>
      <c r="DS263" s="685"/>
      <c r="DT263" s="685"/>
      <c r="DU263" s="685"/>
      <c r="DV263" s="685"/>
      <c r="DW263" s="685"/>
      <c r="DX263" s="685"/>
      <c r="DY263" s="685"/>
      <c r="DZ263" s="685"/>
      <c r="EA263" s="685"/>
      <c r="EB263" s="685"/>
      <c r="EC263" s="685"/>
      <c r="ED263" s="685"/>
      <c r="EE263" s="685"/>
      <c r="EF263" s="685"/>
      <c r="EG263" s="685"/>
      <c r="EH263" s="685"/>
      <c r="EI263" s="685"/>
      <c r="EJ263" s="685"/>
      <c r="EK263" s="685"/>
      <c r="EL263" s="685"/>
      <c r="EM263" s="685"/>
      <c r="EN263" s="685"/>
      <c r="EO263" s="685"/>
      <c r="EP263" s="685"/>
      <c r="EQ263" s="685"/>
      <c r="ER263" s="685"/>
      <c r="ES263" s="685"/>
      <c r="ET263" s="685"/>
      <c r="EU263" s="685"/>
      <c r="EV263" s="685"/>
      <c r="EW263" s="685"/>
      <c r="EX263" s="685"/>
      <c r="EY263" s="685"/>
      <c r="EZ263" s="685"/>
      <c r="FA263" s="685"/>
      <c r="FB263" s="685"/>
      <c r="FC263" s="685"/>
      <c r="FD263" s="685"/>
      <c r="FE263" s="685"/>
      <c r="FF263" s="685"/>
      <c r="FG263" s="685"/>
      <c r="FH263" s="685"/>
      <c r="FI263" s="685"/>
      <c r="FJ263" s="685"/>
      <c r="FK263" s="685"/>
      <c r="FL263" s="79"/>
      <c r="FM263" s="338"/>
      <c r="FN263" s="78"/>
      <c r="FO263" s="78"/>
      <c r="FP263" s="78"/>
      <c r="FQ263" s="78"/>
      <c r="FR263" s="78"/>
      <c r="FS263" s="47"/>
      <c r="FT263" s="47"/>
      <c r="FU263" s="47"/>
      <c r="FV263" s="47"/>
      <c r="FW263" s="47"/>
      <c r="FX263" s="47"/>
      <c r="FY263" s="32"/>
      <c r="FZ263" s="32"/>
      <c r="GA263" s="32"/>
      <c r="GB263" s="32"/>
      <c r="GC263" s="32"/>
      <c r="GD263" s="32"/>
      <c r="GE263" s="32"/>
      <c r="GF263" s="32"/>
      <c r="GG263" s="32"/>
      <c r="GH263" s="32"/>
      <c r="GI263" s="32"/>
      <c r="GJ263" s="32"/>
      <c r="GK263" s="32"/>
      <c r="GL263" s="32"/>
      <c r="GM263" s="49"/>
      <c r="GN263" s="49"/>
      <c r="GO263" s="49"/>
      <c r="GP263" s="49"/>
      <c r="GQ263" s="49"/>
      <c r="GR263" s="49"/>
      <c r="GS263" s="49"/>
      <c r="GT263" s="49"/>
      <c r="GU263" s="49"/>
      <c r="GV263" s="49"/>
      <c r="GW263" s="49"/>
      <c r="GX263" s="49"/>
      <c r="GY263" s="49"/>
      <c r="GZ263" s="49"/>
      <c r="HA263" s="49"/>
      <c r="HB263" s="49"/>
      <c r="HC263" s="49"/>
      <c r="HD263" s="49"/>
      <c r="HE263" s="49"/>
      <c r="HF263" s="49"/>
      <c r="HG263" s="49"/>
      <c r="HH263" s="49"/>
      <c r="HI263" s="49"/>
      <c r="HJ263" s="49"/>
      <c r="HK263" s="49"/>
      <c r="HL263" s="49"/>
      <c r="HM263" s="49"/>
      <c r="HN263" s="49"/>
    </row>
    <row r="264" spans="1:222" ht="3.75" customHeight="1">
      <c r="A264" s="1"/>
      <c r="B264" s="3"/>
      <c r="C264" s="3"/>
      <c r="D264" s="124"/>
      <c r="E264" s="38"/>
      <c r="F264" s="38"/>
      <c r="G264" s="38"/>
      <c r="H264" s="38"/>
      <c r="I264" s="38"/>
      <c r="J264" s="79"/>
      <c r="K264" s="79"/>
      <c r="L264" s="41"/>
      <c r="M264" s="42"/>
      <c r="N264" s="41"/>
      <c r="O264" s="41"/>
      <c r="P264" s="41"/>
      <c r="Q264" s="79"/>
      <c r="R264" s="41"/>
      <c r="S264" s="79"/>
      <c r="T264" s="197"/>
      <c r="U264" s="197"/>
      <c r="V264" s="197"/>
      <c r="W264" s="197"/>
      <c r="X264" s="197"/>
      <c r="Y264" s="197"/>
      <c r="Z264" s="197"/>
      <c r="AA264" s="197"/>
      <c r="AB264" s="197"/>
      <c r="AC264" s="197"/>
      <c r="AD264" s="197"/>
      <c r="AE264" s="197"/>
      <c r="AF264" s="197"/>
      <c r="AG264" s="197"/>
      <c r="AH264" s="197"/>
      <c r="AI264" s="197"/>
      <c r="AJ264" s="197"/>
      <c r="AK264" s="197"/>
      <c r="AL264" s="197"/>
      <c r="AM264" s="197"/>
      <c r="AN264" s="197"/>
      <c r="AO264" s="197"/>
      <c r="AP264" s="197"/>
      <c r="AQ264" s="197"/>
      <c r="AR264" s="197"/>
      <c r="AS264" s="197"/>
      <c r="AT264" s="197"/>
      <c r="AU264" s="197"/>
      <c r="AV264" s="197"/>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197"/>
      <c r="CZ264" s="197"/>
      <c r="DA264" s="197"/>
      <c r="DB264" s="41"/>
      <c r="DC264" s="197"/>
      <c r="DD264" s="197"/>
      <c r="DE264" s="536" t="str">
        <f ca="1">IF(FO233=0,"",".")</f>
        <v/>
      </c>
      <c r="DF264" s="686"/>
      <c r="DG264" s="686"/>
      <c r="DH264" s="686"/>
      <c r="DI264" s="686"/>
      <c r="DJ264" s="686"/>
      <c r="DK264" s="686"/>
      <c r="DL264" s="43"/>
      <c r="DM264" s="43"/>
      <c r="DN264" s="43"/>
      <c r="DO264" s="685"/>
      <c r="DP264" s="685"/>
      <c r="DQ264" s="685"/>
      <c r="DR264" s="685"/>
      <c r="DS264" s="685"/>
      <c r="DT264" s="685"/>
      <c r="DU264" s="685"/>
      <c r="DV264" s="685"/>
      <c r="DW264" s="685"/>
      <c r="DX264" s="685"/>
      <c r="DY264" s="685"/>
      <c r="DZ264" s="685"/>
      <c r="EA264" s="685"/>
      <c r="EB264" s="685"/>
      <c r="EC264" s="685"/>
      <c r="ED264" s="685"/>
      <c r="EE264" s="685"/>
      <c r="EF264" s="685"/>
      <c r="EG264" s="685"/>
      <c r="EH264" s="685"/>
      <c r="EI264" s="685"/>
      <c r="EJ264" s="685"/>
      <c r="EK264" s="685"/>
      <c r="EL264" s="685"/>
      <c r="EM264" s="685"/>
      <c r="EN264" s="685"/>
      <c r="EO264" s="685"/>
      <c r="EP264" s="685"/>
      <c r="EQ264" s="685"/>
      <c r="ER264" s="685"/>
      <c r="ES264" s="685"/>
      <c r="ET264" s="685"/>
      <c r="EU264" s="685"/>
      <c r="EV264" s="685"/>
      <c r="EW264" s="685"/>
      <c r="EX264" s="685"/>
      <c r="EY264" s="685"/>
      <c r="EZ264" s="685"/>
      <c r="FA264" s="685"/>
      <c r="FB264" s="685"/>
      <c r="FC264" s="685"/>
      <c r="FD264" s="685"/>
      <c r="FE264" s="685"/>
      <c r="FF264" s="685"/>
      <c r="FG264" s="685"/>
      <c r="FH264" s="685"/>
      <c r="FI264" s="685"/>
      <c r="FJ264" s="685"/>
      <c r="FK264" s="685"/>
      <c r="FL264" s="79"/>
      <c r="FM264" s="338"/>
      <c r="FN264" s="78"/>
      <c r="FO264" s="78"/>
      <c r="FP264" s="78"/>
      <c r="FQ264" s="78"/>
      <c r="FR264" s="78"/>
      <c r="FS264" s="79"/>
      <c r="FT264" s="79"/>
      <c r="FU264" s="47"/>
      <c r="FV264" s="47"/>
      <c r="FW264" s="47"/>
      <c r="FX264" s="47"/>
      <c r="FY264" s="32"/>
      <c r="FZ264" s="32"/>
      <c r="GA264" s="32"/>
      <c r="GB264" s="32"/>
      <c r="GC264" s="32"/>
      <c r="GD264" s="32"/>
      <c r="GE264" s="32"/>
      <c r="GF264" s="32"/>
      <c r="GG264" s="32"/>
      <c r="GH264" s="32"/>
      <c r="GI264" s="32"/>
      <c r="GJ264" s="32"/>
      <c r="GK264" s="32"/>
      <c r="GL264" s="32"/>
      <c r="GM264" s="49"/>
      <c r="GN264" s="49"/>
      <c r="GO264" s="49"/>
      <c r="GP264" s="49"/>
      <c r="GQ264" s="49"/>
      <c r="GR264" s="49"/>
      <c r="GS264" s="49"/>
      <c r="GT264" s="49"/>
      <c r="GU264" s="49"/>
      <c r="GV264" s="49"/>
      <c r="GW264" s="49"/>
      <c r="GX264" s="49"/>
      <c r="GY264" s="49"/>
      <c r="GZ264" s="49"/>
      <c r="HA264" s="49"/>
      <c r="HB264" s="49"/>
      <c r="HC264" s="49"/>
      <c r="HD264" s="49"/>
      <c r="HE264" s="49"/>
      <c r="HF264" s="49"/>
      <c r="HG264" s="49"/>
      <c r="HH264" s="49"/>
      <c r="HI264" s="49"/>
      <c r="HJ264" s="49"/>
      <c r="HK264" s="49"/>
      <c r="HL264" s="49"/>
      <c r="HM264" s="49"/>
      <c r="HN264" s="49"/>
    </row>
    <row r="265" spans="1:222" ht="16.5" customHeight="1">
      <c r="A265" s="1"/>
      <c r="B265" s="3"/>
      <c r="C265" s="3"/>
      <c r="D265" s="124"/>
      <c r="E265" s="38"/>
      <c r="F265" s="38"/>
      <c r="G265" s="38"/>
      <c r="H265" s="38"/>
      <c r="I265" s="38"/>
      <c r="J265" s="79"/>
      <c r="K265" s="79"/>
      <c r="L265" s="41"/>
      <c r="M265" s="42"/>
      <c r="N265" s="41"/>
      <c r="O265" s="41"/>
      <c r="P265" s="41"/>
      <c r="Q265" s="79"/>
      <c r="R265" s="41"/>
      <c r="S265" s="79"/>
      <c r="T265" s="180"/>
      <c r="U265" s="200"/>
      <c r="V265" s="200"/>
      <c r="W265" s="200"/>
      <c r="X265" s="200"/>
      <c r="Y265" s="200"/>
      <c r="Z265" s="200"/>
      <c r="AA265" s="200"/>
      <c r="AB265" s="200"/>
      <c r="AC265" s="200"/>
      <c r="AD265" s="200"/>
      <c r="AE265" s="200"/>
      <c r="AF265" s="200"/>
      <c r="AG265" s="200"/>
      <c r="AH265" s="200"/>
      <c r="AI265" s="200"/>
      <c r="AJ265" s="200"/>
      <c r="AK265" s="200"/>
      <c r="AL265" s="200"/>
      <c r="AM265" s="200"/>
      <c r="AN265" s="200"/>
      <c r="AO265" s="200"/>
      <c r="AP265" s="181"/>
      <c r="AQ265" s="181"/>
      <c r="AR265" s="181"/>
      <c r="AS265" s="181"/>
      <c r="AT265" s="181"/>
      <c r="AU265" s="181"/>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197"/>
      <c r="CZ265" s="197"/>
      <c r="DA265" s="197"/>
      <c r="DB265" s="153" t="str">
        <f ca="1">IF(FO233=0,"","Kleinste hoeveelheid waarbij sprake is van Break-even-afzet:")</f>
        <v/>
      </c>
      <c r="DC265" s="197"/>
      <c r="DD265" s="197"/>
      <c r="DE265" s="195" t="str">
        <f ca="1">IF(FO233=0,"",".")</f>
        <v/>
      </c>
      <c r="DF265" s="537"/>
      <c r="DG265" s="537"/>
      <c r="DH265" s="537"/>
      <c r="DI265" s="537"/>
      <c r="DJ265" s="537"/>
      <c r="DK265" s="195" t="str">
        <f ca="1">IF(FO233=0,"",".")</f>
        <v/>
      </c>
      <c r="DL265" s="43"/>
      <c r="DM265" s="43"/>
      <c r="DN265" s="43"/>
      <c r="DO265" s="685"/>
      <c r="DP265" s="685"/>
      <c r="DQ265" s="685"/>
      <c r="DR265" s="685"/>
      <c r="DS265" s="685"/>
      <c r="DT265" s="685"/>
      <c r="DU265" s="685"/>
      <c r="DV265" s="685"/>
      <c r="DW265" s="685"/>
      <c r="DX265" s="685"/>
      <c r="DY265" s="685"/>
      <c r="DZ265" s="685"/>
      <c r="EA265" s="685"/>
      <c r="EB265" s="685"/>
      <c r="EC265" s="685"/>
      <c r="ED265" s="685"/>
      <c r="EE265" s="685"/>
      <c r="EF265" s="685"/>
      <c r="EG265" s="685"/>
      <c r="EH265" s="685"/>
      <c r="EI265" s="685"/>
      <c r="EJ265" s="685"/>
      <c r="EK265" s="685"/>
      <c r="EL265" s="685"/>
      <c r="EM265" s="685"/>
      <c r="EN265" s="685"/>
      <c r="EO265" s="685"/>
      <c r="EP265" s="685"/>
      <c r="EQ265" s="685"/>
      <c r="ER265" s="685"/>
      <c r="ES265" s="685"/>
      <c r="ET265" s="685"/>
      <c r="EU265" s="685"/>
      <c r="EV265" s="685"/>
      <c r="EW265" s="685"/>
      <c r="EX265" s="685"/>
      <c r="EY265" s="685"/>
      <c r="EZ265" s="685"/>
      <c r="FA265" s="685"/>
      <c r="FB265" s="685"/>
      <c r="FC265" s="685"/>
      <c r="FD265" s="685"/>
      <c r="FE265" s="685"/>
      <c r="FF265" s="685"/>
      <c r="FG265" s="685"/>
      <c r="FH265" s="685"/>
      <c r="FI265" s="685"/>
      <c r="FJ265" s="685"/>
      <c r="FK265" s="685"/>
      <c r="FL265" s="79"/>
      <c r="FM265" s="338"/>
      <c r="FN265" s="78"/>
      <c r="FO265" s="79">
        <f ca="1">IF(programma!B1="X",1,IF(FO233=0,0,IF(DF265=FR257,1,0)))</f>
        <v>0</v>
      </c>
      <c r="FP265" s="79">
        <f>IF(DF265="",0,1)</f>
        <v>0</v>
      </c>
      <c r="FQ265" s="93"/>
      <c r="FR265" s="93"/>
      <c r="FS265" s="93"/>
      <c r="FT265" s="93"/>
      <c r="FU265" s="93"/>
      <c r="FV265" s="93"/>
      <c r="FW265" s="93"/>
      <c r="FX265" s="93"/>
      <c r="FY265" s="32"/>
      <c r="FZ265" s="32"/>
      <c r="GA265" s="32"/>
      <c r="GB265" s="32"/>
      <c r="GC265" s="32"/>
      <c r="GD265" s="32"/>
      <c r="GE265" s="32"/>
      <c r="GF265" s="32"/>
      <c r="GG265" s="32"/>
      <c r="GH265" s="32"/>
      <c r="GI265" s="32"/>
      <c r="GJ265" s="32"/>
      <c r="GK265" s="32"/>
      <c r="GL265" s="32"/>
      <c r="GM265" s="49"/>
      <c r="GN265" s="49"/>
      <c r="GO265" s="49"/>
      <c r="GP265" s="49"/>
      <c r="GQ265" s="49"/>
      <c r="GR265" s="49"/>
      <c r="GS265" s="49"/>
      <c r="GT265" s="49"/>
      <c r="GU265" s="49"/>
      <c r="GV265" s="49"/>
      <c r="GW265" s="49"/>
      <c r="GX265" s="49"/>
      <c r="GY265" s="49"/>
      <c r="GZ265" s="49"/>
      <c r="HA265" s="49"/>
      <c r="HB265" s="49"/>
      <c r="HC265" s="49"/>
      <c r="HD265" s="49"/>
      <c r="HE265" s="49"/>
      <c r="HF265" s="49"/>
      <c r="HG265" s="49"/>
      <c r="HH265" s="49"/>
      <c r="HI265" s="49"/>
      <c r="HJ265" s="49"/>
      <c r="HK265" s="49"/>
      <c r="HL265" s="49"/>
      <c r="HM265" s="49"/>
      <c r="HN265" s="49"/>
    </row>
    <row r="266" spans="1:222" ht="3.75" customHeight="1">
      <c r="A266" s="1"/>
      <c r="B266" s="3"/>
      <c r="C266" s="3"/>
      <c r="D266" s="124"/>
      <c r="E266" s="38"/>
      <c r="F266" s="38"/>
      <c r="G266" s="38"/>
      <c r="H266" s="38"/>
      <c r="I266" s="38"/>
      <c r="J266" s="79"/>
      <c r="K266" s="79"/>
      <c r="L266" s="41"/>
      <c r="M266" s="42"/>
      <c r="N266" s="41"/>
      <c r="O266" s="41"/>
      <c r="P266" s="41"/>
      <c r="Q266" s="79"/>
      <c r="R266" s="41"/>
      <c r="S266" s="79"/>
      <c r="T266" s="197"/>
      <c r="U266" s="197"/>
      <c r="V266" s="197"/>
      <c r="W266" s="197"/>
      <c r="X266" s="197"/>
      <c r="Y266" s="197"/>
      <c r="Z266" s="197"/>
      <c r="AA266" s="197"/>
      <c r="AB266" s="197"/>
      <c r="AC266" s="197"/>
      <c r="AD266" s="197"/>
      <c r="AE266" s="197"/>
      <c r="AF266" s="197"/>
      <c r="AG266" s="197"/>
      <c r="AH266" s="197"/>
      <c r="AI266" s="197"/>
      <c r="AJ266" s="197"/>
      <c r="AK266" s="197"/>
      <c r="AL266" s="197"/>
      <c r="AM266" s="197"/>
      <c r="AN266" s="197"/>
      <c r="AO266" s="197"/>
      <c r="AP266" s="197"/>
      <c r="AQ266" s="197"/>
      <c r="AR266" s="197"/>
      <c r="AS266" s="197"/>
      <c r="AT266" s="197"/>
      <c r="AU266" s="197"/>
      <c r="AV266" s="197"/>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197"/>
      <c r="CZ266" s="197"/>
      <c r="DA266" s="197"/>
      <c r="DB266" s="41"/>
      <c r="DC266" s="197"/>
      <c r="DD266" s="197"/>
      <c r="DE266" s="536" t="str">
        <f ca="1">IF(FO233=0,"",".")</f>
        <v/>
      </c>
      <c r="DF266" s="686"/>
      <c r="DG266" s="686"/>
      <c r="DH266" s="686"/>
      <c r="DI266" s="686"/>
      <c r="DJ266" s="686"/>
      <c r="DK266" s="686"/>
      <c r="DL266" s="43"/>
      <c r="DM266" s="43"/>
      <c r="DN266" s="43"/>
      <c r="DO266" s="211"/>
      <c r="DP266" s="211"/>
      <c r="DQ266" s="211"/>
      <c r="DR266" s="211"/>
      <c r="DS266" s="211"/>
      <c r="DT266" s="211"/>
      <c r="DU266" s="211"/>
      <c r="DV266" s="211"/>
      <c r="DW266" s="211"/>
      <c r="DX266" s="211"/>
      <c r="DY266" s="211"/>
      <c r="DZ266" s="211"/>
      <c r="EA266" s="211"/>
      <c r="EB266" s="211"/>
      <c r="EC266" s="211"/>
      <c r="ED266" s="211"/>
      <c r="EE266" s="211"/>
      <c r="EF266" s="211"/>
      <c r="EG266" s="211"/>
      <c r="EH266" s="211"/>
      <c r="EI266" s="211"/>
      <c r="EJ266" s="211"/>
      <c r="EK266" s="211"/>
      <c r="EL266" s="211"/>
      <c r="EM266" s="211"/>
      <c r="EN266" s="211"/>
      <c r="EO266" s="211"/>
      <c r="EP266" s="211"/>
      <c r="EQ266" s="211"/>
      <c r="ER266" s="211"/>
      <c r="ES266" s="211"/>
      <c r="ET266" s="211"/>
      <c r="EU266" s="211"/>
      <c r="EV266" s="211"/>
      <c r="EW266" s="211"/>
      <c r="EX266" s="211"/>
      <c r="EY266" s="211"/>
      <c r="EZ266" s="211"/>
      <c r="FA266" s="211"/>
      <c r="FB266" s="211"/>
      <c r="FC266" s="211"/>
      <c r="FD266" s="211"/>
      <c r="FE266" s="211"/>
      <c r="FF266" s="211"/>
      <c r="FG266" s="211"/>
      <c r="FH266" s="211"/>
      <c r="FI266" s="211"/>
      <c r="FJ266" s="211"/>
      <c r="FK266" s="211"/>
      <c r="FL266" s="79"/>
      <c r="FM266" s="338"/>
      <c r="FN266" s="78"/>
      <c r="FO266" s="78"/>
      <c r="FP266" s="78"/>
      <c r="FQ266" s="78"/>
      <c r="FR266" s="78"/>
      <c r="FS266" s="79"/>
      <c r="FT266" s="79"/>
      <c r="FU266" s="47"/>
      <c r="FV266" s="47"/>
      <c r="FW266" s="47"/>
      <c r="FX266" s="47"/>
      <c r="FY266" s="32"/>
      <c r="FZ266" s="32"/>
      <c r="GA266" s="32"/>
      <c r="GB266" s="32"/>
      <c r="GC266" s="32"/>
      <c r="GD266" s="32"/>
      <c r="GE266" s="32"/>
      <c r="GF266" s="32"/>
      <c r="GG266" s="32"/>
      <c r="GH266" s="32"/>
      <c r="GI266" s="32"/>
      <c r="GJ266" s="32"/>
      <c r="GK266" s="32"/>
      <c r="GL266" s="32"/>
      <c r="GM266" s="49"/>
      <c r="GN266" s="49"/>
      <c r="GO266" s="49"/>
      <c r="GP266" s="49"/>
      <c r="GQ266" s="49"/>
      <c r="GR266" s="49"/>
      <c r="GS266" s="49"/>
      <c r="GT266" s="49"/>
      <c r="GU266" s="49"/>
      <c r="GV266" s="49"/>
      <c r="GW266" s="49"/>
      <c r="GX266" s="49"/>
      <c r="GY266" s="49"/>
      <c r="GZ266" s="49"/>
      <c r="HA266" s="49"/>
      <c r="HB266" s="49"/>
      <c r="HC266" s="49"/>
      <c r="HD266" s="49"/>
      <c r="HE266" s="49"/>
      <c r="HF266" s="49"/>
      <c r="HG266" s="49"/>
      <c r="HH266" s="49"/>
      <c r="HI266" s="49"/>
      <c r="HJ266" s="49"/>
      <c r="HK266" s="49"/>
      <c r="HL266" s="49"/>
      <c r="HM266" s="49"/>
      <c r="HN266" s="49"/>
    </row>
    <row r="267" spans="1:222" ht="6.75" customHeight="1">
      <c r="A267" s="1"/>
      <c r="B267" s="3"/>
      <c r="C267" s="3"/>
      <c r="D267" s="124"/>
      <c r="E267" s="38"/>
      <c r="F267" s="38"/>
      <c r="G267" s="38"/>
      <c r="H267" s="38"/>
      <c r="I267" s="38"/>
      <c r="J267" s="79"/>
      <c r="K267" s="79"/>
      <c r="L267" s="79"/>
      <c r="M267" s="79"/>
      <c r="N267" s="79"/>
      <c r="O267" s="79"/>
      <c r="P267" s="79"/>
      <c r="Q267" s="79"/>
      <c r="R267" s="79"/>
      <c r="S267" s="79"/>
      <c r="T267" s="197"/>
      <c r="U267" s="197"/>
      <c r="V267" s="197"/>
      <c r="W267" s="197"/>
      <c r="X267" s="197"/>
      <c r="Y267" s="197"/>
      <c r="Z267" s="197"/>
      <c r="AA267" s="197"/>
      <c r="AB267" s="197"/>
      <c r="AC267" s="197"/>
      <c r="AD267" s="197"/>
      <c r="AE267" s="197"/>
      <c r="AF267" s="197"/>
      <c r="AG267" s="197"/>
      <c r="AH267" s="197"/>
      <c r="AI267" s="197"/>
      <c r="AJ267" s="197"/>
      <c r="AK267" s="197"/>
      <c r="AL267" s="197"/>
      <c r="AM267" s="197"/>
      <c r="AN267" s="197"/>
      <c r="AO267" s="197"/>
      <c r="AP267" s="197"/>
      <c r="AQ267" s="197"/>
      <c r="AR267" s="197"/>
      <c r="AS267" s="197"/>
      <c r="AT267" s="197"/>
      <c r="AU267" s="197"/>
      <c r="AV267" s="197"/>
      <c r="AW267" s="197"/>
      <c r="AX267" s="197"/>
      <c r="AY267" s="197"/>
      <c r="AZ267" s="197"/>
      <c r="BA267" s="197"/>
      <c r="BB267" s="197"/>
      <c r="BC267" s="197"/>
      <c r="BD267" s="197"/>
      <c r="BE267" s="197"/>
      <c r="BF267" s="197"/>
      <c r="BG267" s="197"/>
      <c r="BH267" s="197"/>
      <c r="BI267" s="197"/>
      <c r="BJ267" s="197"/>
      <c r="BK267" s="197"/>
      <c r="BL267" s="197"/>
      <c r="BM267" s="197"/>
      <c r="BN267" s="197"/>
      <c r="BO267" s="197"/>
      <c r="BP267" s="197"/>
      <c r="BQ267" s="197"/>
      <c r="BR267" s="197"/>
      <c r="BS267" s="197"/>
      <c r="BT267" s="197"/>
      <c r="BU267" s="197"/>
      <c r="BV267" s="197"/>
      <c r="BW267" s="197"/>
      <c r="BX267" s="197"/>
      <c r="BY267" s="197"/>
      <c r="BZ267" s="197"/>
      <c r="CA267" s="197"/>
      <c r="CB267" s="197"/>
      <c r="CC267" s="197"/>
      <c r="CD267" s="126"/>
      <c r="CE267" s="126"/>
      <c r="CF267" s="126"/>
      <c r="CG267" s="126"/>
      <c r="CH267" s="126"/>
      <c r="CI267" s="126"/>
      <c r="CJ267" s="126"/>
      <c r="CK267" s="126"/>
      <c r="CL267" s="126"/>
      <c r="CM267" s="126"/>
      <c r="CN267" s="126"/>
      <c r="CO267" s="126"/>
      <c r="CP267" s="126"/>
      <c r="CQ267" s="126"/>
      <c r="CR267" s="126"/>
      <c r="CS267" s="126"/>
      <c r="CT267" s="126"/>
      <c r="CU267" s="126"/>
      <c r="CV267" s="126"/>
      <c r="CW267" s="126"/>
      <c r="CX267" s="126"/>
      <c r="CY267" s="126"/>
      <c r="CZ267" s="126"/>
      <c r="DA267" s="126"/>
      <c r="DB267" s="43"/>
      <c r="DC267" s="126"/>
      <c r="DD267" s="126"/>
      <c r="DE267" s="197"/>
      <c r="DF267" s="126"/>
      <c r="DG267" s="126"/>
      <c r="DH267" s="126"/>
      <c r="DI267" s="126"/>
      <c r="DJ267" s="126"/>
      <c r="DK267" s="126"/>
      <c r="DL267" s="43"/>
      <c r="DM267" s="43"/>
      <c r="DN267" s="43"/>
      <c r="DO267" s="211"/>
      <c r="DP267" s="211"/>
      <c r="DQ267" s="211"/>
      <c r="DR267" s="211"/>
      <c r="DS267" s="211"/>
      <c r="DT267" s="211"/>
      <c r="DU267" s="211"/>
      <c r="DV267" s="211"/>
      <c r="DW267" s="211"/>
      <c r="DX267" s="211"/>
      <c r="DY267" s="211"/>
      <c r="DZ267" s="211"/>
      <c r="EA267" s="211"/>
      <c r="EB267" s="211"/>
      <c r="EC267" s="211"/>
      <c r="ED267" s="211"/>
      <c r="EE267" s="211"/>
      <c r="EF267" s="211"/>
      <c r="EG267" s="211"/>
      <c r="EH267" s="211"/>
      <c r="EI267" s="211"/>
      <c r="EJ267" s="211"/>
      <c r="EK267" s="211"/>
      <c r="EL267" s="211"/>
      <c r="EM267" s="211"/>
      <c r="EN267" s="211"/>
      <c r="EO267" s="211"/>
      <c r="EP267" s="211"/>
      <c r="EQ267" s="211"/>
      <c r="ER267" s="211"/>
      <c r="ES267" s="211"/>
      <c r="ET267" s="211"/>
      <c r="EU267" s="211"/>
      <c r="EV267" s="211"/>
      <c r="EW267" s="211"/>
      <c r="EX267" s="211"/>
      <c r="EY267" s="211"/>
      <c r="EZ267" s="211"/>
      <c r="FA267" s="211"/>
      <c r="FB267" s="211"/>
      <c r="FC267" s="211"/>
      <c r="FD267" s="211"/>
      <c r="FE267" s="211"/>
      <c r="FF267" s="211"/>
      <c r="FG267" s="211"/>
      <c r="FH267" s="211"/>
      <c r="FI267" s="211"/>
      <c r="FJ267" s="211"/>
      <c r="FK267" s="211"/>
      <c r="FL267" s="79"/>
      <c r="FM267" s="338"/>
      <c r="FN267" s="78"/>
      <c r="FO267" s="78"/>
      <c r="FP267" s="78"/>
      <c r="FQ267" s="78"/>
      <c r="FR267" s="78"/>
      <c r="FS267" s="47"/>
      <c r="FT267" s="47"/>
      <c r="FU267" s="47"/>
      <c r="FV267" s="47"/>
      <c r="FW267" s="47"/>
      <c r="FX267" s="47"/>
      <c r="FY267" s="32"/>
      <c r="FZ267" s="32"/>
      <c r="GA267" s="32"/>
      <c r="GB267" s="32"/>
      <c r="GC267" s="32"/>
      <c r="GD267" s="32"/>
      <c r="GE267" s="32"/>
      <c r="GF267" s="32"/>
      <c r="GG267" s="32"/>
      <c r="GH267" s="32"/>
      <c r="GI267" s="32"/>
      <c r="GJ267" s="32"/>
      <c r="GK267" s="32"/>
      <c r="GL267" s="32"/>
      <c r="GM267" s="49"/>
      <c r="GN267" s="49"/>
      <c r="GO267" s="49"/>
      <c r="GP267" s="49"/>
      <c r="GQ267" s="49"/>
      <c r="GR267" s="49"/>
      <c r="GS267" s="49"/>
      <c r="GT267" s="49"/>
      <c r="GU267" s="49"/>
      <c r="GV267" s="49"/>
      <c r="GW267" s="49"/>
      <c r="GX267" s="49"/>
      <c r="GY267" s="49"/>
      <c r="GZ267" s="49"/>
      <c r="HA267" s="49"/>
      <c r="HB267" s="49"/>
      <c r="HC267" s="49"/>
      <c r="HD267" s="49"/>
      <c r="HE267" s="49"/>
      <c r="HF267" s="49"/>
      <c r="HG267" s="49"/>
      <c r="HH267" s="49"/>
      <c r="HI267" s="49"/>
      <c r="HJ267" s="49"/>
      <c r="HK267" s="49"/>
      <c r="HL267" s="49"/>
      <c r="HM267" s="49"/>
      <c r="HN267" s="49"/>
    </row>
    <row r="268" spans="1:222" ht="3.75" customHeight="1">
      <c r="A268" s="1"/>
      <c r="B268" s="3"/>
      <c r="C268" s="3"/>
      <c r="D268" s="124"/>
      <c r="E268" s="38"/>
      <c r="F268" s="38"/>
      <c r="G268" s="38"/>
      <c r="H268" s="38"/>
      <c r="I268" s="38"/>
      <c r="J268" s="79"/>
      <c r="K268" s="79"/>
      <c r="L268" s="41"/>
      <c r="M268" s="42"/>
      <c r="N268" s="41"/>
      <c r="O268" s="41"/>
      <c r="P268" s="41"/>
      <c r="Q268" s="79"/>
      <c r="R268" s="41"/>
      <c r="S268" s="79"/>
      <c r="T268" s="197"/>
      <c r="U268" s="197"/>
      <c r="V268" s="197"/>
      <c r="W268" s="197"/>
      <c r="X268" s="197"/>
      <c r="Y268" s="197"/>
      <c r="Z268" s="197"/>
      <c r="AA268" s="197"/>
      <c r="AB268" s="197"/>
      <c r="AC268" s="197"/>
      <c r="AD268" s="197"/>
      <c r="AE268" s="197"/>
      <c r="AF268" s="197"/>
      <c r="AG268" s="197"/>
      <c r="AH268" s="197"/>
      <c r="AI268" s="197"/>
      <c r="AJ268" s="197"/>
      <c r="AK268" s="197"/>
      <c r="AL268" s="197"/>
      <c r="AM268" s="197"/>
      <c r="AN268" s="197"/>
      <c r="AO268" s="197"/>
      <c r="AP268" s="197"/>
      <c r="AQ268" s="197"/>
      <c r="AR268" s="197"/>
      <c r="AS268" s="197"/>
      <c r="AT268" s="197"/>
      <c r="AU268" s="197"/>
      <c r="AV268" s="197"/>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197"/>
      <c r="CZ268" s="197"/>
      <c r="DA268" s="197"/>
      <c r="DB268" s="41"/>
      <c r="DC268" s="197"/>
      <c r="DD268" s="197"/>
      <c r="DE268" s="536" t="str">
        <f ca="1">IF(FO233=0,"",".")</f>
        <v/>
      </c>
      <c r="DF268" s="686"/>
      <c r="DG268" s="686"/>
      <c r="DH268" s="686"/>
      <c r="DI268" s="686"/>
      <c r="DJ268" s="686"/>
      <c r="DK268" s="686"/>
      <c r="DL268" s="43"/>
      <c r="DM268" s="43"/>
      <c r="DN268" s="43"/>
      <c r="DO268" s="211"/>
      <c r="DP268" s="211"/>
      <c r="DQ268" s="211"/>
      <c r="DR268" s="211"/>
      <c r="DS268" s="211"/>
      <c r="DT268" s="211"/>
      <c r="DU268" s="211"/>
      <c r="DV268" s="211"/>
      <c r="DW268" s="211"/>
      <c r="DX268" s="211"/>
      <c r="DY268" s="211"/>
      <c r="DZ268" s="211"/>
      <c r="EA268" s="211"/>
      <c r="EB268" s="211"/>
      <c r="EC268" s="211"/>
      <c r="ED268" s="211"/>
      <c r="EE268" s="211"/>
      <c r="EF268" s="211"/>
      <c r="EG268" s="211"/>
      <c r="EH268" s="211"/>
      <c r="EI268" s="211"/>
      <c r="EJ268" s="211"/>
      <c r="EK268" s="211"/>
      <c r="EL268" s="211"/>
      <c r="EM268" s="211"/>
      <c r="EN268" s="211"/>
      <c r="EO268" s="211"/>
      <c r="EP268" s="211"/>
      <c r="EQ268" s="211"/>
      <c r="ER268" s="211"/>
      <c r="ES268" s="211"/>
      <c r="ET268" s="211"/>
      <c r="EU268" s="211"/>
      <c r="EV268" s="211"/>
      <c r="EW268" s="211"/>
      <c r="EX268" s="211"/>
      <c r="EY268" s="211"/>
      <c r="EZ268" s="211"/>
      <c r="FA268" s="211"/>
      <c r="FB268" s="211"/>
      <c r="FC268" s="211"/>
      <c r="FD268" s="211"/>
      <c r="FE268" s="211"/>
      <c r="FF268" s="211"/>
      <c r="FG268" s="211"/>
      <c r="FH268" s="211"/>
      <c r="FI268" s="211"/>
      <c r="FJ268" s="211"/>
      <c r="FK268" s="211"/>
      <c r="FL268" s="79"/>
      <c r="FM268" s="338"/>
      <c r="FN268" s="78"/>
      <c r="FO268" s="78"/>
      <c r="FP268" s="78"/>
      <c r="FQ268" s="78"/>
      <c r="FR268" s="78"/>
      <c r="FS268" s="79"/>
      <c r="FT268" s="79"/>
      <c r="FU268" s="47"/>
      <c r="FV268" s="47"/>
      <c r="FW268" s="47"/>
      <c r="FX268" s="47"/>
      <c r="FY268" s="32"/>
      <c r="FZ268" s="32"/>
      <c r="GA268" s="32"/>
      <c r="GB268" s="32"/>
      <c r="GC268" s="32"/>
      <c r="GD268" s="32"/>
      <c r="GE268" s="32"/>
      <c r="GF268" s="32"/>
      <c r="GG268" s="32"/>
      <c r="GH268" s="32"/>
      <c r="GI268" s="32"/>
      <c r="GJ268" s="32"/>
      <c r="GK268" s="32"/>
      <c r="GL268" s="32"/>
      <c r="GM268" s="49"/>
      <c r="GN268" s="49"/>
      <c r="GO268" s="49"/>
      <c r="GP268" s="49"/>
      <c r="GQ268" s="49"/>
      <c r="GR268" s="49"/>
      <c r="GS268" s="49"/>
      <c r="GT268" s="49"/>
      <c r="GU268" s="49"/>
      <c r="GV268" s="49"/>
      <c r="GW268" s="49"/>
      <c r="GX268" s="49"/>
      <c r="GY268" s="49"/>
      <c r="GZ268" s="49"/>
      <c r="HA268" s="49"/>
      <c r="HB268" s="49"/>
      <c r="HC268" s="49"/>
      <c r="HD268" s="49"/>
      <c r="HE268" s="49"/>
      <c r="HF268" s="49"/>
      <c r="HG268" s="49"/>
      <c r="HH268" s="49"/>
      <c r="HI268" s="49"/>
      <c r="HJ268" s="49"/>
      <c r="HK268" s="49"/>
      <c r="HL268" s="49"/>
      <c r="HM268" s="49"/>
      <c r="HN268" s="49"/>
    </row>
    <row r="269" spans="1:222" ht="16.5" customHeight="1">
      <c r="A269" s="1"/>
      <c r="B269" s="3"/>
      <c r="C269" s="3"/>
      <c r="D269" s="124"/>
      <c r="E269" s="38"/>
      <c r="F269" s="38"/>
      <c r="G269" s="38"/>
      <c r="H269" s="38"/>
      <c r="I269" s="38"/>
      <c r="J269" s="79"/>
      <c r="K269" s="79"/>
      <c r="L269" s="41"/>
      <c r="M269" s="42"/>
      <c r="N269" s="41"/>
      <c r="O269" s="41"/>
      <c r="P269" s="41"/>
      <c r="Q269" s="79"/>
      <c r="R269" s="41"/>
      <c r="S269" s="79"/>
      <c r="T269" s="18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181"/>
      <c r="AQ269" s="181"/>
      <c r="AR269" s="181"/>
      <c r="AS269" s="181"/>
      <c r="AT269" s="181"/>
      <c r="AU269" s="181"/>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197"/>
      <c r="CZ269" s="197"/>
      <c r="DA269" s="197"/>
      <c r="DB269" s="153" t="str">
        <f ca="1">IF(FO233=0,"","Grootste hoeveelheid waarbij sprake is van Break-even-afzet:")</f>
        <v/>
      </c>
      <c r="DC269" s="197"/>
      <c r="DD269" s="197"/>
      <c r="DE269" s="195" t="str">
        <f ca="1">IF(FO233=0,"",".")</f>
        <v/>
      </c>
      <c r="DF269" s="537"/>
      <c r="DG269" s="537"/>
      <c r="DH269" s="537"/>
      <c r="DI269" s="537"/>
      <c r="DJ269" s="537"/>
      <c r="DK269" s="195" t="str">
        <f ca="1">IF(FO233=0,"",".")</f>
        <v/>
      </c>
      <c r="DL269" s="43"/>
      <c r="DM269" s="43"/>
      <c r="DN269" s="43"/>
      <c r="DO269" s="211"/>
      <c r="DP269" s="211"/>
      <c r="DQ269" s="211"/>
      <c r="DR269" s="211"/>
      <c r="DS269" s="211"/>
      <c r="DT269" s="211"/>
      <c r="DU269" s="211"/>
      <c r="DV269" s="211"/>
      <c r="DW269" s="211"/>
      <c r="DX269" s="211"/>
      <c r="DY269" s="211"/>
      <c r="DZ269" s="211"/>
      <c r="EA269" s="211"/>
      <c r="EB269" s="211"/>
      <c r="EC269" s="211"/>
      <c r="ED269" s="211"/>
      <c r="EE269" s="211"/>
      <c r="EF269" s="211"/>
      <c r="EG269" s="211"/>
      <c r="EH269" s="211"/>
      <c r="EI269" s="211"/>
      <c r="EJ269" s="211"/>
      <c r="EK269" s="211"/>
      <c r="EL269" s="211"/>
      <c r="EM269" s="211"/>
      <c r="EN269" s="211"/>
      <c r="EO269" s="211"/>
      <c r="EP269" s="211"/>
      <c r="EQ269" s="211"/>
      <c r="ER269" s="211"/>
      <c r="ES269" s="211"/>
      <c r="ET269" s="211"/>
      <c r="EU269" s="211"/>
      <c r="EV269" s="211"/>
      <c r="EW269" s="211"/>
      <c r="EX269" s="211"/>
      <c r="EY269" s="211"/>
      <c r="EZ269" s="211"/>
      <c r="FA269" s="211"/>
      <c r="FB269" s="211"/>
      <c r="FC269" s="211"/>
      <c r="FD269" s="211"/>
      <c r="FE269" s="211"/>
      <c r="FF269" s="211"/>
      <c r="FG269" s="211"/>
      <c r="FH269" s="211"/>
      <c r="FI269" s="211"/>
      <c r="FJ269" s="211"/>
      <c r="FK269" s="211"/>
      <c r="FL269" s="79"/>
      <c r="FM269" s="338"/>
      <c r="FN269" s="78"/>
      <c r="FO269" s="79">
        <f ca="1">IF(programma!B1="X",1,IF(FO233=0,0,IF(DF269=FW257,1,0)))</f>
        <v>0</v>
      </c>
      <c r="FP269" s="79">
        <f>IF(DF269="",0,1)</f>
        <v>0</v>
      </c>
      <c r="FQ269" s="93"/>
      <c r="FR269" s="93"/>
      <c r="FS269" s="93"/>
      <c r="FT269" s="93"/>
      <c r="FU269" s="93"/>
      <c r="FV269" s="93"/>
      <c r="FW269" s="93"/>
      <c r="FX269" s="93"/>
      <c r="FY269" s="32"/>
      <c r="FZ269" s="32"/>
      <c r="GA269" s="32"/>
      <c r="GB269" s="32"/>
      <c r="GC269" s="32"/>
      <c r="GD269" s="32"/>
      <c r="GE269" s="32"/>
      <c r="GF269" s="32"/>
      <c r="GG269" s="32"/>
      <c r="GH269" s="32"/>
      <c r="GI269" s="32"/>
      <c r="GJ269" s="32"/>
      <c r="GK269" s="32"/>
      <c r="GL269" s="32"/>
      <c r="GM269" s="49"/>
      <c r="GN269" s="49"/>
      <c r="GO269" s="49"/>
      <c r="GP269" s="49"/>
      <c r="GQ269" s="49"/>
      <c r="GR269" s="49"/>
      <c r="GS269" s="49"/>
      <c r="GT269" s="49"/>
      <c r="GU269" s="49"/>
      <c r="GV269" s="49"/>
      <c r="GW269" s="49"/>
      <c r="GX269" s="49"/>
      <c r="GY269" s="49"/>
      <c r="GZ269" s="49"/>
      <c r="HA269" s="49"/>
      <c r="HB269" s="49"/>
      <c r="HC269" s="49"/>
      <c r="HD269" s="49"/>
      <c r="HE269" s="49"/>
      <c r="HF269" s="49"/>
      <c r="HG269" s="49"/>
      <c r="HH269" s="49"/>
      <c r="HI269" s="49"/>
      <c r="HJ269" s="49"/>
      <c r="HK269" s="49"/>
      <c r="HL269" s="49"/>
      <c r="HM269" s="49"/>
      <c r="HN269" s="49"/>
    </row>
    <row r="270" spans="1:222" ht="3.75" customHeight="1">
      <c r="A270" s="1"/>
      <c r="B270" s="3"/>
      <c r="C270" s="3"/>
      <c r="D270" s="124"/>
      <c r="E270" s="38"/>
      <c r="F270" s="38"/>
      <c r="G270" s="38"/>
      <c r="H270" s="38"/>
      <c r="I270" s="38"/>
      <c r="J270" s="79"/>
      <c r="K270" s="79"/>
      <c r="L270" s="41"/>
      <c r="M270" s="42"/>
      <c r="N270" s="41"/>
      <c r="O270" s="41"/>
      <c r="P270" s="41"/>
      <c r="Q270" s="79"/>
      <c r="R270" s="41"/>
      <c r="S270" s="79"/>
      <c r="T270" s="197"/>
      <c r="U270" s="197"/>
      <c r="V270" s="197"/>
      <c r="W270" s="197"/>
      <c r="X270" s="197"/>
      <c r="Y270" s="197"/>
      <c r="Z270" s="197"/>
      <c r="AA270" s="197"/>
      <c r="AB270" s="197"/>
      <c r="AC270" s="197"/>
      <c r="AD270" s="197"/>
      <c r="AE270" s="197"/>
      <c r="AF270" s="197"/>
      <c r="AG270" s="197"/>
      <c r="AH270" s="197"/>
      <c r="AI270" s="197"/>
      <c r="AJ270" s="197"/>
      <c r="AK270" s="197"/>
      <c r="AL270" s="197"/>
      <c r="AM270" s="197"/>
      <c r="AN270" s="197"/>
      <c r="AO270" s="197"/>
      <c r="AP270" s="197"/>
      <c r="AQ270" s="197"/>
      <c r="AR270" s="197"/>
      <c r="AS270" s="197"/>
      <c r="AT270" s="197"/>
      <c r="AU270" s="197"/>
      <c r="AV270" s="197"/>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197"/>
      <c r="CZ270" s="197"/>
      <c r="DA270" s="197"/>
      <c r="DB270" s="41"/>
      <c r="DC270" s="197"/>
      <c r="DD270" s="197"/>
      <c r="DE270" s="536" t="str">
        <f ca="1">IF(FO233=0,"",".")</f>
        <v/>
      </c>
      <c r="DF270" s="686"/>
      <c r="DG270" s="686"/>
      <c r="DH270" s="686"/>
      <c r="DI270" s="686"/>
      <c r="DJ270" s="686"/>
      <c r="DK270" s="686"/>
      <c r="DL270" s="209"/>
      <c r="DM270" s="43"/>
      <c r="DN270" s="43"/>
      <c r="DO270" s="43"/>
      <c r="DP270" s="43"/>
      <c r="DQ270" s="43"/>
      <c r="DR270" s="43"/>
      <c r="DS270" s="43"/>
      <c r="DT270" s="43"/>
      <c r="DU270" s="43"/>
      <c r="DV270" s="43"/>
      <c r="DW270" s="43"/>
      <c r="DX270" s="43"/>
      <c r="DY270" s="126"/>
      <c r="DZ270" s="126"/>
      <c r="EA270" s="126"/>
      <c r="EB270" s="126"/>
      <c r="EC270" s="126"/>
      <c r="ED270" s="126"/>
      <c r="EE270" s="126"/>
      <c r="EF270" s="126"/>
      <c r="EG270" s="126"/>
      <c r="EH270" s="126"/>
      <c r="EI270" s="126"/>
      <c r="EJ270" s="126"/>
      <c r="EK270" s="126"/>
      <c r="EL270" s="126"/>
      <c r="EM270" s="126"/>
      <c r="EN270" s="126"/>
      <c r="EO270" s="126"/>
      <c r="EP270" s="126"/>
      <c r="EQ270" s="126"/>
      <c r="ER270" s="126"/>
      <c r="ES270" s="126"/>
      <c r="ET270" s="126"/>
      <c r="EU270" s="126"/>
      <c r="EV270" s="126"/>
      <c r="EW270" s="126"/>
      <c r="EX270" s="126"/>
      <c r="EY270" s="126"/>
      <c r="EZ270" s="126"/>
      <c r="FA270" s="43"/>
      <c r="FB270" s="43"/>
      <c r="FC270" s="43"/>
      <c r="FD270" s="43"/>
      <c r="FE270" s="43"/>
      <c r="FF270" s="43"/>
      <c r="FG270" s="43"/>
      <c r="FH270" s="43"/>
      <c r="FI270" s="43"/>
      <c r="FJ270" s="43"/>
      <c r="FK270" s="43"/>
      <c r="FL270" s="79"/>
      <c r="FM270" s="338"/>
      <c r="FN270" s="78"/>
      <c r="FO270" s="78"/>
      <c r="FP270" s="78"/>
      <c r="FQ270" s="78"/>
      <c r="FR270" s="78"/>
      <c r="FS270" s="79"/>
      <c r="FT270" s="79"/>
      <c r="FU270" s="47"/>
      <c r="FV270" s="47"/>
      <c r="FW270" s="47"/>
      <c r="FX270" s="47"/>
      <c r="FY270" s="32"/>
      <c r="FZ270" s="32"/>
      <c r="GA270" s="32"/>
      <c r="GB270" s="32"/>
      <c r="GC270" s="32"/>
      <c r="GD270" s="32"/>
      <c r="GE270" s="32"/>
      <c r="GF270" s="32"/>
      <c r="GG270" s="32"/>
      <c r="GH270" s="32"/>
      <c r="GI270" s="32"/>
      <c r="GJ270" s="32"/>
      <c r="GK270" s="32"/>
      <c r="GL270" s="32"/>
      <c r="GM270" s="49"/>
      <c r="GN270" s="49"/>
      <c r="GO270" s="49"/>
      <c r="GP270" s="49"/>
      <c r="GQ270" s="49"/>
      <c r="GR270" s="49"/>
      <c r="GS270" s="49"/>
      <c r="GT270" s="49"/>
      <c r="GU270" s="49"/>
      <c r="GV270" s="49"/>
      <c r="GW270" s="49"/>
      <c r="GX270" s="49"/>
      <c r="GY270" s="49"/>
      <c r="GZ270" s="49"/>
      <c r="HA270" s="49"/>
      <c r="HB270" s="49"/>
      <c r="HC270" s="49"/>
      <c r="HD270" s="49"/>
      <c r="HE270" s="49"/>
      <c r="HF270" s="49"/>
      <c r="HG270" s="49"/>
      <c r="HH270" s="49"/>
      <c r="HI270" s="49"/>
      <c r="HJ270" s="49"/>
      <c r="HK270" s="49"/>
      <c r="HL270" s="49"/>
      <c r="HM270" s="49"/>
      <c r="HN270" s="49"/>
    </row>
    <row r="271" spans="1:222" ht="16.5" customHeight="1">
      <c r="A271" s="1"/>
      <c r="B271" s="3"/>
      <c r="C271" s="3"/>
      <c r="D271" s="124"/>
      <c r="E271" s="38"/>
      <c r="F271" s="38"/>
      <c r="G271" s="38"/>
      <c r="H271" s="38"/>
      <c r="I271" s="38"/>
      <c r="J271" s="126"/>
      <c r="K271" s="126"/>
      <c r="L271" s="126"/>
      <c r="M271" s="126"/>
      <c r="N271" s="126"/>
      <c r="O271" s="126"/>
      <c r="P271" s="126"/>
      <c r="Q271" s="126"/>
      <c r="R271" s="126"/>
      <c r="S271" s="126"/>
      <c r="T271" s="126"/>
      <c r="U271" s="126"/>
      <c r="V271" s="79"/>
      <c r="W271" s="79"/>
      <c r="X271" s="79"/>
      <c r="Y271" s="79"/>
      <c r="Z271" s="79"/>
      <c r="AA271" s="79"/>
      <c r="AB271" s="79"/>
      <c r="AC271" s="79"/>
      <c r="AD271" s="79"/>
      <c r="AE271" s="79"/>
      <c r="AF271" s="210"/>
      <c r="AG271" s="210"/>
      <c r="AH271" s="210"/>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c r="BI271" s="210"/>
      <c r="BJ271" s="210"/>
      <c r="BK271" s="210"/>
      <c r="BL271" s="210"/>
      <c r="BM271" s="210"/>
      <c r="BN271" s="210"/>
      <c r="BO271" s="210"/>
      <c r="BP271" s="210"/>
      <c r="BQ271" s="210"/>
      <c r="BR271" s="210"/>
      <c r="BS271" s="210"/>
      <c r="BT271" s="210"/>
      <c r="BU271" s="210"/>
      <c r="BV271" s="210"/>
      <c r="BW271" s="210"/>
      <c r="BX271" s="210"/>
      <c r="BY271" s="210"/>
      <c r="BZ271" s="210"/>
      <c r="CA271" s="210"/>
      <c r="CB271" s="210"/>
      <c r="CC271" s="210"/>
      <c r="CD271" s="210"/>
      <c r="CE271" s="210"/>
      <c r="CF271" s="210"/>
      <c r="CG271" s="210"/>
      <c r="CH271" s="210"/>
      <c r="CI271" s="210"/>
      <c r="CJ271" s="210"/>
      <c r="CK271" s="210"/>
      <c r="CL271" s="210"/>
      <c r="CM271" s="210"/>
      <c r="CN271" s="210"/>
      <c r="CO271" s="210"/>
      <c r="CP271" s="210"/>
      <c r="CQ271" s="126"/>
      <c r="CR271" s="126"/>
      <c r="CS271" s="126"/>
      <c r="CT271" s="126"/>
      <c r="CU271" s="126"/>
      <c r="CV271" s="126"/>
      <c r="CW271" s="126"/>
      <c r="CX271" s="126"/>
      <c r="CY271" s="126"/>
      <c r="CZ271" s="126"/>
      <c r="DA271" s="126"/>
      <c r="DB271" s="126"/>
      <c r="DC271" s="126"/>
      <c r="DD271" s="126"/>
      <c r="DE271" s="126"/>
      <c r="DF271" s="126"/>
      <c r="DG271" s="126"/>
      <c r="DH271" s="126"/>
      <c r="DI271" s="126"/>
      <c r="DJ271" s="126"/>
      <c r="DK271" s="126"/>
      <c r="DL271" s="126"/>
      <c r="DM271" s="126"/>
      <c r="DN271" s="126"/>
      <c r="DO271" s="126"/>
      <c r="DP271" s="126"/>
      <c r="DQ271" s="126"/>
      <c r="DR271" s="126"/>
      <c r="DS271" s="126"/>
      <c r="DT271" s="126"/>
      <c r="DU271" s="126"/>
      <c r="DV271" s="126"/>
      <c r="DW271" s="126"/>
      <c r="DX271" s="126"/>
      <c r="DY271" s="126"/>
      <c r="DZ271" s="126"/>
      <c r="EA271" s="126"/>
      <c r="EB271" s="126"/>
      <c r="EC271" s="126"/>
      <c r="ED271" s="126"/>
      <c r="EE271" s="126"/>
      <c r="EF271" s="126"/>
      <c r="EG271" s="126"/>
      <c r="EH271" s="126"/>
      <c r="EI271" s="126"/>
      <c r="EJ271" s="126"/>
      <c r="EK271" s="126"/>
      <c r="EL271" s="126"/>
      <c r="EM271" s="126"/>
      <c r="EN271" s="126"/>
      <c r="EO271" s="126"/>
      <c r="EP271" s="126"/>
      <c r="EQ271" s="126"/>
      <c r="ER271" s="126"/>
      <c r="ES271" s="126"/>
      <c r="ET271" s="126"/>
      <c r="EU271" s="126"/>
      <c r="EV271" s="126"/>
      <c r="EW271" s="126"/>
      <c r="EX271" s="126"/>
      <c r="EY271" s="126"/>
      <c r="EZ271" s="126"/>
      <c r="FA271" s="43"/>
      <c r="FB271" s="43"/>
      <c r="FC271" s="43"/>
      <c r="FD271" s="43"/>
      <c r="FE271" s="43"/>
      <c r="FF271" s="43"/>
      <c r="FG271" s="43"/>
      <c r="FH271" s="43"/>
      <c r="FI271" s="79"/>
      <c r="FJ271" s="79"/>
      <c r="FK271" s="79"/>
      <c r="FL271" s="79"/>
      <c r="FM271" s="338"/>
      <c r="FN271" s="78"/>
      <c r="FO271" s="78"/>
      <c r="FP271" s="78"/>
      <c r="FQ271" s="78"/>
      <c r="FR271" s="78"/>
      <c r="FS271" s="47"/>
      <c r="FT271" s="47"/>
      <c r="FU271" s="47"/>
      <c r="FV271" s="47"/>
      <c r="FW271" s="47"/>
      <c r="FX271" s="47"/>
      <c r="FY271" s="32"/>
      <c r="FZ271" s="32"/>
      <c r="GA271" s="32"/>
      <c r="GB271" s="32"/>
      <c r="GC271" s="32"/>
      <c r="GD271" s="32"/>
      <c r="GE271" s="32"/>
      <c r="GF271" s="32"/>
      <c r="GG271" s="32"/>
      <c r="GH271" s="32"/>
      <c r="GI271" s="32"/>
      <c r="GJ271" s="32"/>
      <c r="GK271" s="32"/>
      <c r="GL271" s="32"/>
      <c r="GM271" s="49"/>
      <c r="GN271" s="49"/>
      <c r="GO271" s="49"/>
      <c r="GP271" s="49"/>
      <c r="GQ271" s="49"/>
      <c r="GR271" s="49"/>
      <c r="GS271" s="49"/>
      <c r="GT271" s="49"/>
      <c r="GU271" s="49"/>
      <c r="GV271" s="49"/>
      <c r="GW271" s="49"/>
      <c r="GX271" s="49"/>
      <c r="GY271" s="49"/>
      <c r="GZ271" s="49"/>
      <c r="HA271" s="49"/>
      <c r="HB271" s="49"/>
      <c r="HC271" s="49"/>
      <c r="HD271" s="49"/>
      <c r="HE271" s="49"/>
      <c r="HF271" s="49"/>
      <c r="HG271" s="49"/>
      <c r="HH271" s="49"/>
      <c r="HI271" s="49"/>
      <c r="HJ271" s="49"/>
      <c r="HK271" s="49"/>
      <c r="HL271" s="49"/>
      <c r="HM271" s="49"/>
      <c r="HN271" s="49"/>
    </row>
    <row r="272" spans="1:222" ht="16.5" customHeight="1">
      <c r="A272" s="1"/>
      <c r="B272" s="3"/>
      <c r="C272" s="3"/>
      <c r="D272" s="124" t="str">
        <f ca="1">IF(FO273=0,"","Hieronder krijg je gelegenheid te oefenen met het berekenen van de maximale")</f>
        <v/>
      </c>
      <c r="E272" s="388"/>
      <c r="F272" s="388"/>
      <c r="G272" s="388"/>
      <c r="H272" s="388"/>
      <c r="I272" s="388"/>
      <c r="J272" s="376"/>
      <c r="K272" s="376"/>
      <c r="L272" s="376"/>
      <c r="M272" s="376"/>
      <c r="N272" s="376"/>
      <c r="O272" s="376"/>
      <c r="P272" s="376"/>
      <c r="Q272" s="376"/>
      <c r="R272" s="376"/>
      <c r="S272" s="376"/>
      <c r="T272" s="376"/>
      <c r="U272" s="376"/>
      <c r="V272" s="79"/>
      <c r="W272" s="79"/>
      <c r="X272" s="79"/>
      <c r="Y272" s="79"/>
      <c r="Z272" s="79"/>
      <c r="AA272" s="79"/>
      <c r="AB272" s="79"/>
      <c r="AC272" s="79"/>
      <c r="AD272" s="79"/>
      <c r="AE272" s="79"/>
      <c r="AF272" s="389"/>
      <c r="AG272" s="389"/>
      <c r="AH272" s="389"/>
      <c r="AI272" s="389"/>
      <c r="AJ272" s="389"/>
      <c r="AK272" s="389"/>
      <c r="AL272" s="389"/>
      <c r="AM272" s="389"/>
      <c r="AN272" s="389"/>
      <c r="AO272" s="389"/>
      <c r="AP272" s="389"/>
      <c r="AQ272" s="389"/>
      <c r="AR272" s="389"/>
      <c r="AS272" s="389"/>
      <c r="AT272" s="389"/>
      <c r="AU272" s="389"/>
      <c r="AV272" s="389"/>
      <c r="AW272" s="389"/>
      <c r="AX272" s="389"/>
      <c r="AY272" s="389"/>
      <c r="AZ272" s="389"/>
      <c r="BA272" s="389"/>
      <c r="BB272" s="389"/>
      <c r="BC272" s="389"/>
      <c r="BD272" s="389"/>
      <c r="BE272" s="389"/>
      <c r="BF272" s="389"/>
      <c r="BG272" s="389"/>
      <c r="BH272" s="389"/>
      <c r="BI272" s="389"/>
      <c r="BJ272" s="389"/>
      <c r="BK272" s="389"/>
      <c r="BL272" s="389"/>
      <c r="BM272" s="389"/>
      <c r="BN272" s="389"/>
      <c r="BO272" s="389"/>
      <c r="BP272" s="389"/>
      <c r="BQ272" s="389"/>
      <c r="BR272" s="389"/>
      <c r="BS272" s="389"/>
      <c r="BT272" s="389"/>
      <c r="BU272" s="389"/>
      <c r="BV272" s="389"/>
      <c r="BW272" s="389"/>
      <c r="BX272" s="389"/>
      <c r="BY272" s="389"/>
      <c r="BZ272" s="389"/>
      <c r="CA272" s="389"/>
      <c r="CB272" s="389"/>
      <c r="CC272" s="389"/>
      <c r="CD272" s="389"/>
      <c r="CE272" s="389"/>
      <c r="CF272" s="389"/>
      <c r="CG272" s="389"/>
      <c r="CH272" s="389"/>
      <c r="CI272" s="389"/>
      <c r="CJ272" s="389"/>
      <c r="CK272" s="389"/>
      <c r="CL272" s="389"/>
      <c r="CM272" s="389"/>
      <c r="CN272" s="389"/>
      <c r="CO272" s="389"/>
      <c r="CP272" s="389"/>
      <c r="CQ272" s="376"/>
      <c r="CR272" s="376"/>
      <c r="CS272" s="376"/>
      <c r="CT272" s="376"/>
      <c r="CU272" s="376"/>
      <c r="CV272" s="376"/>
      <c r="CW272" s="376"/>
      <c r="CX272" s="376"/>
      <c r="CY272" s="376"/>
      <c r="CZ272" s="376"/>
      <c r="DA272" s="376"/>
      <c r="DB272" s="376"/>
      <c r="DC272" s="376"/>
      <c r="DD272" s="376"/>
      <c r="DE272" s="376"/>
      <c r="DF272" s="376"/>
      <c r="DG272" s="376"/>
      <c r="DH272" s="376"/>
      <c r="DI272" s="376"/>
      <c r="DJ272" s="376"/>
      <c r="DK272" s="376"/>
      <c r="DL272" s="376"/>
      <c r="DM272" s="376"/>
      <c r="DN272" s="376"/>
      <c r="DO272" s="376"/>
      <c r="DP272" s="376"/>
      <c r="DQ272" s="376"/>
      <c r="DR272" s="376"/>
      <c r="DS272" s="376"/>
      <c r="DT272" s="376"/>
      <c r="DU272" s="376"/>
      <c r="DV272" s="376"/>
      <c r="DW272" s="376"/>
      <c r="DX272" s="376"/>
      <c r="DY272" s="376"/>
      <c r="DZ272" s="376"/>
      <c r="EA272" s="376"/>
      <c r="EB272" s="376"/>
      <c r="EC272" s="376"/>
      <c r="ED272" s="376"/>
      <c r="EE272" s="376"/>
      <c r="EF272" s="376"/>
      <c r="EG272" s="376"/>
      <c r="EH272" s="376"/>
      <c r="EI272" s="376"/>
      <c r="EJ272" s="376"/>
      <c r="EK272" s="376"/>
      <c r="EL272" s="376"/>
      <c r="EM272" s="376"/>
      <c r="EN272" s="376"/>
      <c r="EO272" s="376"/>
      <c r="EP272" s="376"/>
      <c r="EQ272" s="376"/>
      <c r="ER272" s="376"/>
      <c r="ES272" s="376"/>
      <c r="ET272" s="376"/>
      <c r="EU272" s="376"/>
      <c r="EV272" s="376"/>
      <c r="EW272" s="376"/>
      <c r="EX272" s="376"/>
      <c r="EY272" s="376"/>
      <c r="EZ272" s="376"/>
      <c r="FA272" s="43"/>
      <c r="FB272" s="43"/>
      <c r="FC272" s="43"/>
      <c r="FD272" s="43"/>
      <c r="FE272" s="43"/>
      <c r="FF272" s="43"/>
      <c r="FG272" s="43"/>
      <c r="FH272" s="43"/>
      <c r="FI272" s="79"/>
      <c r="FJ272" s="79"/>
      <c r="FK272" s="79"/>
      <c r="FL272" s="79"/>
      <c r="FM272" s="338"/>
      <c r="FN272" s="338"/>
      <c r="FO272" s="338"/>
      <c r="FP272" s="338"/>
      <c r="FQ272" s="338"/>
      <c r="FR272" s="338"/>
      <c r="FS272" s="47"/>
      <c r="FT272" s="47"/>
      <c r="FU272" s="47"/>
      <c r="FV272" s="47"/>
      <c r="FW272" s="47"/>
      <c r="FX272" s="47"/>
      <c r="FY272" s="32"/>
      <c r="FZ272" s="32"/>
      <c r="GA272" s="32"/>
      <c r="GB272" s="32"/>
      <c r="GC272" s="32"/>
      <c r="GD272" s="32"/>
      <c r="GE272" s="32"/>
      <c r="GF272" s="32"/>
      <c r="GG272" s="32"/>
      <c r="GH272" s="32"/>
      <c r="GI272" s="32"/>
      <c r="GJ272" s="32"/>
      <c r="GK272" s="32"/>
      <c r="GL272" s="32"/>
      <c r="GM272" s="49"/>
      <c r="GN272" s="49"/>
      <c r="GO272" s="49"/>
      <c r="GP272" s="49"/>
      <c r="GQ272" s="49"/>
      <c r="GR272" s="49"/>
      <c r="GS272" s="49"/>
      <c r="GT272" s="49"/>
      <c r="GU272" s="49"/>
      <c r="GV272" s="49"/>
      <c r="GW272" s="49"/>
      <c r="GX272" s="49"/>
      <c r="GY272" s="49"/>
      <c r="GZ272" s="49"/>
      <c r="HA272" s="49"/>
      <c r="HB272" s="49"/>
      <c r="HC272" s="49"/>
      <c r="HD272" s="49"/>
      <c r="HE272" s="49"/>
      <c r="HF272" s="49"/>
      <c r="HG272" s="49"/>
      <c r="HH272" s="49"/>
      <c r="HI272" s="49"/>
      <c r="HJ272" s="49"/>
      <c r="HK272" s="49"/>
      <c r="HL272" s="49"/>
      <c r="HM272" s="49"/>
      <c r="HN272" s="49"/>
    </row>
    <row r="273" spans="1:222" ht="16.95" customHeight="1">
      <c r="A273" s="1"/>
      <c r="B273" s="3"/>
      <c r="C273" s="3"/>
      <c r="D273" s="373" t="str">
        <f ca="1">IF(FO273=0,"","winst aan de hand van een zelf te kiezen prijsafzetlijn en TK-functie. De")</f>
        <v/>
      </c>
      <c r="E273" s="10"/>
      <c r="F273" s="10"/>
      <c r="G273" s="10"/>
      <c r="H273" s="10"/>
      <c r="I273" s="10"/>
      <c r="J273" s="10"/>
      <c r="K273" s="10"/>
      <c r="L273" s="10"/>
      <c r="M273" s="10"/>
      <c r="N273" s="79"/>
      <c r="O273" s="79"/>
      <c r="P273" s="79"/>
      <c r="Q273" s="79"/>
      <c r="R273" s="79"/>
      <c r="S273" s="7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79"/>
      <c r="BA273" s="79"/>
      <c r="BB273" s="79"/>
      <c r="BC273" s="79"/>
      <c r="BD273" s="79"/>
      <c r="BE273" s="79"/>
      <c r="BF273" s="79"/>
      <c r="BG273" s="79"/>
      <c r="BH273" s="79"/>
      <c r="BI273" s="79"/>
      <c r="BJ273" s="79"/>
      <c r="BK273" s="79"/>
      <c r="BL273" s="79"/>
      <c r="BM273" s="79"/>
      <c r="BN273" s="79"/>
      <c r="BO273" s="79"/>
      <c r="BP273" s="79"/>
      <c r="BQ273" s="79"/>
      <c r="BR273" s="79"/>
      <c r="BS273" s="79"/>
      <c r="BT273" s="79"/>
      <c r="BU273" s="79"/>
      <c r="BV273" s="79"/>
      <c r="BW273" s="79"/>
      <c r="BX273" s="79"/>
      <c r="BY273" s="79"/>
      <c r="BZ273" s="79"/>
      <c r="CA273" s="79"/>
      <c r="CB273" s="79"/>
      <c r="CC273" s="79"/>
      <c r="CD273" s="79"/>
      <c r="CE273" s="79"/>
      <c r="CF273" s="79"/>
      <c r="CG273" s="79"/>
      <c r="CH273" s="79"/>
      <c r="CI273" s="79"/>
      <c r="CJ273" s="79"/>
      <c r="CK273" s="79"/>
      <c r="CL273" s="79"/>
      <c r="CM273" s="79"/>
      <c r="CN273" s="79"/>
      <c r="CO273" s="79"/>
      <c r="CP273" s="79"/>
      <c r="CQ273" s="79"/>
      <c r="CR273" s="79"/>
      <c r="CS273" s="79"/>
      <c r="CT273" s="79"/>
      <c r="CU273" s="79"/>
      <c r="CV273" s="79"/>
      <c r="CW273" s="79"/>
      <c r="CX273" s="79"/>
      <c r="CY273" s="79"/>
      <c r="CZ273" s="79"/>
      <c r="DA273" s="79"/>
      <c r="DB273" s="79"/>
      <c r="DC273" s="79"/>
      <c r="DD273" s="79"/>
      <c r="DE273" s="79"/>
      <c r="DF273" s="79"/>
      <c r="DG273" s="79"/>
      <c r="DH273" s="79"/>
      <c r="DI273" s="79"/>
      <c r="DJ273" s="79"/>
      <c r="DK273" s="79"/>
      <c r="DL273" s="79"/>
      <c r="DM273" s="79"/>
      <c r="DN273" s="79"/>
      <c r="DO273" s="79"/>
      <c r="DP273" s="79"/>
      <c r="DQ273" s="79"/>
      <c r="DR273" s="79"/>
      <c r="DS273" s="79"/>
      <c r="DT273" s="79"/>
      <c r="DU273" s="79"/>
      <c r="DV273" s="79"/>
      <c r="DW273" s="79"/>
      <c r="DX273" s="79"/>
      <c r="DY273" s="79"/>
      <c r="DZ273" s="79"/>
      <c r="EA273" s="79"/>
      <c r="EB273" s="79"/>
      <c r="EC273" s="79"/>
      <c r="ED273" s="79"/>
      <c r="EE273" s="79"/>
      <c r="EF273" s="79"/>
      <c r="EG273" s="79"/>
      <c r="EH273" s="79"/>
      <c r="EI273" s="79"/>
      <c r="EJ273" s="79"/>
      <c r="EK273" s="79"/>
      <c r="EL273" s="79"/>
      <c r="EM273" s="79"/>
      <c r="EN273" s="79"/>
      <c r="EO273" s="79"/>
      <c r="EP273" s="79"/>
      <c r="EQ273" s="79"/>
      <c r="ER273" s="79"/>
      <c r="ES273" s="79"/>
      <c r="ET273" s="79"/>
      <c r="EU273" s="79"/>
      <c r="EV273" s="79"/>
      <c r="EW273" s="79"/>
      <c r="EX273" s="79"/>
      <c r="EY273" s="79"/>
      <c r="EZ273" s="79"/>
      <c r="FA273" s="79"/>
      <c r="FB273" s="79"/>
      <c r="FC273" s="79"/>
      <c r="FD273" s="79"/>
      <c r="FE273" s="79"/>
      <c r="FF273" s="79"/>
      <c r="FG273" s="79"/>
      <c r="FH273" s="79"/>
      <c r="FI273" s="79"/>
      <c r="FJ273" s="79"/>
      <c r="FK273" s="79"/>
      <c r="FL273" s="79"/>
      <c r="FM273" s="47"/>
      <c r="FN273" s="47"/>
      <c r="FO273" s="47">
        <f ca="1">IF(programma!B1="X",1,IF(FO257+FO261+FO265+FO269=4,1,0))</f>
        <v>0</v>
      </c>
      <c r="FP273" s="47"/>
      <c r="FQ273" s="47"/>
      <c r="FR273" s="47"/>
      <c r="FS273" s="47"/>
      <c r="FT273" s="47"/>
      <c r="FU273" s="47"/>
      <c r="FV273" s="47"/>
      <c r="FW273" s="47"/>
      <c r="FX273" s="47"/>
      <c r="FY273" s="32"/>
      <c r="FZ273" s="32"/>
      <c r="GA273" s="32"/>
      <c r="GB273" s="32"/>
      <c r="GC273" s="32"/>
      <c r="GD273" s="32"/>
      <c r="GE273" s="32"/>
      <c r="GF273" s="32"/>
      <c r="GG273" s="32"/>
      <c r="GH273" s="32"/>
      <c r="GI273" s="32"/>
      <c r="GJ273" s="32"/>
      <c r="GK273" s="32"/>
      <c r="GL273" s="32"/>
      <c r="GM273" s="49"/>
      <c r="GN273" s="49"/>
      <c r="GO273" s="49"/>
      <c r="GP273" s="49"/>
      <c r="GQ273" s="49"/>
      <c r="GR273" s="49"/>
      <c r="GS273" s="49"/>
      <c r="GT273" s="49"/>
      <c r="GU273" s="49"/>
      <c r="GV273" s="49"/>
      <c r="GW273" s="49"/>
      <c r="GX273" s="49"/>
      <c r="GY273" s="49"/>
      <c r="GZ273" s="49"/>
      <c r="HA273" s="49"/>
      <c r="HB273" s="49"/>
      <c r="HC273" s="49"/>
      <c r="HD273" s="49"/>
      <c r="HE273" s="49"/>
      <c r="HF273" s="49"/>
      <c r="HG273" s="49"/>
      <c r="HH273" s="49"/>
      <c r="HI273" s="49"/>
      <c r="HJ273" s="49"/>
      <c r="HK273" s="49"/>
      <c r="HL273" s="49"/>
      <c r="HM273" s="49"/>
      <c r="HN273" s="49"/>
    </row>
    <row r="274" spans="1:222" ht="16.95" customHeight="1">
      <c r="A274" s="1"/>
      <c r="B274" s="3"/>
      <c r="C274" s="3"/>
      <c r="D274" s="373" t="str">
        <f ca="1">IF(FO273=0,"","algemene vorm van een de prijsafzetlijn bij prijszetting is P = -aq + b. Kies een")</f>
        <v/>
      </c>
      <c r="E274" s="10"/>
      <c r="F274" s="10"/>
      <c r="G274" s="10"/>
      <c r="H274" s="10"/>
      <c r="I274" s="10"/>
      <c r="J274" s="10"/>
      <c r="K274" s="10"/>
      <c r="L274" s="10"/>
      <c r="M274" s="10"/>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c r="BI274" s="79"/>
      <c r="BJ274" s="79"/>
      <c r="BK274" s="79"/>
      <c r="BL274" s="79"/>
      <c r="BM274" s="79"/>
      <c r="BN274" s="79"/>
      <c r="BO274" s="79"/>
      <c r="BP274" s="79"/>
      <c r="BQ274" s="79"/>
      <c r="BR274" s="79"/>
      <c r="BS274" s="79"/>
      <c r="BT274" s="79"/>
      <c r="BU274" s="79"/>
      <c r="BV274" s="79"/>
      <c r="BW274" s="79"/>
      <c r="BX274" s="79"/>
      <c r="BY274" s="79"/>
      <c r="BZ274" s="79"/>
      <c r="CA274" s="79"/>
      <c r="CB274" s="79"/>
      <c r="CC274" s="79"/>
      <c r="CD274" s="79"/>
      <c r="CE274" s="79"/>
      <c r="CF274" s="79"/>
      <c r="CG274" s="79"/>
      <c r="CH274" s="79"/>
      <c r="CI274" s="79"/>
      <c r="CJ274" s="79"/>
      <c r="CK274" s="79"/>
      <c r="CL274" s="79"/>
      <c r="CM274" s="79"/>
      <c r="CN274" s="79"/>
      <c r="CO274" s="79"/>
      <c r="CP274" s="79"/>
      <c r="CQ274" s="79"/>
      <c r="CR274" s="79"/>
      <c r="CS274" s="79"/>
      <c r="CT274" s="79"/>
      <c r="CU274" s="79"/>
      <c r="CV274" s="79"/>
      <c r="CW274" s="79"/>
      <c r="CX274" s="79"/>
      <c r="CY274" s="79"/>
      <c r="CZ274" s="79"/>
      <c r="DA274" s="79"/>
      <c r="DB274" s="79"/>
      <c r="DC274" s="79"/>
      <c r="DD274" s="79"/>
      <c r="DE274" s="79"/>
      <c r="DF274" s="79"/>
      <c r="DG274" s="79"/>
      <c r="DH274" s="79"/>
      <c r="DI274" s="79"/>
      <c r="DJ274" s="79"/>
      <c r="DK274" s="79"/>
      <c r="DL274" s="79"/>
      <c r="DM274" s="79"/>
      <c r="DN274" s="79"/>
      <c r="DO274" s="79"/>
      <c r="DP274" s="79"/>
      <c r="DQ274" s="79"/>
      <c r="DR274" s="79"/>
      <c r="DS274" s="79"/>
      <c r="DT274" s="79"/>
      <c r="DU274" s="79"/>
      <c r="DV274" s="79"/>
      <c r="DW274" s="79"/>
      <c r="DX274" s="79"/>
      <c r="DY274" s="79"/>
      <c r="DZ274" s="79"/>
      <c r="EA274" s="79"/>
      <c r="EB274" s="79"/>
      <c r="EC274" s="79"/>
      <c r="ED274" s="79"/>
      <c r="EE274" s="79"/>
      <c r="EF274" s="79"/>
      <c r="EG274" s="79"/>
      <c r="EH274" s="79"/>
      <c r="EI274" s="79"/>
      <c r="EJ274" s="79"/>
      <c r="EK274" s="79"/>
      <c r="EL274" s="79"/>
      <c r="EM274" s="79"/>
      <c r="EN274" s="79"/>
      <c r="EO274" s="79"/>
      <c r="EP274" s="79"/>
      <c r="EQ274" s="79"/>
      <c r="ER274" s="79"/>
      <c r="ES274" s="79"/>
      <c r="ET274" s="79"/>
      <c r="EU274" s="79"/>
      <c r="EV274" s="79"/>
      <c r="EW274" s="79"/>
      <c r="EX274" s="79"/>
      <c r="EY274" s="79"/>
      <c r="EZ274" s="79"/>
      <c r="FA274" s="79"/>
      <c r="FB274" s="79"/>
      <c r="FC274" s="79"/>
      <c r="FD274" s="79"/>
      <c r="FE274" s="79"/>
      <c r="FF274" s="79"/>
      <c r="FG274" s="79"/>
      <c r="FH274" s="79"/>
      <c r="FI274" s="79"/>
      <c r="FJ274" s="79"/>
      <c r="FK274" s="79"/>
      <c r="FL274" s="79"/>
      <c r="FM274" s="47"/>
      <c r="FN274" s="47"/>
      <c r="FO274" s="47"/>
      <c r="FP274" s="47"/>
      <c r="FQ274" s="47"/>
      <c r="FR274" s="47"/>
      <c r="FS274" s="47"/>
      <c r="FT274" s="47"/>
      <c r="FU274" s="47"/>
      <c r="FV274" s="47"/>
      <c r="FW274" s="47"/>
      <c r="FX274" s="47"/>
      <c r="FY274" s="32"/>
      <c r="FZ274" s="32"/>
      <c r="GA274" s="32"/>
      <c r="GB274" s="32"/>
      <c r="GC274" s="32"/>
      <c r="GD274" s="32"/>
      <c r="GE274" s="32"/>
      <c r="GF274" s="32"/>
      <c r="GG274" s="32"/>
      <c r="GH274" s="32"/>
      <c r="GI274" s="32"/>
      <c r="GJ274" s="32"/>
      <c r="GK274" s="32"/>
      <c r="GL274" s="32"/>
      <c r="GM274" s="49"/>
      <c r="GN274" s="49"/>
      <c r="GO274" s="49"/>
      <c r="GP274" s="49"/>
      <c r="GQ274" s="49"/>
      <c r="GR274" s="49"/>
      <c r="GS274" s="49"/>
      <c r="GT274" s="49"/>
      <c r="GU274" s="49"/>
      <c r="GV274" s="49"/>
      <c r="GW274" s="49"/>
      <c r="GX274" s="49"/>
      <c r="GY274" s="49"/>
      <c r="GZ274" s="49"/>
      <c r="HA274" s="49"/>
      <c r="HB274" s="49"/>
      <c r="HC274" s="49"/>
      <c r="HD274" s="49"/>
      <c r="HE274" s="49"/>
      <c r="HF274" s="49"/>
      <c r="HG274" s="49"/>
      <c r="HH274" s="49"/>
      <c r="HI274" s="49"/>
      <c r="HJ274" s="49"/>
      <c r="HK274" s="49"/>
      <c r="HL274" s="49"/>
      <c r="HM274" s="49"/>
      <c r="HN274" s="49"/>
    </row>
    <row r="275" spans="1:222" ht="16.95" customHeight="1">
      <c r="A275" s="1"/>
      <c r="B275" s="3"/>
      <c r="C275" s="3"/>
      <c r="D275" s="373" t="str">
        <f ca="1">IF(FO273=0,"","waarde voor ''a''. Deze waarde moet tussen "&amp;FP281&amp;" en "&amp;FQ281&amp;" inliggen. Het mag ook een")</f>
        <v/>
      </c>
      <c r="E275" s="10"/>
      <c r="F275" s="10"/>
      <c r="G275" s="10"/>
      <c r="H275" s="10"/>
      <c r="I275" s="10"/>
      <c r="J275" s="10"/>
      <c r="K275" s="10"/>
      <c r="L275" s="10"/>
      <c r="M275" s="10"/>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79"/>
      <c r="BA275" s="79"/>
      <c r="BB275" s="79"/>
      <c r="BC275" s="79"/>
      <c r="BD275" s="79"/>
      <c r="BE275" s="79"/>
      <c r="BF275" s="79"/>
      <c r="BG275" s="79"/>
      <c r="BH275" s="79"/>
      <c r="BI275" s="79"/>
      <c r="BJ275" s="79"/>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c r="CJ275" s="79"/>
      <c r="CK275" s="79"/>
      <c r="CL275" s="79"/>
      <c r="CM275" s="79"/>
      <c r="CN275" s="79"/>
      <c r="CO275" s="79"/>
      <c r="CP275" s="79"/>
      <c r="CQ275" s="79"/>
      <c r="CR275" s="79"/>
      <c r="CS275" s="79"/>
      <c r="CT275" s="79"/>
      <c r="CU275" s="79"/>
      <c r="CV275" s="79"/>
      <c r="CW275" s="79"/>
      <c r="CX275" s="79"/>
      <c r="CY275" s="79"/>
      <c r="CZ275" s="79"/>
      <c r="DA275" s="79"/>
      <c r="DB275" s="79"/>
      <c r="DC275" s="79"/>
      <c r="DD275" s="79"/>
      <c r="DE275" s="79"/>
      <c r="DF275" s="79"/>
      <c r="DG275" s="79"/>
      <c r="DH275" s="79"/>
      <c r="DI275" s="79"/>
      <c r="DJ275" s="79"/>
      <c r="DK275" s="79"/>
      <c r="DL275" s="79"/>
      <c r="DM275" s="79"/>
      <c r="DN275" s="79"/>
      <c r="DO275" s="79"/>
      <c r="DP275" s="79"/>
      <c r="DQ275" s="79"/>
      <c r="DR275" s="79"/>
      <c r="DS275" s="79"/>
      <c r="DT275" s="79"/>
      <c r="DU275" s="79"/>
      <c r="DV275" s="79"/>
      <c r="DW275" s="79"/>
      <c r="DX275" s="79"/>
      <c r="DY275" s="79"/>
      <c r="DZ275" s="79"/>
      <c r="EA275" s="79"/>
      <c r="EB275" s="79"/>
      <c r="EC275" s="79"/>
      <c r="ED275" s="79"/>
      <c r="EE275" s="79"/>
      <c r="EF275" s="79"/>
      <c r="EG275" s="79"/>
      <c r="EH275" s="79"/>
      <c r="EI275" s="79"/>
      <c r="EJ275" s="79"/>
      <c r="EK275" s="79"/>
      <c r="EL275" s="79"/>
      <c r="EM275" s="79"/>
      <c r="EN275" s="79"/>
      <c r="EO275" s="79"/>
      <c r="EP275" s="79"/>
      <c r="EQ275" s="79"/>
      <c r="ER275" s="79"/>
      <c r="ES275" s="79"/>
      <c r="ET275" s="79"/>
      <c r="EU275" s="79"/>
      <c r="EV275" s="79"/>
      <c r="EW275" s="79"/>
      <c r="EX275" s="79"/>
      <c r="EY275" s="79"/>
      <c r="EZ275" s="79"/>
      <c r="FA275" s="79"/>
      <c r="FB275" s="79"/>
      <c r="FC275" s="79"/>
      <c r="FD275" s="79"/>
      <c r="FE275" s="79"/>
      <c r="FF275" s="79"/>
      <c r="FG275" s="79"/>
      <c r="FH275" s="79"/>
      <c r="FI275" s="79"/>
      <c r="FJ275" s="79"/>
      <c r="FK275" s="79"/>
      <c r="FL275" s="79"/>
      <c r="FM275" s="47"/>
      <c r="FN275" s="47"/>
      <c r="FO275" s="47"/>
      <c r="FP275" s="47"/>
      <c r="FQ275" s="47"/>
      <c r="FR275" s="47"/>
      <c r="FS275" s="47"/>
      <c r="FT275" s="47"/>
      <c r="FU275" s="47"/>
      <c r="FV275" s="47"/>
      <c r="FW275" s="47"/>
      <c r="FX275" s="47"/>
      <c r="FY275" s="32"/>
      <c r="FZ275" s="32"/>
      <c r="GA275" s="32"/>
      <c r="GB275" s="32"/>
      <c r="GC275" s="32"/>
      <c r="GD275" s="32"/>
      <c r="GE275" s="32"/>
      <c r="GF275" s="32"/>
      <c r="GG275" s="32"/>
      <c r="GH275" s="32"/>
      <c r="GI275" s="32"/>
      <c r="GJ275" s="32"/>
      <c r="GK275" s="32"/>
      <c r="GL275" s="32"/>
      <c r="GM275" s="49"/>
      <c r="GN275" s="49"/>
      <c r="GO275" s="49"/>
      <c r="GP275" s="49"/>
      <c r="GQ275" s="49"/>
      <c r="GR275" s="49"/>
      <c r="GS275" s="49"/>
      <c r="GT275" s="49"/>
      <c r="GU275" s="49"/>
      <c r="GV275" s="49"/>
      <c r="GW275" s="49"/>
      <c r="GX275" s="49"/>
      <c r="GY275" s="49"/>
      <c r="GZ275" s="49"/>
      <c r="HA275" s="49"/>
      <c r="HB275" s="49"/>
      <c r="HC275" s="49"/>
      <c r="HD275" s="49"/>
      <c r="HE275" s="49"/>
      <c r="HF275" s="49"/>
      <c r="HG275" s="49"/>
      <c r="HH275" s="49"/>
      <c r="HI275" s="49"/>
      <c r="HJ275" s="49"/>
      <c r="HK275" s="49"/>
      <c r="HL275" s="49"/>
      <c r="HM275" s="49"/>
      <c r="HN275" s="49"/>
    </row>
    <row r="276" spans="1:222" ht="16.95" customHeight="1">
      <c r="A276" s="1"/>
      <c r="B276" s="3"/>
      <c r="C276" s="3"/>
      <c r="D276" s="373" t="str">
        <f ca="1">IF(FO273=0,"","decimaal getal of breuk zijn. Bij een breuk moet je er wel = voorzetten, anders")</f>
        <v/>
      </c>
      <c r="E276" s="10"/>
      <c r="F276" s="10"/>
      <c r="G276" s="10"/>
      <c r="H276" s="10"/>
      <c r="I276" s="10"/>
      <c r="J276" s="10"/>
      <c r="K276" s="10"/>
      <c r="L276" s="10"/>
      <c r="M276" s="10"/>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c r="BE276" s="79"/>
      <c r="BF276" s="79"/>
      <c r="BG276" s="79"/>
      <c r="BH276" s="79"/>
      <c r="BI276" s="79"/>
      <c r="BJ276" s="79"/>
      <c r="BK276" s="79"/>
      <c r="BL276" s="79"/>
      <c r="BM276" s="79"/>
      <c r="BN276" s="79"/>
      <c r="BO276" s="79"/>
      <c r="BP276" s="79"/>
      <c r="BQ276" s="79"/>
      <c r="BR276" s="79"/>
      <c r="BS276" s="79"/>
      <c r="BT276" s="79"/>
      <c r="BU276" s="79"/>
      <c r="BV276" s="79"/>
      <c r="BW276" s="79"/>
      <c r="BX276" s="79"/>
      <c r="BY276" s="79"/>
      <c r="BZ276" s="79"/>
      <c r="CA276" s="79"/>
      <c r="CB276" s="79"/>
      <c r="CC276" s="79"/>
      <c r="CD276" s="79"/>
      <c r="CE276" s="79"/>
      <c r="CF276" s="79"/>
      <c r="CG276" s="79"/>
      <c r="CH276" s="79"/>
      <c r="CI276" s="79"/>
      <c r="CJ276" s="79"/>
      <c r="CK276" s="79"/>
      <c r="CL276" s="79"/>
      <c r="CM276" s="79"/>
      <c r="CN276" s="79"/>
      <c r="CO276" s="79"/>
      <c r="CP276" s="79"/>
      <c r="CQ276" s="79"/>
      <c r="CR276" s="79"/>
      <c r="CS276" s="79"/>
      <c r="CT276" s="79"/>
      <c r="CU276" s="79"/>
      <c r="CV276" s="79"/>
      <c r="CW276" s="79"/>
      <c r="CX276" s="79"/>
      <c r="CY276" s="79"/>
      <c r="CZ276" s="79"/>
      <c r="DA276" s="79"/>
      <c r="DB276" s="79"/>
      <c r="DC276" s="79"/>
      <c r="DD276" s="79"/>
      <c r="DE276" s="79"/>
      <c r="DF276" s="79"/>
      <c r="DG276" s="79"/>
      <c r="DH276" s="79"/>
      <c r="DI276" s="79"/>
      <c r="DJ276" s="79"/>
      <c r="DK276" s="79"/>
      <c r="DL276" s="79"/>
      <c r="DM276" s="79"/>
      <c r="DN276" s="79"/>
      <c r="DO276" s="79"/>
      <c r="DP276" s="79"/>
      <c r="DQ276" s="79"/>
      <c r="DR276" s="79"/>
      <c r="DS276" s="79"/>
      <c r="DT276" s="79"/>
      <c r="DU276" s="79"/>
      <c r="DV276" s="79"/>
      <c r="DW276" s="79"/>
      <c r="DX276" s="79"/>
      <c r="DY276" s="79"/>
      <c r="DZ276" s="79"/>
      <c r="EA276" s="79"/>
      <c r="EB276" s="79"/>
      <c r="EC276" s="79"/>
      <c r="ED276" s="79"/>
      <c r="EE276" s="79"/>
      <c r="EF276" s="79"/>
      <c r="EG276" s="79"/>
      <c r="EH276" s="79"/>
      <c r="EI276" s="79"/>
      <c r="EJ276" s="79"/>
      <c r="EK276" s="79"/>
      <c r="EL276" s="79"/>
      <c r="EM276" s="79"/>
      <c r="EN276" s="79"/>
      <c r="EO276" s="79"/>
      <c r="EP276" s="79"/>
      <c r="EQ276" s="79"/>
      <c r="ER276" s="79"/>
      <c r="ES276" s="79"/>
      <c r="ET276" s="79"/>
      <c r="EU276" s="79"/>
      <c r="EV276" s="79"/>
      <c r="EW276" s="79"/>
      <c r="EX276" s="79"/>
      <c r="EY276" s="79"/>
      <c r="EZ276" s="79"/>
      <c r="FA276" s="79"/>
      <c r="FB276" s="79"/>
      <c r="FC276" s="79"/>
      <c r="FD276" s="79"/>
      <c r="FE276" s="79"/>
      <c r="FF276" s="79"/>
      <c r="FG276" s="79"/>
      <c r="FH276" s="79"/>
      <c r="FI276" s="79"/>
      <c r="FJ276" s="79"/>
      <c r="FK276" s="79"/>
      <c r="FL276" s="79"/>
      <c r="FM276" s="47"/>
      <c r="FN276" s="47"/>
      <c r="FO276" s="47"/>
      <c r="FP276" s="47"/>
      <c r="FQ276" s="47"/>
      <c r="FR276" s="47"/>
      <c r="FS276" s="47"/>
      <c r="FT276" s="47"/>
      <c r="FU276" s="47"/>
      <c r="FV276" s="47"/>
      <c r="FW276" s="47"/>
      <c r="FX276" s="47"/>
      <c r="FY276" s="32"/>
      <c r="FZ276" s="32"/>
      <c r="GA276" s="32"/>
      <c r="GB276" s="32"/>
      <c r="GC276" s="32"/>
      <c r="GD276" s="32"/>
      <c r="GE276" s="32"/>
      <c r="GF276" s="32"/>
      <c r="GG276" s="32"/>
      <c r="GH276" s="32"/>
      <c r="GI276" s="32"/>
      <c r="GJ276" s="32"/>
      <c r="GK276" s="32"/>
      <c r="GL276" s="32"/>
      <c r="GM276" s="49"/>
      <c r="GN276" s="49"/>
      <c r="GO276" s="49"/>
      <c r="GP276" s="49"/>
      <c r="GQ276" s="49"/>
      <c r="GR276" s="49"/>
      <c r="GS276" s="49"/>
      <c r="GT276" s="49"/>
      <c r="GU276" s="49"/>
      <c r="GV276" s="49"/>
      <c r="GW276" s="49"/>
      <c r="GX276" s="49"/>
      <c r="GY276" s="49"/>
      <c r="GZ276" s="49"/>
      <c r="HA276" s="49"/>
      <c r="HB276" s="49"/>
      <c r="HC276" s="49"/>
      <c r="HD276" s="49"/>
      <c r="HE276" s="49"/>
      <c r="HF276" s="49"/>
      <c r="HG276" s="49"/>
      <c r="HH276" s="49"/>
      <c r="HI276" s="49"/>
      <c r="HJ276" s="49"/>
      <c r="HK276" s="49"/>
      <c r="HL276" s="49"/>
      <c r="HM276" s="49"/>
      <c r="HN276" s="49"/>
    </row>
    <row r="277" spans="1:222" ht="16.95" customHeight="1">
      <c r="A277" s="1"/>
      <c r="B277" s="3"/>
      <c r="C277" s="3"/>
      <c r="D277" s="373" t="str">
        <f ca="1">IF(FO273=0,"","denkt het programma dat je een datum wilt invoeren (''1/3'' wordt door het")</f>
        <v/>
      </c>
      <c r="E277" s="10"/>
      <c r="F277" s="10"/>
      <c r="G277" s="10"/>
      <c r="H277" s="10"/>
      <c r="I277" s="10"/>
      <c r="J277" s="10"/>
      <c r="K277" s="10"/>
      <c r="L277" s="10"/>
      <c r="M277" s="10"/>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79"/>
      <c r="BA277" s="79"/>
      <c r="BB277" s="79"/>
      <c r="BC277" s="79"/>
      <c r="BD277" s="79"/>
      <c r="BE277" s="79"/>
      <c r="BF277" s="79"/>
      <c r="BG277" s="79"/>
      <c r="BH277" s="79"/>
      <c r="BI277" s="79"/>
      <c r="BJ277" s="79"/>
      <c r="BK277" s="79"/>
      <c r="BL277" s="79"/>
      <c r="BM277" s="79"/>
      <c r="BN277" s="79"/>
      <c r="BO277" s="79"/>
      <c r="BP277" s="79"/>
      <c r="BQ277" s="79"/>
      <c r="BR277" s="79"/>
      <c r="BS277" s="79"/>
      <c r="BT277" s="79"/>
      <c r="BU277" s="79"/>
      <c r="BV277" s="79"/>
      <c r="BW277" s="79"/>
      <c r="BX277" s="79"/>
      <c r="BY277" s="79"/>
      <c r="BZ277" s="79"/>
      <c r="CA277" s="79"/>
      <c r="CB277" s="79"/>
      <c r="CC277" s="79"/>
      <c r="CD277" s="79"/>
      <c r="CE277" s="79"/>
      <c r="CF277" s="79"/>
      <c r="CG277" s="79"/>
      <c r="CH277" s="79"/>
      <c r="CI277" s="79"/>
      <c r="CJ277" s="79"/>
      <c r="CK277" s="79"/>
      <c r="CL277" s="79"/>
      <c r="CM277" s="79"/>
      <c r="CN277" s="79"/>
      <c r="CO277" s="79"/>
      <c r="CP277" s="79"/>
      <c r="CQ277" s="79"/>
      <c r="CR277" s="79"/>
      <c r="CS277" s="79"/>
      <c r="CT277" s="79"/>
      <c r="CU277" s="79"/>
      <c r="CV277" s="79"/>
      <c r="CW277" s="79"/>
      <c r="CX277" s="79"/>
      <c r="CY277" s="79"/>
      <c r="CZ277" s="79"/>
      <c r="DA277" s="79"/>
      <c r="DB277" s="79"/>
      <c r="DC277" s="79"/>
      <c r="DD277" s="79"/>
      <c r="DE277" s="79"/>
      <c r="DF277" s="79"/>
      <c r="DG277" s="79"/>
      <c r="DH277" s="79"/>
      <c r="DI277" s="79"/>
      <c r="DJ277" s="79"/>
      <c r="DK277" s="79"/>
      <c r="DL277" s="79"/>
      <c r="DM277" s="79"/>
      <c r="DN277" s="79"/>
      <c r="DO277" s="79"/>
      <c r="DP277" s="79"/>
      <c r="DQ277" s="79"/>
      <c r="DR277" s="79"/>
      <c r="DS277" s="79"/>
      <c r="DT277" s="79"/>
      <c r="DU277" s="79"/>
      <c r="DV277" s="79"/>
      <c r="DW277" s="79"/>
      <c r="DX277" s="79"/>
      <c r="DY277" s="79"/>
      <c r="DZ277" s="79"/>
      <c r="EA277" s="79"/>
      <c r="EB277" s="79"/>
      <c r="EC277" s="79"/>
      <c r="ED277" s="79"/>
      <c r="EE277" s="79"/>
      <c r="EF277" s="79"/>
      <c r="EG277" s="79"/>
      <c r="EH277" s="79"/>
      <c r="EI277" s="79"/>
      <c r="EJ277" s="79"/>
      <c r="EK277" s="79"/>
      <c r="EL277" s="79"/>
      <c r="EM277" s="79"/>
      <c r="EN277" s="79"/>
      <c r="EO277" s="79"/>
      <c r="EP277" s="79"/>
      <c r="EQ277" s="79"/>
      <c r="ER277" s="79"/>
      <c r="ES277" s="79"/>
      <c r="ET277" s="79"/>
      <c r="EU277" s="79"/>
      <c r="EV277" s="79"/>
      <c r="EW277" s="79"/>
      <c r="EX277" s="79"/>
      <c r="EY277" s="79"/>
      <c r="EZ277" s="79"/>
      <c r="FA277" s="79"/>
      <c r="FB277" s="79"/>
      <c r="FC277" s="79"/>
      <c r="FD277" s="79"/>
      <c r="FE277" s="79"/>
      <c r="FF277" s="79"/>
      <c r="FG277" s="79"/>
      <c r="FH277" s="79"/>
      <c r="FI277" s="79"/>
      <c r="FJ277" s="79"/>
      <c r="FK277" s="79"/>
      <c r="FL277" s="79"/>
      <c r="FM277" s="47"/>
      <c r="FN277" s="47"/>
      <c r="FO277" s="47"/>
      <c r="FP277" s="47"/>
      <c r="FQ277" s="47"/>
      <c r="FR277" s="47"/>
      <c r="FS277" s="47"/>
      <c r="FT277" s="47"/>
      <c r="FU277" s="47"/>
      <c r="FV277" s="47"/>
      <c r="FW277" s="47"/>
      <c r="FX277" s="47"/>
      <c r="FY277" s="32"/>
      <c r="FZ277" s="32"/>
      <c r="GA277" s="32"/>
      <c r="GB277" s="32"/>
      <c r="GC277" s="32"/>
      <c r="GD277" s="32"/>
      <c r="GE277" s="32"/>
      <c r="GF277" s="32"/>
      <c r="GG277" s="32"/>
      <c r="GH277" s="32"/>
      <c r="GI277" s="32"/>
      <c r="GJ277" s="32"/>
      <c r="GK277" s="32"/>
      <c r="GL277" s="32"/>
      <c r="GM277" s="49"/>
      <c r="GN277" s="49"/>
      <c r="GO277" s="49"/>
      <c r="GP277" s="49"/>
      <c r="GQ277" s="49"/>
      <c r="GR277" s="49"/>
      <c r="GS277" s="49"/>
      <c r="GT277" s="49"/>
      <c r="GU277" s="49"/>
      <c r="GV277" s="49"/>
      <c r="GW277" s="49"/>
      <c r="GX277" s="49"/>
      <c r="GY277" s="49"/>
      <c r="GZ277" s="49"/>
      <c r="HA277" s="49"/>
      <c r="HB277" s="49"/>
      <c r="HC277" s="49"/>
      <c r="HD277" s="49"/>
      <c r="HE277" s="49"/>
      <c r="HF277" s="49"/>
      <c r="HG277" s="49"/>
      <c r="HH277" s="49"/>
      <c r="HI277" s="49"/>
      <c r="HJ277" s="49"/>
      <c r="HK277" s="49"/>
      <c r="HL277" s="49"/>
      <c r="HM277" s="49"/>
      <c r="HN277" s="49"/>
    </row>
    <row r="278" spans="1:222" ht="16.95" customHeight="1">
      <c r="A278" s="1"/>
      <c r="B278" s="3"/>
      <c r="C278" s="3"/>
      <c r="D278" s="373" t="str">
        <f ca="1">IF(FO273=0,"","het programma namelijk gelezen als 1 maart; ''=1/3'' wordt correct gelezen).")</f>
        <v/>
      </c>
      <c r="E278" s="10"/>
      <c r="F278" s="10"/>
      <c r="G278" s="10"/>
      <c r="H278" s="10"/>
      <c r="I278" s="10"/>
      <c r="J278" s="10"/>
      <c r="K278" s="10"/>
      <c r="L278" s="10"/>
      <c r="M278" s="10"/>
      <c r="N278" s="79"/>
      <c r="O278" s="79"/>
      <c r="P278" s="79"/>
      <c r="Q278" s="79"/>
      <c r="R278" s="79"/>
      <c r="S278" s="7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79"/>
      <c r="BF278" s="79"/>
      <c r="BG278" s="79"/>
      <c r="BH278" s="79"/>
      <c r="BI278" s="79"/>
      <c r="BJ278" s="79"/>
      <c r="BK278" s="79"/>
      <c r="BL278" s="79"/>
      <c r="BM278" s="79"/>
      <c r="BN278" s="79"/>
      <c r="BO278" s="79"/>
      <c r="BP278" s="79"/>
      <c r="BQ278" s="79"/>
      <c r="BR278" s="79"/>
      <c r="BS278" s="79"/>
      <c r="BT278" s="79"/>
      <c r="BU278" s="79"/>
      <c r="BV278" s="79"/>
      <c r="BW278" s="79"/>
      <c r="BX278" s="79"/>
      <c r="BY278" s="79"/>
      <c r="BZ278" s="79"/>
      <c r="CA278" s="79"/>
      <c r="CB278" s="79"/>
      <c r="CC278" s="79"/>
      <c r="CD278" s="79"/>
      <c r="CE278" s="79"/>
      <c r="CF278" s="79"/>
      <c r="CG278" s="79"/>
      <c r="CH278" s="79"/>
      <c r="CI278" s="79"/>
      <c r="CJ278" s="79"/>
      <c r="CK278" s="79"/>
      <c r="CL278" s="79"/>
      <c r="CM278" s="79"/>
      <c r="CN278" s="79"/>
      <c r="CO278" s="79"/>
      <c r="CP278" s="79"/>
      <c r="CQ278" s="79"/>
      <c r="CR278" s="79"/>
      <c r="CS278" s="79"/>
      <c r="CT278" s="79"/>
      <c r="CU278" s="79"/>
      <c r="CV278" s="79"/>
      <c r="CW278" s="79"/>
      <c r="CX278" s="79"/>
      <c r="CY278" s="79"/>
      <c r="CZ278" s="79"/>
      <c r="DA278" s="79"/>
      <c r="DB278" s="79"/>
      <c r="DC278" s="79"/>
      <c r="DD278" s="79"/>
      <c r="DE278" s="79"/>
      <c r="DF278" s="79"/>
      <c r="DG278" s="79"/>
      <c r="DH278" s="79"/>
      <c r="DI278" s="79"/>
      <c r="DJ278" s="79"/>
      <c r="DK278" s="79"/>
      <c r="DL278" s="79"/>
      <c r="DM278" s="79"/>
      <c r="DN278" s="79"/>
      <c r="DO278" s="79"/>
      <c r="DP278" s="79"/>
      <c r="DQ278" s="79"/>
      <c r="DR278" s="79"/>
      <c r="DS278" s="79"/>
      <c r="DT278" s="79"/>
      <c r="DU278" s="79"/>
      <c r="DV278" s="79"/>
      <c r="DW278" s="79"/>
      <c r="DX278" s="79"/>
      <c r="DY278" s="79"/>
      <c r="DZ278" s="79"/>
      <c r="EA278" s="79"/>
      <c r="EB278" s="79"/>
      <c r="EC278" s="79"/>
      <c r="ED278" s="79"/>
      <c r="EE278" s="79"/>
      <c r="EF278" s="79"/>
      <c r="EG278" s="79"/>
      <c r="EH278" s="79"/>
      <c r="EI278" s="79"/>
      <c r="EJ278" s="79"/>
      <c r="EK278" s="79"/>
      <c r="EL278" s="79"/>
      <c r="EM278" s="79"/>
      <c r="EN278" s="79"/>
      <c r="EO278" s="79"/>
      <c r="EP278" s="79"/>
      <c r="EQ278" s="79"/>
      <c r="ER278" s="79"/>
      <c r="ES278" s="79"/>
      <c r="ET278" s="79"/>
      <c r="EU278" s="79"/>
      <c r="EV278" s="79"/>
      <c r="EW278" s="79"/>
      <c r="EX278" s="79"/>
      <c r="EY278" s="79"/>
      <c r="EZ278" s="79"/>
      <c r="FA278" s="79"/>
      <c r="FB278" s="79"/>
      <c r="FC278" s="79"/>
      <c r="FD278" s="79"/>
      <c r="FE278" s="79"/>
      <c r="FF278" s="79"/>
      <c r="FG278" s="79"/>
      <c r="FH278" s="79"/>
      <c r="FI278" s="79"/>
      <c r="FJ278" s="79"/>
      <c r="FK278" s="79"/>
      <c r="FL278" s="79"/>
      <c r="FM278" s="47"/>
      <c r="FN278" s="47"/>
      <c r="FO278" s="47"/>
      <c r="FP278" s="47"/>
      <c r="FQ278" s="47"/>
      <c r="FR278" s="47"/>
      <c r="FS278" s="47"/>
      <c r="FT278" s="47"/>
      <c r="FU278" s="47"/>
      <c r="FV278" s="47"/>
      <c r="FW278" s="47"/>
      <c r="FX278" s="47"/>
      <c r="FY278" s="32"/>
      <c r="FZ278" s="32"/>
      <c r="GA278" s="32"/>
      <c r="GB278" s="32"/>
      <c r="GC278" s="32"/>
      <c r="GD278" s="32"/>
      <c r="GE278" s="32"/>
      <c r="GF278" s="32"/>
      <c r="GG278" s="32"/>
      <c r="GH278" s="32"/>
      <c r="GI278" s="32"/>
      <c r="GJ278" s="32"/>
      <c r="GK278" s="32"/>
      <c r="GL278" s="32"/>
      <c r="GM278" s="49"/>
      <c r="GN278" s="49"/>
      <c r="GO278" s="49"/>
      <c r="GP278" s="49"/>
      <c r="GQ278" s="49"/>
      <c r="GR278" s="49"/>
      <c r="GS278" s="49"/>
      <c r="GT278" s="49"/>
      <c r="GU278" s="49"/>
      <c r="GV278" s="49"/>
      <c r="GW278" s="49"/>
      <c r="GX278" s="49"/>
      <c r="GY278" s="49"/>
      <c r="GZ278" s="49"/>
      <c r="HA278" s="49"/>
      <c r="HB278" s="49"/>
      <c r="HC278" s="49"/>
      <c r="HD278" s="49"/>
      <c r="HE278" s="49"/>
      <c r="HF278" s="49"/>
      <c r="HG278" s="49"/>
      <c r="HH278" s="49"/>
      <c r="HI278" s="49"/>
      <c r="HJ278" s="49"/>
      <c r="HK278" s="49"/>
      <c r="HL278" s="49"/>
      <c r="HM278" s="49"/>
      <c r="HN278" s="49"/>
    </row>
    <row r="279" spans="1:222" ht="7.5" customHeight="1">
      <c r="A279" s="1"/>
      <c r="B279" s="3"/>
      <c r="C279" s="3"/>
      <c r="D279" s="38"/>
      <c r="E279" s="38"/>
      <c r="F279" s="12"/>
      <c r="G279" s="12"/>
      <c r="H279" s="12"/>
      <c r="I279" s="12"/>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26"/>
      <c r="FI279" s="26"/>
      <c r="FJ279" s="79"/>
      <c r="FK279" s="79"/>
      <c r="FL279" s="79"/>
      <c r="FM279" s="170"/>
      <c r="FN279" s="170"/>
      <c r="FO279" s="170"/>
      <c r="FP279" s="170"/>
      <c r="FQ279" s="170"/>
      <c r="FR279" s="170"/>
      <c r="FS279" s="170"/>
      <c r="FT279" s="170"/>
      <c r="FU279" s="170"/>
      <c r="FV279" s="170"/>
      <c r="FW279" s="170"/>
      <c r="FX279" s="179"/>
      <c r="FY279" s="32"/>
      <c r="FZ279" s="32"/>
      <c r="GA279" s="32"/>
      <c r="GB279" s="32"/>
      <c r="GC279" s="32"/>
      <c r="GD279" s="32"/>
      <c r="GE279" s="32"/>
      <c r="GF279" s="32"/>
      <c r="GG279" s="32"/>
      <c r="GH279" s="32"/>
      <c r="GI279" s="32"/>
      <c r="GJ279" s="32"/>
      <c r="GK279" s="32"/>
      <c r="GL279" s="32"/>
      <c r="GM279" s="49"/>
      <c r="GN279" s="49"/>
      <c r="GO279" s="49"/>
      <c r="GP279" s="49"/>
      <c r="GQ279" s="78"/>
      <c r="GR279" s="78"/>
      <c r="GS279" s="78"/>
      <c r="GT279" s="78"/>
      <c r="GU279" s="78"/>
      <c r="GV279" s="78"/>
      <c r="GW279" s="78"/>
      <c r="GX279" s="78"/>
      <c r="GY279" s="78"/>
      <c r="GZ279" s="78"/>
      <c r="HA279" s="78"/>
      <c r="HB279" s="78"/>
      <c r="HC279" s="78"/>
      <c r="HD279" s="78"/>
      <c r="HE279" s="78"/>
      <c r="HF279" s="78"/>
      <c r="HG279" s="78"/>
      <c r="HH279" s="78"/>
      <c r="HI279" s="78"/>
      <c r="HJ279" s="78"/>
      <c r="HK279" s="78"/>
      <c r="HL279" s="78"/>
      <c r="HM279" s="78"/>
      <c r="HN279" s="78"/>
    </row>
    <row r="280" spans="1:222" ht="3.75" customHeight="1">
      <c r="A280" s="1"/>
      <c r="B280" s="3"/>
      <c r="C280" s="3"/>
      <c r="D280" s="38"/>
      <c r="E280" s="38"/>
      <c r="F280" s="12"/>
      <c r="G280" s="12"/>
      <c r="H280" s="12"/>
      <c r="I280" s="12"/>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544" t="str">
        <f ca="1">IF(FO273=0,"","`")</f>
        <v/>
      </c>
      <c r="BQ280" s="522"/>
      <c r="BR280" s="522"/>
      <c r="BS280" s="522"/>
      <c r="BT280" s="522"/>
      <c r="BU280" s="522"/>
      <c r="BV280" s="522"/>
      <c r="BW280" s="522"/>
      <c r="BX280" s="522"/>
      <c r="BY280" s="522"/>
      <c r="BZ280" s="522"/>
      <c r="CA280" s="522"/>
      <c r="CB280" s="522"/>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26"/>
      <c r="FI280" s="26"/>
      <c r="FJ280" s="79"/>
      <c r="FK280" s="79"/>
      <c r="FL280" s="79"/>
      <c r="FM280" s="170"/>
      <c r="FN280" s="170"/>
      <c r="FO280" s="170"/>
      <c r="FP280" s="170"/>
      <c r="FQ280" s="170"/>
      <c r="FR280" s="170"/>
      <c r="FS280" s="170"/>
      <c r="FT280" s="170"/>
      <c r="FU280" s="170"/>
      <c r="FV280" s="170"/>
      <c r="FW280" s="170"/>
      <c r="FX280" s="179"/>
      <c r="FY280" s="32"/>
      <c r="FZ280" s="32"/>
      <c r="GA280" s="32"/>
      <c r="GB280" s="32"/>
      <c r="GC280" s="32" t="s">
        <v>149</v>
      </c>
      <c r="GD280" s="32"/>
      <c r="GE280" s="32"/>
      <c r="GF280" s="32"/>
      <c r="GG280" s="32"/>
      <c r="GH280" s="32"/>
      <c r="GI280" s="32"/>
      <c r="GJ280" s="32"/>
      <c r="GK280" s="32"/>
      <c r="GL280" s="32"/>
      <c r="GM280" s="49"/>
      <c r="GN280" s="49"/>
      <c r="GO280" s="49"/>
      <c r="GP280" s="49"/>
      <c r="GQ280" s="78"/>
      <c r="GR280" s="78"/>
      <c r="GS280" s="78"/>
      <c r="GT280" s="78"/>
      <c r="GU280" s="78"/>
      <c r="GV280" s="78"/>
      <c r="GW280" s="78"/>
      <c r="GX280" s="78"/>
      <c r="GY280" s="78"/>
      <c r="GZ280" s="78"/>
      <c r="HA280" s="78"/>
      <c r="HB280" s="78"/>
      <c r="HC280" s="78"/>
      <c r="HD280" s="78"/>
      <c r="HE280" s="78"/>
      <c r="HF280" s="78"/>
      <c r="HG280" s="78"/>
      <c r="HH280" s="78"/>
      <c r="HI280" s="78"/>
      <c r="HJ280" s="78"/>
      <c r="HK280" s="78"/>
      <c r="HL280" s="78"/>
      <c r="HM280" s="78"/>
      <c r="HN280" s="78"/>
    </row>
    <row r="281" spans="1:222" ht="16.5" customHeight="1">
      <c r="A281" s="1"/>
      <c r="B281" s="3"/>
      <c r="C281" s="3"/>
      <c r="D281" s="43"/>
      <c r="E281" s="38"/>
      <c r="F281" s="12"/>
      <c r="G281" s="12"/>
      <c r="H281" s="12"/>
      <c r="I281" s="12"/>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84" t="str">
        <f ca="1">IF(FO273=0,"","De waarde voor ''a'' is:")</f>
        <v/>
      </c>
      <c r="BO281" s="10"/>
      <c r="BP281" s="198" t="str">
        <f ca="1">IF(FO273=0,"","`")</f>
        <v/>
      </c>
      <c r="BQ281" s="691"/>
      <c r="BR281" s="626"/>
      <c r="BS281" s="626"/>
      <c r="BT281" s="626"/>
      <c r="BU281" s="626"/>
      <c r="BV281" s="626"/>
      <c r="BW281" s="626"/>
      <c r="BX281" s="626"/>
      <c r="BY281" s="626"/>
      <c r="BZ281" s="626"/>
      <c r="CA281" s="626"/>
      <c r="CB281" s="187" t="str">
        <f ca="1">IF(FO273=0,"","`")</f>
        <v/>
      </c>
      <c r="CC281" s="10"/>
      <c r="CD281" s="24" t="str">
        <f>IF(BQ281="","",IF(BQ281&lt;=0,"Het moet een positief getal zijn!",IF(BQ281&gt;5,"Het moet kleiner dan "&amp;FQ281&amp;" zijn!",IF(BQ281&lt;FP281,"Het moet groter dan "&amp;FP281&amp;" zijn!",""))))</f>
        <v/>
      </c>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26"/>
      <c r="FI281" s="26"/>
      <c r="FJ281" s="79"/>
      <c r="FK281" s="79"/>
      <c r="FL281" s="79"/>
      <c r="FM281" s="170"/>
      <c r="FN281" s="170"/>
      <c r="FO281" s="170">
        <f ca="1">IF(programma!B1="X",1,IF(FO273=0,0,IF(BQ281="",0,IF(AND(BQ281&gt;=FP281,BQ281&lt;=FQ281),1,0))))</f>
        <v>0</v>
      </c>
      <c r="FP281" s="170">
        <v>0.1</v>
      </c>
      <c r="FQ281" s="170">
        <v>5</v>
      </c>
      <c r="FR281" s="170"/>
      <c r="FS281" s="170"/>
      <c r="FT281" s="170"/>
      <c r="FU281" s="170"/>
      <c r="FV281" s="170"/>
      <c r="FW281" s="170"/>
      <c r="FX281" s="179"/>
      <c r="FY281" s="32"/>
      <c r="FZ281" s="32"/>
      <c r="GA281" s="32"/>
      <c r="GB281" s="32"/>
      <c r="GC281" s="32" t="s">
        <v>150</v>
      </c>
      <c r="GD281" s="32"/>
      <c r="GE281" s="32"/>
      <c r="GF281" s="32"/>
      <c r="GG281" s="32"/>
      <c r="GH281" s="32"/>
      <c r="GI281" s="32"/>
      <c r="GJ281" s="32"/>
      <c r="GK281" s="32"/>
      <c r="GL281" s="32"/>
      <c r="GM281" s="49"/>
      <c r="GN281" s="49"/>
      <c r="GO281" s="49"/>
      <c r="GP281" s="49"/>
      <c r="GQ281" s="78"/>
      <c r="GR281" s="78"/>
      <c r="GS281" s="78"/>
      <c r="GT281" s="78"/>
      <c r="GU281" s="78"/>
      <c r="GV281" s="78"/>
      <c r="GW281" s="78"/>
      <c r="GX281" s="78"/>
      <c r="GY281" s="78"/>
      <c r="GZ281" s="78"/>
      <c r="HA281" s="78"/>
      <c r="HB281" s="78"/>
      <c r="HC281" s="78"/>
      <c r="HD281" s="78"/>
      <c r="HE281" s="78"/>
      <c r="HF281" s="78"/>
      <c r="HG281" s="78"/>
      <c r="HH281" s="78"/>
      <c r="HI281" s="78"/>
      <c r="HJ281" s="78"/>
      <c r="HK281" s="78"/>
      <c r="HL281" s="78"/>
      <c r="HM281" s="78"/>
      <c r="HN281" s="78"/>
    </row>
    <row r="282" spans="1:222" ht="3.75" customHeight="1">
      <c r="A282" s="1"/>
      <c r="B282" s="3"/>
      <c r="C282" s="3"/>
      <c r="D282" s="38"/>
      <c r="E282" s="38"/>
      <c r="F282" s="12"/>
      <c r="G282" s="12"/>
      <c r="H282" s="12"/>
      <c r="I282" s="12"/>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544" t="str">
        <f ca="1">IF(FO273=0,"","`")</f>
        <v/>
      </c>
      <c r="BQ282" s="522"/>
      <c r="BR282" s="522"/>
      <c r="BS282" s="522"/>
      <c r="BT282" s="522"/>
      <c r="BU282" s="522"/>
      <c r="BV282" s="522"/>
      <c r="BW282" s="522"/>
      <c r="BX282" s="522"/>
      <c r="BY282" s="522"/>
      <c r="BZ282" s="522"/>
      <c r="CA282" s="522"/>
      <c r="CB282" s="522"/>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26"/>
      <c r="FI282" s="26"/>
      <c r="FJ282" s="79"/>
      <c r="FK282" s="79"/>
      <c r="FL282" s="79"/>
      <c r="FM282" s="170"/>
      <c r="FN282" s="170"/>
      <c r="FO282" s="170"/>
      <c r="FP282" s="170"/>
      <c r="FQ282" s="170"/>
      <c r="FR282" s="170"/>
      <c r="FS282" s="170"/>
      <c r="FT282" s="170"/>
      <c r="FU282" s="170"/>
      <c r="FV282" s="170"/>
      <c r="FW282" s="170"/>
      <c r="FX282" s="179"/>
      <c r="FY282" s="32"/>
      <c r="FZ282" s="32"/>
      <c r="GA282" s="32"/>
      <c r="GB282" s="32"/>
      <c r="GC282" s="32" t="s">
        <v>151</v>
      </c>
      <c r="GD282" s="32"/>
      <c r="GE282" s="32"/>
      <c r="GF282" s="32"/>
      <c r="GG282" s="32"/>
      <c r="GH282" s="32"/>
      <c r="GI282" s="32"/>
      <c r="GJ282" s="32"/>
      <c r="GK282" s="32"/>
      <c r="GL282" s="32"/>
      <c r="GM282" s="49"/>
      <c r="GN282" s="49"/>
      <c r="GO282" s="49"/>
      <c r="GP282" s="49"/>
      <c r="GQ282" s="78"/>
      <c r="GR282" s="78"/>
      <c r="GS282" s="78"/>
      <c r="GT282" s="78"/>
      <c r="GU282" s="78"/>
      <c r="GV282" s="78"/>
      <c r="GW282" s="78"/>
      <c r="GX282" s="78"/>
      <c r="GY282" s="78"/>
      <c r="GZ282" s="78"/>
      <c r="HA282" s="78"/>
      <c r="HB282" s="78"/>
      <c r="HC282" s="78"/>
      <c r="HD282" s="78"/>
      <c r="HE282" s="78"/>
      <c r="HF282" s="78"/>
      <c r="HG282" s="78"/>
      <c r="HH282" s="78"/>
      <c r="HI282" s="78"/>
      <c r="HJ282" s="78"/>
      <c r="HK282" s="78"/>
      <c r="HL282" s="78"/>
      <c r="HM282" s="78"/>
      <c r="HN282" s="78"/>
    </row>
    <row r="283" spans="1:222" ht="8.25" customHeight="1">
      <c r="A283" s="1"/>
      <c r="B283" s="3"/>
      <c r="C283" s="3"/>
      <c r="D283" s="43"/>
      <c r="E283" s="38"/>
      <c r="F283" s="12"/>
      <c r="G283" s="12"/>
      <c r="H283" s="12"/>
      <c r="I283" s="12"/>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26"/>
      <c r="FI283" s="26"/>
      <c r="FJ283" s="79"/>
      <c r="FK283" s="79"/>
      <c r="FL283" s="79"/>
      <c r="FM283" s="170"/>
      <c r="FN283" s="170"/>
      <c r="FO283" s="170"/>
      <c r="FP283" s="170"/>
      <c r="FQ283" s="170"/>
      <c r="FR283" s="170"/>
      <c r="FS283" s="170"/>
      <c r="FT283" s="170"/>
      <c r="FU283" s="170"/>
      <c r="FV283" s="170"/>
      <c r="FW283" s="170"/>
      <c r="FX283" s="179"/>
      <c r="FY283" s="32"/>
      <c r="FZ283" s="32"/>
      <c r="GA283" s="32"/>
      <c r="GB283" s="32"/>
      <c r="GC283" s="32" t="s">
        <v>152</v>
      </c>
      <c r="GD283" s="32"/>
      <c r="GE283" s="32"/>
      <c r="GF283" s="32"/>
      <c r="GG283" s="32"/>
      <c r="GH283" s="32"/>
      <c r="GI283" s="32"/>
      <c r="GJ283" s="32"/>
      <c r="GK283" s="32"/>
      <c r="GL283" s="32"/>
      <c r="GM283" s="49"/>
      <c r="GN283" s="49"/>
      <c r="GO283" s="49"/>
      <c r="GP283" s="49"/>
      <c r="GQ283" s="78"/>
      <c r="GR283" s="78"/>
      <c r="GS283" s="78"/>
      <c r="GT283" s="78"/>
      <c r="GU283" s="78"/>
      <c r="GV283" s="78"/>
      <c r="GW283" s="78"/>
      <c r="GX283" s="78"/>
      <c r="GY283" s="78"/>
      <c r="GZ283" s="78"/>
      <c r="HA283" s="78"/>
      <c r="HB283" s="78"/>
      <c r="HC283" s="78"/>
      <c r="HD283" s="78"/>
      <c r="HE283" s="78"/>
      <c r="HF283" s="78"/>
      <c r="HG283" s="78"/>
      <c r="HH283" s="78"/>
      <c r="HI283" s="78"/>
      <c r="HJ283" s="78"/>
      <c r="HK283" s="78"/>
      <c r="HL283" s="78"/>
      <c r="HM283" s="78"/>
      <c r="HN283" s="78"/>
    </row>
    <row r="284" spans="1:222" ht="16.5" customHeight="1">
      <c r="A284" s="1"/>
      <c r="B284" s="3"/>
      <c r="C284" s="3"/>
      <c r="D284" s="12" t="str">
        <f ca="1">IF(FO281=0,"","Kies een waarde voor ''b''. Deze waarde moet groter dan "&amp;FP287&amp;" zijn.")</f>
        <v/>
      </c>
      <c r="E284" s="12"/>
      <c r="F284" s="12"/>
      <c r="G284" s="12"/>
      <c r="H284" s="12"/>
      <c r="I284" s="12"/>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26"/>
      <c r="FI284" s="26"/>
      <c r="FJ284" s="79"/>
      <c r="FK284" s="79"/>
      <c r="FL284" s="79"/>
      <c r="FM284" s="170"/>
      <c r="FN284" s="170"/>
      <c r="FO284" s="170"/>
      <c r="FP284" s="170"/>
      <c r="FQ284" s="170"/>
      <c r="FR284" s="170"/>
      <c r="FS284" s="170"/>
      <c r="FT284" s="170"/>
      <c r="FU284" s="170"/>
      <c r="FV284" s="170"/>
      <c r="FW284" s="170"/>
      <c r="FX284" s="179"/>
      <c r="FY284" s="32"/>
      <c r="FZ284" s="32"/>
      <c r="GA284" s="32"/>
      <c r="GB284" s="32"/>
      <c r="GC284" s="32"/>
      <c r="GD284" s="32"/>
      <c r="GE284" s="32"/>
      <c r="GF284" s="32"/>
      <c r="GG284" s="32"/>
      <c r="GH284" s="32"/>
      <c r="GI284" s="32"/>
      <c r="GJ284" s="32"/>
      <c r="GK284" s="32"/>
      <c r="GL284" s="32"/>
      <c r="GM284" s="49"/>
      <c r="GN284" s="49"/>
      <c r="GO284" s="49"/>
      <c r="GP284" s="49"/>
      <c r="GQ284" s="78"/>
      <c r="GR284" s="78"/>
      <c r="GS284" s="78"/>
      <c r="GT284" s="78"/>
      <c r="GU284" s="78"/>
      <c r="GV284" s="78"/>
      <c r="GW284" s="78"/>
      <c r="GX284" s="78"/>
      <c r="GY284" s="78"/>
      <c r="GZ284" s="78"/>
      <c r="HA284" s="78"/>
      <c r="HB284" s="78"/>
      <c r="HC284" s="78"/>
      <c r="HD284" s="78"/>
      <c r="HE284" s="78"/>
      <c r="HF284" s="78"/>
      <c r="HG284" s="78"/>
      <c r="HH284" s="78"/>
      <c r="HI284" s="78"/>
      <c r="HJ284" s="78"/>
      <c r="HK284" s="78"/>
      <c r="HL284" s="78"/>
      <c r="HM284" s="78"/>
      <c r="HN284" s="78"/>
    </row>
    <row r="285" spans="1:222" ht="8.25" customHeight="1">
      <c r="A285" s="1"/>
      <c r="B285" s="3"/>
      <c r="C285" s="3"/>
      <c r="D285" s="43"/>
      <c r="E285" s="38"/>
      <c r="F285" s="12"/>
      <c r="G285" s="12"/>
      <c r="H285" s="12"/>
      <c r="I285" s="12"/>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26"/>
      <c r="FI285" s="26"/>
      <c r="FJ285" s="79"/>
      <c r="FK285" s="79"/>
      <c r="FL285" s="79"/>
      <c r="FM285" s="170"/>
      <c r="FN285" s="170"/>
      <c r="FO285" s="170"/>
      <c r="FP285" s="170"/>
      <c r="FQ285" s="170"/>
      <c r="FR285" s="170"/>
      <c r="FS285" s="170"/>
      <c r="FT285" s="170"/>
      <c r="FU285" s="170"/>
      <c r="FV285" s="170"/>
      <c r="FW285" s="170"/>
      <c r="FX285" s="179"/>
      <c r="FY285" s="32"/>
      <c r="FZ285" s="32"/>
      <c r="GA285" s="32"/>
      <c r="GB285" s="32"/>
      <c r="GC285" s="32"/>
      <c r="GD285" s="32"/>
      <c r="GE285" s="32"/>
      <c r="GF285" s="32"/>
      <c r="GG285" s="32"/>
      <c r="GH285" s="32"/>
      <c r="GI285" s="32"/>
      <c r="GJ285" s="32"/>
      <c r="GK285" s="32"/>
      <c r="GL285" s="32"/>
      <c r="GM285" s="49"/>
      <c r="GN285" s="49"/>
      <c r="GO285" s="49"/>
      <c r="GP285" s="49"/>
      <c r="GQ285" s="78"/>
      <c r="GR285" s="78"/>
      <c r="GS285" s="78"/>
      <c r="GT285" s="78"/>
      <c r="GU285" s="78"/>
      <c r="GV285" s="78"/>
      <c r="GW285" s="78"/>
      <c r="GX285" s="78"/>
      <c r="GY285" s="78"/>
      <c r="GZ285" s="78"/>
      <c r="HA285" s="78"/>
      <c r="HB285" s="78"/>
      <c r="HC285" s="78"/>
      <c r="HD285" s="78"/>
      <c r="HE285" s="78"/>
      <c r="HF285" s="78"/>
      <c r="HG285" s="78"/>
      <c r="HH285" s="78"/>
      <c r="HI285" s="78"/>
      <c r="HJ285" s="78"/>
      <c r="HK285" s="78"/>
      <c r="HL285" s="78"/>
      <c r="HM285" s="78"/>
      <c r="HN285" s="78"/>
    </row>
    <row r="286" spans="1:222" ht="3.75" customHeight="1">
      <c r="A286" s="1"/>
      <c r="B286" s="3"/>
      <c r="C286" s="3"/>
      <c r="D286" s="38"/>
      <c r="E286" s="38"/>
      <c r="F286" s="12"/>
      <c r="G286" s="12"/>
      <c r="H286" s="12"/>
      <c r="I286" s="12"/>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544" t="str">
        <f ca="1">IF(FO281=0,"","`")</f>
        <v/>
      </c>
      <c r="BQ286" s="522"/>
      <c r="BR286" s="522"/>
      <c r="BS286" s="522"/>
      <c r="BT286" s="522"/>
      <c r="BU286" s="522"/>
      <c r="BV286" s="522"/>
      <c r="BW286" s="522"/>
      <c r="BX286" s="522"/>
      <c r="BY286" s="522"/>
      <c r="BZ286" s="522"/>
      <c r="CA286" s="522"/>
      <c r="CB286" s="522"/>
      <c r="CC286" s="522"/>
      <c r="CD286" s="522"/>
      <c r="CE286" s="522"/>
      <c r="CF286" s="522"/>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26"/>
      <c r="FI286" s="26"/>
      <c r="FJ286" s="79"/>
      <c r="FK286" s="79"/>
      <c r="FL286" s="79"/>
      <c r="FM286" s="170"/>
      <c r="FN286" s="170"/>
      <c r="FO286" s="170"/>
      <c r="FP286" s="170"/>
      <c r="FQ286" s="170"/>
      <c r="FR286" s="170"/>
      <c r="FS286" s="170"/>
      <c r="FT286" s="170"/>
      <c r="FU286" s="170"/>
      <c r="FV286" s="170"/>
      <c r="FW286" s="170"/>
      <c r="FX286" s="179"/>
      <c r="FY286" s="32"/>
      <c r="FZ286" s="32"/>
      <c r="GA286" s="32"/>
      <c r="GB286" s="32"/>
      <c r="GC286" s="32" t="s">
        <v>153</v>
      </c>
      <c r="GD286" s="32"/>
      <c r="GE286" s="32"/>
      <c r="GF286" s="32"/>
      <c r="GG286" s="32"/>
      <c r="GH286" s="32"/>
      <c r="GI286" s="32"/>
      <c r="GJ286" s="32"/>
      <c r="GK286" s="32"/>
      <c r="GL286" s="32"/>
      <c r="GM286" s="49"/>
      <c r="GN286" s="49"/>
      <c r="GO286" s="49"/>
      <c r="GP286" s="49"/>
      <c r="GQ286" s="78"/>
      <c r="GR286" s="78"/>
      <c r="GS286" s="78"/>
      <c r="GT286" s="78"/>
      <c r="GU286" s="78"/>
      <c r="GV286" s="78"/>
      <c r="GW286" s="78"/>
      <c r="GX286" s="78"/>
      <c r="GY286" s="78"/>
      <c r="GZ286" s="78"/>
      <c r="HA286" s="78"/>
      <c r="HB286" s="78"/>
      <c r="HC286" s="78"/>
      <c r="HD286" s="78"/>
      <c r="HE286" s="78"/>
      <c r="HF286" s="78"/>
      <c r="HG286" s="78"/>
      <c r="HH286" s="78"/>
      <c r="HI286" s="78"/>
      <c r="HJ286" s="78"/>
      <c r="HK286" s="78"/>
      <c r="HL286" s="78"/>
      <c r="HM286" s="78"/>
      <c r="HN286" s="78"/>
    </row>
    <row r="287" spans="1:222" ht="16.5" customHeight="1">
      <c r="A287" s="1"/>
      <c r="B287" s="3"/>
      <c r="C287" s="3"/>
      <c r="D287" s="43"/>
      <c r="E287" s="38"/>
      <c r="F287" s="12"/>
      <c r="G287" s="12"/>
      <c r="H287" s="12"/>
      <c r="I287" s="12"/>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84" t="str">
        <f ca="1">IF(FO281=0,"","De waarde voor ''b'':")</f>
        <v/>
      </c>
      <c r="BO287" s="10"/>
      <c r="BP287" s="198" t="str">
        <f ca="1">IF(FO281=0,"","`")</f>
        <v/>
      </c>
      <c r="BQ287" s="691"/>
      <c r="BR287" s="691"/>
      <c r="BS287" s="691"/>
      <c r="BT287" s="691"/>
      <c r="BU287" s="691"/>
      <c r="BV287" s="691"/>
      <c r="BW287" s="691"/>
      <c r="BX287" s="691"/>
      <c r="BY287" s="691"/>
      <c r="BZ287" s="691"/>
      <c r="CA287" s="691"/>
      <c r="CB287" s="691"/>
      <c r="CC287" s="691"/>
      <c r="CD287" s="691"/>
      <c r="CE287" s="691"/>
      <c r="CF287" s="187" t="str">
        <f ca="1">IF(FO281=0,"","`")</f>
        <v/>
      </c>
      <c r="CG287" s="10"/>
      <c r="CH287" s="24" t="str">
        <f>IF(BQ287="","",IF(BQ287&lt;=0,"Het moet een positief getal zijn!",IF(BQ287&lt;FP287,"Het moet groter dan "&amp;FP287&amp;" zijn!","")))</f>
        <v/>
      </c>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26"/>
      <c r="FI287" s="26"/>
      <c r="FJ287" s="79"/>
      <c r="FK287" s="79"/>
      <c r="FL287" s="79"/>
      <c r="FM287" s="170"/>
      <c r="FN287" s="170"/>
      <c r="FO287" s="170">
        <f ca="1">IF(programma!B1="X",1,IF(FO281=0,0,IF(BQ287="",0,IF(BQ287&gt;=FP287,1,0))))</f>
        <v>0</v>
      </c>
      <c r="FP287" s="170" t="e">
        <f>MAX(FQ287:FR287)</f>
        <v>#DIV/0!</v>
      </c>
      <c r="FQ287" s="190">
        <f>IF(BQ281&gt;1,CEILING(120*BQ281,10),50)</f>
        <v>50</v>
      </c>
      <c r="FR287" s="170" t="e">
        <f>FQ287/BQ281</f>
        <v>#DIV/0!</v>
      </c>
      <c r="FS287" s="170"/>
      <c r="FT287" s="170"/>
      <c r="FU287" s="170"/>
      <c r="FV287" s="170"/>
      <c r="FW287" s="170"/>
      <c r="FX287" s="179"/>
      <c r="FY287" s="32"/>
      <c r="FZ287" s="32"/>
      <c r="GA287" s="32"/>
      <c r="GB287" s="32"/>
      <c r="GC287" s="32" t="s">
        <v>154</v>
      </c>
      <c r="GD287" s="32"/>
      <c r="GE287" s="32"/>
      <c r="GF287" s="32"/>
      <c r="GG287" s="32"/>
      <c r="GH287" s="32"/>
      <c r="GI287" s="32"/>
      <c r="GJ287" s="32"/>
      <c r="GK287" s="32"/>
      <c r="GL287" s="32"/>
      <c r="GM287" s="49"/>
      <c r="GN287" s="49"/>
      <c r="GO287" s="49"/>
      <c r="GP287" s="49"/>
      <c r="GQ287" s="78"/>
      <c r="GR287" s="78"/>
      <c r="GS287" s="78"/>
      <c r="GT287" s="78"/>
      <c r="GU287" s="78"/>
      <c r="GV287" s="78"/>
      <c r="GW287" s="78"/>
      <c r="GX287" s="78"/>
      <c r="GY287" s="78"/>
      <c r="GZ287" s="78"/>
      <c r="HA287" s="78"/>
      <c r="HB287" s="78"/>
      <c r="HC287" s="78"/>
      <c r="HD287" s="78"/>
      <c r="HE287" s="78"/>
      <c r="HF287" s="78"/>
      <c r="HG287" s="78"/>
      <c r="HH287" s="78"/>
      <c r="HI287" s="78"/>
      <c r="HJ287" s="78"/>
      <c r="HK287" s="78"/>
      <c r="HL287" s="78"/>
      <c r="HM287" s="78"/>
      <c r="HN287" s="78"/>
    </row>
    <row r="288" spans="1:222" ht="3.75" customHeight="1">
      <c r="A288" s="1"/>
      <c r="B288" s="3"/>
      <c r="C288" s="3"/>
      <c r="D288" s="38"/>
      <c r="E288" s="38"/>
      <c r="F288" s="12"/>
      <c r="G288" s="12"/>
      <c r="H288" s="12"/>
      <c r="I288" s="12"/>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544" t="str">
        <f ca="1">IF(FO281=0,"","`")</f>
        <v/>
      </c>
      <c r="BQ288" s="522"/>
      <c r="BR288" s="522"/>
      <c r="BS288" s="522"/>
      <c r="BT288" s="522"/>
      <c r="BU288" s="522"/>
      <c r="BV288" s="522"/>
      <c r="BW288" s="522"/>
      <c r="BX288" s="522"/>
      <c r="BY288" s="522"/>
      <c r="BZ288" s="522"/>
      <c r="CA288" s="522"/>
      <c r="CB288" s="522"/>
      <c r="CC288" s="522"/>
      <c r="CD288" s="522"/>
      <c r="CE288" s="522"/>
      <c r="CF288" s="522"/>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26"/>
      <c r="FI288" s="26"/>
      <c r="FJ288" s="79"/>
      <c r="FK288" s="79"/>
      <c r="FL288" s="79"/>
      <c r="FM288" s="170"/>
      <c r="FN288" s="170"/>
      <c r="FO288" s="170"/>
      <c r="FP288" s="170"/>
      <c r="FQ288" s="170"/>
      <c r="FR288" s="170"/>
      <c r="FS288" s="170"/>
      <c r="FT288" s="170"/>
      <c r="FU288" s="170"/>
      <c r="FV288" s="170"/>
      <c r="FW288" s="170"/>
      <c r="FX288" s="179"/>
      <c r="FY288" s="32"/>
      <c r="FZ288" s="32"/>
      <c r="GA288" s="32"/>
      <c r="GB288" s="32"/>
      <c r="GC288" s="32" t="s">
        <v>155</v>
      </c>
      <c r="GD288" s="32"/>
      <c r="GE288" s="32"/>
      <c r="GF288" s="32"/>
      <c r="GG288" s="32"/>
      <c r="GH288" s="32"/>
      <c r="GI288" s="32"/>
      <c r="GJ288" s="32"/>
      <c r="GK288" s="32"/>
      <c r="GL288" s="32"/>
      <c r="GM288" s="49"/>
      <c r="GN288" s="49"/>
      <c r="GO288" s="49"/>
      <c r="GP288" s="49"/>
      <c r="GQ288" s="78"/>
      <c r="GR288" s="78"/>
      <c r="GS288" s="78"/>
      <c r="GT288" s="78"/>
      <c r="GU288" s="78"/>
      <c r="GV288" s="78"/>
      <c r="GW288" s="78"/>
      <c r="GX288" s="78"/>
      <c r="GY288" s="78"/>
      <c r="GZ288" s="78"/>
      <c r="HA288" s="78"/>
      <c r="HB288" s="78"/>
      <c r="HC288" s="78"/>
      <c r="HD288" s="78"/>
      <c r="HE288" s="78"/>
      <c r="HF288" s="78"/>
      <c r="HG288" s="78"/>
      <c r="HH288" s="78"/>
      <c r="HI288" s="78"/>
      <c r="HJ288" s="78"/>
      <c r="HK288" s="78"/>
      <c r="HL288" s="78"/>
      <c r="HM288" s="78"/>
      <c r="HN288" s="78"/>
    </row>
    <row r="289" spans="1:222" ht="11.25" customHeight="1">
      <c r="A289" s="1"/>
      <c r="B289" s="3"/>
      <c r="C289" s="3"/>
      <c r="D289" s="43"/>
      <c r="E289" s="38"/>
      <c r="F289" s="12"/>
      <c r="G289" s="12"/>
      <c r="H289" s="12"/>
      <c r="I289" s="12"/>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98"/>
      <c r="BQ289" s="25"/>
      <c r="BR289" s="25"/>
      <c r="BS289" s="25"/>
      <c r="BT289" s="25"/>
      <c r="BU289" s="25"/>
      <c r="BV289" s="25"/>
      <c r="BW289" s="25"/>
      <c r="BX289" s="25"/>
      <c r="BY289" s="25"/>
      <c r="BZ289" s="25"/>
      <c r="CA289" s="25"/>
      <c r="CB289" s="25"/>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26"/>
      <c r="FI289" s="26"/>
      <c r="FJ289" s="79"/>
      <c r="FK289" s="79"/>
      <c r="FL289" s="79"/>
      <c r="FM289" s="170"/>
      <c r="FN289" s="170"/>
      <c r="FO289" s="170"/>
      <c r="FP289" s="170"/>
      <c r="FQ289" s="170"/>
      <c r="FR289" s="170"/>
      <c r="FS289" s="170"/>
      <c r="FT289" s="170"/>
      <c r="FU289" s="170"/>
      <c r="FV289" s="170"/>
      <c r="FW289" s="170"/>
      <c r="FX289" s="179"/>
      <c r="FY289" s="32"/>
      <c r="FZ289" s="32"/>
      <c r="GA289" s="32"/>
      <c r="GB289" s="32"/>
      <c r="GC289" s="32"/>
      <c r="GD289" s="32"/>
      <c r="GE289" s="32"/>
      <c r="GF289" s="32"/>
      <c r="GG289" s="32"/>
      <c r="GH289" s="32"/>
      <c r="GI289" s="32"/>
      <c r="GJ289" s="32"/>
      <c r="GK289" s="32"/>
      <c r="GL289" s="32"/>
      <c r="GM289" s="49"/>
      <c r="GN289" s="49"/>
      <c r="GO289" s="49"/>
      <c r="GP289" s="49"/>
      <c r="GQ289" s="78"/>
      <c r="GR289" s="78"/>
      <c r="GS289" s="78"/>
      <c r="GT289" s="78"/>
      <c r="GU289" s="78"/>
      <c r="GV289" s="78"/>
      <c r="GW289" s="78"/>
      <c r="GX289" s="78"/>
      <c r="GY289" s="78"/>
      <c r="GZ289" s="78"/>
      <c r="HA289" s="78"/>
      <c r="HB289" s="78"/>
      <c r="HC289" s="78"/>
      <c r="HD289" s="78"/>
      <c r="HE289" s="78"/>
      <c r="HF289" s="78"/>
      <c r="HG289" s="78"/>
      <c r="HH289" s="78"/>
      <c r="HI289" s="78"/>
      <c r="HJ289" s="78"/>
      <c r="HK289" s="78"/>
      <c r="HL289" s="78"/>
      <c r="HM289" s="78"/>
      <c r="HN289" s="78"/>
    </row>
    <row r="290" spans="1:222" ht="16.95" customHeight="1">
      <c r="A290" s="1"/>
      <c r="B290" s="3"/>
      <c r="C290" s="3"/>
      <c r="D290" s="12" t="str">
        <f ca="1">IF(FO287=0,"","De door jou gekozen prijsafzetfunctie luidt P = - "&amp;BQ281&amp;"q + "&amp;BQ287&amp;" en dus geldt")</f>
        <v/>
      </c>
      <c r="E290" s="12"/>
      <c r="F290" s="12"/>
      <c r="G290" s="12"/>
      <c r="H290" s="12"/>
      <c r="I290" s="12"/>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26"/>
      <c r="FI290" s="26"/>
      <c r="FJ290" s="79"/>
      <c r="FK290" s="79"/>
      <c r="FL290" s="79"/>
      <c r="FM290" s="170"/>
      <c r="FN290" s="170"/>
      <c r="FO290" s="170"/>
      <c r="FP290" s="135" t="e">
        <f>"qv = -"&amp;ROUND(1/BQ281,4)&amp;"p + "&amp;ROUND(BQ287/BQ281,4)&amp;""</f>
        <v>#DIV/0!</v>
      </c>
      <c r="FQ290" s="79"/>
      <c r="FR290" s="190" t="str">
        <f>"MO = -"&amp;2*BQ281&amp;"p + "&amp;BQ287&amp;""</f>
        <v xml:space="preserve">MO = -0p + </v>
      </c>
      <c r="FS290" s="170"/>
      <c r="FT290" s="170"/>
      <c r="FU290" s="170"/>
      <c r="FV290" s="170"/>
      <c r="FW290" s="170"/>
      <c r="FX290" s="179"/>
      <c r="FY290" s="32"/>
      <c r="FZ290" s="32"/>
      <c r="GA290" s="32"/>
      <c r="GB290" s="32"/>
      <c r="GC290" s="32"/>
      <c r="GD290" s="32"/>
      <c r="GE290" s="32"/>
      <c r="GF290" s="32"/>
      <c r="GG290" s="32"/>
      <c r="GH290" s="32"/>
      <c r="GI290" s="32"/>
      <c r="GJ290" s="32"/>
      <c r="GK290" s="32"/>
      <c r="GL290" s="32"/>
      <c r="GM290" s="49"/>
      <c r="GN290" s="49"/>
      <c r="GO290" s="49"/>
      <c r="GP290" s="49"/>
      <c r="GQ290" s="78"/>
      <c r="GR290" s="78"/>
      <c r="GS290" s="78"/>
      <c r="GT290" s="78"/>
      <c r="GU290" s="78"/>
      <c r="GV290" s="78"/>
      <c r="GW290" s="78"/>
      <c r="GX290" s="78"/>
      <c r="GY290" s="78"/>
      <c r="GZ290" s="78"/>
      <c r="HA290" s="78"/>
      <c r="HB290" s="78"/>
      <c r="HC290" s="78"/>
      <c r="HD290" s="78"/>
      <c r="HE290" s="78"/>
      <c r="HF290" s="78"/>
      <c r="HG290" s="78"/>
      <c r="HH290" s="78"/>
      <c r="HI290" s="78"/>
      <c r="HJ290" s="78"/>
      <c r="HK290" s="78"/>
      <c r="HL290" s="78"/>
      <c r="HM290" s="78"/>
      <c r="HN290" s="78"/>
    </row>
    <row r="291" spans="1:222" ht="16.95" customHeight="1">
      <c r="A291" s="1"/>
      <c r="B291" s="3"/>
      <c r="C291" s="3"/>
      <c r="D291" s="12" t="str">
        <f ca="1">IF(FO287=0,"","MO = -"&amp;2*BQ281&amp;"q + "&amp;BQ287&amp;".")</f>
        <v/>
      </c>
      <c r="E291" s="12"/>
      <c r="F291" s="12"/>
      <c r="G291" s="12"/>
      <c r="H291" s="12"/>
      <c r="I291" s="12"/>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26"/>
      <c r="FI291" s="26"/>
      <c r="FJ291" s="79"/>
      <c r="FK291" s="79"/>
      <c r="FL291" s="79"/>
      <c r="FM291" s="170"/>
      <c r="FN291" s="170"/>
      <c r="FO291" s="170"/>
      <c r="FP291" s="135"/>
      <c r="FQ291" s="79"/>
      <c r="FR291" s="190"/>
      <c r="FS291" s="170"/>
      <c r="FT291" s="170"/>
      <c r="FU291" s="170"/>
      <c r="FV291" s="170"/>
      <c r="FW291" s="170"/>
      <c r="FX291" s="179"/>
      <c r="FY291" s="32"/>
      <c r="FZ291" s="32"/>
      <c r="GA291" s="32"/>
      <c r="GB291" s="32"/>
      <c r="GC291" s="32"/>
      <c r="GD291" s="32"/>
      <c r="GE291" s="32"/>
      <c r="GF291" s="32"/>
      <c r="GG291" s="32"/>
      <c r="GH291" s="32"/>
      <c r="GI291" s="32"/>
      <c r="GJ291" s="32"/>
      <c r="GK291" s="32"/>
      <c r="GL291" s="32"/>
      <c r="GM291" s="49"/>
      <c r="GN291" s="49"/>
      <c r="GO291" s="49"/>
      <c r="GP291" s="49"/>
      <c r="GQ291" s="338"/>
      <c r="GR291" s="338"/>
      <c r="GS291" s="338"/>
      <c r="GT291" s="338"/>
      <c r="GU291" s="338"/>
      <c r="GV291" s="338"/>
      <c r="GW291" s="338"/>
      <c r="GX291" s="338"/>
      <c r="GY291" s="338"/>
      <c r="GZ291" s="338"/>
      <c r="HA291" s="338"/>
      <c r="HB291" s="338"/>
      <c r="HC291" s="338"/>
      <c r="HD291" s="338"/>
      <c r="HE291" s="338"/>
      <c r="HF291" s="338"/>
      <c r="HG291" s="338"/>
      <c r="HH291" s="338"/>
      <c r="HI291" s="338"/>
      <c r="HJ291" s="338"/>
      <c r="HK291" s="338"/>
      <c r="HL291" s="338"/>
      <c r="HM291" s="338"/>
      <c r="HN291" s="338"/>
    </row>
    <row r="292" spans="1:222" ht="10.5" customHeight="1">
      <c r="A292" s="1"/>
      <c r="B292" s="3"/>
      <c r="C292" s="3"/>
      <c r="D292" s="12"/>
      <c r="E292" s="12"/>
      <c r="F292" s="12"/>
      <c r="G292" s="12"/>
      <c r="H292" s="12"/>
      <c r="I292" s="12"/>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26"/>
      <c r="FI292" s="26"/>
      <c r="FJ292" s="79"/>
      <c r="FK292" s="79"/>
      <c r="FL292" s="79"/>
      <c r="FM292" s="170"/>
      <c r="FN292" s="170"/>
      <c r="FO292" s="170"/>
      <c r="FP292" s="170"/>
      <c r="FQ292" s="170"/>
      <c r="FR292" s="170"/>
      <c r="FS292" s="170"/>
      <c r="FT292" s="170"/>
      <c r="FU292" s="170"/>
      <c r="FV292" s="170"/>
      <c r="FW292" s="170"/>
      <c r="FX292" s="179"/>
      <c r="FY292" s="32"/>
      <c r="FZ292" s="32"/>
      <c r="GA292" s="32"/>
      <c r="GB292" s="32"/>
      <c r="GC292" s="32"/>
      <c r="GD292" s="32"/>
      <c r="GE292" s="32"/>
      <c r="GF292" s="32"/>
      <c r="GG292" s="32"/>
      <c r="GH292" s="32"/>
      <c r="GI292" s="32"/>
      <c r="GJ292" s="32"/>
      <c r="GK292" s="32"/>
      <c r="GL292" s="32"/>
      <c r="GM292" s="49"/>
      <c r="GN292" s="49"/>
      <c r="GO292" s="49"/>
      <c r="GP292" s="49"/>
      <c r="GQ292" s="78"/>
      <c r="GR292" s="78"/>
      <c r="GS292" s="78"/>
      <c r="GT292" s="78"/>
      <c r="GU292" s="78"/>
      <c r="GV292" s="78"/>
      <c r="GW292" s="78"/>
      <c r="GX292" s="78"/>
      <c r="GY292" s="78"/>
      <c r="GZ292" s="78"/>
      <c r="HA292" s="78"/>
      <c r="HB292" s="78"/>
      <c r="HC292" s="78"/>
      <c r="HD292" s="78"/>
      <c r="HE292" s="78"/>
      <c r="HF292" s="78"/>
      <c r="HG292" s="78"/>
      <c r="HH292" s="78"/>
      <c r="HI292" s="78"/>
      <c r="HJ292" s="78"/>
      <c r="HK292" s="78"/>
      <c r="HL292" s="78"/>
      <c r="HM292" s="78"/>
      <c r="HN292" s="78"/>
    </row>
    <row r="293" spans="1:222" ht="16.95" customHeight="1">
      <c r="A293" s="1"/>
      <c r="B293" s="3"/>
      <c r="C293" s="3"/>
      <c r="D293" s="373" t="str">
        <f ca="1">IF(FO287=0,"","De algemene vorm van een TK functie luidt TK = cq + d.")</f>
        <v/>
      </c>
      <c r="E293" s="10"/>
      <c r="F293" s="10"/>
      <c r="G293" s="10"/>
      <c r="H293" s="10"/>
      <c r="I293" s="10"/>
      <c r="J293" s="10"/>
      <c r="K293" s="10"/>
      <c r="L293" s="10"/>
      <c r="M293" s="10"/>
      <c r="N293" s="79"/>
      <c r="O293" s="79"/>
      <c r="P293" s="79"/>
      <c r="Q293" s="79"/>
      <c r="R293" s="79"/>
      <c r="S293" s="7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79"/>
      <c r="BA293" s="79"/>
      <c r="BB293" s="79"/>
      <c r="BC293" s="79"/>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A293" s="79"/>
      <c r="CB293" s="79"/>
      <c r="CC293" s="79"/>
      <c r="CD293" s="79"/>
      <c r="CE293" s="79"/>
      <c r="CF293" s="79"/>
      <c r="CG293" s="79"/>
      <c r="CH293" s="79"/>
      <c r="CI293" s="79"/>
      <c r="CJ293" s="79"/>
      <c r="CK293" s="79"/>
      <c r="CL293" s="79"/>
      <c r="CM293" s="79"/>
      <c r="CN293" s="79"/>
      <c r="CO293" s="79"/>
      <c r="CP293" s="79"/>
      <c r="CQ293" s="79"/>
      <c r="CR293" s="79"/>
      <c r="CS293" s="79"/>
      <c r="CT293" s="79"/>
      <c r="CU293" s="79"/>
      <c r="CV293" s="79"/>
      <c r="CW293" s="79"/>
      <c r="CX293" s="79"/>
      <c r="CY293" s="79"/>
      <c r="CZ293" s="79"/>
      <c r="DA293" s="79"/>
      <c r="DB293" s="79"/>
      <c r="DC293" s="79"/>
      <c r="DD293" s="79"/>
      <c r="DE293" s="79"/>
      <c r="DF293" s="79"/>
      <c r="DG293" s="79"/>
      <c r="DH293" s="79"/>
      <c r="DI293" s="79"/>
      <c r="DJ293" s="79"/>
      <c r="DK293" s="79"/>
      <c r="DL293" s="79"/>
      <c r="DM293" s="79"/>
      <c r="DN293" s="79"/>
      <c r="DO293" s="79"/>
      <c r="DP293" s="79"/>
      <c r="DQ293" s="79"/>
      <c r="DR293" s="79"/>
      <c r="DS293" s="79"/>
      <c r="DT293" s="79"/>
      <c r="DU293" s="79"/>
      <c r="DV293" s="79"/>
      <c r="DW293" s="79"/>
      <c r="DX293" s="79"/>
      <c r="DY293" s="79"/>
      <c r="DZ293" s="79"/>
      <c r="EA293" s="79"/>
      <c r="EB293" s="79"/>
      <c r="EC293" s="79"/>
      <c r="ED293" s="79"/>
      <c r="EE293" s="79"/>
      <c r="EF293" s="79"/>
      <c r="EG293" s="79"/>
      <c r="EH293" s="79"/>
      <c r="EI293" s="79"/>
      <c r="EJ293" s="79"/>
      <c r="EK293" s="79"/>
      <c r="EL293" s="79"/>
      <c r="EM293" s="79"/>
      <c r="EN293" s="79"/>
      <c r="EO293" s="79"/>
      <c r="EP293" s="79"/>
      <c r="EQ293" s="79"/>
      <c r="ER293" s="79"/>
      <c r="ES293" s="79"/>
      <c r="ET293" s="79"/>
      <c r="EU293" s="79"/>
      <c r="EV293" s="79"/>
      <c r="EW293" s="79"/>
      <c r="EX293" s="79"/>
      <c r="EY293" s="79"/>
      <c r="EZ293" s="79"/>
      <c r="FA293" s="79"/>
      <c r="FB293" s="79"/>
      <c r="FC293" s="79"/>
      <c r="FD293" s="79"/>
      <c r="FE293" s="79"/>
      <c r="FF293" s="79"/>
      <c r="FG293" s="79"/>
      <c r="FH293" s="79"/>
      <c r="FI293" s="79"/>
      <c r="FJ293" s="79"/>
      <c r="FK293" s="79"/>
      <c r="FL293" s="79"/>
      <c r="FM293" s="47"/>
      <c r="FN293" s="47"/>
      <c r="FO293" s="47">
        <f ca="1">IF(programma!B1="X",1,IF(FO287=0,0,IF(FR293="",0,IF(AND(FR293&gt;=0,FR293&lt;=FP293),1,0))))</f>
        <v>0</v>
      </c>
      <c r="FP293" s="47">
        <v>2</v>
      </c>
      <c r="FQ293" s="47">
        <f>IF(FR293=0,2,1)</f>
        <v>2</v>
      </c>
      <c r="FR293" s="47">
        <v>0</v>
      </c>
      <c r="FS293" s="47"/>
      <c r="FT293" s="47"/>
      <c r="FU293" s="47"/>
      <c r="FV293" s="47"/>
      <c r="FW293" s="47"/>
      <c r="FX293" s="47"/>
      <c r="FY293" s="32"/>
      <c r="FZ293" s="32"/>
      <c r="GA293" s="32"/>
      <c r="GB293" s="32"/>
      <c r="GC293" s="32"/>
      <c r="GD293" s="32"/>
      <c r="GE293" s="32"/>
      <c r="GF293" s="32"/>
      <c r="GG293" s="32"/>
      <c r="GH293" s="32"/>
      <c r="GI293" s="32"/>
      <c r="GJ293" s="32"/>
      <c r="GK293" s="32"/>
      <c r="GL293" s="32"/>
      <c r="GM293" s="49"/>
      <c r="GN293" s="49"/>
      <c r="GO293" s="49"/>
      <c r="GP293" s="49"/>
      <c r="GQ293" s="49"/>
      <c r="GR293" s="49"/>
      <c r="GS293" s="49"/>
      <c r="GT293" s="49"/>
      <c r="GU293" s="49"/>
      <c r="GV293" s="49"/>
      <c r="GW293" s="49"/>
      <c r="GX293" s="49"/>
      <c r="GY293" s="49"/>
      <c r="GZ293" s="49"/>
      <c r="HA293" s="49"/>
      <c r="HB293" s="49"/>
      <c r="HC293" s="49"/>
      <c r="HD293" s="49"/>
      <c r="HE293" s="49"/>
      <c r="HF293" s="49"/>
      <c r="HG293" s="49"/>
      <c r="HH293" s="49"/>
      <c r="HI293" s="49"/>
      <c r="HJ293" s="49"/>
      <c r="HK293" s="49"/>
      <c r="HL293" s="49"/>
      <c r="HM293" s="49"/>
      <c r="HN293" s="49"/>
    </row>
    <row r="294" spans="1:222" ht="16.95" customHeight="1">
      <c r="A294" s="1"/>
      <c r="B294" s="3"/>
      <c r="C294" s="3"/>
      <c r="D294" s="373" t="str">
        <f ca="1">IF(FO293=0,"","Kies een waarde voor ''c'' tussen "&amp;FP297&amp;" en "&amp;FQ297&amp;".")</f>
        <v/>
      </c>
      <c r="E294" s="10"/>
      <c r="F294" s="10"/>
      <c r="G294" s="10"/>
      <c r="H294" s="10"/>
      <c r="I294" s="10"/>
      <c r="J294" s="10"/>
      <c r="K294" s="10"/>
      <c r="L294" s="10"/>
      <c r="M294" s="10"/>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A294" s="79"/>
      <c r="CB294" s="79"/>
      <c r="CC294" s="79"/>
      <c r="CD294" s="79"/>
      <c r="CE294" s="79"/>
      <c r="CF294" s="79"/>
      <c r="CG294" s="79"/>
      <c r="CH294" s="79"/>
      <c r="CI294" s="79"/>
      <c r="CJ294" s="79"/>
      <c r="CK294" s="79"/>
      <c r="CL294" s="79"/>
      <c r="CM294" s="79"/>
      <c r="CN294" s="79"/>
      <c r="CO294" s="79"/>
      <c r="CP294" s="79"/>
      <c r="CQ294" s="79"/>
      <c r="CR294" s="79"/>
      <c r="CS294" s="79"/>
      <c r="CT294" s="79"/>
      <c r="CU294" s="79"/>
      <c r="CV294" s="79"/>
      <c r="CW294" s="79"/>
      <c r="CX294" s="79"/>
      <c r="CY294" s="79"/>
      <c r="CZ294" s="79"/>
      <c r="DA294" s="79"/>
      <c r="DB294" s="79"/>
      <c r="DC294" s="79"/>
      <c r="DD294" s="79"/>
      <c r="DE294" s="79"/>
      <c r="DF294" s="79"/>
      <c r="DG294" s="79"/>
      <c r="DH294" s="79"/>
      <c r="DI294" s="79"/>
      <c r="DJ294" s="79"/>
      <c r="DK294" s="79"/>
      <c r="DL294" s="79"/>
      <c r="DM294" s="79"/>
      <c r="DN294" s="79"/>
      <c r="DO294" s="79"/>
      <c r="DP294" s="79"/>
      <c r="DQ294" s="79"/>
      <c r="DR294" s="79"/>
      <c r="DS294" s="79"/>
      <c r="DT294" s="79"/>
      <c r="DU294" s="79"/>
      <c r="DV294" s="79"/>
      <c r="DW294" s="79"/>
      <c r="DX294" s="79"/>
      <c r="DY294" s="79"/>
      <c r="DZ294" s="79"/>
      <c r="EA294" s="79"/>
      <c r="EB294" s="79"/>
      <c r="EC294" s="79"/>
      <c r="ED294" s="79"/>
      <c r="EE294" s="79"/>
      <c r="EF294" s="79"/>
      <c r="EG294" s="79"/>
      <c r="EH294" s="79"/>
      <c r="EI294" s="79"/>
      <c r="EJ294" s="79"/>
      <c r="EK294" s="79"/>
      <c r="EL294" s="79"/>
      <c r="EM294" s="79"/>
      <c r="EN294" s="79"/>
      <c r="EO294" s="79"/>
      <c r="EP294" s="79"/>
      <c r="EQ294" s="79"/>
      <c r="ER294" s="79"/>
      <c r="ES294" s="79"/>
      <c r="ET294" s="79"/>
      <c r="EU294" s="79"/>
      <c r="EV294" s="79"/>
      <c r="EW294" s="79"/>
      <c r="EX294" s="79"/>
      <c r="EY294" s="79"/>
      <c r="EZ294" s="79"/>
      <c r="FA294" s="79"/>
      <c r="FB294" s="79"/>
      <c r="FC294" s="79"/>
      <c r="FD294" s="79"/>
      <c r="FE294" s="79"/>
      <c r="FF294" s="79"/>
      <c r="FG294" s="79"/>
      <c r="FH294" s="79"/>
      <c r="FI294" s="79"/>
      <c r="FJ294" s="79"/>
      <c r="FK294" s="79"/>
      <c r="FL294" s="79"/>
      <c r="FM294" s="47"/>
      <c r="FN294" s="47"/>
      <c r="FO294" s="47"/>
      <c r="FP294" s="47"/>
      <c r="FQ294" s="47"/>
      <c r="FR294" s="47"/>
      <c r="FS294" s="47"/>
      <c r="FT294" s="47"/>
      <c r="FU294" s="47"/>
      <c r="FV294" s="47"/>
      <c r="FW294" s="47"/>
      <c r="FX294" s="47"/>
      <c r="FY294" s="32"/>
      <c r="FZ294" s="32"/>
      <c r="GA294" s="32"/>
      <c r="GB294" s="32"/>
      <c r="GC294" s="32"/>
      <c r="GD294" s="32"/>
      <c r="GE294" s="32"/>
      <c r="GF294" s="32"/>
      <c r="GG294" s="32"/>
      <c r="GH294" s="32"/>
      <c r="GI294" s="32"/>
      <c r="GJ294" s="32"/>
      <c r="GK294" s="32"/>
      <c r="GL294" s="32"/>
      <c r="GM294" s="49"/>
      <c r="GN294" s="49"/>
      <c r="GO294" s="49"/>
      <c r="GP294" s="49"/>
      <c r="GQ294" s="49"/>
      <c r="GR294" s="49"/>
      <c r="GS294" s="49"/>
      <c r="GT294" s="49"/>
      <c r="GU294" s="49"/>
      <c r="GV294" s="49"/>
      <c r="GW294" s="49"/>
      <c r="GX294" s="49"/>
      <c r="GY294" s="49"/>
      <c r="GZ294" s="49"/>
      <c r="HA294" s="49"/>
      <c r="HB294" s="49"/>
      <c r="HC294" s="49"/>
      <c r="HD294" s="49"/>
      <c r="HE294" s="49"/>
      <c r="HF294" s="49"/>
      <c r="HG294" s="49"/>
      <c r="HH294" s="49"/>
      <c r="HI294" s="49"/>
      <c r="HJ294" s="49"/>
      <c r="HK294" s="49"/>
      <c r="HL294" s="49"/>
      <c r="HM294" s="49"/>
      <c r="HN294" s="49"/>
    </row>
    <row r="295" spans="1:222" ht="8.25" customHeight="1">
      <c r="A295" s="1"/>
      <c r="B295" s="3"/>
      <c r="C295" s="3"/>
      <c r="D295" s="43"/>
      <c r="E295" s="38"/>
      <c r="F295" s="12"/>
      <c r="G295" s="12"/>
      <c r="H295" s="12"/>
      <c r="I295" s="12"/>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c r="BY295" s="126"/>
      <c r="BZ295" s="126"/>
      <c r="CA295" s="126"/>
      <c r="CB295" s="126"/>
      <c r="CC295" s="126"/>
      <c r="CD295" s="191"/>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c r="EK295" s="39"/>
      <c r="EL295" s="39"/>
      <c r="EM295" s="39"/>
      <c r="EN295" s="39"/>
      <c r="EO295" s="39"/>
      <c r="EP295" s="39"/>
      <c r="EQ295" s="39"/>
      <c r="ER295" s="39"/>
      <c r="ES295" s="39"/>
      <c r="ET295" s="39"/>
      <c r="EU295" s="39"/>
      <c r="EV295" s="39"/>
      <c r="EW295" s="39"/>
      <c r="EX295" s="39"/>
      <c r="EY295" s="39"/>
      <c r="EZ295" s="39"/>
      <c r="FA295" s="39"/>
      <c r="FB295" s="39"/>
      <c r="FC295" s="39"/>
      <c r="FD295" s="39"/>
      <c r="FE295" s="39"/>
      <c r="FF295" s="193"/>
      <c r="FG295" s="10"/>
      <c r="FH295" s="26"/>
      <c r="FI295" s="26"/>
      <c r="FJ295" s="79"/>
      <c r="FK295" s="79"/>
      <c r="FL295" s="79"/>
      <c r="FM295" s="170"/>
      <c r="FN295" s="170"/>
      <c r="FO295" s="170"/>
      <c r="FP295" s="170"/>
      <c r="FQ295" s="170"/>
      <c r="FR295" s="170"/>
      <c r="FS295" s="170"/>
      <c r="FT295" s="170"/>
      <c r="FU295" s="170"/>
      <c r="FV295" s="170"/>
      <c r="FW295" s="170"/>
      <c r="FX295" s="179"/>
      <c r="FY295" s="32"/>
      <c r="FZ295" s="32"/>
      <c r="GA295" s="32"/>
      <c r="GB295" s="32"/>
      <c r="GC295" s="32"/>
      <c r="GD295" s="32"/>
      <c r="GE295" s="32"/>
      <c r="GF295" s="32"/>
      <c r="GG295" s="32"/>
      <c r="GH295" s="32"/>
      <c r="GI295" s="32"/>
      <c r="GJ295" s="32"/>
      <c r="GK295" s="32"/>
      <c r="GL295" s="32"/>
      <c r="GM295" s="49"/>
      <c r="GN295" s="49"/>
      <c r="GO295" s="49"/>
      <c r="GP295" s="49"/>
      <c r="GQ295" s="49"/>
      <c r="GR295" s="78"/>
      <c r="GS295" s="78"/>
      <c r="GT295" s="78"/>
      <c r="GU295" s="78"/>
      <c r="GV295" s="78"/>
      <c r="GW295" s="78"/>
      <c r="GX295" s="78"/>
      <c r="GY295" s="78"/>
      <c r="GZ295" s="78"/>
      <c r="HA295" s="78"/>
      <c r="HB295" s="78"/>
      <c r="HC295" s="78"/>
      <c r="HD295" s="78"/>
      <c r="HE295" s="78"/>
      <c r="HF295" s="78"/>
      <c r="HG295" s="78"/>
      <c r="HH295" s="78"/>
      <c r="HI295" s="78"/>
      <c r="HJ295" s="78"/>
      <c r="HK295" s="78"/>
      <c r="HL295" s="78"/>
      <c r="HM295" s="78"/>
      <c r="HN295" s="78"/>
    </row>
    <row r="296" spans="1:222" ht="3.75" customHeight="1">
      <c r="A296" s="1"/>
      <c r="B296" s="3"/>
      <c r="C296" s="3"/>
      <c r="D296" s="38"/>
      <c r="E296" s="38"/>
      <c r="F296" s="12"/>
      <c r="G296" s="12"/>
      <c r="H296" s="12"/>
      <c r="I296" s="12"/>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544" t="str">
        <f ca="1">IF(FO293=0,"","`")</f>
        <v/>
      </c>
      <c r="BQ296" s="545"/>
      <c r="BR296" s="545"/>
      <c r="BS296" s="545"/>
      <c r="BT296" s="545"/>
      <c r="BU296" s="545"/>
      <c r="BV296" s="545"/>
      <c r="BW296" s="545"/>
      <c r="BX296" s="545"/>
      <c r="BY296" s="545"/>
      <c r="BZ296" s="545"/>
      <c r="CA296" s="545"/>
      <c r="CB296" s="545"/>
      <c r="CC296" s="126"/>
      <c r="CD296" s="197"/>
      <c r="CE296" s="197"/>
      <c r="CF296" s="197"/>
      <c r="CG296" s="197"/>
      <c r="CH296" s="197"/>
      <c r="CI296" s="197"/>
      <c r="CJ296" s="197"/>
      <c r="CK296" s="197"/>
      <c r="CL296" s="197"/>
      <c r="CM296" s="197"/>
      <c r="CN296" s="197"/>
      <c r="CO296" s="197"/>
      <c r="CP296" s="197"/>
      <c r="CQ296" s="197"/>
      <c r="CR296" s="197"/>
      <c r="CS296" s="197"/>
      <c r="CT296" s="197"/>
      <c r="CU296" s="197"/>
      <c r="CV296" s="197"/>
      <c r="CW296" s="197"/>
      <c r="CX296" s="197"/>
      <c r="CY296" s="197"/>
      <c r="CZ296" s="197"/>
      <c r="DA296" s="197"/>
      <c r="DB296" s="197"/>
      <c r="DC296" s="197"/>
      <c r="DD296" s="197"/>
      <c r="DE296" s="197"/>
      <c r="DF296" s="197"/>
      <c r="DG296" s="197"/>
      <c r="DH296" s="197"/>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193"/>
      <c r="FG296" s="10"/>
      <c r="FH296" s="26"/>
      <c r="FI296" s="26"/>
      <c r="FJ296" s="79"/>
      <c r="FK296" s="79"/>
      <c r="FL296" s="79"/>
      <c r="FM296" s="170"/>
      <c r="FN296" s="170"/>
      <c r="FO296" s="170"/>
      <c r="FP296" s="170"/>
      <c r="FQ296" s="170"/>
      <c r="FR296" s="170"/>
      <c r="FS296" s="170"/>
      <c r="FT296" s="170"/>
      <c r="FU296" s="170"/>
      <c r="FV296" s="170"/>
      <c r="FW296" s="170"/>
      <c r="FX296" s="179"/>
      <c r="FY296" s="32"/>
      <c r="FZ296" s="32"/>
      <c r="GA296" s="32"/>
      <c r="GB296" s="32"/>
      <c r="GC296" s="32" t="s">
        <v>153</v>
      </c>
      <c r="GD296" s="32"/>
      <c r="GE296" s="32"/>
      <c r="GF296" s="32"/>
      <c r="GG296" s="32"/>
      <c r="GH296" s="32"/>
      <c r="GI296" s="32"/>
      <c r="GJ296" s="32"/>
      <c r="GK296" s="32"/>
      <c r="GL296" s="32"/>
      <c r="GM296" s="49"/>
      <c r="GN296" s="49"/>
      <c r="GO296" s="49"/>
      <c r="GP296" s="49"/>
      <c r="GQ296" s="49"/>
      <c r="GR296" s="78"/>
      <c r="GS296" s="78"/>
      <c r="GT296" s="78"/>
      <c r="GU296" s="78"/>
      <c r="GV296" s="78"/>
      <c r="GW296" s="78"/>
      <c r="GX296" s="78"/>
      <c r="GY296" s="78"/>
      <c r="GZ296" s="78"/>
      <c r="HA296" s="78"/>
      <c r="HB296" s="78"/>
      <c r="HC296" s="78"/>
      <c r="HD296" s="78"/>
      <c r="HE296" s="78"/>
      <c r="HF296" s="78"/>
      <c r="HG296" s="78"/>
      <c r="HH296" s="78"/>
      <c r="HI296" s="78"/>
      <c r="HJ296" s="78"/>
      <c r="HK296" s="78"/>
      <c r="HL296" s="78"/>
      <c r="HM296" s="78"/>
      <c r="HN296" s="78"/>
    </row>
    <row r="297" spans="1:222" ht="16.5" customHeight="1">
      <c r="A297" s="1"/>
      <c r="B297" s="3"/>
      <c r="C297" s="3"/>
      <c r="D297" s="43"/>
      <c r="E297" s="38"/>
      <c r="F297" s="12"/>
      <c r="G297" s="12"/>
      <c r="H297" s="12"/>
      <c r="I297" s="12"/>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26"/>
      <c r="AW297" s="126"/>
      <c r="AX297" s="126"/>
      <c r="AY297" s="126"/>
      <c r="AZ297" s="126"/>
      <c r="BA297" s="126"/>
      <c r="BB297" s="126"/>
      <c r="BC297" s="126"/>
      <c r="BD297" s="126"/>
      <c r="BE297" s="126"/>
      <c r="BF297" s="126"/>
      <c r="BG297" s="126"/>
      <c r="BH297" s="126"/>
      <c r="BI297" s="126"/>
      <c r="BJ297" s="126"/>
      <c r="BK297" s="126"/>
      <c r="BL297" s="126"/>
      <c r="BM297" s="126"/>
      <c r="BN297" s="184" t="str">
        <f ca="1">IF(FO293=0,"","De waarde voor ''c'' is:")</f>
        <v/>
      </c>
      <c r="BO297" s="126"/>
      <c r="BP297" s="198" t="str">
        <f ca="1">IF(FO293=0,"","`")</f>
        <v/>
      </c>
      <c r="BQ297" s="691"/>
      <c r="BR297" s="626"/>
      <c r="BS297" s="626"/>
      <c r="BT297" s="626"/>
      <c r="BU297" s="626"/>
      <c r="BV297" s="626"/>
      <c r="BW297" s="626"/>
      <c r="BX297" s="626"/>
      <c r="BY297" s="626"/>
      <c r="BZ297" s="626"/>
      <c r="CA297" s="626"/>
      <c r="CB297" s="187" t="str">
        <f ca="1">IF(FO293=0,"","`")</f>
        <v/>
      </c>
      <c r="CC297" s="126"/>
      <c r="CD297" s="91" t="str">
        <f>IF(BQ297="","",IF(BQ297&lt;=0,"Het moet een positief getal zijn!",IF(BQ297&gt;FQ297,"Het moet kleiner dan "&amp;FQ297&amp;" zijn!",IF(BQ297&lt;FP297,"Het moet groter dan "&amp;FP297&amp;" zijn!",""))))</f>
        <v/>
      </c>
      <c r="CE297" s="197"/>
      <c r="CF297" s="197"/>
      <c r="CG297" s="197"/>
      <c r="CH297" s="197"/>
      <c r="CI297" s="197"/>
      <c r="CJ297" s="197"/>
      <c r="CK297" s="197"/>
      <c r="CL297" s="197"/>
      <c r="CM297" s="197"/>
      <c r="CN297" s="197"/>
      <c r="CO297" s="197"/>
      <c r="CP297" s="197"/>
      <c r="CQ297" s="197"/>
      <c r="CR297" s="197"/>
      <c r="CS297" s="197"/>
      <c r="CT297" s="197"/>
      <c r="CU297" s="197"/>
      <c r="CV297" s="197"/>
      <c r="CW297" s="197"/>
      <c r="CX297" s="197"/>
      <c r="CY297" s="197"/>
      <c r="CZ297" s="197"/>
      <c r="DA297" s="197"/>
      <c r="DB297" s="197"/>
      <c r="DC297" s="197"/>
      <c r="DD297" s="197"/>
      <c r="DE297" s="197"/>
      <c r="DF297" s="197"/>
      <c r="DG297" s="197"/>
      <c r="DH297" s="197"/>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193"/>
      <c r="FG297" s="10"/>
      <c r="FH297" s="26"/>
      <c r="FI297" s="26"/>
      <c r="FJ297" s="79"/>
      <c r="FK297" s="79"/>
      <c r="FL297" s="79"/>
      <c r="FM297" s="170"/>
      <c r="FN297" s="170"/>
      <c r="FO297" s="170">
        <f ca="1">IF(programma!B1="X",1,IF(FO293=0,0,IF(BQ297="",0,IF(AND(FQ293=2,BQ297&lt;FP297),0,IF(AND(FQ293=1,BQ297&lt;=FP297),0,IF(AND(FQ293=1,BQ297&gt;FQ297),0,1))))))</f>
        <v>0</v>
      </c>
      <c r="FP297" s="79" t="e">
        <f>IF(FQ293=2,ROUND(0.05*FP287,-1),0)</f>
        <v>#DIV/0!</v>
      </c>
      <c r="FQ297" s="170" t="e">
        <f>IF(FQ293=1,ROUND(FS297,-1),ROUND(0.6*FP287,-1))</f>
        <v>#DIV/0!</v>
      </c>
      <c r="FR297" s="170" t="e">
        <f>IF(FR293*BQ287/BQ281&gt;100,500,FR293*BQ287/BQ281)</f>
        <v>#DIV/0!</v>
      </c>
      <c r="FS297" s="170" t="e">
        <f>IF(ROUND(FR297/5,-1)&lt;10,10,ROUND(FR297/5,-1))</f>
        <v>#DIV/0!</v>
      </c>
      <c r="FT297" s="170"/>
      <c r="FU297" s="170"/>
      <c r="FV297" s="170"/>
      <c r="FW297" s="170"/>
      <c r="FX297" s="179"/>
      <c r="FY297" s="32"/>
      <c r="FZ297" s="32"/>
      <c r="GA297" s="32"/>
      <c r="GB297" s="32"/>
      <c r="GC297" s="32" t="s">
        <v>154</v>
      </c>
      <c r="GD297" s="32"/>
      <c r="GE297" s="32"/>
      <c r="GF297" s="32"/>
      <c r="GG297" s="32"/>
      <c r="GH297" s="32"/>
      <c r="GI297" s="32"/>
      <c r="GJ297" s="32"/>
      <c r="GK297" s="32"/>
      <c r="GL297" s="32"/>
      <c r="GM297" s="49"/>
      <c r="GN297" s="49"/>
      <c r="GO297" s="49"/>
      <c r="GP297" s="49"/>
      <c r="GQ297" s="49"/>
      <c r="GR297" s="78"/>
      <c r="GS297" s="78"/>
      <c r="GT297" s="78"/>
      <c r="GU297" s="78"/>
      <c r="GV297" s="78"/>
      <c r="GW297" s="78"/>
      <c r="GX297" s="78"/>
      <c r="GY297" s="78"/>
      <c r="GZ297" s="78"/>
      <c r="HA297" s="78"/>
      <c r="HB297" s="78"/>
      <c r="HC297" s="78"/>
      <c r="HD297" s="78"/>
      <c r="HE297" s="78"/>
      <c r="HF297" s="78"/>
      <c r="HG297" s="78"/>
      <c r="HH297" s="78"/>
      <c r="HI297" s="78"/>
      <c r="HJ297" s="78"/>
      <c r="HK297" s="78"/>
      <c r="HL297" s="78"/>
      <c r="HM297" s="78"/>
      <c r="HN297" s="78"/>
    </row>
    <row r="298" spans="1:222" ht="3.75" customHeight="1">
      <c r="A298" s="1"/>
      <c r="B298" s="3"/>
      <c r="C298" s="3"/>
      <c r="D298" s="38"/>
      <c r="E298" s="38"/>
      <c r="F298" s="12"/>
      <c r="G298" s="12"/>
      <c r="H298" s="12"/>
      <c r="I298" s="12"/>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544" t="str">
        <f ca="1">IF(FO293=0,"","`")</f>
        <v/>
      </c>
      <c r="BQ298" s="545"/>
      <c r="BR298" s="545"/>
      <c r="BS298" s="545"/>
      <c r="BT298" s="545"/>
      <c r="BU298" s="545"/>
      <c r="BV298" s="545"/>
      <c r="BW298" s="545"/>
      <c r="BX298" s="545"/>
      <c r="BY298" s="545"/>
      <c r="BZ298" s="545"/>
      <c r="CA298" s="545"/>
      <c r="CB298" s="545"/>
      <c r="CC298" s="126"/>
      <c r="CD298" s="197"/>
      <c r="CE298" s="197"/>
      <c r="CF298" s="197"/>
      <c r="CG298" s="197"/>
      <c r="CH298" s="197"/>
      <c r="CI298" s="197"/>
      <c r="CJ298" s="197"/>
      <c r="CK298" s="197"/>
      <c r="CL298" s="197"/>
      <c r="CM298" s="197"/>
      <c r="CN298" s="197"/>
      <c r="CO298" s="197"/>
      <c r="CP298" s="197"/>
      <c r="CQ298" s="197"/>
      <c r="CR298" s="197"/>
      <c r="CS298" s="197"/>
      <c r="CT298" s="197"/>
      <c r="CU298" s="197"/>
      <c r="CV298" s="197"/>
      <c r="CW298" s="197"/>
      <c r="CX298" s="197"/>
      <c r="CY298" s="197"/>
      <c r="CZ298" s="197"/>
      <c r="DA298" s="197"/>
      <c r="DB298" s="197"/>
      <c r="DC298" s="197"/>
      <c r="DD298" s="197"/>
      <c r="DE298" s="197"/>
      <c r="DF298" s="197"/>
      <c r="DG298" s="197"/>
      <c r="DH298" s="197"/>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193"/>
      <c r="FG298" s="10"/>
      <c r="FH298" s="26"/>
      <c r="FI298" s="26"/>
      <c r="FJ298" s="79"/>
      <c r="FK298" s="79"/>
      <c r="FL298" s="79"/>
      <c r="FM298" s="170"/>
      <c r="FN298" s="170"/>
      <c r="FO298" s="170"/>
      <c r="FP298" s="170"/>
      <c r="FQ298" s="170"/>
      <c r="FR298" s="170"/>
      <c r="FS298" s="170"/>
      <c r="FT298" s="170"/>
      <c r="FU298" s="170"/>
      <c r="FV298" s="170"/>
      <c r="FW298" s="170"/>
      <c r="FX298" s="179"/>
      <c r="FY298" s="32"/>
      <c r="FZ298" s="32"/>
      <c r="GA298" s="32"/>
      <c r="GB298" s="32"/>
      <c r="GC298" s="32" t="s">
        <v>155</v>
      </c>
      <c r="GD298" s="32"/>
      <c r="GE298" s="32"/>
      <c r="GF298" s="32"/>
      <c r="GG298" s="32"/>
      <c r="GH298" s="32"/>
      <c r="GI298" s="32"/>
      <c r="GJ298" s="32"/>
      <c r="GK298" s="32"/>
      <c r="GL298" s="32"/>
      <c r="GM298" s="49"/>
      <c r="GN298" s="49"/>
      <c r="GO298" s="49"/>
      <c r="GP298" s="49"/>
      <c r="GQ298" s="49"/>
      <c r="GR298" s="78"/>
      <c r="GS298" s="78"/>
      <c r="GT298" s="78"/>
      <c r="GU298" s="78"/>
      <c r="GV298" s="78"/>
      <c r="GW298" s="78"/>
      <c r="GX298" s="78"/>
      <c r="GY298" s="78"/>
      <c r="GZ298" s="78"/>
      <c r="HA298" s="78"/>
      <c r="HB298" s="78"/>
      <c r="HC298" s="78"/>
      <c r="HD298" s="78"/>
      <c r="HE298" s="78"/>
      <c r="HF298" s="78"/>
      <c r="HG298" s="78"/>
      <c r="HH298" s="78"/>
      <c r="HI298" s="78"/>
      <c r="HJ298" s="78"/>
      <c r="HK298" s="78"/>
      <c r="HL298" s="78"/>
      <c r="HM298" s="78"/>
      <c r="HN298" s="78"/>
    </row>
    <row r="299" spans="1:222" ht="6.75" customHeight="1">
      <c r="A299" s="1"/>
      <c r="B299" s="3"/>
      <c r="C299" s="3"/>
      <c r="D299" s="43"/>
      <c r="E299" s="38"/>
      <c r="F299" s="12"/>
      <c r="G299" s="12"/>
      <c r="H299" s="12"/>
      <c r="I299" s="12"/>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98"/>
      <c r="BQ299" s="197"/>
      <c r="BR299" s="197"/>
      <c r="BS299" s="197"/>
      <c r="BT299" s="197"/>
      <c r="BU299" s="197"/>
      <c r="BV299" s="197"/>
      <c r="BW299" s="197"/>
      <c r="BX299" s="197"/>
      <c r="BY299" s="197"/>
      <c r="BZ299" s="197"/>
      <c r="CA299" s="197"/>
      <c r="CB299" s="197"/>
      <c r="CC299" s="126"/>
      <c r="CD299" s="197"/>
      <c r="CE299" s="197"/>
      <c r="CF299" s="197"/>
      <c r="CG299" s="197"/>
      <c r="CH299" s="197"/>
      <c r="CI299" s="197"/>
      <c r="CJ299" s="197"/>
      <c r="CK299" s="197"/>
      <c r="CL299" s="197"/>
      <c r="CM299" s="197"/>
      <c r="CN299" s="197"/>
      <c r="CO299" s="197"/>
      <c r="CP299" s="197"/>
      <c r="CQ299" s="197"/>
      <c r="CR299" s="197"/>
      <c r="CS299" s="197"/>
      <c r="CT299" s="197"/>
      <c r="CU299" s="197"/>
      <c r="CV299" s="197"/>
      <c r="CW299" s="197"/>
      <c r="CX299" s="197"/>
      <c r="CY299" s="197"/>
      <c r="CZ299" s="197"/>
      <c r="DA299" s="197"/>
      <c r="DB299" s="197"/>
      <c r="DC299" s="197"/>
      <c r="DD299" s="197"/>
      <c r="DE299" s="197"/>
      <c r="DF299" s="197"/>
      <c r="DG299" s="197"/>
      <c r="DH299" s="197"/>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193"/>
      <c r="FG299" s="10"/>
      <c r="FH299" s="26"/>
      <c r="FI299" s="26"/>
      <c r="FJ299" s="79"/>
      <c r="FK299" s="79"/>
      <c r="FL299" s="79"/>
      <c r="FM299" s="170"/>
      <c r="FN299" s="170"/>
      <c r="FO299" s="170"/>
      <c r="FP299" s="170"/>
      <c r="FQ299" s="170"/>
      <c r="FR299" s="170"/>
      <c r="FS299" s="170"/>
      <c r="FT299" s="170"/>
      <c r="FU299" s="170"/>
      <c r="FV299" s="170"/>
      <c r="FW299" s="170"/>
      <c r="FX299" s="179"/>
      <c r="FY299" s="32"/>
      <c r="FZ299" s="32"/>
      <c r="GA299" s="32"/>
      <c r="GB299" s="32"/>
      <c r="GC299" s="32"/>
      <c r="GD299" s="32"/>
      <c r="GE299" s="32"/>
      <c r="GF299" s="32"/>
      <c r="GG299" s="32"/>
      <c r="GH299" s="32"/>
      <c r="GI299" s="32"/>
      <c r="GJ299" s="32"/>
      <c r="GK299" s="32"/>
      <c r="GL299" s="32"/>
      <c r="GM299" s="49"/>
      <c r="GN299" s="49"/>
      <c r="GO299" s="49"/>
      <c r="GP299" s="49"/>
      <c r="GQ299" s="49"/>
      <c r="GR299" s="78"/>
      <c r="GS299" s="78"/>
      <c r="GT299" s="78"/>
      <c r="GU299" s="78"/>
      <c r="GV299" s="78"/>
      <c r="GW299" s="78"/>
      <c r="GX299" s="78"/>
      <c r="GY299" s="78"/>
      <c r="GZ299" s="78"/>
      <c r="HA299" s="78"/>
      <c r="HB299" s="78"/>
      <c r="HC299" s="78"/>
      <c r="HD299" s="78"/>
      <c r="HE299" s="78"/>
      <c r="HF299" s="78"/>
      <c r="HG299" s="78"/>
      <c r="HH299" s="78"/>
      <c r="HI299" s="78"/>
      <c r="HJ299" s="78"/>
      <c r="HK299" s="78"/>
      <c r="HL299" s="78"/>
      <c r="HM299" s="78"/>
      <c r="HN299" s="78"/>
    </row>
    <row r="300" spans="1:222" ht="18.75" customHeight="1">
      <c r="A300" s="1"/>
      <c r="B300" s="3"/>
      <c r="C300" s="3"/>
      <c r="D300" s="12" t="str">
        <f ca="1">IF(FO297=0,"","Kies een waarde voor ''d'' tussen 0 en "&amp;FP303&amp;".")</f>
        <v/>
      </c>
      <c r="E300" s="38"/>
      <c r="F300" s="12"/>
      <c r="G300" s="12"/>
      <c r="H300" s="12"/>
      <c r="I300" s="12"/>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c r="BY300" s="126"/>
      <c r="BZ300" s="126"/>
      <c r="CA300" s="126"/>
      <c r="CB300" s="126"/>
      <c r="CC300" s="126"/>
      <c r="CD300" s="191"/>
      <c r="CE300" s="197"/>
      <c r="CF300" s="197"/>
      <c r="CG300" s="197"/>
      <c r="CH300" s="197"/>
      <c r="CI300" s="197"/>
      <c r="CJ300" s="197"/>
      <c r="CK300" s="197"/>
      <c r="CL300" s="197"/>
      <c r="CM300" s="197"/>
      <c r="CN300" s="197"/>
      <c r="CO300" s="197"/>
      <c r="CP300" s="197"/>
      <c r="CQ300" s="197"/>
      <c r="CR300" s="197"/>
      <c r="CS300" s="197"/>
      <c r="CT300" s="197"/>
      <c r="CU300" s="197"/>
      <c r="CV300" s="197"/>
      <c r="CW300" s="197"/>
      <c r="CX300" s="197"/>
      <c r="CY300" s="197"/>
      <c r="CZ300" s="197"/>
      <c r="DA300" s="197"/>
      <c r="DB300" s="197"/>
      <c r="DC300" s="197"/>
      <c r="DD300" s="197"/>
      <c r="DE300" s="197"/>
      <c r="DF300" s="197"/>
      <c r="DG300" s="197"/>
      <c r="DH300" s="197"/>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c r="EK300" s="39"/>
      <c r="EL300" s="39"/>
      <c r="EM300" s="39"/>
      <c r="EN300" s="39"/>
      <c r="EO300" s="39"/>
      <c r="EP300" s="39"/>
      <c r="EQ300" s="39"/>
      <c r="ER300" s="39"/>
      <c r="ES300" s="39"/>
      <c r="ET300" s="39"/>
      <c r="EU300" s="39"/>
      <c r="EV300" s="39"/>
      <c r="EW300" s="39"/>
      <c r="EX300" s="39"/>
      <c r="EY300" s="39"/>
      <c r="EZ300" s="39"/>
      <c r="FA300" s="39"/>
      <c r="FB300" s="39"/>
      <c r="FC300" s="39"/>
      <c r="FD300" s="39"/>
      <c r="FE300" s="39"/>
      <c r="FF300" s="193"/>
      <c r="FG300" s="10"/>
      <c r="FH300" s="26"/>
      <c r="FI300" s="26"/>
      <c r="FJ300" s="79"/>
      <c r="FK300" s="79"/>
      <c r="FL300" s="79"/>
      <c r="FM300" s="170"/>
      <c r="FN300" s="170"/>
      <c r="FO300" s="170"/>
      <c r="FP300" s="170"/>
      <c r="FQ300" s="170"/>
      <c r="FR300" s="170"/>
      <c r="FS300" s="170"/>
      <c r="FT300" s="170"/>
      <c r="FU300" s="170"/>
      <c r="FV300" s="170"/>
      <c r="FW300" s="170"/>
      <c r="FX300" s="179"/>
      <c r="FY300" s="32"/>
      <c r="FZ300" s="32"/>
      <c r="GA300" s="32"/>
      <c r="GB300" s="32"/>
      <c r="GC300" s="32"/>
      <c r="GD300" s="32"/>
      <c r="GE300" s="32"/>
      <c r="GF300" s="32"/>
      <c r="GG300" s="32"/>
      <c r="GH300" s="32"/>
      <c r="GI300" s="32"/>
      <c r="GJ300" s="32"/>
      <c r="GK300" s="32"/>
      <c r="GL300" s="32"/>
      <c r="GM300" s="49"/>
      <c r="GN300" s="49"/>
      <c r="GO300" s="49"/>
      <c r="GP300" s="49"/>
      <c r="GQ300" s="49"/>
      <c r="GR300" s="78"/>
      <c r="GS300" s="78"/>
      <c r="GT300" s="78"/>
      <c r="GU300" s="78"/>
      <c r="GV300" s="78"/>
      <c r="GW300" s="78"/>
      <c r="GX300" s="78"/>
      <c r="GY300" s="78"/>
      <c r="GZ300" s="78"/>
      <c r="HA300" s="78"/>
      <c r="HB300" s="78"/>
      <c r="HC300" s="78"/>
      <c r="HD300" s="78"/>
      <c r="HE300" s="78"/>
      <c r="HF300" s="78"/>
      <c r="HG300" s="78"/>
      <c r="HH300" s="78"/>
      <c r="HI300" s="78"/>
      <c r="HJ300" s="78"/>
      <c r="HK300" s="78"/>
      <c r="HL300" s="78"/>
      <c r="HM300" s="78"/>
      <c r="HN300" s="78"/>
    </row>
    <row r="301" spans="1:222" ht="8.25" customHeight="1">
      <c r="A301" s="1"/>
      <c r="B301" s="3"/>
      <c r="C301" s="3"/>
      <c r="D301" s="43"/>
      <c r="E301" s="38"/>
      <c r="F301" s="12"/>
      <c r="G301" s="12"/>
      <c r="H301" s="12"/>
      <c r="I301" s="12"/>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c r="BY301" s="126"/>
      <c r="BZ301" s="126"/>
      <c r="CA301" s="126"/>
      <c r="CB301" s="126"/>
      <c r="CC301" s="126"/>
      <c r="CD301" s="191"/>
      <c r="CE301" s="197"/>
      <c r="CF301" s="197"/>
      <c r="CG301" s="197"/>
      <c r="CH301" s="197"/>
      <c r="CI301" s="197"/>
      <c r="CJ301" s="197"/>
      <c r="CK301" s="197"/>
      <c r="CL301" s="197"/>
      <c r="CM301" s="197"/>
      <c r="CN301" s="197"/>
      <c r="CO301" s="197"/>
      <c r="CP301" s="197"/>
      <c r="CQ301" s="197"/>
      <c r="CR301" s="197"/>
      <c r="CS301" s="197"/>
      <c r="CT301" s="197"/>
      <c r="CU301" s="197"/>
      <c r="CV301" s="197"/>
      <c r="CW301" s="197"/>
      <c r="CX301" s="197"/>
      <c r="CY301" s="197"/>
      <c r="CZ301" s="197"/>
      <c r="DA301" s="197"/>
      <c r="DB301" s="197"/>
      <c r="DC301" s="197"/>
      <c r="DD301" s="197"/>
      <c r="DE301" s="197"/>
      <c r="DF301" s="197"/>
      <c r="DG301" s="197"/>
      <c r="DH301" s="197"/>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c r="EK301" s="39"/>
      <c r="EL301" s="39"/>
      <c r="EM301" s="39"/>
      <c r="EN301" s="39"/>
      <c r="EO301" s="39"/>
      <c r="EP301" s="39"/>
      <c r="EQ301" s="39"/>
      <c r="ER301" s="39"/>
      <c r="ES301" s="39"/>
      <c r="ET301" s="39"/>
      <c r="EU301" s="39"/>
      <c r="EV301" s="39"/>
      <c r="EW301" s="39"/>
      <c r="EX301" s="39"/>
      <c r="EY301" s="39"/>
      <c r="EZ301" s="39"/>
      <c r="FA301" s="39"/>
      <c r="FB301" s="39"/>
      <c r="FC301" s="39"/>
      <c r="FD301" s="39"/>
      <c r="FE301" s="39"/>
      <c r="FF301" s="193"/>
      <c r="FG301" s="10"/>
      <c r="FH301" s="26"/>
      <c r="FI301" s="26"/>
      <c r="FJ301" s="79"/>
      <c r="FK301" s="79"/>
      <c r="FL301" s="79"/>
      <c r="FM301" s="170"/>
      <c r="FN301" s="170"/>
      <c r="FO301" s="170"/>
      <c r="FP301" s="170"/>
      <c r="FQ301" s="170"/>
      <c r="FR301" s="170"/>
      <c r="FS301" s="170"/>
      <c r="FT301" s="170"/>
      <c r="FU301" s="170"/>
      <c r="FV301" s="170"/>
      <c r="FW301" s="170"/>
      <c r="FX301" s="179"/>
      <c r="FY301" s="32"/>
      <c r="FZ301" s="32"/>
      <c r="GA301" s="32"/>
      <c r="GB301" s="32"/>
      <c r="GC301" s="32"/>
      <c r="GD301" s="32"/>
      <c r="GE301" s="32"/>
      <c r="GF301" s="32"/>
      <c r="GG301" s="32"/>
      <c r="GH301" s="32"/>
      <c r="GI301" s="32"/>
      <c r="GJ301" s="32"/>
      <c r="GK301" s="32"/>
      <c r="GL301" s="32"/>
      <c r="GM301" s="49"/>
      <c r="GN301" s="49"/>
      <c r="GO301" s="49"/>
      <c r="GP301" s="49"/>
      <c r="GQ301" s="49"/>
      <c r="GR301" s="78"/>
      <c r="GS301" s="78"/>
      <c r="GT301" s="78"/>
      <c r="GU301" s="78"/>
      <c r="GV301" s="78"/>
      <c r="GW301" s="78"/>
      <c r="GX301" s="78"/>
      <c r="GY301" s="78"/>
      <c r="GZ301" s="78"/>
      <c r="HA301" s="78"/>
      <c r="HB301" s="78"/>
      <c r="HC301" s="78"/>
      <c r="HD301" s="78"/>
      <c r="HE301" s="78"/>
      <c r="HF301" s="78"/>
      <c r="HG301" s="78"/>
      <c r="HH301" s="78"/>
      <c r="HI301" s="78"/>
      <c r="HJ301" s="78"/>
      <c r="HK301" s="78"/>
      <c r="HL301" s="78"/>
      <c r="HM301" s="78"/>
      <c r="HN301" s="78"/>
    </row>
    <row r="302" spans="1:222" ht="3.75" customHeight="1">
      <c r="A302" s="1"/>
      <c r="B302" s="3"/>
      <c r="C302" s="3"/>
      <c r="D302" s="38"/>
      <c r="E302" s="38"/>
      <c r="F302" s="12"/>
      <c r="G302" s="12"/>
      <c r="H302" s="12"/>
      <c r="I302" s="12"/>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544" t="str">
        <f ca="1">IF(FO297=0,"","`")</f>
        <v/>
      </c>
      <c r="BQ302" s="545"/>
      <c r="BR302" s="545"/>
      <c r="BS302" s="545"/>
      <c r="BT302" s="545"/>
      <c r="BU302" s="545"/>
      <c r="BV302" s="545"/>
      <c r="BW302" s="545"/>
      <c r="BX302" s="545"/>
      <c r="BY302" s="545"/>
      <c r="BZ302" s="545"/>
      <c r="CA302" s="545"/>
      <c r="CB302" s="545"/>
      <c r="CC302" s="545"/>
      <c r="CD302" s="545"/>
      <c r="CE302" s="545"/>
      <c r="CF302" s="545"/>
      <c r="CG302" s="197"/>
      <c r="CH302" s="197"/>
      <c r="CI302" s="197"/>
      <c r="CJ302" s="197"/>
      <c r="CK302" s="197"/>
      <c r="CL302" s="197"/>
      <c r="CM302" s="197"/>
      <c r="CN302" s="197"/>
      <c r="CO302" s="197"/>
      <c r="CP302" s="197"/>
      <c r="CQ302" s="197"/>
      <c r="CR302" s="197"/>
      <c r="CS302" s="197"/>
      <c r="CT302" s="197"/>
      <c r="CU302" s="197"/>
      <c r="CV302" s="197"/>
      <c r="CW302" s="197"/>
      <c r="CX302" s="197"/>
      <c r="CY302" s="197"/>
      <c r="CZ302" s="197"/>
      <c r="DA302" s="197"/>
      <c r="DB302" s="197"/>
      <c r="DC302" s="197"/>
      <c r="DD302" s="197"/>
      <c r="DE302" s="197"/>
      <c r="DF302" s="197"/>
      <c r="DG302" s="197"/>
      <c r="DH302" s="197"/>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193"/>
      <c r="FG302" s="10"/>
      <c r="FH302" s="26"/>
      <c r="FI302" s="26"/>
      <c r="FJ302" s="79"/>
      <c r="FK302" s="79"/>
      <c r="FL302" s="79"/>
      <c r="FM302" s="170"/>
      <c r="FN302" s="170"/>
      <c r="FO302" s="170"/>
      <c r="FP302" s="170"/>
      <c r="FQ302" s="170"/>
      <c r="FR302" s="170"/>
      <c r="FS302" s="170"/>
      <c r="FT302" s="170"/>
      <c r="FU302" s="170"/>
      <c r="FV302" s="170"/>
      <c r="FW302" s="170"/>
      <c r="FX302" s="179"/>
      <c r="FY302" s="32"/>
      <c r="FZ302" s="32"/>
      <c r="GA302" s="32"/>
      <c r="GB302" s="32"/>
      <c r="GC302" s="32" t="s">
        <v>153</v>
      </c>
      <c r="GD302" s="32"/>
      <c r="GE302" s="32"/>
      <c r="GF302" s="32"/>
      <c r="GG302" s="32"/>
      <c r="GH302" s="32"/>
      <c r="GI302" s="32"/>
      <c r="GJ302" s="32"/>
      <c r="GK302" s="32"/>
      <c r="GL302" s="32"/>
      <c r="GM302" s="49"/>
      <c r="GN302" s="49"/>
      <c r="GO302" s="49"/>
      <c r="GP302" s="49"/>
      <c r="GQ302" s="49"/>
      <c r="GR302" s="78"/>
      <c r="GS302" s="78"/>
      <c r="GT302" s="78"/>
      <c r="GU302" s="78"/>
      <c r="GV302" s="78"/>
      <c r="GW302" s="78"/>
      <c r="GX302" s="78"/>
      <c r="GY302" s="78"/>
      <c r="GZ302" s="78"/>
      <c r="HA302" s="78"/>
      <c r="HB302" s="78"/>
      <c r="HC302" s="78"/>
      <c r="HD302" s="78"/>
      <c r="HE302" s="78"/>
      <c r="HF302" s="78"/>
      <c r="HG302" s="78"/>
      <c r="HH302" s="78"/>
      <c r="HI302" s="78"/>
      <c r="HJ302" s="78"/>
      <c r="HK302" s="78"/>
      <c r="HL302" s="78"/>
      <c r="HM302" s="78"/>
      <c r="HN302" s="78"/>
    </row>
    <row r="303" spans="1:222" ht="16.5" customHeight="1">
      <c r="A303" s="1"/>
      <c r="B303" s="3"/>
      <c r="C303" s="3"/>
      <c r="D303" s="43"/>
      <c r="E303" s="38"/>
      <c r="F303" s="12"/>
      <c r="G303" s="12"/>
      <c r="H303" s="12"/>
      <c r="I303" s="12"/>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26"/>
      <c r="AW303" s="126"/>
      <c r="AX303" s="126"/>
      <c r="AY303" s="126"/>
      <c r="AZ303" s="126"/>
      <c r="BA303" s="126"/>
      <c r="BB303" s="126"/>
      <c r="BC303" s="126"/>
      <c r="BD303" s="126"/>
      <c r="BE303" s="126"/>
      <c r="BF303" s="126"/>
      <c r="BG303" s="126"/>
      <c r="BH303" s="126"/>
      <c r="BI303" s="126"/>
      <c r="BJ303" s="126"/>
      <c r="BK303" s="126"/>
      <c r="BL303" s="126"/>
      <c r="BM303" s="126"/>
      <c r="BN303" s="184" t="str">
        <f ca="1">IF(FO297=0,"","De waarde voor ''d'' is:")</f>
        <v/>
      </c>
      <c r="BO303" s="126"/>
      <c r="BP303" s="198" t="str">
        <f ca="1">IF(FO297=0,"","`")</f>
        <v/>
      </c>
      <c r="BQ303" s="691"/>
      <c r="BR303" s="691"/>
      <c r="BS303" s="691"/>
      <c r="BT303" s="691"/>
      <c r="BU303" s="691"/>
      <c r="BV303" s="691"/>
      <c r="BW303" s="691"/>
      <c r="BX303" s="691"/>
      <c r="BY303" s="691"/>
      <c r="BZ303" s="691"/>
      <c r="CA303" s="691"/>
      <c r="CB303" s="691"/>
      <c r="CC303" s="691"/>
      <c r="CD303" s="691"/>
      <c r="CE303" s="691"/>
      <c r="CF303" s="187" t="str">
        <f ca="1">IF(FO297=0,"","`")</f>
        <v/>
      </c>
      <c r="CG303" s="197"/>
      <c r="CH303" s="91" t="str">
        <f>IF(BQ303="","",IF(BQ303&lt;=0,"Het moet een positief getal zijn!",IF(BQ303&gt;FP303,"Het moet kleiner dan "&amp;FP303&amp;" zijn!","")))</f>
        <v/>
      </c>
      <c r="CI303" s="197"/>
      <c r="CJ303" s="197"/>
      <c r="CK303" s="197"/>
      <c r="CL303" s="197"/>
      <c r="CM303" s="197"/>
      <c r="CN303" s="197"/>
      <c r="CO303" s="197"/>
      <c r="CP303" s="197"/>
      <c r="CQ303" s="197"/>
      <c r="CR303" s="197"/>
      <c r="CS303" s="197"/>
      <c r="CT303" s="197"/>
      <c r="CU303" s="197"/>
      <c r="CV303" s="197"/>
      <c r="CW303" s="197"/>
      <c r="CX303" s="197"/>
      <c r="CY303" s="197"/>
      <c r="CZ303" s="197"/>
      <c r="DA303" s="197"/>
      <c r="DB303" s="197"/>
      <c r="DC303" s="197"/>
      <c r="DD303" s="197"/>
      <c r="DE303" s="197"/>
      <c r="DF303" s="197"/>
      <c r="DG303" s="197"/>
      <c r="DH303" s="197"/>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193"/>
      <c r="FG303" s="10"/>
      <c r="FH303" s="26"/>
      <c r="FI303" s="26"/>
      <c r="FJ303" s="79"/>
      <c r="FK303" s="79"/>
      <c r="FL303" s="79"/>
      <c r="FM303" s="170"/>
      <c r="FN303" s="170"/>
      <c r="FO303" s="170">
        <f ca="1">IF(programma!B1="X",1,IF(FO297=0,0,IF(BQ303="",0,IF(BQ303&lt;=0,0,IF(BQ303&gt;FP303,0,1)))))</f>
        <v>0</v>
      </c>
      <c r="FP303" s="190" t="e">
        <f>ROUND(0.8*FQ303,-3)</f>
        <v>#DIV/0!</v>
      </c>
      <c r="FQ303" s="190" t="e">
        <f>ROUND(ROUND((BQ287-BQ297)/(2*BQ281+2*FR293),0)*ROUND((BQ287-ROUND((BQ287-BQ297)/(2*BQ281+2*FR293),0)*BQ281),2),2)-ROUND(FR293*ROUND((BQ287-BQ297)/(2*BQ281+2*FR293),0)^2+BQ297*ROUND((BQ287-BQ297)/(2*BQ281+2*FR293),0),2)</f>
        <v>#DIV/0!</v>
      </c>
      <c r="FR303" s="170" t="e">
        <f>BQ297*BQ293/BQ287</f>
        <v>#DIV/0!</v>
      </c>
      <c r="FS303" s="170"/>
      <c r="FT303" s="170"/>
      <c r="FU303" s="170"/>
      <c r="FV303" s="170"/>
      <c r="FW303" s="170"/>
      <c r="FX303" s="179"/>
      <c r="FY303" s="32"/>
      <c r="FZ303" s="32"/>
      <c r="GA303" s="32"/>
      <c r="GB303" s="32"/>
      <c r="GC303" s="32" t="s">
        <v>154</v>
      </c>
      <c r="GD303" s="32"/>
      <c r="GE303" s="32"/>
      <c r="GF303" s="32"/>
      <c r="GG303" s="32"/>
      <c r="GH303" s="32"/>
      <c r="GI303" s="32"/>
      <c r="GJ303" s="32"/>
      <c r="GK303" s="32"/>
      <c r="GL303" s="32"/>
      <c r="GM303" s="49"/>
      <c r="GN303" s="49"/>
      <c r="GO303" s="49"/>
      <c r="GP303" s="49"/>
      <c r="GQ303" s="49"/>
      <c r="GR303" s="78"/>
      <c r="GS303" s="78"/>
      <c r="GT303" s="78"/>
      <c r="GU303" s="78"/>
      <c r="GV303" s="78"/>
      <c r="GW303" s="78"/>
      <c r="GX303" s="78"/>
      <c r="GY303" s="78"/>
      <c r="GZ303" s="78"/>
      <c r="HA303" s="78"/>
      <c r="HB303" s="78"/>
      <c r="HC303" s="78"/>
      <c r="HD303" s="78"/>
      <c r="HE303" s="78"/>
      <c r="HF303" s="78"/>
      <c r="HG303" s="78"/>
      <c r="HH303" s="78"/>
      <c r="HI303" s="78"/>
      <c r="HJ303" s="78"/>
      <c r="HK303" s="78"/>
      <c r="HL303" s="78"/>
      <c r="HM303" s="78"/>
      <c r="HN303" s="78"/>
    </row>
    <row r="304" spans="1:222" ht="3.75" customHeight="1">
      <c r="A304" s="1"/>
      <c r="B304" s="3"/>
      <c r="C304" s="3"/>
      <c r="D304" s="38"/>
      <c r="E304" s="38"/>
      <c r="F304" s="12"/>
      <c r="G304" s="12"/>
      <c r="H304" s="12"/>
      <c r="I304" s="12"/>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544" t="str">
        <f ca="1">IF(FO297=0,"","`")</f>
        <v/>
      </c>
      <c r="BQ304" s="545"/>
      <c r="BR304" s="545"/>
      <c r="BS304" s="545"/>
      <c r="BT304" s="545"/>
      <c r="BU304" s="545"/>
      <c r="BV304" s="545"/>
      <c r="BW304" s="545"/>
      <c r="BX304" s="545"/>
      <c r="BY304" s="545"/>
      <c r="BZ304" s="545"/>
      <c r="CA304" s="545"/>
      <c r="CB304" s="545"/>
      <c r="CC304" s="545"/>
      <c r="CD304" s="545"/>
      <c r="CE304" s="545"/>
      <c r="CF304" s="545"/>
      <c r="CG304" s="197"/>
      <c r="CH304" s="197"/>
      <c r="CI304" s="197"/>
      <c r="CJ304" s="197"/>
      <c r="CK304" s="197"/>
      <c r="CL304" s="197"/>
      <c r="CM304" s="197"/>
      <c r="CN304" s="197"/>
      <c r="CO304" s="197"/>
      <c r="CP304" s="197"/>
      <c r="CQ304" s="197"/>
      <c r="CR304" s="197"/>
      <c r="CS304" s="197"/>
      <c r="CT304" s="197"/>
      <c r="CU304" s="197"/>
      <c r="CV304" s="197"/>
      <c r="CW304" s="197"/>
      <c r="CX304" s="197"/>
      <c r="CY304" s="197"/>
      <c r="CZ304" s="197"/>
      <c r="DA304" s="197"/>
      <c r="DB304" s="197"/>
      <c r="DC304" s="197"/>
      <c r="DD304" s="197"/>
      <c r="DE304" s="197"/>
      <c r="DF304" s="197"/>
      <c r="DG304" s="197"/>
      <c r="DH304" s="197"/>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c r="EK304" s="39"/>
      <c r="EL304" s="39"/>
      <c r="EM304" s="39"/>
      <c r="EN304" s="39"/>
      <c r="EO304" s="39"/>
      <c r="EP304" s="39"/>
      <c r="EQ304" s="39"/>
      <c r="ER304" s="39"/>
      <c r="ES304" s="39"/>
      <c r="ET304" s="39"/>
      <c r="EU304" s="39"/>
      <c r="EV304" s="39"/>
      <c r="EW304" s="39"/>
      <c r="EX304" s="39"/>
      <c r="EY304" s="39"/>
      <c r="EZ304" s="39"/>
      <c r="FA304" s="39"/>
      <c r="FB304" s="39"/>
      <c r="FC304" s="39"/>
      <c r="FD304" s="39"/>
      <c r="FE304" s="39"/>
      <c r="FF304" s="193"/>
      <c r="FG304" s="10"/>
      <c r="FH304" s="26"/>
      <c r="FI304" s="26"/>
      <c r="FJ304" s="79"/>
      <c r="FK304" s="79"/>
      <c r="FL304" s="79"/>
      <c r="FM304" s="170"/>
      <c r="FN304" s="170"/>
      <c r="FO304" s="170"/>
      <c r="FP304" s="170"/>
      <c r="FQ304" s="170"/>
      <c r="FR304" s="170"/>
      <c r="FS304" s="170"/>
      <c r="FT304" s="170"/>
      <c r="FU304" s="170"/>
      <c r="FV304" s="170"/>
      <c r="FW304" s="170"/>
      <c r="FX304" s="179"/>
      <c r="FY304" s="32"/>
      <c r="FZ304" s="32"/>
      <c r="GA304" s="32"/>
      <c r="GB304" s="32"/>
      <c r="GC304" s="32" t="s">
        <v>155</v>
      </c>
      <c r="GD304" s="32"/>
      <c r="GE304" s="32"/>
      <c r="GF304" s="32"/>
      <c r="GG304" s="32"/>
      <c r="GH304" s="32"/>
      <c r="GI304" s="32"/>
      <c r="GJ304" s="32"/>
      <c r="GK304" s="32"/>
      <c r="GL304" s="32"/>
      <c r="GM304" s="49"/>
      <c r="GN304" s="49"/>
      <c r="GO304" s="49"/>
      <c r="GP304" s="49"/>
      <c r="GQ304" s="49"/>
      <c r="GR304" s="78"/>
      <c r="GS304" s="78"/>
      <c r="GT304" s="78"/>
      <c r="GU304" s="78"/>
      <c r="GV304" s="78"/>
      <c r="GW304" s="78"/>
      <c r="GX304" s="78"/>
      <c r="GY304" s="78"/>
      <c r="GZ304" s="78"/>
      <c r="HA304" s="78"/>
      <c r="HB304" s="78"/>
      <c r="HC304" s="78"/>
      <c r="HD304" s="78"/>
      <c r="HE304" s="78"/>
      <c r="HF304" s="78"/>
      <c r="HG304" s="78"/>
      <c r="HH304" s="78"/>
      <c r="HI304" s="78"/>
      <c r="HJ304" s="78"/>
      <c r="HK304" s="78"/>
      <c r="HL304" s="78"/>
      <c r="HM304" s="78"/>
      <c r="HN304" s="78"/>
    </row>
    <row r="305" spans="1:222" ht="6.75" customHeight="1">
      <c r="A305" s="1"/>
      <c r="B305" s="3"/>
      <c r="C305" s="3"/>
      <c r="D305" s="43"/>
      <c r="E305" s="38"/>
      <c r="F305" s="12"/>
      <c r="G305" s="12"/>
      <c r="H305" s="12"/>
      <c r="I305" s="12"/>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98"/>
      <c r="BQ305" s="197"/>
      <c r="BR305" s="197"/>
      <c r="BS305" s="197"/>
      <c r="BT305" s="197"/>
      <c r="BU305" s="197"/>
      <c r="BV305" s="197"/>
      <c r="BW305" s="197"/>
      <c r="BX305" s="197"/>
      <c r="BY305" s="197"/>
      <c r="BZ305" s="197"/>
      <c r="CA305" s="197"/>
      <c r="CB305" s="197"/>
      <c r="CC305" s="126"/>
      <c r="CD305" s="197"/>
      <c r="CE305" s="197"/>
      <c r="CF305" s="197"/>
      <c r="CG305" s="197"/>
      <c r="CH305" s="197"/>
      <c r="CI305" s="197"/>
      <c r="CJ305" s="197"/>
      <c r="CK305" s="197"/>
      <c r="CL305" s="197"/>
      <c r="CM305" s="197"/>
      <c r="CN305" s="197"/>
      <c r="CO305" s="197"/>
      <c r="CP305" s="197"/>
      <c r="CQ305" s="197"/>
      <c r="CR305" s="197"/>
      <c r="CS305" s="197"/>
      <c r="CT305" s="197"/>
      <c r="CU305" s="197"/>
      <c r="CV305" s="197"/>
      <c r="CW305" s="197"/>
      <c r="CX305" s="197"/>
      <c r="CY305" s="197"/>
      <c r="CZ305" s="197"/>
      <c r="DA305" s="197"/>
      <c r="DB305" s="197"/>
      <c r="DC305" s="197"/>
      <c r="DD305" s="197"/>
      <c r="DE305" s="197"/>
      <c r="DF305" s="197"/>
      <c r="DG305" s="197"/>
      <c r="DH305" s="197"/>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193"/>
      <c r="FG305" s="10"/>
      <c r="FH305" s="26"/>
      <c r="FI305" s="26"/>
      <c r="FJ305" s="79"/>
      <c r="FK305" s="79"/>
      <c r="FL305" s="79"/>
      <c r="FM305" s="170"/>
      <c r="FN305" s="170"/>
      <c r="FO305" s="170"/>
      <c r="FP305" s="170"/>
      <c r="FQ305" s="170"/>
      <c r="FR305" s="170"/>
      <c r="FS305" s="170"/>
      <c r="FT305" s="170"/>
      <c r="FU305" s="170"/>
      <c r="FV305" s="170"/>
      <c r="FW305" s="170"/>
      <c r="FX305" s="179"/>
      <c r="FY305" s="32"/>
      <c r="FZ305" s="32"/>
      <c r="GA305" s="32"/>
      <c r="GB305" s="32"/>
      <c r="GC305" s="32"/>
      <c r="GD305" s="32"/>
      <c r="GE305" s="32"/>
      <c r="GF305" s="32"/>
      <c r="GG305" s="32"/>
      <c r="GH305" s="32"/>
      <c r="GI305" s="32"/>
      <c r="GJ305" s="32"/>
      <c r="GK305" s="32"/>
      <c r="GL305" s="32"/>
      <c r="GM305" s="49"/>
      <c r="GN305" s="49"/>
      <c r="GO305" s="49"/>
      <c r="GP305" s="49"/>
      <c r="GQ305" s="49"/>
      <c r="GR305" s="78"/>
      <c r="GS305" s="78"/>
      <c r="GT305" s="78"/>
      <c r="GU305" s="78"/>
      <c r="GV305" s="78"/>
      <c r="GW305" s="78"/>
      <c r="GX305" s="78"/>
      <c r="GY305" s="78"/>
      <c r="GZ305" s="78"/>
      <c r="HA305" s="78"/>
      <c r="HB305" s="78"/>
      <c r="HC305" s="78"/>
      <c r="HD305" s="78"/>
      <c r="HE305" s="78"/>
      <c r="HF305" s="78"/>
      <c r="HG305" s="78"/>
      <c r="HH305" s="78"/>
      <c r="HI305" s="78"/>
      <c r="HJ305" s="78"/>
      <c r="HK305" s="78"/>
      <c r="HL305" s="78"/>
      <c r="HM305" s="78"/>
      <c r="HN305" s="78"/>
    </row>
    <row r="306" spans="1:222" ht="16.95" customHeight="1">
      <c r="A306" s="1"/>
      <c r="B306" s="3"/>
      <c r="C306" s="3"/>
      <c r="D306" s="12" t="str">
        <f ca="1">IF(FO303=0,"",IF(FQ293=2,"De door jou gekozen TK-functie luidt TK = "&amp;BQ297&amp;"q + "&amp;BQ303&amp;" en dus geldt",""))</f>
        <v/>
      </c>
      <c r="E306" s="12"/>
      <c r="F306" s="12"/>
      <c r="G306" s="12"/>
      <c r="H306" s="12"/>
      <c r="I306" s="12"/>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c r="BY306" s="126"/>
      <c r="BZ306" s="126"/>
      <c r="CA306" s="126"/>
      <c r="CB306" s="126"/>
      <c r="CC306" s="126"/>
      <c r="CD306" s="126"/>
      <c r="CE306" s="126"/>
      <c r="CF306" s="126"/>
      <c r="CG306" s="126"/>
      <c r="CH306" s="126"/>
      <c r="CI306" s="126"/>
      <c r="CJ306" s="126"/>
      <c r="CK306" s="126"/>
      <c r="CL306" s="126"/>
      <c r="CM306" s="126"/>
      <c r="CN306" s="126"/>
      <c r="CO306" s="126"/>
      <c r="CP306" s="126"/>
      <c r="CQ306" s="126"/>
      <c r="CR306" s="126"/>
      <c r="CS306" s="126"/>
      <c r="CT306" s="126"/>
      <c r="CU306" s="126"/>
      <c r="CV306" s="126"/>
      <c r="CW306" s="126"/>
      <c r="CX306" s="126"/>
      <c r="CY306" s="126"/>
      <c r="CZ306" s="126"/>
      <c r="DA306" s="126"/>
      <c r="DB306" s="126"/>
      <c r="DC306" s="126"/>
      <c r="DD306" s="126"/>
      <c r="DE306" s="126"/>
      <c r="DF306" s="126"/>
      <c r="DG306" s="126"/>
      <c r="DH306" s="126"/>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26"/>
      <c r="FI306" s="26"/>
      <c r="FJ306" s="79"/>
      <c r="FK306" s="79"/>
      <c r="FL306" s="79"/>
      <c r="FM306" s="170"/>
      <c r="FN306" s="170"/>
      <c r="FO306" s="79"/>
      <c r="FP306" s="135" t="str">
        <f>IF(FQ293=1,"qa = "&amp;ROUND(0.5/FR293,4)&amp;"p - "&amp;ROUND(BQ297/FR293,4)&amp;"","")</f>
        <v/>
      </c>
      <c r="FQ306" s="79"/>
      <c r="FR306" s="192" t="str">
        <f>"MK = "&amp;2*FR293&amp;"p + "&amp;BQ297&amp;""</f>
        <v xml:space="preserve">MK = 0p + </v>
      </c>
      <c r="FS306" s="93">
        <f>BQ281</f>
        <v>0</v>
      </c>
      <c r="FT306" s="93">
        <f>BQ287</f>
        <v>0</v>
      </c>
      <c r="FU306" s="93">
        <f>FR293</f>
        <v>0</v>
      </c>
      <c r="FV306" s="93">
        <f>BQ297</f>
        <v>0</v>
      </c>
      <c r="FW306" s="93">
        <f>BQ303</f>
        <v>0</v>
      </c>
      <c r="FX306" s="78"/>
      <c r="FY306" s="32"/>
      <c r="FZ306" s="32"/>
      <c r="GA306" s="32"/>
      <c r="GB306" s="32"/>
      <c r="GC306" s="32"/>
      <c r="GD306" s="32"/>
      <c r="GE306" s="32"/>
      <c r="GF306" s="32"/>
      <c r="GG306" s="32"/>
      <c r="GH306" s="32"/>
      <c r="GI306" s="32"/>
      <c r="GJ306" s="32"/>
      <c r="GK306" s="32"/>
      <c r="GL306" s="32"/>
      <c r="GM306" s="49"/>
      <c r="GN306" s="49"/>
      <c r="GO306" s="49"/>
      <c r="GP306" s="49"/>
      <c r="GQ306" s="49"/>
      <c r="GR306" s="78"/>
      <c r="GS306" s="78"/>
      <c r="GT306" s="78"/>
      <c r="GU306" s="78"/>
      <c r="GV306" s="78"/>
      <c r="GW306" s="78"/>
      <c r="GX306" s="78"/>
      <c r="GY306" s="78"/>
      <c r="GZ306" s="78"/>
      <c r="HA306" s="78"/>
      <c r="HB306" s="78"/>
      <c r="HC306" s="78"/>
      <c r="HD306" s="78"/>
      <c r="HE306" s="78"/>
      <c r="HF306" s="78"/>
      <c r="HG306" s="78"/>
      <c r="HH306" s="78"/>
      <c r="HI306" s="78"/>
      <c r="HJ306" s="78"/>
      <c r="HK306" s="78"/>
      <c r="HL306" s="78"/>
      <c r="HM306" s="78"/>
      <c r="HN306" s="78"/>
    </row>
    <row r="307" spans="1:222" ht="16.95" customHeight="1">
      <c r="A307" s="1"/>
      <c r="B307" s="3"/>
      <c r="C307" s="3"/>
      <c r="D307" s="12" t="str">
        <f ca="1">IF(FO303=0,"",IF(FQ293=2,"MK = "&amp;BQ297&amp;".",""))</f>
        <v/>
      </c>
      <c r="E307" s="12"/>
      <c r="F307" s="12"/>
      <c r="G307" s="12"/>
      <c r="H307" s="12"/>
      <c r="I307" s="12"/>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c r="CV307" s="376"/>
      <c r="CW307" s="376"/>
      <c r="CX307" s="376"/>
      <c r="CY307" s="376"/>
      <c r="CZ307" s="376"/>
      <c r="DA307" s="376"/>
      <c r="DB307" s="376"/>
      <c r="DC307" s="376"/>
      <c r="DD307" s="376"/>
      <c r="DE307" s="376"/>
      <c r="DF307" s="376"/>
      <c r="DG307" s="376"/>
      <c r="DH307" s="376"/>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26"/>
      <c r="FI307" s="26"/>
      <c r="FJ307" s="79"/>
      <c r="FK307" s="79"/>
      <c r="FL307" s="79"/>
      <c r="FM307" s="170"/>
      <c r="FN307" s="170"/>
      <c r="FO307" s="79"/>
      <c r="FP307" s="135"/>
      <c r="FQ307" s="79"/>
      <c r="FR307" s="192"/>
      <c r="FS307" s="93"/>
      <c r="FT307" s="93"/>
      <c r="FU307" s="93"/>
      <c r="FV307" s="93"/>
      <c r="FW307" s="93"/>
      <c r="FX307" s="338"/>
      <c r="FY307" s="32"/>
      <c r="FZ307" s="32"/>
      <c r="GA307" s="32"/>
      <c r="GB307" s="32"/>
      <c r="GC307" s="32"/>
      <c r="GD307" s="32"/>
      <c r="GE307" s="32"/>
      <c r="GF307" s="32"/>
      <c r="GG307" s="32"/>
      <c r="GH307" s="32"/>
      <c r="GI307" s="32"/>
      <c r="GJ307" s="32"/>
      <c r="GK307" s="32"/>
      <c r="GL307" s="32"/>
      <c r="GM307" s="49"/>
      <c r="GN307" s="49"/>
      <c r="GO307" s="49"/>
      <c r="GP307" s="49"/>
      <c r="GQ307" s="49"/>
      <c r="GR307" s="338"/>
      <c r="GS307" s="338"/>
      <c r="GT307" s="338"/>
      <c r="GU307" s="338"/>
      <c r="GV307" s="338"/>
      <c r="GW307" s="338"/>
      <c r="GX307" s="338"/>
      <c r="GY307" s="338"/>
      <c r="GZ307" s="338"/>
      <c r="HA307" s="338"/>
      <c r="HB307" s="338"/>
      <c r="HC307" s="338"/>
      <c r="HD307" s="338"/>
      <c r="HE307" s="338"/>
      <c r="HF307" s="338"/>
      <c r="HG307" s="338"/>
      <c r="HH307" s="338"/>
      <c r="HI307" s="338"/>
      <c r="HJ307" s="338"/>
      <c r="HK307" s="338"/>
      <c r="HL307" s="338"/>
      <c r="HM307" s="338"/>
      <c r="HN307" s="338"/>
    </row>
    <row r="308" spans="1:222" ht="10.199999999999999" customHeight="1">
      <c r="A308" s="1"/>
      <c r="B308" s="3"/>
      <c r="C308" s="3"/>
      <c r="D308" s="124"/>
      <c r="E308" s="38"/>
      <c r="F308" s="38"/>
      <c r="G308" s="38"/>
      <c r="H308" s="38"/>
      <c r="I308" s="38"/>
      <c r="J308" s="79"/>
      <c r="K308" s="222"/>
      <c r="L308" s="79"/>
      <c r="M308" s="79"/>
      <c r="N308" s="133"/>
      <c r="O308" s="79"/>
      <c r="P308" s="202"/>
      <c r="Q308" s="126"/>
      <c r="R308" s="126"/>
      <c r="S308" s="126"/>
      <c r="T308" s="126"/>
      <c r="U308" s="126"/>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126"/>
      <c r="CQ308" s="126"/>
      <c r="CR308" s="126"/>
      <c r="CS308" s="126"/>
      <c r="CT308" s="126"/>
      <c r="CU308" s="126"/>
      <c r="CV308" s="126"/>
      <c r="CW308" s="126"/>
      <c r="CX308" s="126"/>
      <c r="CY308" s="126"/>
      <c r="CZ308" s="126"/>
      <c r="DA308" s="126"/>
      <c r="DB308" s="126"/>
      <c r="DC308" s="126"/>
      <c r="DD308" s="126"/>
      <c r="DE308" s="126"/>
      <c r="DF308" s="126"/>
      <c r="DG308" s="126"/>
      <c r="DH308" s="126"/>
      <c r="DI308" s="126"/>
      <c r="DJ308" s="126"/>
      <c r="DK308" s="126"/>
      <c r="DL308" s="126"/>
      <c r="DM308" s="126"/>
      <c r="DN308" s="126"/>
      <c r="DO308" s="126"/>
      <c r="DP308" s="126"/>
      <c r="DQ308" s="126"/>
      <c r="DR308" s="126"/>
      <c r="DS308" s="126"/>
      <c r="DT308" s="126"/>
      <c r="DU308" s="126"/>
      <c r="DV308" s="126"/>
      <c r="DW308" s="126"/>
      <c r="DX308" s="126"/>
      <c r="DY308" s="126"/>
      <c r="DZ308" s="126"/>
      <c r="EA308" s="126"/>
      <c r="EB308" s="126"/>
      <c r="EC308" s="126"/>
      <c r="ED308" s="126"/>
      <c r="EE308" s="126"/>
      <c r="EF308" s="126"/>
      <c r="EG308" s="126"/>
      <c r="EH308" s="126"/>
      <c r="EI308" s="126"/>
      <c r="EJ308" s="126"/>
      <c r="EK308" s="126"/>
      <c r="EL308" s="126"/>
      <c r="EM308" s="126"/>
      <c r="EN308" s="126"/>
      <c r="EO308" s="126"/>
      <c r="EP308" s="126"/>
      <c r="EQ308" s="126"/>
      <c r="ER308" s="126"/>
      <c r="ES308" s="126"/>
      <c r="ET308" s="126"/>
      <c r="EU308" s="126"/>
      <c r="EV308" s="126"/>
      <c r="EW308" s="126"/>
      <c r="EX308" s="126"/>
      <c r="EY308" s="126"/>
      <c r="EZ308" s="126"/>
      <c r="FA308" s="43"/>
      <c r="FB308" s="43"/>
      <c r="FC308" s="43"/>
      <c r="FD308" s="43"/>
      <c r="FE308" s="43"/>
      <c r="FF308" s="43"/>
      <c r="FG308" s="43"/>
      <c r="FH308" s="43"/>
      <c r="FI308" s="79"/>
      <c r="FJ308" s="79"/>
      <c r="FK308" s="79"/>
      <c r="FL308" s="79"/>
      <c r="FM308" s="338"/>
      <c r="FN308" s="78"/>
      <c r="FO308" s="78"/>
      <c r="FP308" s="135" t="str">
        <f>IF(FQ293=2,"qa = "&amp;ROUND(BQ297,4)&amp;"","")</f>
        <v>qa = 0</v>
      </c>
      <c r="FQ308" s="79"/>
      <c r="FR308" s="79"/>
      <c r="FS308" s="79"/>
      <c r="FT308" s="79"/>
      <c r="FU308" s="79"/>
      <c r="FV308" s="79"/>
      <c r="FW308" s="78"/>
      <c r="FX308" s="78"/>
      <c r="FY308" s="32"/>
      <c r="FZ308" s="32"/>
      <c r="GA308" s="32"/>
      <c r="GB308" s="32"/>
      <c r="GC308" s="32"/>
      <c r="GD308" s="32"/>
      <c r="GE308" s="32"/>
      <c r="GF308" s="32"/>
      <c r="GG308" s="32"/>
      <c r="GH308" s="32"/>
      <c r="GI308" s="32"/>
      <c r="GJ308" s="32"/>
      <c r="GK308" s="32"/>
      <c r="GL308" s="32"/>
      <c r="GM308" s="49"/>
      <c r="GN308" s="49"/>
      <c r="GO308" s="49"/>
      <c r="GP308" s="49"/>
      <c r="GQ308" s="49"/>
      <c r="GR308" s="49"/>
      <c r="GS308" s="49"/>
      <c r="GT308" s="49"/>
      <c r="GU308" s="49"/>
      <c r="GV308" s="78"/>
      <c r="GW308" s="78"/>
      <c r="GX308" s="78"/>
      <c r="GY308" s="78"/>
      <c r="GZ308" s="78"/>
      <c r="HA308" s="78"/>
      <c r="HB308" s="78"/>
      <c r="HC308" s="78"/>
      <c r="HD308" s="78"/>
      <c r="HE308" s="78"/>
      <c r="HF308" s="78"/>
      <c r="HG308" s="78"/>
      <c r="HH308" s="78"/>
      <c r="HI308" s="78"/>
      <c r="HJ308" s="78"/>
      <c r="HK308" s="78"/>
      <c r="HL308" s="78"/>
      <c r="HM308" s="78"/>
      <c r="HN308" s="78"/>
    </row>
    <row r="309" spans="1:222" ht="16.95" customHeight="1">
      <c r="A309" s="1"/>
      <c r="B309" s="3"/>
      <c r="C309" s="3"/>
      <c r="D309" s="373" t="str">
        <f ca="1">IF(FO303=0,"","Hoeveel zal de monopolist aanbieden als hij streeft naar maximale winst?")</f>
        <v/>
      </c>
      <c r="E309" s="10"/>
      <c r="F309" s="10"/>
      <c r="G309" s="10"/>
      <c r="H309" s="10"/>
      <c r="I309" s="10"/>
      <c r="J309" s="10"/>
      <c r="K309" s="10"/>
      <c r="L309" s="10"/>
      <c r="M309" s="10"/>
      <c r="N309" s="79"/>
      <c r="O309" s="79"/>
      <c r="P309" s="79"/>
      <c r="Q309" s="79"/>
      <c r="R309" s="79"/>
      <c r="S309" s="7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47"/>
      <c r="FN309" s="47"/>
      <c r="FO309" s="47"/>
      <c r="FP309" s="47" t="e">
        <f>ROUND(ROUND((BQ287-BQ297)/(2*BQ281+2*FR293),0)*ROUND((BQ287-ROUND((BQ287-BQ297)/(2*BQ281+2*FR293),0)*BQ281),2),2)-ROUND(FR293*ROUND((BQ287-BQ297)/(2*BQ281+2*FR293),0)^2+BQ297*ROUND((BQ287-BQ297)/(2*BQ281+2*FR293),0)+BQ303,2)</f>
        <v>#DIV/0!</v>
      </c>
      <c r="FQ309" s="47"/>
      <c r="FR309" s="47"/>
      <c r="FS309" s="47"/>
      <c r="FT309" s="47"/>
      <c r="FU309" s="47"/>
      <c r="FV309" s="47"/>
      <c r="FW309" s="47"/>
      <c r="FX309" s="47"/>
      <c r="FY309" s="32"/>
      <c r="FZ309" s="32"/>
      <c r="GA309" s="32"/>
      <c r="GB309" s="32"/>
      <c r="GC309" s="32"/>
      <c r="GD309" s="32"/>
      <c r="GE309" s="32"/>
      <c r="GF309" s="32"/>
      <c r="GG309" s="32"/>
      <c r="GH309" s="32"/>
      <c r="GI309" s="32"/>
      <c r="GJ309" s="32"/>
      <c r="GK309" s="32"/>
      <c r="GL309" s="32"/>
      <c r="GM309" s="49"/>
      <c r="GN309" s="49"/>
      <c r="GO309" s="49"/>
      <c r="GP309" s="49"/>
      <c r="GQ309" s="49"/>
      <c r="GR309" s="49"/>
      <c r="GS309" s="49"/>
      <c r="GT309" s="49"/>
      <c r="GU309" s="49"/>
      <c r="GV309" s="49"/>
      <c r="GW309" s="49"/>
      <c r="GX309" s="49"/>
      <c r="GY309" s="49"/>
      <c r="GZ309" s="49"/>
      <c r="HA309" s="49"/>
      <c r="HB309" s="49"/>
      <c r="HC309" s="49"/>
      <c r="HD309" s="49"/>
      <c r="HE309" s="49"/>
      <c r="HF309" s="49"/>
      <c r="HG309" s="49"/>
      <c r="HH309" s="49"/>
      <c r="HI309" s="49"/>
      <c r="HJ309" s="49"/>
      <c r="HK309" s="49"/>
      <c r="HL309" s="49"/>
      <c r="HM309" s="49"/>
      <c r="HN309" s="49"/>
    </row>
    <row r="310" spans="1:222" ht="16.95" customHeight="1">
      <c r="A310" s="1"/>
      <c r="B310" s="3"/>
      <c r="C310" s="3"/>
      <c r="D310" s="373" t="str">
        <f ca="1">IF(FO303=0,"","Rond het antwoord af op hele stuks.")</f>
        <v/>
      </c>
      <c r="E310" s="10"/>
      <c r="F310" s="10"/>
      <c r="G310" s="10"/>
      <c r="H310" s="10"/>
      <c r="I310" s="10"/>
      <c r="J310" s="10"/>
      <c r="K310" s="10"/>
      <c r="L310" s="10"/>
      <c r="M310" s="10"/>
      <c r="N310" s="79"/>
      <c r="O310" s="79"/>
      <c r="P310" s="79"/>
      <c r="Q310" s="79"/>
      <c r="R310" s="79"/>
      <c r="S310" s="7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79"/>
      <c r="BA310" s="79"/>
      <c r="BB310" s="79"/>
      <c r="BC310" s="79"/>
      <c r="BD310" s="79"/>
      <c r="BE310" s="79"/>
      <c r="BF310" s="79"/>
      <c r="BG310" s="79"/>
      <c r="BH310" s="79"/>
      <c r="BI310" s="79"/>
      <c r="BJ310" s="79"/>
      <c r="BK310" s="79"/>
      <c r="BL310" s="79"/>
      <c r="BM310" s="79"/>
      <c r="BN310" s="79"/>
      <c r="BO310" s="79"/>
      <c r="BP310" s="79"/>
      <c r="BQ310" s="79"/>
      <c r="BR310" s="79"/>
      <c r="BS310" s="79"/>
      <c r="BT310" s="79"/>
      <c r="BU310" s="79"/>
      <c r="BV310" s="79"/>
      <c r="BW310" s="79"/>
      <c r="BX310" s="79"/>
      <c r="BY310" s="79"/>
      <c r="BZ310" s="79"/>
      <c r="CA310" s="79"/>
      <c r="CB310" s="79"/>
      <c r="CC310" s="79"/>
      <c r="CD310" s="79"/>
      <c r="CE310" s="79"/>
      <c r="CF310" s="79"/>
      <c r="CG310" s="79"/>
      <c r="CH310" s="79"/>
      <c r="CI310" s="79"/>
      <c r="CJ310" s="79"/>
      <c r="CK310" s="79"/>
      <c r="CL310" s="79"/>
      <c r="CM310" s="79"/>
      <c r="CN310" s="79"/>
      <c r="CO310" s="79"/>
      <c r="CP310" s="79"/>
      <c r="CQ310" s="79"/>
      <c r="CR310" s="79"/>
      <c r="CS310" s="79"/>
      <c r="CT310" s="79"/>
      <c r="CU310" s="79"/>
      <c r="CV310" s="79"/>
      <c r="CW310" s="79"/>
      <c r="CX310" s="79"/>
      <c r="CY310" s="79"/>
      <c r="CZ310" s="79"/>
      <c r="DA310" s="79"/>
      <c r="DB310" s="79"/>
      <c r="DC310" s="79"/>
      <c r="DD310" s="79"/>
      <c r="DE310" s="79"/>
      <c r="DF310" s="79"/>
      <c r="DG310" s="79"/>
      <c r="DH310" s="79"/>
      <c r="DI310" s="79"/>
      <c r="DJ310" s="79"/>
      <c r="DK310" s="79"/>
      <c r="DL310" s="79"/>
      <c r="DM310" s="79"/>
      <c r="DN310" s="79"/>
      <c r="DO310" s="79"/>
      <c r="DP310" s="79"/>
      <c r="DQ310" s="79"/>
      <c r="DR310" s="79"/>
      <c r="DS310" s="79"/>
      <c r="DT310" s="79"/>
      <c r="DU310" s="79"/>
      <c r="DV310" s="79"/>
      <c r="DW310" s="79"/>
      <c r="DX310" s="79"/>
      <c r="DY310" s="79"/>
      <c r="DZ310" s="79"/>
      <c r="EA310" s="79"/>
      <c r="EB310" s="79"/>
      <c r="EC310" s="79"/>
      <c r="ED310" s="79"/>
      <c r="EE310" s="79"/>
      <c r="EF310" s="79"/>
      <c r="EG310" s="79"/>
      <c r="EH310" s="79"/>
      <c r="EI310" s="79"/>
      <c r="EJ310" s="79"/>
      <c r="EK310" s="79"/>
      <c r="EL310" s="79"/>
      <c r="EM310" s="79"/>
      <c r="EN310" s="79"/>
      <c r="EO310" s="79"/>
      <c r="EP310" s="79"/>
      <c r="EQ310" s="79"/>
      <c r="ER310" s="79"/>
      <c r="ES310" s="79"/>
      <c r="ET310" s="79"/>
      <c r="EU310" s="79"/>
      <c r="EV310" s="79"/>
      <c r="EW310" s="79"/>
      <c r="EX310" s="79"/>
      <c r="EY310" s="79"/>
      <c r="EZ310" s="79"/>
      <c r="FA310" s="79"/>
      <c r="FB310" s="79"/>
      <c r="FC310" s="79"/>
      <c r="FD310" s="79"/>
      <c r="FE310" s="79"/>
      <c r="FF310" s="79"/>
      <c r="FG310" s="79"/>
      <c r="FH310" s="79"/>
      <c r="FI310" s="79"/>
      <c r="FJ310" s="79"/>
      <c r="FK310" s="79"/>
      <c r="FL310" s="79"/>
      <c r="FM310" s="47"/>
      <c r="FN310" s="47"/>
      <c r="FO310" s="47"/>
      <c r="FP310" s="47"/>
      <c r="FQ310" s="47"/>
      <c r="FR310" s="47"/>
      <c r="FS310" s="47"/>
      <c r="FT310" s="47"/>
      <c r="FU310" s="47"/>
      <c r="FV310" s="47"/>
      <c r="FW310" s="47"/>
      <c r="FX310" s="47"/>
      <c r="FY310" s="32"/>
      <c r="FZ310" s="32"/>
      <c r="GA310" s="32"/>
      <c r="GB310" s="32"/>
      <c r="GC310" s="32"/>
      <c r="GD310" s="32"/>
      <c r="GE310" s="32"/>
      <c r="GF310" s="32"/>
      <c r="GG310" s="32"/>
      <c r="GH310" s="32"/>
      <c r="GI310" s="32"/>
      <c r="GJ310" s="32"/>
      <c r="GK310" s="32"/>
      <c r="GL310" s="32"/>
      <c r="GM310" s="49"/>
      <c r="GN310" s="49"/>
      <c r="GO310" s="49"/>
      <c r="GP310" s="49"/>
      <c r="GQ310" s="49"/>
      <c r="GR310" s="49"/>
      <c r="GS310" s="49"/>
      <c r="GT310" s="49"/>
      <c r="GU310" s="49"/>
      <c r="GV310" s="49"/>
      <c r="GW310" s="49"/>
      <c r="GX310" s="49"/>
      <c r="GY310" s="49"/>
      <c r="GZ310" s="49"/>
      <c r="HA310" s="49"/>
      <c r="HB310" s="49"/>
      <c r="HC310" s="49"/>
      <c r="HD310" s="49"/>
      <c r="HE310" s="49"/>
      <c r="HF310" s="49"/>
      <c r="HG310" s="49"/>
      <c r="HH310" s="49"/>
      <c r="HI310" s="49"/>
      <c r="HJ310" s="49"/>
      <c r="HK310" s="49"/>
      <c r="HL310" s="49"/>
      <c r="HM310" s="49"/>
      <c r="HN310" s="49"/>
    </row>
    <row r="311" spans="1:222" ht="7.5" customHeight="1">
      <c r="A311" s="1"/>
      <c r="B311" s="3"/>
      <c r="C311" s="3"/>
      <c r="D311" s="38"/>
      <c r="E311" s="126"/>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26"/>
      <c r="AG311" s="126"/>
      <c r="AH311" s="126"/>
      <c r="AI311" s="126"/>
      <c r="AJ311" s="126"/>
      <c r="AK311" s="126"/>
      <c r="AL311" s="126"/>
      <c r="AM311" s="126"/>
      <c r="AN311" s="126"/>
      <c r="AO311" s="126"/>
      <c r="AP311" s="126"/>
      <c r="AQ311" s="126"/>
      <c r="AR311" s="126"/>
      <c r="AS311" s="79"/>
      <c r="AT311" s="79"/>
      <c r="AU311" s="43"/>
      <c r="AV311" s="43"/>
      <c r="AW311" s="43"/>
      <c r="AX311" s="43"/>
      <c r="AY311" s="43"/>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c r="BY311" s="126"/>
      <c r="BZ311" s="126"/>
      <c r="CA311" s="126"/>
      <c r="CB311" s="126"/>
      <c r="CC311" s="126"/>
      <c r="CD311" s="126"/>
      <c r="CE311" s="126"/>
      <c r="CF311" s="126"/>
      <c r="CG311" s="126"/>
      <c r="CH311" s="126"/>
      <c r="CI311" s="126"/>
      <c r="CJ311" s="126"/>
      <c r="CK311" s="126"/>
      <c r="CL311" s="126"/>
      <c r="CM311" s="126"/>
      <c r="CN311" s="126"/>
      <c r="CO311" s="126"/>
      <c r="CP311" s="126"/>
      <c r="CQ311" s="126"/>
      <c r="CR311" s="126"/>
      <c r="CS311" s="126"/>
      <c r="CT311" s="126"/>
      <c r="CU311" s="126"/>
      <c r="CV311" s="126"/>
      <c r="CW311" s="126"/>
      <c r="CX311" s="126"/>
      <c r="CY311" s="126"/>
      <c r="CZ311" s="126"/>
      <c r="DA311" s="126"/>
      <c r="DB311" s="126"/>
      <c r="DC311" s="126"/>
      <c r="DD311" s="126"/>
      <c r="DE311" s="126"/>
      <c r="DF311" s="126"/>
      <c r="DG311" s="126"/>
      <c r="DH311" s="126"/>
      <c r="DI311" s="126"/>
      <c r="DJ311" s="126"/>
      <c r="DK311" s="126"/>
      <c r="DL311" s="126"/>
      <c r="DM311" s="126"/>
      <c r="DN311" s="126"/>
      <c r="DO311" s="126"/>
      <c r="DP311" s="126"/>
      <c r="DQ311" s="126"/>
      <c r="DR311" s="126"/>
      <c r="DS311" s="126"/>
      <c r="DT311" s="126"/>
      <c r="DU311" s="126"/>
      <c r="DV311" s="126"/>
      <c r="DW311" s="126"/>
      <c r="DX311" s="126"/>
      <c r="DY311" s="126"/>
      <c r="DZ311" s="126"/>
      <c r="EA311" s="126"/>
      <c r="EB311" s="126"/>
      <c r="EC311" s="126"/>
      <c r="ED311" s="126"/>
      <c r="EE311" s="126"/>
      <c r="EF311" s="126"/>
      <c r="EG311" s="126"/>
      <c r="EH311" s="126"/>
      <c r="EI311" s="126"/>
      <c r="EJ311" s="126"/>
      <c r="EK311" s="126"/>
      <c r="EL311" s="126"/>
      <c r="EM311" s="126"/>
      <c r="EN311" s="126"/>
      <c r="EO311" s="126"/>
      <c r="EP311" s="126"/>
      <c r="EQ311" s="126"/>
      <c r="ER311" s="126"/>
      <c r="ES311" s="126"/>
      <c r="ET311" s="126"/>
      <c r="EU311" s="126"/>
      <c r="EV311" s="126"/>
      <c r="EW311" s="126"/>
      <c r="EX311" s="126"/>
      <c r="EY311" s="126"/>
      <c r="EZ311" s="126"/>
      <c r="FA311" s="126"/>
      <c r="FB311" s="126"/>
      <c r="FC311" s="126"/>
      <c r="FD311" s="126"/>
      <c r="FE311" s="10"/>
      <c r="FF311" s="10"/>
      <c r="FG311" s="10"/>
      <c r="FH311" s="10"/>
      <c r="FI311" s="10"/>
      <c r="FJ311" s="10"/>
      <c r="FK311" s="26"/>
      <c r="FL311" s="26"/>
      <c r="FM311" s="47"/>
      <c r="FN311" s="47"/>
      <c r="FO311" s="47"/>
      <c r="FP311" s="47"/>
      <c r="FQ311" s="47"/>
      <c r="FR311" s="47"/>
      <c r="FS311" s="47"/>
      <c r="FT311" s="47"/>
      <c r="FU311" s="49"/>
      <c r="FV311" s="49"/>
      <c r="FW311" s="49"/>
      <c r="FX311" s="49"/>
      <c r="FY311" s="32"/>
      <c r="FZ311" s="32"/>
      <c r="GA311" s="32"/>
      <c r="GB311" s="32"/>
      <c r="GC311" s="32"/>
      <c r="GD311" s="32"/>
      <c r="GE311" s="32"/>
      <c r="GF311" s="32"/>
      <c r="GG311" s="32"/>
      <c r="GH311" s="32"/>
      <c r="GI311" s="32"/>
      <c r="GJ311" s="32"/>
      <c r="GK311" s="32"/>
      <c r="GL311" s="32"/>
      <c r="GM311" s="49"/>
      <c r="GN311" s="49"/>
      <c r="GO311" s="49"/>
      <c r="GP311" s="49"/>
      <c r="GQ311" s="49"/>
      <c r="GR311" s="49"/>
      <c r="GS311" s="49"/>
      <c r="GT311" s="49"/>
      <c r="GU311" s="49"/>
      <c r="GV311" s="49"/>
      <c r="GW311" s="49"/>
      <c r="GX311" s="49"/>
      <c r="GY311" s="49"/>
      <c r="GZ311" s="49"/>
      <c r="HA311" s="49"/>
      <c r="HB311" s="49"/>
      <c r="HC311" s="49"/>
      <c r="HD311" s="49"/>
      <c r="HE311" s="49"/>
      <c r="HF311" s="49"/>
      <c r="HG311" s="49"/>
      <c r="HH311" s="49"/>
      <c r="HI311" s="49"/>
      <c r="HJ311" s="49"/>
      <c r="HK311" s="49"/>
      <c r="HL311" s="49"/>
      <c r="HM311" s="49"/>
      <c r="HN311" s="49"/>
    </row>
    <row r="312" spans="1:222" ht="3.75" customHeight="1">
      <c r="A312" s="1"/>
      <c r="B312" s="3"/>
      <c r="C312" s="3"/>
      <c r="D312" s="38"/>
      <c r="E312" s="126"/>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26"/>
      <c r="AG312" s="126"/>
      <c r="AH312" s="126"/>
      <c r="AI312" s="43"/>
      <c r="AJ312" s="43"/>
      <c r="AK312" s="43"/>
      <c r="AL312" s="43"/>
      <c r="AM312" s="43"/>
      <c r="AN312" s="43"/>
      <c r="AO312" s="43"/>
      <c r="AP312" s="43"/>
      <c r="AQ312" s="43"/>
      <c r="AR312" s="43"/>
      <c r="AS312" s="79"/>
      <c r="AT312" s="79"/>
      <c r="AU312" s="43"/>
      <c r="AV312" s="43"/>
      <c r="AW312" s="43"/>
      <c r="AX312" s="43"/>
      <c r="AY312" s="43"/>
      <c r="AZ312" s="43"/>
      <c r="BA312" s="43"/>
      <c r="BB312" s="538" t="str">
        <f ca="1">IF(FO303=0,"",".")</f>
        <v/>
      </c>
      <c r="BC312" s="545"/>
      <c r="BD312" s="545"/>
      <c r="BE312" s="545"/>
      <c r="BF312" s="545"/>
      <c r="BG312" s="545"/>
      <c r="BH312" s="545"/>
      <c r="BI312" s="545"/>
      <c r="BJ312" s="545"/>
      <c r="BK312" s="545"/>
      <c r="BL312" s="545"/>
      <c r="BM312" s="545"/>
      <c r="BN312" s="545"/>
      <c r="BO312" s="545"/>
      <c r="BP312" s="545"/>
      <c r="BQ312" s="545"/>
      <c r="BR312" s="545"/>
      <c r="BS312" s="545"/>
      <c r="BT312" s="545"/>
      <c r="BU312" s="545"/>
      <c r="BV312" s="545"/>
      <c r="BW312" s="545"/>
      <c r="BX312" s="545"/>
      <c r="BY312" s="545"/>
      <c r="BZ312" s="545"/>
      <c r="CA312" s="545"/>
      <c r="CB312" s="545"/>
      <c r="CC312" s="545"/>
      <c r="CD312" s="545"/>
      <c r="CE312" s="545"/>
      <c r="CF312" s="126"/>
      <c r="CG312" s="55"/>
      <c r="CH312" s="55"/>
      <c r="CI312" s="55"/>
      <c r="CJ312" s="55"/>
      <c r="CK312" s="55"/>
      <c r="CL312" s="55"/>
      <c r="CM312" s="55"/>
      <c r="CN312" s="55"/>
      <c r="CO312" s="55"/>
      <c r="CP312" s="219"/>
      <c r="CQ312" s="219"/>
      <c r="CR312" s="219"/>
      <c r="CS312" s="219"/>
      <c r="CT312" s="219"/>
      <c r="CU312" s="219"/>
      <c r="CV312" s="219"/>
      <c r="CW312" s="219"/>
      <c r="CX312" s="219"/>
      <c r="CY312" s="219"/>
      <c r="CZ312" s="219"/>
      <c r="DA312" s="219"/>
      <c r="DB312" s="219"/>
      <c r="DC312" s="219"/>
      <c r="DD312" s="219"/>
      <c r="DE312" s="219"/>
      <c r="DF312" s="219"/>
      <c r="DG312" s="218"/>
      <c r="DH312" s="218"/>
      <c r="DI312" s="218"/>
      <c r="DJ312" s="218"/>
      <c r="DK312" s="218"/>
      <c r="DL312" s="218"/>
      <c r="DM312" s="218"/>
      <c r="DN312" s="218"/>
      <c r="DO312" s="218"/>
      <c r="DP312" s="218"/>
      <c r="DQ312" s="218"/>
      <c r="DR312" s="218"/>
      <c r="DS312" s="218"/>
      <c r="DT312" s="218"/>
      <c r="DU312" s="218"/>
      <c r="DV312" s="218"/>
      <c r="DW312" s="218"/>
      <c r="DX312" s="218"/>
      <c r="DY312" s="218"/>
      <c r="DZ312" s="218"/>
      <c r="EA312" s="43"/>
      <c r="EB312" s="43"/>
      <c r="EC312" s="43"/>
      <c r="ED312" s="43"/>
      <c r="EE312" s="43"/>
      <c r="EF312" s="43"/>
      <c r="EG312" s="43"/>
      <c r="EH312" s="43"/>
      <c r="EI312" s="43"/>
      <c r="EJ312" s="43"/>
      <c r="EK312" s="43"/>
      <c r="EL312" s="43"/>
      <c r="EM312" s="43"/>
      <c r="EN312" s="43"/>
      <c r="EO312" s="43"/>
      <c r="EP312" s="43"/>
      <c r="EQ312" s="43"/>
      <c r="ER312" s="43"/>
      <c r="ES312" s="43"/>
      <c r="ET312" s="43"/>
      <c r="EU312" s="43"/>
      <c r="EV312" s="43"/>
      <c r="EW312" s="43"/>
      <c r="EX312" s="43"/>
      <c r="EY312" s="43"/>
      <c r="EZ312" s="43"/>
      <c r="FA312" s="43"/>
      <c r="FB312" s="43"/>
      <c r="FC312" s="43"/>
      <c r="FD312" s="126"/>
      <c r="FE312" s="10"/>
      <c r="FF312" s="10"/>
      <c r="FG312" s="10"/>
      <c r="FH312" s="10"/>
      <c r="FI312" s="10"/>
      <c r="FJ312" s="10"/>
      <c r="FK312" s="26"/>
      <c r="FL312" s="26"/>
      <c r="FM312" s="47"/>
      <c r="FN312" s="47"/>
      <c r="FO312" s="47"/>
      <c r="FP312" s="47"/>
      <c r="FQ312" s="47"/>
      <c r="FR312" s="47"/>
      <c r="FS312" s="47"/>
      <c r="FT312" s="47"/>
      <c r="FU312" s="49"/>
      <c r="FV312" s="49"/>
      <c r="FW312" s="49"/>
      <c r="FX312" s="49"/>
      <c r="FY312" s="32"/>
      <c r="FZ312" s="32"/>
      <c r="GA312" s="32"/>
      <c r="GB312" s="32"/>
      <c r="GC312" s="32"/>
      <c r="GD312" s="32"/>
      <c r="GE312" s="32"/>
      <c r="GF312" s="32"/>
      <c r="GG312" s="32"/>
      <c r="GH312" s="32"/>
      <c r="GI312" s="32"/>
      <c r="GJ312" s="32"/>
      <c r="GK312" s="32"/>
      <c r="GL312" s="32"/>
      <c r="GM312" s="49"/>
      <c r="GN312" s="49"/>
      <c r="GO312" s="49"/>
      <c r="GP312" s="49"/>
      <c r="GQ312" s="49"/>
      <c r="GR312" s="49"/>
      <c r="GS312" s="49"/>
      <c r="GT312" s="49"/>
      <c r="GU312" s="49"/>
      <c r="GV312" s="49"/>
      <c r="GW312" s="49"/>
      <c r="GX312" s="49"/>
      <c r="GY312" s="49"/>
      <c r="GZ312" s="49"/>
      <c r="HA312" s="49"/>
      <c r="HB312" s="49"/>
      <c r="HC312" s="49"/>
      <c r="HD312" s="49"/>
      <c r="HE312" s="49"/>
      <c r="HF312" s="49"/>
      <c r="HG312" s="49"/>
      <c r="HH312" s="49"/>
      <c r="HI312" s="49"/>
      <c r="HJ312" s="49"/>
      <c r="HK312" s="49"/>
      <c r="HL312" s="49"/>
      <c r="HM312" s="49"/>
      <c r="HN312" s="49"/>
    </row>
    <row r="313" spans="1:222" ht="16.5" customHeight="1">
      <c r="A313" s="1"/>
      <c r="B313" s="476"/>
      <c r="C313" s="3"/>
      <c r="D313" s="43"/>
      <c r="E313" s="126"/>
      <c r="F313" s="10"/>
      <c r="G313" s="10"/>
      <c r="H313" s="10"/>
      <c r="I313" s="10"/>
      <c r="J313" s="79"/>
      <c r="K313" s="10"/>
      <c r="L313" s="10"/>
      <c r="M313" s="10"/>
      <c r="N313" s="10"/>
      <c r="O313" s="10"/>
      <c r="P313" s="10"/>
      <c r="Q313" s="10"/>
      <c r="R313" s="10"/>
      <c r="S313" s="10"/>
      <c r="T313" s="10"/>
      <c r="U313" s="10"/>
      <c r="V313" s="10"/>
      <c r="W313" s="10"/>
      <c r="X313" s="10"/>
      <c r="Y313" s="10"/>
      <c r="Z313" s="10"/>
      <c r="AA313" s="10"/>
      <c r="AB313" s="10"/>
      <c r="AC313" s="10"/>
      <c r="AD313" s="10"/>
      <c r="AE313" s="10"/>
      <c r="AF313" s="126"/>
      <c r="AG313" s="126"/>
      <c r="AH313" s="126"/>
      <c r="AI313" s="43"/>
      <c r="AJ313" s="43"/>
      <c r="AK313" s="43"/>
      <c r="AL313" s="43"/>
      <c r="AM313" s="43"/>
      <c r="AN313" s="43"/>
      <c r="AO313" s="43"/>
      <c r="AP313" s="43"/>
      <c r="AQ313" s="43"/>
      <c r="AR313" s="43"/>
      <c r="AS313" s="79"/>
      <c r="AT313" s="79"/>
      <c r="AU313" s="43"/>
      <c r="AV313" s="43"/>
      <c r="AW313" s="43"/>
      <c r="AX313" s="43"/>
      <c r="AY313" s="43"/>
      <c r="AZ313" s="184" t="str">
        <f ca="1">IF(FO303=0,"","De aangeboden hoeveelheid is:")</f>
        <v/>
      </c>
      <c r="BA313" s="43"/>
      <c r="BB313" s="195" t="str">
        <f ca="1">IF(FO303=0,"",".")</f>
        <v/>
      </c>
      <c r="BC313" s="702"/>
      <c r="BD313" s="703"/>
      <c r="BE313" s="703"/>
      <c r="BF313" s="703"/>
      <c r="BG313" s="703"/>
      <c r="BH313" s="703"/>
      <c r="BI313" s="703"/>
      <c r="BJ313" s="703"/>
      <c r="BK313" s="703"/>
      <c r="BL313" s="703"/>
      <c r="BM313" s="703"/>
      <c r="BN313" s="703"/>
      <c r="BO313" s="703"/>
      <c r="BP313" s="703"/>
      <c r="BQ313" s="703"/>
      <c r="BR313" s="703"/>
      <c r="BS313" s="703"/>
      <c r="BT313" s="703"/>
      <c r="BU313" s="703"/>
      <c r="BV313" s="703"/>
      <c r="BW313" s="703"/>
      <c r="BX313" s="703"/>
      <c r="BY313" s="615"/>
      <c r="BZ313" s="615"/>
      <c r="CA313" s="615"/>
      <c r="CB313" s="615"/>
      <c r="CC313" s="615"/>
      <c r="CD313" s="615"/>
      <c r="CE313" s="195" t="str">
        <f ca="1">IF(FO303=0,"",".")</f>
        <v/>
      </c>
      <c r="CF313" s="126"/>
      <c r="CG313" s="186" t="str">
        <f ca="1">IF(FO303=0,"",IF(BC313="","",IF(AND(programma!$A$301="uitwerking",$B313="X"),FM313,IF(AND(BC313&gt;FP313-0.00001,BC313&lt;FP313+0.00001),"Goed!",IF(AND(BC313&gt;=FP313-0.1,BC313&lt;=FP313+0.1),"Je hebt niet goed afgerond!","Fout! Probeer het opnieuw.")))))</f>
        <v/>
      </c>
      <c r="CH313" s="55"/>
      <c r="CI313" s="55"/>
      <c r="CJ313" s="55"/>
      <c r="CK313" s="55"/>
      <c r="CL313" s="55"/>
      <c r="CM313" s="55"/>
      <c r="CN313" s="55"/>
      <c r="CO313" s="55"/>
      <c r="CP313" s="219"/>
      <c r="CQ313" s="219"/>
      <c r="CR313" s="219"/>
      <c r="CS313" s="219"/>
      <c r="CT313" s="219"/>
      <c r="CU313" s="219"/>
      <c r="CV313" s="219"/>
      <c r="CW313" s="219"/>
      <c r="CX313" s="219"/>
      <c r="CY313" s="219"/>
      <c r="CZ313" s="219"/>
      <c r="DA313" s="219"/>
      <c r="DB313" s="219"/>
      <c r="DC313" s="219"/>
      <c r="DD313" s="219"/>
      <c r="DE313" s="219"/>
      <c r="DF313" s="219"/>
      <c r="DG313" s="218"/>
      <c r="DH313" s="218"/>
      <c r="DI313" s="218"/>
      <c r="DJ313" s="218"/>
      <c r="DK313" s="218"/>
      <c r="DL313" s="218"/>
      <c r="DM313" s="218"/>
      <c r="DN313" s="218"/>
      <c r="DO313" s="218"/>
      <c r="DP313" s="218"/>
      <c r="DQ313" s="218"/>
      <c r="DR313" s="218"/>
      <c r="DS313" s="218"/>
      <c r="DT313" s="218"/>
      <c r="DU313" s="218"/>
      <c r="DV313" s="218"/>
      <c r="DW313" s="218"/>
      <c r="DX313" s="218"/>
      <c r="DY313" s="218"/>
      <c r="DZ313" s="218"/>
      <c r="EA313" s="43"/>
      <c r="EB313" s="43"/>
      <c r="EC313" s="43"/>
      <c r="ED313" s="43"/>
      <c r="EE313" s="43"/>
      <c r="EF313" s="43"/>
      <c r="EG313" s="43"/>
      <c r="EH313" s="43"/>
      <c r="EI313" s="43"/>
      <c r="EJ313" s="43"/>
      <c r="EK313" s="43"/>
      <c r="EL313" s="43"/>
      <c r="EM313" s="43"/>
      <c r="EN313" s="43"/>
      <c r="EO313" s="43"/>
      <c r="EP313" s="43"/>
      <c r="EQ313" s="43"/>
      <c r="ER313" s="43"/>
      <c r="ES313" s="43"/>
      <c r="ET313" s="43"/>
      <c r="EU313" s="43"/>
      <c r="EV313" s="43"/>
      <c r="EW313" s="43"/>
      <c r="EX313" s="43"/>
      <c r="EY313" s="43"/>
      <c r="EZ313" s="43"/>
      <c r="FA313" s="43"/>
      <c r="FB313" s="43"/>
      <c r="FC313" s="43"/>
      <c r="FD313" s="126"/>
      <c r="FE313" s="10"/>
      <c r="FF313" s="10"/>
      <c r="FG313" s="10"/>
      <c r="FH313" s="10"/>
      <c r="FI313" s="10"/>
      <c r="FJ313" s="10"/>
      <c r="FK313" s="26"/>
      <c r="FL313" s="26"/>
      <c r="FM313" s="473" t="e">
        <f ca="1">"MO = MK dus -"&amp;2*BQ281&amp;"q + "&amp;BQ287&amp;" = "&amp;BQ297&amp;" dus q = "&amp;BQ297-BQ287&amp;" / "&amp;-2*BQ281&amp;" wordt "&amp;FP313</f>
        <v>#DIV/0!</v>
      </c>
      <c r="FN313" s="47"/>
      <c r="FO313" s="48">
        <f ca="1">IF(programma!B1="X",1,IF(FO303=0,0,IF(AND(BC313&gt;FP313-0.00001,BC313&lt;FP313+0.00001),1,0)))</f>
        <v>0</v>
      </c>
      <c r="FP313" s="48" t="e">
        <f ca="1">IF(FO1=0,"",ROUND((FR313-FT313)/(FQ313+FS313),0))</f>
        <v>#DIV/0!</v>
      </c>
      <c r="FQ313" s="48">
        <f>2*FS306</f>
        <v>0</v>
      </c>
      <c r="FR313" s="48">
        <f>FT306</f>
        <v>0</v>
      </c>
      <c r="FS313" s="48">
        <f>2*FU306</f>
        <v>0</v>
      </c>
      <c r="FT313" s="48">
        <f>FV306</f>
        <v>0</v>
      </c>
      <c r="FU313" s="47"/>
      <c r="FV313" s="78"/>
      <c r="FW313" s="48"/>
      <c r="FX313" s="48"/>
      <c r="FY313" s="32"/>
      <c r="FZ313" s="32"/>
      <c r="GA313" s="32"/>
      <c r="GB313" s="32"/>
      <c r="GC313" s="32"/>
      <c r="GD313" s="32"/>
      <c r="GE313" s="32"/>
      <c r="GF313" s="32"/>
      <c r="GG313" s="32"/>
      <c r="GH313" s="32"/>
      <c r="GI313" s="32"/>
      <c r="GJ313" s="32"/>
      <c r="GK313" s="32"/>
      <c r="GL313" s="32"/>
      <c r="GM313" s="49"/>
      <c r="GN313" s="49"/>
      <c r="GO313" s="49"/>
      <c r="GP313" s="49"/>
      <c r="GQ313" s="49"/>
      <c r="GR313" s="49"/>
      <c r="GS313" s="49"/>
      <c r="GT313" s="49"/>
      <c r="GU313" s="49"/>
      <c r="GV313" s="49"/>
      <c r="GW313" s="49"/>
      <c r="GX313" s="49"/>
      <c r="GY313" s="49"/>
      <c r="GZ313" s="49"/>
      <c r="HA313" s="49"/>
      <c r="HB313" s="49"/>
      <c r="HC313" s="49"/>
      <c r="HD313" s="49"/>
      <c r="HE313" s="49"/>
      <c r="HF313" s="49"/>
      <c r="HG313" s="49"/>
      <c r="HH313" s="49"/>
      <c r="HI313" s="49"/>
      <c r="HJ313" s="49"/>
      <c r="HK313" s="49"/>
      <c r="HL313" s="49"/>
      <c r="HM313" s="49"/>
      <c r="HN313" s="49"/>
    </row>
    <row r="314" spans="1:222" ht="3.75" customHeight="1">
      <c r="A314" s="1"/>
      <c r="B314" s="3"/>
      <c r="C314" s="3"/>
      <c r="D314" s="38"/>
      <c r="E314" s="126"/>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26"/>
      <c r="AG314" s="126"/>
      <c r="AH314" s="126"/>
      <c r="AI314" s="43"/>
      <c r="AJ314" s="43"/>
      <c r="AK314" s="43"/>
      <c r="AL314" s="43"/>
      <c r="AM314" s="43"/>
      <c r="AN314" s="43"/>
      <c r="AO314" s="43"/>
      <c r="AP314" s="43"/>
      <c r="AQ314" s="43"/>
      <c r="AR314" s="43"/>
      <c r="AS314" s="79"/>
      <c r="AT314" s="79"/>
      <c r="AU314" s="43"/>
      <c r="AV314" s="43"/>
      <c r="AW314" s="43"/>
      <c r="AX314" s="43"/>
      <c r="AY314" s="43"/>
      <c r="AZ314" s="43"/>
      <c r="BA314" s="43"/>
      <c r="BB314" s="538" t="str">
        <f ca="1">IF(FO303=0,"",".")</f>
        <v/>
      </c>
      <c r="BC314" s="545"/>
      <c r="BD314" s="545"/>
      <c r="BE314" s="545"/>
      <c r="BF314" s="545"/>
      <c r="BG314" s="545"/>
      <c r="BH314" s="545"/>
      <c r="BI314" s="545"/>
      <c r="BJ314" s="545"/>
      <c r="BK314" s="545"/>
      <c r="BL314" s="545"/>
      <c r="BM314" s="545"/>
      <c r="BN314" s="545"/>
      <c r="BO314" s="545"/>
      <c r="BP314" s="545"/>
      <c r="BQ314" s="545"/>
      <c r="BR314" s="545"/>
      <c r="BS314" s="545"/>
      <c r="BT314" s="545"/>
      <c r="BU314" s="545"/>
      <c r="BV314" s="545"/>
      <c r="BW314" s="545"/>
      <c r="BX314" s="545"/>
      <c r="BY314" s="545"/>
      <c r="BZ314" s="545"/>
      <c r="CA314" s="545"/>
      <c r="CB314" s="545"/>
      <c r="CC314" s="545"/>
      <c r="CD314" s="545"/>
      <c r="CE314" s="545"/>
      <c r="CF314" s="126"/>
      <c r="CG314" s="126"/>
      <c r="CH314" s="126"/>
      <c r="CI314" s="126"/>
      <c r="CJ314" s="43"/>
      <c r="CK314" s="43"/>
      <c r="CL314" s="43"/>
      <c r="CM314" s="43"/>
      <c r="CN314" s="43"/>
      <c r="CO314" s="43"/>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43"/>
      <c r="DL314" s="43"/>
      <c r="DM314" s="43"/>
      <c r="DN314" s="43"/>
      <c r="DO314" s="43"/>
      <c r="DP314" s="43"/>
      <c r="DQ314" s="43"/>
      <c r="DR314" s="43"/>
      <c r="DS314" s="43"/>
      <c r="DT314" s="43"/>
      <c r="DU314" s="43"/>
      <c r="DV314" s="43"/>
      <c r="DW314" s="43"/>
      <c r="DX314" s="43"/>
      <c r="DY314" s="43"/>
      <c r="DZ314" s="43"/>
      <c r="EA314" s="43"/>
      <c r="EB314" s="43"/>
      <c r="EC314" s="43"/>
      <c r="ED314" s="43"/>
      <c r="EE314" s="43"/>
      <c r="EF314" s="43"/>
      <c r="EG314" s="43"/>
      <c r="EH314" s="43"/>
      <c r="EI314" s="43"/>
      <c r="EJ314" s="43"/>
      <c r="EK314" s="43"/>
      <c r="EL314" s="43"/>
      <c r="EM314" s="43"/>
      <c r="EN314" s="43"/>
      <c r="EO314" s="43"/>
      <c r="EP314" s="43"/>
      <c r="EQ314" s="43"/>
      <c r="ER314" s="43"/>
      <c r="ES314" s="43"/>
      <c r="ET314" s="43"/>
      <c r="EU314" s="43"/>
      <c r="EV314" s="43"/>
      <c r="EW314" s="43"/>
      <c r="EX314" s="43"/>
      <c r="EY314" s="43"/>
      <c r="EZ314" s="43"/>
      <c r="FA314" s="43"/>
      <c r="FB314" s="43"/>
      <c r="FC314" s="43"/>
      <c r="FD314" s="126"/>
      <c r="FE314" s="10"/>
      <c r="FF314" s="10"/>
      <c r="FG314" s="10"/>
      <c r="FH314" s="10"/>
      <c r="FI314" s="10"/>
      <c r="FJ314" s="10"/>
      <c r="FK314" s="26"/>
      <c r="FL314" s="26"/>
      <c r="FM314" s="47"/>
      <c r="FN314" s="47"/>
      <c r="FO314" s="47"/>
      <c r="FP314" s="47"/>
      <c r="FQ314" s="47"/>
      <c r="FR314" s="47"/>
      <c r="FS314" s="47"/>
      <c r="FT314" s="47"/>
      <c r="FU314" s="49"/>
      <c r="FV314" s="49"/>
      <c r="FW314" s="49"/>
      <c r="FX314" s="49"/>
      <c r="FY314" s="32"/>
      <c r="FZ314" s="32"/>
      <c r="GA314" s="32"/>
      <c r="GB314" s="32"/>
      <c r="GC314" s="32"/>
      <c r="GD314" s="32"/>
      <c r="GE314" s="32"/>
      <c r="GF314" s="32"/>
      <c r="GG314" s="32"/>
      <c r="GH314" s="32"/>
      <c r="GI314" s="32"/>
      <c r="GJ314" s="32"/>
      <c r="GK314" s="32"/>
      <c r="GL314" s="32"/>
      <c r="GM314" s="49"/>
      <c r="GN314" s="49"/>
      <c r="GO314" s="49"/>
      <c r="GP314" s="49"/>
      <c r="GQ314" s="49"/>
      <c r="GR314" s="49"/>
      <c r="GS314" s="49"/>
      <c r="GT314" s="49"/>
      <c r="GU314" s="49"/>
      <c r="GV314" s="49"/>
      <c r="GW314" s="49"/>
      <c r="GX314" s="49"/>
      <c r="GY314" s="49"/>
      <c r="GZ314" s="49"/>
      <c r="HA314" s="49"/>
      <c r="HB314" s="49"/>
      <c r="HC314" s="49"/>
      <c r="HD314" s="49"/>
      <c r="HE314" s="49"/>
      <c r="HF314" s="49"/>
      <c r="HG314" s="49"/>
      <c r="HH314" s="49"/>
      <c r="HI314" s="49"/>
      <c r="HJ314" s="49"/>
      <c r="HK314" s="49"/>
      <c r="HL314" s="49"/>
      <c r="HM314" s="49"/>
      <c r="HN314" s="49"/>
    </row>
    <row r="315" spans="1:222" ht="9.75" customHeight="1">
      <c r="A315" s="1"/>
      <c r="B315" s="3"/>
      <c r="C315" s="3"/>
      <c r="D315" s="12"/>
      <c r="E315" s="12"/>
      <c r="F315" s="10"/>
      <c r="G315" s="10"/>
      <c r="H315" s="10"/>
      <c r="I315" s="10"/>
      <c r="J315" s="10"/>
      <c r="K315" s="10"/>
      <c r="L315" s="10"/>
      <c r="M315" s="10"/>
      <c r="N315" s="10"/>
      <c r="O315" s="10"/>
      <c r="P315" s="10"/>
      <c r="Q315" s="25"/>
      <c r="R315" s="25"/>
      <c r="S315" s="10"/>
      <c r="T315" s="171"/>
      <c r="U315" s="197"/>
      <c r="V315" s="126"/>
      <c r="W315" s="126"/>
      <c r="X315" s="126"/>
      <c r="Y315" s="126"/>
      <c r="Z315" s="126"/>
      <c r="AA315" s="126"/>
      <c r="AB315" s="126"/>
      <c r="AC315" s="126"/>
      <c r="AD315" s="197"/>
      <c r="AE315" s="197"/>
      <c r="AF315" s="126"/>
      <c r="AG315" s="172"/>
      <c r="AH315" s="197"/>
      <c r="AI315" s="197"/>
      <c r="AJ315" s="197"/>
      <c r="AK315" s="43"/>
      <c r="AL315" s="43"/>
      <c r="AM315" s="43"/>
      <c r="AN315" s="197"/>
      <c r="AO315" s="197"/>
      <c r="AP315" s="197"/>
      <c r="AQ315" s="197"/>
      <c r="AR315" s="197"/>
      <c r="AS315" s="197"/>
      <c r="AT315" s="197"/>
      <c r="AU315" s="197"/>
      <c r="AV315" s="197"/>
      <c r="AW315" s="197"/>
      <c r="AX315" s="197"/>
      <c r="AY315" s="197"/>
      <c r="AZ315" s="197"/>
      <c r="BA315" s="197"/>
      <c r="BB315" s="197"/>
      <c r="BC315" s="197"/>
      <c r="BD315" s="197"/>
      <c r="BE315" s="197"/>
      <c r="BF315" s="197"/>
      <c r="BG315" s="197"/>
      <c r="BH315" s="197"/>
      <c r="BI315" s="178"/>
      <c r="BJ315" s="178"/>
      <c r="BK315" s="214"/>
      <c r="BL315" s="197"/>
      <c r="BM315" s="197"/>
      <c r="BN315" s="197"/>
      <c r="BO315" s="172"/>
      <c r="BP315" s="172"/>
      <c r="BQ315" s="126"/>
      <c r="BR315" s="126"/>
      <c r="BS315" s="43"/>
      <c r="BT315" s="43"/>
      <c r="BU315" s="43"/>
      <c r="BV315" s="43"/>
      <c r="BW315" s="43"/>
      <c r="BX315" s="43"/>
      <c r="BY315" s="43"/>
      <c r="BZ315" s="43"/>
      <c r="CA315" s="43"/>
      <c r="CB315" s="43"/>
      <c r="CC315" s="43"/>
      <c r="CD315" s="43"/>
      <c r="CE315" s="43"/>
      <c r="CF315" s="43"/>
      <c r="CG315" s="43"/>
      <c r="CH315" s="43"/>
      <c r="CI315" s="43"/>
      <c r="CJ315" s="43"/>
      <c r="CK315" s="126"/>
      <c r="CL315" s="126"/>
      <c r="CM315" s="126"/>
      <c r="CN315" s="197"/>
      <c r="CO315" s="197"/>
      <c r="CP315" s="126"/>
      <c r="CQ315" s="172"/>
      <c r="CR315" s="197"/>
      <c r="CS315" s="197"/>
      <c r="CT315" s="197"/>
      <c r="CU315" s="43"/>
      <c r="CV315" s="43"/>
      <c r="CW315" s="43"/>
      <c r="CX315" s="43"/>
      <c r="CY315" s="43"/>
      <c r="CZ315" s="43"/>
      <c r="DA315" s="43"/>
      <c r="DB315" s="106"/>
      <c r="DC315" s="106"/>
      <c r="DD315" s="126"/>
      <c r="DE315" s="126"/>
      <c r="DF315" s="126"/>
      <c r="DG315" s="126"/>
      <c r="DH315" s="126"/>
      <c r="DI315" s="126"/>
      <c r="DJ315" s="126"/>
      <c r="DK315" s="126"/>
      <c r="DL315" s="126"/>
      <c r="DM315" s="126"/>
      <c r="DN315" s="126"/>
      <c r="DO315" s="126"/>
      <c r="DP315" s="126"/>
      <c r="DQ315" s="126"/>
      <c r="DR315" s="126"/>
      <c r="DS315" s="126"/>
      <c r="DT315" s="126"/>
      <c r="DU315" s="126"/>
      <c r="DV315" s="197"/>
      <c r="DW315" s="197"/>
      <c r="DX315" s="197"/>
      <c r="DY315" s="172"/>
      <c r="DZ315" s="172"/>
      <c r="EA315" s="126"/>
      <c r="EB315" s="126"/>
      <c r="EC315" s="214"/>
      <c r="ED315" s="214"/>
      <c r="EE315" s="214"/>
      <c r="EF315" s="214"/>
      <c r="EG315" s="214"/>
      <c r="EH315" s="214"/>
      <c r="EI315" s="214"/>
      <c r="EJ315" s="214"/>
      <c r="EK315" s="214"/>
      <c r="EL315" s="214"/>
      <c r="EM315" s="214"/>
      <c r="EN315" s="214"/>
      <c r="EO315" s="214"/>
      <c r="EP315" s="214"/>
      <c r="EQ315" s="214"/>
      <c r="ER315" s="214"/>
      <c r="ES315" s="214"/>
      <c r="ET315" s="214"/>
      <c r="EU315" s="197"/>
      <c r="EV315" s="126"/>
      <c r="EW315" s="126"/>
      <c r="EX315" s="126"/>
      <c r="EY315" s="126"/>
      <c r="EZ315" s="126"/>
      <c r="FA315" s="126"/>
      <c r="FB315" s="126"/>
      <c r="FC315" s="10"/>
      <c r="FD315" s="10"/>
      <c r="FE315" s="10"/>
      <c r="FF315" s="10"/>
      <c r="FG315" s="10"/>
      <c r="FH315" s="26"/>
      <c r="FI315" s="26"/>
      <c r="FJ315" s="26"/>
      <c r="FK315" s="26"/>
      <c r="FL315" s="10"/>
      <c r="FM315" s="183"/>
      <c r="FN315" s="183"/>
      <c r="FO315" s="185"/>
      <c r="FP315" s="183"/>
      <c r="FQ315" s="183"/>
      <c r="FR315" s="183"/>
      <c r="FS315" s="183"/>
      <c r="FT315" s="183"/>
      <c r="FU315" s="183"/>
      <c r="FV315" s="183"/>
      <c r="FW315" s="183"/>
      <c r="FX315" s="183"/>
      <c r="FY315" s="32"/>
      <c r="FZ315" s="32"/>
      <c r="GA315" s="32"/>
      <c r="GB315" s="32"/>
      <c r="GC315" s="32"/>
      <c r="GD315" s="32"/>
      <c r="GE315" s="32"/>
      <c r="GF315" s="32"/>
      <c r="GG315" s="32"/>
      <c r="GH315" s="32"/>
      <c r="GI315" s="32"/>
      <c r="GJ315" s="32"/>
      <c r="GK315" s="32"/>
      <c r="GL315" s="32"/>
      <c r="GM315" s="49"/>
      <c r="GN315" s="49"/>
      <c r="GO315" s="49"/>
      <c r="GP315" s="49"/>
      <c r="GQ315" s="49"/>
      <c r="GR315" s="49"/>
      <c r="GS315" s="49"/>
      <c r="GT315" s="49"/>
      <c r="GU315" s="49"/>
      <c r="GV315" s="78"/>
      <c r="GW315" s="78"/>
      <c r="GX315" s="78"/>
      <c r="GY315" s="78"/>
      <c r="GZ315" s="78"/>
      <c r="HA315" s="78"/>
      <c r="HB315" s="78"/>
      <c r="HC315" s="78"/>
      <c r="HD315" s="78"/>
      <c r="HE315" s="78"/>
      <c r="HF315" s="78"/>
      <c r="HG315" s="78"/>
      <c r="HH315" s="78"/>
      <c r="HI315" s="78"/>
      <c r="HJ315" s="78"/>
      <c r="HK315" s="78"/>
      <c r="HL315" s="78"/>
      <c r="HM315" s="78"/>
      <c r="HN315" s="78"/>
    </row>
    <row r="316" spans="1:222" ht="16.5" customHeight="1">
      <c r="A316" s="1"/>
      <c r="B316" s="3"/>
      <c r="C316" s="3"/>
      <c r="D316" s="124" t="str">
        <f ca="1">IF(FO313=0,"","Hoeveel is dan de prijs? Rond het antwoord af op eurocenten.")</f>
        <v/>
      </c>
      <c r="E316" s="38"/>
      <c r="F316" s="38"/>
      <c r="G316" s="38"/>
      <c r="H316" s="38"/>
      <c r="I316" s="38"/>
      <c r="J316" s="126"/>
      <c r="K316" s="126"/>
      <c r="L316" s="126"/>
      <c r="M316" s="126"/>
      <c r="N316" s="126"/>
      <c r="O316" s="126"/>
      <c r="P316" s="126"/>
      <c r="Q316" s="126"/>
      <c r="R316" s="126"/>
      <c r="S316" s="126"/>
      <c r="T316" s="126"/>
      <c r="U316" s="126"/>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126"/>
      <c r="CQ316" s="126"/>
      <c r="CR316" s="126"/>
      <c r="CS316" s="126"/>
      <c r="CT316" s="126"/>
      <c r="CU316" s="126"/>
      <c r="CV316" s="126"/>
      <c r="CW316" s="126"/>
      <c r="CX316" s="126"/>
      <c r="CY316" s="126"/>
      <c r="CZ316" s="126"/>
      <c r="DA316" s="126"/>
      <c r="DB316" s="126"/>
      <c r="DC316" s="126"/>
      <c r="DD316" s="126"/>
      <c r="DE316" s="126"/>
      <c r="DF316" s="126"/>
      <c r="DG316" s="126"/>
      <c r="DH316" s="126"/>
      <c r="DI316" s="126"/>
      <c r="DJ316" s="126"/>
      <c r="DK316" s="126"/>
      <c r="DL316" s="126"/>
      <c r="DM316" s="126"/>
      <c r="DN316" s="126"/>
      <c r="DO316" s="126"/>
      <c r="DP316" s="126"/>
      <c r="DQ316" s="126"/>
      <c r="DR316" s="126"/>
      <c r="DS316" s="126"/>
      <c r="DT316" s="126"/>
      <c r="DU316" s="126"/>
      <c r="DV316" s="126"/>
      <c r="DW316" s="126"/>
      <c r="DX316" s="126"/>
      <c r="DY316" s="126"/>
      <c r="DZ316" s="126"/>
      <c r="EA316" s="126"/>
      <c r="EB316" s="126"/>
      <c r="EC316" s="126"/>
      <c r="ED316" s="126"/>
      <c r="EE316" s="126"/>
      <c r="EF316" s="126"/>
      <c r="EG316" s="126"/>
      <c r="EH316" s="126"/>
      <c r="EI316" s="126"/>
      <c r="EJ316" s="126"/>
      <c r="EK316" s="126"/>
      <c r="EL316" s="126"/>
      <c r="EM316" s="126"/>
      <c r="EN316" s="126"/>
      <c r="EO316" s="126"/>
      <c r="EP316" s="126"/>
      <c r="EQ316" s="126"/>
      <c r="ER316" s="126"/>
      <c r="ES316" s="126"/>
      <c r="ET316" s="126"/>
      <c r="EU316" s="126"/>
      <c r="EV316" s="126"/>
      <c r="EW316" s="126"/>
      <c r="EX316" s="126"/>
      <c r="EY316" s="126"/>
      <c r="EZ316" s="126"/>
      <c r="FA316" s="43"/>
      <c r="FB316" s="43"/>
      <c r="FC316" s="43"/>
      <c r="FD316" s="43"/>
      <c r="FE316" s="43"/>
      <c r="FF316" s="43"/>
      <c r="FG316" s="43"/>
      <c r="FH316" s="43"/>
      <c r="FI316" s="79"/>
      <c r="FJ316" s="79"/>
      <c r="FK316" s="79"/>
      <c r="FL316" s="79"/>
      <c r="FM316" s="338"/>
      <c r="FN316" s="78"/>
      <c r="FO316" s="78"/>
      <c r="FP316" s="78"/>
      <c r="FQ316" s="78"/>
      <c r="FR316" s="78"/>
      <c r="FS316" s="78"/>
      <c r="FT316" s="78"/>
      <c r="FU316" s="78"/>
      <c r="FV316" s="78"/>
      <c r="FW316" s="78"/>
      <c r="FX316" s="78"/>
      <c r="FY316" s="32"/>
      <c r="FZ316" s="32"/>
      <c r="GA316" s="32"/>
      <c r="GB316" s="32"/>
      <c r="GC316" s="32"/>
      <c r="GD316" s="32"/>
      <c r="GE316" s="32"/>
      <c r="GF316" s="32"/>
      <c r="GG316" s="32"/>
      <c r="GH316" s="32"/>
      <c r="GI316" s="32"/>
      <c r="GJ316" s="32"/>
      <c r="GK316" s="32"/>
      <c r="GL316" s="32"/>
      <c r="GM316" s="49"/>
      <c r="GN316" s="49"/>
      <c r="GO316" s="49"/>
      <c r="GP316" s="49"/>
      <c r="GQ316" s="49"/>
      <c r="GR316" s="49"/>
      <c r="GS316" s="49"/>
      <c r="GT316" s="49"/>
      <c r="GU316" s="49"/>
      <c r="GV316" s="78"/>
      <c r="GW316" s="78"/>
      <c r="GX316" s="78"/>
      <c r="GY316" s="78"/>
      <c r="GZ316" s="78"/>
      <c r="HA316" s="78"/>
      <c r="HB316" s="78"/>
      <c r="HC316" s="78"/>
      <c r="HD316" s="78"/>
      <c r="HE316" s="78"/>
      <c r="HF316" s="78"/>
      <c r="HG316" s="78"/>
      <c r="HH316" s="78"/>
      <c r="HI316" s="78"/>
      <c r="HJ316" s="78"/>
      <c r="HK316" s="78"/>
      <c r="HL316" s="78"/>
      <c r="HM316" s="78"/>
      <c r="HN316" s="78"/>
    </row>
    <row r="317" spans="1:222" ht="7.5" customHeight="1">
      <c r="A317" s="1"/>
      <c r="B317" s="3"/>
      <c r="C317" s="3"/>
      <c r="D317" s="38"/>
      <c r="E317" s="126"/>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c r="BY317" s="126"/>
      <c r="BZ317" s="126"/>
      <c r="CA317" s="126"/>
      <c r="CB317" s="126"/>
      <c r="CC317" s="126"/>
      <c r="CD317" s="126"/>
      <c r="CE317" s="126"/>
      <c r="CF317" s="126"/>
      <c r="CG317" s="126"/>
      <c r="CH317" s="126"/>
      <c r="CI317" s="126"/>
      <c r="CJ317" s="126"/>
      <c r="CK317" s="126"/>
      <c r="CL317" s="126"/>
      <c r="CM317" s="126"/>
      <c r="CN317" s="126"/>
      <c r="CO317" s="126"/>
      <c r="CP317" s="126"/>
      <c r="CQ317" s="126"/>
      <c r="CR317" s="126"/>
      <c r="CS317" s="126"/>
      <c r="CT317" s="126"/>
      <c r="CU317" s="126"/>
      <c r="CV317" s="126"/>
      <c r="CW317" s="126"/>
      <c r="CX317" s="126"/>
      <c r="CY317" s="126"/>
      <c r="CZ317" s="126"/>
      <c r="DA317" s="126"/>
      <c r="DB317" s="126"/>
      <c r="DC317" s="126"/>
      <c r="DD317" s="126"/>
      <c r="DE317" s="126"/>
      <c r="DF317" s="126"/>
      <c r="DG317" s="126"/>
      <c r="DH317" s="126"/>
      <c r="DI317" s="126"/>
      <c r="DJ317" s="126"/>
      <c r="DK317" s="126"/>
      <c r="DL317" s="126"/>
      <c r="DM317" s="126"/>
      <c r="DN317" s="126"/>
      <c r="DO317" s="126"/>
      <c r="DP317" s="126"/>
      <c r="DQ317" s="126"/>
      <c r="DR317" s="126"/>
      <c r="DS317" s="126"/>
      <c r="DT317" s="126"/>
      <c r="DU317" s="126"/>
      <c r="DV317" s="126"/>
      <c r="DW317" s="126"/>
      <c r="DX317" s="126"/>
      <c r="DY317" s="126"/>
      <c r="DZ317" s="126"/>
      <c r="EA317" s="126"/>
      <c r="EB317" s="126"/>
      <c r="EC317" s="126"/>
      <c r="ED317" s="126"/>
      <c r="EE317" s="126"/>
      <c r="EF317" s="126"/>
      <c r="EG317" s="126"/>
      <c r="EH317" s="126"/>
      <c r="EI317" s="126"/>
      <c r="EJ317" s="126"/>
      <c r="EK317" s="126"/>
      <c r="EL317" s="126"/>
      <c r="EM317" s="126"/>
      <c r="EN317" s="126"/>
      <c r="EO317" s="126"/>
      <c r="EP317" s="126"/>
      <c r="EQ317" s="126"/>
      <c r="ER317" s="126"/>
      <c r="ES317" s="126"/>
      <c r="ET317" s="126"/>
      <c r="EU317" s="126"/>
      <c r="EV317" s="126"/>
      <c r="EW317" s="126"/>
      <c r="EX317" s="126"/>
      <c r="EY317" s="126"/>
      <c r="EZ317" s="126"/>
      <c r="FA317" s="126"/>
      <c r="FB317" s="126"/>
      <c r="FC317" s="126"/>
      <c r="FD317" s="126"/>
      <c r="FE317" s="10"/>
      <c r="FF317" s="10"/>
      <c r="FG317" s="10"/>
      <c r="FH317" s="10"/>
      <c r="FI317" s="10"/>
      <c r="FJ317" s="10"/>
      <c r="FK317" s="26"/>
      <c r="FL317" s="26"/>
      <c r="FM317" s="47"/>
      <c r="FN317" s="47"/>
      <c r="FO317" s="47"/>
      <c r="FP317" s="47"/>
      <c r="FQ317" s="47"/>
      <c r="FR317" s="47"/>
      <c r="FS317" s="47"/>
      <c r="FT317" s="47"/>
      <c r="FU317" s="49"/>
      <c r="FV317" s="49"/>
      <c r="FW317" s="49"/>
      <c r="FX317" s="49"/>
      <c r="FY317" s="32"/>
      <c r="FZ317" s="32"/>
      <c r="GA317" s="32"/>
      <c r="GB317" s="32"/>
      <c r="GC317" s="32"/>
      <c r="GD317" s="32"/>
      <c r="GE317" s="32"/>
      <c r="GF317" s="32"/>
      <c r="GG317" s="32"/>
      <c r="GH317" s="32"/>
      <c r="GI317" s="32"/>
      <c r="GJ317" s="32"/>
      <c r="GK317" s="32"/>
      <c r="GL317" s="32"/>
      <c r="GM317" s="49"/>
      <c r="GN317" s="49"/>
      <c r="GO317" s="49"/>
      <c r="GP317" s="49"/>
      <c r="GQ317" s="49"/>
      <c r="GR317" s="49"/>
      <c r="GS317" s="49"/>
      <c r="GT317" s="49"/>
      <c r="GU317" s="49"/>
      <c r="GV317" s="49"/>
      <c r="GW317" s="49"/>
      <c r="GX317" s="49"/>
      <c r="GY317" s="49"/>
      <c r="GZ317" s="49"/>
      <c r="HA317" s="49"/>
      <c r="HB317" s="49"/>
      <c r="HC317" s="49"/>
      <c r="HD317" s="49"/>
      <c r="HE317" s="49"/>
      <c r="HF317" s="49"/>
      <c r="HG317" s="49"/>
      <c r="HH317" s="49"/>
      <c r="HI317" s="49"/>
      <c r="HJ317" s="49"/>
      <c r="HK317" s="49"/>
      <c r="HL317" s="49"/>
      <c r="HM317" s="49"/>
      <c r="HN317" s="49"/>
    </row>
    <row r="318" spans="1:222" ht="3.75" customHeight="1">
      <c r="A318" s="1"/>
      <c r="B318" s="3"/>
      <c r="C318" s="3"/>
      <c r="D318" s="38"/>
      <c r="E318" s="126"/>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26"/>
      <c r="AG318" s="126"/>
      <c r="AH318" s="126"/>
      <c r="AI318" s="43"/>
      <c r="AJ318" s="43"/>
      <c r="AK318" s="43"/>
      <c r="AL318" s="43"/>
      <c r="AM318" s="43"/>
      <c r="AN318" s="43"/>
      <c r="AO318" s="43"/>
      <c r="AP318" s="43"/>
      <c r="AQ318" s="43"/>
      <c r="AR318" s="43"/>
      <c r="AS318" s="79"/>
      <c r="AT318" s="79"/>
      <c r="AU318" s="43"/>
      <c r="AV318" s="43"/>
      <c r="AW318" s="43"/>
      <c r="AX318" s="43"/>
      <c r="AY318" s="43"/>
      <c r="AZ318" s="43"/>
      <c r="BA318" s="43"/>
      <c r="BB318" s="538" t="str">
        <f ca="1">IF(FO313=0,"",".")</f>
        <v/>
      </c>
      <c r="BC318" s="545"/>
      <c r="BD318" s="545"/>
      <c r="BE318" s="545"/>
      <c r="BF318" s="545"/>
      <c r="BG318" s="545"/>
      <c r="BH318" s="545"/>
      <c r="BI318" s="545"/>
      <c r="BJ318" s="545"/>
      <c r="BK318" s="545"/>
      <c r="BL318" s="545"/>
      <c r="BM318" s="545"/>
      <c r="BN318" s="545"/>
      <c r="BO318" s="545"/>
      <c r="BP318" s="545"/>
      <c r="BQ318" s="545"/>
      <c r="BR318" s="545"/>
      <c r="BS318" s="545"/>
      <c r="BT318" s="545"/>
      <c r="BU318" s="545"/>
      <c r="BV318" s="545"/>
      <c r="BW318" s="545"/>
      <c r="BX318" s="545"/>
      <c r="BY318" s="545"/>
      <c r="BZ318" s="545"/>
      <c r="CA318" s="545"/>
      <c r="CB318" s="545"/>
      <c r="CC318" s="545"/>
      <c r="CD318" s="545"/>
      <c r="CE318" s="545"/>
      <c r="CF318" s="126"/>
      <c r="CG318" s="55"/>
      <c r="CH318" s="55"/>
      <c r="CI318" s="55"/>
      <c r="CJ318" s="55"/>
      <c r="CK318" s="55"/>
      <c r="CL318" s="55"/>
      <c r="CM318" s="55"/>
      <c r="CN318" s="55"/>
      <c r="CO318" s="55"/>
      <c r="CP318" s="219"/>
      <c r="CQ318" s="219"/>
      <c r="CR318" s="219"/>
      <c r="CS318" s="219"/>
      <c r="CT318" s="219"/>
      <c r="CU318" s="219"/>
      <c r="CV318" s="219"/>
      <c r="CW318" s="219"/>
      <c r="CX318" s="219"/>
      <c r="CY318" s="219"/>
      <c r="CZ318" s="219"/>
      <c r="DA318" s="219"/>
      <c r="DB318" s="219"/>
      <c r="DC318" s="219"/>
      <c r="DD318" s="219"/>
      <c r="DE318" s="219"/>
      <c r="DF318" s="219"/>
      <c r="DG318" s="218"/>
      <c r="DH318" s="218"/>
      <c r="DI318" s="218"/>
      <c r="DJ318" s="218"/>
      <c r="DK318" s="218"/>
      <c r="DL318" s="218"/>
      <c r="DM318" s="218"/>
      <c r="DN318" s="218"/>
      <c r="DO318" s="218"/>
      <c r="DP318" s="218"/>
      <c r="DQ318" s="218"/>
      <c r="DR318" s="218"/>
      <c r="DS318" s="218"/>
      <c r="DT318" s="218"/>
      <c r="DU318" s="218"/>
      <c r="DV318" s="218"/>
      <c r="DW318" s="218"/>
      <c r="DX318" s="218"/>
      <c r="DY318" s="218"/>
      <c r="DZ318" s="218"/>
      <c r="EA318" s="43"/>
      <c r="EB318" s="43"/>
      <c r="EC318" s="43"/>
      <c r="ED318" s="43"/>
      <c r="EE318" s="43"/>
      <c r="EF318" s="43"/>
      <c r="EG318" s="43"/>
      <c r="EH318" s="43"/>
      <c r="EI318" s="43"/>
      <c r="EJ318" s="43"/>
      <c r="EK318" s="43"/>
      <c r="EL318" s="43"/>
      <c r="EM318" s="43"/>
      <c r="EN318" s="43"/>
      <c r="EO318" s="43"/>
      <c r="EP318" s="43"/>
      <c r="EQ318" s="43"/>
      <c r="ER318" s="43"/>
      <c r="ES318" s="43"/>
      <c r="ET318" s="43"/>
      <c r="EU318" s="43"/>
      <c r="EV318" s="43"/>
      <c r="EW318" s="43"/>
      <c r="EX318" s="43"/>
      <c r="EY318" s="43"/>
      <c r="EZ318" s="43"/>
      <c r="FA318" s="43"/>
      <c r="FB318" s="43"/>
      <c r="FC318" s="43"/>
      <c r="FD318" s="126"/>
      <c r="FE318" s="10"/>
      <c r="FF318" s="10"/>
      <c r="FG318" s="10"/>
      <c r="FH318" s="10"/>
      <c r="FI318" s="10"/>
      <c r="FJ318" s="10"/>
      <c r="FK318" s="26"/>
      <c r="FL318" s="26"/>
      <c r="FM318" s="47"/>
      <c r="FN318" s="47"/>
      <c r="FO318" s="47"/>
      <c r="FP318" s="47"/>
      <c r="FQ318" s="47"/>
      <c r="FR318" s="47"/>
      <c r="FS318" s="47"/>
      <c r="FT318" s="47"/>
      <c r="FU318" s="49"/>
      <c r="FV318" s="49"/>
      <c r="FW318" s="49"/>
      <c r="FX318" s="49"/>
      <c r="FY318" s="32"/>
      <c r="FZ318" s="32"/>
      <c r="GA318" s="32"/>
      <c r="GB318" s="32"/>
      <c r="GC318" s="32"/>
      <c r="GD318" s="32"/>
      <c r="GE318" s="32"/>
      <c r="GF318" s="32"/>
      <c r="GG318" s="32"/>
      <c r="GH318" s="32"/>
      <c r="GI318" s="32"/>
      <c r="GJ318" s="32"/>
      <c r="GK318" s="32"/>
      <c r="GL318" s="32"/>
      <c r="GM318" s="49"/>
      <c r="GN318" s="49"/>
      <c r="GO318" s="49"/>
      <c r="GP318" s="49"/>
      <c r="GQ318" s="49"/>
      <c r="GR318" s="49"/>
      <c r="GS318" s="49"/>
      <c r="GT318" s="49"/>
      <c r="GU318" s="49"/>
      <c r="GV318" s="49"/>
      <c r="GW318" s="49"/>
      <c r="GX318" s="49"/>
      <c r="GY318" s="49"/>
      <c r="GZ318" s="49"/>
      <c r="HA318" s="49"/>
      <c r="HB318" s="49"/>
      <c r="HC318" s="49"/>
      <c r="HD318" s="49"/>
      <c r="HE318" s="49"/>
      <c r="HF318" s="49"/>
      <c r="HG318" s="49"/>
      <c r="HH318" s="49"/>
      <c r="HI318" s="49"/>
      <c r="HJ318" s="49"/>
      <c r="HK318" s="49"/>
      <c r="HL318" s="49"/>
      <c r="HM318" s="49"/>
      <c r="HN318" s="49"/>
    </row>
    <row r="319" spans="1:222" ht="16.5" customHeight="1">
      <c r="A319" s="1"/>
      <c r="B319" s="476"/>
      <c r="C319" s="3"/>
      <c r="D319" s="43"/>
      <c r="E319" s="126"/>
      <c r="F319" s="10"/>
      <c r="G319" s="10"/>
      <c r="H319" s="10"/>
      <c r="I319" s="10"/>
      <c r="J319" s="79"/>
      <c r="K319" s="10"/>
      <c r="L319" s="10"/>
      <c r="M319" s="10"/>
      <c r="N319" s="10"/>
      <c r="O319" s="10"/>
      <c r="P319" s="10"/>
      <c r="Q319" s="10"/>
      <c r="R319" s="10"/>
      <c r="S319" s="10"/>
      <c r="T319" s="10"/>
      <c r="U319" s="10"/>
      <c r="V319" s="10"/>
      <c r="W319" s="10"/>
      <c r="X319" s="10"/>
      <c r="Y319" s="10"/>
      <c r="Z319" s="10"/>
      <c r="AA319" s="10"/>
      <c r="AB319" s="10"/>
      <c r="AC319" s="10"/>
      <c r="AD319" s="10"/>
      <c r="AE319" s="10"/>
      <c r="AF319" s="126"/>
      <c r="AG319" s="126"/>
      <c r="AH319" s="126"/>
      <c r="AI319" s="43"/>
      <c r="AJ319" s="43"/>
      <c r="AK319" s="43"/>
      <c r="AL319" s="43"/>
      <c r="AM319" s="43"/>
      <c r="AN319" s="43"/>
      <c r="AO319" s="43"/>
      <c r="AP319" s="43"/>
      <c r="AQ319" s="43"/>
      <c r="AR319" s="43"/>
      <c r="AS319" s="79"/>
      <c r="AT319" s="79"/>
      <c r="AU319" s="43"/>
      <c r="AV319" s="43"/>
      <c r="AW319" s="43"/>
      <c r="AX319" s="43"/>
      <c r="AY319" s="43"/>
      <c r="AZ319" s="184" t="str">
        <f ca="1">IF(FO313=0,"","De prijs is:")</f>
        <v/>
      </c>
      <c r="BA319" s="43"/>
      <c r="BB319" s="195" t="str">
        <f ca="1">IF(FO313=0,"",".")</f>
        <v/>
      </c>
      <c r="BC319" s="698"/>
      <c r="BD319" s="699"/>
      <c r="BE319" s="699"/>
      <c r="BF319" s="699"/>
      <c r="BG319" s="699"/>
      <c r="BH319" s="699"/>
      <c r="BI319" s="699"/>
      <c r="BJ319" s="699"/>
      <c r="BK319" s="699"/>
      <c r="BL319" s="699"/>
      <c r="BM319" s="699"/>
      <c r="BN319" s="699"/>
      <c r="BO319" s="699"/>
      <c r="BP319" s="699"/>
      <c r="BQ319" s="699"/>
      <c r="BR319" s="699"/>
      <c r="BS319" s="699"/>
      <c r="BT319" s="699"/>
      <c r="BU319" s="699"/>
      <c r="BV319" s="699"/>
      <c r="BW319" s="699"/>
      <c r="BX319" s="699"/>
      <c r="BY319" s="700"/>
      <c r="BZ319" s="700"/>
      <c r="CA319" s="700"/>
      <c r="CB319" s="700"/>
      <c r="CC319" s="700"/>
      <c r="CD319" s="700"/>
      <c r="CE319" s="195" t="str">
        <f ca="1">IF(FO313=0,"",".")</f>
        <v/>
      </c>
      <c r="CF319" s="126"/>
      <c r="CG319" s="186" t="str">
        <f ca="1">IF(FO313=0,"",IF(BC319="","",IF(AND(programma!$A$301="uitwerking",$B319="X"),FM319,IF(AND(BC319&gt;FP319-0.00001,BC319&lt;FP319+0.00001),"Goed!",IF(AND(BC319&gt;=FP319-0.01,BC319&lt;=FP319+0.01),"Je hebt niet goed afgerond!","Fout! Probeer het opnieuw.")))))</f>
        <v/>
      </c>
      <c r="CH319" s="55"/>
      <c r="CI319" s="55"/>
      <c r="CJ319" s="55"/>
      <c r="CK319" s="55"/>
      <c r="CL319" s="55"/>
      <c r="CM319" s="55"/>
      <c r="CN319" s="55"/>
      <c r="CO319" s="55"/>
      <c r="CP319" s="219"/>
      <c r="CQ319" s="219"/>
      <c r="CR319" s="219"/>
      <c r="CS319" s="219"/>
      <c r="CT319" s="219"/>
      <c r="CU319" s="219"/>
      <c r="CV319" s="219"/>
      <c r="CW319" s="219"/>
      <c r="CX319" s="219"/>
      <c r="CY319" s="219"/>
      <c r="CZ319" s="219"/>
      <c r="DA319" s="219"/>
      <c r="DB319" s="219"/>
      <c r="DC319" s="219"/>
      <c r="DD319" s="219"/>
      <c r="DE319" s="219"/>
      <c r="DF319" s="219"/>
      <c r="DG319" s="218"/>
      <c r="DH319" s="218"/>
      <c r="DI319" s="218"/>
      <c r="DJ319" s="218"/>
      <c r="DK319" s="218"/>
      <c r="DL319" s="218"/>
      <c r="DM319" s="218"/>
      <c r="DN319" s="218"/>
      <c r="DO319" s="218"/>
      <c r="DP319" s="218"/>
      <c r="DQ319" s="218"/>
      <c r="DR319" s="218"/>
      <c r="DS319" s="218"/>
      <c r="DT319" s="218"/>
      <c r="DU319" s="218"/>
      <c r="DV319" s="218"/>
      <c r="DW319" s="218"/>
      <c r="DX319" s="218"/>
      <c r="DY319" s="218"/>
      <c r="DZ319" s="218"/>
      <c r="EA319" s="43"/>
      <c r="EB319" s="43"/>
      <c r="EC319" s="43"/>
      <c r="ED319" s="43"/>
      <c r="EE319" s="43"/>
      <c r="EF319" s="43"/>
      <c r="EG319" s="43"/>
      <c r="EH319" s="43"/>
      <c r="EI319" s="43"/>
      <c r="EJ319" s="43"/>
      <c r="EK319" s="43"/>
      <c r="EL319" s="43"/>
      <c r="EM319" s="43"/>
      <c r="EN319" s="43"/>
      <c r="EO319" s="43"/>
      <c r="EP319" s="43"/>
      <c r="EQ319" s="43"/>
      <c r="ER319" s="43"/>
      <c r="ES319" s="43"/>
      <c r="ET319" s="43"/>
      <c r="EU319" s="43"/>
      <c r="EV319" s="43"/>
      <c r="EW319" s="43"/>
      <c r="EX319" s="43"/>
      <c r="EY319" s="43"/>
      <c r="EZ319" s="43"/>
      <c r="FA319" s="43"/>
      <c r="FB319" s="43"/>
      <c r="FC319" s="43"/>
      <c r="FD319" s="126"/>
      <c r="FE319" s="10"/>
      <c r="FF319" s="10"/>
      <c r="FG319" s="10"/>
      <c r="FH319" s="10"/>
      <c r="FI319" s="10"/>
      <c r="FJ319" s="10"/>
      <c r="FK319" s="26"/>
      <c r="FL319" s="26"/>
      <c r="FM319" s="473" t="e">
        <f ca="1">"p = -"&amp;BQ281&amp;" x "&amp;FP313&amp;" + "&amp;BQ287&amp;" = "&amp;FP319</f>
        <v>#DIV/0!</v>
      </c>
      <c r="FN319" s="47"/>
      <c r="FO319" s="48">
        <f ca="1">IF(programma!B1="X",1,IF(FO313=0,0,IF(AND(BC319&gt;FP319-0.00001,BC319&lt;FP319+0.00001),1,0)))</f>
        <v>0</v>
      </c>
      <c r="FP319" s="48" t="e">
        <f ca="1">IF(FO1=0,"",ROUND((FT306-FP313*FS306),2))</f>
        <v>#DIV/0!</v>
      </c>
      <c r="FQ319" s="48"/>
      <c r="FR319" s="48"/>
      <c r="FS319" s="48"/>
      <c r="FT319" s="48"/>
      <c r="FU319" s="48"/>
      <c r="FV319" s="48"/>
      <c r="FW319" s="48"/>
      <c r="FX319" s="48"/>
      <c r="FY319" s="32"/>
      <c r="FZ319" s="32"/>
      <c r="GA319" s="32"/>
      <c r="GB319" s="32"/>
      <c r="GC319" s="32"/>
      <c r="GD319" s="32"/>
      <c r="GE319" s="32"/>
      <c r="GF319" s="32"/>
      <c r="GG319" s="32"/>
      <c r="GH319" s="32"/>
      <c r="GI319" s="32"/>
      <c r="GJ319" s="32"/>
      <c r="GK319" s="32"/>
      <c r="GL319" s="32"/>
      <c r="GM319" s="49"/>
      <c r="GN319" s="49"/>
      <c r="GO319" s="49"/>
      <c r="GP319" s="49"/>
      <c r="GQ319" s="49"/>
      <c r="GR319" s="49"/>
      <c r="GS319" s="49"/>
      <c r="GT319" s="49"/>
      <c r="GU319" s="49"/>
      <c r="GV319" s="49"/>
      <c r="GW319" s="49"/>
      <c r="GX319" s="49"/>
      <c r="GY319" s="49"/>
      <c r="GZ319" s="49"/>
      <c r="HA319" s="49"/>
      <c r="HB319" s="49"/>
      <c r="HC319" s="49"/>
      <c r="HD319" s="49"/>
      <c r="HE319" s="49"/>
      <c r="HF319" s="49"/>
      <c r="HG319" s="49"/>
      <c r="HH319" s="49"/>
      <c r="HI319" s="49"/>
      <c r="HJ319" s="49"/>
      <c r="HK319" s="49"/>
      <c r="HL319" s="49"/>
      <c r="HM319" s="49"/>
      <c r="HN319" s="49"/>
    </row>
    <row r="320" spans="1:222" ht="3.75" customHeight="1">
      <c r="A320" s="1"/>
      <c r="B320" s="3"/>
      <c r="C320" s="3"/>
      <c r="D320" s="38"/>
      <c r="E320" s="126"/>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26"/>
      <c r="AG320" s="126"/>
      <c r="AH320" s="126"/>
      <c r="AI320" s="43"/>
      <c r="AJ320" s="43"/>
      <c r="AK320" s="43"/>
      <c r="AL320" s="43"/>
      <c r="AM320" s="43"/>
      <c r="AN320" s="43"/>
      <c r="AO320" s="43"/>
      <c r="AP320" s="43"/>
      <c r="AQ320" s="43"/>
      <c r="AR320" s="43"/>
      <c r="AS320" s="79"/>
      <c r="AT320" s="79"/>
      <c r="AU320" s="43"/>
      <c r="AV320" s="43"/>
      <c r="AW320" s="43"/>
      <c r="AX320" s="43"/>
      <c r="AY320" s="43"/>
      <c r="AZ320" s="43"/>
      <c r="BA320" s="43"/>
      <c r="BB320" s="538" t="str">
        <f ca="1">IF(FO313=0,"",".")</f>
        <v/>
      </c>
      <c r="BC320" s="545"/>
      <c r="BD320" s="545"/>
      <c r="BE320" s="545"/>
      <c r="BF320" s="545"/>
      <c r="BG320" s="545"/>
      <c r="BH320" s="545"/>
      <c r="BI320" s="545"/>
      <c r="BJ320" s="545"/>
      <c r="BK320" s="545"/>
      <c r="BL320" s="545"/>
      <c r="BM320" s="545"/>
      <c r="BN320" s="545"/>
      <c r="BO320" s="545"/>
      <c r="BP320" s="545"/>
      <c r="BQ320" s="545"/>
      <c r="BR320" s="545"/>
      <c r="BS320" s="545"/>
      <c r="BT320" s="545"/>
      <c r="BU320" s="545"/>
      <c r="BV320" s="545"/>
      <c r="BW320" s="545"/>
      <c r="BX320" s="545"/>
      <c r="BY320" s="545"/>
      <c r="BZ320" s="545"/>
      <c r="CA320" s="545"/>
      <c r="CB320" s="545"/>
      <c r="CC320" s="545"/>
      <c r="CD320" s="545"/>
      <c r="CE320" s="545"/>
      <c r="CF320" s="126"/>
      <c r="CG320" s="126"/>
      <c r="CH320" s="126"/>
      <c r="CI320" s="126"/>
      <c r="CJ320" s="43"/>
      <c r="CK320" s="43"/>
      <c r="CL320" s="43"/>
      <c r="CM320" s="43"/>
      <c r="CN320" s="43"/>
      <c r="CO320" s="43"/>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43"/>
      <c r="EJ320" s="43"/>
      <c r="EK320" s="43"/>
      <c r="EL320" s="43"/>
      <c r="EM320" s="43"/>
      <c r="EN320" s="43"/>
      <c r="EO320" s="43"/>
      <c r="EP320" s="43"/>
      <c r="EQ320" s="43"/>
      <c r="ER320" s="43"/>
      <c r="ES320" s="43"/>
      <c r="ET320" s="43"/>
      <c r="EU320" s="43"/>
      <c r="EV320" s="43"/>
      <c r="EW320" s="43"/>
      <c r="EX320" s="43"/>
      <c r="EY320" s="43"/>
      <c r="EZ320" s="43"/>
      <c r="FA320" s="43"/>
      <c r="FB320" s="43"/>
      <c r="FC320" s="43"/>
      <c r="FD320" s="126"/>
      <c r="FE320" s="10"/>
      <c r="FF320" s="10"/>
      <c r="FG320" s="10"/>
      <c r="FH320" s="10"/>
      <c r="FI320" s="10"/>
      <c r="FJ320" s="10"/>
      <c r="FK320" s="26"/>
      <c r="FL320" s="26"/>
      <c r="FM320" s="47"/>
      <c r="FN320" s="47"/>
      <c r="FO320" s="47"/>
      <c r="FP320" s="47"/>
      <c r="FQ320" s="47"/>
      <c r="FR320" s="47"/>
      <c r="FS320" s="47"/>
      <c r="FT320" s="47"/>
      <c r="FU320" s="49"/>
      <c r="FV320" s="49"/>
      <c r="FW320" s="49"/>
      <c r="FX320" s="49"/>
      <c r="FY320" s="32"/>
      <c r="FZ320" s="32"/>
      <c r="GA320" s="32"/>
      <c r="GB320" s="32"/>
      <c r="GC320" s="32"/>
      <c r="GD320" s="32"/>
      <c r="GE320" s="32"/>
      <c r="GF320" s="32"/>
      <c r="GG320" s="32"/>
      <c r="GH320" s="32"/>
      <c r="GI320" s="32"/>
      <c r="GJ320" s="32"/>
      <c r="GK320" s="32"/>
      <c r="GL320" s="32"/>
      <c r="GM320" s="49"/>
      <c r="GN320" s="49"/>
      <c r="GO320" s="49"/>
      <c r="GP320" s="49"/>
      <c r="GQ320" s="49"/>
      <c r="GR320" s="49"/>
      <c r="GS320" s="49"/>
      <c r="GT320" s="49"/>
      <c r="GU320" s="49"/>
      <c r="GV320" s="49"/>
      <c r="GW320" s="49"/>
      <c r="GX320" s="49"/>
      <c r="GY320" s="49"/>
      <c r="GZ320" s="49"/>
      <c r="HA320" s="49"/>
      <c r="HB320" s="49"/>
      <c r="HC320" s="49"/>
      <c r="HD320" s="49"/>
      <c r="HE320" s="49"/>
      <c r="HF320" s="49"/>
      <c r="HG320" s="49"/>
      <c r="HH320" s="49"/>
      <c r="HI320" s="49"/>
      <c r="HJ320" s="49"/>
      <c r="HK320" s="49"/>
      <c r="HL320" s="49"/>
      <c r="HM320" s="49"/>
      <c r="HN320" s="49"/>
    </row>
    <row r="321" spans="1:222" ht="11.25" customHeight="1">
      <c r="A321" s="1"/>
      <c r="B321" s="3"/>
      <c r="C321" s="3"/>
      <c r="D321" s="38"/>
      <c r="E321" s="126"/>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26"/>
      <c r="AG321" s="126"/>
      <c r="AH321" s="126"/>
      <c r="AI321" s="43"/>
      <c r="AJ321" s="43"/>
      <c r="AK321" s="43"/>
      <c r="AL321" s="43"/>
      <c r="AM321" s="43"/>
      <c r="AN321" s="43"/>
      <c r="AO321" s="43"/>
      <c r="AP321" s="43"/>
      <c r="AQ321" s="43"/>
      <c r="AR321" s="43"/>
      <c r="AS321" s="79"/>
      <c r="AT321" s="79"/>
      <c r="AU321" s="43"/>
      <c r="AV321" s="43"/>
      <c r="AW321" s="43"/>
      <c r="AX321" s="43"/>
      <c r="AY321" s="43"/>
      <c r="AZ321" s="43"/>
      <c r="BA321" s="43"/>
      <c r="BB321" s="195"/>
      <c r="BC321" s="197"/>
      <c r="BD321" s="197"/>
      <c r="BE321" s="197"/>
      <c r="BF321" s="197"/>
      <c r="BG321" s="197"/>
      <c r="BH321" s="197"/>
      <c r="BI321" s="197"/>
      <c r="BJ321" s="197"/>
      <c r="BK321" s="197"/>
      <c r="BL321" s="197"/>
      <c r="BM321" s="197"/>
      <c r="BN321" s="197"/>
      <c r="BO321" s="197"/>
      <c r="BP321" s="197"/>
      <c r="BQ321" s="197"/>
      <c r="BR321" s="197"/>
      <c r="BS321" s="197"/>
      <c r="BT321" s="197"/>
      <c r="BU321" s="197"/>
      <c r="BV321" s="197"/>
      <c r="BW321" s="197"/>
      <c r="BX321" s="197"/>
      <c r="BY321" s="197"/>
      <c r="BZ321" s="197"/>
      <c r="CA321" s="197"/>
      <c r="CB321" s="197"/>
      <c r="CC321" s="197"/>
      <c r="CD321" s="197"/>
      <c r="CE321" s="197"/>
      <c r="CF321" s="126"/>
      <c r="CG321" s="126"/>
      <c r="CH321" s="126"/>
      <c r="CI321" s="126"/>
      <c r="CJ321" s="43"/>
      <c r="CK321" s="43"/>
      <c r="CL321" s="43"/>
      <c r="CM321" s="43"/>
      <c r="CN321" s="43"/>
      <c r="CO321" s="43"/>
      <c r="CP321" s="79"/>
      <c r="CQ321" s="79"/>
      <c r="CR321" s="79"/>
      <c r="CS321" s="79"/>
      <c r="CT321" s="79"/>
      <c r="CU321" s="79"/>
      <c r="CV321" s="79"/>
      <c r="CW321" s="79"/>
      <c r="CX321" s="79"/>
      <c r="CY321" s="79"/>
      <c r="CZ321" s="79"/>
      <c r="DA321" s="79"/>
      <c r="DB321" s="79"/>
      <c r="DC321" s="79"/>
      <c r="DD321" s="79"/>
      <c r="DE321" s="79"/>
      <c r="DF321" s="79"/>
      <c r="DG321" s="79"/>
      <c r="DH321" s="79"/>
      <c r="DI321" s="79"/>
      <c r="DJ321" s="79"/>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c r="EO321" s="43"/>
      <c r="EP321" s="43"/>
      <c r="EQ321" s="43"/>
      <c r="ER321" s="43"/>
      <c r="ES321" s="43"/>
      <c r="ET321" s="43"/>
      <c r="EU321" s="43"/>
      <c r="EV321" s="43"/>
      <c r="EW321" s="43"/>
      <c r="EX321" s="43"/>
      <c r="EY321" s="43"/>
      <c r="EZ321" s="43"/>
      <c r="FA321" s="43"/>
      <c r="FB321" s="43"/>
      <c r="FC321" s="43"/>
      <c r="FD321" s="126"/>
      <c r="FE321" s="10"/>
      <c r="FF321" s="10"/>
      <c r="FG321" s="10"/>
      <c r="FH321" s="10"/>
      <c r="FI321" s="10"/>
      <c r="FJ321" s="10"/>
      <c r="FK321" s="26"/>
      <c r="FL321" s="26"/>
      <c r="FM321" s="47"/>
      <c r="FN321" s="47"/>
      <c r="FO321" s="47"/>
      <c r="FP321" s="47"/>
      <c r="FQ321" s="47"/>
      <c r="FR321" s="47"/>
      <c r="FS321" s="47"/>
      <c r="FT321" s="47"/>
      <c r="FU321" s="49"/>
      <c r="FV321" s="49"/>
      <c r="FW321" s="49"/>
      <c r="FX321" s="49"/>
      <c r="FY321" s="32"/>
      <c r="FZ321" s="32"/>
      <c r="GA321" s="32"/>
      <c r="GB321" s="32"/>
      <c r="GC321" s="32"/>
      <c r="GD321" s="32"/>
      <c r="GE321" s="32"/>
      <c r="GF321" s="32"/>
      <c r="GG321" s="32"/>
      <c r="GH321" s="32"/>
      <c r="GI321" s="32"/>
      <c r="GJ321" s="32"/>
      <c r="GK321" s="32"/>
      <c r="GL321" s="32"/>
      <c r="GM321" s="49"/>
      <c r="GN321" s="49"/>
      <c r="GO321" s="49"/>
      <c r="GP321" s="49"/>
      <c r="GQ321" s="49"/>
      <c r="GR321" s="49"/>
      <c r="GS321" s="49"/>
      <c r="GT321" s="49"/>
      <c r="GU321" s="49"/>
      <c r="GV321" s="49"/>
      <c r="GW321" s="49"/>
      <c r="GX321" s="49"/>
      <c r="GY321" s="49"/>
      <c r="GZ321" s="49"/>
      <c r="HA321" s="49"/>
      <c r="HB321" s="49"/>
      <c r="HC321" s="49"/>
      <c r="HD321" s="49"/>
      <c r="HE321" s="49"/>
      <c r="HF321" s="49"/>
      <c r="HG321" s="49"/>
      <c r="HH321" s="49"/>
      <c r="HI321" s="49"/>
      <c r="HJ321" s="49"/>
      <c r="HK321" s="49"/>
      <c r="HL321" s="49"/>
      <c r="HM321" s="49"/>
      <c r="HN321" s="49"/>
    </row>
    <row r="322" spans="1:222" ht="16.95" customHeight="1">
      <c r="A322" s="1"/>
      <c r="B322" s="3"/>
      <c r="C322" s="3"/>
      <c r="D322" s="373" t="str">
        <f ca="1">IF(FO319=0,"","Hoeveel zijn de omzet, de totale kosten en de totale winst? Rond het antwoord")</f>
        <v/>
      </c>
      <c r="E322" s="10"/>
      <c r="F322" s="10"/>
      <c r="G322" s="10"/>
      <c r="H322" s="10"/>
      <c r="I322" s="10"/>
      <c r="J322" s="10"/>
      <c r="K322" s="10"/>
      <c r="L322" s="10"/>
      <c r="M322" s="10"/>
      <c r="N322" s="79"/>
      <c r="O322" s="79"/>
      <c r="P322" s="79"/>
      <c r="Q322" s="79"/>
      <c r="R322" s="79"/>
      <c r="S322" s="7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47"/>
      <c r="FN322" s="47"/>
      <c r="FO322" s="47"/>
      <c r="FP322" s="47"/>
      <c r="FQ322" s="47"/>
      <c r="FR322" s="47"/>
      <c r="FS322" s="47"/>
      <c r="FT322" s="47"/>
      <c r="FU322" s="47"/>
      <c r="FV322" s="47"/>
      <c r="FW322" s="47"/>
      <c r="FX322" s="47"/>
      <c r="FY322" s="32"/>
      <c r="FZ322" s="32"/>
      <c r="GA322" s="32"/>
      <c r="GB322" s="32"/>
      <c r="GC322" s="32"/>
      <c r="GD322" s="32"/>
      <c r="GE322" s="32"/>
      <c r="GF322" s="32"/>
      <c r="GG322" s="32"/>
      <c r="GH322" s="32"/>
      <c r="GI322" s="32"/>
      <c r="GJ322" s="32"/>
      <c r="GK322" s="32"/>
      <c r="GL322" s="32"/>
      <c r="GM322" s="49"/>
      <c r="GN322" s="49"/>
      <c r="GO322" s="49"/>
      <c r="GP322" s="49"/>
      <c r="GQ322" s="49"/>
      <c r="GR322" s="49"/>
      <c r="GS322" s="49"/>
      <c r="GT322" s="49"/>
      <c r="GU322" s="49"/>
      <c r="GV322" s="49"/>
      <c r="GW322" s="49"/>
      <c r="GX322" s="49"/>
      <c r="GY322" s="49"/>
      <c r="GZ322" s="49"/>
      <c r="HA322" s="49"/>
      <c r="HB322" s="49"/>
      <c r="HC322" s="49"/>
      <c r="HD322" s="49"/>
      <c r="HE322" s="49"/>
      <c r="HF322" s="49"/>
      <c r="HG322" s="49"/>
      <c r="HH322" s="49"/>
      <c r="HI322" s="49"/>
      <c r="HJ322" s="49"/>
      <c r="HK322" s="49"/>
      <c r="HL322" s="49"/>
      <c r="HM322" s="49"/>
      <c r="HN322" s="49"/>
    </row>
    <row r="323" spans="1:222" ht="16.95" customHeight="1">
      <c r="A323" s="1"/>
      <c r="B323" s="3"/>
      <c r="C323" s="3"/>
      <c r="D323" s="373" t="str">
        <f ca="1">IF(FO319=0,"","af op eurocenten.")</f>
        <v/>
      </c>
      <c r="E323" s="10"/>
      <c r="F323" s="10"/>
      <c r="G323" s="10"/>
      <c r="H323" s="10"/>
      <c r="I323" s="10"/>
      <c r="J323" s="10"/>
      <c r="K323" s="10"/>
      <c r="L323" s="10"/>
      <c r="M323" s="10"/>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47"/>
      <c r="FN323" s="47"/>
      <c r="FO323" s="47"/>
      <c r="FP323" s="47"/>
      <c r="FQ323" s="47"/>
      <c r="FR323" s="47"/>
      <c r="FS323" s="47"/>
      <c r="FT323" s="47"/>
      <c r="FU323" s="47"/>
      <c r="FV323" s="47"/>
      <c r="FW323" s="47"/>
      <c r="FX323" s="47"/>
      <c r="FY323" s="32"/>
      <c r="FZ323" s="32"/>
      <c r="GA323" s="32"/>
      <c r="GB323" s="32"/>
      <c r="GC323" s="32"/>
      <c r="GD323" s="32"/>
      <c r="GE323" s="32"/>
      <c r="GF323" s="32"/>
      <c r="GG323" s="32"/>
      <c r="GH323" s="32"/>
      <c r="GI323" s="32"/>
      <c r="GJ323" s="32"/>
      <c r="GK323" s="32"/>
      <c r="GL323" s="32"/>
      <c r="GM323" s="49"/>
      <c r="GN323" s="49"/>
      <c r="GO323" s="49"/>
      <c r="GP323" s="49"/>
      <c r="GQ323" s="49"/>
      <c r="GR323" s="49"/>
      <c r="GS323" s="49"/>
      <c r="GT323" s="49"/>
      <c r="GU323" s="49"/>
      <c r="GV323" s="49"/>
      <c r="GW323" s="49"/>
      <c r="GX323" s="49"/>
      <c r="GY323" s="49"/>
      <c r="GZ323" s="49"/>
      <c r="HA323" s="49"/>
      <c r="HB323" s="49"/>
      <c r="HC323" s="49"/>
      <c r="HD323" s="49"/>
      <c r="HE323" s="49"/>
      <c r="HF323" s="49"/>
      <c r="HG323" s="49"/>
      <c r="HH323" s="49"/>
      <c r="HI323" s="49"/>
      <c r="HJ323" s="49"/>
      <c r="HK323" s="49"/>
      <c r="HL323" s="49"/>
      <c r="HM323" s="49"/>
      <c r="HN323" s="49"/>
    </row>
    <row r="324" spans="1:222" ht="7.5" customHeight="1">
      <c r="A324" s="1"/>
      <c r="B324" s="3"/>
      <c r="C324" s="3"/>
      <c r="D324" s="38"/>
      <c r="E324" s="126"/>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c r="BY324" s="126"/>
      <c r="BZ324" s="126"/>
      <c r="CA324" s="126"/>
      <c r="CB324" s="126"/>
      <c r="CC324" s="126"/>
      <c r="CD324" s="126"/>
      <c r="CE324" s="126"/>
      <c r="CF324" s="126"/>
      <c r="CG324" s="126"/>
      <c r="CH324" s="126"/>
      <c r="CI324" s="126"/>
      <c r="CJ324" s="126"/>
      <c r="CK324" s="126"/>
      <c r="CL324" s="126"/>
      <c r="CM324" s="126"/>
      <c r="CN324" s="126"/>
      <c r="CO324" s="126"/>
      <c r="CP324" s="126"/>
      <c r="CQ324" s="126"/>
      <c r="CR324" s="126"/>
      <c r="CS324" s="126"/>
      <c r="CT324" s="126"/>
      <c r="CU324" s="126"/>
      <c r="CV324" s="126"/>
      <c r="CW324" s="126"/>
      <c r="CX324" s="126"/>
      <c r="CY324" s="126"/>
      <c r="CZ324" s="126"/>
      <c r="DA324" s="126"/>
      <c r="DB324" s="126"/>
      <c r="DC324" s="126"/>
      <c r="DD324" s="126"/>
      <c r="DE324" s="126"/>
      <c r="DF324" s="126"/>
      <c r="DG324" s="126"/>
      <c r="DH324" s="126"/>
      <c r="DI324" s="126"/>
      <c r="DJ324" s="126"/>
      <c r="DK324" s="126"/>
      <c r="DL324" s="126"/>
      <c r="DM324" s="126"/>
      <c r="DN324" s="126"/>
      <c r="DO324" s="126"/>
      <c r="DP324" s="126"/>
      <c r="DQ324" s="126"/>
      <c r="DR324" s="126"/>
      <c r="DS324" s="126"/>
      <c r="DT324" s="126"/>
      <c r="DU324" s="126"/>
      <c r="DV324" s="126"/>
      <c r="DW324" s="126"/>
      <c r="DX324" s="126"/>
      <c r="DY324" s="126"/>
      <c r="DZ324" s="126"/>
      <c r="EA324" s="126"/>
      <c r="EB324" s="126"/>
      <c r="EC324" s="126"/>
      <c r="ED324" s="126"/>
      <c r="EE324" s="126"/>
      <c r="EF324" s="126"/>
      <c r="EG324" s="126"/>
      <c r="EH324" s="126"/>
      <c r="EI324" s="126"/>
      <c r="EJ324" s="126"/>
      <c r="EK324" s="126"/>
      <c r="EL324" s="126"/>
      <c r="EM324" s="126"/>
      <c r="EN324" s="126"/>
      <c r="EO324" s="126"/>
      <c r="EP324" s="126"/>
      <c r="EQ324" s="126"/>
      <c r="ER324" s="126"/>
      <c r="ES324" s="126"/>
      <c r="ET324" s="126"/>
      <c r="EU324" s="126"/>
      <c r="EV324" s="126"/>
      <c r="EW324" s="126"/>
      <c r="EX324" s="126"/>
      <c r="EY324" s="126"/>
      <c r="EZ324" s="126"/>
      <c r="FA324" s="126"/>
      <c r="FB324" s="126"/>
      <c r="FC324" s="126"/>
      <c r="FD324" s="126"/>
      <c r="FE324" s="10"/>
      <c r="FF324" s="10"/>
      <c r="FG324" s="10"/>
      <c r="FH324" s="10"/>
      <c r="FI324" s="10"/>
      <c r="FJ324" s="10"/>
      <c r="FK324" s="26"/>
      <c r="FL324" s="26"/>
      <c r="FM324" s="47"/>
      <c r="FN324" s="47"/>
      <c r="FO324" s="47"/>
      <c r="FP324" s="47"/>
      <c r="FQ324" s="47"/>
      <c r="FR324" s="47"/>
      <c r="FS324" s="47"/>
      <c r="FT324" s="47"/>
      <c r="FU324" s="49"/>
      <c r="FV324" s="49"/>
      <c r="FW324" s="49"/>
      <c r="FX324" s="49"/>
      <c r="FY324" s="32"/>
      <c r="FZ324" s="32"/>
      <c r="GA324" s="32"/>
      <c r="GB324" s="32"/>
      <c r="GC324" s="32"/>
      <c r="GD324" s="32"/>
      <c r="GE324" s="32"/>
      <c r="GF324" s="32"/>
      <c r="GG324" s="32"/>
      <c r="GH324" s="32"/>
      <c r="GI324" s="32"/>
      <c r="GJ324" s="32"/>
      <c r="GK324" s="32"/>
      <c r="GL324" s="32"/>
      <c r="GM324" s="49"/>
      <c r="GN324" s="49"/>
      <c r="GO324" s="49"/>
      <c r="GP324" s="49"/>
      <c r="GQ324" s="49"/>
      <c r="GR324" s="49"/>
      <c r="GS324" s="49"/>
      <c r="GT324" s="49"/>
      <c r="GU324" s="49"/>
      <c r="GV324" s="49"/>
      <c r="GW324" s="49"/>
      <c r="GX324" s="49"/>
      <c r="GY324" s="49"/>
      <c r="GZ324" s="49"/>
      <c r="HA324" s="49"/>
      <c r="HB324" s="49"/>
      <c r="HC324" s="49"/>
      <c r="HD324" s="49"/>
      <c r="HE324" s="49"/>
      <c r="HF324" s="49"/>
      <c r="HG324" s="49"/>
      <c r="HH324" s="49"/>
      <c r="HI324" s="49"/>
      <c r="HJ324" s="49"/>
      <c r="HK324" s="49"/>
      <c r="HL324" s="49"/>
      <c r="HM324" s="49"/>
      <c r="HN324" s="49"/>
    </row>
    <row r="325" spans="1:222" ht="3.75" customHeight="1">
      <c r="A325" s="1"/>
      <c r="B325" s="3"/>
      <c r="C325" s="3"/>
      <c r="D325" s="38"/>
      <c r="E325" s="126"/>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26"/>
      <c r="AG325" s="126"/>
      <c r="AH325" s="126"/>
      <c r="AI325" s="43"/>
      <c r="AJ325" s="43"/>
      <c r="AK325" s="43"/>
      <c r="AL325" s="43"/>
      <c r="AM325" s="43"/>
      <c r="AN325" s="43"/>
      <c r="AO325" s="43"/>
      <c r="AP325" s="43"/>
      <c r="AQ325" s="79"/>
      <c r="AR325" s="79"/>
      <c r="AS325" s="79"/>
      <c r="AT325" s="79"/>
      <c r="AU325" s="79"/>
      <c r="AV325" s="79"/>
      <c r="AW325" s="79"/>
      <c r="AX325" s="43"/>
      <c r="AY325" s="43"/>
      <c r="AZ325" s="43"/>
      <c r="BA325" s="43"/>
      <c r="BB325" s="538" t="str">
        <f ca="1">IF(FO319=0,"",".")</f>
        <v/>
      </c>
      <c r="BC325" s="545"/>
      <c r="BD325" s="545"/>
      <c r="BE325" s="545"/>
      <c r="BF325" s="545"/>
      <c r="BG325" s="545"/>
      <c r="BH325" s="545"/>
      <c r="BI325" s="545"/>
      <c r="BJ325" s="545"/>
      <c r="BK325" s="545"/>
      <c r="BL325" s="545"/>
      <c r="BM325" s="545"/>
      <c r="BN325" s="545"/>
      <c r="BO325" s="545"/>
      <c r="BP325" s="545"/>
      <c r="BQ325" s="545"/>
      <c r="BR325" s="545"/>
      <c r="BS325" s="545"/>
      <c r="BT325" s="545"/>
      <c r="BU325" s="545"/>
      <c r="BV325" s="545"/>
      <c r="BW325" s="545"/>
      <c r="BX325" s="545"/>
      <c r="BY325" s="545"/>
      <c r="BZ325" s="545"/>
      <c r="CA325" s="545"/>
      <c r="CB325" s="545"/>
      <c r="CC325" s="545"/>
      <c r="CD325" s="545"/>
      <c r="CE325" s="545"/>
      <c r="CF325" s="126"/>
      <c r="CG325" s="219"/>
      <c r="CH325" s="219"/>
      <c r="CI325" s="219"/>
      <c r="CJ325" s="219"/>
      <c r="CK325" s="219"/>
      <c r="CL325" s="219"/>
      <c r="CM325" s="219"/>
      <c r="CN325" s="219"/>
      <c r="CO325" s="219"/>
      <c r="CP325" s="219"/>
      <c r="CQ325" s="219"/>
      <c r="CR325" s="21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43"/>
      <c r="EH325" s="43"/>
      <c r="EI325" s="43"/>
      <c r="EJ325" s="43"/>
      <c r="EK325" s="43"/>
      <c r="EL325" s="43"/>
      <c r="EM325" s="43"/>
      <c r="EN325" s="43"/>
      <c r="EO325" s="43"/>
      <c r="EP325" s="43"/>
      <c r="EQ325" s="43"/>
      <c r="ER325" s="43"/>
      <c r="ES325" s="43"/>
      <c r="ET325" s="43"/>
      <c r="EU325" s="43"/>
      <c r="EV325" s="43"/>
      <c r="EW325" s="43"/>
      <c r="EX325" s="43"/>
      <c r="EY325" s="43"/>
      <c r="EZ325" s="43"/>
      <c r="FA325" s="43"/>
      <c r="FB325" s="43"/>
      <c r="FC325" s="43"/>
      <c r="FD325" s="126"/>
      <c r="FE325" s="10"/>
      <c r="FF325" s="10"/>
      <c r="FG325" s="10"/>
      <c r="FH325" s="10"/>
      <c r="FI325" s="10"/>
      <c r="FJ325" s="10"/>
      <c r="FK325" s="26"/>
      <c r="FL325" s="26"/>
      <c r="FM325" s="47"/>
      <c r="FN325" s="47"/>
      <c r="FO325" s="47"/>
      <c r="FP325" s="47"/>
      <c r="FQ325" s="47"/>
      <c r="FR325" s="47"/>
      <c r="FS325" s="47"/>
      <c r="FT325" s="47"/>
      <c r="FU325" s="49"/>
      <c r="FV325" s="49"/>
      <c r="FW325" s="49"/>
      <c r="FX325" s="49"/>
      <c r="FY325" s="32"/>
      <c r="FZ325" s="32"/>
      <c r="GA325" s="32"/>
      <c r="GB325" s="32"/>
      <c r="GC325" s="32"/>
      <c r="GD325" s="32"/>
      <c r="GE325" s="32"/>
      <c r="GF325" s="32"/>
      <c r="GG325" s="32"/>
      <c r="GH325" s="32"/>
      <c r="GI325" s="32"/>
      <c r="GJ325" s="32"/>
      <c r="GK325" s="32"/>
      <c r="GL325" s="32"/>
      <c r="GM325" s="49"/>
      <c r="GN325" s="49"/>
      <c r="GO325" s="49"/>
      <c r="GP325" s="49"/>
      <c r="GQ325" s="49"/>
      <c r="GR325" s="49"/>
      <c r="GS325" s="49"/>
      <c r="GT325" s="49"/>
      <c r="GU325" s="49"/>
      <c r="GV325" s="49"/>
      <c r="GW325" s="49"/>
      <c r="GX325" s="49"/>
      <c r="GY325" s="49"/>
      <c r="GZ325" s="49"/>
      <c r="HA325" s="49"/>
      <c r="HB325" s="49"/>
      <c r="HC325" s="49"/>
      <c r="HD325" s="49"/>
      <c r="HE325" s="49"/>
      <c r="HF325" s="49"/>
      <c r="HG325" s="49"/>
      <c r="HH325" s="49"/>
      <c r="HI325" s="49"/>
      <c r="HJ325" s="49"/>
      <c r="HK325" s="49"/>
      <c r="HL325" s="49"/>
      <c r="HM325" s="49"/>
      <c r="HN325" s="49"/>
    </row>
    <row r="326" spans="1:222" ht="16.5" customHeight="1">
      <c r="A326" s="1"/>
      <c r="B326" s="476"/>
      <c r="C326" s="3"/>
      <c r="D326" s="43"/>
      <c r="E326" s="126"/>
      <c r="F326" s="10"/>
      <c r="G326" s="10"/>
      <c r="H326" s="10"/>
      <c r="I326" s="10"/>
      <c r="J326" s="79"/>
      <c r="K326" s="10"/>
      <c r="L326" s="10"/>
      <c r="M326" s="10"/>
      <c r="N326" s="10"/>
      <c r="O326" s="10"/>
      <c r="P326" s="10"/>
      <c r="Q326" s="10"/>
      <c r="R326" s="10"/>
      <c r="S326" s="10"/>
      <c r="T326" s="10"/>
      <c r="U326" s="10"/>
      <c r="V326" s="10"/>
      <c r="W326" s="10"/>
      <c r="X326" s="10"/>
      <c r="Y326" s="10"/>
      <c r="Z326" s="10"/>
      <c r="AA326" s="10"/>
      <c r="AB326" s="10"/>
      <c r="AC326" s="10"/>
      <c r="AD326" s="10"/>
      <c r="AE326" s="10"/>
      <c r="AF326" s="126"/>
      <c r="AG326" s="126"/>
      <c r="AH326" s="126"/>
      <c r="AI326" s="43"/>
      <c r="AJ326" s="43"/>
      <c r="AK326" s="43"/>
      <c r="AL326" s="43"/>
      <c r="AM326" s="43"/>
      <c r="AN326" s="43"/>
      <c r="AO326" s="43"/>
      <c r="AP326" s="43"/>
      <c r="AQ326" s="79"/>
      <c r="AR326" s="79"/>
      <c r="AS326" s="79"/>
      <c r="AT326" s="79"/>
      <c r="AU326" s="79"/>
      <c r="AV326" s="79"/>
      <c r="AW326" s="79"/>
      <c r="AX326" s="43"/>
      <c r="AY326" s="43"/>
      <c r="AZ326" s="184" t="str">
        <f ca="1">IF(FO319=0,"","De omzet is:")</f>
        <v/>
      </c>
      <c r="BA326" s="43"/>
      <c r="BB326" s="195" t="str">
        <f ca="1">IF(FO319=0,"",".")</f>
        <v/>
      </c>
      <c r="BC326" s="698"/>
      <c r="BD326" s="699"/>
      <c r="BE326" s="699"/>
      <c r="BF326" s="699"/>
      <c r="BG326" s="699"/>
      <c r="BH326" s="699"/>
      <c r="BI326" s="699"/>
      <c r="BJ326" s="699"/>
      <c r="BK326" s="699"/>
      <c r="BL326" s="699"/>
      <c r="BM326" s="699"/>
      <c r="BN326" s="699"/>
      <c r="BO326" s="699"/>
      <c r="BP326" s="699"/>
      <c r="BQ326" s="699"/>
      <c r="BR326" s="699"/>
      <c r="BS326" s="699"/>
      <c r="BT326" s="699"/>
      <c r="BU326" s="699"/>
      <c r="BV326" s="699"/>
      <c r="BW326" s="699"/>
      <c r="BX326" s="699"/>
      <c r="BY326" s="700"/>
      <c r="BZ326" s="700"/>
      <c r="CA326" s="700"/>
      <c r="CB326" s="700"/>
      <c r="CC326" s="700"/>
      <c r="CD326" s="700"/>
      <c r="CE326" s="195" t="str">
        <f ca="1">IF(FO319=0,"",".")</f>
        <v/>
      </c>
      <c r="CF326" s="126"/>
      <c r="CG326" s="186" t="str">
        <f ca="1">IF(FO319=0,"",IF(BC326="","",IF(AND(programma!$A$301="uitwerking",$B326="X"),FM326,IF(AND(BC326&gt;FP326-0.00001,BC326&lt;FP326+0.00001),"Goed!",IF(AND(BC326&gt;=FP326-0.01,BC326&lt;=FP326+0.01),"Je hebt niet goed afgerond!","Fout! Probeer het opnieuw.")))))</f>
        <v/>
      </c>
      <c r="CH326" s="219"/>
      <c r="CI326" s="219"/>
      <c r="CJ326" s="219"/>
      <c r="CK326" s="219"/>
      <c r="CL326" s="219"/>
      <c r="CM326" s="219"/>
      <c r="CN326" s="219"/>
      <c r="CO326" s="219"/>
      <c r="CP326" s="219"/>
      <c r="CQ326" s="219"/>
      <c r="CR326" s="21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220"/>
      <c r="DO326" s="221"/>
      <c r="DP326" s="221"/>
      <c r="DQ326" s="221"/>
      <c r="DR326" s="221"/>
      <c r="DS326" s="221"/>
      <c r="DT326" s="221"/>
      <c r="DU326" s="221"/>
      <c r="DV326" s="221"/>
      <c r="DW326" s="221"/>
      <c r="DX326" s="221"/>
      <c r="DY326" s="221"/>
      <c r="DZ326" s="221"/>
      <c r="EA326" s="221"/>
      <c r="EB326" s="221"/>
      <c r="EC326" s="221"/>
      <c r="ED326" s="221"/>
      <c r="EE326" s="221"/>
      <c r="EF326" s="221"/>
      <c r="EG326" s="221"/>
      <c r="EH326" s="221"/>
      <c r="EI326" s="221"/>
      <c r="EJ326" s="221"/>
      <c r="EK326" s="221"/>
      <c r="EL326" s="221"/>
      <c r="EM326" s="221"/>
      <c r="EN326" s="221"/>
      <c r="EO326" s="221"/>
      <c r="EP326" s="221"/>
      <c r="EQ326" s="221"/>
      <c r="ER326" s="221"/>
      <c r="ES326" s="221"/>
      <c r="ET326" s="221"/>
      <c r="EU326" s="221"/>
      <c r="EV326" s="221"/>
      <c r="EW326" s="221"/>
      <c r="EX326" s="221"/>
      <c r="EY326" s="221"/>
      <c r="EZ326" s="221"/>
      <c r="FA326" s="197"/>
      <c r="FB326" s="197"/>
      <c r="FC326" s="44"/>
      <c r="FD326" s="208"/>
      <c r="FE326" s="208"/>
      <c r="FF326" s="208"/>
      <c r="FG326" s="10"/>
      <c r="FH326" s="10"/>
      <c r="FI326" s="10"/>
      <c r="FJ326" s="10"/>
      <c r="FK326" s="25"/>
      <c r="FL326" s="26"/>
      <c r="FM326" s="473" t="e">
        <f ca="1">"= "&amp;FP313&amp;" x "&amp;FP319&amp;" = "&amp;FP326</f>
        <v>#DIV/0!</v>
      </c>
      <c r="FN326" s="47"/>
      <c r="FO326" s="48">
        <f ca="1">IF(programma!B1="X",1,IF(FO319=0,0,IF(AND(BC326&gt;FP326-0.00001,BC326&lt;FP326+0.00001),1,0)))</f>
        <v>0</v>
      </c>
      <c r="FP326" s="103" t="e">
        <f ca="1">IF(FO1=0,"",ROUND(FP313*FP319,2))</f>
        <v>#DIV/0!</v>
      </c>
      <c r="FQ326" s="79"/>
      <c r="FR326" s="48"/>
      <c r="FS326" s="48"/>
      <c r="FT326" s="48"/>
      <c r="FU326" s="48"/>
      <c r="FV326" s="48"/>
      <c r="FW326" s="48"/>
      <c r="FX326" s="48"/>
      <c r="FY326" s="32"/>
      <c r="FZ326" s="32"/>
      <c r="GA326" s="32"/>
      <c r="GB326" s="32"/>
      <c r="GC326" s="32"/>
      <c r="GD326" s="32"/>
      <c r="GE326" s="32"/>
      <c r="GF326" s="32"/>
      <c r="GG326" s="32"/>
      <c r="GH326" s="32"/>
      <c r="GI326" s="32"/>
      <c r="GJ326" s="32"/>
      <c r="GK326" s="32"/>
      <c r="GL326" s="32"/>
      <c r="GM326" s="49"/>
      <c r="GN326" s="49"/>
      <c r="GO326" s="49"/>
      <c r="GP326" s="49"/>
      <c r="GQ326" s="49"/>
      <c r="GR326" s="49"/>
      <c r="GS326" s="49"/>
      <c r="GT326" s="49"/>
      <c r="GU326" s="49"/>
      <c r="GV326" s="49"/>
      <c r="GW326" s="49"/>
      <c r="GX326" s="49"/>
      <c r="GY326" s="49"/>
      <c r="GZ326" s="49"/>
      <c r="HA326" s="49"/>
      <c r="HB326" s="49"/>
      <c r="HC326" s="49"/>
      <c r="HD326" s="49"/>
      <c r="HE326" s="49"/>
      <c r="HF326" s="49"/>
      <c r="HG326" s="49"/>
      <c r="HH326" s="49"/>
      <c r="HI326" s="49"/>
      <c r="HJ326" s="49"/>
      <c r="HK326" s="49"/>
      <c r="HL326" s="49"/>
      <c r="HM326" s="49"/>
      <c r="HN326" s="49"/>
    </row>
    <row r="327" spans="1:222" ht="3.75" customHeight="1">
      <c r="A327" s="1"/>
      <c r="B327" s="3"/>
      <c r="C327" s="3"/>
      <c r="D327" s="38"/>
      <c r="E327" s="126"/>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26"/>
      <c r="AG327" s="126"/>
      <c r="AH327" s="126"/>
      <c r="AI327" s="43"/>
      <c r="AJ327" s="43"/>
      <c r="AK327" s="43"/>
      <c r="AL327" s="43"/>
      <c r="AM327" s="43"/>
      <c r="AN327" s="43"/>
      <c r="AO327" s="43"/>
      <c r="AP327" s="43"/>
      <c r="AQ327" s="79"/>
      <c r="AR327" s="79"/>
      <c r="AS327" s="79"/>
      <c r="AT327" s="79"/>
      <c r="AU327" s="79"/>
      <c r="AV327" s="79"/>
      <c r="AW327" s="79"/>
      <c r="AX327" s="43"/>
      <c r="AY327" s="43"/>
      <c r="AZ327" s="43"/>
      <c r="BA327" s="43"/>
      <c r="BB327" s="538" t="str">
        <f ca="1">IF(FO319=0,"",".")</f>
        <v/>
      </c>
      <c r="BC327" s="545"/>
      <c r="BD327" s="545"/>
      <c r="BE327" s="545"/>
      <c r="BF327" s="545"/>
      <c r="BG327" s="545"/>
      <c r="BH327" s="545"/>
      <c r="BI327" s="545"/>
      <c r="BJ327" s="545"/>
      <c r="BK327" s="545"/>
      <c r="BL327" s="545"/>
      <c r="BM327" s="545"/>
      <c r="BN327" s="545"/>
      <c r="BO327" s="545"/>
      <c r="BP327" s="545"/>
      <c r="BQ327" s="545"/>
      <c r="BR327" s="545"/>
      <c r="BS327" s="545"/>
      <c r="BT327" s="545"/>
      <c r="BU327" s="545"/>
      <c r="BV327" s="545"/>
      <c r="BW327" s="545"/>
      <c r="BX327" s="545"/>
      <c r="BY327" s="545"/>
      <c r="BZ327" s="545"/>
      <c r="CA327" s="545"/>
      <c r="CB327" s="545"/>
      <c r="CC327" s="545"/>
      <c r="CD327" s="545"/>
      <c r="CE327" s="545"/>
      <c r="CF327" s="126"/>
      <c r="CG327" s="126"/>
      <c r="CH327" s="126"/>
      <c r="CI327" s="126"/>
      <c r="CJ327" s="43"/>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39"/>
      <c r="DO327" s="39"/>
      <c r="DP327" s="39"/>
      <c r="DQ327" s="39"/>
      <c r="DR327" s="39"/>
      <c r="DS327" s="39"/>
      <c r="DT327" s="39"/>
      <c r="DU327" s="39"/>
      <c r="DV327" s="39"/>
      <c r="DW327" s="39"/>
      <c r="DX327" s="39"/>
      <c r="DY327" s="39"/>
      <c r="DZ327" s="39"/>
      <c r="EA327" s="39"/>
      <c r="EB327" s="39"/>
      <c r="EC327" s="39"/>
      <c r="ED327" s="39"/>
      <c r="EE327" s="39"/>
      <c r="EF327" s="39"/>
      <c r="EG327" s="197"/>
      <c r="EH327" s="197"/>
      <c r="EI327" s="197"/>
      <c r="EJ327" s="197"/>
      <c r="EK327" s="197"/>
      <c r="EL327" s="197"/>
      <c r="EM327" s="197"/>
      <c r="EN327" s="197"/>
      <c r="EO327" s="197"/>
      <c r="EP327" s="197"/>
      <c r="EQ327" s="197"/>
      <c r="ER327" s="197"/>
      <c r="ES327" s="197"/>
      <c r="ET327" s="197"/>
      <c r="EU327" s="197"/>
      <c r="EV327" s="197"/>
      <c r="EW327" s="197"/>
      <c r="EX327" s="197"/>
      <c r="EY327" s="197"/>
      <c r="EZ327" s="197"/>
      <c r="FA327" s="197"/>
      <c r="FB327" s="197"/>
      <c r="FC327" s="197"/>
      <c r="FD327" s="126"/>
      <c r="FE327" s="10"/>
      <c r="FF327" s="10"/>
      <c r="FG327" s="10"/>
      <c r="FH327" s="10"/>
      <c r="FI327" s="10"/>
      <c r="FJ327" s="10"/>
      <c r="FK327" s="25"/>
      <c r="FL327" s="26"/>
      <c r="FM327" s="26"/>
      <c r="FN327" s="47"/>
      <c r="FO327" s="47"/>
      <c r="FP327" s="47"/>
      <c r="FQ327" s="47"/>
      <c r="FR327" s="47"/>
      <c r="FS327" s="47"/>
      <c r="FT327" s="47"/>
      <c r="FU327" s="49"/>
      <c r="FV327" s="49"/>
      <c r="FW327" s="49"/>
      <c r="FX327" s="49"/>
      <c r="FY327" s="32"/>
      <c r="FZ327" s="32"/>
      <c r="GA327" s="32"/>
      <c r="GB327" s="32"/>
      <c r="GC327" s="32"/>
      <c r="GD327" s="32"/>
      <c r="GE327" s="32"/>
      <c r="GF327" s="32"/>
      <c r="GG327" s="32"/>
      <c r="GH327" s="32"/>
      <c r="GI327" s="32"/>
      <c r="GJ327" s="32"/>
      <c r="GK327" s="32"/>
      <c r="GL327" s="32"/>
      <c r="GM327" s="49"/>
      <c r="GN327" s="49"/>
      <c r="GO327" s="49"/>
      <c r="GP327" s="49"/>
      <c r="GQ327" s="49"/>
      <c r="GR327" s="49"/>
      <c r="GS327" s="49"/>
      <c r="GT327" s="49"/>
      <c r="GU327" s="49"/>
      <c r="GV327" s="49"/>
      <c r="GW327" s="49"/>
      <c r="GX327" s="49"/>
      <c r="GY327" s="49"/>
      <c r="GZ327" s="49"/>
      <c r="HA327" s="49"/>
      <c r="HB327" s="49"/>
      <c r="HC327" s="49"/>
      <c r="HD327" s="49"/>
      <c r="HE327" s="49"/>
      <c r="HF327" s="49"/>
      <c r="HG327" s="49"/>
      <c r="HH327" s="49"/>
      <c r="HI327" s="49"/>
      <c r="HJ327" s="49"/>
      <c r="HK327" s="49"/>
      <c r="HL327" s="49"/>
      <c r="HM327" s="49"/>
      <c r="HN327" s="49"/>
    </row>
    <row r="328" spans="1:222" ht="9" customHeight="1">
      <c r="A328" s="1"/>
      <c r="B328" s="3"/>
      <c r="C328" s="3"/>
      <c r="D328" s="38"/>
      <c r="E328" s="126"/>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26"/>
      <c r="AG328" s="126"/>
      <c r="AH328" s="126"/>
      <c r="AI328" s="43"/>
      <c r="AJ328" s="43"/>
      <c r="AK328" s="43"/>
      <c r="AL328" s="43"/>
      <c r="AM328" s="43"/>
      <c r="AN328" s="43"/>
      <c r="AO328" s="43"/>
      <c r="AP328" s="43"/>
      <c r="AQ328" s="79"/>
      <c r="AR328" s="79"/>
      <c r="AS328" s="79"/>
      <c r="AT328" s="79"/>
      <c r="AU328" s="79"/>
      <c r="AV328" s="79"/>
      <c r="AW328" s="79"/>
      <c r="AX328" s="43"/>
      <c r="AY328" s="43"/>
      <c r="AZ328" s="43"/>
      <c r="BA328" s="43"/>
      <c r="BB328" s="195"/>
      <c r="BC328" s="197"/>
      <c r="BD328" s="197"/>
      <c r="BE328" s="197"/>
      <c r="BF328" s="197"/>
      <c r="BG328" s="197"/>
      <c r="BH328" s="197"/>
      <c r="BI328" s="197"/>
      <c r="BJ328" s="197"/>
      <c r="BK328" s="197"/>
      <c r="BL328" s="197"/>
      <c r="BM328" s="197"/>
      <c r="BN328" s="197"/>
      <c r="BO328" s="197"/>
      <c r="BP328" s="197"/>
      <c r="BQ328" s="197"/>
      <c r="BR328" s="197"/>
      <c r="BS328" s="197"/>
      <c r="BT328" s="197"/>
      <c r="BU328" s="197"/>
      <c r="BV328" s="197"/>
      <c r="BW328" s="197"/>
      <c r="BX328" s="197"/>
      <c r="BY328" s="197"/>
      <c r="BZ328" s="197"/>
      <c r="CA328" s="197"/>
      <c r="CB328" s="197"/>
      <c r="CC328" s="197"/>
      <c r="CD328" s="197"/>
      <c r="CE328" s="197"/>
      <c r="CF328" s="126"/>
      <c r="CG328" s="126"/>
      <c r="CH328" s="126"/>
      <c r="CI328" s="126"/>
      <c r="CJ328" s="43"/>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39"/>
      <c r="DO328" s="39"/>
      <c r="DP328" s="39"/>
      <c r="DQ328" s="39"/>
      <c r="DR328" s="39"/>
      <c r="DS328" s="39"/>
      <c r="DT328" s="39"/>
      <c r="DU328" s="39"/>
      <c r="DV328" s="39"/>
      <c r="DW328" s="39"/>
      <c r="DX328" s="39"/>
      <c r="DY328" s="39"/>
      <c r="DZ328" s="39"/>
      <c r="EA328" s="39"/>
      <c r="EB328" s="39"/>
      <c r="EC328" s="39"/>
      <c r="ED328" s="39"/>
      <c r="EE328" s="39"/>
      <c r="EF328" s="39"/>
      <c r="EG328" s="197"/>
      <c r="EH328" s="197"/>
      <c r="EI328" s="197"/>
      <c r="EJ328" s="197"/>
      <c r="EK328" s="197"/>
      <c r="EL328" s="197"/>
      <c r="EM328" s="197"/>
      <c r="EN328" s="197"/>
      <c r="EO328" s="197"/>
      <c r="EP328" s="197"/>
      <c r="EQ328" s="197"/>
      <c r="ER328" s="197"/>
      <c r="ES328" s="197"/>
      <c r="ET328" s="197"/>
      <c r="EU328" s="197"/>
      <c r="EV328" s="197"/>
      <c r="EW328" s="197"/>
      <c r="EX328" s="197"/>
      <c r="EY328" s="197"/>
      <c r="EZ328" s="197"/>
      <c r="FA328" s="197"/>
      <c r="FB328" s="197"/>
      <c r="FC328" s="197"/>
      <c r="FD328" s="126"/>
      <c r="FE328" s="10"/>
      <c r="FF328" s="10"/>
      <c r="FG328" s="10"/>
      <c r="FH328" s="10"/>
      <c r="FI328" s="10"/>
      <c r="FJ328" s="10"/>
      <c r="FK328" s="25"/>
      <c r="FL328" s="26"/>
      <c r="FM328" s="26"/>
      <c r="FN328" s="47"/>
      <c r="FO328" s="47"/>
      <c r="FP328" s="47"/>
      <c r="FQ328" s="47"/>
      <c r="FR328" s="47"/>
      <c r="FS328" s="47"/>
      <c r="FT328" s="47"/>
      <c r="FU328" s="49"/>
      <c r="FV328" s="49"/>
      <c r="FW328" s="49"/>
      <c r="FX328" s="49"/>
      <c r="FY328" s="32"/>
      <c r="FZ328" s="32"/>
      <c r="GA328" s="32"/>
      <c r="GB328" s="32"/>
      <c r="GC328" s="32"/>
      <c r="GD328" s="32"/>
      <c r="GE328" s="32"/>
      <c r="GF328" s="32"/>
      <c r="GG328" s="32"/>
      <c r="GH328" s="32"/>
      <c r="GI328" s="32"/>
      <c r="GJ328" s="32"/>
      <c r="GK328" s="32"/>
      <c r="GL328" s="32"/>
      <c r="GM328" s="49"/>
      <c r="GN328" s="49"/>
      <c r="GO328" s="49"/>
      <c r="GP328" s="49"/>
      <c r="GQ328" s="49"/>
      <c r="GR328" s="49"/>
      <c r="GS328" s="49"/>
      <c r="GT328" s="49"/>
      <c r="GU328" s="49"/>
      <c r="GV328" s="49"/>
      <c r="GW328" s="49"/>
      <c r="GX328" s="49"/>
      <c r="GY328" s="49"/>
      <c r="GZ328" s="49"/>
      <c r="HA328" s="49"/>
      <c r="HB328" s="49"/>
      <c r="HC328" s="49"/>
      <c r="HD328" s="49"/>
      <c r="HE328" s="49"/>
      <c r="HF328" s="49"/>
      <c r="HG328" s="49"/>
      <c r="HH328" s="49"/>
      <c r="HI328" s="49"/>
      <c r="HJ328" s="49"/>
      <c r="HK328" s="49"/>
      <c r="HL328" s="49"/>
      <c r="HM328" s="49"/>
      <c r="HN328" s="49"/>
    </row>
    <row r="329" spans="1:222" ht="3.75" customHeight="1">
      <c r="A329" s="1"/>
      <c r="B329" s="3"/>
      <c r="C329" s="3"/>
      <c r="D329" s="38"/>
      <c r="E329" s="126"/>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26"/>
      <c r="AG329" s="126"/>
      <c r="AH329" s="126"/>
      <c r="AI329" s="43"/>
      <c r="AJ329" s="43"/>
      <c r="AK329" s="43"/>
      <c r="AL329" s="43"/>
      <c r="AM329" s="43"/>
      <c r="AN329" s="43"/>
      <c r="AO329" s="43"/>
      <c r="AP329" s="43"/>
      <c r="AQ329" s="79"/>
      <c r="AR329" s="79"/>
      <c r="AS329" s="79"/>
      <c r="AT329" s="79"/>
      <c r="AU329" s="79"/>
      <c r="AV329" s="79"/>
      <c r="AW329" s="79"/>
      <c r="AX329" s="43"/>
      <c r="AY329" s="43"/>
      <c r="AZ329" s="43"/>
      <c r="BA329" s="43"/>
      <c r="BB329" s="538" t="str">
        <f ca="1">IF(FO319=0,"",".")</f>
        <v/>
      </c>
      <c r="BC329" s="545"/>
      <c r="BD329" s="545"/>
      <c r="BE329" s="545"/>
      <c r="BF329" s="545"/>
      <c r="BG329" s="545"/>
      <c r="BH329" s="545"/>
      <c r="BI329" s="545"/>
      <c r="BJ329" s="545"/>
      <c r="BK329" s="545"/>
      <c r="BL329" s="545"/>
      <c r="BM329" s="545"/>
      <c r="BN329" s="545"/>
      <c r="BO329" s="545"/>
      <c r="BP329" s="545"/>
      <c r="BQ329" s="545"/>
      <c r="BR329" s="545"/>
      <c r="BS329" s="545"/>
      <c r="BT329" s="545"/>
      <c r="BU329" s="545"/>
      <c r="BV329" s="545"/>
      <c r="BW329" s="545"/>
      <c r="BX329" s="545"/>
      <c r="BY329" s="545"/>
      <c r="BZ329" s="545"/>
      <c r="CA329" s="545"/>
      <c r="CB329" s="545"/>
      <c r="CC329" s="545"/>
      <c r="CD329" s="545"/>
      <c r="CE329" s="545"/>
      <c r="CF329" s="126"/>
      <c r="CG329" s="55"/>
      <c r="CH329" s="55"/>
      <c r="CI329" s="55"/>
      <c r="CJ329" s="55"/>
      <c r="CK329" s="55"/>
      <c r="CL329" s="55"/>
      <c r="CM329" s="55"/>
      <c r="CN329" s="55"/>
      <c r="CO329" s="55"/>
      <c r="CP329" s="55"/>
      <c r="CQ329" s="55"/>
      <c r="CR329" s="55"/>
      <c r="CS329" s="43"/>
      <c r="CT329" s="43"/>
      <c r="CU329" s="43"/>
      <c r="CV329" s="43"/>
      <c r="CW329" s="43"/>
      <c r="CX329" s="43"/>
      <c r="CY329" s="43"/>
      <c r="CZ329" s="43"/>
      <c r="DA329" s="43"/>
      <c r="DB329" s="43"/>
      <c r="DC329" s="79"/>
      <c r="DD329" s="79"/>
      <c r="DE329" s="79"/>
      <c r="DF329" s="79"/>
      <c r="DG329" s="79"/>
      <c r="DH329" s="79"/>
      <c r="DI329" s="79"/>
      <c r="DJ329" s="79"/>
      <c r="DK329" s="79"/>
      <c r="DL329" s="79"/>
      <c r="DM329" s="79"/>
      <c r="DN329" s="39"/>
      <c r="DO329" s="39"/>
      <c r="DP329" s="39"/>
      <c r="DQ329" s="39"/>
      <c r="DR329" s="39"/>
      <c r="DS329" s="39"/>
      <c r="DT329" s="39"/>
      <c r="DU329" s="39"/>
      <c r="DV329" s="39"/>
      <c r="DW329" s="39"/>
      <c r="DX329" s="39"/>
      <c r="DY329" s="39"/>
      <c r="DZ329" s="39"/>
      <c r="EA329" s="39"/>
      <c r="EB329" s="39"/>
      <c r="EC329" s="39"/>
      <c r="ED329" s="39"/>
      <c r="EE329" s="39"/>
      <c r="EF329" s="39"/>
      <c r="EG329" s="197"/>
      <c r="EH329" s="197"/>
      <c r="EI329" s="197"/>
      <c r="EJ329" s="197"/>
      <c r="EK329" s="197"/>
      <c r="EL329" s="197"/>
      <c r="EM329" s="197"/>
      <c r="EN329" s="197"/>
      <c r="EO329" s="197"/>
      <c r="EP329" s="197"/>
      <c r="EQ329" s="197"/>
      <c r="ER329" s="197"/>
      <c r="ES329" s="197"/>
      <c r="ET329" s="197"/>
      <c r="EU329" s="197"/>
      <c r="EV329" s="197"/>
      <c r="EW329" s="197"/>
      <c r="EX329" s="197"/>
      <c r="EY329" s="197"/>
      <c r="EZ329" s="197"/>
      <c r="FA329" s="197"/>
      <c r="FB329" s="197"/>
      <c r="FC329" s="197"/>
      <c r="FD329" s="126"/>
      <c r="FE329" s="10"/>
      <c r="FF329" s="10"/>
      <c r="FG329" s="10"/>
      <c r="FH329" s="10"/>
      <c r="FI329" s="10"/>
      <c r="FJ329" s="10"/>
      <c r="FK329" s="25"/>
      <c r="FL329" s="26"/>
      <c r="FM329" s="26"/>
      <c r="FN329" s="47"/>
      <c r="FO329" s="47"/>
      <c r="FP329" s="47"/>
      <c r="FQ329" s="47"/>
      <c r="FR329" s="47"/>
      <c r="FS329" s="47"/>
      <c r="FT329" s="47"/>
      <c r="FU329" s="49"/>
      <c r="FV329" s="49"/>
      <c r="FW329" s="49"/>
      <c r="FX329" s="49"/>
      <c r="FY329" s="32"/>
      <c r="FZ329" s="32"/>
      <c r="GA329" s="32"/>
      <c r="GB329" s="32"/>
      <c r="GC329" s="32"/>
      <c r="GD329" s="32"/>
      <c r="GE329" s="32"/>
      <c r="GF329" s="32"/>
      <c r="GG329" s="32"/>
      <c r="GH329" s="32"/>
      <c r="GI329" s="32"/>
      <c r="GJ329" s="32"/>
      <c r="GK329" s="32"/>
      <c r="GL329" s="32"/>
      <c r="GM329" s="49"/>
      <c r="GN329" s="49"/>
      <c r="GO329" s="49"/>
      <c r="GP329" s="49"/>
      <c r="GQ329" s="49"/>
      <c r="GR329" s="49"/>
      <c r="GS329" s="49"/>
      <c r="GT329" s="49"/>
      <c r="GU329" s="49"/>
      <c r="GV329" s="49"/>
      <c r="GW329" s="49"/>
      <c r="GX329" s="49"/>
      <c r="GY329" s="49"/>
      <c r="GZ329" s="49"/>
      <c r="HA329" s="49"/>
      <c r="HB329" s="49"/>
      <c r="HC329" s="49"/>
      <c r="HD329" s="49"/>
      <c r="HE329" s="49"/>
      <c r="HF329" s="49"/>
      <c r="HG329" s="49"/>
      <c r="HH329" s="49"/>
      <c r="HI329" s="49"/>
      <c r="HJ329" s="49"/>
      <c r="HK329" s="49"/>
      <c r="HL329" s="49"/>
      <c r="HM329" s="49"/>
      <c r="HN329" s="49"/>
    </row>
    <row r="330" spans="1:222" ht="16.5" customHeight="1">
      <c r="A330" s="1"/>
      <c r="B330" s="476"/>
      <c r="C330" s="3"/>
      <c r="D330" s="43"/>
      <c r="E330" s="126"/>
      <c r="F330" s="10"/>
      <c r="G330" s="10"/>
      <c r="H330" s="10"/>
      <c r="I330" s="10"/>
      <c r="J330" s="79"/>
      <c r="K330" s="10"/>
      <c r="L330" s="10"/>
      <c r="M330" s="10"/>
      <c r="N330" s="10"/>
      <c r="O330" s="10"/>
      <c r="P330" s="10"/>
      <c r="Q330" s="10"/>
      <c r="R330" s="10"/>
      <c r="S330" s="10"/>
      <c r="T330" s="10"/>
      <c r="U330" s="10"/>
      <c r="V330" s="10"/>
      <c r="W330" s="10"/>
      <c r="X330" s="10"/>
      <c r="Y330" s="10"/>
      <c r="Z330" s="10"/>
      <c r="AA330" s="10"/>
      <c r="AB330" s="10"/>
      <c r="AC330" s="10"/>
      <c r="AD330" s="10"/>
      <c r="AE330" s="10"/>
      <c r="AF330" s="126"/>
      <c r="AG330" s="126"/>
      <c r="AH330" s="126"/>
      <c r="AI330" s="43"/>
      <c r="AJ330" s="43"/>
      <c r="AK330" s="43"/>
      <c r="AL330" s="43"/>
      <c r="AM330" s="43"/>
      <c r="AN330" s="43"/>
      <c r="AO330" s="43"/>
      <c r="AP330" s="43"/>
      <c r="AQ330" s="79"/>
      <c r="AR330" s="79"/>
      <c r="AS330" s="79"/>
      <c r="AT330" s="79"/>
      <c r="AU330" s="79"/>
      <c r="AV330" s="79"/>
      <c r="AW330" s="79"/>
      <c r="AX330" s="43"/>
      <c r="AY330" s="43"/>
      <c r="AZ330" s="184" t="str">
        <f ca="1">IF(FO319=0,"","De totale kosten zijn:")</f>
        <v/>
      </c>
      <c r="BA330" s="43"/>
      <c r="BB330" s="195" t="str">
        <f ca="1">IF(FO319=0,"",".")</f>
        <v/>
      </c>
      <c r="BC330" s="698"/>
      <c r="BD330" s="699"/>
      <c r="BE330" s="699"/>
      <c r="BF330" s="699"/>
      <c r="BG330" s="699"/>
      <c r="BH330" s="699"/>
      <c r="BI330" s="699"/>
      <c r="BJ330" s="699"/>
      <c r="BK330" s="699"/>
      <c r="BL330" s="699"/>
      <c r="BM330" s="699"/>
      <c r="BN330" s="699"/>
      <c r="BO330" s="699"/>
      <c r="BP330" s="699"/>
      <c r="BQ330" s="699"/>
      <c r="BR330" s="699"/>
      <c r="BS330" s="699"/>
      <c r="BT330" s="699"/>
      <c r="BU330" s="699"/>
      <c r="BV330" s="699"/>
      <c r="BW330" s="699"/>
      <c r="BX330" s="699"/>
      <c r="BY330" s="700"/>
      <c r="BZ330" s="700"/>
      <c r="CA330" s="700"/>
      <c r="CB330" s="700"/>
      <c r="CC330" s="700"/>
      <c r="CD330" s="700"/>
      <c r="CE330" s="195" t="str">
        <f ca="1">IF(FO319=0,"",".")</f>
        <v/>
      </c>
      <c r="CF330" s="126"/>
      <c r="CG330" s="186" t="str">
        <f ca="1">IF(FO319=0,"",IF(BC330="","",IF(AND(programma!$A$301="uitwerking",$B330="X"),FM330,IF(AND(BC330&gt;FP330-0.00001,BC330&lt;FP330+0.00001),"Goed!",IF(AND(BC330&gt;=FP330-0.01,BC330&lt;=FP330+0.01),"Je hebt niet goed afgerond!","Fout! Probeer het opnieuw.")))))</f>
        <v/>
      </c>
      <c r="CH330" s="55"/>
      <c r="CI330" s="55"/>
      <c r="CJ330" s="55"/>
      <c r="CK330" s="55"/>
      <c r="CL330" s="55"/>
      <c r="CM330" s="55"/>
      <c r="CN330" s="55"/>
      <c r="CO330" s="55"/>
      <c r="CP330" s="55"/>
      <c r="CQ330" s="55"/>
      <c r="CR330" s="55"/>
      <c r="CS330" s="43"/>
      <c r="CT330" s="43"/>
      <c r="CU330" s="43"/>
      <c r="CV330" s="43"/>
      <c r="CW330" s="43"/>
      <c r="CX330" s="43"/>
      <c r="CY330" s="43"/>
      <c r="CZ330" s="43"/>
      <c r="DA330" s="43"/>
      <c r="DB330" s="43"/>
      <c r="DC330" s="79"/>
      <c r="DD330" s="79"/>
      <c r="DE330" s="79"/>
      <c r="DF330" s="79"/>
      <c r="DG330" s="79"/>
      <c r="DH330" s="79"/>
      <c r="DI330" s="79"/>
      <c r="DJ330" s="79"/>
      <c r="DK330" s="79"/>
      <c r="DL330" s="79"/>
      <c r="DM330" s="79"/>
      <c r="DN330" s="220"/>
      <c r="DO330" s="221"/>
      <c r="DP330" s="221"/>
      <c r="DQ330" s="221"/>
      <c r="DR330" s="221"/>
      <c r="DS330" s="221"/>
      <c r="DT330" s="221"/>
      <c r="DU330" s="221"/>
      <c r="DV330" s="221"/>
      <c r="DW330" s="221"/>
      <c r="DX330" s="221"/>
      <c r="DY330" s="221"/>
      <c r="DZ330" s="221"/>
      <c r="EA330" s="221"/>
      <c r="EB330" s="221"/>
      <c r="EC330" s="221"/>
      <c r="ED330" s="221"/>
      <c r="EE330" s="221"/>
      <c r="EF330" s="221"/>
      <c r="EG330" s="221"/>
      <c r="EH330" s="221"/>
      <c r="EI330" s="221"/>
      <c r="EJ330" s="221"/>
      <c r="EK330" s="221"/>
      <c r="EL330" s="221"/>
      <c r="EM330" s="221"/>
      <c r="EN330" s="221"/>
      <c r="EO330" s="221"/>
      <c r="EP330" s="221"/>
      <c r="EQ330" s="221"/>
      <c r="ER330" s="221"/>
      <c r="ES330" s="221"/>
      <c r="ET330" s="221"/>
      <c r="EU330" s="221"/>
      <c r="EV330" s="221"/>
      <c r="EW330" s="221"/>
      <c r="EX330" s="221"/>
      <c r="EY330" s="221"/>
      <c r="EZ330" s="221"/>
      <c r="FA330" s="197"/>
      <c r="FB330" s="44"/>
      <c r="FC330" s="208"/>
      <c r="FD330" s="208"/>
      <c r="FE330" s="208"/>
      <c r="FF330" s="10"/>
      <c r="FG330" s="10"/>
      <c r="FH330" s="10"/>
      <c r="FI330" s="10"/>
      <c r="FJ330" s="10"/>
      <c r="FK330" s="25"/>
      <c r="FL330" s="26"/>
      <c r="FM330" s="473" t="e">
        <f ca="1">"= "&amp;BQ297&amp;" x "&amp;FP313&amp;" + "&amp;BQ303&amp;" = "&amp;FP330</f>
        <v>#DIV/0!</v>
      </c>
      <c r="FN330" s="47"/>
      <c r="FO330" s="48">
        <f ca="1">IF(programma!B1="X",1,IF(FO319=0,0,IF(AND(BC330&gt;FP330-0.00001,BC330&lt;FP330+0.00001),1,0)))</f>
        <v>0</v>
      </c>
      <c r="FP330" s="103" t="e">
        <f ca="1">IF(FO1=0,"",ROUND(FR293*FP313^2+BQ297*FP313+BQ303,2))</f>
        <v>#DIV/0!</v>
      </c>
      <c r="FQ330" s="79"/>
      <c r="FR330" s="188"/>
      <c r="FS330" s="48"/>
      <c r="FT330" s="48"/>
      <c r="FU330" s="48"/>
      <c r="FV330" s="48"/>
      <c r="FW330" s="48"/>
      <c r="FX330" s="48"/>
      <c r="FY330" s="32"/>
      <c r="FZ330" s="32"/>
      <c r="GA330" s="32"/>
      <c r="GB330" s="32"/>
      <c r="GC330" s="32"/>
      <c r="GD330" s="32"/>
      <c r="GE330" s="32"/>
      <c r="GF330" s="32"/>
      <c r="GG330" s="32"/>
      <c r="GH330" s="32"/>
      <c r="GI330" s="32"/>
      <c r="GJ330" s="32"/>
      <c r="GK330" s="32"/>
      <c r="GL330" s="32"/>
      <c r="GM330" s="49"/>
      <c r="GN330" s="49"/>
      <c r="GO330" s="49"/>
      <c r="GP330" s="49"/>
      <c r="GQ330" s="49"/>
      <c r="GR330" s="49"/>
      <c r="GS330" s="49"/>
      <c r="GT330" s="49"/>
      <c r="GU330" s="49"/>
      <c r="GV330" s="49"/>
      <c r="GW330" s="49"/>
      <c r="GX330" s="49"/>
      <c r="GY330" s="49"/>
      <c r="GZ330" s="49"/>
      <c r="HA330" s="49"/>
      <c r="HB330" s="49"/>
      <c r="HC330" s="49"/>
      <c r="HD330" s="49"/>
      <c r="HE330" s="49"/>
      <c r="HF330" s="49"/>
      <c r="HG330" s="49"/>
      <c r="HH330" s="49"/>
      <c r="HI330" s="49"/>
      <c r="HJ330" s="49"/>
      <c r="HK330" s="49"/>
      <c r="HL330" s="49"/>
      <c r="HM330" s="49"/>
      <c r="HN330" s="49"/>
    </row>
    <row r="331" spans="1:222" ht="3.75" customHeight="1">
      <c r="A331" s="1"/>
      <c r="B331" s="3"/>
      <c r="C331" s="3"/>
      <c r="D331" s="38"/>
      <c r="E331" s="126"/>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26"/>
      <c r="AG331" s="126"/>
      <c r="AH331" s="126"/>
      <c r="AI331" s="43"/>
      <c r="AJ331" s="43"/>
      <c r="AK331" s="43"/>
      <c r="AL331" s="43"/>
      <c r="AM331" s="43"/>
      <c r="AN331" s="43"/>
      <c r="AO331" s="43"/>
      <c r="AP331" s="43"/>
      <c r="AQ331" s="79"/>
      <c r="AR331" s="79"/>
      <c r="AS331" s="79"/>
      <c r="AT331" s="79"/>
      <c r="AU331" s="79"/>
      <c r="AV331" s="79"/>
      <c r="AW331" s="79"/>
      <c r="AX331" s="43"/>
      <c r="AY331" s="43"/>
      <c r="AZ331" s="43"/>
      <c r="BA331" s="43"/>
      <c r="BB331" s="538" t="str">
        <f ca="1">IF(FO319=0,"",".")</f>
        <v/>
      </c>
      <c r="BC331" s="545"/>
      <c r="BD331" s="545"/>
      <c r="BE331" s="545"/>
      <c r="BF331" s="545"/>
      <c r="BG331" s="545"/>
      <c r="BH331" s="545"/>
      <c r="BI331" s="545"/>
      <c r="BJ331" s="545"/>
      <c r="BK331" s="545"/>
      <c r="BL331" s="545"/>
      <c r="BM331" s="545"/>
      <c r="BN331" s="545"/>
      <c r="BO331" s="545"/>
      <c r="BP331" s="545"/>
      <c r="BQ331" s="545"/>
      <c r="BR331" s="545"/>
      <c r="BS331" s="545"/>
      <c r="BT331" s="545"/>
      <c r="BU331" s="545"/>
      <c r="BV331" s="545"/>
      <c r="BW331" s="545"/>
      <c r="BX331" s="545"/>
      <c r="BY331" s="545"/>
      <c r="BZ331" s="545"/>
      <c r="CA331" s="545"/>
      <c r="CB331" s="545"/>
      <c r="CC331" s="545"/>
      <c r="CD331" s="545"/>
      <c r="CE331" s="545"/>
      <c r="CF331" s="126"/>
      <c r="CG331" s="126"/>
      <c r="CH331" s="126"/>
      <c r="CI331" s="126"/>
      <c r="CJ331" s="43"/>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39"/>
      <c r="DO331" s="39"/>
      <c r="DP331" s="39"/>
      <c r="DQ331" s="39"/>
      <c r="DR331" s="39"/>
      <c r="DS331" s="39"/>
      <c r="DT331" s="39"/>
      <c r="DU331" s="39"/>
      <c r="DV331" s="39"/>
      <c r="DW331" s="39"/>
      <c r="DX331" s="39"/>
      <c r="DY331" s="39"/>
      <c r="DZ331" s="39"/>
      <c r="EA331" s="39"/>
      <c r="EB331" s="39"/>
      <c r="EC331" s="39"/>
      <c r="ED331" s="39"/>
      <c r="EE331" s="39"/>
      <c r="EF331" s="39"/>
      <c r="EG331" s="197"/>
      <c r="EH331" s="197"/>
      <c r="EI331" s="197"/>
      <c r="EJ331" s="197"/>
      <c r="EK331" s="197"/>
      <c r="EL331" s="197"/>
      <c r="EM331" s="197"/>
      <c r="EN331" s="197"/>
      <c r="EO331" s="197"/>
      <c r="EP331" s="197"/>
      <c r="EQ331" s="197"/>
      <c r="ER331" s="197"/>
      <c r="ES331" s="197"/>
      <c r="ET331" s="197"/>
      <c r="EU331" s="197"/>
      <c r="EV331" s="197"/>
      <c r="EW331" s="197"/>
      <c r="EX331" s="197"/>
      <c r="EY331" s="197"/>
      <c r="EZ331" s="197"/>
      <c r="FA331" s="197"/>
      <c r="FB331" s="197"/>
      <c r="FC331" s="197"/>
      <c r="FD331" s="126"/>
      <c r="FE331" s="10"/>
      <c r="FF331" s="10"/>
      <c r="FG331" s="10"/>
      <c r="FH331" s="10"/>
      <c r="FI331" s="10"/>
      <c r="FJ331" s="10"/>
      <c r="FK331" s="25"/>
      <c r="FL331" s="26"/>
      <c r="FM331" s="26"/>
      <c r="FN331" s="47"/>
      <c r="FO331" s="47"/>
      <c r="FP331" s="47"/>
      <c r="FQ331" s="47"/>
      <c r="FR331" s="47"/>
      <c r="FS331" s="47"/>
      <c r="FT331" s="47"/>
      <c r="FU331" s="49"/>
      <c r="FV331" s="49"/>
      <c r="FW331" s="49"/>
      <c r="FX331" s="49"/>
      <c r="FY331" s="32"/>
      <c r="FZ331" s="32"/>
      <c r="GA331" s="32"/>
      <c r="GB331" s="32"/>
      <c r="GC331" s="32"/>
      <c r="GD331" s="32"/>
      <c r="GE331" s="32"/>
      <c r="GF331" s="32"/>
      <c r="GG331" s="32"/>
      <c r="GH331" s="32"/>
      <c r="GI331" s="32"/>
      <c r="GJ331" s="32"/>
      <c r="GK331" s="32"/>
      <c r="GL331" s="32"/>
      <c r="GM331" s="49"/>
      <c r="GN331" s="49"/>
      <c r="GO331" s="49"/>
      <c r="GP331" s="49"/>
      <c r="GQ331" s="49"/>
      <c r="GR331" s="49"/>
      <c r="GS331" s="49"/>
      <c r="GT331" s="49"/>
      <c r="GU331" s="49"/>
      <c r="GV331" s="49"/>
      <c r="GW331" s="49"/>
      <c r="GX331" s="49"/>
      <c r="GY331" s="49"/>
      <c r="GZ331" s="49"/>
      <c r="HA331" s="49"/>
      <c r="HB331" s="49"/>
      <c r="HC331" s="49"/>
      <c r="HD331" s="49"/>
      <c r="HE331" s="49"/>
      <c r="HF331" s="49"/>
      <c r="HG331" s="49"/>
      <c r="HH331" s="49"/>
      <c r="HI331" s="49"/>
      <c r="HJ331" s="49"/>
      <c r="HK331" s="49"/>
      <c r="HL331" s="49"/>
      <c r="HM331" s="49"/>
      <c r="HN331" s="49"/>
    </row>
    <row r="332" spans="1:222" ht="7.5" customHeight="1">
      <c r="A332" s="1"/>
      <c r="B332" s="3"/>
      <c r="C332" s="3"/>
      <c r="D332" s="38"/>
      <c r="E332" s="126"/>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26"/>
      <c r="AG332" s="126"/>
      <c r="AH332" s="126"/>
      <c r="AI332" s="126"/>
      <c r="AJ332" s="126"/>
      <c r="AK332" s="126"/>
      <c r="AL332" s="126"/>
      <c r="AM332" s="126"/>
      <c r="AN332" s="126"/>
      <c r="AO332" s="126"/>
      <c r="AP332" s="126"/>
      <c r="AQ332" s="79"/>
      <c r="AR332" s="79"/>
      <c r="AS332" s="79"/>
      <c r="AT332" s="79"/>
      <c r="AU332" s="79"/>
      <c r="AV332" s="79"/>
      <c r="AW332" s="79"/>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c r="BY332" s="126"/>
      <c r="BZ332" s="126"/>
      <c r="CA332" s="126"/>
      <c r="CB332" s="126"/>
      <c r="CC332" s="126"/>
      <c r="CD332" s="126"/>
      <c r="CE332" s="126"/>
      <c r="CF332" s="126"/>
      <c r="CG332" s="126"/>
      <c r="CH332" s="126"/>
      <c r="CI332" s="126"/>
      <c r="CJ332" s="126"/>
      <c r="CK332" s="126"/>
      <c r="CL332" s="126"/>
      <c r="CM332" s="126"/>
      <c r="CN332" s="126"/>
      <c r="CO332" s="126"/>
      <c r="CP332" s="126"/>
      <c r="CQ332" s="126"/>
      <c r="CR332" s="126"/>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39"/>
      <c r="DO332" s="39"/>
      <c r="DP332" s="39"/>
      <c r="DQ332" s="39"/>
      <c r="DR332" s="39"/>
      <c r="DS332" s="39"/>
      <c r="DT332" s="39"/>
      <c r="DU332" s="39"/>
      <c r="DV332" s="39"/>
      <c r="DW332" s="39"/>
      <c r="DX332" s="39"/>
      <c r="DY332" s="39"/>
      <c r="DZ332" s="39"/>
      <c r="EA332" s="39"/>
      <c r="EB332" s="39"/>
      <c r="EC332" s="39"/>
      <c r="ED332" s="39"/>
      <c r="EE332" s="39"/>
      <c r="EF332" s="39"/>
      <c r="EG332" s="126"/>
      <c r="EH332" s="126"/>
      <c r="EI332" s="126"/>
      <c r="EJ332" s="126"/>
      <c r="EK332" s="126"/>
      <c r="EL332" s="126"/>
      <c r="EM332" s="126"/>
      <c r="EN332" s="126"/>
      <c r="EO332" s="126"/>
      <c r="EP332" s="126"/>
      <c r="EQ332" s="126"/>
      <c r="ER332" s="126"/>
      <c r="ES332" s="126"/>
      <c r="ET332" s="126"/>
      <c r="EU332" s="126"/>
      <c r="EV332" s="126"/>
      <c r="EW332" s="126"/>
      <c r="EX332" s="126"/>
      <c r="EY332" s="126"/>
      <c r="EZ332" s="126"/>
      <c r="FA332" s="126"/>
      <c r="FB332" s="126"/>
      <c r="FC332" s="126"/>
      <c r="FD332" s="126"/>
      <c r="FE332" s="10"/>
      <c r="FF332" s="10"/>
      <c r="FG332" s="10"/>
      <c r="FH332" s="10"/>
      <c r="FI332" s="10"/>
      <c r="FJ332" s="10"/>
      <c r="FK332" s="25"/>
      <c r="FL332" s="26"/>
      <c r="FM332" s="26"/>
      <c r="FN332" s="47"/>
      <c r="FO332" s="47"/>
      <c r="FP332" s="47"/>
      <c r="FQ332" s="47"/>
      <c r="FR332" s="47"/>
      <c r="FS332" s="47"/>
      <c r="FT332" s="47"/>
      <c r="FU332" s="49"/>
      <c r="FV332" s="49"/>
      <c r="FW332" s="49"/>
      <c r="FX332" s="49"/>
      <c r="FY332" s="32"/>
      <c r="FZ332" s="32"/>
      <c r="GA332" s="32"/>
      <c r="GB332" s="32"/>
      <c r="GC332" s="32"/>
      <c r="GD332" s="32"/>
      <c r="GE332" s="32"/>
      <c r="GF332" s="32"/>
      <c r="GG332" s="32"/>
      <c r="GH332" s="32"/>
      <c r="GI332" s="32"/>
      <c r="GJ332" s="32"/>
      <c r="GK332" s="32"/>
      <c r="GL332" s="32"/>
      <c r="GM332" s="49"/>
      <c r="GN332" s="49"/>
      <c r="GO332" s="49"/>
      <c r="GP332" s="49"/>
      <c r="GQ332" s="49"/>
      <c r="GR332" s="49"/>
      <c r="GS332" s="49"/>
      <c r="GT332" s="49"/>
      <c r="GU332" s="49"/>
      <c r="GV332" s="49"/>
      <c r="GW332" s="49"/>
      <c r="GX332" s="49"/>
      <c r="GY332" s="49"/>
      <c r="GZ332" s="49"/>
      <c r="HA332" s="49"/>
      <c r="HB332" s="49"/>
      <c r="HC332" s="49"/>
      <c r="HD332" s="49"/>
      <c r="HE332" s="49"/>
      <c r="HF332" s="49"/>
      <c r="HG332" s="49"/>
      <c r="HH332" s="49"/>
      <c r="HI332" s="49"/>
      <c r="HJ332" s="49"/>
      <c r="HK332" s="49"/>
      <c r="HL332" s="49"/>
      <c r="HM332" s="49"/>
      <c r="HN332" s="49"/>
    </row>
    <row r="333" spans="1:222" ht="3.75" customHeight="1">
      <c r="A333" s="1"/>
      <c r="B333" s="3"/>
      <c r="C333" s="3"/>
      <c r="D333" s="38"/>
      <c r="E333" s="126"/>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26"/>
      <c r="AG333" s="126"/>
      <c r="AH333" s="126"/>
      <c r="AI333" s="43"/>
      <c r="AJ333" s="43"/>
      <c r="AK333" s="43"/>
      <c r="AL333" s="43"/>
      <c r="AM333" s="43"/>
      <c r="AN333" s="43"/>
      <c r="AO333" s="43"/>
      <c r="AP333" s="43"/>
      <c r="AQ333" s="79"/>
      <c r="AR333" s="79"/>
      <c r="AS333" s="79"/>
      <c r="AT333" s="79"/>
      <c r="AU333" s="79"/>
      <c r="AV333" s="79"/>
      <c r="AW333" s="79"/>
      <c r="AX333" s="43"/>
      <c r="AY333" s="43"/>
      <c r="AZ333" s="43"/>
      <c r="BA333" s="43"/>
      <c r="BB333" s="538" t="str">
        <f ca="1">IF(FO319=0,"",".")</f>
        <v/>
      </c>
      <c r="BC333" s="545"/>
      <c r="BD333" s="545"/>
      <c r="BE333" s="545"/>
      <c r="BF333" s="545"/>
      <c r="BG333" s="545"/>
      <c r="BH333" s="545"/>
      <c r="BI333" s="545"/>
      <c r="BJ333" s="545"/>
      <c r="BK333" s="545"/>
      <c r="BL333" s="545"/>
      <c r="BM333" s="545"/>
      <c r="BN333" s="545"/>
      <c r="BO333" s="545"/>
      <c r="BP333" s="545"/>
      <c r="BQ333" s="545"/>
      <c r="BR333" s="545"/>
      <c r="BS333" s="545"/>
      <c r="BT333" s="545"/>
      <c r="BU333" s="545"/>
      <c r="BV333" s="545"/>
      <c r="BW333" s="545"/>
      <c r="BX333" s="545"/>
      <c r="BY333" s="545"/>
      <c r="BZ333" s="545"/>
      <c r="CA333" s="545"/>
      <c r="CB333" s="545"/>
      <c r="CC333" s="545"/>
      <c r="CD333" s="545"/>
      <c r="CE333" s="545"/>
      <c r="CF333" s="126"/>
      <c r="CG333" s="219"/>
      <c r="CH333" s="219"/>
      <c r="CI333" s="219"/>
      <c r="CJ333" s="219"/>
      <c r="CK333" s="219"/>
      <c r="CL333" s="219"/>
      <c r="CM333" s="219"/>
      <c r="CN333" s="219"/>
      <c r="CO333" s="219"/>
      <c r="CP333" s="219"/>
      <c r="CQ333" s="219"/>
      <c r="CR333" s="21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43"/>
      <c r="EH333" s="43"/>
      <c r="EI333" s="43"/>
      <c r="EJ333" s="43"/>
      <c r="EK333" s="43"/>
      <c r="EL333" s="43"/>
      <c r="EM333" s="43"/>
      <c r="EN333" s="43"/>
      <c r="EO333" s="43"/>
      <c r="EP333" s="43"/>
      <c r="EQ333" s="43"/>
      <c r="ER333" s="43"/>
      <c r="ES333" s="43"/>
      <c r="ET333" s="43"/>
      <c r="EU333" s="43"/>
      <c r="EV333" s="43"/>
      <c r="EW333" s="43"/>
      <c r="EX333" s="43"/>
      <c r="EY333" s="43"/>
      <c r="EZ333" s="43"/>
      <c r="FA333" s="43"/>
      <c r="FB333" s="43"/>
      <c r="FC333" s="43"/>
      <c r="FD333" s="126"/>
      <c r="FE333" s="10"/>
      <c r="FF333" s="10"/>
      <c r="FG333" s="10"/>
      <c r="FH333" s="10"/>
      <c r="FI333" s="10"/>
      <c r="FJ333" s="10"/>
      <c r="FK333" s="26"/>
      <c r="FL333" s="26"/>
      <c r="FM333" s="26"/>
      <c r="FN333" s="47"/>
      <c r="FO333" s="47"/>
      <c r="FP333" s="47"/>
      <c r="FQ333" s="47"/>
      <c r="FR333" s="47"/>
      <c r="FS333" s="47"/>
      <c r="FT333" s="47"/>
      <c r="FU333" s="49"/>
      <c r="FV333" s="49"/>
      <c r="FW333" s="49"/>
      <c r="FX333" s="49"/>
      <c r="FY333" s="32"/>
      <c r="FZ333" s="32"/>
      <c r="GA333" s="32"/>
      <c r="GB333" s="32"/>
      <c r="GC333" s="32"/>
      <c r="GD333" s="32"/>
      <c r="GE333" s="32"/>
      <c r="GF333" s="32"/>
      <c r="GG333" s="32"/>
      <c r="GH333" s="32"/>
      <c r="GI333" s="32"/>
      <c r="GJ333" s="32"/>
      <c r="GK333" s="32"/>
      <c r="GL333" s="32"/>
      <c r="GM333" s="49"/>
      <c r="GN333" s="49"/>
      <c r="GO333" s="49"/>
      <c r="GP333" s="49"/>
      <c r="GQ333" s="49"/>
      <c r="GR333" s="49"/>
      <c r="GS333" s="49"/>
      <c r="GT333" s="49"/>
      <c r="GU333" s="49"/>
      <c r="GV333" s="49"/>
      <c r="GW333" s="49"/>
      <c r="GX333" s="49"/>
      <c r="GY333" s="49"/>
      <c r="GZ333" s="49"/>
      <c r="HA333" s="49"/>
      <c r="HB333" s="49"/>
      <c r="HC333" s="49"/>
      <c r="HD333" s="49"/>
      <c r="HE333" s="49"/>
      <c r="HF333" s="49"/>
      <c r="HG333" s="49"/>
      <c r="HH333" s="49"/>
      <c r="HI333" s="49"/>
      <c r="HJ333" s="49"/>
      <c r="HK333" s="49"/>
      <c r="HL333" s="49"/>
      <c r="HM333" s="49"/>
      <c r="HN333" s="49"/>
    </row>
    <row r="334" spans="1:222" ht="16.5" customHeight="1">
      <c r="A334" s="1"/>
      <c r="B334" s="476"/>
      <c r="C334" s="3"/>
      <c r="D334" s="43"/>
      <c r="E334" s="126"/>
      <c r="F334" s="10"/>
      <c r="G334" s="10"/>
      <c r="H334" s="10"/>
      <c r="I334" s="10"/>
      <c r="J334" s="79"/>
      <c r="K334" s="10"/>
      <c r="L334" s="10"/>
      <c r="M334" s="10"/>
      <c r="N334" s="10"/>
      <c r="O334" s="10"/>
      <c r="P334" s="10"/>
      <c r="Q334" s="10"/>
      <c r="R334" s="10"/>
      <c r="S334" s="10"/>
      <c r="T334" s="10"/>
      <c r="U334" s="10"/>
      <c r="V334" s="10"/>
      <c r="W334" s="10"/>
      <c r="X334" s="10"/>
      <c r="Y334" s="10"/>
      <c r="Z334" s="10"/>
      <c r="AA334" s="10"/>
      <c r="AB334" s="10"/>
      <c r="AC334" s="10"/>
      <c r="AD334" s="10"/>
      <c r="AE334" s="10"/>
      <c r="AF334" s="126"/>
      <c r="AG334" s="126"/>
      <c r="AH334" s="126"/>
      <c r="AI334" s="43"/>
      <c r="AJ334" s="43"/>
      <c r="AK334" s="43"/>
      <c r="AL334" s="43"/>
      <c r="AM334" s="43"/>
      <c r="AN334" s="43"/>
      <c r="AO334" s="43"/>
      <c r="AP334" s="43"/>
      <c r="AQ334" s="79"/>
      <c r="AR334" s="79"/>
      <c r="AS334" s="79"/>
      <c r="AT334" s="79"/>
      <c r="AU334" s="79"/>
      <c r="AV334" s="79"/>
      <c r="AW334" s="79"/>
      <c r="AX334" s="43"/>
      <c r="AY334" s="43"/>
      <c r="AZ334" s="184" t="str">
        <f ca="1">IF(FO319=0,"","De totale winst is:")</f>
        <v/>
      </c>
      <c r="BA334" s="43"/>
      <c r="BB334" s="195" t="str">
        <f ca="1">IF(FO319=0,"",".")</f>
        <v/>
      </c>
      <c r="BC334" s="698"/>
      <c r="BD334" s="699"/>
      <c r="BE334" s="699"/>
      <c r="BF334" s="699"/>
      <c r="BG334" s="699"/>
      <c r="BH334" s="699"/>
      <c r="BI334" s="699"/>
      <c r="BJ334" s="699"/>
      <c r="BK334" s="699"/>
      <c r="BL334" s="699"/>
      <c r="BM334" s="699"/>
      <c r="BN334" s="699"/>
      <c r="BO334" s="699"/>
      <c r="BP334" s="699"/>
      <c r="BQ334" s="699"/>
      <c r="BR334" s="699"/>
      <c r="BS334" s="699"/>
      <c r="BT334" s="699"/>
      <c r="BU334" s="699"/>
      <c r="BV334" s="699"/>
      <c r="BW334" s="699"/>
      <c r="BX334" s="699"/>
      <c r="BY334" s="700"/>
      <c r="BZ334" s="700"/>
      <c r="CA334" s="700"/>
      <c r="CB334" s="700"/>
      <c r="CC334" s="700"/>
      <c r="CD334" s="700"/>
      <c r="CE334" s="195" t="str">
        <f ca="1">IF(FO319=0,"",".")</f>
        <v/>
      </c>
      <c r="CF334" s="126"/>
      <c r="CG334" s="186" t="str">
        <f ca="1">IF(FO330=0,"",IF(BC334="","",IF(AND(programma!$A$301="uitwerking",$B334="X"),FM334,IF(AND(BC334&gt;FP334-0.00001,BC334&lt;FP334+0.00001),"Goed!",IF(AND(BC334&gt;=FP334-0.01,BC334&lt;=FP334+0.01),"Je hebt niet goed afgerond!","Fout! Probeer het opnieuw.")))))</f>
        <v/>
      </c>
      <c r="CH334" s="219"/>
      <c r="CI334" s="219"/>
      <c r="CJ334" s="219"/>
      <c r="CK334" s="219"/>
      <c r="CL334" s="219"/>
      <c r="CM334" s="219"/>
      <c r="CN334" s="219"/>
      <c r="CO334" s="219"/>
      <c r="CP334" s="219"/>
      <c r="CQ334" s="219"/>
      <c r="CR334" s="21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43"/>
      <c r="EH334" s="43"/>
      <c r="EI334" s="43"/>
      <c r="EJ334" s="43"/>
      <c r="EK334" s="43"/>
      <c r="EL334" s="43"/>
      <c r="EM334" s="43"/>
      <c r="EN334" s="43"/>
      <c r="EO334" s="43"/>
      <c r="EP334" s="43"/>
      <c r="EQ334" s="43"/>
      <c r="ER334" s="43"/>
      <c r="ES334" s="43"/>
      <c r="ET334" s="43"/>
      <c r="EU334" s="43"/>
      <c r="EV334" s="43"/>
      <c r="EW334" s="43"/>
      <c r="EX334" s="43"/>
      <c r="EY334" s="43"/>
      <c r="EZ334" s="43"/>
      <c r="FA334" s="43"/>
      <c r="FB334" s="43"/>
      <c r="FC334" s="43"/>
      <c r="FD334" s="126"/>
      <c r="FE334" s="10"/>
      <c r="FF334" s="10"/>
      <c r="FG334" s="10"/>
      <c r="FH334" s="10"/>
      <c r="FI334" s="10"/>
      <c r="FJ334" s="10"/>
      <c r="FK334" s="26"/>
      <c r="FL334" s="26"/>
      <c r="FM334" s="473" t="e">
        <f ca="1">"= "&amp;FP326&amp;" - "&amp;FP330&amp;" = "&amp;FP334</f>
        <v>#DIV/0!</v>
      </c>
      <c r="FN334" s="48">
        <f ca="1">IF(FO326+FO330+FO334=3,1,0)</f>
        <v>0</v>
      </c>
      <c r="FO334" s="48">
        <f ca="1">IF(programma!B1="X",1,IF(FO319=0,0,IF(AND(BC334&gt;FP334-0.00001,BC334&lt;FP334+0.00001),1,0)))</f>
        <v>0</v>
      </c>
      <c r="FP334" s="103" t="e">
        <f ca="1">IF(FO1=0,"",FP326-FP330)</f>
        <v>#DIV/0!</v>
      </c>
      <c r="FQ334" s="79"/>
      <c r="FR334" s="48"/>
      <c r="FS334" s="48"/>
      <c r="FT334" s="48"/>
      <c r="FU334" s="48"/>
      <c r="FV334" s="48"/>
      <c r="FW334" s="48"/>
      <c r="FX334" s="48"/>
      <c r="FY334" s="32"/>
      <c r="FZ334" s="32"/>
      <c r="GA334" s="32"/>
      <c r="GB334" s="32"/>
      <c r="GC334" s="32"/>
      <c r="GD334" s="32"/>
      <c r="GE334" s="32"/>
      <c r="GF334" s="32"/>
      <c r="GG334" s="32"/>
      <c r="GH334" s="32"/>
      <c r="GI334" s="32"/>
      <c r="GJ334" s="32"/>
      <c r="GK334" s="32"/>
      <c r="GL334" s="32"/>
      <c r="GM334" s="49"/>
      <c r="GN334" s="49"/>
      <c r="GO334" s="49"/>
      <c r="GP334" s="49"/>
      <c r="GQ334" s="49"/>
      <c r="GR334" s="49"/>
      <c r="GS334" s="49"/>
      <c r="GT334" s="49"/>
      <c r="GU334" s="49"/>
      <c r="GV334" s="49"/>
      <c r="GW334" s="49"/>
      <c r="GX334" s="49"/>
      <c r="GY334" s="49"/>
      <c r="GZ334" s="49"/>
      <c r="HA334" s="49"/>
      <c r="HB334" s="49"/>
      <c r="HC334" s="49"/>
      <c r="HD334" s="49"/>
      <c r="HE334" s="49"/>
      <c r="HF334" s="49"/>
      <c r="HG334" s="49"/>
      <c r="HH334" s="49"/>
      <c r="HI334" s="49"/>
      <c r="HJ334" s="49"/>
      <c r="HK334" s="49"/>
      <c r="HL334" s="49"/>
      <c r="HM334" s="49"/>
      <c r="HN334" s="49"/>
    </row>
    <row r="335" spans="1:222" ht="3.75" customHeight="1">
      <c r="A335" s="1"/>
      <c r="B335" s="3"/>
      <c r="C335" s="3"/>
      <c r="D335" s="38"/>
      <c r="E335" s="126"/>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26"/>
      <c r="AG335" s="126"/>
      <c r="AH335" s="126"/>
      <c r="AI335" s="43"/>
      <c r="AJ335" s="43"/>
      <c r="AK335" s="43"/>
      <c r="AL335" s="43"/>
      <c r="AM335" s="43"/>
      <c r="AN335" s="43"/>
      <c r="AO335" s="43"/>
      <c r="AP335" s="43"/>
      <c r="AQ335" s="79"/>
      <c r="AR335" s="79"/>
      <c r="AS335" s="79"/>
      <c r="AT335" s="79"/>
      <c r="AU335" s="79"/>
      <c r="AV335" s="79"/>
      <c r="AW335" s="79"/>
      <c r="AX335" s="43"/>
      <c r="AY335" s="43"/>
      <c r="AZ335" s="43"/>
      <c r="BA335" s="43"/>
      <c r="BB335" s="538" t="str">
        <f ca="1">IF(FO319=0,"",".")</f>
        <v/>
      </c>
      <c r="BC335" s="545"/>
      <c r="BD335" s="545"/>
      <c r="BE335" s="545"/>
      <c r="BF335" s="545"/>
      <c r="BG335" s="545"/>
      <c r="BH335" s="545"/>
      <c r="BI335" s="545"/>
      <c r="BJ335" s="545"/>
      <c r="BK335" s="545"/>
      <c r="BL335" s="545"/>
      <c r="BM335" s="545"/>
      <c r="BN335" s="545"/>
      <c r="BO335" s="545"/>
      <c r="BP335" s="545"/>
      <c r="BQ335" s="545"/>
      <c r="BR335" s="545"/>
      <c r="BS335" s="545"/>
      <c r="BT335" s="545"/>
      <c r="BU335" s="545"/>
      <c r="BV335" s="545"/>
      <c r="BW335" s="545"/>
      <c r="BX335" s="545"/>
      <c r="BY335" s="545"/>
      <c r="BZ335" s="545"/>
      <c r="CA335" s="545"/>
      <c r="CB335" s="545"/>
      <c r="CC335" s="545"/>
      <c r="CD335" s="545"/>
      <c r="CE335" s="545"/>
      <c r="CF335" s="126"/>
      <c r="CG335" s="126"/>
      <c r="CH335" s="126"/>
      <c r="CI335" s="126"/>
      <c r="CJ335" s="43"/>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43"/>
      <c r="EH335" s="43"/>
      <c r="EI335" s="43"/>
      <c r="EJ335" s="43"/>
      <c r="EK335" s="43"/>
      <c r="EL335" s="43"/>
      <c r="EM335" s="43"/>
      <c r="EN335" s="43"/>
      <c r="EO335" s="43"/>
      <c r="EP335" s="43"/>
      <c r="EQ335" s="43"/>
      <c r="ER335" s="43"/>
      <c r="ES335" s="43"/>
      <c r="ET335" s="43"/>
      <c r="EU335" s="43"/>
      <c r="EV335" s="43"/>
      <c r="EW335" s="43"/>
      <c r="EX335" s="43"/>
      <c r="EY335" s="43"/>
      <c r="EZ335" s="43"/>
      <c r="FA335" s="43"/>
      <c r="FB335" s="43"/>
      <c r="FC335" s="43"/>
      <c r="FD335" s="126"/>
      <c r="FE335" s="10"/>
      <c r="FF335" s="10"/>
      <c r="FG335" s="10"/>
      <c r="FH335" s="10"/>
      <c r="FI335" s="10"/>
      <c r="FJ335" s="10"/>
      <c r="FK335" s="26"/>
      <c r="FL335" s="26"/>
      <c r="FM335" s="47"/>
      <c r="FN335" s="47"/>
      <c r="FO335" s="47"/>
      <c r="FP335" s="47"/>
      <c r="FQ335" s="47"/>
      <c r="FR335" s="47"/>
      <c r="FS335" s="47"/>
      <c r="FT335" s="47"/>
      <c r="FU335" s="49"/>
      <c r="FV335" s="49"/>
      <c r="FW335" s="49"/>
      <c r="FX335" s="49"/>
      <c r="FY335" s="32"/>
      <c r="FZ335" s="32"/>
      <c r="GA335" s="32"/>
      <c r="GB335" s="32"/>
      <c r="GC335" s="32"/>
      <c r="GD335" s="32"/>
      <c r="GE335" s="32"/>
      <c r="GF335" s="32"/>
      <c r="GG335" s="32"/>
      <c r="GH335" s="32"/>
      <c r="GI335" s="32"/>
      <c r="GJ335" s="32"/>
      <c r="GK335" s="32"/>
      <c r="GL335" s="32"/>
      <c r="GM335" s="49"/>
      <c r="GN335" s="49"/>
      <c r="GO335" s="49"/>
      <c r="GP335" s="49"/>
      <c r="GQ335" s="49"/>
      <c r="GR335" s="49"/>
      <c r="GS335" s="49"/>
      <c r="GT335" s="49"/>
      <c r="GU335" s="49"/>
      <c r="GV335" s="49"/>
      <c r="GW335" s="49"/>
      <c r="GX335" s="49"/>
      <c r="GY335" s="49"/>
      <c r="GZ335" s="49"/>
      <c r="HA335" s="49"/>
      <c r="HB335" s="49"/>
      <c r="HC335" s="49"/>
      <c r="HD335" s="49"/>
      <c r="HE335" s="49"/>
      <c r="HF335" s="49"/>
      <c r="HG335" s="49"/>
      <c r="HH335" s="49"/>
      <c r="HI335" s="49"/>
      <c r="HJ335" s="49"/>
      <c r="HK335" s="49"/>
      <c r="HL335" s="49"/>
      <c r="HM335" s="49"/>
      <c r="HN335" s="49"/>
    </row>
    <row r="336" spans="1:222" ht="9.75" customHeight="1">
      <c r="A336" s="1"/>
      <c r="B336" s="3"/>
      <c r="C336" s="3"/>
      <c r="D336" s="12"/>
      <c r="E336" s="12"/>
      <c r="F336" s="10"/>
      <c r="G336" s="10"/>
      <c r="H336" s="10"/>
      <c r="I336" s="10"/>
      <c r="J336" s="10"/>
      <c r="K336" s="10"/>
      <c r="L336" s="10"/>
      <c r="M336" s="10"/>
      <c r="N336" s="10"/>
      <c r="O336" s="10"/>
      <c r="P336" s="10"/>
      <c r="Q336" s="25"/>
      <c r="R336" s="25"/>
      <c r="S336" s="10"/>
      <c r="T336" s="171"/>
      <c r="U336" s="197"/>
      <c r="V336" s="126"/>
      <c r="W336" s="126"/>
      <c r="X336" s="126"/>
      <c r="Y336" s="126"/>
      <c r="Z336" s="126"/>
      <c r="AA336" s="126"/>
      <c r="AB336" s="126"/>
      <c r="AC336" s="126"/>
      <c r="AD336" s="197"/>
      <c r="AE336" s="197"/>
      <c r="AF336" s="126"/>
      <c r="AG336" s="172"/>
      <c r="AH336" s="197"/>
      <c r="AI336" s="197"/>
      <c r="AJ336" s="197"/>
      <c r="AK336" s="43"/>
      <c r="AL336" s="43"/>
      <c r="AM336" s="43"/>
      <c r="AN336" s="197"/>
      <c r="AO336" s="197"/>
      <c r="AP336" s="197"/>
      <c r="AQ336" s="197"/>
      <c r="AR336" s="197"/>
      <c r="AS336" s="197"/>
      <c r="AT336" s="197"/>
      <c r="AU336" s="197"/>
      <c r="AV336" s="197"/>
      <c r="AW336" s="197"/>
      <c r="AX336" s="197"/>
      <c r="AY336" s="197"/>
      <c r="AZ336" s="197"/>
      <c r="BA336" s="197"/>
      <c r="BB336" s="197"/>
      <c r="BC336" s="197"/>
      <c r="BD336" s="197"/>
      <c r="BE336" s="197"/>
      <c r="BF336" s="197"/>
      <c r="BG336" s="197"/>
      <c r="BH336" s="197"/>
      <c r="BI336" s="178"/>
      <c r="BJ336" s="178"/>
      <c r="BK336" s="214"/>
      <c r="BL336" s="197"/>
      <c r="BM336" s="197"/>
      <c r="BN336" s="197"/>
      <c r="BO336" s="172"/>
      <c r="BP336" s="172"/>
      <c r="BQ336" s="126"/>
      <c r="BR336" s="126"/>
      <c r="BS336" s="43"/>
      <c r="BT336" s="43"/>
      <c r="BU336" s="43"/>
      <c r="BV336" s="43"/>
      <c r="BW336" s="43"/>
      <c r="BX336" s="43"/>
      <c r="BY336" s="43"/>
      <c r="BZ336" s="43"/>
      <c r="CA336" s="43"/>
      <c r="CB336" s="43"/>
      <c r="CC336" s="43"/>
      <c r="CD336" s="43"/>
      <c r="CE336" s="43"/>
      <c r="CF336" s="43"/>
      <c r="CG336" s="43"/>
      <c r="CH336" s="43"/>
      <c r="CI336" s="43"/>
      <c r="CJ336" s="43"/>
      <c r="CK336" s="126"/>
      <c r="CL336" s="126"/>
      <c r="CM336" s="126"/>
      <c r="CN336" s="197"/>
      <c r="CO336" s="197"/>
      <c r="CP336" s="126"/>
      <c r="CQ336" s="172"/>
      <c r="CR336" s="197"/>
      <c r="CS336" s="197"/>
      <c r="CT336" s="197"/>
      <c r="CU336" s="43"/>
      <c r="CV336" s="43"/>
      <c r="CW336" s="43"/>
      <c r="CX336" s="43"/>
      <c r="CY336" s="43"/>
      <c r="CZ336" s="43"/>
      <c r="DA336" s="43"/>
      <c r="DB336" s="106"/>
      <c r="DC336" s="106"/>
      <c r="DD336" s="126"/>
      <c r="DE336" s="126"/>
      <c r="DF336" s="126"/>
      <c r="DG336" s="126"/>
      <c r="DH336" s="126"/>
      <c r="DI336" s="126"/>
      <c r="DJ336" s="126"/>
      <c r="DK336" s="126"/>
      <c r="DL336" s="126"/>
      <c r="DM336" s="126"/>
      <c r="DN336" s="126"/>
      <c r="DO336" s="126"/>
      <c r="DP336" s="126"/>
      <c r="DQ336" s="126"/>
      <c r="DR336" s="126"/>
      <c r="DS336" s="126"/>
      <c r="DT336" s="126"/>
      <c r="DU336" s="126"/>
      <c r="DV336" s="197"/>
      <c r="DW336" s="197"/>
      <c r="DX336" s="197"/>
      <c r="DY336" s="172"/>
      <c r="DZ336" s="172"/>
      <c r="EA336" s="126"/>
      <c r="EB336" s="126"/>
      <c r="EC336" s="214"/>
      <c r="ED336" s="214"/>
      <c r="EE336" s="214"/>
      <c r="EF336" s="214"/>
      <c r="EG336" s="214"/>
      <c r="EH336" s="214"/>
      <c r="EI336" s="214"/>
      <c r="EJ336" s="214"/>
      <c r="EK336" s="214"/>
      <c r="EL336" s="214"/>
      <c r="EM336" s="214"/>
      <c r="EN336" s="214"/>
      <c r="EO336" s="214"/>
      <c r="EP336" s="214"/>
      <c r="EQ336" s="214"/>
      <c r="ER336" s="214"/>
      <c r="ES336" s="214"/>
      <c r="ET336" s="214"/>
      <c r="EU336" s="197"/>
      <c r="EV336" s="126"/>
      <c r="EW336" s="126"/>
      <c r="EX336" s="126"/>
      <c r="EY336" s="126"/>
      <c r="EZ336" s="126"/>
      <c r="FA336" s="126"/>
      <c r="FB336" s="126"/>
      <c r="FC336" s="10"/>
      <c r="FD336" s="10"/>
      <c r="FE336" s="10"/>
      <c r="FF336" s="10"/>
      <c r="FG336" s="10"/>
      <c r="FH336" s="26"/>
      <c r="FI336" s="26"/>
      <c r="FJ336" s="26"/>
      <c r="FK336" s="26"/>
      <c r="FL336" s="10"/>
      <c r="FM336" s="183"/>
      <c r="FN336" s="183"/>
      <c r="FO336" s="185"/>
      <c r="FP336" s="183"/>
      <c r="FQ336" s="183"/>
      <c r="FR336" s="183"/>
      <c r="FS336" s="183"/>
      <c r="FT336" s="183"/>
      <c r="FU336" s="183"/>
      <c r="FV336" s="183"/>
      <c r="FW336" s="183"/>
      <c r="FX336" s="183"/>
      <c r="FY336" s="32"/>
      <c r="FZ336" s="32"/>
      <c r="GA336" s="32"/>
      <c r="GB336" s="32"/>
      <c r="GC336" s="32"/>
      <c r="GD336" s="32"/>
      <c r="GE336" s="32"/>
      <c r="GF336" s="32"/>
      <c r="GG336" s="32"/>
      <c r="GH336" s="32"/>
      <c r="GI336" s="32"/>
      <c r="GJ336" s="32"/>
      <c r="GK336" s="32"/>
      <c r="GL336" s="32"/>
      <c r="GM336" s="49"/>
      <c r="GN336" s="49"/>
      <c r="GO336" s="49"/>
      <c r="GP336" s="49"/>
      <c r="GQ336" s="49"/>
      <c r="GR336" s="49"/>
      <c r="GS336" s="49"/>
      <c r="GT336" s="49"/>
      <c r="GU336" s="49"/>
      <c r="GV336" s="78"/>
      <c r="GW336" s="78"/>
      <c r="GX336" s="78"/>
      <c r="GY336" s="78"/>
      <c r="GZ336" s="78"/>
      <c r="HA336" s="78"/>
      <c r="HB336" s="78"/>
      <c r="HC336" s="78"/>
      <c r="HD336" s="78"/>
      <c r="HE336" s="78"/>
      <c r="HF336" s="78"/>
      <c r="HG336" s="78"/>
      <c r="HH336" s="78"/>
      <c r="HI336" s="78"/>
      <c r="HJ336" s="78"/>
      <c r="HK336" s="78"/>
      <c r="HL336" s="78"/>
      <c r="HM336" s="78"/>
      <c r="HN336" s="78"/>
    </row>
    <row r="337" spans="1:222" ht="16.95" customHeight="1">
      <c r="A337" s="1"/>
      <c r="B337" s="3"/>
      <c r="C337" s="3"/>
      <c r="D337" s="373" t="str">
        <f ca="1">IF(FN334=0,"","Wil je meer oefenen, dan haal je de antwoorden weg en pas je een of meerdere")</f>
        <v/>
      </c>
      <c r="E337" s="10"/>
      <c r="F337" s="10"/>
      <c r="G337" s="10"/>
      <c r="H337" s="10"/>
      <c r="I337" s="10"/>
      <c r="J337" s="10"/>
      <c r="K337" s="10"/>
      <c r="L337" s="10"/>
      <c r="M337" s="10"/>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9"/>
      <c r="BI337" s="79"/>
      <c r="BJ337" s="79"/>
      <c r="BK337" s="79"/>
      <c r="BL337" s="79"/>
      <c r="BM337" s="79"/>
      <c r="BN337" s="79"/>
      <c r="BO337" s="79"/>
      <c r="BP337" s="79"/>
      <c r="BQ337" s="79"/>
      <c r="BR337" s="79"/>
      <c r="BS337" s="79"/>
      <c r="BT337" s="79"/>
      <c r="BU337" s="79"/>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c r="EO337" s="79"/>
      <c r="EP337" s="79"/>
      <c r="EQ337" s="79"/>
      <c r="ER337" s="79"/>
      <c r="ES337" s="79"/>
      <c r="ET337" s="79"/>
      <c r="EU337" s="79"/>
      <c r="EV337" s="79"/>
      <c r="EW337" s="79"/>
      <c r="EX337" s="79"/>
      <c r="EY337" s="79"/>
      <c r="EZ337" s="79"/>
      <c r="FA337" s="79"/>
      <c r="FB337" s="79"/>
      <c r="FC337" s="79"/>
      <c r="FD337" s="79"/>
      <c r="FE337" s="79"/>
      <c r="FF337" s="79"/>
      <c r="FG337" s="79"/>
      <c r="FH337" s="79"/>
      <c r="FI337" s="79"/>
      <c r="FJ337" s="79"/>
      <c r="FK337" s="79"/>
      <c r="FL337" s="79"/>
      <c r="FM337" s="47"/>
      <c r="FN337" s="47"/>
      <c r="FO337" s="47"/>
      <c r="FP337" s="47"/>
      <c r="FQ337" s="47"/>
      <c r="FR337" s="47"/>
      <c r="FS337" s="47"/>
      <c r="FT337" s="47"/>
      <c r="FU337" s="47"/>
      <c r="FV337" s="47"/>
      <c r="FW337" s="47"/>
      <c r="FX337" s="47"/>
      <c r="FY337" s="32"/>
      <c r="FZ337" s="32"/>
      <c r="GA337" s="32"/>
      <c r="GB337" s="32"/>
      <c r="GC337" s="32"/>
      <c r="GD337" s="32"/>
      <c r="GE337" s="32"/>
      <c r="GF337" s="32"/>
      <c r="GG337" s="32"/>
      <c r="GH337" s="32"/>
      <c r="GI337" s="32"/>
      <c r="GJ337" s="32"/>
      <c r="GK337" s="32"/>
      <c r="GL337" s="32"/>
      <c r="GM337" s="49"/>
      <c r="GN337" s="49"/>
      <c r="GO337" s="49"/>
      <c r="GP337" s="49"/>
      <c r="GQ337" s="49"/>
      <c r="GR337" s="49"/>
      <c r="GS337" s="49"/>
      <c r="GT337" s="49"/>
      <c r="GU337" s="49"/>
      <c r="GV337" s="49"/>
      <c r="GW337" s="49"/>
      <c r="GX337" s="49"/>
      <c r="GY337" s="49"/>
      <c r="GZ337" s="49"/>
      <c r="HA337" s="49"/>
      <c r="HB337" s="49"/>
      <c r="HC337" s="49"/>
      <c r="HD337" s="49"/>
      <c r="HE337" s="49"/>
      <c r="HF337" s="49"/>
      <c r="HG337" s="49"/>
      <c r="HH337" s="49"/>
      <c r="HI337" s="49"/>
      <c r="HJ337" s="49"/>
      <c r="HK337" s="49"/>
      <c r="HL337" s="49"/>
      <c r="HM337" s="49"/>
      <c r="HN337" s="49"/>
    </row>
    <row r="338" spans="1:222" ht="16.95" customHeight="1">
      <c r="A338" s="1"/>
      <c r="B338" s="3"/>
      <c r="C338" s="3"/>
      <c r="D338" s="373" t="str">
        <f ca="1">IF(FN334=0,"","waarden aan in de zwartomrande vakken.")</f>
        <v/>
      </c>
      <c r="E338" s="10"/>
      <c r="F338" s="10"/>
      <c r="G338" s="10"/>
      <c r="H338" s="10"/>
      <c r="I338" s="10"/>
      <c r="J338" s="10"/>
      <c r="K338" s="10"/>
      <c r="L338" s="10"/>
      <c r="M338" s="10"/>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c r="EO338" s="79"/>
      <c r="EP338" s="79"/>
      <c r="EQ338" s="79"/>
      <c r="ER338" s="79"/>
      <c r="ES338" s="79"/>
      <c r="ET338" s="79"/>
      <c r="EU338" s="79"/>
      <c r="EV338" s="79"/>
      <c r="EW338" s="79"/>
      <c r="EX338" s="79"/>
      <c r="EY338" s="79"/>
      <c r="EZ338" s="79"/>
      <c r="FA338" s="79"/>
      <c r="FB338" s="79"/>
      <c r="FC338" s="79"/>
      <c r="FD338" s="79"/>
      <c r="FE338" s="79"/>
      <c r="FF338" s="79"/>
      <c r="FG338" s="79"/>
      <c r="FH338" s="79"/>
      <c r="FI338" s="79"/>
      <c r="FJ338" s="79"/>
      <c r="FK338" s="79"/>
      <c r="FL338" s="79"/>
      <c r="FM338" s="47"/>
      <c r="FN338" s="47"/>
      <c r="FO338" s="47"/>
      <c r="FP338" s="47"/>
      <c r="FQ338" s="47"/>
      <c r="FR338" s="47"/>
      <c r="FS338" s="47"/>
      <c r="FT338" s="47"/>
      <c r="FU338" s="47"/>
      <c r="FV338" s="47"/>
      <c r="FW338" s="47"/>
      <c r="FX338" s="47"/>
      <c r="FY338" s="32"/>
      <c r="FZ338" s="32"/>
      <c r="GA338" s="32"/>
      <c r="GB338" s="32"/>
      <c r="GC338" s="32"/>
      <c r="GD338" s="32"/>
      <c r="GE338" s="32"/>
      <c r="GF338" s="32"/>
      <c r="GG338" s="32"/>
      <c r="GH338" s="32"/>
      <c r="GI338" s="32"/>
      <c r="GJ338" s="32"/>
      <c r="GK338" s="32"/>
      <c r="GL338" s="32"/>
      <c r="GM338" s="49"/>
      <c r="GN338" s="49"/>
      <c r="GO338" s="49"/>
      <c r="GP338" s="49"/>
      <c r="GQ338" s="49"/>
      <c r="GR338" s="49"/>
      <c r="GS338" s="49"/>
      <c r="GT338" s="49"/>
      <c r="GU338" s="49"/>
      <c r="GV338" s="49"/>
      <c r="GW338" s="49"/>
      <c r="GX338" s="49"/>
      <c r="GY338" s="49"/>
      <c r="GZ338" s="49"/>
      <c r="HA338" s="49"/>
      <c r="HB338" s="49"/>
      <c r="HC338" s="49"/>
      <c r="HD338" s="49"/>
      <c r="HE338" s="49"/>
      <c r="HF338" s="49"/>
      <c r="HG338" s="49"/>
      <c r="HH338" s="49"/>
      <c r="HI338" s="49"/>
      <c r="HJ338" s="49"/>
      <c r="HK338" s="49"/>
      <c r="HL338" s="49"/>
      <c r="HM338" s="49"/>
      <c r="HN338" s="49"/>
    </row>
    <row r="339" spans="1:222" ht="12" customHeight="1">
      <c r="A339" s="1"/>
      <c r="B339" s="3"/>
      <c r="C339" s="3"/>
      <c r="D339" s="373"/>
      <c r="E339" s="10"/>
      <c r="F339" s="10"/>
      <c r="G339" s="10"/>
      <c r="H339" s="10"/>
      <c r="I339" s="10"/>
      <c r="J339" s="10"/>
      <c r="K339" s="10"/>
      <c r="L339" s="10"/>
      <c r="M339" s="10"/>
      <c r="N339" s="79"/>
      <c r="O339" s="79"/>
      <c r="P339" s="79"/>
      <c r="Q339" s="79"/>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79"/>
      <c r="BA339" s="79"/>
      <c r="BB339" s="79"/>
      <c r="BC339" s="79"/>
      <c r="BD339" s="79"/>
      <c r="BE339" s="79"/>
      <c r="BF339" s="79"/>
      <c r="BG339" s="79"/>
      <c r="BH339" s="79"/>
      <c r="BI339" s="79"/>
      <c r="BJ339" s="79"/>
      <c r="BK339" s="79"/>
      <c r="BL339" s="79"/>
      <c r="BM339" s="79"/>
      <c r="BN339" s="79"/>
      <c r="BO339" s="79"/>
      <c r="BP339" s="79"/>
      <c r="BQ339" s="79"/>
      <c r="BR339" s="79"/>
      <c r="BS339" s="79"/>
      <c r="BT339" s="79"/>
      <c r="BU339" s="79"/>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c r="EO339" s="79"/>
      <c r="EP339" s="79"/>
      <c r="EQ339" s="79"/>
      <c r="ER339" s="79"/>
      <c r="ES339" s="79"/>
      <c r="ET339" s="79"/>
      <c r="EU339" s="79"/>
      <c r="EV339" s="79"/>
      <c r="EW339" s="79"/>
      <c r="EX339" s="79"/>
      <c r="EY339" s="79"/>
      <c r="EZ339" s="79"/>
      <c r="FA339" s="79"/>
      <c r="FB339" s="79"/>
      <c r="FC339" s="79"/>
      <c r="FD339" s="79"/>
      <c r="FE339" s="79"/>
      <c r="FF339" s="79"/>
      <c r="FG339" s="79"/>
      <c r="FH339" s="79"/>
      <c r="FI339" s="79"/>
      <c r="FJ339" s="79"/>
      <c r="FK339" s="79"/>
      <c r="FL339" s="79"/>
      <c r="FM339" s="47"/>
      <c r="FN339" s="47"/>
      <c r="FO339" s="47"/>
      <c r="FP339" s="47"/>
      <c r="FQ339" s="47"/>
      <c r="FR339" s="47"/>
      <c r="FS339" s="47"/>
      <c r="FT339" s="47"/>
      <c r="FU339" s="47"/>
      <c r="FV339" s="47"/>
      <c r="FW339" s="47"/>
      <c r="FX339" s="47"/>
      <c r="FY339" s="32"/>
      <c r="FZ339" s="32"/>
      <c r="GA339" s="32"/>
      <c r="GB339" s="32"/>
      <c r="GC339" s="32"/>
      <c r="GD339" s="32"/>
      <c r="GE339" s="32"/>
      <c r="GF339" s="32"/>
      <c r="GG339" s="32"/>
      <c r="GH339" s="32"/>
      <c r="GI339" s="32"/>
      <c r="GJ339" s="32"/>
      <c r="GK339" s="32"/>
      <c r="GL339" s="32"/>
      <c r="GM339" s="49"/>
      <c r="GN339" s="49"/>
      <c r="GO339" s="49"/>
      <c r="GP339" s="49"/>
      <c r="GQ339" s="49"/>
      <c r="GR339" s="49"/>
      <c r="GS339" s="49"/>
      <c r="GT339" s="49"/>
      <c r="GU339" s="49"/>
      <c r="GV339" s="49"/>
      <c r="GW339" s="49"/>
      <c r="GX339" s="49"/>
      <c r="GY339" s="49"/>
      <c r="GZ339" s="49"/>
      <c r="HA339" s="49"/>
      <c r="HB339" s="49"/>
      <c r="HC339" s="49"/>
      <c r="HD339" s="49"/>
      <c r="HE339" s="49"/>
      <c r="HF339" s="49"/>
      <c r="HG339" s="49"/>
      <c r="HH339" s="49"/>
      <c r="HI339" s="49"/>
      <c r="HJ339" s="49"/>
      <c r="HK339" s="49"/>
      <c r="HL339" s="49"/>
      <c r="HM339" s="49"/>
      <c r="HN339" s="49"/>
    </row>
    <row r="340" spans="1:222" ht="16.95" customHeight="1">
      <c r="A340" s="1"/>
      <c r="B340" s="3"/>
      <c r="C340" s="3"/>
      <c r="D340" s="373" t="str">
        <f ca="1">IF(FN334=0,"","Je bent nu klaar met dit onderwerp. Ga naar het volgende onderwerp door")</f>
        <v/>
      </c>
      <c r="E340" s="10"/>
      <c r="F340" s="10"/>
      <c r="G340" s="10"/>
      <c r="H340" s="10"/>
      <c r="I340" s="10"/>
      <c r="J340" s="10"/>
      <c r="K340" s="10"/>
      <c r="L340" s="10"/>
      <c r="M340" s="10"/>
      <c r="N340" s="79"/>
      <c r="O340" s="79"/>
      <c r="P340" s="79"/>
      <c r="Q340" s="7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c r="AV340" s="79"/>
      <c r="AW340" s="79"/>
      <c r="AX340" s="79"/>
      <c r="AY340" s="79"/>
      <c r="AZ340" s="79"/>
      <c r="BA340" s="79"/>
      <c r="BB340" s="79"/>
      <c r="BC340" s="79"/>
      <c r="BD340" s="79"/>
      <c r="BE340" s="79"/>
      <c r="BF340" s="79"/>
      <c r="BG340" s="79"/>
      <c r="BH340" s="79"/>
      <c r="BI340" s="79"/>
      <c r="BJ340" s="79"/>
      <c r="BK340" s="79"/>
      <c r="BL340" s="79"/>
      <c r="BM340" s="79"/>
      <c r="BN340" s="79"/>
      <c r="BO340" s="79"/>
      <c r="BP340" s="79"/>
      <c r="BQ340" s="79"/>
      <c r="BR340" s="79"/>
      <c r="BS340" s="79"/>
      <c r="BT340" s="79"/>
      <c r="BU340" s="79"/>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c r="EO340" s="79"/>
      <c r="EP340" s="79"/>
      <c r="EQ340" s="79"/>
      <c r="ER340" s="79"/>
      <c r="ES340" s="79"/>
      <c r="ET340" s="79"/>
      <c r="EU340" s="79"/>
      <c r="EV340" s="79"/>
      <c r="EW340" s="79"/>
      <c r="EX340" s="79"/>
      <c r="EY340" s="79"/>
      <c r="EZ340" s="79"/>
      <c r="FA340" s="79"/>
      <c r="FB340" s="79"/>
      <c r="FC340" s="79"/>
      <c r="FD340" s="79"/>
      <c r="FE340" s="79"/>
      <c r="FF340" s="79"/>
      <c r="FG340" s="79"/>
      <c r="FH340" s="79"/>
      <c r="FI340" s="79"/>
      <c r="FJ340" s="79"/>
      <c r="FK340" s="79"/>
      <c r="FL340" s="79"/>
      <c r="FM340" s="47"/>
      <c r="FN340" s="47"/>
      <c r="FO340" s="47"/>
      <c r="FP340" s="47"/>
      <c r="FQ340" s="47"/>
      <c r="FR340" s="47"/>
      <c r="FS340" s="47"/>
      <c r="FT340" s="47"/>
      <c r="FU340" s="47"/>
      <c r="FV340" s="47"/>
      <c r="FW340" s="47"/>
      <c r="FX340" s="47"/>
      <c r="FY340" s="32"/>
      <c r="FZ340" s="32"/>
      <c r="GA340" s="32"/>
      <c r="GB340" s="32"/>
      <c r="GC340" s="32"/>
      <c r="GD340" s="32"/>
      <c r="GE340" s="32"/>
      <c r="GF340" s="32"/>
      <c r="GG340" s="32"/>
      <c r="GH340" s="32"/>
      <c r="GI340" s="32"/>
      <c r="GJ340" s="32"/>
      <c r="GK340" s="32"/>
      <c r="GL340" s="32"/>
      <c r="GM340" s="49"/>
      <c r="GN340" s="49"/>
      <c r="GO340" s="49"/>
      <c r="GP340" s="49"/>
      <c r="GQ340" s="49"/>
      <c r="GR340" s="49"/>
      <c r="GS340" s="49"/>
      <c r="GT340" s="49"/>
      <c r="GU340" s="49"/>
      <c r="GV340" s="49"/>
      <c r="GW340" s="49"/>
      <c r="GX340" s="49"/>
      <c r="GY340" s="49"/>
      <c r="GZ340" s="49"/>
      <c r="HA340" s="49"/>
      <c r="HB340" s="49"/>
      <c r="HC340" s="49"/>
      <c r="HD340" s="49"/>
      <c r="HE340" s="49"/>
      <c r="HF340" s="49"/>
      <c r="HG340" s="49"/>
      <c r="HH340" s="49"/>
      <c r="HI340" s="49"/>
      <c r="HJ340" s="49"/>
      <c r="HK340" s="49"/>
      <c r="HL340" s="49"/>
      <c r="HM340" s="49"/>
      <c r="HN340" s="49"/>
    </row>
    <row r="341" spans="1:222" ht="16.95" customHeight="1">
      <c r="A341" s="1"/>
      <c r="B341" s="3"/>
      <c r="C341" s="3"/>
      <c r="D341" s="373" t="str">
        <f ca="1">IF(FN334=0,"","op het betreffende tabblad te klikken.")</f>
        <v/>
      </c>
      <c r="E341" s="10"/>
      <c r="F341" s="10"/>
      <c r="G341" s="10"/>
      <c r="H341" s="10"/>
      <c r="I341" s="10"/>
      <c r="J341" s="10"/>
      <c r="K341" s="10"/>
      <c r="L341" s="10"/>
      <c r="M341" s="10"/>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79"/>
      <c r="BA341" s="79"/>
      <c r="BB341" s="79"/>
      <c r="BC341" s="79"/>
      <c r="BD341" s="79"/>
      <c r="BE341" s="79"/>
      <c r="BF341" s="79"/>
      <c r="BG341" s="79"/>
      <c r="BH341" s="79"/>
      <c r="BI341" s="79"/>
      <c r="BJ341" s="79"/>
      <c r="BK341" s="79"/>
      <c r="BL341" s="79"/>
      <c r="BM341" s="79"/>
      <c r="BN341" s="79"/>
      <c r="BO341" s="79"/>
      <c r="BP341" s="79"/>
      <c r="BQ341" s="79"/>
      <c r="BR341" s="79"/>
      <c r="BS341" s="79"/>
      <c r="BT341" s="79"/>
      <c r="BU341" s="79"/>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c r="EO341" s="79"/>
      <c r="EP341" s="79"/>
      <c r="EQ341" s="79"/>
      <c r="ER341" s="79"/>
      <c r="ES341" s="79"/>
      <c r="ET341" s="79"/>
      <c r="EU341" s="79"/>
      <c r="EV341" s="79"/>
      <c r="EW341" s="79"/>
      <c r="EX341" s="79"/>
      <c r="EY341" s="79"/>
      <c r="EZ341" s="79"/>
      <c r="FA341" s="79"/>
      <c r="FB341" s="79"/>
      <c r="FC341" s="79"/>
      <c r="FD341" s="79"/>
      <c r="FE341" s="79"/>
      <c r="FF341" s="79"/>
      <c r="FG341" s="79"/>
      <c r="FH341" s="79"/>
      <c r="FI341" s="79"/>
      <c r="FJ341" s="79"/>
      <c r="FK341" s="79"/>
      <c r="FL341" s="79"/>
      <c r="FM341" s="47"/>
      <c r="FN341" s="47"/>
      <c r="FO341" s="47"/>
      <c r="FP341" s="47"/>
      <c r="FQ341" s="47"/>
      <c r="FR341" s="47"/>
      <c r="FS341" s="47"/>
      <c r="FT341" s="47"/>
      <c r="FU341" s="47"/>
      <c r="FV341" s="47"/>
      <c r="FW341" s="47"/>
      <c r="FX341" s="47"/>
      <c r="FY341" s="32"/>
      <c r="FZ341" s="32"/>
      <c r="GA341" s="32"/>
      <c r="GB341" s="32"/>
      <c r="GC341" s="32"/>
      <c r="GD341" s="32"/>
      <c r="GE341" s="32"/>
      <c r="GF341" s="32"/>
      <c r="GG341" s="32"/>
      <c r="GH341" s="32"/>
      <c r="GI341" s="32"/>
      <c r="GJ341" s="32"/>
      <c r="GK341" s="32"/>
      <c r="GL341" s="32"/>
      <c r="GM341" s="49"/>
      <c r="GN341" s="49"/>
      <c r="GO341" s="49"/>
      <c r="GP341" s="49"/>
      <c r="GQ341" s="49"/>
      <c r="GR341" s="49"/>
      <c r="GS341" s="49"/>
      <c r="GT341" s="49"/>
      <c r="GU341" s="49"/>
      <c r="GV341" s="49"/>
      <c r="GW341" s="49"/>
      <c r="GX341" s="49"/>
      <c r="GY341" s="49"/>
      <c r="GZ341" s="49"/>
      <c r="HA341" s="49"/>
      <c r="HB341" s="49"/>
      <c r="HC341" s="49"/>
      <c r="HD341" s="49"/>
      <c r="HE341" s="49"/>
      <c r="HF341" s="49"/>
      <c r="HG341" s="49"/>
      <c r="HH341" s="49"/>
      <c r="HI341" s="49"/>
      <c r="HJ341" s="49"/>
      <c r="HK341" s="49"/>
      <c r="HL341" s="49"/>
      <c r="HM341" s="49"/>
      <c r="HN341" s="49"/>
    </row>
    <row r="342" spans="1:222" ht="16.5" customHeight="1">
      <c r="A342" s="1"/>
      <c r="B342" s="3"/>
      <c r="C342" s="3"/>
      <c r="D342" s="38"/>
      <c r="E342" s="24"/>
      <c r="F342" s="24"/>
      <c r="G342" s="24"/>
      <c r="H342" s="24"/>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4"/>
      <c r="EQ342" s="14"/>
      <c r="ER342" s="14"/>
      <c r="ES342" s="14"/>
      <c r="ET342" s="14"/>
      <c r="EU342" s="14"/>
      <c r="EV342" s="14"/>
      <c r="EW342" s="14"/>
      <c r="EX342" s="14"/>
      <c r="EY342" s="14"/>
      <c r="EZ342" s="14"/>
      <c r="FA342" s="14"/>
      <c r="FB342" s="14"/>
      <c r="FC342" s="14"/>
      <c r="FD342" s="14"/>
      <c r="FE342" s="14"/>
      <c r="FF342" s="14"/>
      <c r="FG342" s="14"/>
      <c r="FH342" s="14"/>
      <c r="FI342" s="14"/>
      <c r="FJ342" s="25"/>
      <c r="FK342" s="14"/>
      <c r="FL342" s="27"/>
      <c r="FM342" s="47"/>
      <c r="FN342" s="47"/>
      <c r="FO342" s="47"/>
      <c r="FP342" s="47"/>
      <c r="FQ342" s="47"/>
      <c r="FR342" s="47"/>
      <c r="FS342" s="47"/>
      <c r="FT342" s="47"/>
      <c r="FU342" s="47"/>
      <c r="FV342" s="47"/>
      <c r="FW342" s="47"/>
      <c r="FX342" s="47"/>
      <c r="FY342" s="32"/>
      <c r="FZ342" s="32"/>
      <c r="GA342" s="32"/>
      <c r="GB342" s="32"/>
      <c r="GC342" s="32"/>
      <c r="GD342" s="32"/>
      <c r="GE342" s="32"/>
      <c r="GF342" s="32"/>
      <c r="GG342" s="32"/>
      <c r="GH342" s="32"/>
      <c r="GI342" s="32"/>
      <c r="GJ342" s="32"/>
      <c r="GK342" s="32"/>
      <c r="GL342" s="32"/>
      <c r="GM342" s="49"/>
      <c r="GN342" s="49"/>
      <c r="GO342" s="49"/>
      <c r="GP342" s="49"/>
      <c r="GQ342" s="49"/>
      <c r="GR342" s="49"/>
      <c r="GS342" s="49"/>
      <c r="GT342" s="49"/>
      <c r="GU342" s="49"/>
      <c r="GV342" s="49"/>
      <c r="GW342" s="49"/>
      <c r="GX342" s="49"/>
      <c r="GY342" s="49"/>
      <c r="GZ342" s="49"/>
      <c r="HA342" s="49"/>
      <c r="HB342" s="49"/>
      <c r="HC342" s="49"/>
      <c r="HD342" s="49"/>
      <c r="HE342" s="49"/>
      <c r="HF342" s="49"/>
      <c r="HG342" s="49"/>
      <c r="HH342" s="49"/>
      <c r="HI342" s="49"/>
      <c r="HJ342" s="49"/>
      <c r="HK342" s="49"/>
      <c r="HL342" s="49"/>
      <c r="HM342" s="49"/>
      <c r="HN342" s="49"/>
    </row>
    <row r="343" spans="1:222" ht="16.5" customHeight="1">
      <c r="A343" s="1"/>
      <c r="B343" s="3"/>
      <c r="C343" s="3"/>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30"/>
      <c r="FL343" s="21"/>
      <c r="FM343" s="47"/>
      <c r="FN343" s="47"/>
      <c r="FO343" s="47"/>
      <c r="FP343" s="47"/>
      <c r="FQ343" s="47"/>
      <c r="FR343" s="47"/>
      <c r="FS343" s="47"/>
      <c r="FT343" s="47"/>
      <c r="FU343" s="47"/>
      <c r="FV343" s="47"/>
      <c r="FW343" s="47"/>
      <c r="FX343" s="47"/>
      <c r="FY343" s="32"/>
      <c r="FZ343" s="32"/>
      <c r="GA343" s="32"/>
      <c r="GB343" s="32"/>
      <c r="GC343" s="32"/>
      <c r="GD343" s="32"/>
      <c r="GE343" s="32"/>
      <c r="GF343" s="32"/>
      <c r="GG343" s="32"/>
      <c r="GH343" s="32"/>
      <c r="GI343" s="32"/>
      <c r="GJ343" s="32"/>
      <c r="GK343" s="32"/>
      <c r="GL343" s="32"/>
      <c r="GM343" s="49"/>
      <c r="GN343" s="49"/>
      <c r="GO343" s="49"/>
      <c r="GP343" s="49"/>
      <c r="GQ343" s="49"/>
      <c r="GR343" s="49"/>
      <c r="GS343" s="49"/>
      <c r="GT343" s="49"/>
      <c r="GU343" s="49"/>
      <c r="GV343" s="49"/>
      <c r="GW343" s="49"/>
      <c r="GX343" s="49"/>
      <c r="GY343" s="49"/>
      <c r="GZ343" s="49"/>
      <c r="HA343" s="49"/>
      <c r="HB343" s="49"/>
      <c r="HC343" s="49"/>
      <c r="HD343" s="49"/>
      <c r="HE343" s="49"/>
      <c r="HF343" s="49"/>
      <c r="HG343" s="49"/>
      <c r="HH343" s="49"/>
      <c r="HI343" s="49"/>
      <c r="HJ343" s="49"/>
      <c r="HK343" s="49"/>
      <c r="HL343" s="49"/>
      <c r="HM343" s="49"/>
      <c r="HN343" s="49"/>
    </row>
    <row r="344" spans="1:222" ht="16.5" customHeight="1">
      <c r="A344" s="1"/>
      <c r="B344" s="3"/>
      <c r="C344" s="3"/>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30"/>
      <c r="FL344" s="21"/>
      <c r="FM344" s="47"/>
      <c r="FN344" s="47"/>
      <c r="FO344" s="47"/>
      <c r="FP344" s="47"/>
      <c r="FQ344" s="47"/>
      <c r="FR344" s="47"/>
      <c r="FS344" s="47"/>
      <c r="FT344" s="47"/>
      <c r="FU344" s="47"/>
      <c r="FV344" s="47"/>
      <c r="FW344" s="47"/>
      <c r="FX344" s="47"/>
      <c r="FY344" s="32"/>
      <c r="FZ344" s="32"/>
      <c r="GA344" s="32"/>
      <c r="GB344" s="32"/>
      <c r="GC344" s="32"/>
      <c r="GD344" s="32"/>
      <c r="GE344" s="32"/>
      <c r="GF344" s="32"/>
      <c r="GG344" s="32"/>
      <c r="GH344" s="32"/>
      <c r="GI344" s="32"/>
      <c r="GJ344" s="32"/>
      <c r="GK344" s="32"/>
      <c r="GL344" s="32"/>
      <c r="GM344" s="49"/>
      <c r="GN344" s="49"/>
      <c r="GO344" s="49"/>
      <c r="GP344" s="49"/>
      <c r="GQ344" s="49"/>
      <c r="GR344" s="49"/>
      <c r="GS344" s="49"/>
      <c r="GT344" s="49"/>
      <c r="GU344" s="49"/>
      <c r="GV344" s="49"/>
      <c r="GW344" s="49"/>
      <c r="GX344" s="49"/>
      <c r="GY344" s="49"/>
      <c r="GZ344" s="49"/>
      <c r="HA344" s="49"/>
      <c r="HB344" s="49"/>
      <c r="HC344" s="49"/>
      <c r="HD344" s="49"/>
      <c r="HE344" s="49"/>
      <c r="HF344" s="49"/>
      <c r="HG344" s="49"/>
      <c r="HH344" s="49"/>
      <c r="HI344" s="49"/>
      <c r="HJ344" s="49"/>
      <c r="HK344" s="49"/>
      <c r="HL344" s="49"/>
      <c r="HM344" s="49"/>
      <c r="HN344" s="49"/>
    </row>
    <row r="345" spans="1:222" ht="16.5" customHeight="1">
      <c r="A345" s="1"/>
      <c r="B345" s="3"/>
      <c r="C345" s="3"/>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30"/>
      <c r="FL345" s="21"/>
      <c r="FM345" s="47"/>
      <c r="FN345" s="47"/>
      <c r="FO345" s="47"/>
      <c r="FP345" s="47"/>
      <c r="FQ345" s="47"/>
      <c r="FR345" s="47"/>
      <c r="FS345" s="47"/>
      <c r="FT345" s="47"/>
      <c r="FU345" s="47"/>
      <c r="FV345" s="47"/>
      <c r="FW345" s="47"/>
      <c r="FX345" s="47"/>
      <c r="FY345" s="32"/>
      <c r="FZ345" s="32"/>
      <c r="GA345" s="32"/>
      <c r="GB345" s="32"/>
      <c r="GC345" s="32"/>
      <c r="GD345" s="32"/>
      <c r="GE345" s="32"/>
      <c r="GF345" s="32"/>
      <c r="GG345" s="32"/>
      <c r="GH345" s="32"/>
      <c r="GI345" s="32"/>
      <c r="GJ345" s="32"/>
      <c r="GK345" s="32"/>
      <c r="GL345" s="32"/>
      <c r="GM345" s="49"/>
      <c r="GN345" s="49"/>
      <c r="GO345" s="49"/>
      <c r="GP345" s="49"/>
      <c r="GQ345" s="49"/>
      <c r="GR345" s="49"/>
      <c r="GS345" s="49"/>
      <c r="GT345" s="49"/>
      <c r="GU345" s="49"/>
      <c r="GV345" s="49"/>
      <c r="GW345" s="49"/>
      <c r="GX345" s="49"/>
      <c r="GY345" s="49"/>
      <c r="GZ345" s="49"/>
      <c r="HA345" s="49"/>
      <c r="HB345" s="49"/>
      <c r="HC345" s="49"/>
      <c r="HD345" s="49"/>
      <c r="HE345" s="49"/>
      <c r="HF345" s="49"/>
      <c r="HG345" s="49"/>
      <c r="HH345" s="49"/>
      <c r="HI345" s="49"/>
      <c r="HJ345" s="49"/>
      <c r="HK345" s="49"/>
      <c r="HL345" s="49"/>
      <c r="HM345" s="49"/>
      <c r="HN345" s="49"/>
    </row>
    <row r="346" spans="1:222" ht="16.5" customHeight="1">
      <c r="A346" s="1"/>
      <c r="B346" s="3"/>
      <c r="C346" s="3"/>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30"/>
      <c r="FL346" s="21"/>
      <c r="FM346" s="47"/>
      <c r="FN346" s="47"/>
      <c r="FO346" s="47"/>
      <c r="FP346" s="47"/>
      <c r="FQ346" s="47"/>
      <c r="FR346" s="47"/>
      <c r="FS346" s="47"/>
      <c r="FT346" s="47"/>
      <c r="FU346" s="47"/>
      <c r="FV346" s="47"/>
      <c r="FW346" s="47"/>
      <c r="FX346" s="47"/>
      <c r="FY346" s="32"/>
      <c r="FZ346" s="32"/>
      <c r="GA346" s="32"/>
      <c r="GB346" s="32"/>
      <c r="GC346" s="32"/>
      <c r="GD346" s="32"/>
      <c r="GE346" s="32"/>
      <c r="GF346" s="32"/>
      <c r="GG346" s="32"/>
      <c r="GH346" s="32"/>
      <c r="GI346" s="32"/>
      <c r="GJ346" s="32"/>
      <c r="GK346" s="32"/>
      <c r="GL346" s="32"/>
      <c r="GM346" s="49"/>
      <c r="GN346" s="49"/>
      <c r="GO346" s="49"/>
      <c r="GP346" s="49"/>
      <c r="GQ346" s="49"/>
      <c r="GR346" s="49"/>
      <c r="GS346" s="49"/>
      <c r="GT346" s="49"/>
      <c r="GU346" s="49"/>
      <c r="GV346" s="49"/>
      <c r="GW346" s="49"/>
      <c r="GX346" s="49"/>
      <c r="GY346" s="49"/>
      <c r="GZ346" s="49"/>
      <c r="HA346" s="49"/>
      <c r="HB346" s="49"/>
      <c r="HC346" s="49"/>
      <c r="HD346" s="49"/>
      <c r="HE346" s="49"/>
      <c r="HF346" s="49"/>
      <c r="HG346" s="49"/>
      <c r="HH346" s="49"/>
      <c r="HI346" s="49"/>
      <c r="HJ346" s="49"/>
      <c r="HK346" s="49"/>
      <c r="HL346" s="49"/>
      <c r="HM346" s="49"/>
      <c r="HN346" s="49"/>
    </row>
    <row r="347" spans="1:222" ht="16.5" customHeight="1">
      <c r="A347" s="1"/>
      <c r="B347" s="3"/>
      <c r="C347" s="3"/>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30"/>
      <c r="FL347" s="21"/>
      <c r="FM347" s="47"/>
      <c r="FN347" s="47"/>
      <c r="FO347" s="47"/>
      <c r="FP347" s="47"/>
      <c r="FQ347" s="47"/>
      <c r="FR347" s="47"/>
      <c r="FS347" s="47"/>
      <c r="FT347" s="47"/>
      <c r="FU347" s="47"/>
      <c r="FV347" s="47"/>
      <c r="FW347" s="47"/>
      <c r="FX347" s="47"/>
      <c r="FY347" s="32"/>
      <c r="FZ347" s="32"/>
      <c r="GA347" s="32"/>
      <c r="GB347" s="32"/>
      <c r="GC347" s="32"/>
      <c r="GD347" s="32"/>
      <c r="GE347" s="32"/>
      <c r="GF347" s="32"/>
      <c r="GG347" s="32"/>
      <c r="GH347" s="32"/>
      <c r="GI347" s="32"/>
      <c r="GJ347" s="32"/>
      <c r="GK347" s="32"/>
      <c r="GL347" s="32"/>
      <c r="GM347" s="49"/>
      <c r="GN347" s="49"/>
      <c r="GO347" s="49"/>
      <c r="GP347" s="49"/>
      <c r="GQ347" s="49"/>
      <c r="GR347" s="49"/>
      <c r="GS347" s="49"/>
      <c r="GT347" s="49"/>
      <c r="GU347" s="49"/>
      <c r="GV347" s="49"/>
      <c r="GW347" s="49"/>
      <c r="GX347" s="49"/>
      <c r="GY347" s="49"/>
      <c r="GZ347" s="49"/>
      <c r="HA347" s="49"/>
      <c r="HB347" s="49"/>
      <c r="HC347" s="49"/>
      <c r="HD347" s="49"/>
      <c r="HE347" s="49"/>
      <c r="HF347" s="49"/>
      <c r="HG347" s="49"/>
      <c r="HH347" s="49"/>
      <c r="HI347" s="49"/>
      <c r="HJ347" s="49"/>
      <c r="HK347" s="49"/>
      <c r="HL347" s="49"/>
      <c r="HM347" s="49"/>
      <c r="HN347" s="49"/>
    </row>
    <row r="348" spans="1:222" ht="16.5" customHeight="1">
      <c r="A348" s="1"/>
      <c r="B348" s="3"/>
      <c r="C348" s="3"/>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30"/>
      <c r="FL348" s="21"/>
      <c r="FM348" s="47"/>
      <c r="FN348" s="47"/>
      <c r="FO348" s="47"/>
      <c r="FP348" s="47"/>
      <c r="FQ348" s="47"/>
      <c r="FR348" s="47"/>
      <c r="FS348" s="47"/>
      <c r="FT348" s="47"/>
      <c r="FU348" s="47"/>
      <c r="FV348" s="47"/>
      <c r="FW348" s="47"/>
      <c r="FX348" s="47"/>
      <c r="FY348" s="32"/>
      <c r="FZ348" s="32"/>
      <c r="GA348" s="32"/>
      <c r="GB348" s="32"/>
      <c r="GC348" s="32"/>
      <c r="GD348" s="32"/>
      <c r="GE348" s="32"/>
      <c r="GF348" s="32"/>
      <c r="GG348" s="32"/>
      <c r="GH348" s="32"/>
      <c r="GI348" s="32"/>
      <c r="GJ348" s="32"/>
      <c r="GK348" s="32"/>
      <c r="GL348" s="32"/>
      <c r="GM348" s="49"/>
      <c r="GN348" s="49"/>
      <c r="GO348" s="49"/>
      <c r="GP348" s="49"/>
      <c r="GQ348" s="49"/>
      <c r="GR348" s="49"/>
      <c r="GS348" s="49"/>
      <c r="GT348" s="49"/>
      <c r="GU348" s="49"/>
      <c r="GV348" s="49"/>
      <c r="GW348" s="49"/>
      <c r="GX348" s="49"/>
      <c r="GY348" s="49"/>
      <c r="GZ348" s="49"/>
      <c r="HA348" s="49"/>
      <c r="HB348" s="49"/>
      <c r="HC348" s="49"/>
      <c r="HD348" s="49"/>
      <c r="HE348" s="49"/>
      <c r="HF348" s="49"/>
      <c r="HG348" s="49"/>
      <c r="HH348" s="49"/>
      <c r="HI348" s="49"/>
      <c r="HJ348" s="49"/>
      <c r="HK348" s="49"/>
      <c r="HL348" s="49"/>
      <c r="HM348" s="49"/>
      <c r="HN348" s="49"/>
    </row>
    <row r="349" spans="1:222" ht="16.5" customHeight="1">
      <c r="A349" s="1"/>
      <c r="B349" s="3"/>
      <c r="C349" s="3"/>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30"/>
      <c r="FL349" s="21"/>
      <c r="FM349" s="47"/>
      <c r="FN349" s="47"/>
      <c r="FO349" s="47"/>
      <c r="FP349" s="47"/>
      <c r="FQ349" s="47"/>
      <c r="FR349" s="47"/>
      <c r="FS349" s="47"/>
      <c r="FT349" s="47"/>
      <c r="FU349" s="47"/>
      <c r="FV349" s="47"/>
      <c r="FW349" s="47"/>
      <c r="FX349" s="47"/>
      <c r="FY349" s="32"/>
      <c r="FZ349" s="32"/>
      <c r="GA349" s="32"/>
      <c r="GB349" s="32"/>
      <c r="GC349" s="32"/>
      <c r="GD349" s="32"/>
      <c r="GE349" s="32"/>
      <c r="GF349" s="32"/>
      <c r="GG349" s="32"/>
      <c r="GH349" s="32"/>
      <c r="GI349" s="32"/>
      <c r="GJ349" s="32"/>
      <c r="GK349" s="32"/>
      <c r="GL349" s="32"/>
      <c r="GM349" s="49"/>
      <c r="GN349" s="49"/>
      <c r="GO349" s="49"/>
      <c r="GP349" s="49"/>
      <c r="GQ349" s="49"/>
      <c r="GR349" s="49"/>
      <c r="GS349" s="49"/>
      <c r="GT349" s="49"/>
      <c r="GU349" s="49"/>
      <c r="GV349" s="49"/>
      <c r="GW349" s="49"/>
      <c r="GX349" s="49"/>
      <c r="GY349" s="49"/>
      <c r="GZ349" s="49"/>
      <c r="HA349" s="49"/>
      <c r="HB349" s="49"/>
      <c r="HC349" s="49"/>
      <c r="HD349" s="49"/>
      <c r="HE349" s="49"/>
      <c r="HF349" s="49"/>
      <c r="HG349" s="49"/>
      <c r="HH349" s="49"/>
      <c r="HI349" s="49"/>
      <c r="HJ349" s="49"/>
      <c r="HK349" s="49"/>
      <c r="HL349" s="49"/>
      <c r="HM349" s="49"/>
      <c r="HN349" s="49"/>
    </row>
    <row r="350" spans="1:222" ht="16.5" customHeight="1">
      <c r="A350" s="1"/>
      <c r="B350" s="3"/>
      <c r="C350" s="3"/>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30"/>
      <c r="FL350" s="21"/>
      <c r="FM350" s="47"/>
      <c r="FN350" s="47"/>
      <c r="FO350" s="47"/>
      <c r="FP350" s="47"/>
      <c r="FQ350" s="47"/>
      <c r="FR350" s="47"/>
      <c r="FS350" s="47"/>
      <c r="FT350" s="47"/>
      <c r="FU350" s="47"/>
      <c r="FV350" s="47"/>
      <c r="FW350" s="47"/>
      <c r="FX350" s="47"/>
      <c r="FY350" s="32"/>
      <c r="FZ350" s="32"/>
      <c r="GA350" s="32"/>
      <c r="GB350" s="32"/>
      <c r="GC350" s="32"/>
      <c r="GD350" s="32"/>
      <c r="GE350" s="32"/>
      <c r="GF350" s="32"/>
      <c r="GG350" s="32"/>
      <c r="GH350" s="32"/>
      <c r="GI350" s="32"/>
      <c r="GJ350" s="32"/>
      <c r="GK350" s="32"/>
      <c r="GL350" s="32"/>
      <c r="GM350" s="49"/>
      <c r="GN350" s="49"/>
      <c r="GO350" s="49"/>
      <c r="GP350" s="49"/>
      <c r="GQ350" s="49"/>
      <c r="GR350" s="49"/>
      <c r="GS350" s="49"/>
      <c r="GT350" s="49"/>
      <c r="GU350" s="49"/>
      <c r="GV350" s="49"/>
      <c r="GW350" s="49"/>
      <c r="GX350" s="49"/>
      <c r="GY350" s="49"/>
      <c r="GZ350" s="49"/>
      <c r="HA350" s="49"/>
      <c r="HB350" s="49"/>
      <c r="HC350" s="49"/>
      <c r="HD350" s="49"/>
      <c r="HE350" s="49"/>
      <c r="HF350" s="49"/>
      <c r="HG350" s="49"/>
      <c r="HH350" s="49"/>
      <c r="HI350" s="49"/>
      <c r="HJ350" s="49"/>
      <c r="HK350" s="49"/>
      <c r="HL350" s="49"/>
      <c r="HM350" s="49"/>
      <c r="HN350" s="49"/>
    </row>
    <row r="351" spans="1:222" ht="16.5" customHeight="1">
      <c r="A351" s="1"/>
      <c r="B351" s="3"/>
      <c r="C351" s="3"/>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30"/>
      <c r="FL351" s="21"/>
      <c r="FM351" s="47"/>
      <c r="FN351" s="47"/>
      <c r="FO351" s="47"/>
      <c r="FP351" s="47"/>
      <c r="FQ351" s="47"/>
      <c r="FR351" s="47"/>
      <c r="FS351" s="47"/>
      <c r="FT351" s="47"/>
      <c r="FU351" s="47"/>
      <c r="FV351" s="47"/>
      <c r="FW351" s="47"/>
      <c r="FX351" s="47"/>
      <c r="FY351" s="32"/>
      <c r="FZ351" s="32"/>
      <c r="GA351" s="32"/>
      <c r="GB351" s="32"/>
      <c r="GC351" s="32"/>
      <c r="GD351" s="32"/>
      <c r="GE351" s="32"/>
      <c r="GF351" s="32"/>
      <c r="GG351" s="32"/>
      <c r="GH351" s="32"/>
      <c r="GI351" s="32"/>
      <c r="GJ351" s="32"/>
      <c r="GK351" s="32"/>
      <c r="GL351" s="32"/>
      <c r="GM351" s="49"/>
      <c r="GN351" s="49"/>
      <c r="GO351" s="49"/>
      <c r="GP351" s="49"/>
      <c r="GQ351" s="49"/>
      <c r="GR351" s="49"/>
      <c r="GS351" s="49"/>
      <c r="GT351" s="49"/>
      <c r="GU351" s="49"/>
      <c r="GV351" s="49"/>
      <c r="GW351" s="49"/>
      <c r="GX351" s="49"/>
      <c r="GY351" s="49"/>
      <c r="GZ351" s="49"/>
      <c r="HA351" s="49"/>
      <c r="HB351" s="49"/>
      <c r="HC351" s="49"/>
      <c r="HD351" s="49"/>
      <c r="HE351" s="49"/>
      <c r="HF351" s="49"/>
      <c r="HG351" s="49"/>
      <c r="HH351" s="49"/>
      <c r="HI351" s="49"/>
      <c r="HJ351" s="49"/>
      <c r="HK351" s="49"/>
      <c r="HL351" s="49"/>
      <c r="HM351" s="49"/>
      <c r="HN351" s="49"/>
    </row>
    <row r="352" spans="1:222" ht="16.5" customHeight="1">
      <c r="A352" s="1"/>
      <c r="B352" s="3"/>
      <c r="C352" s="3"/>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30"/>
      <c r="FL352" s="21"/>
      <c r="FM352" s="47"/>
      <c r="FN352" s="47"/>
      <c r="FO352" s="47"/>
      <c r="FP352" s="47"/>
      <c r="FQ352" s="47"/>
      <c r="FR352" s="47"/>
      <c r="FS352" s="47"/>
      <c r="FT352" s="47"/>
      <c r="FU352" s="47"/>
      <c r="FV352" s="47"/>
      <c r="FW352" s="47"/>
      <c r="FX352" s="47"/>
      <c r="FY352" s="32"/>
      <c r="FZ352" s="32"/>
      <c r="GA352" s="32"/>
      <c r="GB352" s="32"/>
      <c r="GC352" s="32"/>
      <c r="GD352" s="32"/>
      <c r="GE352" s="32"/>
      <c r="GF352" s="32"/>
      <c r="GG352" s="32"/>
      <c r="GH352" s="32"/>
      <c r="GI352" s="32"/>
      <c r="GJ352" s="32"/>
      <c r="GK352" s="32"/>
      <c r="GL352" s="32"/>
      <c r="GM352" s="49"/>
      <c r="GN352" s="49"/>
      <c r="GO352" s="49"/>
      <c r="GP352" s="49"/>
      <c r="GQ352" s="49"/>
      <c r="GR352" s="49"/>
      <c r="GS352" s="49"/>
      <c r="GT352" s="49"/>
      <c r="GU352" s="49"/>
      <c r="GV352" s="49"/>
      <c r="GW352" s="49"/>
      <c r="GX352" s="49"/>
      <c r="GY352" s="49"/>
      <c r="GZ352" s="49"/>
      <c r="HA352" s="49"/>
      <c r="HB352" s="49"/>
      <c r="HC352" s="49"/>
      <c r="HD352" s="49"/>
      <c r="HE352" s="49"/>
      <c r="HF352" s="49"/>
      <c r="HG352" s="49"/>
      <c r="HH352" s="49"/>
      <c r="HI352" s="49"/>
      <c r="HJ352" s="49"/>
      <c r="HK352" s="49"/>
      <c r="HL352" s="49"/>
      <c r="HM352" s="49"/>
      <c r="HN352" s="49"/>
    </row>
    <row r="353" spans="1:222" ht="16.5" customHeight="1">
      <c r="A353" s="1"/>
      <c r="B353" s="3"/>
      <c r="C353" s="3"/>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30"/>
      <c r="FL353" s="21"/>
      <c r="FM353" s="47"/>
      <c r="FN353" s="47"/>
      <c r="FO353" s="47"/>
      <c r="FP353" s="47"/>
      <c r="FQ353" s="47"/>
      <c r="FR353" s="47"/>
      <c r="FS353" s="47"/>
      <c r="FT353" s="47"/>
      <c r="FU353" s="47"/>
      <c r="FV353" s="47"/>
      <c r="FW353" s="47"/>
      <c r="FX353" s="47"/>
      <c r="FY353" s="32"/>
      <c r="FZ353" s="32"/>
      <c r="GA353" s="32"/>
      <c r="GB353" s="32"/>
      <c r="GC353" s="32"/>
      <c r="GD353" s="32"/>
      <c r="GE353" s="32"/>
      <c r="GF353" s="32"/>
      <c r="GG353" s="32"/>
      <c r="GH353" s="32"/>
      <c r="GI353" s="32"/>
      <c r="GJ353" s="32"/>
      <c r="GK353" s="32"/>
      <c r="GL353" s="32"/>
      <c r="GM353" s="49"/>
      <c r="GN353" s="49"/>
      <c r="GO353" s="49"/>
      <c r="GP353" s="49"/>
      <c r="GQ353" s="49"/>
      <c r="GR353" s="49"/>
      <c r="GS353" s="49"/>
      <c r="GT353" s="49"/>
      <c r="GU353" s="49"/>
      <c r="GV353" s="49"/>
      <c r="GW353" s="49"/>
      <c r="GX353" s="49"/>
      <c r="GY353" s="49"/>
      <c r="GZ353" s="49"/>
      <c r="HA353" s="49"/>
      <c r="HB353" s="49"/>
      <c r="HC353" s="49"/>
      <c r="HD353" s="49"/>
      <c r="HE353" s="49"/>
      <c r="HF353" s="49"/>
      <c r="HG353" s="49"/>
      <c r="HH353" s="49"/>
      <c r="HI353" s="49"/>
      <c r="HJ353" s="49"/>
      <c r="HK353" s="49"/>
      <c r="HL353" s="49"/>
      <c r="HM353" s="49"/>
      <c r="HN353" s="49"/>
    </row>
    <row r="354" spans="1:222" ht="16.5" customHeight="1">
      <c r="A354" s="1"/>
      <c r="B354" s="3"/>
      <c r="C354" s="3"/>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30"/>
      <c r="FL354" s="21"/>
      <c r="FM354" s="47"/>
      <c r="FN354" s="47"/>
      <c r="FO354" s="47"/>
      <c r="FP354" s="47"/>
      <c r="FQ354" s="47"/>
      <c r="FR354" s="47"/>
      <c r="FS354" s="47"/>
      <c r="FT354" s="47"/>
      <c r="FU354" s="47"/>
      <c r="FV354" s="47"/>
      <c r="FW354" s="47"/>
      <c r="FX354" s="47"/>
      <c r="FY354" s="32"/>
      <c r="FZ354" s="32"/>
      <c r="GA354" s="32"/>
      <c r="GB354" s="32"/>
      <c r="GC354" s="32"/>
      <c r="GD354" s="32"/>
      <c r="GE354" s="32"/>
      <c r="GF354" s="32"/>
      <c r="GG354" s="32"/>
      <c r="GH354" s="32"/>
      <c r="GI354" s="32"/>
      <c r="GJ354" s="32"/>
      <c r="GK354" s="32"/>
      <c r="GL354" s="32"/>
      <c r="GM354" s="49"/>
      <c r="GN354" s="49"/>
      <c r="GO354" s="49"/>
      <c r="GP354" s="49"/>
      <c r="GQ354" s="49"/>
      <c r="GR354" s="49"/>
      <c r="GS354" s="49"/>
      <c r="GT354" s="49"/>
      <c r="GU354" s="49"/>
      <c r="GV354" s="49"/>
      <c r="GW354" s="49"/>
      <c r="GX354" s="49"/>
      <c r="GY354" s="49"/>
      <c r="GZ354" s="49"/>
      <c r="HA354" s="49"/>
      <c r="HB354" s="49"/>
      <c r="HC354" s="49"/>
      <c r="HD354" s="49"/>
      <c r="HE354" s="49"/>
      <c r="HF354" s="49"/>
      <c r="HG354" s="49"/>
      <c r="HH354" s="49"/>
      <c r="HI354" s="49"/>
      <c r="HJ354" s="49"/>
      <c r="HK354" s="49"/>
      <c r="HL354" s="49"/>
      <c r="HM354" s="49"/>
      <c r="HN354" s="49"/>
    </row>
    <row r="355" spans="1:222" ht="22.8">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c r="DN355" s="32"/>
      <c r="DO355" s="32"/>
      <c r="DP355" s="32"/>
      <c r="DQ355" s="32"/>
      <c r="DR355" s="32"/>
      <c r="DS355" s="32"/>
      <c r="DT355" s="32"/>
      <c r="DU355" s="32"/>
      <c r="DV355" s="32"/>
      <c r="DW355" s="32"/>
      <c r="DX355" s="32"/>
      <c r="DY355" s="32"/>
      <c r="DZ355" s="32"/>
      <c r="EA355" s="32"/>
      <c r="EB355" s="32"/>
      <c r="EC355" s="32"/>
      <c r="ED355" s="32"/>
      <c r="EE355" s="32"/>
      <c r="EF355" s="32"/>
      <c r="EG355" s="32"/>
      <c r="EH355" s="32"/>
      <c r="EI355" s="32"/>
      <c r="EJ355" s="32"/>
      <c r="EK355" s="32"/>
      <c r="EL355" s="32"/>
      <c r="EM355" s="32"/>
      <c r="EN355" s="32"/>
      <c r="EO355" s="32"/>
      <c r="EP355" s="32"/>
      <c r="EQ355" s="32"/>
      <c r="ER355" s="32"/>
      <c r="ES355" s="32"/>
      <c r="ET355" s="32"/>
      <c r="EU355" s="32"/>
      <c r="EV355" s="32"/>
      <c r="EW355" s="32"/>
      <c r="EX355" s="32"/>
      <c r="EY355" s="32"/>
      <c r="EZ355" s="32"/>
      <c r="FA355" s="32"/>
      <c r="FB355" s="32"/>
      <c r="FC355" s="32"/>
      <c r="FD355" s="32"/>
      <c r="FE355" s="32"/>
      <c r="FF355" s="32"/>
      <c r="FG355" s="32"/>
      <c r="FH355" s="32"/>
      <c r="FI355" s="32"/>
      <c r="FJ355" s="32"/>
      <c r="FK355" s="32"/>
      <c r="FL355" s="32"/>
      <c r="FM355" s="47"/>
      <c r="FN355" s="47"/>
      <c r="FO355" s="47"/>
      <c r="FP355" s="47"/>
      <c r="FQ355" s="47"/>
      <c r="FR355" s="47"/>
      <c r="FS355" s="47"/>
      <c r="FT355" s="47"/>
      <c r="FU355" s="47"/>
      <c r="FV355" s="47"/>
      <c r="FW355" s="47"/>
      <c r="FX355" s="47"/>
      <c r="FY355" s="32"/>
      <c r="FZ355" s="32"/>
      <c r="GA355" s="32"/>
      <c r="GB355" s="32"/>
      <c r="GC355" s="32"/>
      <c r="GD355" s="32"/>
      <c r="GE355" s="32"/>
      <c r="GF355" s="32"/>
      <c r="GG355" s="32"/>
      <c r="GH355" s="32"/>
      <c r="GI355" s="32"/>
      <c r="GJ355" s="32"/>
      <c r="GK355" s="32"/>
      <c r="GL355" s="32"/>
      <c r="GM355" s="49"/>
      <c r="GN355" s="49"/>
      <c r="GO355" s="49"/>
      <c r="GP355" s="49"/>
      <c r="GQ355" s="49"/>
      <c r="GR355" s="49"/>
      <c r="GS355" s="49"/>
      <c r="GT355" s="49"/>
      <c r="GU355" s="49"/>
      <c r="GV355" s="49"/>
      <c r="GW355" s="49"/>
      <c r="GX355" s="49"/>
      <c r="GY355" s="49"/>
      <c r="GZ355" s="49"/>
      <c r="HA355" s="49"/>
      <c r="HB355" s="49"/>
      <c r="HC355" s="49"/>
      <c r="HD355" s="49"/>
      <c r="HE355" s="49"/>
      <c r="HF355" s="49"/>
      <c r="HG355" s="49"/>
      <c r="HH355" s="49"/>
      <c r="HI355" s="49"/>
      <c r="HJ355" s="49"/>
      <c r="HK355" s="49"/>
      <c r="HL355" s="49"/>
      <c r="HM355" s="49"/>
      <c r="HN355" s="49"/>
    </row>
    <row r="356" spans="1:222" ht="22.8">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2"/>
      <c r="FH356" s="32"/>
      <c r="FI356" s="32"/>
      <c r="FJ356" s="32"/>
      <c r="FK356" s="32"/>
      <c r="FL356" s="32"/>
      <c r="FM356" s="47"/>
      <c r="FN356" s="47"/>
      <c r="FO356" s="47"/>
      <c r="FP356" s="47"/>
      <c r="FQ356" s="47"/>
      <c r="FR356" s="47"/>
      <c r="FS356" s="47"/>
      <c r="FT356" s="47"/>
      <c r="FU356" s="47"/>
      <c r="FV356" s="47"/>
      <c r="FW356" s="47"/>
      <c r="FX356" s="47"/>
      <c r="FY356" s="32"/>
      <c r="FZ356" s="32"/>
      <c r="GA356" s="32"/>
      <c r="GB356" s="32"/>
      <c r="GC356" s="32"/>
      <c r="GD356" s="32"/>
      <c r="GE356" s="32"/>
      <c r="GF356" s="32"/>
      <c r="GG356" s="32"/>
      <c r="GH356" s="32"/>
      <c r="GI356" s="32"/>
      <c r="GJ356" s="32"/>
      <c r="GK356" s="32"/>
      <c r="GL356" s="32"/>
      <c r="GM356" s="49"/>
      <c r="GN356" s="49"/>
      <c r="GO356" s="49"/>
      <c r="GP356" s="49"/>
      <c r="GQ356" s="49"/>
      <c r="GR356" s="49"/>
      <c r="GS356" s="49"/>
      <c r="GT356" s="49"/>
      <c r="GU356" s="49"/>
      <c r="GV356" s="49"/>
      <c r="GW356" s="49"/>
      <c r="GX356" s="49"/>
      <c r="GY356" s="49"/>
      <c r="GZ356" s="49"/>
      <c r="HA356" s="49"/>
      <c r="HB356" s="49"/>
      <c r="HC356" s="49"/>
      <c r="HD356" s="49"/>
      <c r="HE356" s="49"/>
      <c r="HF356" s="49"/>
      <c r="HG356" s="49"/>
      <c r="HH356" s="49"/>
      <c r="HI356" s="49"/>
      <c r="HJ356" s="49"/>
      <c r="HK356" s="49"/>
      <c r="HL356" s="49"/>
      <c r="HM356" s="49"/>
      <c r="HN356" s="49"/>
    </row>
    <row r="357" spans="1:222" ht="22.8">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c r="EB357" s="32"/>
      <c r="EC357" s="32"/>
      <c r="ED357" s="32"/>
      <c r="EE357" s="32"/>
      <c r="EF357" s="32"/>
      <c r="EG357" s="32"/>
      <c r="EH357" s="32"/>
      <c r="EI357" s="32"/>
      <c r="EJ357" s="32"/>
      <c r="EK357" s="32"/>
      <c r="EL357" s="32"/>
      <c r="EM357" s="32"/>
      <c r="EN357" s="32"/>
      <c r="EO357" s="32"/>
      <c r="EP357" s="32"/>
      <c r="EQ357" s="32"/>
      <c r="ER357" s="32"/>
      <c r="ES357" s="32"/>
      <c r="ET357" s="32"/>
      <c r="EU357" s="32"/>
      <c r="EV357" s="32"/>
      <c r="EW357" s="32"/>
      <c r="EX357" s="32"/>
      <c r="EY357" s="32"/>
      <c r="EZ357" s="32"/>
      <c r="FA357" s="32"/>
      <c r="FB357" s="32"/>
      <c r="FC357" s="32"/>
      <c r="FD357" s="32"/>
      <c r="FE357" s="32"/>
      <c r="FF357" s="32"/>
      <c r="FG357" s="32"/>
      <c r="FH357" s="32"/>
      <c r="FI357" s="32"/>
      <c r="FJ357" s="32"/>
      <c r="FK357" s="32"/>
      <c r="FL357" s="32"/>
      <c r="FM357" s="47"/>
      <c r="FN357" s="47"/>
      <c r="FO357" s="47"/>
      <c r="FP357" s="47"/>
      <c r="FQ357" s="47"/>
      <c r="FR357" s="47"/>
      <c r="FS357" s="47"/>
      <c r="FT357" s="47"/>
      <c r="FU357" s="47"/>
      <c r="FV357" s="47"/>
      <c r="FW357" s="47"/>
      <c r="FX357" s="47"/>
      <c r="FY357" s="32"/>
      <c r="FZ357" s="32"/>
      <c r="GA357" s="32"/>
      <c r="GB357" s="32"/>
      <c r="GC357" s="32"/>
      <c r="GD357" s="32"/>
      <c r="GE357" s="32"/>
      <c r="GF357" s="32"/>
      <c r="GG357" s="32"/>
      <c r="GH357" s="32"/>
      <c r="GI357" s="32"/>
      <c r="GJ357" s="32"/>
      <c r="GK357" s="32"/>
      <c r="GL357" s="32"/>
      <c r="GM357" s="49"/>
      <c r="GN357" s="49"/>
      <c r="GO357" s="49"/>
      <c r="GP357" s="49"/>
      <c r="GQ357" s="49"/>
      <c r="GR357" s="49"/>
      <c r="GS357" s="49"/>
      <c r="GT357" s="49"/>
      <c r="GU357" s="49"/>
      <c r="GV357" s="49"/>
      <c r="GW357" s="49"/>
      <c r="GX357" s="49"/>
      <c r="GY357" s="49"/>
      <c r="GZ357" s="49"/>
      <c r="HA357" s="49"/>
      <c r="HB357" s="49"/>
      <c r="HC357" s="49"/>
      <c r="HD357" s="49"/>
      <c r="HE357" s="49"/>
      <c r="HF357" s="49"/>
      <c r="HG357" s="49"/>
      <c r="HH357" s="49"/>
      <c r="HI357" s="49"/>
      <c r="HJ357" s="49"/>
      <c r="HK357" s="49"/>
      <c r="HL357" s="49"/>
      <c r="HM357" s="49"/>
      <c r="HN357" s="49"/>
    </row>
    <row r="358" spans="1:222" ht="22.8">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c r="DN358" s="32"/>
      <c r="DO358" s="32"/>
      <c r="DP358" s="32"/>
      <c r="DQ358" s="32"/>
      <c r="DR358" s="32"/>
      <c r="DS358" s="32"/>
      <c r="DT358" s="32"/>
      <c r="DU358" s="32"/>
      <c r="DV358" s="32"/>
      <c r="DW358" s="32"/>
      <c r="DX358" s="32"/>
      <c r="DY358" s="32"/>
      <c r="DZ358" s="32"/>
      <c r="EA358" s="32"/>
      <c r="EB358" s="32"/>
      <c r="EC358" s="32"/>
      <c r="ED358" s="32"/>
      <c r="EE358" s="32"/>
      <c r="EF358" s="32"/>
      <c r="EG358" s="32"/>
      <c r="EH358" s="32"/>
      <c r="EI358" s="32"/>
      <c r="EJ358" s="32"/>
      <c r="EK358" s="32"/>
      <c r="EL358" s="32"/>
      <c r="EM358" s="32"/>
      <c r="EN358" s="32"/>
      <c r="EO358" s="32"/>
      <c r="EP358" s="32"/>
      <c r="EQ358" s="32"/>
      <c r="ER358" s="32"/>
      <c r="ES358" s="32"/>
      <c r="ET358" s="32"/>
      <c r="EU358" s="32"/>
      <c r="EV358" s="32"/>
      <c r="EW358" s="32"/>
      <c r="EX358" s="32"/>
      <c r="EY358" s="32"/>
      <c r="EZ358" s="32"/>
      <c r="FA358" s="32"/>
      <c r="FB358" s="32"/>
      <c r="FC358" s="32"/>
      <c r="FD358" s="32"/>
      <c r="FE358" s="32"/>
      <c r="FF358" s="32"/>
      <c r="FG358" s="32"/>
      <c r="FH358" s="32"/>
      <c r="FI358" s="32"/>
      <c r="FJ358" s="32"/>
      <c r="FK358" s="32"/>
      <c r="FL358" s="32"/>
      <c r="FM358" s="47"/>
      <c r="FN358" s="47"/>
      <c r="FO358" s="47"/>
      <c r="FP358" s="47"/>
      <c r="FQ358" s="47"/>
      <c r="FR358" s="47"/>
      <c r="FS358" s="47"/>
      <c r="FT358" s="47"/>
      <c r="FU358" s="47"/>
      <c r="FV358" s="47"/>
      <c r="FW358" s="47"/>
      <c r="FX358" s="47"/>
      <c r="FY358" s="32"/>
      <c r="FZ358" s="32"/>
      <c r="GA358" s="32"/>
      <c r="GB358" s="32"/>
      <c r="GC358" s="32"/>
      <c r="GD358" s="32"/>
      <c r="GE358" s="32"/>
      <c r="GF358" s="32"/>
      <c r="GG358" s="32"/>
      <c r="GH358" s="32"/>
      <c r="GI358" s="32"/>
      <c r="GJ358" s="32"/>
      <c r="GK358" s="32"/>
      <c r="GL358" s="32"/>
      <c r="GM358" s="49"/>
      <c r="GN358" s="49"/>
      <c r="GO358" s="49"/>
      <c r="GP358" s="49"/>
      <c r="GQ358" s="49"/>
      <c r="GR358" s="49"/>
      <c r="GS358" s="49"/>
      <c r="GT358" s="49"/>
      <c r="GU358" s="49"/>
      <c r="GV358" s="49"/>
      <c r="GW358" s="49"/>
      <c r="GX358" s="49"/>
      <c r="GY358" s="49"/>
      <c r="GZ358" s="49"/>
      <c r="HA358" s="49"/>
      <c r="HB358" s="49"/>
      <c r="HC358" s="49"/>
      <c r="HD358" s="49"/>
      <c r="HE358" s="49"/>
      <c r="HF358" s="49"/>
      <c r="HG358" s="49"/>
      <c r="HH358" s="49"/>
      <c r="HI358" s="49"/>
      <c r="HJ358" s="49"/>
      <c r="HK358" s="49"/>
      <c r="HL358" s="49"/>
      <c r="HM358" s="49"/>
      <c r="HN358" s="49"/>
    </row>
    <row r="359" spans="1:222" ht="22.8">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c r="DN359" s="32"/>
      <c r="DO359" s="32"/>
      <c r="DP359" s="32"/>
      <c r="DQ359" s="32"/>
      <c r="DR359" s="32"/>
      <c r="DS359" s="32"/>
      <c r="DT359" s="32"/>
      <c r="DU359" s="32"/>
      <c r="DV359" s="32"/>
      <c r="DW359" s="32"/>
      <c r="DX359" s="32"/>
      <c r="DY359" s="32"/>
      <c r="DZ359" s="32"/>
      <c r="EA359" s="32"/>
      <c r="EB359" s="32"/>
      <c r="EC359" s="32"/>
      <c r="ED359" s="32"/>
      <c r="EE359" s="32"/>
      <c r="EF359" s="32"/>
      <c r="EG359" s="32"/>
      <c r="EH359" s="32"/>
      <c r="EI359" s="32"/>
      <c r="EJ359" s="32"/>
      <c r="EK359" s="32"/>
      <c r="EL359" s="32"/>
      <c r="EM359" s="32"/>
      <c r="EN359" s="32"/>
      <c r="EO359" s="32"/>
      <c r="EP359" s="32"/>
      <c r="EQ359" s="32"/>
      <c r="ER359" s="32"/>
      <c r="ES359" s="32"/>
      <c r="ET359" s="32"/>
      <c r="EU359" s="32"/>
      <c r="EV359" s="32"/>
      <c r="EW359" s="32"/>
      <c r="EX359" s="32"/>
      <c r="EY359" s="32"/>
      <c r="EZ359" s="32"/>
      <c r="FA359" s="32"/>
      <c r="FB359" s="32"/>
      <c r="FC359" s="32"/>
      <c r="FD359" s="32"/>
      <c r="FE359" s="32"/>
      <c r="FF359" s="32"/>
      <c r="FG359" s="32"/>
      <c r="FH359" s="32"/>
      <c r="FI359" s="32"/>
      <c r="FJ359" s="32"/>
      <c r="FK359" s="32"/>
      <c r="FL359" s="32"/>
      <c r="FM359" s="47"/>
      <c r="FN359" s="47"/>
      <c r="FO359" s="47"/>
      <c r="FP359" s="47"/>
      <c r="FQ359" s="47"/>
      <c r="FR359" s="47"/>
      <c r="FS359" s="47"/>
      <c r="FT359" s="47"/>
      <c r="FU359" s="47"/>
      <c r="FV359" s="47"/>
      <c r="FW359" s="47"/>
      <c r="FX359" s="47"/>
      <c r="FY359" s="32"/>
      <c r="FZ359" s="32"/>
      <c r="GA359" s="32"/>
      <c r="GB359" s="32"/>
      <c r="GC359" s="32"/>
      <c r="GD359" s="32"/>
      <c r="GE359" s="32"/>
      <c r="GF359" s="32"/>
      <c r="GG359" s="32"/>
      <c r="GH359" s="32"/>
      <c r="GI359" s="32"/>
      <c r="GJ359" s="32"/>
      <c r="GK359" s="32"/>
      <c r="GL359" s="32"/>
      <c r="GM359" s="49"/>
      <c r="GN359" s="49"/>
      <c r="GO359" s="49"/>
      <c r="GP359" s="49"/>
      <c r="GQ359" s="49"/>
      <c r="GR359" s="49"/>
      <c r="GS359" s="49"/>
      <c r="GT359" s="49"/>
      <c r="GU359" s="49"/>
      <c r="GV359" s="49"/>
      <c r="GW359" s="49"/>
      <c r="GX359" s="49"/>
      <c r="GY359" s="49"/>
      <c r="GZ359" s="49"/>
      <c r="HA359" s="49"/>
      <c r="HB359" s="49"/>
      <c r="HC359" s="49"/>
      <c r="HD359" s="49"/>
      <c r="HE359" s="49"/>
      <c r="HF359" s="49"/>
      <c r="HG359" s="49"/>
      <c r="HH359" s="49"/>
      <c r="HI359" s="49"/>
      <c r="HJ359" s="49"/>
      <c r="HK359" s="49"/>
      <c r="HL359" s="49"/>
      <c r="HM359" s="49"/>
      <c r="HN359" s="49"/>
    </row>
    <row r="360" spans="1:222" ht="22.8">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c r="EB360" s="32"/>
      <c r="EC360" s="32"/>
      <c r="ED360" s="32"/>
      <c r="EE360" s="32"/>
      <c r="EF360" s="32"/>
      <c r="EG360" s="32"/>
      <c r="EH360" s="32"/>
      <c r="EI360" s="32"/>
      <c r="EJ360" s="32"/>
      <c r="EK360" s="32"/>
      <c r="EL360" s="32"/>
      <c r="EM360" s="32"/>
      <c r="EN360" s="32"/>
      <c r="EO360" s="32"/>
      <c r="EP360" s="32"/>
      <c r="EQ360" s="32"/>
      <c r="ER360" s="32"/>
      <c r="ES360" s="32"/>
      <c r="ET360" s="32"/>
      <c r="EU360" s="32"/>
      <c r="EV360" s="32"/>
      <c r="EW360" s="32"/>
      <c r="EX360" s="32"/>
      <c r="EY360" s="32"/>
      <c r="EZ360" s="32"/>
      <c r="FA360" s="32"/>
      <c r="FB360" s="32"/>
      <c r="FC360" s="32"/>
      <c r="FD360" s="32"/>
      <c r="FE360" s="32"/>
      <c r="FF360" s="32"/>
      <c r="FG360" s="32"/>
      <c r="FH360" s="32"/>
      <c r="FI360" s="32"/>
      <c r="FJ360" s="32"/>
      <c r="FK360" s="32"/>
      <c r="FL360" s="32"/>
      <c r="FM360" s="47"/>
      <c r="FN360" s="47"/>
      <c r="FO360" s="47"/>
      <c r="FP360" s="47"/>
      <c r="FQ360" s="47"/>
      <c r="FR360" s="47"/>
      <c r="FS360" s="47"/>
      <c r="FT360" s="47"/>
      <c r="FU360" s="47"/>
      <c r="FV360" s="47"/>
      <c r="FW360" s="47"/>
      <c r="FX360" s="47"/>
      <c r="FY360" s="32"/>
      <c r="FZ360" s="32"/>
      <c r="GA360" s="32"/>
      <c r="GB360" s="32"/>
      <c r="GC360" s="32"/>
      <c r="GD360" s="32"/>
      <c r="GE360" s="32"/>
      <c r="GF360" s="32"/>
      <c r="GG360" s="32"/>
      <c r="GH360" s="32"/>
      <c r="GI360" s="32"/>
      <c r="GJ360" s="32"/>
      <c r="GK360" s="32"/>
      <c r="GL360" s="32"/>
      <c r="GM360" s="49"/>
      <c r="GN360" s="49"/>
      <c r="GO360" s="49"/>
      <c r="GP360" s="49"/>
      <c r="GQ360" s="49"/>
      <c r="GR360" s="49"/>
      <c r="GS360" s="49"/>
      <c r="GT360" s="49"/>
      <c r="GU360" s="49"/>
      <c r="GV360" s="49"/>
      <c r="GW360" s="49"/>
      <c r="GX360" s="49"/>
      <c r="GY360" s="49"/>
      <c r="GZ360" s="49"/>
      <c r="HA360" s="49"/>
      <c r="HB360" s="49"/>
      <c r="HC360" s="49"/>
      <c r="HD360" s="49"/>
      <c r="HE360" s="49"/>
      <c r="HF360" s="49"/>
      <c r="HG360" s="49"/>
      <c r="HH360" s="49"/>
      <c r="HI360" s="49"/>
      <c r="HJ360" s="49"/>
      <c r="HK360" s="49"/>
      <c r="HL360" s="49"/>
      <c r="HM360" s="49"/>
      <c r="HN360" s="49"/>
    </row>
    <row r="361" spans="1:222" ht="22.8">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c r="DN361" s="32"/>
      <c r="DO361" s="32"/>
      <c r="DP361" s="32"/>
      <c r="DQ361" s="32"/>
      <c r="DR361" s="32"/>
      <c r="DS361" s="32"/>
      <c r="DT361" s="32"/>
      <c r="DU361" s="32"/>
      <c r="DV361" s="32"/>
      <c r="DW361" s="32"/>
      <c r="DX361" s="32"/>
      <c r="DY361" s="32"/>
      <c r="DZ361" s="32"/>
      <c r="EA361" s="32"/>
      <c r="EB361" s="32"/>
      <c r="EC361" s="32"/>
      <c r="ED361" s="32"/>
      <c r="EE361" s="32"/>
      <c r="EF361" s="32"/>
      <c r="EG361" s="32"/>
      <c r="EH361" s="32"/>
      <c r="EI361" s="32"/>
      <c r="EJ361" s="32"/>
      <c r="EK361" s="32"/>
      <c r="EL361" s="32"/>
      <c r="EM361" s="32"/>
      <c r="EN361" s="32"/>
      <c r="EO361" s="32"/>
      <c r="EP361" s="32"/>
      <c r="EQ361" s="32"/>
      <c r="ER361" s="32"/>
      <c r="ES361" s="32"/>
      <c r="ET361" s="32"/>
      <c r="EU361" s="32"/>
      <c r="EV361" s="32"/>
      <c r="EW361" s="32"/>
      <c r="EX361" s="32"/>
      <c r="EY361" s="32"/>
      <c r="EZ361" s="32"/>
      <c r="FA361" s="32"/>
      <c r="FB361" s="32"/>
      <c r="FC361" s="32"/>
      <c r="FD361" s="32"/>
      <c r="FE361" s="32"/>
      <c r="FF361" s="32"/>
      <c r="FG361" s="32"/>
      <c r="FH361" s="32"/>
      <c r="FI361" s="32"/>
      <c r="FJ361" s="32"/>
      <c r="FK361" s="32"/>
      <c r="FL361" s="32"/>
      <c r="FM361" s="47"/>
      <c r="FN361" s="47"/>
      <c r="FO361" s="47"/>
      <c r="FP361" s="47"/>
      <c r="FQ361" s="47"/>
      <c r="FR361" s="47"/>
      <c r="FS361" s="47"/>
      <c r="FT361" s="47"/>
      <c r="FU361" s="47"/>
      <c r="FV361" s="47"/>
      <c r="FW361" s="47"/>
      <c r="FX361" s="47"/>
      <c r="FY361" s="32"/>
      <c r="FZ361" s="32"/>
      <c r="GA361" s="32"/>
      <c r="GB361" s="32"/>
      <c r="GC361" s="32"/>
      <c r="GD361" s="32"/>
      <c r="GE361" s="32"/>
      <c r="GF361" s="32"/>
      <c r="GG361" s="32"/>
      <c r="GH361" s="32"/>
      <c r="GI361" s="32"/>
      <c r="GJ361" s="32"/>
      <c r="GK361" s="32"/>
      <c r="GL361" s="32"/>
      <c r="GM361" s="49"/>
      <c r="GN361" s="49"/>
      <c r="GO361" s="49"/>
      <c r="GP361" s="49"/>
      <c r="GQ361" s="49"/>
      <c r="GR361" s="49"/>
      <c r="GS361" s="49"/>
      <c r="GT361" s="49"/>
      <c r="GU361" s="49"/>
      <c r="GV361" s="49"/>
      <c r="GW361" s="49"/>
      <c r="GX361" s="49"/>
      <c r="GY361" s="49"/>
      <c r="GZ361" s="49"/>
      <c r="HA361" s="49"/>
      <c r="HB361" s="49"/>
      <c r="HC361" s="49"/>
      <c r="HD361" s="49"/>
      <c r="HE361" s="49"/>
      <c r="HF361" s="49"/>
      <c r="HG361" s="49"/>
      <c r="HH361" s="49"/>
      <c r="HI361" s="49"/>
      <c r="HJ361" s="49"/>
      <c r="HK361" s="49"/>
      <c r="HL361" s="49"/>
      <c r="HM361" s="49"/>
      <c r="HN361" s="49"/>
    </row>
    <row r="362" spans="1:222" ht="22.8">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32"/>
      <c r="DD362" s="32"/>
      <c r="DE362" s="32"/>
      <c r="DF362" s="32"/>
      <c r="DG362" s="32"/>
      <c r="DH362" s="32"/>
      <c r="DI362" s="32"/>
      <c r="DJ362" s="32"/>
      <c r="DK362" s="32"/>
      <c r="DL362" s="32"/>
      <c r="DM362" s="32"/>
      <c r="DN362" s="32"/>
      <c r="DO362" s="32"/>
      <c r="DP362" s="32"/>
      <c r="DQ362" s="32"/>
      <c r="DR362" s="32"/>
      <c r="DS362" s="32"/>
      <c r="DT362" s="32"/>
      <c r="DU362" s="32"/>
      <c r="DV362" s="32"/>
      <c r="DW362" s="32"/>
      <c r="DX362" s="32"/>
      <c r="DY362" s="32"/>
      <c r="DZ362" s="32"/>
      <c r="EA362" s="32"/>
      <c r="EB362" s="32"/>
      <c r="EC362" s="32"/>
      <c r="ED362" s="32"/>
      <c r="EE362" s="32"/>
      <c r="EF362" s="32"/>
      <c r="EG362" s="32"/>
      <c r="EH362" s="32"/>
      <c r="EI362" s="32"/>
      <c r="EJ362" s="32"/>
      <c r="EK362" s="32"/>
      <c r="EL362" s="32"/>
      <c r="EM362" s="32"/>
      <c r="EN362" s="32"/>
      <c r="EO362" s="32"/>
      <c r="EP362" s="32"/>
      <c r="EQ362" s="32"/>
      <c r="ER362" s="32"/>
      <c r="ES362" s="32"/>
      <c r="ET362" s="32"/>
      <c r="EU362" s="32"/>
      <c r="EV362" s="32"/>
      <c r="EW362" s="32"/>
      <c r="EX362" s="32"/>
      <c r="EY362" s="32"/>
      <c r="EZ362" s="32"/>
      <c r="FA362" s="32"/>
      <c r="FB362" s="32"/>
      <c r="FC362" s="32"/>
      <c r="FD362" s="32"/>
      <c r="FE362" s="32"/>
      <c r="FF362" s="32"/>
      <c r="FG362" s="32"/>
      <c r="FH362" s="32"/>
      <c r="FI362" s="32"/>
      <c r="FJ362" s="32"/>
      <c r="FK362" s="32"/>
      <c r="FL362" s="32"/>
      <c r="FM362" s="47"/>
      <c r="FN362" s="47"/>
      <c r="FO362" s="47"/>
      <c r="FP362" s="47"/>
      <c r="FQ362" s="47"/>
      <c r="FR362" s="47"/>
      <c r="FS362" s="47"/>
      <c r="FT362" s="47"/>
      <c r="FU362" s="47"/>
      <c r="FV362" s="47"/>
      <c r="FW362" s="47"/>
      <c r="FX362" s="47"/>
      <c r="FY362" s="32"/>
      <c r="FZ362" s="32"/>
      <c r="GA362" s="32"/>
      <c r="GB362" s="32"/>
      <c r="GC362" s="32"/>
      <c r="GD362" s="32"/>
      <c r="GE362" s="32"/>
      <c r="GF362" s="32"/>
      <c r="GG362" s="32"/>
      <c r="GH362" s="32"/>
      <c r="GI362" s="32"/>
      <c r="GJ362" s="32"/>
      <c r="GK362" s="32"/>
      <c r="GL362" s="32"/>
      <c r="GM362" s="49"/>
      <c r="GN362" s="49"/>
      <c r="GO362" s="49"/>
      <c r="GP362" s="49"/>
      <c r="GQ362" s="49"/>
      <c r="GR362" s="49"/>
      <c r="GS362" s="49"/>
      <c r="GT362" s="49"/>
      <c r="GU362" s="49"/>
      <c r="GV362" s="49"/>
      <c r="GW362" s="49"/>
      <c r="GX362" s="49"/>
      <c r="GY362" s="49"/>
      <c r="GZ362" s="49"/>
      <c r="HA362" s="49"/>
      <c r="HB362" s="49"/>
      <c r="HC362" s="49"/>
      <c r="HD362" s="49"/>
      <c r="HE362" s="49"/>
      <c r="HF362" s="49"/>
      <c r="HG362" s="49"/>
      <c r="HH362" s="49"/>
      <c r="HI362" s="49"/>
      <c r="HJ362" s="49"/>
      <c r="HK362" s="49"/>
      <c r="HL362" s="49"/>
      <c r="HM362" s="49"/>
      <c r="HN362" s="49"/>
    </row>
    <row r="363" spans="1:222" ht="22.8">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c r="DN363" s="32"/>
      <c r="DO363" s="32"/>
      <c r="DP363" s="32"/>
      <c r="DQ363" s="32"/>
      <c r="DR363" s="32"/>
      <c r="DS363" s="32"/>
      <c r="DT363" s="32"/>
      <c r="DU363" s="32"/>
      <c r="DV363" s="32"/>
      <c r="DW363" s="32"/>
      <c r="DX363" s="32"/>
      <c r="DY363" s="32"/>
      <c r="DZ363" s="32"/>
      <c r="EA363" s="32"/>
      <c r="EB363" s="32"/>
      <c r="EC363" s="32"/>
      <c r="ED363" s="32"/>
      <c r="EE363" s="32"/>
      <c r="EF363" s="32"/>
      <c r="EG363" s="32"/>
      <c r="EH363" s="32"/>
      <c r="EI363" s="32"/>
      <c r="EJ363" s="32"/>
      <c r="EK363" s="32"/>
      <c r="EL363" s="32"/>
      <c r="EM363" s="32"/>
      <c r="EN363" s="32"/>
      <c r="EO363" s="32"/>
      <c r="EP363" s="32"/>
      <c r="EQ363" s="32"/>
      <c r="ER363" s="32"/>
      <c r="ES363" s="32"/>
      <c r="ET363" s="32"/>
      <c r="EU363" s="32"/>
      <c r="EV363" s="32"/>
      <c r="EW363" s="32"/>
      <c r="EX363" s="32"/>
      <c r="EY363" s="32"/>
      <c r="EZ363" s="32"/>
      <c r="FA363" s="32"/>
      <c r="FB363" s="32"/>
      <c r="FC363" s="32"/>
      <c r="FD363" s="32"/>
      <c r="FE363" s="32"/>
      <c r="FF363" s="32"/>
      <c r="FG363" s="32"/>
      <c r="FH363" s="32"/>
      <c r="FI363" s="32"/>
      <c r="FJ363" s="32"/>
      <c r="FK363" s="32"/>
      <c r="FL363" s="32"/>
      <c r="FM363" s="47"/>
      <c r="FN363" s="47"/>
      <c r="FO363" s="47"/>
      <c r="FP363" s="47"/>
      <c r="FQ363" s="47"/>
      <c r="FR363" s="47"/>
      <c r="FS363" s="47"/>
      <c r="FT363" s="47"/>
      <c r="FU363" s="47"/>
      <c r="FV363" s="47"/>
      <c r="FW363" s="47"/>
      <c r="FX363" s="47"/>
      <c r="FY363" s="32"/>
      <c r="FZ363" s="32"/>
      <c r="GA363" s="32"/>
      <c r="GB363" s="32"/>
      <c r="GC363" s="32"/>
      <c r="GD363" s="32"/>
      <c r="GE363" s="32"/>
      <c r="GF363" s="32"/>
      <c r="GG363" s="32"/>
      <c r="GH363" s="32"/>
      <c r="GI363" s="32"/>
      <c r="GJ363" s="32"/>
      <c r="GK363" s="32"/>
      <c r="GL363" s="32"/>
      <c r="GM363" s="49"/>
      <c r="GN363" s="49"/>
      <c r="GO363" s="49"/>
      <c r="GP363" s="49"/>
      <c r="GQ363" s="49"/>
      <c r="GR363" s="49"/>
      <c r="GS363" s="49"/>
      <c r="GT363" s="49"/>
      <c r="GU363" s="49"/>
      <c r="GV363" s="49"/>
      <c r="GW363" s="49"/>
      <c r="GX363" s="49"/>
      <c r="GY363" s="49"/>
      <c r="GZ363" s="49"/>
      <c r="HA363" s="49"/>
      <c r="HB363" s="49"/>
      <c r="HC363" s="49"/>
      <c r="HD363" s="49"/>
      <c r="HE363" s="49"/>
      <c r="HF363" s="49"/>
      <c r="HG363" s="49"/>
      <c r="HH363" s="49"/>
      <c r="HI363" s="49"/>
      <c r="HJ363" s="49"/>
      <c r="HK363" s="49"/>
      <c r="HL363" s="49"/>
      <c r="HM363" s="49"/>
      <c r="HN363" s="49"/>
    </row>
    <row r="364" spans="1:222" ht="22.8">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c r="DN364" s="32"/>
      <c r="DO364" s="32"/>
      <c r="DP364" s="32"/>
      <c r="DQ364" s="32"/>
      <c r="DR364" s="32"/>
      <c r="DS364" s="32"/>
      <c r="DT364" s="32"/>
      <c r="DU364" s="32"/>
      <c r="DV364" s="32"/>
      <c r="DW364" s="32"/>
      <c r="DX364" s="32"/>
      <c r="DY364" s="32"/>
      <c r="DZ364" s="32"/>
      <c r="EA364" s="32"/>
      <c r="EB364" s="32"/>
      <c r="EC364" s="32"/>
      <c r="ED364" s="32"/>
      <c r="EE364" s="32"/>
      <c r="EF364" s="32"/>
      <c r="EG364" s="32"/>
      <c r="EH364" s="32"/>
      <c r="EI364" s="32"/>
      <c r="EJ364" s="32"/>
      <c r="EK364" s="32"/>
      <c r="EL364" s="32"/>
      <c r="EM364" s="32"/>
      <c r="EN364" s="32"/>
      <c r="EO364" s="32"/>
      <c r="EP364" s="32"/>
      <c r="EQ364" s="32"/>
      <c r="ER364" s="32"/>
      <c r="ES364" s="32"/>
      <c r="ET364" s="32"/>
      <c r="EU364" s="32"/>
      <c r="EV364" s="32"/>
      <c r="EW364" s="32"/>
      <c r="EX364" s="32"/>
      <c r="EY364" s="32"/>
      <c r="EZ364" s="32"/>
      <c r="FA364" s="32"/>
      <c r="FB364" s="32"/>
      <c r="FC364" s="32"/>
      <c r="FD364" s="32"/>
      <c r="FE364" s="32"/>
      <c r="FF364" s="32"/>
      <c r="FG364" s="32"/>
      <c r="FH364" s="32"/>
      <c r="FI364" s="32"/>
      <c r="FJ364" s="32"/>
      <c r="FK364" s="32"/>
      <c r="FL364" s="32"/>
      <c r="FM364" s="47"/>
      <c r="FN364" s="47"/>
      <c r="FO364" s="47"/>
      <c r="FP364" s="47"/>
      <c r="FQ364" s="47"/>
      <c r="FR364" s="47"/>
      <c r="FS364" s="47"/>
      <c r="FT364" s="47"/>
      <c r="FU364" s="47"/>
      <c r="FV364" s="47"/>
      <c r="FW364" s="47"/>
      <c r="FX364" s="47"/>
      <c r="FY364" s="32"/>
      <c r="FZ364" s="32"/>
      <c r="GA364" s="32"/>
      <c r="GB364" s="32"/>
      <c r="GC364" s="32"/>
      <c r="GD364" s="32"/>
      <c r="GE364" s="32"/>
      <c r="GF364" s="32"/>
      <c r="GG364" s="32"/>
      <c r="GH364" s="32"/>
      <c r="GI364" s="32"/>
      <c r="GJ364" s="32"/>
      <c r="GK364" s="32"/>
      <c r="GL364" s="32"/>
      <c r="GM364" s="49"/>
      <c r="GN364" s="49"/>
      <c r="GO364" s="49"/>
      <c r="GP364" s="49"/>
      <c r="GQ364" s="49"/>
      <c r="GR364" s="49"/>
      <c r="GS364" s="49"/>
      <c r="GT364" s="49"/>
      <c r="GU364" s="49"/>
      <c r="GV364" s="49"/>
      <c r="GW364" s="49"/>
      <c r="GX364" s="49"/>
      <c r="GY364" s="49"/>
      <c r="GZ364" s="49"/>
      <c r="HA364" s="49"/>
      <c r="HB364" s="49"/>
      <c r="HC364" s="49"/>
      <c r="HD364" s="49"/>
      <c r="HE364" s="49"/>
      <c r="HF364" s="49"/>
      <c r="HG364" s="49"/>
      <c r="HH364" s="49"/>
      <c r="HI364" s="49"/>
      <c r="HJ364" s="49"/>
      <c r="HK364" s="49"/>
      <c r="HL364" s="49"/>
      <c r="HM364" s="49"/>
      <c r="HN364" s="49"/>
    </row>
    <row r="365" spans="1:222" ht="22.8">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c r="DN365" s="32"/>
      <c r="DO365" s="32"/>
      <c r="DP365" s="32"/>
      <c r="DQ365" s="32"/>
      <c r="DR365" s="32"/>
      <c r="DS365" s="32"/>
      <c r="DT365" s="32"/>
      <c r="DU365" s="32"/>
      <c r="DV365" s="32"/>
      <c r="DW365" s="32"/>
      <c r="DX365" s="32"/>
      <c r="DY365" s="32"/>
      <c r="DZ365" s="32"/>
      <c r="EA365" s="32"/>
      <c r="EB365" s="32"/>
      <c r="EC365" s="32"/>
      <c r="ED365" s="32"/>
      <c r="EE365" s="32"/>
      <c r="EF365" s="32"/>
      <c r="EG365" s="32"/>
      <c r="EH365" s="32"/>
      <c r="EI365" s="32"/>
      <c r="EJ365" s="32"/>
      <c r="EK365" s="32"/>
      <c r="EL365" s="32"/>
      <c r="EM365" s="32"/>
      <c r="EN365" s="32"/>
      <c r="EO365" s="32"/>
      <c r="EP365" s="32"/>
      <c r="EQ365" s="32"/>
      <c r="ER365" s="32"/>
      <c r="ES365" s="32"/>
      <c r="ET365" s="32"/>
      <c r="EU365" s="32"/>
      <c r="EV365" s="32"/>
      <c r="EW365" s="32"/>
      <c r="EX365" s="32"/>
      <c r="EY365" s="32"/>
      <c r="EZ365" s="32"/>
      <c r="FA365" s="32"/>
      <c r="FB365" s="32"/>
      <c r="FC365" s="32"/>
      <c r="FD365" s="32"/>
      <c r="FE365" s="32"/>
      <c r="FF365" s="32"/>
      <c r="FG365" s="32"/>
      <c r="FH365" s="32"/>
      <c r="FI365" s="32"/>
      <c r="FJ365" s="32"/>
      <c r="FK365" s="32"/>
      <c r="FL365" s="32"/>
      <c r="FM365" s="47"/>
      <c r="FN365" s="47"/>
      <c r="FO365" s="47"/>
      <c r="FP365" s="47"/>
      <c r="FQ365" s="47"/>
      <c r="FR365" s="47"/>
      <c r="FS365" s="47"/>
      <c r="FT365" s="47"/>
      <c r="FU365" s="47"/>
      <c r="FV365" s="47"/>
      <c r="FW365" s="47"/>
      <c r="FX365" s="47"/>
      <c r="FY365" s="32"/>
      <c r="FZ365" s="32"/>
      <c r="GA365" s="32"/>
      <c r="GB365" s="32"/>
      <c r="GC365" s="32"/>
      <c r="GD365" s="32"/>
      <c r="GE365" s="32"/>
      <c r="GF365" s="32"/>
      <c r="GG365" s="32"/>
      <c r="GH365" s="32"/>
      <c r="GI365" s="32"/>
      <c r="GJ365" s="32"/>
      <c r="GK365" s="32"/>
      <c r="GL365" s="32"/>
      <c r="GM365" s="49"/>
      <c r="GN365" s="49"/>
      <c r="GO365" s="49"/>
      <c r="GP365" s="49"/>
      <c r="GQ365" s="49"/>
      <c r="GR365" s="49"/>
      <c r="GS365" s="49"/>
      <c r="GT365" s="49"/>
      <c r="GU365" s="49"/>
      <c r="GV365" s="49"/>
      <c r="GW365" s="49"/>
      <c r="GX365" s="49"/>
      <c r="GY365" s="49"/>
      <c r="GZ365" s="49"/>
      <c r="HA365" s="49"/>
      <c r="HB365" s="49"/>
      <c r="HC365" s="49"/>
      <c r="HD365" s="49"/>
      <c r="HE365" s="49"/>
      <c r="HF365" s="49"/>
      <c r="HG365" s="49"/>
      <c r="HH365" s="49"/>
      <c r="HI365" s="49"/>
      <c r="HJ365" s="49"/>
      <c r="HK365" s="49"/>
      <c r="HL365" s="49"/>
      <c r="HM365" s="49"/>
      <c r="HN365" s="49"/>
    </row>
    <row r="366" spans="1:222" ht="22.8">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2"/>
      <c r="FH366" s="32"/>
      <c r="FI366" s="32"/>
      <c r="FJ366" s="32"/>
      <c r="FK366" s="32"/>
      <c r="FL366" s="32"/>
      <c r="FM366" s="47"/>
      <c r="FN366" s="47"/>
      <c r="FO366" s="47"/>
      <c r="FP366" s="47"/>
      <c r="FQ366" s="47"/>
      <c r="FR366" s="47"/>
      <c r="FS366" s="47"/>
      <c r="FT366" s="47"/>
      <c r="FU366" s="47"/>
      <c r="FV366" s="47"/>
      <c r="FW366" s="47"/>
      <c r="FX366" s="47"/>
      <c r="FY366" s="32"/>
      <c r="FZ366" s="32"/>
      <c r="GA366" s="32"/>
      <c r="GB366" s="32"/>
      <c r="GC366" s="32"/>
      <c r="GD366" s="32"/>
      <c r="GE366" s="32"/>
      <c r="GF366" s="32"/>
      <c r="GG366" s="32"/>
      <c r="GH366" s="32"/>
      <c r="GI366" s="32"/>
      <c r="GJ366" s="32"/>
      <c r="GK366" s="32"/>
      <c r="GL366" s="32"/>
      <c r="GM366" s="49"/>
      <c r="GN366" s="49"/>
      <c r="GO366" s="49"/>
      <c r="GP366" s="49"/>
      <c r="GQ366" s="49"/>
      <c r="GR366" s="49"/>
      <c r="GS366" s="49"/>
      <c r="GT366" s="49"/>
      <c r="GU366" s="49"/>
      <c r="GV366" s="49"/>
      <c r="GW366" s="49"/>
      <c r="GX366" s="49"/>
      <c r="GY366" s="49"/>
      <c r="GZ366" s="49"/>
      <c r="HA366" s="49"/>
      <c r="HB366" s="49"/>
      <c r="HC366" s="49"/>
      <c r="HD366" s="49"/>
      <c r="HE366" s="49"/>
      <c r="HF366" s="49"/>
      <c r="HG366" s="49"/>
      <c r="HH366" s="49"/>
      <c r="HI366" s="49"/>
      <c r="HJ366" s="49"/>
      <c r="HK366" s="49"/>
      <c r="HL366" s="49"/>
      <c r="HM366" s="49"/>
      <c r="HN366" s="49"/>
    </row>
    <row r="367" spans="1:222" ht="22.8">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DQ367" s="32"/>
      <c r="DR367" s="32"/>
      <c r="DS367" s="32"/>
      <c r="DT367" s="32"/>
      <c r="DU367" s="32"/>
      <c r="DV367" s="32"/>
      <c r="DW367" s="32"/>
      <c r="DX367" s="32"/>
      <c r="DY367" s="32"/>
      <c r="DZ367" s="32"/>
      <c r="EA367" s="32"/>
      <c r="EB367" s="32"/>
      <c r="EC367" s="32"/>
      <c r="ED367" s="32"/>
      <c r="EE367" s="32"/>
      <c r="EF367" s="32"/>
      <c r="EG367" s="32"/>
      <c r="EH367" s="32"/>
      <c r="EI367" s="32"/>
      <c r="EJ367" s="32"/>
      <c r="EK367" s="32"/>
      <c r="EL367" s="32"/>
      <c r="EM367" s="32"/>
      <c r="EN367" s="32"/>
      <c r="EO367" s="32"/>
      <c r="EP367" s="32"/>
      <c r="EQ367" s="32"/>
      <c r="ER367" s="32"/>
      <c r="ES367" s="32"/>
      <c r="ET367" s="32"/>
      <c r="EU367" s="32"/>
      <c r="EV367" s="32"/>
      <c r="EW367" s="32"/>
      <c r="EX367" s="32"/>
      <c r="EY367" s="32"/>
      <c r="EZ367" s="32"/>
      <c r="FA367" s="32"/>
      <c r="FB367" s="32"/>
      <c r="FC367" s="32"/>
      <c r="FD367" s="32"/>
      <c r="FE367" s="32"/>
      <c r="FF367" s="32"/>
      <c r="FG367" s="32"/>
      <c r="FH367" s="32"/>
      <c r="FI367" s="32"/>
      <c r="FJ367" s="32"/>
      <c r="FK367" s="32"/>
      <c r="FL367" s="32"/>
      <c r="FM367" s="47"/>
      <c r="FN367" s="47"/>
      <c r="FO367" s="47"/>
      <c r="FP367" s="47"/>
      <c r="FQ367" s="47"/>
      <c r="FR367" s="47"/>
      <c r="FS367" s="47"/>
      <c r="FT367" s="47"/>
      <c r="FU367" s="47"/>
      <c r="FV367" s="47"/>
      <c r="FW367" s="47"/>
      <c r="FX367" s="47"/>
      <c r="FY367" s="32"/>
      <c r="FZ367" s="32"/>
      <c r="GA367" s="32"/>
      <c r="GB367" s="32"/>
      <c r="GC367" s="32"/>
      <c r="GD367" s="32"/>
      <c r="GE367" s="32"/>
      <c r="GF367" s="32"/>
      <c r="GG367" s="32"/>
      <c r="GH367" s="32"/>
      <c r="GI367" s="32"/>
      <c r="GJ367" s="32"/>
      <c r="GK367" s="32"/>
      <c r="GL367" s="32"/>
      <c r="GM367" s="49"/>
      <c r="GN367" s="49"/>
      <c r="GO367" s="49"/>
      <c r="GP367" s="49"/>
      <c r="GQ367" s="49"/>
      <c r="GR367" s="49"/>
      <c r="GS367" s="49"/>
      <c r="GT367" s="49"/>
      <c r="GU367" s="49"/>
      <c r="GV367" s="49"/>
      <c r="GW367" s="49"/>
      <c r="GX367" s="49"/>
      <c r="GY367" s="49"/>
      <c r="GZ367" s="49"/>
      <c r="HA367" s="49"/>
      <c r="HB367" s="49"/>
      <c r="HC367" s="49"/>
      <c r="HD367" s="49"/>
      <c r="HE367" s="49"/>
      <c r="HF367" s="49"/>
      <c r="HG367" s="49"/>
      <c r="HH367" s="49"/>
      <c r="HI367" s="49"/>
      <c r="HJ367" s="49"/>
      <c r="HK367" s="49"/>
      <c r="HL367" s="49"/>
      <c r="HM367" s="49"/>
      <c r="HN367" s="49"/>
    </row>
    <row r="368" spans="1:222" ht="22.8">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DQ368" s="32"/>
      <c r="DR368" s="32"/>
      <c r="DS368" s="32"/>
      <c r="DT368" s="32"/>
      <c r="DU368" s="32"/>
      <c r="DV368" s="32"/>
      <c r="DW368" s="32"/>
      <c r="DX368" s="32"/>
      <c r="DY368" s="32"/>
      <c r="DZ368" s="32"/>
      <c r="EA368" s="32"/>
      <c r="EB368" s="32"/>
      <c r="EC368" s="32"/>
      <c r="ED368" s="32"/>
      <c r="EE368" s="32"/>
      <c r="EF368" s="32"/>
      <c r="EG368" s="32"/>
      <c r="EH368" s="32"/>
      <c r="EI368" s="32"/>
      <c r="EJ368" s="32"/>
      <c r="EK368" s="32"/>
      <c r="EL368" s="32"/>
      <c r="EM368" s="32"/>
      <c r="EN368" s="32"/>
      <c r="EO368" s="32"/>
      <c r="EP368" s="32"/>
      <c r="EQ368" s="32"/>
      <c r="ER368" s="32"/>
      <c r="ES368" s="32"/>
      <c r="ET368" s="32"/>
      <c r="EU368" s="32"/>
      <c r="EV368" s="32"/>
      <c r="EW368" s="32"/>
      <c r="EX368" s="32"/>
      <c r="EY368" s="32"/>
      <c r="EZ368" s="32"/>
      <c r="FA368" s="32"/>
      <c r="FB368" s="32"/>
      <c r="FC368" s="32"/>
      <c r="FD368" s="32"/>
      <c r="FE368" s="32"/>
      <c r="FF368" s="32"/>
      <c r="FG368" s="32"/>
      <c r="FH368" s="32"/>
      <c r="FI368" s="32"/>
      <c r="FJ368" s="32"/>
      <c r="FK368" s="32"/>
      <c r="FL368" s="32"/>
      <c r="FM368" s="47"/>
      <c r="FN368" s="47"/>
      <c r="FO368" s="47"/>
      <c r="FP368" s="47"/>
      <c r="FQ368" s="47"/>
      <c r="FR368" s="47"/>
      <c r="FS368" s="47"/>
      <c r="FT368" s="47"/>
      <c r="FU368" s="47"/>
      <c r="FV368" s="47"/>
      <c r="FW368" s="47"/>
      <c r="FX368" s="47"/>
      <c r="FY368" s="32"/>
      <c r="FZ368" s="32"/>
      <c r="GA368" s="32"/>
      <c r="GB368" s="32"/>
      <c r="GC368" s="32"/>
      <c r="GD368" s="32"/>
      <c r="GE368" s="32"/>
      <c r="GF368" s="32"/>
      <c r="GG368" s="32"/>
      <c r="GH368" s="32"/>
      <c r="GI368" s="32"/>
      <c r="GJ368" s="32"/>
      <c r="GK368" s="32"/>
      <c r="GL368" s="32"/>
      <c r="GM368" s="49"/>
      <c r="GN368" s="49"/>
      <c r="GO368" s="49"/>
      <c r="GP368" s="49"/>
      <c r="GQ368" s="49"/>
      <c r="GR368" s="49"/>
      <c r="GS368" s="49"/>
      <c r="GT368" s="49"/>
      <c r="GU368" s="49"/>
      <c r="GV368" s="49"/>
      <c r="GW368" s="49"/>
      <c r="GX368" s="49"/>
      <c r="GY368" s="49"/>
      <c r="GZ368" s="49"/>
      <c r="HA368" s="49"/>
      <c r="HB368" s="49"/>
      <c r="HC368" s="49"/>
      <c r="HD368" s="49"/>
      <c r="HE368" s="49"/>
      <c r="HF368" s="49"/>
      <c r="HG368" s="49"/>
      <c r="HH368" s="49"/>
      <c r="HI368" s="49"/>
      <c r="HJ368" s="49"/>
      <c r="HK368" s="49"/>
      <c r="HL368" s="49"/>
      <c r="HM368" s="49"/>
      <c r="HN368" s="49"/>
    </row>
    <row r="369" spans="1:222" ht="22.8">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c r="DN369" s="32"/>
      <c r="DO369" s="32"/>
      <c r="DP369" s="32"/>
      <c r="DQ369" s="32"/>
      <c r="DR369" s="32"/>
      <c r="DS369" s="32"/>
      <c r="DT369" s="32"/>
      <c r="DU369" s="32"/>
      <c r="DV369" s="32"/>
      <c r="DW369" s="32"/>
      <c r="DX369" s="32"/>
      <c r="DY369" s="32"/>
      <c r="DZ369" s="32"/>
      <c r="EA369" s="32"/>
      <c r="EB369" s="32"/>
      <c r="EC369" s="32"/>
      <c r="ED369" s="32"/>
      <c r="EE369" s="32"/>
      <c r="EF369" s="32"/>
      <c r="EG369" s="32"/>
      <c r="EH369" s="32"/>
      <c r="EI369" s="32"/>
      <c r="EJ369" s="32"/>
      <c r="EK369" s="32"/>
      <c r="EL369" s="32"/>
      <c r="EM369" s="32"/>
      <c r="EN369" s="32"/>
      <c r="EO369" s="32"/>
      <c r="EP369" s="32"/>
      <c r="EQ369" s="32"/>
      <c r="ER369" s="32"/>
      <c r="ES369" s="32"/>
      <c r="ET369" s="32"/>
      <c r="EU369" s="32"/>
      <c r="EV369" s="32"/>
      <c r="EW369" s="32"/>
      <c r="EX369" s="32"/>
      <c r="EY369" s="32"/>
      <c r="EZ369" s="32"/>
      <c r="FA369" s="32"/>
      <c r="FB369" s="32"/>
      <c r="FC369" s="32"/>
      <c r="FD369" s="32"/>
      <c r="FE369" s="32"/>
      <c r="FF369" s="32"/>
      <c r="FG369" s="32"/>
      <c r="FH369" s="32"/>
      <c r="FI369" s="32"/>
      <c r="FJ369" s="32"/>
      <c r="FK369" s="32"/>
      <c r="FL369" s="32"/>
      <c r="FM369" s="47"/>
      <c r="FN369" s="47"/>
      <c r="FO369" s="47"/>
      <c r="FP369" s="47"/>
      <c r="FQ369" s="47"/>
      <c r="FR369" s="47"/>
      <c r="FS369" s="47"/>
      <c r="FT369" s="47"/>
      <c r="FU369" s="47"/>
      <c r="FV369" s="47"/>
      <c r="FW369" s="47"/>
      <c r="FX369" s="47"/>
      <c r="FY369" s="32"/>
      <c r="FZ369" s="32"/>
      <c r="GA369" s="32"/>
      <c r="GB369" s="32"/>
      <c r="GC369" s="32"/>
      <c r="GD369" s="32"/>
      <c r="GE369" s="32"/>
      <c r="GF369" s="32"/>
      <c r="GG369" s="32"/>
      <c r="GH369" s="32"/>
      <c r="GI369" s="32"/>
      <c r="GJ369" s="32"/>
      <c r="GK369" s="32"/>
      <c r="GL369" s="32"/>
      <c r="GM369" s="49"/>
      <c r="GN369" s="49"/>
      <c r="GO369" s="49"/>
      <c r="GP369" s="49"/>
      <c r="GQ369" s="49"/>
      <c r="GR369" s="49"/>
      <c r="GS369" s="49"/>
      <c r="GT369" s="49"/>
      <c r="GU369" s="49"/>
      <c r="GV369" s="49"/>
      <c r="GW369" s="49"/>
      <c r="GX369" s="49"/>
      <c r="GY369" s="49"/>
      <c r="GZ369" s="49"/>
      <c r="HA369" s="49"/>
      <c r="HB369" s="49"/>
      <c r="HC369" s="49"/>
      <c r="HD369" s="49"/>
      <c r="HE369" s="49"/>
      <c r="HF369" s="49"/>
      <c r="HG369" s="49"/>
      <c r="HH369" s="49"/>
      <c r="HI369" s="49"/>
      <c r="HJ369" s="49"/>
      <c r="HK369" s="49"/>
      <c r="HL369" s="49"/>
      <c r="HM369" s="49"/>
      <c r="HN369" s="49"/>
    </row>
    <row r="370" spans="1:222" ht="22.8">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c r="DN370" s="32"/>
      <c r="DO370" s="32"/>
      <c r="DP370" s="32"/>
      <c r="DQ370" s="32"/>
      <c r="DR370" s="32"/>
      <c r="DS370" s="32"/>
      <c r="DT370" s="32"/>
      <c r="DU370" s="32"/>
      <c r="DV370" s="32"/>
      <c r="DW370" s="32"/>
      <c r="DX370" s="32"/>
      <c r="DY370" s="32"/>
      <c r="DZ370" s="32"/>
      <c r="EA370" s="32"/>
      <c r="EB370" s="32"/>
      <c r="EC370" s="32"/>
      <c r="ED370" s="32"/>
      <c r="EE370" s="32"/>
      <c r="EF370" s="32"/>
      <c r="EG370" s="32"/>
      <c r="EH370" s="32"/>
      <c r="EI370" s="32"/>
      <c r="EJ370" s="32"/>
      <c r="EK370" s="32"/>
      <c r="EL370" s="32"/>
      <c r="EM370" s="32"/>
      <c r="EN370" s="32"/>
      <c r="EO370" s="32"/>
      <c r="EP370" s="32"/>
      <c r="EQ370" s="32"/>
      <c r="ER370" s="32"/>
      <c r="ES370" s="32"/>
      <c r="ET370" s="32"/>
      <c r="EU370" s="32"/>
      <c r="EV370" s="32"/>
      <c r="EW370" s="32"/>
      <c r="EX370" s="32"/>
      <c r="EY370" s="32"/>
      <c r="EZ370" s="32"/>
      <c r="FA370" s="32"/>
      <c r="FB370" s="32"/>
      <c r="FC370" s="32"/>
      <c r="FD370" s="32"/>
      <c r="FE370" s="32"/>
      <c r="FF370" s="32"/>
      <c r="FG370" s="32"/>
      <c r="FH370" s="32"/>
      <c r="FI370" s="32"/>
      <c r="FJ370" s="32"/>
      <c r="FK370" s="32"/>
      <c r="FL370" s="32"/>
      <c r="FM370" s="47"/>
      <c r="FN370" s="47"/>
      <c r="FO370" s="47"/>
      <c r="FP370" s="47"/>
      <c r="FQ370" s="47"/>
      <c r="FR370" s="47"/>
      <c r="FS370" s="47"/>
      <c r="FT370" s="47"/>
      <c r="FU370" s="47"/>
      <c r="FV370" s="47"/>
      <c r="FW370" s="47"/>
      <c r="FX370" s="47"/>
      <c r="FY370" s="32"/>
      <c r="FZ370" s="32"/>
      <c r="GA370" s="32"/>
      <c r="GB370" s="32"/>
      <c r="GC370" s="32"/>
      <c r="GD370" s="32"/>
      <c r="GE370" s="32"/>
      <c r="GF370" s="32"/>
      <c r="GG370" s="32"/>
      <c r="GH370" s="32"/>
      <c r="GI370" s="32"/>
      <c r="GJ370" s="32"/>
      <c r="GK370" s="32"/>
      <c r="GL370" s="32"/>
      <c r="GM370" s="49"/>
      <c r="GN370" s="49"/>
      <c r="GO370" s="49"/>
      <c r="GP370" s="49"/>
      <c r="GQ370" s="49"/>
      <c r="GR370" s="49"/>
      <c r="GS370" s="49"/>
      <c r="GT370" s="49"/>
      <c r="GU370" s="49"/>
      <c r="GV370" s="49"/>
      <c r="GW370" s="49"/>
      <c r="GX370" s="49"/>
      <c r="GY370" s="49"/>
      <c r="GZ370" s="49"/>
      <c r="HA370" s="49"/>
      <c r="HB370" s="49"/>
      <c r="HC370" s="49"/>
      <c r="HD370" s="49"/>
      <c r="HE370" s="49"/>
      <c r="HF370" s="49"/>
      <c r="HG370" s="49"/>
      <c r="HH370" s="49"/>
      <c r="HI370" s="49"/>
      <c r="HJ370" s="49"/>
      <c r="HK370" s="49"/>
      <c r="HL370" s="49"/>
      <c r="HM370" s="49"/>
      <c r="HN370" s="49"/>
    </row>
    <row r="371" spans="1:222" ht="22.8">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c r="DN371" s="32"/>
      <c r="DO371" s="32"/>
      <c r="DP371" s="32"/>
      <c r="DQ371" s="32"/>
      <c r="DR371" s="32"/>
      <c r="DS371" s="32"/>
      <c r="DT371" s="32"/>
      <c r="DU371" s="32"/>
      <c r="DV371" s="32"/>
      <c r="DW371" s="32"/>
      <c r="DX371" s="32"/>
      <c r="DY371" s="32"/>
      <c r="DZ371" s="32"/>
      <c r="EA371" s="32"/>
      <c r="EB371" s="32"/>
      <c r="EC371" s="32"/>
      <c r="ED371" s="32"/>
      <c r="EE371" s="32"/>
      <c r="EF371" s="32"/>
      <c r="EG371" s="32"/>
      <c r="EH371" s="32"/>
      <c r="EI371" s="32"/>
      <c r="EJ371" s="32"/>
      <c r="EK371" s="32"/>
      <c r="EL371" s="32"/>
      <c r="EM371" s="32"/>
      <c r="EN371" s="32"/>
      <c r="EO371" s="32"/>
      <c r="EP371" s="32"/>
      <c r="EQ371" s="32"/>
      <c r="ER371" s="32"/>
      <c r="ES371" s="32"/>
      <c r="ET371" s="32"/>
      <c r="EU371" s="32"/>
      <c r="EV371" s="32"/>
      <c r="EW371" s="32"/>
      <c r="EX371" s="32"/>
      <c r="EY371" s="32"/>
      <c r="EZ371" s="32"/>
      <c r="FA371" s="32"/>
      <c r="FB371" s="32"/>
      <c r="FC371" s="32"/>
      <c r="FD371" s="32"/>
      <c r="FE371" s="32"/>
      <c r="FF371" s="32"/>
      <c r="FG371" s="32"/>
      <c r="FH371" s="32"/>
      <c r="FI371" s="32"/>
      <c r="FJ371" s="32"/>
      <c r="FK371" s="32"/>
      <c r="FL371" s="32"/>
      <c r="FM371" s="47"/>
      <c r="FN371" s="47"/>
      <c r="FO371" s="47"/>
      <c r="FP371" s="47"/>
      <c r="FQ371" s="47"/>
      <c r="FR371" s="47"/>
      <c r="FS371" s="47"/>
      <c r="FT371" s="47"/>
      <c r="FU371" s="47"/>
      <c r="FV371" s="47"/>
      <c r="FW371" s="47"/>
      <c r="FX371" s="47"/>
      <c r="FY371" s="32"/>
      <c r="FZ371" s="32"/>
      <c r="GA371" s="32"/>
      <c r="GB371" s="32"/>
      <c r="GC371" s="32"/>
      <c r="GD371" s="32"/>
      <c r="GE371" s="32"/>
      <c r="GF371" s="32"/>
      <c r="GG371" s="32"/>
      <c r="GH371" s="32"/>
      <c r="GI371" s="32"/>
      <c r="GJ371" s="32"/>
      <c r="GK371" s="32"/>
      <c r="GL371" s="32"/>
      <c r="GM371" s="49"/>
      <c r="GN371" s="49"/>
      <c r="GO371" s="49"/>
      <c r="GP371" s="49"/>
      <c r="GQ371" s="49"/>
      <c r="GR371" s="49"/>
      <c r="GS371" s="49"/>
      <c r="GT371" s="49"/>
      <c r="GU371" s="49"/>
      <c r="GV371" s="49"/>
      <c r="GW371" s="49"/>
      <c r="GX371" s="49"/>
      <c r="GY371" s="49"/>
      <c r="GZ371" s="49"/>
      <c r="HA371" s="49"/>
      <c r="HB371" s="49"/>
      <c r="HC371" s="49"/>
      <c r="HD371" s="49"/>
      <c r="HE371" s="49"/>
      <c r="HF371" s="49"/>
      <c r="HG371" s="49"/>
      <c r="HH371" s="49"/>
      <c r="HI371" s="49"/>
      <c r="HJ371" s="49"/>
      <c r="HK371" s="49"/>
      <c r="HL371" s="49"/>
      <c r="HM371" s="49"/>
      <c r="HN371" s="49"/>
    </row>
    <row r="372" spans="1:222" ht="22.8">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c r="DN372" s="32"/>
      <c r="DO372" s="32"/>
      <c r="DP372" s="32"/>
      <c r="DQ372" s="32"/>
      <c r="DR372" s="32"/>
      <c r="DS372" s="32"/>
      <c r="DT372" s="32"/>
      <c r="DU372" s="32"/>
      <c r="DV372" s="32"/>
      <c r="DW372" s="32"/>
      <c r="DX372" s="32"/>
      <c r="DY372" s="32"/>
      <c r="DZ372" s="32"/>
      <c r="EA372" s="32"/>
      <c r="EB372" s="32"/>
      <c r="EC372" s="32"/>
      <c r="ED372" s="32"/>
      <c r="EE372" s="32"/>
      <c r="EF372" s="32"/>
      <c r="EG372" s="32"/>
      <c r="EH372" s="32"/>
      <c r="EI372" s="32"/>
      <c r="EJ372" s="32"/>
      <c r="EK372" s="32"/>
      <c r="EL372" s="32"/>
      <c r="EM372" s="32"/>
      <c r="EN372" s="32"/>
      <c r="EO372" s="32"/>
      <c r="EP372" s="32"/>
      <c r="EQ372" s="32"/>
      <c r="ER372" s="32"/>
      <c r="ES372" s="32"/>
      <c r="ET372" s="32"/>
      <c r="EU372" s="32"/>
      <c r="EV372" s="32"/>
      <c r="EW372" s="32"/>
      <c r="EX372" s="32"/>
      <c r="EY372" s="32"/>
      <c r="EZ372" s="32"/>
      <c r="FA372" s="32"/>
      <c r="FB372" s="32"/>
      <c r="FC372" s="32"/>
      <c r="FD372" s="32"/>
      <c r="FE372" s="32"/>
      <c r="FF372" s="32"/>
      <c r="FG372" s="32"/>
      <c r="FH372" s="32"/>
      <c r="FI372" s="32"/>
      <c r="FJ372" s="32"/>
      <c r="FK372" s="32"/>
      <c r="FL372" s="32"/>
      <c r="FM372" s="47"/>
      <c r="FN372" s="47"/>
      <c r="FO372" s="47"/>
      <c r="FP372" s="47"/>
      <c r="FQ372" s="47"/>
      <c r="FR372" s="47"/>
      <c r="FS372" s="47"/>
      <c r="FT372" s="47"/>
      <c r="FU372" s="47"/>
      <c r="FV372" s="47"/>
      <c r="FW372" s="47"/>
      <c r="FX372" s="47"/>
      <c r="FY372" s="32"/>
      <c r="FZ372" s="32"/>
      <c r="GA372" s="32"/>
      <c r="GB372" s="32"/>
      <c r="GC372" s="32"/>
      <c r="GD372" s="32"/>
      <c r="GE372" s="32"/>
      <c r="GF372" s="32"/>
      <c r="GG372" s="32"/>
      <c r="GH372" s="32"/>
      <c r="GI372" s="32"/>
      <c r="GJ372" s="32"/>
      <c r="GK372" s="32"/>
      <c r="GL372" s="32"/>
      <c r="GM372" s="49"/>
      <c r="GN372" s="49"/>
      <c r="GO372" s="49"/>
      <c r="GP372" s="49"/>
      <c r="GQ372" s="49"/>
      <c r="GR372" s="49"/>
      <c r="GS372" s="49"/>
      <c r="GT372" s="49"/>
      <c r="GU372" s="49"/>
      <c r="GV372" s="49"/>
      <c r="GW372" s="49"/>
      <c r="GX372" s="49"/>
      <c r="GY372" s="49"/>
      <c r="GZ372" s="49"/>
      <c r="HA372" s="49"/>
      <c r="HB372" s="49"/>
      <c r="HC372" s="49"/>
      <c r="HD372" s="49"/>
      <c r="HE372" s="49"/>
      <c r="HF372" s="49"/>
      <c r="HG372" s="49"/>
      <c r="HH372" s="49"/>
      <c r="HI372" s="49"/>
      <c r="HJ372" s="49"/>
      <c r="HK372" s="49"/>
      <c r="HL372" s="49"/>
      <c r="HM372" s="49"/>
      <c r="HN372" s="49"/>
    </row>
    <row r="373" spans="1:222" ht="22.8">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c r="CX373" s="32"/>
      <c r="CY373" s="32"/>
      <c r="CZ373" s="32"/>
      <c r="DA373" s="32"/>
      <c r="DB373" s="32"/>
      <c r="DC373" s="32"/>
      <c r="DD373" s="32"/>
      <c r="DE373" s="32"/>
      <c r="DF373" s="32"/>
      <c r="DG373" s="32"/>
      <c r="DH373" s="32"/>
      <c r="DI373" s="32"/>
      <c r="DJ373" s="32"/>
      <c r="DK373" s="32"/>
      <c r="DL373" s="32"/>
      <c r="DM373" s="32"/>
      <c r="DN373" s="32"/>
      <c r="DO373" s="32"/>
      <c r="DP373" s="32"/>
      <c r="DQ373" s="32"/>
      <c r="DR373" s="32"/>
      <c r="DS373" s="32"/>
      <c r="DT373" s="32"/>
      <c r="DU373" s="32"/>
      <c r="DV373" s="32"/>
      <c r="DW373" s="32"/>
      <c r="DX373" s="32"/>
      <c r="DY373" s="32"/>
      <c r="DZ373" s="32"/>
      <c r="EA373" s="32"/>
      <c r="EB373" s="32"/>
      <c r="EC373" s="32"/>
      <c r="ED373" s="32"/>
      <c r="EE373" s="32"/>
      <c r="EF373" s="32"/>
      <c r="EG373" s="32"/>
      <c r="EH373" s="32"/>
      <c r="EI373" s="32"/>
      <c r="EJ373" s="32"/>
      <c r="EK373" s="32"/>
      <c r="EL373" s="32"/>
      <c r="EM373" s="32"/>
      <c r="EN373" s="32"/>
      <c r="EO373" s="32"/>
      <c r="EP373" s="32"/>
      <c r="EQ373" s="32"/>
      <c r="ER373" s="32"/>
      <c r="ES373" s="32"/>
      <c r="ET373" s="32"/>
      <c r="EU373" s="32"/>
      <c r="EV373" s="32"/>
      <c r="EW373" s="32"/>
      <c r="EX373" s="32"/>
      <c r="EY373" s="32"/>
      <c r="EZ373" s="32"/>
      <c r="FA373" s="32"/>
      <c r="FB373" s="32"/>
      <c r="FC373" s="32"/>
      <c r="FD373" s="32"/>
      <c r="FE373" s="32"/>
      <c r="FF373" s="32"/>
      <c r="FG373" s="32"/>
      <c r="FH373" s="32"/>
      <c r="FI373" s="32"/>
      <c r="FJ373" s="32"/>
      <c r="FK373" s="32"/>
      <c r="FL373" s="32"/>
      <c r="FM373" s="47"/>
      <c r="FN373" s="47"/>
      <c r="FO373" s="47"/>
      <c r="FP373" s="47"/>
      <c r="FQ373" s="47"/>
      <c r="FR373" s="47"/>
      <c r="FS373" s="47"/>
      <c r="FT373" s="47"/>
      <c r="FU373" s="47"/>
      <c r="FV373" s="47"/>
      <c r="FW373" s="47"/>
      <c r="FX373" s="47"/>
      <c r="FY373" s="32"/>
      <c r="FZ373" s="32"/>
      <c r="GA373" s="32"/>
      <c r="GB373" s="32"/>
      <c r="GC373" s="32"/>
      <c r="GD373" s="32"/>
      <c r="GE373" s="32"/>
      <c r="GF373" s="32"/>
      <c r="GG373" s="32"/>
      <c r="GH373" s="32"/>
      <c r="GI373" s="32"/>
      <c r="GJ373" s="32"/>
      <c r="GK373" s="32"/>
      <c r="GL373" s="32"/>
      <c r="GM373" s="49"/>
      <c r="GN373" s="49"/>
      <c r="GO373" s="49"/>
      <c r="GP373" s="49"/>
      <c r="GQ373" s="49"/>
      <c r="GR373" s="49"/>
      <c r="GS373" s="49"/>
      <c r="GT373" s="49"/>
      <c r="GU373" s="49"/>
      <c r="GV373" s="49"/>
      <c r="GW373" s="49"/>
      <c r="GX373" s="49"/>
      <c r="GY373" s="49"/>
      <c r="GZ373" s="49"/>
      <c r="HA373" s="49"/>
      <c r="HB373" s="49"/>
      <c r="HC373" s="49"/>
      <c r="HD373" s="49"/>
      <c r="HE373" s="49"/>
      <c r="HF373" s="49"/>
      <c r="HG373" s="49"/>
      <c r="HH373" s="49"/>
      <c r="HI373" s="49"/>
      <c r="HJ373" s="49"/>
      <c r="HK373" s="49"/>
      <c r="HL373" s="49"/>
      <c r="HM373" s="49"/>
      <c r="HN373" s="49"/>
    </row>
    <row r="374" spans="1:222" ht="22.8">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c r="CX374" s="32"/>
      <c r="CY374" s="32"/>
      <c r="CZ374" s="32"/>
      <c r="DA374" s="32"/>
      <c r="DB374" s="32"/>
      <c r="DC374" s="32"/>
      <c r="DD374" s="32"/>
      <c r="DE374" s="32"/>
      <c r="DF374" s="32"/>
      <c r="DG374" s="32"/>
      <c r="DH374" s="32"/>
      <c r="DI374" s="32"/>
      <c r="DJ374" s="32"/>
      <c r="DK374" s="32"/>
      <c r="DL374" s="32"/>
      <c r="DM374" s="32"/>
      <c r="DN374" s="32"/>
      <c r="DO374" s="32"/>
      <c r="DP374" s="32"/>
      <c r="DQ374" s="32"/>
      <c r="DR374" s="32"/>
      <c r="DS374" s="32"/>
      <c r="DT374" s="32"/>
      <c r="DU374" s="32"/>
      <c r="DV374" s="32"/>
      <c r="DW374" s="32"/>
      <c r="DX374" s="32"/>
      <c r="DY374" s="32"/>
      <c r="DZ374" s="32"/>
      <c r="EA374" s="32"/>
      <c r="EB374" s="32"/>
      <c r="EC374" s="32"/>
      <c r="ED374" s="32"/>
      <c r="EE374" s="32"/>
      <c r="EF374" s="32"/>
      <c r="EG374" s="32"/>
      <c r="EH374" s="32"/>
      <c r="EI374" s="32"/>
      <c r="EJ374" s="32"/>
      <c r="EK374" s="32"/>
      <c r="EL374" s="32"/>
      <c r="EM374" s="32"/>
      <c r="EN374" s="32"/>
      <c r="EO374" s="32"/>
      <c r="EP374" s="32"/>
      <c r="EQ374" s="32"/>
      <c r="ER374" s="32"/>
      <c r="ES374" s="32"/>
      <c r="ET374" s="32"/>
      <c r="EU374" s="32"/>
      <c r="EV374" s="32"/>
      <c r="EW374" s="32"/>
      <c r="EX374" s="32"/>
      <c r="EY374" s="32"/>
      <c r="EZ374" s="32"/>
      <c r="FA374" s="32"/>
      <c r="FB374" s="32"/>
      <c r="FC374" s="32"/>
      <c r="FD374" s="32"/>
      <c r="FE374" s="32"/>
      <c r="FF374" s="32"/>
      <c r="FG374" s="32"/>
      <c r="FH374" s="32"/>
      <c r="FI374" s="32"/>
      <c r="FJ374" s="32"/>
      <c r="FK374" s="32"/>
      <c r="FL374" s="32"/>
      <c r="FM374" s="47"/>
      <c r="FN374" s="47"/>
      <c r="FO374" s="47"/>
      <c r="FP374" s="47"/>
      <c r="FQ374" s="47"/>
      <c r="FR374" s="47"/>
      <c r="FS374" s="47"/>
      <c r="FT374" s="47"/>
      <c r="FU374" s="47"/>
      <c r="FV374" s="47"/>
      <c r="FW374" s="47"/>
      <c r="FX374" s="47"/>
      <c r="FY374" s="32"/>
      <c r="FZ374" s="32"/>
      <c r="GA374" s="32"/>
      <c r="GB374" s="32"/>
      <c r="GC374" s="32"/>
      <c r="GD374" s="32"/>
      <c r="GE374" s="32"/>
      <c r="GF374" s="32"/>
      <c r="GG374" s="32"/>
      <c r="GH374" s="32"/>
      <c r="GI374" s="32"/>
      <c r="GJ374" s="32"/>
      <c r="GK374" s="32"/>
      <c r="GL374" s="32"/>
      <c r="GM374" s="49"/>
      <c r="GN374" s="49"/>
      <c r="GO374" s="49"/>
      <c r="GP374" s="49"/>
      <c r="GQ374" s="49"/>
      <c r="GR374" s="49"/>
      <c r="GS374" s="49"/>
      <c r="GT374" s="49"/>
      <c r="GU374" s="49"/>
      <c r="GV374" s="49"/>
      <c r="GW374" s="49"/>
      <c r="GX374" s="49"/>
      <c r="GY374" s="49"/>
      <c r="GZ374" s="49"/>
      <c r="HA374" s="49"/>
      <c r="HB374" s="49"/>
      <c r="HC374" s="49"/>
      <c r="HD374" s="49"/>
      <c r="HE374" s="49"/>
      <c r="HF374" s="49"/>
      <c r="HG374" s="49"/>
      <c r="HH374" s="49"/>
      <c r="HI374" s="49"/>
      <c r="HJ374" s="49"/>
      <c r="HK374" s="49"/>
      <c r="HL374" s="49"/>
      <c r="HM374" s="49"/>
      <c r="HN374" s="49"/>
    </row>
    <row r="375" spans="1:222" ht="22.8">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c r="CX375" s="32"/>
      <c r="CY375" s="32"/>
      <c r="CZ375" s="32"/>
      <c r="DA375" s="32"/>
      <c r="DB375" s="32"/>
      <c r="DC375" s="32"/>
      <c r="DD375" s="32"/>
      <c r="DE375" s="32"/>
      <c r="DF375" s="32"/>
      <c r="DG375" s="32"/>
      <c r="DH375" s="32"/>
      <c r="DI375" s="32"/>
      <c r="DJ375" s="32"/>
      <c r="DK375" s="32"/>
      <c r="DL375" s="32"/>
      <c r="DM375" s="32"/>
      <c r="DN375" s="32"/>
      <c r="DO375" s="32"/>
      <c r="DP375" s="32"/>
      <c r="DQ375" s="32"/>
      <c r="DR375" s="32"/>
      <c r="DS375" s="32"/>
      <c r="DT375" s="32"/>
      <c r="DU375" s="32"/>
      <c r="DV375" s="32"/>
      <c r="DW375" s="32"/>
      <c r="DX375" s="32"/>
      <c r="DY375" s="32"/>
      <c r="DZ375" s="32"/>
      <c r="EA375" s="32"/>
      <c r="EB375" s="32"/>
      <c r="EC375" s="32"/>
      <c r="ED375" s="32"/>
      <c r="EE375" s="32"/>
      <c r="EF375" s="32"/>
      <c r="EG375" s="32"/>
      <c r="EH375" s="32"/>
      <c r="EI375" s="32"/>
      <c r="EJ375" s="32"/>
      <c r="EK375" s="32"/>
      <c r="EL375" s="32"/>
      <c r="EM375" s="32"/>
      <c r="EN375" s="32"/>
      <c r="EO375" s="32"/>
      <c r="EP375" s="32"/>
      <c r="EQ375" s="32"/>
      <c r="ER375" s="32"/>
      <c r="ES375" s="32"/>
      <c r="ET375" s="32"/>
      <c r="EU375" s="32"/>
      <c r="EV375" s="32"/>
      <c r="EW375" s="32"/>
      <c r="EX375" s="32"/>
      <c r="EY375" s="32"/>
      <c r="EZ375" s="32"/>
      <c r="FA375" s="32"/>
      <c r="FB375" s="32"/>
      <c r="FC375" s="32"/>
      <c r="FD375" s="32"/>
      <c r="FE375" s="32"/>
      <c r="FF375" s="32"/>
      <c r="FG375" s="32"/>
      <c r="FH375" s="32"/>
      <c r="FI375" s="32"/>
      <c r="FJ375" s="32"/>
      <c r="FK375" s="32"/>
      <c r="FL375" s="32"/>
      <c r="FM375" s="47"/>
      <c r="FN375" s="47"/>
      <c r="FO375" s="47"/>
      <c r="FP375" s="47"/>
      <c r="FQ375" s="47"/>
      <c r="FR375" s="47"/>
      <c r="FS375" s="47"/>
      <c r="FT375" s="47"/>
      <c r="FU375" s="47"/>
      <c r="FV375" s="47"/>
      <c r="FW375" s="47"/>
      <c r="FX375" s="47"/>
      <c r="FY375" s="32"/>
      <c r="FZ375" s="32"/>
      <c r="GA375" s="32"/>
      <c r="GB375" s="32"/>
      <c r="GC375" s="32"/>
      <c r="GD375" s="32"/>
      <c r="GE375" s="32"/>
      <c r="GF375" s="32"/>
      <c r="GG375" s="32"/>
      <c r="GH375" s="32"/>
      <c r="GI375" s="32"/>
      <c r="GJ375" s="32"/>
      <c r="GK375" s="32"/>
      <c r="GL375" s="32"/>
      <c r="GM375" s="49"/>
      <c r="GN375" s="49"/>
      <c r="GO375" s="49"/>
      <c r="GP375" s="49"/>
      <c r="GQ375" s="49"/>
      <c r="GR375" s="49"/>
      <c r="GS375" s="49"/>
      <c r="GT375" s="49"/>
      <c r="GU375" s="49"/>
      <c r="GV375" s="49"/>
      <c r="GW375" s="49"/>
      <c r="GX375" s="49"/>
      <c r="GY375" s="49"/>
      <c r="GZ375" s="49"/>
      <c r="HA375" s="49"/>
      <c r="HB375" s="49"/>
      <c r="HC375" s="49"/>
      <c r="HD375" s="49"/>
      <c r="HE375" s="49"/>
      <c r="HF375" s="49"/>
      <c r="HG375" s="49"/>
      <c r="HH375" s="49"/>
      <c r="HI375" s="49"/>
      <c r="HJ375" s="49"/>
      <c r="HK375" s="49"/>
      <c r="HL375" s="49"/>
      <c r="HM375" s="49"/>
      <c r="HN375" s="49"/>
    </row>
    <row r="376" spans="1:222" ht="22.8">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2"/>
      <c r="FJ376" s="32"/>
      <c r="FK376" s="32"/>
      <c r="FL376" s="32"/>
      <c r="FM376" s="47"/>
      <c r="FN376" s="47"/>
      <c r="FO376" s="47"/>
      <c r="FP376" s="47"/>
      <c r="FQ376" s="47"/>
      <c r="FR376" s="47"/>
      <c r="FS376" s="47"/>
      <c r="FT376" s="47"/>
      <c r="FU376" s="47"/>
      <c r="FV376" s="47"/>
      <c r="FW376" s="47"/>
      <c r="FX376" s="47"/>
      <c r="FY376" s="32"/>
      <c r="FZ376" s="32"/>
      <c r="GA376" s="32"/>
      <c r="GB376" s="32"/>
      <c r="GC376" s="32"/>
      <c r="GD376" s="32"/>
      <c r="GE376" s="32"/>
      <c r="GF376" s="32"/>
      <c r="GG376" s="32"/>
      <c r="GH376" s="32"/>
      <c r="GI376" s="32"/>
      <c r="GJ376" s="32"/>
      <c r="GK376" s="32"/>
      <c r="GL376" s="32"/>
      <c r="GM376" s="49"/>
      <c r="GN376" s="49"/>
      <c r="GO376" s="49"/>
      <c r="GP376" s="49"/>
      <c r="GQ376" s="49"/>
      <c r="GR376" s="49"/>
      <c r="GS376" s="49"/>
      <c r="GT376" s="49"/>
      <c r="GU376" s="49"/>
      <c r="GV376" s="49"/>
      <c r="GW376" s="49"/>
      <c r="GX376" s="49"/>
      <c r="GY376" s="49"/>
      <c r="GZ376" s="49"/>
      <c r="HA376" s="49"/>
      <c r="HB376" s="49"/>
      <c r="HC376" s="49"/>
      <c r="HD376" s="49"/>
      <c r="HE376" s="49"/>
      <c r="HF376" s="49"/>
      <c r="HG376" s="49"/>
      <c r="HH376" s="49"/>
      <c r="HI376" s="49"/>
      <c r="HJ376" s="49"/>
      <c r="HK376" s="49"/>
      <c r="HL376" s="49"/>
      <c r="HM376" s="49"/>
      <c r="HN376" s="49"/>
    </row>
    <row r="377" spans="1:222" ht="22.8">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47"/>
      <c r="FN377" s="47"/>
      <c r="FO377" s="47"/>
      <c r="FP377" s="47"/>
      <c r="FQ377" s="47"/>
      <c r="FR377" s="47"/>
      <c r="FS377" s="47"/>
      <c r="FT377" s="47"/>
      <c r="FU377" s="47"/>
      <c r="FV377" s="47"/>
      <c r="FW377" s="47"/>
      <c r="FX377" s="47"/>
      <c r="FY377" s="32"/>
      <c r="FZ377" s="32"/>
      <c r="GA377" s="32"/>
      <c r="GB377" s="32"/>
      <c r="GC377" s="32"/>
      <c r="GD377" s="32"/>
      <c r="GE377" s="32"/>
      <c r="GF377" s="32"/>
      <c r="GG377" s="32"/>
      <c r="GH377" s="32"/>
      <c r="GI377" s="32"/>
      <c r="GJ377" s="32"/>
      <c r="GK377" s="32"/>
      <c r="GL377" s="32"/>
      <c r="GM377" s="49"/>
      <c r="GN377" s="49"/>
      <c r="GO377" s="49"/>
      <c r="GP377" s="49"/>
      <c r="GQ377" s="49"/>
      <c r="GR377" s="49"/>
      <c r="GS377" s="49"/>
      <c r="GT377" s="49"/>
      <c r="GU377" s="49"/>
      <c r="GV377" s="49"/>
      <c r="GW377" s="49"/>
      <c r="GX377" s="49"/>
      <c r="GY377" s="49"/>
      <c r="GZ377" s="49"/>
      <c r="HA377" s="49"/>
      <c r="HB377" s="49"/>
      <c r="HC377" s="49"/>
      <c r="HD377" s="49"/>
      <c r="HE377" s="49"/>
      <c r="HF377" s="49"/>
      <c r="HG377" s="49"/>
      <c r="HH377" s="49"/>
      <c r="HI377" s="49"/>
      <c r="HJ377" s="49"/>
      <c r="HK377" s="49"/>
      <c r="HL377" s="49"/>
      <c r="HM377" s="49"/>
      <c r="HN377" s="49"/>
    </row>
    <row r="378" spans="1:222" ht="22.8">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47"/>
      <c r="FN378" s="47"/>
      <c r="FO378" s="47"/>
      <c r="FP378" s="47"/>
      <c r="FQ378" s="47"/>
      <c r="FR378" s="47"/>
      <c r="FS378" s="47"/>
      <c r="FT378" s="47"/>
      <c r="FU378" s="47"/>
      <c r="FV378" s="47"/>
      <c r="FW378" s="47"/>
      <c r="FX378" s="47"/>
      <c r="FY378" s="32"/>
      <c r="FZ378" s="32"/>
      <c r="GA378" s="32"/>
      <c r="GB378" s="32"/>
      <c r="GC378" s="32"/>
      <c r="GD378" s="32"/>
      <c r="GE378" s="32"/>
      <c r="GF378" s="32"/>
      <c r="GG378" s="32"/>
      <c r="GH378" s="32"/>
      <c r="GI378" s="32"/>
      <c r="GJ378" s="32"/>
      <c r="GK378" s="32"/>
      <c r="GL378" s="32"/>
      <c r="GM378" s="49"/>
      <c r="GN378" s="49"/>
      <c r="GO378" s="49"/>
      <c r="GP378" s="49"/>
      <c r="GQ378" s="49"/>
      <c r="GR378" s="49"/>
      <c r="GS378" s="49"/>
      <c r="GT378" s="49"/>
      <c r="GU378" s="49"/>
      <c r="GV378" s="49"/>
      <c r="GW378" s="49"/>
      <c r="GX378" s="49"/>
      <c r="GY378" s="49"/>
      <c r="GZ378" s="49"/>
      <c r="HA378" s="49"/>
      <c r="HB378" s="49"/>
      <c r="HC378" s="49"/>
      <c r="HD378" s="49"/>
      <c r="HE378" s="49"/>
      <c r="HF378" s="49"/>
      <c r="HG378" s="49"/>
      <c r="HH378" s="49"/>
      <c r="HI378" s="49"/>
      <c r="HJ378" s="49"/>
      <c r="HK378" s="49"/>
      <c r="HL378" s="49"/>
      <c r="HM378" s="49"/>
      <c r="HN378" s="49"/>
    </row>
    <row r="379" spans="1:222" ht="22.8">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c r="EH379" s="32"/>
      <c r="EI379" s="32"/>
      <c r="EJ379" s="32"/>
      <c r="EK379" s="32"/>
      <c r="EL379" s="32"/>
      <c r="EM379" s="32"/>
      <c r="EN379" s="32"/>
      <c r="EO379" s="32"/>
      <c r="EP379" s="32"/>
      <c r="EQ379" s="32"/>
      <c r="ER379" s="32"/>
      <c r="ES379" s="32"/>
      <c r="ET379" s="32"/>
      <c r="EU379" s="32"/>
      <c r="EV379" s="32"/>
      <c r="EW379" s="32"/>
      <c r="EX379" s="32"/>
      <c r="EY379" s="32"/>
      <c r="EZ379" s="32"/>
      <c r="FA379" s="32"/>
      <c r="FB379" s="32"/>
      <c r="FC379" s="32"/>
      <c r="FD379" s="32"/>
      <c r="FE379" s="32"/>
      <c r="FF379" s="32"/>
      <c r="FG379" s="32"/>
      <c r="FH379" s="32"/>
      <c r="FI379" s="32"/>
      <c r="FJ379" s="32"/>
      <c r="FK379" s="32"/>
      <c r="FL379" s="32"/>
      <c r="FM379" s="47"/>
      <c r="FN379" s="47"/>
      <c r="FO379" s="47"/>
      <c r="FP379" s="47"/>
      <c r="FQ379" s="47"/>
      <c r="FR379" s="47"/>
      <c r="FS379" s="47"/>
      <c r="FT379" s="47"/>
      <c r="FU379" s="47"/>
      <c r="FV379" s="47"/>
      <c r="FW379" s="47"/>
      <c r="FX379" s="47"/>
      <c r="FY379" s="32"/>
      <c r="FZ379" s="32"/>
      <c r="GA379" s="32"/>
      <c r="GB379" s="32"/>
      <c r="GC379" s="32"/>
      <c r="GD379" s="32"/>
      <c r="GE379" s="32"/>
      <c r="GF379" s="32"/>
      <c r="GG379" s="32"/>
      <c r="GH379" s="32"/>
      <c r="GI379" s="32"/>
      <c r="GJ379" s="32"/>
      <c r="GK379" s="32"/>
      <c r="GL379" s="32"/>
      <c r="GM379" s="49"/>
      <c r="GN379" s="49"/>
      <c r="GO379" s="49"/>
      <c r="GP379" s="49"/>
      <c r="GQ379" s="49"/>
      <c r="GR379" s="49"/>
      <c r="GS379" s="49"/>
      <c r="GT379" s="49"/>
      <c r="GU379" s="49"/>
      <c r="GV379" s="49"/>
      <c r="GW379" s="49"/>
      <c r="GX379" s="49"/>
      <c r="GY379" s="49"/>
      <c r="GZ379" s="49"/>
      <c r="HA379" s="49"/>
      <c r="HB379" s="49"/>
      <c r="HC379" s="49"/>
      <c r="HD379" s="49"/>
      <c r="HE379" s="49"/>
      <c r="HF379" s="49"/>
      <c r="HG379" s="49"/>
      <c r="HH379" s="49"/>
      <c r="HI379" s="49"/>
      <c r="HJ379" s="49"/>
      <c r="HK379" s="49"/>
      <c r="HL379" s="49"/>
      <c r="HM379" s="49"/>
      <c r="HN379" s="49"/>
    </row>
    <row r="380" spans="1:222" ht="22.8">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c r="EB380" s="32"/>
      <c r="EC380" s="32"/>
      <c r="ED380" s="32"/>
      <c r="EE380" s="32"/>
      <c r="EF380" s="32"/>
      <c r="EG380" s="32"/>
      <c r="EH380" s="32"/>
      <c r="EI380" s="32"/>
      <c r="EJ380" s="32"/>
      <c r="EK380" s="32"/>
      <c r="EL380" s="32"/>
      <c r="EM380" s="32"/>
      <c r="EN380" s="32"/>
      <c r="EO380" s="32"/>
      <c r="EP380" s="32"/>
      <c r="EQ380" s="32"/>
      <c r="ER380" s="32"/>
      <c r="ES380" s="32"/>
      <c r="ET380" s="32"/>
      <c r="EU380" s="32"/>
      <c r="EV380" s="32"/>
      <c r="EW380" s="32"/>
      <c r="EX380" s="32"/>
      <c r="EY380" s="32"/>
      <c r="EZ380" s="32"/>
      <c r="FA380" s="32"/>
      <c r="FB380" s="32"/>
      <c r="FC380" s="32"/>
      <c r="FD380" s="32"/>
      <c r="FE380" s="32"/>
      <c r="FF380" s="32"/>
      <c r="FG380" s="32"/>
      <c r="FH380" s="32"/>
      <c r="FI380" s="32"/>
      <c r="FJ380" s="32"/>
      <c r="FK380" s="32"/>
      <c r="FL380" s="32"/>
      <c r="FM380" s="47"/>
      <c r="FN380" s="47"/>
      <c r="FO380" s="47"/>
      <c r="FP380" s="47"/>
      <c r="FQ380" s="47"/>
      <c r="FR380" s="47"/>
      <c r="FS380" s="47"/>
      <c r="FT380" s="47"/>
      <c r="FU380" s="47"/>
      <c r="FV380" s="47"/>
      <c r="FW380" s="47"/>
      <c r="FX380" s="47"/>
      <c r="FY380" s="32"/>
      <c r="FZ380" s="32"/>
      <c r="GA380" s="32"/>
      <c r="GB380" s="32"/>
      <c r="GC380" s="32"/>
      <c r="GD380" s="32"/>
      <c r="GE380" s="32"/>
      <c r="GF380" s="32"/>
      <c r="GG380" s="32"/>
      <c r="GH380" s="32"/>
      <c r="GI380" s="32"/>
      <c r="GJ380" s="32"/>
      <c r="GK380" s="32"/>
      <c r="GL380" s="32"/>
      <c r="GM380" s="49"/>
      <c r="GN380" s="49"/>
      <c r="GO380" s="49"/>
      <c r="GP380" s="49"/>
      <c r="GQ380" s="49"/>
      <c r="GR380" s="49"/>
      <c r="GS380" s="49"/>
      <c r="GT380" s="49"/>
      <c r="GU380" s="49"/>
      <c r="GV380" s="49"/>
      <c r="GW380" s="49"/>
      <c r="GX380" s="49"/>
      <c r="GY380" s="49"/>
      <c r="GZ380" s="49"/>
      <c r="HA380" s="49"/>
      <c r="HB380" s="49"/>
      <c r="HC380" s="49"/>
      <c r="HD380" s="49"/>
      <c r="HE380" s="49"/>
      <c r="HF380" s="49"/>
      <c r="HG380" s="49"/>
      <c r="HH380" s="49"/>
      <c r="HI380" s="49"/>
      <c r="HJ380" s="49"/>
      <c r="HK380" s="49"/>
      <c r="HL380" s="49"/>
      <c r="HM380" s="49"/>
      <c r="HN380" s="49"/>
    </row>
    <row r="381" spans="1:222" ht="22.8">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c r="EH381" s="32"/>
      <c r="EI381" s="32"/>
      <c r="EJ381" s="32"/>
      <c r="EK381" s="32"/>
      <c r="EL381" s="32"/>
      <c r="EM381" s="32"/>
      <c r="EN381" s="32"/>
      <c r="EO381" s="32"/>
      <c r="EP381" s="32"/>
      <c r="EQ381" s="32"/>
      <c r="ER381" s="32"/>
      <c r="ES381" s="32"/>
      <c r="ET381" s="32"/>
      <c r="EU381" s="32"/>
      <c r="EV381" s="32"/>
      <c r="EW381" s="32"/>
      <c r="EX381" s="32"/>
      <c r="EY381" s="32"/>
      <c r="EZ381" s="32"/>
      <c r="FA381" s="32"/>
      <c r="FB381" s="32"/>
      <c r="FC381" s="32"/>
      <c r="FD381" s="32"/>
      <c r="FE381" s="32"/>
      <c r="FF381" s="32"/>
      <c r="FG381" s="32"/>
      <c r="FH381" s="32"/>
      <c r="FI381" s="32"/>
      <c r="FJ381" s="32"/>
      <c r="FK381" s="32"/>
      <c r="FL381" s="32"/>
      <c r="FM381" s="47"/>
      <c r="FN381" s="47"/>
      <c r="FO381" s="47"/>
      <c r="FP381" s="47"/>
      <c r="FQ381" s="47"/>
      <c r="FR381" s="47"/>
      <c r="FS381" s="47"/>
      <c r="FT381" s="47"/>
      <c r="FU381" s="47"/>
      <c r="FV381" s="47"/>
      <c r="FW381" s="47"/>
      <c r="FX381" s="47"/>
      <c r="FY381" s="32"/>
      <c r="FZ381" s="32"/>
      <c r="GA381" s="32"/>
      <c r="GB381" s="32"/>
      <c r="GC381" s="32"/>
      <c r="GD381" s="32"/>
      <c r="GE381" s="32"/>
      <c r="GF381" s="32"/>
      <c r="GG381" s="32"/>
      <c r="GH381" s="32"/>
      <c r="GI381" s="32"/>
      <c r="GJ381" s="32"/>
      <c r="GK381" s="32"/>
      <c r="GL381" s="32"/>
      <c r="GM381" s="49"/>
      <c r="GN381" s="49"/>
      <c r="GO381" s="49"/>
      <c r="GP381" s="49"/>
      <c r="GQ381" s="49"/>
      <c r="GR381" s="49"/>
      <c r="GS381" s="49"/>
      <c r="GT381" s="49"/>
      <c r="GU381" s="49"/>
      <c r="GV381" s="49"/>
      <c r="GW381" s="49"/>
      <c r="GX381" s="49"/>
      <c r="GY381" s="49"/>
      <c r="GZ381" s="49"/>
      <c r="HA381" s="49"/>
      <c r="HB381" s="49"/>
      <c r="HC381" s="49"/>
      <c r="HD381" s="49"/>
      <c r="HE381" s="49"/>
      <c r="HF381" s="49"/>
      <c r="HG381" s="49"/>
      <c r="HH381" s="49"/>
      <c r="HI381" s="49"/>
      <c r="HJ381" s="49"/>
      <c r="HK381" s="49"/>
      <c r="HL381" s="49"/>
      <c r="HM381" s="49"/>
      <c r="HN381" s="49"/>
    </row>
    <row r="382" spans="1:222" ht="22.8">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c r="EG382" s="32"/>
      <c r="EH382" s="32"/>
      <c r="EI382" s="32"/>
      <c r="EJ382" s="32"/>
      <c r="EK382" s="32"/>
      <c r="EL382" s="32"/>
      <c r="EM382" s="32"/>
      <c r="EN382" s="32"/>
      <c r="EO382" s="32"/>
      <c r="EP382" s="32"/>
      <c r="EQ382" s="32"/>
      <c r="ER382" s="32"/>
      <c r="ES382" s="32"/>
      <c r="ET382" s="32"/>
      <c r="EU382" s="32"/>
      <c r="EV382" s="32"/>
      <c r="EW382" s="32"/>
      <c r="EX382" s="32"/>
      <c r="EY382" s="32"/>
      <c r="EZ382" s="32"/>
      <c r="FA382" s="32"/>
      <c r="FB382" s="32"/>
      <c r="FC382" s="32"/>
      <c r="FD382" s="32"/>
      <c r="FE382" s="32"/>
      <c r="FF382" s="32"/>
      <c r="FG382" s="32"/>
      <c r="FH382" s="32"/>
      <c r="FI382" s="32"/>
      <c r="FJ382" s="32"/>
      <c r="FK382" s="32"/>
      <c r="FL382" s="32"/>
      <c r="FM382" s="47"/>
      <c r="FN382" s="47"/>
      <c r="FO382" s="47"/>
      <c r="FP382" s="47"/>
      <c r="FQ382" s="47"/>
      <c r="FR382" s="47"/>
      <c r="FS382" s="47"/>
      <c r="FT382" s="47"/>
      <c r="FU382" s="47"/>
      <c r="FV382" s="47"/>
      <c r="FW382" s="47"/>
      <c r="FX382" s="47"/>
      <c r="FY382" s="32"/>
      <c r="FZ382" s="32"/>
      <c r="GA382" s="32"/>
      <c r="GB382" s="32"/>
      <c r="GC382" s="32"/>
      <c r="GD382" s="32"/>
      <c r="GE382" s="32"/>
      <c r="GF382" s="32"/>
      <c r="GG382" s="32"/>
      <c r="GH382" s="32"/>
      <c r="GI382" s="32"/>
      <c r="GJ382" s="32"/>
      <c r="GK382" s="32"/>
      <c r="GL382" s="32"/>
      <c r="GM382" s="49"/>
      <c r="GN382" s="49"/>
      <c r="GO382" s="49"/>
      <c r="GP382" s="49"/>
      <c r="GQ382" s="49"/>
      <c r="GR382" s="49"/>
      <c r="GS382" s="49"/>
      <c r="GT382" s="49"/>
      <c r="GU382" s="49"/>
      <c r="GV382" s="49"/>
      <c r="GW382" s="49"/>
      <c r="GX382" s="49"/>
      <c r="GY382" s="49"/>
      <c r="GZ382" s="49"/>
      <c r="HA382" s="49"/>
      <c r="HB382" s="49"/>
      <c r="HC382" s="49"/>
      <c r="HD382" s="49"/>
      <c r="HE382" s="49"/>
      <c r="HF382" s="49"/>
      <c r="HG382" s="49"/>
      <c r="HH382" s="49"/>
      <c r="HI382" s="49"/>
      <c r="HJ382" s="49"/>
      <c r="HK382" s="49"/>
      <c r="HL382" s="49"/>
      <c r="HM382" s="49"/>
      <c r="HN382" s="49"/>
    </row>
  </sheetData>
  <sheetProtection password="C484" sheet="1" objects="1" scenarios="1"/>
  <mergeCells count="276">
    <mergeCell ref="BB335:CE335"/>
    <mergeCell ref="BB318:CE318"/>
    <mergeCell ref="BC319:CD319"/>
    <mergeCell ref="BB320:CE320"/>
    <mergeCell ref="BB325:CE325"/>
    <mergeCell ref="BC326:CD326"/>
    <mergeCell ref="BB327:CE327"/>
    <mergeCell ref="D242:DK255"/>
    <mergeCell ref="BB329:CE329"/>
    <mergeCell ref="BC330:CD330"/>
    <mergeCell ref="BB331:CE331"/>
    <mergeCell ref="BB333:CE333"/>
    <mergeCell ref="BC334:CD334"/>
    <mergeCell ref="BP302:CF302"/>
    <mergeCell ref="BQ303:CE303"/>
    <mergeCell ref="BP304:CF304"/>
    <mergeCell ref="BB312:CE312"/>
    <mergeCell ref="BC313:CD313"/>
    <mergeCell ref="BB314:CE314"/>
    <mergeCell ref="BP296:CB296"/>
    <mergeCell ref="BQ297:CA297"/>
    <mergeCell ref="BP298:CB298"/>
    <mergeCell ref="BP280:CB280"/>
    <mergeCell ref="BQ281:CA281"/>
    <mergeCell ref="BP288:CF288"/>
    <mergeCell ref="AU145:DE145"/>
    <mergeCell ref="AT144:DF144"/>
    <mergeCell ref="EO3:FL3"/>
    <mergeCell ref="DV92:EH94"/>
    <mergeCell ref="DI94:DU96"/>
    <mergeCell ref="AI79:AU81"/>
    <mergeCell ref="BI74:BU76"/>
    <mergeCell ref="EK81:FI91"/>
    <mergeCell ref="DV83:EH85"/>
    <mergeCell ref="AT217:DF217"/>
    <mergeCell ref="AT199:DF199"/>
    <mergeCell ref="K227:AN227"/>
    <mergeCell ref="K232:AN232"/>
    <mergeCell ref="L233:AM233"/>
    <mergeCell ref="AU198:DE198"/>
    <mergeCell ref="AT215:DF215"/>
    <mergeCell ref="K225:AN225"/>
    <mergeCell ref="L226:AM226"/>
    <mergeCell ref="K161:AN161"/>
    <mergeCell ref="AT146:DF146"/>
    <mergeCell ref="I95:U97"/>
    <mergeCell ref="V95:AH97"/>
    <mergeCell ref="AV95:BH97"/>
    <mergeCell ref="BP282:CB282"/>
    <mergeCell ref="BP286:CF286"/>
    <mergeCell ref="BQ287:CE287"/>
    <mergeCell ref="FQ95:FQ97"/>
    <mergeCell ref="CV95:DH97"/>
    <mergeCell ref="DV95:EH97"/>
    <mergeCell ref="CV92:DH94"/>
    <mergeCell ref="CV89:DH91"/>
    <mergeCell ref="FQ92:FQ94"/>
    <mergeCell ref="DE270:DK270"/>
    <mergeCell ref="AT193:DF193"/>
    <mergeCell ref="AU192:DE192"/>
    <mergeCell ref="AT197:DF197"/>
    <mergeCell ref="BV88:CH90"/>
    <mergeCell ref="BI89:BU91"/>
    <mergeCell ref="FQ89:FQ91"/>
    <mergeCell ref="AV89:BH91"/>
    <mergeCell ref="BV91:CH93"/>
    <mergeCell ref="AV71:BH73"/>
    <mergeCell ref="FX68:FX70"/>
    <mergeCell ref="FX71:FX73"/>
    <mergeCell ref="FX74:FX76"/>
    <mergeCell ref="FX77:FX79"/>
    <mergeCell ref="FX80:FX82"/>
    <mergeCell ref="FQ86:FQ88"/>
    <mergeCell ref="FR86:FR88"/>
    <mergeCell ref="FR89:FR91"/>
    <mergeCell ref="FW89:FW91"/>
    <mergeCell ref="FV91:FV93"/>
    <mergeCell ref="FW92:FW94"/>
    <mergeCell ref="FV94:FV96"/>
    <mergeCell ref="FW95:FW97"/>
    <mergeCell ref="FU92:FU94"/>
    <mergeCell ref="FR74:FR76"/>
    <mergeCell ref="FR77:FR79"/>
    <mergeCell ref="FR95:FR97"/>
    <mergeCell ref="FW83:FW85"/>
    <mergeCell ref="FW80:FW82"/>
    <mergeCell ref="FV85:FV87"/>
    <mergeCell ref="FX92:FX94"/>
    <mergeCell ref="FX95:FX97"/>
    <mergeCell ref="FX83:FX85"/>
    <mergeCell ref="K163:AN163"/>
    <mergeCell ref="K172:AN172"/>
    <mergeCell ref="L173:AM173"/>
    <mergeCell ref="K174:AN174"/>
    <mergeCell ref="FR92:FR94"/>
    <mergeCell ref="FW77:FW79"/>
    <mergeCell ref="FV79:FV81"/>
    <mergeCell ref="FU80:FU82"/>
    <mergeCell ref="FU74:FU76"/>
    <mergeCell ref="FU86:FU88"/>
    <mergeCell ref="FW86:FW88"/>
    <mergeCell ref="FV88:FV90"/>
    <mergeCell ref="FU89:FU91"/>
    <mergeCell ref="AV74:BH76"/>
    <mergeCell ref="CI74:CU76"/>
    <mergeCell ref="AI82:AU84"/>
    <mergeCell ref="FQ74:FQ76"/>
    <mergeCell ref="FQ77:FQ79"/>
    <mergeCell ref="FQ80:FQ82"/>
    <mergeCell ref="FQ83:FQ85"/>
    <mergeCell ref="AV86:BH88"/>
    <mergeCell ref="AI88:AU90"/>
    <mergeCell ref="AI85:AU87"/>
    <mergeCell ref="CI86:CU88"/>
    <mergeCell ref="FX66:FX67"/>
    <mergeCell ref="FX86:FX88"/>
    <mergeCell ref="FX89:FX91"/>
    <mergeCell ref="FV82:FV84"/>
    <mergeCell ref="FT92:FT94"/>
    <mergeCell ref="FS85:FS87"/>
    <mergeCell ref="FS94:FS96"/>
    <mergeCell ref="FT95:FT97"/>
    <mergeCell ref="FT66:FT67"/>
    <mergeCell ref="FS82:FS84"/>
    <mergeCell ref="FT83:FT85"/>
    <mergeCell ref="FS91:FS93"/>
    <mergeCell ref="FU95:FU97"/>
    <mergeCell ref="FV76:FV78"/>
    <mergeCell ref="FU77:FU79"/>
    <mergeCell ref="FT74:FT76"/>
    <mergeCell ref="FT86:FT88"/>
    <mergeCell ref="FS88:FS90"/>
    <mergeCell ref="FT80:FT82"/>
    <mergeCell ref="FT89:FT91"/>
    <mergeCell ref="FS76:FS78"/>
    <mergeCell ref="FT77:FT79"/>
    <mergeCell ref="FS79:FS81"/>
    <mergeCell ref="V68:AH70"/>
    <mergeCell ref="I77:U79"/>
    <mergeCell ref="V77:AH79"/>
    <mergeCell ref="CV71:DH73"/>
    <mergeCell ref="BV79:CH81"/>
    <mergeCell ref="BI77:BU79"/>
    <mergeCell ref="I89:U91"/>
    <mergeCell ref="I83:U85"/>
    <mergeCell ref="V83:AH85"/>
    <mergeCell ref="AV83:BH85"/>
    <mergeCell ref="AI76:AU78"/>
    <mergeCell ref="I80:U82"/>
    <mergeCell ref="V80:AH82"/>
    <mergeCell ref="AV80:BH82"/>
    <mergeCell ref="AV77:BH79"/>
    <mergeCell ref="CI71:CU73"/>
    <mergeCell ref="CI80:CU82"/>
    <mergeCell ref="CI77:CU79"/>
    <mergeCell ref="V86:AH88"/>
    <mergeCell ref="CV86:DH88"/>
    <mergeCell ref="BV73:CH75"/>
    <mergeCell ref="I86:U88"/>
    <mergeCell ref="BI71:BU73"/>
    <mergeCell ref="BV70:CH72"/>
    <mergeCell ref="EO4:FK4"/>
    <mergeCell ref="Q21:CC21"/>
    <mergeCell ref="R22:CB22"/>
    <mergeCell ref="Q23:CC23"/>
    <mergeCell ref="CV64:DH65"/>
    <mergeCell ref="BV67:CH69"/>
    <mergeCell ref="BI68:BU70"/>
    <mergeCell ref="I64:U65"/>
    <mergeCell ref="V64:AH65"/>
    <mergeCell ref="AV64:BH65"/>
    <mergeCell ref="AI65:AU66"/>
    <mergeCell ref="I66:U67"/>
    <mergeCell ref="V66:AH67"/>
    <mergeCell ref="AV66:BH67"/>
    <mergeCell ref="AI67:AU69"/>
    <mergeCell ref="I68:U70"/>
    <mergeCell ref="AI70:AU72"/>
    <mergeCell ref="V71:AH73"/>
    <mergeCell ref="AI73:AU75"/>
    <mergeCell ref="AV68:BH70"/>
    <mergeCell ref="CV68:DH70"/>
    <mergeCell ref="I71:U73"/>
    <mergeCell ref="I74:U76"/>
    <mergeCell ref="V74:AH76"/>
    <mergeCell ref="DI65:DU66"/>
    <mergeCell ref="DV66:EH67"/>
    <mergeCell ref="DI67:DU69"/>
    <mergeCell ref="FT68:FT70"/>
    <mergeCell ref="FS70:FS72"/>
    <mergeCell ref="FW68:FW70"/>
    <mergeCell ref="FV70:FV72"/>
    <mergeCell ref="FU71:FU73"/>
    <mergeCell ref="FW71:FW73"/>
    <mergeCell ref="FV73:FV75"/>
    <mergeCell ref="FT71:FT73"/>
    <mergeCell ref="FS73:FS75"/>
    <mergeCell ref="FQ68:FQ70"/>
    <mergeCell ref="FQ71:FQ73"/>
    <mergeCell ref="FR68:FR70"/>
    <mergeCell ref="FW66:FW67"/>
    <mergeCell ref="FV67:FV69"/>
    <mergeCell ref="FU68:FU70"/>
    <mergeCell ref="FW74:FW76"/>
    <mergeCell ref="CI64:CU65"/>
    <mergeCell ref="BV65:CH66"/>
    <mergeCell ref="BI66:BU67"/>
    <mergeCell ref="CI66:CU67"/>
    <mergeCell ref="FU83:FU85"/>
    <mergeCell ref="FR80:FR82"/>
    <mergeCell ref="FR83:FR85"/>
    <mergeCell ref="CV66:DH67"/>
    <mergeCell ref="BI80:BU82"/>
    <mergeCell ref="FR71:FR73"/>
    <mergeCell ref="FS67:FS69"/>
    <mergeCell ref="FU66:FU67"/>
    <mergeCell ref="FQ66:FQ67"/>
    <mergeCell ref="FR66:FR67"/>
    <mergeCell ref="CI68:CU70"/>
    <mergeCell ref="DI79:DU81"/>
    <mergeCell ref="CV80:DH82"/>
    <mergeCell ref="DI82:DU84"/>
    <mergeCell ref="CV83:DH85"/>
    <mergeCell ref="CV77:DH79"/>
    <mergeCell ref="DV77:EH79"/>
    <mergeCell ref="DV80:EH82"/>
    <mergeCell ref="BV76:CH78"/>
    <mergeCell ref="DV64:EH65"/>
    <mergeCell ref="K234:AN234"/>
    <mergeCell ref="DI88:DU90"/>
    <mergeCell ref="DV89:EH91"/>
    <mergeCell ref="BI83:BU85"/>
    <mergeCell ref="CI83:CU85"/>
    <mergeCell ref="BV85:CH87"/>
    <mergeCell ref="BI86:BU88"/>
    <mergeCell ref="CI89:CU91"/>
    <mergeCell ref="DI91:DU93"/>
    <mergeCell ref="CI92:CU94"/>
    <mergeCell ref="CI95:CU97"/>
    <mergeCell ref="DV86:EH88"/>
    <mergeCell ref="BV82:CH84"/>
    <mergeCell ref="DI85:DU87"/>
    <mergeCell ref="L162:AM162"/>
    <mergeCell ref="AI94:AU96"/>
    <mergeCell ref="AV92:BH94"/>
    <mergeCell ref="BV94:CH96"/>
    <mergeCell ref="BI95:BU97"/>
    <mergeCell ref="I92:U94"/>
    <mergeCell ref="V92:AH94"/>
    <mergeCell ref="V89:AH91"/>
    <mergeCell ref="BI92:BU94"/>
    <mergeCell ref="AI91:AU93"/>
    <mergeCell ref="EO5:FL5"/>
    <mergeCell ref="DF269:DJ269"/>
    <mergeCell ref="DO261:FK265"/>
    <mergeCell ref="DE256:DK256"/>
    <mergeCell ref="DE258:DK258"/>
    <mergeCell ref="DE260:DK260"/>
    <mergeCell ref="DE262:DK262"/>
    <mergeCell ref="DE264:DK264"/>
    <mergeCell ref="DE266:DK266"/>
    <mergeCell ref="DF257:DJ257"/>
    <mergeCell ref="DF261:DJ261"/>
    <mergeCell ref="DF265:DJ265"/>
    <mergeCell ref="DE268:DK268"/>
    <mergeCell ref="DI76:DU78"/>
    <mergeCell ref="DV71:EH73"/>
    <mergeCell ref="DI73:DU75"/>
    <mergeCell ref="CV74:DH76"/>
    <mergeCell ref="DV74:EH76"/>
    <mergeCell ref="EK70:FI80"/>
    <mergeCell ref="DV68:EH70"/>
    <mergeCell ref="DI70:DU72"/>
    <mergeCell ref="AT191:DF191"/>
    <mergeCell ref="AU216:DE216"/>
    <mergeCell ref="BI64:BU65"/>
  </mergeCells>
  <conditionalFormatting sqref="FL343:FL354">
    <cfRule type="cellIs" dxfId="130" priority="779" stopIfTrue="1" operator="equal">
      <formula>"."</formula>
    </cfRule>
  </conditionalFormatting>
  <conditionalFormatting sqref="FR293 FR309 FR322 FR337 FR339 FR341">
    <cfRule type="cellIs" dxfId="129" priority="94" stopIfTrue="1" operator="equal">
      <formula>";"</formula>
    </cfRule>
    <cfRule type="cellIs" dxfId="128" priority="95" stopIfTrue="1" operator="equal">
      <formula>"~"</formula>
    </cfRule>
    <cfRule type="cellIs" dxfId="127" priority="96" stopIfTrue="1" operator="equal">
      <formula>":"</formula>
    </cfRule>
    <cfRule type="cellIs" dxfId="126" priority="97" stopIfTrue="1" operator="equal">
      <formula>"`"</formula>
    </cfRule>
    <cfRule type="cellIs" dxfId="125" priority="98" operator="equal">
      <formula>"*"</formula>
    </cfRule>
    <cfRule type="cellIs" dxfId="124" priority="99" operator="equal">
      <formula>","</formula>
    </cfRule>
    <cfRule type="cellIs" dxfId="123" priority="100" stopIfTrue="1" operator="equal">
      <formula>"."</formula>
    </cfRule>
    <cfRule type="cellIs" dxfId="122" priority="101" stopIfTrue="1" operator="equal">
      <formula>"+"</formula>
    </cfRule>
    <cfRule type="cellIs" dxfId="121" priority="102" stopIfTrue="1" operator="equal">
      <formula>"-"</formula>
    </cfRule>
    <cfRule type="cellIs" dxfId="120" priority="103" stopIfTrue="1" operator="equal">
      <formula>"^"</formula>
    </cfRule>
    <cfRule type="cellIs" dxfId="119" priority="104" stopIfTrue="1" operator="equal">
      <formula>"&gt;"</formula>
    </cfRule>
    <cfRule type="cellIs" dxfId="118" priority="105" stopIfTrue="1" operator="equal">
      <formula>"!"</formula>
    </cfRule>
  </conditionalFormatting>
  <conditionalFormatting sqref="D11:FL342">
    <cfRule type="cellIs" dxfId="117" priority="12" stopIfTrue="1" operator="equal">
      <formula>";"</formula>
    </cfRule>
    <cfRule type="cellIs" dxfId="116" priority="13" stopIfTrue="1" operator="equal">
      <formula>"^"</formula>
    </cfRule>
    <cfRule type="cellIs" dxfId="115" priority="14" stopIfTrue="1" operator="equal">
      <formula>"!"</formula>
    </cfRule>
    <cfRule type="cellIs" dxfId="114" priority="15" stopIfTrue="1" operator="equal">
      <formula>"~"</formula>
    </cfRule>
    <cfRule type="cellIs" dxfId="113" priority="16" stopIfTrue="1" operator="equal">
      <formula>":"</formula>
    </cfRule>
    <cfRule type="cellIs" dxfId="112" priority="17" stopIfTrue="1" operator="equal">
      <formula>"`"</formula>
    </cfRule>
    <cfRule type="cellIs" dxfId="111" priority="18" operator="equal">
      <formula>"*"</formula>
    </cfRule>
    <cfRule type="cellIs" dxfId="110" priority="19" operator="equal">
      <formula>","</formula>
    </cfRule>
    <cfRule type="cellIs" dxfId="109" priority="20" stopIfTrue="1" operator="equal">
      <formula>"."</formula>
    </cfRule>
    <cfRule type="cellIs" dxfId="108" priority="21" stopIfTrue="1" operator="equal">
      <formula>"+"</formula>
    </cfRule>
    <cfRule type="cellIs" dxfId="107" priority="22" stopIfTrue="1" operator="equal">
      <formula>"-"</formula>
    </cfRule>
  </conditionalFormatting>
  <dataValidations count="11">
    <dataValidation type="whole" allowBlank="1" showInputMessage="1" showErrorMessage="1" sqref="L226:AM226 L162">
      <formula1>-10000000</formula1>
      <formula2>100000000000000</formula2>
    </dataValidation>
    <dataValidation type="decimal" allowBlank="1" showInputMessage="1" showErrorMessage="1" sqref="L233:AM233 L173">
      <formula1>-10000000</formula1>
      <formula2>100000000000000</formula2>
    </dataValidation>
    <dataValidation type="list" allowBlank="1" showInputMessage="1" showErrorMessage="1" sqref="DF269:DJ269 DF261:DJ261 DF257:DJ257 DF265:DJ265">
      <formula1>$FR$257:$FY$257</formula1>
    </dataValidation>
    <dataValidation type="list" allowBlank="1" showInputMessage="1" showErrorMessage="1" sqref="AU192:DE192">
      <formula1>$FQ$192:$FT$192</formula1>
    </dataValidation>
    <dataValidation type="list" allowBlank="1" showInputMessage="1" showErrorMessage="1" sqref="AU198:DE198">
      <formula1>$FQ$198:$FT$198</formula1>
    </dataValidation>
    <dataValidation type="list" allowBlank="1" showInputMessage="1" showErrorMessage="1" sqref="AU216:DE216">
      <formula1>$FQ$216:$FV$216</formula1>
    </dataValidation>
    <dataValidation type="list" allowBlank="1" showInputMessage="1" showErrorMessage="1" sqref="B173 B233 B226 B98 B162 B313 B319 B326 B330 B334">
      <formula1>$FM$1</formula1>
    </dataValidation>
    <dataValidation type="list" allowBlank="1" showInputMessage="1" showErrorMessage="1" sqref="AU145:DE145">
      <formula1>$FQ$145:$FV$145</formula1>
    </dataValidation>
    <dataValidation type="whole" allowBlank="1" showInputMessage="1" showErrorMessage="1" sqref="DI76:DU78 BV76:CH78 BI80:BU82 CV80:DH82 AI76:AU78 V80:AH82 CI71:CU73 DV71:EH73 AV71:BH73">
      <formula1>-100000000</formula1>
      <formula2>100000000</formula2>
    </dataValidation>
    <dataValidation type="list" allowBlank="1" showInputMessage="1" showErrorMessage="1" sqref="R22:CB22">
      <formula1>$FP$22:$FR$22</formula1>
    </dataValidation>
    <dataValidation type="list" allowBlank="1" showInputMessage="1" showErrorMessage="1" sqref="CI22:ER22">
      <formula1>$FT$22:$FX$22</formula1>
    </dataValidation>
  </dataValidations>
  <pageMargins left="0.75" right="0.75" top="1" bottom="1" header="0.5" footer="0.5"/>
  <pageSetup paperSize="9" scale="70" orientation="portrait" horizontalDpi="200" verticalDpi="200" r:id="rId1"/>
  <headerFooter alignWithMargins="0">
    <oddFooter>&amp;C- &amp;P -</oddFooter>
  </headerFooter>
  <drawing r:id="rId2"/>
</worksheet>
</file>

<file path=xl/worksheets/sheet8.xml><?xml version="1.0" encoding="utf-8"?>
<worksheet xmlns="http://schemas.openxmlformats.org/spreadsheetml/2006/main" xmlns:r="http://schemas.openxmlformats.org/officeDocument/2006/relationships">
  <dimension ref="A1:IC505"/>
  <sheetViews>
    <sheetView showGridLines="0" zoomScaleNormal="100" workbookViewId="0">
      <selection activeCell="B1" sqref="B1"/>
    </sheetView>
  </sheetViews>
  <sheetFormatPr defaultRowHeight="13.2"/>
  <cols>
    <col min="1" max="1" width="0.6640625" customWidth="1"/>
    <col min="2" max="2" width="3.33203125" customWidth="1"/>
    <col min="3" max="84" width="0.6640625" customWidth="1"/>
    <col min="85" max="85" width="1" customWidth="1"/>
    <col min="86" max="167" width="0.6640625" customWidth="1"/>
    <col min="168" max="168" width="14.6640625" customWidth="1"/>
    <col min="169" max="170" width="6.109375" hidden="1" customWidth="1"/>
    <col min="171" max="171" width="5.44140625" hidden="1" customWidth="1"/>
    <col min="172" max="172" width="17.109375" hidden="1" customWidth="1"/>
    <col min="173" max="173" width="8.6640625" hidden="1" customWidth="1"/>
    <col min="174" max="174" width="12.44140625" hidden="1" customWidth="1"/>
    <col min="175" max="175" width="9.88671875" hidden="1" customWidth="1"/>
    <col min="176" max="176" width="6.6640625" hidden="1" customWidth="1"/>
    <col min="177" max="177" width="7.88671875" hidden="1" customWidth="1"/>
    <col min="178" max="180" width="9.109375" hidden="1" customWidth="1"/>
    <col min="181" max="186" width="9.109375" customWidth="1"/>
  </cols>
  <sheetData>
    <row r="1" spans="1:224" ht="24" customHeight="1">
      <c r="A1" s="1"/>
      <c r="B1" s="510"/>
      <c r="C1" s="4"/>
      <c r="D1" s="7" t="str">
        <f ca="1">IF(TODAY()&gt;=Blad1!$A$1,"Uw licentie is verlopen.","")</f>
        <v/>
      </c>
      <c r="E1" s="7"/>
      <c r="F1" s="7"/>
      <c r="G1" s="7"/>
      <c r="H1" s="7"/>
      <c r="I1" s="7"/>
      <c r="J1" s="7"/>
      <c r="K1" s="7"/>
      <c r="L1" s="7"/>
      <c r="M1" s="7"/>
      <c r="N1" s="7"/>
      <c r="O1" s="7"/>
      <c r="P1" s="33"/>
      <c r="Q1" s="33"/>
      <c r="R1" s="33"/>
      <c r="S1" s="33"/>
      <c r="T1" s="33"/>
      <c r="U1" s="33"/>
      <c r="V1" s="33"/>
      <c r="W1" s="33"/>
      <c r="X1" s="33"/>
      <c r="Y1" s="33"/>
      <c r="Z1" s="33"/>
      <c r="AA1" s="33"/>
      <c r="AB1" s="33"/>
      <c r="AC1" s="33"/>
      <c r="AD1" s="33"/>
      <c r="AE1" s="33"/>
      <c r="AF1" s="33"/>
      <c r="AG1" s="33"/>
      <c r="AH1" s="33"/>
      <c r="AI1" s="33"/>
      <c r="AJ1" s="33"/>
      <c r="AK1" s="33"/>
      <c r="AL1" s="33"/>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8"/>
      <c r="FI1" s="8"/>
      <c r="FJ1" s="8"/>
      <c r="FK1" s="8"/>
      <c r="FL1" s="8"/>
      <c r="FM1" s="168" t="str">
        <f>IF(programma!$A$301="uitwerking","X","")</f>
        <v>X</v>
      </c>
      <c r="FN1" s="168">
        <f>programma!Q3</f>
        <v>1</v>
      </c>
      <c r="FO1" s="48">
        <f ca="1">IF(TODAY()&gt;=Blad1!A1,0,IF(AND(programma!E5="docentversie",programma!A300&lt;&gt;"goltsteindocentversie"),0,1))</f>
        <v>1</v>
      </c>
      <c r="FP1" s="168">
        <f ca="1">IF(programma!B1="X",1,IF(TODAY()&gt;=Blad1!$A$1,0,IF(OR(programma!Q3="",programma!N10="",programma!N12=""),0,1)))</f>
        <v>0</v>
      </c>
      <c r="FQ1" s="168">
        <f>programma!Q3</f>
        <v>1</v>
      </c>
      <c r="FR1" s="49"/>
      <c r="FS1" s="49"/>
      <c r="FT1" s="49"/>
      <c r="FU1" s="49"/>
      <c r="FV1" s="49"/>
      <c r="FW1" s="49"/>
      <c r="FX1" s="49"/>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78"/>
      <c r="HO1" s="78"/>
      <c r="HP1" s="78"/>
    </row>
    <row r="2" spans="1:224" ht="5.25" customHeight="1">
      <c r="A2" s="1"/>
      <c r="B2" s="1"/>
      <c r="C2" s="1"/>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168"/>
      <c r="FN2" s="168"/>
      <c r="FO2" s="168"/>
      <c r="FP2" s="168"/>
      <c r="FQ2" s="168"/>
      <c r="FR2" s="49"/>
      <c r="FS2" s="49"/>
      <c r="FT2" s="49"/>
      <c r="FU2" s="49"/>
      <c r="FV2" s="49"/>
      <c r="FW2" s="49"/>
      <c r="FX2" s="49"/>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78"/>
      <c r="HO2" s="78"/>
      <c r="HP2" s="78"/>
    </row>
    <row r="3" spans="1:224" ht="20.25" customHeight="1">
      <c r="A3" s="1"/>
      <c r="B3" s="1"/>
      <c r="C3" s="1"/>
      <c r="D3" s="8" t="str">
        <f ca="1">IF(TODAY()&gt;=Blad1!$A$1,"Neem contact op met goltstein@hotmail.com",programma!E3)</f>
        <v>Module: Resultaat bij prijszetting</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7"/>
      <c r="BS3" s="7"/>
      <c r="BT3" s="7"/>
      <c r="BU3" s="7"/>
      <c r="BV3" s="7"/>
      <c r="BW3" s="7"/>
      <c r="BX3" s="7"/>
      <c r="BY3" s="7"/>
      <c r="BZ3" s="7"/>
      <c r="CA3" s="7"/>
      <c r="CB3" s="7"/>
      <c r="CC3" s="7"/>
      <c r="CD3" s="7"/>
      <c r="CE3" s="7"/>
      <c r="CF3" s="7"/>
      <c r="CG3" s="7"/>
      <c r="CH3" s="7"/>
      <c r="CI3" s="7"/>
      <c r="CJ3" s="7"/>
      <c r="CK3" s="7"/>
      <c r="CL3" s="7"/>
      <c r="CM3" s="7"/>
      <c r="CN3" s="7"/>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614" t="str">
        <f>"versienummer: "&amp;programma!Q3</f>
        <v>versienummer: 1</v>
      </c>
      <c r="EP3" s="530"/>
      <c r="EQ3" s="530"/>
      <c r="ER3" s="530"/>
      <c r="ES3" s="530"/>
      <c r="ET3" s="530"/>
      <c r="EU3" s="530"/>
      <c r="EV3" s="530"/>
      <c r="EW3" s="530"/>
      <c r="EX3" s="530"/>
      <c r="EY3" s="530"/>
      <c r="EZ3" s="530"/>
      <c r="FA3" s="530"/>
      <c r="FB3" s="530"/>
      <c r="FC3" s="530"/>
      <c r="FD3" s="530"/>
      <c r="FE3" s="530"/>
      <c r="FF3" s="530"/>
      <c r="FG3" s="530"/>
      <c r="FH3" s="530"/>
      <c r="FI3" s="530"/>
      <c r="FJ3" s="530"/>
      <c r="FK3" s="530"/>
      <c r="FL3" s="530"/>
      <c r="FM3" s="168"/>
      <c r="FN3" s="168"/>
      <c r="FO3" s="168"/>
      <c r="FP3" s="93">
        <f ca="1">IF(programma!B1="X",1,IF(TODAY()&gt;=Blad1!$A$1,0,IF(OR(programma!Q3="",programma!N10="",programma!N12=""),0,1)))</f>
        <v>0</v>
      </c>
      <c r="FQ3" s="168"/>
      <c r="FR3" s="49"/>
      <c r="FS3" s="49"/>
      <c r="FT3" s="49"/>
      <c r="FU3" s="49"/>
      <c r="FV3" s="49"/>
      <c r="FW3" s="49"/>
      <c r="FX3" s="49"/>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78"/>
      <c r="HO3" s="78"/>
      <c r="HP3" s="78"/>
    </row>
    <row r="4" spans="1:224" ht="16.5" customHeight="1">
      <c r="A4" s="1"/>
      <c r="B4" s="1"/>
      <c r="C4" s="1"/>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7"/>
      <c r="BS4" s="7"/>
      <c r="BT4" s="7"/>
      <c r="BU4" s="7"/>
      <c r="BV4" s="7"/>
      <c r="BW4" s="7"/>
      <c r="BX4" s="7"/>
      <c r="BY4" s="7"/>
      <c r="BZ4" s="7"/>
      <c r="CA4" s="7"/>
      <c r="CB4" s="7"/>
      <c r="CC4" s="7"/>
      <c r="CD4" s="7"/>
      <c r="CE4" s="7"/>
      <c r="CF4" s="7"/>
      <c r="CG4" s="7"/>
      <c r="CH4" s="7"/>
      <c r="CI4" s="7"/>
      <c r="CJ4" s="7"/>
      <c r="CK4" s="7"/>
      <c r="CL4" s="7"/>
      <c r="CM4" s="7"/>
      <c r="CN4" s="7"/>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616"/>
      <c r="FF4" s="617"/>
      <c r="FG4" s="617"/>
      <c r="FH4" s="522"/>
      <c r="FI4" s="7"/>
      <c r="FJ4" s="7"/>
      <c r="FK4" s="7"/>
      <c r="FL4" s="7"/>
      <c r="FM4" s="168"/>
      <c r="FN4" s="168"/>
      <c r="FO4" s="168"/>
      <c r="FP4" s="168"/>
      <c r="FQ4" s="168"/>
      <c r="FR4" s="49"/>
      <c r="FS4" s="49"/>
      <c r="FT4" s="49"/>
      <c r="FU4" s="49"/>
      <c r="FV4" s="49"/>
      <c r="FW4" s="49"/>
      <c r="FX4" s="49"/>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78"/>
      <c r="HO4" s="78"/>
      <c r="HP4" s="78"/>
    </row>
    <row r="5" spans="1:224" ht="19.5" customHeight="1">
      <c r="A5" s="1"/>
      <c r="B5" s="1"/>
      <c r="C5" s="1"/>
      <c r="D5" s="34" t="str">
        <f>" Naam leerling: "&amp; programma!N10</f>
        <v xml:space="preserve"> Naam leerling: </v>
      </c>
      <c r="E5" s="34"/>
      <c r="F5" s="34"/>
      <c r="G5" s="34"/>
      <c r="H5" s="34"/>
      <c r="I5" s="34"/>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7"/>
      <c r="BS5" s="7"/>
      <c r="BT5" s="7"/>
      <c r="BU5" s="7"/>
      <c r="BV5" s="7"/>
      <c r="BW5" s="7"/>
      <c r="BX5" s="7"/>
      <c r="BY5" s="7"/>
      <c r="BZ5" s="7"/>
      <c r="CA5" s="7"/>
      <c r="CB5" s="7"/>
      <c r="CC5" s="7"/>
      <c r="CD5" s="7"/>
      <c r="CE5" s="7"/>
      <c r="CF5" s="7"/>
      <c r="CG5" s="7"/>
      <c r="CH5" s="7"/>
      <c r="CI5" s="7"/>
      <c r="CJ5" s="7"/>
      <c r="CK5" s="7"/>
      <c r="CL5" s="7"/>
      <c r="CM5" s="7"/>
      <c r="CN5" s="7"/>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534" t="str">
        <f>programma!S5</f>
        <v>© 2021, Goltstein</v>
      </c>
      <c r="EP5" s="532"/>
      <c r="EQ5" s="532"/>
      <c r="ER5" s="532"/>
      <c r="ES5" s="532"/>
      <c r="ET5" s="532"/>
      <c r="EU5" s="532"/>
      <c r="EV5" s="532"/>
      <c r="EW5" s="532"/>
      <c r="EX5" s="532"/>
      <c r="EY5" s="532"/>
      <c r="EZ5" s="532"/>
      <c r="FA5" s="532"/>
      <c r="FB5" s="532"/>
      <c r="FC5" s="532"/>
      <c r="FD5" s="532"/>
      <c r="FE5" s="532"/>
      <c r="FF5" s="532"/>
      <c r="FG5" s="532"/>
      <c r="FH5" s="532"/>
      <c r="FI5" s="532"/>
      <c r="FJ5" s="532"/>
      <c r="FK5" s="532"/>
      <c r="FL5" s="532"/>
      <c r="FM5" s="168"/>
      <c r="FN5" s="168"/>
      <c r="FO5" s="168"/>
      <c r="FP5" s="168"/>
      <c r="FQ5" s="168"/>
      <c r="FR5" s="49"/>
      <c r="FS5" s="49"/>
      <c r="FT5" s="49"/>
      <c r="FU5" s="49"/>
      <c r="FV5" s="49"/>
      <c r="FW5" s="49"/>
      <c r="FX5" s="49"/>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78"/>
      <c r="HO5" s="78"/>
      <c r="HP5" s="78"/>
    </row>
    <row r="6" spans="1:224" ht="19.5" customHeight="1">
      <c r="A6" s="1"/>
      <c r="B6" s="1"/>
      <c r="C6" s="1"/>
      <c r="D6" s="9" t="str">
        <f>" Klas: "&amp; programma!N12</f>
        <v xml:space="preserve"> Klas: </v>
      </c>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7"/>
      <c r="BS6" s="7"/>
      <c r="BT6" s="7"/>
      <c r="BU6" s="7"/>
      <c r="BV6" s="7"/>
      <c r="BW6" s="7"/>
      <c r="BX6" s="7"/>
      <c r="BY6" s="7"/>
      <c r="BZ6" s="7"/>
      <c r="CA6" s="7"/>
      <c r="CB6" s="7"/>
      <c r="CC6" s="7"/>
      <c r="CD6" s="7"/>
      <c r="CE6" s="7"/>
      <c r="CF6" s="7"/>
      <c r="CG6" s="7"/>
      <c r="CH6" s="7"/>
      <c r="CI6" s="7"/>
      <c r="CJ6" s="7"/>
      <c r="CK6" s="7"/>
      <c r="CL6" s="7"/>
      <c r="CM6" s="7"/>
      <c r="CN6" s="7"/>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7"/>
      <c r="FE6" s="9"/>
      <c r="FF6" s="9"/>
      <c r="FG6" s="7"/>
      <c r="FH6" s="7"/>
      <c r="FI6" s="7"/>
      <c r="FJ6" s="7"/>
      <c r="FK6" s="7"/>
      <c r="FL6" s="7"/>
      <c r="FM6" s="168"/>
      <c r="FN6" s="168"/>
      <c r="FO6" s="168"/>
      <c r="FP6" s="168"/>
      <c r="FQ6" s="168"/>
      <c r="FR6" s="49"/>
      <c r="FS6" s="49"/>
      <c r="FT6" s="49"/>
      <c r="FU6" s="49"/>
      <c r="FV6" s="49"/>
      <c r="FW6" s="49"/>
      <c r="FX6" s="49"/>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78"/>
      <c r="HO6" s="78"/>
      <c r="HP6" s="78"/>
    </row>
    <row r="7" spans="1:224" ht="12" customHeight="1">
      <c r="A7" s="1"/>
      <c r="B7" s="1"/>
      <c r="C7" s="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9"/>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8"/>
      <c r="FI7" s="8"/>
      <c r="FJ7" s="8"/>
      <c r="FK7" s="8"/>
      <c r="FL7" s="8"/>
      <c r="FM7" s="168"/>
      <c r="FN7" s="168"/>
      <c r="FO7" s="168"/>
      <c r="FP7" s="168"/>
      <c r="FQ7" s="168"/>
      <c r="FR7" s="49"/>
      <c r="FS7" s="49"/>
      <c r="FT7" s="49"/>
      <c r="FU7" s="49"/>
      <c r="FV7" s="49"/>
      <c r="FW7" s="49"/>
      <c r="FX7" s="49"/>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78"/>
      <c r="HO7" s="78"/>
      <c r="HP7" s="78"/>
    </row>
    <row r="8" spans="1:224" ht="7.5" customHeight="1">
      <c r="A8" s="1"/>
      <c r="B8" s="1"/>
      <c r="C8" s="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168"/>
      <c r="FN8" s="168"/>
      <c r="FO8" s="168"/>
      <c r="FP8" s="168"/>
      <c r="FQ8" s="168"/>
      <c r="FR8" s="49"/>
      <c r="FS8" s="49"/>
      <c r="FT8" s="49"/>
      <c r="FU8" s="49"/>
      <c r="FV8" s="49"/>
      <c r="FW8" s="49"/>
      <c r="FX8" s="49"/>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78"/>
      <c r="HO8" s="78"/>
      <c r="HP8" s="78"/>
    </row>
    <row r="9" spans="1:224" ht="21" customHeight="1">
      <c r="A9" s="1"/>
      <c r="B9" s="1"/>
      <c r="C9" s="1"/>
      <c r="D9" s="2" t="str">
        <f ca="1">IF(TODAY()&gt;=Blad1!$A$1,"","Pas als je een opdracht goed hebt beantwoord, verschijnt het volgende. Wil je terug naar het begin, klik dan op de paarse knop hierboven.")</f>
        <v>Pas als je een opdracht goed hebt beantwoord, verschijnt het volgende. Wil je terug naar het begin, klik dan op de paarse knop hierboven.</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168"/>
      <c r="FN9" s="168"/>
      <c r="FO9" s="168"/>
      <c r="FP9" s="168" t="str">
        <f>IF(FO9=1,1.25,IF(FO9=2,4,IF(FO9=3,2.25,IF(FO9=4,0.75,IF(FO9=5,2.5,IF(FO9=6,0.5,IF(FO9=7,1,IF(FO9=8,3,""))))))))</f>
        <v/>
      </c>
      <c r="FQ9" s="168"/>
      <c r="FR9" s="49"/>
      <c r="FS9" s="49"/>
      <c r="FT9" s="49"/>
      <c r="FU9" s="49"/>
      <c r="FV9" s="49"/>
      <c r="FW9" s="49"/>
      <c r="FX9" s="49"/>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78"/>
      <c r="HO9" s="78"/>
      <c r="HP9" s="78"/>
    </row>
    <row r="10" spans="1:224" ht="16.5" customHeight="1">
      <c r="A10" s="1"/>
      <c r="B10" s="1"/>
      <c r="C10" s="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168"/>
      <c r="FN10" s="168"/>
      <c r="FO10" s="168"/>
      <c r="FP10" s="168"/>
      <c r="FQ10" s="168"/>
      <c r="FR10" s="49"/>
      <c r="FS10" s="49"/>
      <c r="FT10" s="49"/>
      <c r="FU10" s="49"/>
      <c r="FV10" s="49"/>
      <c r="FW10" s="49"/>
      <c r="FX10" s="49"/>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78"/>
      <c r="HO10" s="78"/>
      <c r="HP10" s="78"/>
    </row>
    <row r="11" spans="1:224" ht="16.5" customHeight="1">
      <c r="A11" s="1"/>
      <c r="B11" s="3"/>
      <c r="C11" s="3"/>
      <c r="D11" s="195"/>
      <c r="E11" s="147"/>
      <c r="F11" s="147"/>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26"/>
      <c r="FI11" s="36"/>
      <c r="FJ11" s="36"/>
      <c r="FK11" s="36"/>
      <c r="FL11" s="26"/>
      <c r="FM11" s="168"/>
      <c r="FN11" s="168"/>
      <c r="FO11" s="168"/>
      <c r="FP11" s="168"/>
      <c r="FQ11" s="168"/>
      <c r="FR11" s="49"/>
      <c r="FS11" s="49"/>
      <c r="FT11" s="49"/>
      <c r="FU11" s="49"/>
      <c r="FV11" s="49"/>
      <c r="FW11" s="49"/>
      <c r="FX11" s="49"/>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78"/>
      <c r="HO11" s="78"/>
      <c r="HP11" s="78"/>
    </row>
    <row r="12" spans="1:224" ht="10.5" customHeight="1">
      <c r="A12" s="1"/>
      <c r="B12" s="3"/>
      <c r="C12" s="3"/>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26"/>
      <c r="FI12" s="26"/>
      <c r="FJ12" s="26"/>
      <c r="FK12" s="26"/>
      <c r="FL12" s="26"/>
      <c r="FM12" s="168"/>
      <c r="FN12" s="168"/>
      <c r="FO12" s="168"/>
      <c r="FP12" s="168"/>
      <c r="FQ12" s="168"/>
      <c r="FR12" s="49"/>
      <c r="FS12" s="49"/>
      <c r="FT12" s="49"/>
      <c r="FU12" s="49"/>
      <c r="FV12" s="49"/>
      <c r="FW12" s="49"/>
      <c r="FX12" s="49"/>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78"/>
      <c r="HO12" s="78"/>
      <c r="HP12" s="78"/>
    </row>
    <row r="13" spans="1:224" ht="21.6" customHeight="1">
      <c r="A13" s="1"/>
      <c r="B13" s="3"/>
      <c r="C13" s="3"/>
      <c r="D13" s="35" t="str">
        <f ca="1">IF(FP1=0,"","Welvaartseffect van prijszetting")</f>
        <v/>
      </c>
      <c r="E13" s="35"/>
      <c r="F13" s="35"/>
      <c r="G13" s="35"/>
      <c r="H13" s="35"/>
      <c r="I13" s="35"/>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26"/>
      <c r="FI13" s="26"/>
      <c r="FJ13" s="26"/>
      <c r="FK13" s="26"/>
      <c r="FL13" s="26"/>
      <c r="FM13" s="168"/>
      <c r="FN13" s="168"/>
      <c r="FO13" s="168"/>
      <c r="FP13" s="168"/>
      <c r="FQ13" s="168"/>
      <c r="FR13" s="49"/>
      <c r="FS13" s="49"/>
      <c r="FT13" s="49"/>
      <c r="FU13" s="49"/>
      <c r="FV13" s="49"/>
      <c r="FW13" s="49"/>
      <c r="FX13" s="49"/>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78"/>
      <c r="HO13" s="78"/>
      <c r="HP13" s="78"/>
    </row>
    <row r="14" spans="1:224" ht="12" customHeight="1">
      <c r="A14" s="1"/>
      <c r="B14" s="3"/>
      <c r="C14" s="3"/>
      <c r="D14" s="12"/>
      <c r="E14" s="12"/>
      <c r="F14" s="10"/>
      <c r="G14" s="10"/>
      <c r="H14" s="10"/>
      <c r="I14" s="10"/>
      <c r="J14" s="10"/>
      <c r="K14" s="10"/>
      <c r="L14" s="10"/>
      <c r="M14" s="10"/>
      <c r="N14" s="10"/>
      <c r="O14" s="10"/>
      <c r="P14" s="10"/>
      <c r="Q14" s="25"/>
      <c r="R14" s="25"/>
      <c r="S14" s="10"/>
      <c r="T14" s="10"/>
      <c r="U14" s="10"/>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126"/>
      <c r="CL14" s="126"/>
      <c r="CM14" s="126"/>
      <c r="CN14" s="197"/>
      <c r="CO14" s="197"/>
      <c r="CP14" s="126"/>
      <c r="CQ14" s="126"/>
      <c r="CR14" s="126"/>
      <c r="CS14" s="126"/>
      <c r="CT14" s="126"/>
      <c r="CU14" s="126"/>
      <c r="CV14" s="126"/>
      <c r="CW14" s="126"/>
      <c r="CX14" s="215"/>
      <c r="CY14" s="126"/>
      <c r="CZ14" s="126"/>
      <c r="DA14" s="215"/>
      <c r="DB14" s="126"/>
      <c r="DC14" s="126"/>
      <c r="DD14" s="126"/>
      <c r="DE14" s="126"/>
      <c r="DF14" s="126"/>
      <c r="DG14" s="126"/>
      <c r="DH14" s="215"/>
      <c r="DI14" s="126"/>
      <c r="DJ14" s="126"/>
      <c r="DK14" s="126"/>
      <c r="DL14" s="126"/>
      <c r="DM14" s="126"/>
      <c r="DN14" s="126"/>
      <c r="DO14" s="215"/>
      <c r="DP14" s="126"/>
      <c r="DQ14" s="126"/>
      <c r="DR14" s="215"/>
      <c r="DS14" s="126"/>
      <c r="DT14" s="126"/>
      <c r="DU14" s="126"/>
      <c r="DV14" s="126"/>
      <c r="DW14" s="126"/>
      <c r="DX14" s="126"/>
      <c r="DY14" s="126"/>
      <c r="DZ14" s="126"/>
      <c r="EA14" s="126"/>
      <c r="EB14" s="126"/>
      <c r="EC14" s="169"/>
      <c r="ED14" s="169"/>
      <c r="EE14" s="169"/>
      <c r="EF14" s="169"/>
      <c r="EG14" s="169"/>
      <c r="EH14" s="169"/>
      <c r="EI14" s="214"/>
      <c r="EJ14" s="214"/>
      <c r="EK14" s="214"/>
      <c r="EL14" s="214"/>
      <c r="EM14" s="214"/>
      <c r="EN14" s="214"/>
      <c r="EO14" s="214"/>
      <c r="EP14" s="214"/>
      <c r="EQ14" s="214"/>
      <c r="ER14" s="214"/>
      <c r="ES14" s="214"/>
      <c r="ET14" s="214"/>
      <c r="EU14" s="25"/>
      <c r="EV14" s="10"/>
      <c r="EW14" s="10"/>
      <c r="EX14" s="10"/>
      <c r="EY14" s="10"/>
      <c r="EZ14" s="10"/>
      <c r="FA14" s="10"/>
      <c r="FB14" s="10"/>
      <c r="FC14" s="10"/>
      <c r="FD14" s="10"/>
      <c r="FE14" s="10"/>
      <c r="FF14" s="10"/>
      <c r="FG14" s="10"/>
      <c r="FH14" s="26"/>
      <c r="FI14" s="26"/>
      <c r="FJ14" s="26"/>
      <c r="FK14" s="26"/>
      <c r="FL14" s="10"/>
      <c r="FM14" s="168"/>
      <c r="FN14" s="168"/>
      <c r="FO14" s="168"/>
      <c r="FP14" s="168"/>
      <c r="FQ14" s="168"/>
      <c r="FR14" s="49"/>
      <c r="FS14" s="49"/>
      <c r="FT14" s="49"/>
      <c r="FU14" s="49"/>
      <c r="FV14" s="49"/>
      <c r="FW14" s="49"/>
      <c r="FX14" s="49"/>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78"/>
      <c r="HO14" s="78"/>
      <c r="HP14" s="78"/>
    </row>
    <row r="15" spans="1:224" ht="16.95" customHeight="1">
      <c r="A15" s="1"/>
      <c r="B15" s="3"/>
      <c r="C15" s="3"/>
      <c r="D15" s="124" t="str">
        <f ca="1">IF(FP1=0,"","Prijszetting heeft een nadelig effect op de welvaart gemeten met behulp van")</f>
        <v/>
      </c>
      <c r="E15" s="38"/>
      <c r="F15" s="38"/>
      <c r="G15" s="38"/>
      <c r="H15" s="38"/>
      <c r="I15" s="38"/>
      <c r="J15" s="126"/>
      <c r="K15" s="126"/>
      <c r="L15" s="126"/>
      <c r="M15" s="126"/>
      <c r="N15" s="126"/>
      <c r="O15" s="126"/>
      <c r="P15" s="126"/>
      <c r="Q15" s="126"/>
      <c r="R15" s="126"/>
      <c r="S15" s="126"/>
      <c r="T15" s="126"/>
      <c r="U15" s="126"/>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43"/>
      <c r="FB15" s="43"/>
      <c r="FC15" s="43"/>
      <c r="FD15" s="43"/>
      <c r="FE15" s="43"/>
      <c r="FF15" s="43"/>
      <c r="FG15" s="43"/>
      <c r="FH15" s="43"/>
      <c r="FI15" s="79"/>
      <c r="FJ15" s="79"/>
      <c r="FK15" s="79"/>
      <c r="FL15" s="79"/>
      <c r="FM15" s="338"/>
      <c r="FN15" s="78"/>
      <c r="FO15" s="78"/>
      <c r="FP15" s="78"/>
      <c r="FQ15" s="78"/>
      <c r="FR15" s="78"/>
      <c r="FS15" s="78"/>
      <c r="FT15" s="78"/>
      <c r="FU15" s="78"/>
      <c r="FV15" s="78"/>
      <c r="FW15" s="78"/>
      <c r="FX15" s="78"/>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78"/>
      <c r="HO15" s="78"/>
      <c r="HP15" s="78"/>
    </row>
    <row r="16" spans="1:224" ht="16.95" customHeight="1">
      <c r="A16" s="1"/>
      <c r="B16" s="3"/>
      <c r="C16" s="3"/>
      <c r="D16" s="124" t="str">
        <f ca="1">IF(FP1=0,"","het totale surplus (van consumenten en producenten samen). Hieronder is")</f>
        <v/>
      </c>
      <c r="E16" s="38"/>
      <c r="F16" s="38"/>
      <c r="G16" s="38"/>
      <c r="H16" s="38"/>
      <c r="I16" s="38"/>
      <c r="J16" s="126"/>
      <c r="K16" s="126"/>
      <c r="L16" s="126"/>
      <c r="M16" s="126"/>
      <c r="N16" s="126"/>
      <c r="O16" s="126"/>
      <c r="P16" s="126"/>
      <c r="Q16" s="126"/>
      <c r="R16" s="126"/>
      <c r="S16" s="126"/>
      <c r="T16" s="126"/>
      <c r="U16" s="126"/>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43"/>
      <c r="CL16" s="43"/>
      <c r="CM16" s="43"/>
      <c r="CN16" s="43"/>
      <c r="CO16" s="43"/>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43"/>
      <c r="FB16" s="43"/>
      <c r="FC16" s="43"/>
      <c r="FD16" s="43"/>
      <c r="FE16" s="43"/>
      <c r="FF16" s="43"/>
      <c r="FG16" s="43"/>
      <c r="FH16" s="43"/>
      <c r="FI16" s="79"/>
      <c r="FJ16" s="79"/>
      <c r="FK16" s="79"/>
      <c r="FL16" s="79"/>
      <c r="FM16" s="338"/>
      <c r="FN16" s="78"/>
      <c r="FO16" s="78"/>
      <c r="FP16" s="78"/>
      <c r="FQ16" s="78"/>
      <c r="FR16" s="78"/>
      <c r="FS16" s="78"/>
      <c r="FT16" s="78"/>
      <c r="FU16" s="78"/>
      <c r="FV16" s="78"/>
      <c r="FW16" s="78"/>
      <c r="FX16" s="78"/>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78"/>
      <c r="HO16" s="78"/>
      <c r="HP16" s="78"/>
    </row>
    <row r="17" spans="1:235" ht="16.95" customHeight="1">
      <c r="A17" s="1"/>
      <c r="B17" s="3"/>
      <c r="C17" s="3"/>
      <c r="D17" s="124" t="str">
        <f ca="1">IF(FP1=0,"","stapsgewijs in beeld gebracht wat er met het surplus gebeurt als markt met")</f>
        <v/>
      </c>
      <c r="E17" s="38"/>
      <c r="F17" s="38"/>
      <c r="G17" s="38"/>
      <c r="H17" s="38"/>
      <c r="I17" s="38"/>
      <c r="J17" s="126"/>
      <c r="K17" s="126"/>
      <c r="L17" s="126"/>
      <c r="M17" s="126"/>
      <c r="N17" s="126"/>
      <c r="O17" s="126"/>
      <c r="P17" s="126"/>
      <c r="Q17" s="126"/>
      <c r="R17" s="126"/>
      <c r="S17" s="126"/>
      <c r="T17" s="126"/>
      <c r="U17" s="126"/>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43"/>
      <c r="CL17" s="43"/>
      <c r="CM17" s="43"/>
      <c r="CN17" s="43"/>
      <c r="CO17" s="43"/>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43"/>
      <c r="FB17" s="43"/>
      <c r="FC17" s="43"/>
      <c r="FD17" s="43"/>
      <c r="FE17" s="43"/>
      <c r="FF17" s="43"/>
      <c r="FG17" s="43"/>
      <c r="FH17" s="43"/>
      <c r="FI17" s="79"/>
      <c r="FJ17" s="79"/>
      <c r="FK17" s="79"/>
      <c r="FL17" s="79"/>
      <c r="FM17" s="338"/>
      <c r="FN17" s="78"/>
      <c r="FO17" s="78"/>
      <c r="FP17" s="78"/>
      <c r="FQ17" s="78"/>
      <c r="FR17" s="78"/>
      <c r="FS17" s="78"/>
      <c r="FT17" s="78"/>
      <c r="FU17" s="78"/>
      <c r="FV17" s="78"/>
      <c r="FW17" s="78"/>
      <c r="FX17" s="78"/>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78"/>
      <c r="HO17" s="78"/>
      <c r="HP17" s="78"/>
    </row>
    <row r="18" spans="1:235" ht="16.95" customHeight="1">
      <c r="A18" s="1"/>
      <c r="B18" s="3"/>
      <c r="C18" s="3"/>
      <c r="D18" s="124" t="str">
        <f ca="1">IF(FP1=0,"","hoeveelheidsaanpassing verandert in een markt met prijszetting. We gaan")</f>
        <v/>
      </c>
      <c r="E18" s="38"/>
      <c r="F18" s="38"/>
      <c r="G18" s="38"/>
      <c r="H18" s="38"/>
      <c r="I18" s="38"/>
      <c r="J18" s="126"/>
      <c r="K18" s="126"/>
      <c r="L18" s="126"/>
      <c r="M18" s="126"/>
      <c r="N18" s="126"/>
      <c r="O18" s="126"/>
      <c r="P18" s="126"/>
      <c r="Q18" s="126"/>
      <c r="R18" s="126"/>
      <c r="S18" s="126"/>
      <c r="T18" s="126"/>
      <c r="U18" s="126"/>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43"/>
      <c r="CL18" s="43"/>
      <c r="CM18" s="43"/>
      <c r="CN18" s="43"/>
      <c r="CO18" s="43"/>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43"/>
      <c r="FB18" s="43"/>
      <c r="FC18" s="43"/>
      <c r="FD18" s="43"/>
      <c r="FE18" s="43"/>
      <c r="FF18" s="43"/>
      <c r="FG18" s="43"/>
      <c r="FH18" s="43"/>
      <c r="FI18" s="79"/>
      <c r="FJ18" s="79"/>
      <c r="FK18" s="79"/>
      <c r="FL18" s="79"/>
      <c r="FM18" s="338"/>
      <c r="FN18" s="78"/>
      <c r="FO18" s="78"/>
      <c r="FP18" s="78"/>
      <c r="FQ18" s="78"/>
      <c r="FR18" s="78"/>
      <c r="FS18" s="78"/>
      <c r="FT18" s="78"/>
      <c r="FU18" s="78"/>
      <c r="FV18" s="78"/>
      <c r="FW18" s="78"/>
      <c r="FX18" s="78"/>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78"/>
      <c r="HO18" s="78"/>
      <c r="HP18" s="78"/>
      <c r="HQ18" s="13"/>
      <c r="HR18" s="13"/>
      <c r="HS18" s="13"/>
      <c r="HT18" s="13"/>
      <c r="HU18" s="13"/>
      <c r="HV18" s="13"/>
      <c r="HW18" s="13"/>
      <c r="HX18" s="13"/>
      <c r="HY18" s="13"/>
      <c r="HZ18" s="13"/>
      <c r="IA18" s="13"/>
    </row>
    <row r="19" spans="1:235" ht="16.95" customHeight="1">
      <c r="A19" s="1"/>
      <c r="B19" s="3"/>
      <c r="C19" s="3"/>
      <c r="D19" s="124" t="str">
        <f ca="1">IF(FP1=0,"","ervan uit dat de MK-lijn voor elke aanbieder hetzelfde is. Dat heeft tot")</f>
        <v/>
      </c>
      <c r="E19" s="38"/>
      <c r="F19" s="38"/>
      <c r="G19" s="38"/>
      <c r="H19" s="38"/>
      <c r="I19" s="38"/>
      <c r="J19" s="126"/>
      <c r="K19" s="126"/>
      <c r="L19" s="126"/>
      <c r="M19" s="126"/>
      <c r="N19" s="126"/>
      <c r="O19" s="126"/>
      <c r="P19" s="126"/>
      <c r="Q19" s="126"/>
      <c r="R19" s="126"/>
      <c r="S19" s="126"/>
      <c r="T19" s="126"/>
      <c r="U19" s="126"/>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43"/>
      <c r="CL19" s="43"/>
      <c r="CM19" s="43"/>
      <c r="CN19" s="43"/>
      <c r="CO19" s="43"/>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43"/>
      <c r="FB19" s="43"/>
      <c r="FC19" s="43"/>
      <c r="FD19" s="43"/>
      <c r="FE19" s="43"/>
      <c r="FF19" s="43"/>
      <c r="FG19" s="43"/>
      <c r="FH19" s="43"/>
      <c r="FI19" s="79"/>
      <c r="FJ19" s="79"/>
      <c r="FK19" s="79"/>
      <c r="FL19" s="79"/>
      <c r="FM19" s="474"/>
      <c r="FN19" s="79"/>
      <c r="FO19" s="78"/>
      <c r="FP19" s="78"/>
      <c r="FQ19" s="78"/>
      <c r="FR19" s="78"/>
      <c r="FS19" s="78"/>
      <c r="FT19" s="78"/>
      <c r="FU19" s="78"/>
      <c r="FV19" s="78"/>
      <c r="FW19" s="78"/>
      <c r="FX19" s="78"/>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78"/>
      <c r="HO19" s="78"/>
      <c r="HP19" s="78"/>
      <c r="HQ19" s="13"/>
      <c r="HR19" s="13"/>
      <c r="HS19" s="13"/>
      <c r="HT19" s="13"/>
      <c r="HU19" s="13"/>
      <c r="HV19" s="13"/>
      <c r="HW19" s="13"/>
      <c r="HX19" s="13"/>
      <c r="HY19" s="13"/>
      <c r="HZ19" s="13"/>
      <c r="IA19" s="13"/>
    </row>
    <row r="20" spans="1:235" ht="16.95" customHeight="1">
      <c r="A20" s="1"/>
      <c r="B20" s="3"/>
      <c r="C20" s="3"/>
      <c r="D20" s="124" t="str">
        <f ca="1">IF(FP1=0,"","gevolg dat de collectieve aanbodlijn bij hoeveelheidsaanpassing niet langer")</f>
        <v/>
      </c>
      <c r="E20" s="38"/>
      <c r="F20" s="38"/>
      <c r="G20" s="38"/>
      <c r="H20" s="38"/>
      <c r="I20" s="38"/>
      <c r="J20" s="126"/>
      <c r="K20" s="126"/>
      <c r="L20" s="126"/>
      <c r="M20" s="126"/>
      <c r="N20" s="126"/>
      <c r="O20" s="126"/>
      <c r="P20" s="126"/>
      <c r="Q20" s="126"/>
      <c r="R20" s="126"/>
      <c r="S20" s="126"/>
      <c r="T20" s="126"/>
      <c r="U20" s="126"/>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43"/>
      <c r="CL20" s="43"/>
      <c r="CM20" s="43"/>
      <c r="CN20" s="43"/>
      <c r="CO20" s="43"/>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43"/>
      <c r="FB20" s="43"/>
      <c r="FC20" s="43"/>
      <c r="FD20" s="43"/>
      <c r="FE20" s="43"/>
      <c r="FF20" s="43"/>
      <c r="FG20" s="43"/>
      <c r="FH20" s="43"/>
      <c r="FI20" s="79"/>
      <c r="FJ20" s="79"/>
      <c r="FK20" s="79"/>
      <c r="FL20" s="79"/>
      <c r="FM20" s="474"/>
      <c r="FN20" s="79"/>
      <c r="FO20" s="78"/>
      <c r="FP20" s="78"/>
      <c r="FQ20" s="78"/>
      <c r="FR20" s="78"/>
      <c r="FS20" s="78"/>
      <c r="FT20" s="78"/>
      <c r="FU20" s="78"/>
      <c r="FV20" s="78"/>
      <c r="FW20" s="78"/>
      <c r="FX20" s="78"/>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78"/>
      <c r="HO20" s="78"/>
      <c r="HP20" s="78"/>
      <c r="HQ20" s="13"/>
      <c r="HR20" s="13"/>
      <c r="HS20" s="13"/>
      <c r="HT20" s="13"/>
      <c r="HU20" s="13"/>
      <c r="HV20" s="13"/>
      <c r="HW20" s="13"/>
      <c r="HX20" s="13"/>
      <c r="HY20" s="13"/>
      <c r="HZ20" s="13"/>
      <c r="IA20" s="13"/>
    </row>
    <row r="21" spans="1:235" ht="16.95" customHeight="1">
      <c r="A21" s="1"/>
      <c r="B21" s="3"/>
      <c r="C21" s="3"/>
      <c r="D21" s="124" t="str">
        <f ca="1">IF(FP1=0,"","een stijgend verloop heeft, maar volkomen horizontaal loopt op de hoogte")</f>
        <v/>
      </c>
      <c r="E21" s="373"/>
      <c r="F21" s="373"/>
      <c r="G21" s="373"/>
      <c r="H21" s="373"/>
      <c r="I21" s="373"/>
      <c r="J21" s="376"/>
      <c r="K21" s="376"/>
      <c r="L21" s="376"/>
      <c r="M21" s="376"/>
      <c r="N21" s="376"/>
      <c r="O21" s="376"/>
      <c r="P21" s="376"/>
      <c r="Q21" s="376"/>
      <c r="R21" s="376"/>
      <c r="S21" s="376"/>
      <c r="T21" s="376"/>
      <c r="U21" s="376"/>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43"/>
      <c r="CL21" s="43"/>
      <c r="CM21" s="43"/>
      <c r="CN21" s="43"/>
      <c r="CO21" s="43"/>
      <c r="CP21" s="376"/>
      <c r="CQ21" s="376"/>
      <c r="CR21" s="376"/>
      <c r="CS21" s="376"/>
      <c r="CT21" s="376"/>
      <c r="CU21" s="376"/>
      <c r="CV21" s="376"/>
      <c r="CW21" s="376"/>
      <c r="CX21" s="376"/>
      <c r="CY21" s="376"/>
      <c r="CZ21" s="376"/>
      <c r="DA21" s="376"/>
      <c r="DB21" s="376"/>
      <c r="DC21" s="376"/>
      <c r="DD21" s="376"/>
      <c r="DE21" s="376"/>
      <c r="DF21" s="376"/>
      <c r="DG21" s="376"/>
      <c r="DH21" s="376"/>
      <c r="DI21" s="376"/>
      <c r="DJ21" s="376"/>
      <c r="DK21" s="376"/>
      <c r="DL21" s="376"/>
      <c r="DM21" s="376"/>
      <c r="DN21" s="376"/>
      <c r="DO21" s="376"/>
      <c r="DP21" s="376"/>
      <c r="DQ21" s="376"/>
      <c r="DR21" s="376"/>
      <c r="DS21" s="376"/>
      <c r="DT21" s="376"/>
      <c r="DU21" s="376"/>
      <c r="DV21" s="376"/>
      <c r="DW21" s="376"/>
      <c r="DX21" s="376"/>
      <c r="DY21" s="376"/>
      <c r="DZ21" s="376"/>
      <c r="EA21" s="376"/>
      <c r="EB21" s="376"/>
      <c r="EC21" s="376"/>
      <c r="ED21" s="376"/>
      <c r="EE21" s="376"/>
      <c r="EF21" s="376"/>
      <c r="EG21" s="376"/>
      <c r="EH21" s="376"/>
      <c r="EI21" s="376"/>
      <c r="EJ21" s="376"/>
      <c r="EK21" s="376"/>
      <c r="EL21" s="376"/>
      <c r="EM21" s="376"/>
      <c r="EN21" s="376"/>
      <c r="EO21" s="376"/>
      <c r="EP21" s="376"/>
      <c r="EQ21" s="376"/>
      <c r="ER21" s="376"/>
      <c r="ES21" s="376"/>
      <c r="ET21" s="376"/>
      <c r="EU21" s="376"/>
      <c r="EV21" s="376"/>
      <c r="EW21" s="376"/>
      <c r="EX21" s="376"/>
      <c r="EY21" s="376"/>
      <c r="EZ21" s="376"/>
      <c r="FA21" s="43"/>
      <c r="FB21" s="43"/>
      <c r="FC21" s="43"/>
      <c r="FD21" s="43"/>
      <c r="FE21" s="43"/>
      <c r="FF21" s="43"/>
      <c r="FG21" s="43"/>
      <c r="FH21" s="43"/>
      <c r="FI21" s="79"/>
      <c r="FJ21" s="79"/>
      <c r="FK21" s="79"/>
      <c r="FL21" s="79"/>
      <c r="FM21" s="474"/>
      <c r="FN21" s="79"/>
      <c r="FO21" s="338"/>
      <c r="FP21" s="338"/>
      <c r="FQ21" s="338"/>
      <c r="FR21" s="338"/>
      <c r="FS21" s="338"/>
      <c r="FT21" s="338"/>
      <c r="FU21" s="338"/>
      <c r="FV21" s="338"/>
      <c r="FW21" s="338"/>
      <c r="FX21" s="338"/>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38"/>
      <c r="HO21" s="338"/>
      <c r="HP21" s="338"/>
      <c r="HQ21" s="13"/>
      <c r="HR21" s="13"/>
      <c r="HS21" s="13"/>
      <c r="HT21" s="13"/>
      <c r="HU21" s="13"/>
      <c r="HV21" s="13"/>
      <c r="HW21" s="13"/>
      <c r="HX21" s="13"/>
      <c r="HY21" s="13"/>
      <c r="HZ21" s="13"/>
      <c r="IA21" s="13"/>
    </row>
    <row r="22" spans="1:235" ht="16.95" customHeight="1">
      <c r="A22" s="1"/>
      <c r="B22" s="3"/>
      <c r="C22" s="3"/>
      <c r="D22" s="124" t="str">
        <f ca="1">IF(FP1=0,"","van de MK-lijn. De MK-lijn geeft immers behalve de verandering van de")</f>
        <v/>
      </c>
      <c r="E22" s="38"/>
      <c r="F22" s="38"/>
      <c r="G22" s="38"/>
      <c r="H22" s="38"/>
      <c r="I22" s="38"/>
      <c r="J22" s="126"/>
      <c r="K22" s="126"/>
      <c r="L22" s="126"/>
      <c r="M22" s="126"/>
      <c r="N22" s="126"/>
      <c r="O22" s="126"/>
      <c r="P22" s="126"/>
      <c r="Q22" s="126"/>
      <c r="R22" s="126"/>
      <c r="S22" s="126"/>
      <c r="T22" s="126"/>
      <c r="U22" s="126"/>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c r="CJ22" s="79"/>
      <c r="CK22" s="43"/>
      <c r="CL22" s="43"/>
      <c r="CM22" s="43"/>
      <c r="CN22" s="43"/>
      <c r="CO22" s="43"/>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43"/>
      <c r="FB22" s="43"/>
      <c r="FC22" s="43"/>
      <c r="FD22" s="43"/>
      <c r="FE22" s="43"/>
      <c r="FF22" s="43"/>
      <c r="FG22" s="43"/>
      <c r="FH22" s="43"/>
      <c r="FI22" s="79"/>
      <c r="FJ22" s="79"/>
      <c r="FK22" s="79"/>
      <c r="FL22" s="79"/>
      <c r="FM22" s="93"/>
      <c r="FN22" s="93" t="str">
        <f ca="1">IF($FN$28&gt;=4,"Als de monopolist de prijs ''zet'' en hij voor maximale totale winst gaat, kiest hij de afzet waarbij geldt dat MO = MK. De bijbehorende prijs (GO) ligt een stuk hoger dan wanneer de markt de prijs bepaalt. Kies nu voor 5.",IF($FN$28=5,"Je ziet nu het consumentensurplus (groen) en het producentensurplus (geel) als de prijs door de monopolist wordt bepaald. Kies nu voor 6.",IF($FN$28=6,"Hier zie je het welvaartsverlies in beeld gebracht met behulp van "&amp;FN26,IF($FN$28=7,"Hier kun je zien welk deel van het welvaart van de consumenten wordt overgeheveld naar de monopolist (het geelgeblokte) en welk deel verdwijnt (het roodgeblokte). Kies nu voor 8.",IF($FN$28=8,"Hier zie je wat de monopolist aan welvaart verliest (het roodgeblokte) en wat hij wint (het groengeblokte). Kies nu voor 7.","")))))</f>
        <v/>
      </c>
      <c r="FO22" s="78"/>
      <c r="FP22" s="78"/>
      <c r="FQ22" s="78"/>
      <c r="FR22" s="78"/>
      <c r="FS22" s="78"/>
      <c r="FT22" s="78"/>
      <c r="FU22" s="78"/>
      <c r="FV22" s="78"/>
      <c r="FW22" s="78"/>
      <c r="FX22" s="78"/>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78"/>
      <c r="HO22" s="78"/>
      <c r="HP22" s="78"/>
      <c r="HQ22" s="13"/>
      <c r="HR22" s="13"/>
      <c r="HS22" s="13"/>
      <c r="HT22" s="13"/>
      <c r="HU22" s="13"/>
      <c r="HV22" s="13"/>
      <c r="HW22" s="13"/>
      <c r="HX22" s="13"/>
      <c r="HY22" s="13"/>
      <c r="HZ22" s="13"/>
      <c r="IA22" s="13"/>
    </row>
    <row r="23" spans="1:235" ht="16.95" customHeight="1">
      <c r="A23" s="1"/>
      <c r="B23" s="3"/>
      <c r="C23" s="3"/>
      <c r="D23" s="124" t="str">
        <f ca="1">IF(FP1=0,"","totale kosten als er een eenheid meer wordt geproduceerd, aan wat de")</f>
        <v/>
      </c>
      <c r="E23" s="38"/>
      <c r="F23" s="38"/>
      <c r="G23" s="38"/>
      <c r="H23" s="38"/>
      <c r="I23" s="38"/>
      <c r="J23" s="126"/>
      <c r="K23" s="126"/>
      <c r="L23" s="126"/>
      <c r="M23" s="126"/>
      <c r="N23" s="126"/>
      <c r="O23" s="126"/>
      <c r="P23" s="126"/>
      <c r="Q23" s="126"/>
      <c r="R23" s="126"/>
      <c r="S23" s="126"/>
      <c r="T23" s="126"/>
      <c r="U23" s="126"/>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43"/>
      <c r="CL23" s="43"/>
      <c r="CM23" s="43"/>
      <c r="CN23" s="43"/>
      <c r="CO23" s="43"/>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43"/>
      <c r="FB23" s="43"/>
      <c r="FC23" s="43"/>
      <c r="FD23" s="43"/>
      <c r="FE23" s="43"/>
      <c r="FF23" s="43"/>
      <c r="FG23" s="43"/>
      <c r="FH23" s="43"/>
      <c r="FI23" s="79"/>
      <c r="FJ23" s="79"/>
      <c r="FK23" s="79"/>
      <c r="FL23" s="79"/>
      <c r="FM23" s="93"/>
      <c r="FN23" s="93" t="s">
        <v>145</v>
      </c>
      <c r="FO23" s="78"/>
      <c r="FP23" s="78"/>
      <c r="FQ23" s="78"/>
      <c r="FR23" s="78"/>
      <c r="FS23" s="78"/>
      <c r="FT23" s="78"/>
      <c r="FU23" s="78"/>
      <c r="FV23" s="78"/>
      <c r="FW23" s="78"/>
      <c r="FX23" s="78"/>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78"/>
      <c r="HO23" s="78"/>
      <c r="HP23" s="78"/>
      <c r="HQ23" s="13"/>
      <c r="HR23" s="13"/>
      <c r="HS23" s="13"/>
      <c r="HT23" s="13"/>
      <c r="HU23" s="13"/>
      <c r="HV23" s="13"/>
      <c r="HW23" s="13"/>
      <c r="HX23" s="13"/>
      <c r="HY23" s="13"/>
      <c r="HZ23" s="13"/>
      <c r="IA23" s="13"/>
    </row>
    <row r="24" spans="1:235" ht="16.95" customHeight="1">
      <c r="A24" s="1"/>
      <c r="B24" s="3"/>
      <c r="C24" s="3"/>
      <c r="D24" s="124" t="str">
        <f ca="1">IF(FP1=0,"","minimale prijs is die de producent voor zijn product wil hebben als hij de")</f>
        <v/>
      </c>
      <c r="E24" s="38"/>
      <c r="F24" s="38"/>
      <c r="G24" s="38"/>
      <c r="H24" s="38"/>
      <c r="I24" s="38"/>
      <c r="J24" s="126"/>
      <c r="K24" s="126"/>
      <c r="L24" s="126"/>
      <c r="M24" s="126"/>
      <c r="N24" s="126"/>
      <c r="O24" s="126"/>
      <c r="P24" s="126"/>
      <c r="Q24" s="126"/>
      <c r="R24" s="126"/>
      <c r="S24" s="126"/>
      <c r="T24" s="126"/>
      <c r="U24" s="126"/>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43"/>
      <c r="CL24" s="43"/>
      <c r="CM24" s="43"/>
      <c r="CN24" s="43"/>
      <c r="CO24" s="43"/>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43"/>
      <c r="FB24" s="43"/>
      <c r="FC24" s="43"/>
      <c r="FD24" s="43"/>
      <c r="FE24" s="43"/>
      <c r="FF24" s="43"/>
      <c r="FG24" s="43"/>
      <c r="FH24" s="43"/>
      <c r="FI24" s="79"/>
      <c r="FJ24" s="79"/>
      <c r="FK24" s="79"/>
      <c r="FL24" s="79"/>
      <c r="FM24" s="93"/>
      <c r="FN24" s="93" t="s">
        <v>144</v>
      </c>
      <c r="FO24" s="78"/>
      <c r="FP24" s="78"/>
      <c r="FQ24" s="78"/>
      <c r="FR24" s="78"/>
      <c r="FS24" s="78"/>
      <c r="FT24" s="78"/>
      <c r="FU24" s="78"/>
      <c r="FV24" s="78"/>
      <c r="FW24" s="78"/>
      <c r="FX24" s="78"/>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78"/>
      <c r="HO24" s="78"/>
      <c r="HP24" s="78"/>
      <c r="HQ24" s="13"/>
      <c r="HR24" s="13"/>
      <c r="HS24" s="13"/>
      <c r="HT24" s="13"/>
      <c r="HU24" s="13"/>
      <c r="HV24" s="13"/>
      <c r="HW24" s="13"/>
      <c r="HX24" s="13"/>
      <c r="HY24" s="13"/>
      <c r="HZ24" s="13"/>
      <c r="IA24" s="13"/>
    </row>
    <row r="25" spans="1:235" ht="16.95" customHeight="1">
      <c r="A25" s="1"/>
      <c r="B25" s="3"/>
      <c r="C25" s="3"/>
      <c r="D25" s="124" t="str">
        <f ca="1">IF(FP1=0,"","constante kosten toch al als verloren moet beschouwen.")</f>
        <v/>
      </c>
      <c r="E25" s="38"/>
      <c r="F25" s="38"/>
      <c r="G25" s="38"/>
      <c r="H25" s="38"/>
      <c r="I25" s="38"/>
      <c r="J25" s="126"/>
      <c r="K25" s="126"/>
      <c r="L25" s="126"/>
      <c r="M25" s="126"/>
      <c r="N25" s="126"/>
      <c r="O25" s="126"/>
      <c r="P25" s="126"/>
      <c r="Q25" s="126"/>
      <c r="R25" s="126"/>
      <c r="S25" s="126"/>
      <c r="T25" s="126"/>
      <c r="U25" s="126"/>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43"/>
      <c r="CL25" s="43"/>
      <c r="CM25" s="43"/>
      <c r="CN25" s="43"/>
      <c r="CO25" s="43"/>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43"/>
      <c r="FB25" s="43"/>
      <c r="FC25" s="43"/>
      <c r="FD25" s="43"/>
      <c r="FE25" s="43"/>
      <c r="FF25" s="43"/>
      <c r="FG25" s="43"/>
      <c r="FH25" s="43"/>
      <c r="FI25" s="79"/>
      <c r="FJ25" s="79"/>
      <c r="FK25" s="79"/>
      <c r="FL25" s="79"/>
      <c r="FM25" s="93"/>
      <c r="FN25" s="93" t="s">
        <v>146</v>
      </c>
      <c r="FO25" s="78"/>
      <c r="FP25" s="78"/>
      <c r="FQ25" s="78"/>
      <c r="FR25" s="78"/>
      <c r="FS25" s="78"/>
      <c r="FT25" s="78"/>
      <c r="FU25" s="78"/>
      <c r="FV25" s="78"/>
      <c r="FW25" s="78"/>
      <c r="FX25" s="78"/>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78"/>
      <c r="HO25" s="78"/>
      <c r="HP25" s="78"/>
      <c r="HQ25" s="13"/>
      <c r="HR25" s="13"/>
      <c r="HS25" s="13"/>
      <c r="HT25" s="13"/>
      <c r="HU25" s="13"/>
      <c r="HV25" s="13"/>
      <c r="HW25" s="13"/>
      <c r="HX25" s="13"/>
      <c r="HY25" s="13"/>
      <c r="HZ25" s="13"/>
      <c r="IA25" s="13"/>
    </row>
    <row r="26" spans="1:235" ht="14.25" customHeight="1">
      <c r="A26" s="1"/>
      <c r="B26" s="3"/>
      <c r="C26" s="3"/>
      <c r="D26" s="43"/>
      <c r="E26" s="38"/>
      <c r="F26" s="38"/>
      <c r="G26" s="38"/>
      <c r="H26" s="38"/>
      <c r="I26" s="38"/>
      <c r="J26" s="126"/>
      <c r="K26" s="126"/>
      <c r="L26" s="126"/>
      <c r="M26" s="126"/>
      <c r="N26" s="126"/>
      <c r="O26" s="126"/>
      <c r="P26" s="126"/>
      <c r="Q26" s="126"/>
      <c r="R26" s="126"/>
      <c r="S26" s="126"/>
      <c r="T26" s="126"/>
      <c r="U26" s="126"/>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43"/>
      <c r="CL26" s="43"/>
      <c r="CM26" s="43"/>
      <c r="CN26" s="43"/>
      <c r="CO26" s="43"/>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43"/>
      <c r="FB26" s="43"/>
      <c r="FC26" s="43"/>
      <c r="FD26" s="43"/>
      <c r="FE26" s="43"/>
      <c r="FF26" s="43"/>
      <c r="FG26" s="43"/>
      <c r="FH26" s="43"/>
      <c r="FI26" s="79"/>
      <c r="FJ26" s="79"/>
      <c r="FK26" s="79"/>
      <c r="FL26" s="79"/>
      <c r="FM26" s="338"/>
      <c r="FN26" s="78" t="s">
        <v>136</v>
      </c>
      <c r="FO26" s="93"/>
      <c r="FP26" s="78"/>
      <c r="FQ26" s="78"/>
      <c r="FR26" s="78"/>
      <c r="FS26" s="78"/>
      <c r="FT26" s="78"/>
      <c r="FU26" s="78"/>
      <c r="FV26" s="78"/>
      <c r="FW26" s="78"/>
      <c r="FX26" s="78"/>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78"/>
      <c r="HO26" s="78"/>
      <c r="HP26" s="78"/>
      <c r="HQ26" s="13"/>
      <c r="HR26" s="13"/>
      <c r="HS26" s="13"/>
      <c r="HT26" s="13"/>
      <c r="HU26" s="13"/>
      <c r="HV26" s="13"/>
      <c r="HW26" s="13"/>
      <c r="HX26" s="13"/>
      <c r="HY26" s="13"/>
      <c r="HZ26" s="13"/>
      <c r="IA26" s="13"/>
    </row>
    <row r="27" spans="1:235" ht="3.75" customHeight="1">
      <c r="A27" s="1"/>
      <c r="B27" s="3"/>
      <c r="C27" s="3"/>
      <c r="D27" s="12"/>
      <c r="E27" s="12"/>
      <c r="F27" s="12"/>
      <c r="G27" s="12"/>
      <c r="H27" s="12"/>
      <c r="I27" s="12"/>
      <c r="J27" s="10"/>
      <c r="K27" s="10"/>
      <c r="L27" s="10"/>
      <c r="M27" s="10"/>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545" t="str">
        <f ca="1">IF(FP1=1,"`","")</f>
        <v/>
      </c>
      <c r="BC27" s="545"/>
      <c r="BD27" s="545"/>
      <c r="BE27" s="545"/>
      <c r="BF27" s="545"/>
      <c r="BG27" s="545"/>
      <c r="BH27" s="545"/>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709" t="str">
        <f ca="1">IF(AND(FP1=1,FN28=0),"Bij perfecte marktwerking ligt bij een ''platte'' collectieve aanbodlijn de evenwichtsprijs op het niveau van de minimale prijs die de aanbieders bereid zijn voor hun product te accepteren. Kies in het zwartomrande vak voor 1.",IF($FN$28=1,"Hier zie je "&amp;FN23&amp;"Kies nu voor 2.",IF($FN$28=2,"Nu gaan we kijken wat het aanbod wordt als de producent(en) de prijs kunnen zetten."&amp;FN24&amp;" Kies nu voor 3.",IF($FN$28=3,"De "&amp;FN25&amp;"Kies nu voor 4.",IF($FN$28=4,"Je ziet nu het consumentensurplus (groen) en het producentensurplus (geel) als de aanbieder de prijs ''zet''. Kies nu voor 5.",IF(FN28=5,"Hier zie je naast het consumentensurplus (groen) en het producentensurplus (oranje), in rood het totale welvaartsverlies (de ''Harbergerdriehoek) bij prijszetting in plaats van hoeveelheidsaanpassing in beeld gebracht.",""))))))</f>
        <v/>
      </c>
      <c r="DN27" s="686"/>
      <c r="DO27" s="686"/>
      <c r="DP27" s="686"/>
      <c r="DQ27" s="686"/>
      <c r="DR27" s="686"/>
      <c r="DS27" s="686"/>
      <c r="DT27" s="686"/>
      <c r="DU27" s="686"/>
      <c r="DV27" s="686"/>
      <c r="DW27" s="686"/>
      <c r="DX27" s="686"/>
      <c r="DY27" s="686"/>
      <c r="DZ27" s="686"/>
      <c r="EA27" s="686"/>
      <c r="EB27" s="686"/>
      <c r="EC27" s="686"/>
      <c r="ED27" s="686"/>
      <c r="EE27" s="686"/>
      <c r="EF27" s="686"/>
      <c r="EG27" s="686"/>
      <c r="EH27" s="686"/>
      <c r="EI27" s="686"/>
      <c r="EJ27" s="686"/>
      <c r="EK27" s="686"/>
      <c r="EL27" s="686"/>
      <c r="EM27" s="686"/>
      <c r="EN27" s="686"/>
      <c r="EO27" s="686"/>
      <c r="EP27" s="686"/>
      <c r="EQ27" s="686"/>
      <c r="ER27" s="686"/>
      <c r="ES27" s="686"/>
      <c r="ET27" s="686"/>
      <c r="EU27" s="686"/>
      <c r="EV27" s="686"/>
      <c r="EW27" s="686"/>
      <c r="EX27" s="686"/>
      <c r="EY27" s="686"/>
      <c r="EZ27" s="686"/>
      <c r="FA27" s="686"/>
      <c r="FB27" s="686"/>
      <c r="FC27" s="686"/>
      <c r="FD27" s="686"/>
      <c r="FE27" s="686"/>
      <c r="FF27" s="686"/>
      <c r="FG27" s="686"/>
      <c r="FH27" s="686"/>
      <c r="FI27" s="686"/>
      <c r="FJ27" s="686"/>
      <c r="FK27" s="686"/>
      <c r="FL27" s="79"/>
      <c r="FM27" s="168"/>
      <c r="FN27" s="168"/>
      <c r="FO27" s="168"/>
      <c r="FP27" s="168"/>
      <c r="FQ27" s="168"/>
      <c r="FR27" s="49"/>
      <c r="FS27" s="49"/>
      <c r="FT27" s="49"/>
      <c r="FU27" s="49"/>
      <c r="FV27" s="49"/>
      <c r="FW27" s="49"/>
      <c r="FX27" s="49"/>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78"/>
      <c r="HO27" s="78"/>
      <c r="HP27" s="78"/>
      <c r="HQ27" s="13"/>
      <c r="HR27" s="13"/>
      <c r="HS27" s="13"/>
      <c r="HT27" s="13"/>
      <c r="HU27" s="13"/>
      <c r="HV27" s="13"/>
      <c r="HW27" s="13"/>
      <c r="HX27" s="13"/>
      <c r="HY27" s="13"/>
      <c r="HZ27" s="13"/>
      <c r="IA27" s="13"/>
    </row>
    <row r="28" spans="1:235" ht="16.5" customHeight="1">
      <c r="A28" s="1"/>
      <c r="B28" s="3"/>
      <c r="C28" s="3"/>
      <c r="D28" s="12"/>
      <c r="E28" s="12"/>
      <c r="F28" s="12"/>
      <c r="G28" s="12"/>
      <c r="H28" s="12"/>
      <c r="I28" s="79"/>
      <c r="J28" s="79"/>
      <c r="K28" s="79"/>
      <c r="L28" s="79"/>
      <c r="M28" s="79"/>
      <c r="N28" s="126"/>
      <c r="O28" s="43"/>
      <c r="P28" s="43"/>
      <c r="Q28" s="43"/>
      <c r="R28" s="43"/>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43" t="str">
        <f ca="1">IF(FP1=1,"`","")</f>
        <v/>
      </c>
      <c r="BC28" s="610"/>
      <c r="BD28" s="610"/>
      <c r="BE28" s="610"/>
      <c r="BF28" s="610"/>
      <c r="BG28" s="610"/>
      <c r="BH28" s="228" t="str">
        <f ca="1">IF(FP1=1,"`","")</f>
        <v/>
      </c>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686"/>
      <c r="DN28" s="686"/>
      <c r="DO28" s="686"/>
      <c r="DP28" s="686"/>
      <c r="DQ28" s="686"/>
      <c r="DR28" s="686"/>
      <c r="DS28" s="686"/>
      <c r="DT28" s="686"/>
      <c r="DU28" s="686"/>
      <c r="DV28" s="686"/>
      <c r="DW28" s="686"/>
      <c r="DX28" s="686"/>
      <c r="DY28" s="686"/>
      <c r="DZ28" s="686"/>
      <c r="EA28" s="686"/>
      <c r="EB28" s="686"/>
      <c r="EC28" s="686"/>
      <c r="ED28" s="686"/>
      <c r="EE28" s="686"/>
      <c r="EF28" s="686"/>
      <c r="EG28" s="686"/>
      <c r="EH28" s="686"/>
      <c r="EI28" s="686"/>
      <c r="EJ28" s="686"/>
      <c r="EK28" s="686"/>
      <c r="EL28" s="686"/>
      <c r="EM28" s="686"/>
      <c r="EN28" s="686"/>
      <c r="EO28" s="686"/>
      <c r="EP28" s="686"/>
      <c r="EQ28" s="686"/>
      <c r="ER28" s="686"/>
      <c r="ES28" s="686"/>
      <c r="ET28" s="686"/>
      <c r="EU28" s="686"/>
      <c r="EV28" s="686"/>
      <c r="EW28" s="686"/>
      <c r="EX28" s="686"/>
      <c r="EY28" s="686"/>
      <c r="EZ28" s="686"/>
      <c r="FA28" s="686"/>
      <c r="FB28" s="686"/>
      <c r="FC28" s="686"/>
      <c r="FD28" s="686"/>
      <c r="FE28" s="686"/>
      <c r="FF28" s="686"/>
      <c r="FG28" s="686"/>
      <c r="FH28" s="686"/>
      <c r="FI28" s="686"/>
      <c r="FJ28" s="686"/>
      <c r="FK28" s="686"/>
      <c r="FL28" s="79"/>
      <c r="FM28" s="168"/>
      <c r="FN28" s="168">
        <f ca="1">IF(FP1=0,0,IF(BC28=6,8,IF(BC28=8,6,BC28)))</f>
        <v>0</v>
      </c>
      <c r="FO28" s="170">
        <f ca="1">IF(programma!B1="X",1,IF(FP1=0,0,IF(programma!E6="Docentversie",1,IF(FP1=0,0,IF(BC28=5,1,IF(BC108&gt;0,1,0))))))</f>
        <v>0</v>
      </c>
      <c r="FP28" s="168">
        <v>1</v>
      </c>
      <c r="FQ28" s="168">
        <v>2</v>
      </c>
      <c r="FR28" s="49">
        <v>3</v>
      </c>
      <c r="FS28" s="49">
        <v>4</v>
      </c>
      <c r="FT28" s="49">
        <v>5</v>
      </c>
      <c r="FU28" s="49"/>
      <c r="FV28" s="49"/>
      <c r="FW28" s="49"/>
      <c r="FX28" s="49"/>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78"/>
      <c r="HO28" s="78"/>
      <c r="HP28" s="78"/>
      <c r="HQ28" s="13"/>
      <c r="HR28" s="13"/>
      <c r="HS28" s="13"/>
      <c r="HT28" s="13"/>
      <c r="HU28" s="13"/>
      <c r="HV28" s="13"/>
      <c r="HW28" s="13"/>
      <c r="HX28" s="13"/>
      <c r="HY28" s="13"/>
      <c r="HZ28" s="13"/>
      <c r="IA28" s="13"/>
    </row>
    <row r="29" spans="1:235" ht="3.75" customHeight="1">
      <c r="A29" s="1"/>
      <c r="B29" s="3"/>
      <c r="C29" s="3"/>
      <c r="D29" s="12"/>
      <c r="E29" s="12"/>
      <c r="F29" s="12"/>
      <c r="G29" s="12"/>
      <c r="H29" s="12"/>
      <c r="I29" s="12"/>
      <c r="J29" s="10"/>
      <c r="K29" s="10"/>
      <c r="L29" s="10"/>
      <c r="M29" s="10"/>
      <c r="N29" s="172"/>
      <c r="O29" s="172"/>
      <c r="P29" s="172"/>
      <c r="Q29" s="172"/>
      <c r="R29" s="172"/>
      <c r="S29" s="172"/>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26"/>
      <c r="AQ29" s="147"/>
      <c r="AR29" s="147"/>
      <c r="AS29" s="147"/>
      <c r="AT29" s="147"/>
      <c r="AU29" s="147"/>
      <c r="AV29" s="147"/>
      <c r="AW29" s="147"/>
      <c r="AX29" s="147"/>
      <c r="AY29" s="147"/>
      <c r="AZ29" s="126"/>
      <c r="BA29" s="126"/>
      <c r="BB29" s="708" t="str">
        <f ca="1">IF(FP1=1,"`","")</f>
        <v/>
      </c>
      <c r="BC29" s="545"/>
      <c r="BD29" s="545"/>
      <c r="BE29" s="545"/>
      <c r="BF29" s="545"/>
      <c r="BG29" s="545"/>
      <c r="BH29" s="545"/>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686"/>
      <c r="DN29" s="686"/>
      <c r="DO29" s="686"/>
      <c r="DP29" s="686"/>
      <c r="DQ29" s="686"/>
      <c r="DR29" s="686"/>
      <c r="DS29" s="686"/>
      <c r="DT29" s="686"/>
      <c r="DU29" s="686"/>
      <c r="DV29" s="686"/>
      <c r="DW29" s="686"/>
      <c r="DX29" s="686"/>
      <c r="DY29" s="686"/>
      <c r="DZ29" s="686"/>
      <c r="EA29" s="686"/>
      <c r="EB29" s="686"/>
      <c r="EC29" s="686"/>
      <c r="ED29" s="686"/>
      <c r="EE29" s="686"/>
      <c r="EF29" s="686"/>
      <c r="EG29" s="686"/>
      <c r="EH29" s="686"/>
      <c r="EI29" s="686"/>
      <c r="EJ29" s="686"/>
      <c r="EK29" s="686"/>
      <c r="EL29" s="686"/>
      <c r="EM29" s="686"/>
      <c r="EN29" s="686"/>
      <c r="EO29" s="686"/>
      <c r="EP29" s="686"/>
      <c r="EQ29" s="686"/>
      <c r="ER29" s="686"/>
      <c r="ES29" s="686"/>
      <c r="ET29" s="686"/>
      <c r="EU29" s="686"/>
      <c r="EV29" s="686"/>
      <c r="EW29" s="686"/>
      <c r="EX29" s="686"/>
      <c r="EY29" s="686"/>
      <c r="EZ29" s="686"/>
      <c r="FA29" s="686"/>
      <c r="FB29" s="686"/>
      <c r="FC29" s="686"/>
      <c r="FD29" s="686"/>
      <c r="FE29" s="686"/>
      <c r="FF29" s="686"/>
      <c r="FG29" s="686"/>
      <c r="FH29" s="686"/>
      <c r="FI29" s="686"/>
      <c r="FJ29" s="686"/>
      <c r="FK29" s="686"/>
      <c r="FL29" s="79"/>
      <c r="FM29" s="168"/>
      <c r="FN29" s="168"/>
      <c r="FO29" s="168"/>
      <c r="FP29" s="168"/>
      <c r="FQ29" s="168"/>
      <c r="FR29" s="49"/>
      <c r="FS29" s="49"/>
      <c r="FT29" s="49"/>
      <c r="FU29" s="49"/>
      <c r="FV29" s="49"/>
      <c r="FW29" s="49"/>
      <c r="FX29" s="49"/>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78"/>
      <c r="HO29" s="78"/>
      <c r="HP29" s="78"/>
      <c r="HQ29" s="13"/>
      <c r="HR29" s="13"/>
      <c r="HS29" s="13"/>
      <c r="HT29" s="13"/>
      <c r="HU29" s="13"/>
      <c r="HV29" s="13"/>
      <c r="HW29" s="13"/>
      <c r="HX29" s="13"/>
      <c r="HY29" s="13"/>
      <c r="HZ29" s="13"/>
      <c r="IA29" s="13"/>
    </row>
    <row r="30" spans="1:235" ht="3.75" customHeight="1">
      <c r="A30" s="1"/>
      <c r="B30" s="3"/>
      <c r="C30" s="3"/>
      <c r="D30" s="12"/>
      <c r="E30" s="12"/>
      <c r="F30" s="10"/>
      <c r="G30" s="10"/>
      <c r="H30" s="10"/>
      <c r="I30" s="10"/>
      <c r="J30" s="10"/>
      <c r="K30" s="147"/>
      <c r="L30" s="147"/>
      <c r="M30" s="147"/>
      <c r="N30" s="147"/>
      <c r="O30" s="173"/>
      <c r="P30" s="173"/>
      <c r="Q30" s="197"/>
      <c r="R30" s="197"/>
      <c r="S30" s="215"/>
      <c r="T30" s="215"/>
      <c r="U30" s="215"/>
      <c r="V30" s="126"/>
      <c r="W30" s="126"/>
      <c r="X30" s="126"/>
      <c r="Y30" s="126"/>
      <c r="Z30" s="126"/>
      <c r="AA30" s="126"/>
      <c r="AB30" s="126"/>
      <c r="AC30" s="126"/>
      <c r="AD30" s="197"/>
      <c r="AE30" s="147"/>
      <c r="AF30" s="147" t="str">
        <f ca="1">IF(FP1=1,"`","")</f>
        <v/>
      </c>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c r="BJ30" s="147"/>
      <c r="BK30" s="147"/>
      <c r="BL30" s="147"/>
      <c r="BM30" s="147"/>
      <c r="BN30" s="215"/>
      <c r="BO30" s="215"/>
      <c r="BP30" s="215"/>
      <c r="BQ30" s="215"/>
      <c r="BR30" s="212"/>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43"/>
      <c r="CV30" s="43"/>
      <c r="CW30" s="43"/>
      <c r="CX30" s="43"/>
      <c r="CY30" s="43"/>
      <c r="CZ30" s="43"/>
      <c r="DA30" s="43"/>
      <c r="DB30" s="43"/>
      <c r="DC30" s="43"/>
      <c r="DD30" s="43"/>
      <c r="DE30" s="43"/>
      <c r="DF30" s="43"/>
      <c r="DG30" s="43"/>
      <c r="DH30" s="43"/>
      <c r="DI30" s="43"/>
      <c r="DJ30" s="43"/>
      <c r="DK30" s="43"/>
      <c r="DL30" s="43"/>
      <c r="DM30" s="686"/>
      <c r="DN30" s="686"/>
      <c r="DO30" s="686"/>
      <c r="DP30" s="686"/>
      <c r="DQ30" s="686"/>
      <c r="DR30" s="686"/>
      <c r="DS30" s="686"/>
      <c r="DT30" s="686"/>
      <c r="DU30" s="686"/>
      <c r="DV30" s="686"/>
      <c r="DW30" s="686"/>
      <c r="DX30" s="686"/>
      <c r="DY30" s="686"/>
      <c r="DZ30" s="686"/>
      <c r="EA30" s="686"/>
      <c r="EB30" s="686"/>
      <c r="EC30" s="686"/>
      <c r="ED30" s="686"/>
      <c r="EE30" s="686"/>
      <c r="EF30" s="686"/>
      <c r="EG30" s="686"/>
      <c r="EH30" s="686"/>
      <c r="EI30" s="686"/>
      <c r="EJ30" s="686"/>
      <c r="EK30" s="686"/>
      <c r="EL30" s="686"/>
      <c r="EM30" s="686"/>
      <c r="EN30" s="686"/>
      <c r="EO30" s="686"/>
      <c r="EP30" s="686"/>
      <c r="EQ30" s="686"/>
      <c r="ER30" s="686"/>
      <c r="ES30" s="686"/>
      <c r="ET30" s="686"/>
      <c r="EU30" s="686"/>
      <c r="EV30" s="686"/>
      <c r="EW30" s="686"/>
      <c r="EX30" s="686"/>
      <c r="EY30" s="686"/>
      <c r="EZ30" s="686"/>
      <c r="FA30" s="686"/>
      <c r="FB30" s="686"/>
      <c r="FC30" s="686"/>
      <c r="FD30" s="686"/>
      <c r="FE30" s="686"/>
      <c r="FF30" s="686"/>
      <c r="FG30" s="686"/>
      <c r="FH30" s="686"/>
      <c r="FI30" s="686"/>
      <c r="FJ30" s="686"/>
      <c r="FK30" s="686"/>
      <c r="FL30" s="79"/>
      <c r="FM30" s="168"/>
      <c r="FN30" s="168"/>
      <c r="FO30" s="168"/>
      <c r="FP30" s="168"/>
      <c r="FQ30" s="168"/>
      <c r="FR30" s="49"/>
      <c r="FS30" s="49"/>
      <c r="FT30" s="49"/>
      <c r="FU30" s="49"/>
      <c r="FV30" s="49"/>
      <c r="FW30" s="49"/>
      <c r="FX30" s="49"/>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78"/>
      <c r="HO30" s="78"/>
      <c r="HP30" s="78"/>
      <c r="HQ30" s="13"/>
      <c r="HR30" s="13"/>
      <c r="HS30" s="13"/>
      <c r="HT30" s="13"/>
      <c r="HU30" s="13"/>
      <c r="HV30" s="13"/>
      <c r="HW30" s="13"/>
      <c r="HX30" s="13"/>
      <c r="HY30" s="13"/>
      <c r="HZ30" s="13"/>
      <c r="IA30" s="13"/>
    </row>
    <row r="31" spans="1:235" ht="3.75" customHeight="1">
      <c r="A31" s="1"/>
      <c r="B31" s="3"/>
      <c r="C31" s="3"/>
      <c r="D31" s="12"/>
      <c r="E31" s="12"/>
      <c r="F31" s="10"/>
      <c r="G31" s="10"/>
      <c r="H31" s="10"/>
      <c r="I31" s="10"/>
      <c r="J31" s="10"/>
      <c r="K31" s="147"/>
      <c r="L31" s="147"/>
      <c r="M31" s="147"/>
      <c r="N31" s="147"/>
      <c r="O31" s="173"/>
      <c r="P31" s="173"/>
      <c r="Q31" s="197"/>
      <c r="R31" s="197"/>
      <c r="S31" s="215"/>
      <c r="T31" s="215"/>
      <c r="U31" s="215"/>
      <c r="V31" s="126"/>
      <c r="W31" s="126"/>
      <c r="X31" s="710" t="str">
        <f ca="1">IF(FP1=1,"euro","")</f>
        <v/>
      </c>
      <c r="Y31" s="545"/>
      <c r="Z31" s="545"/>
      <c r="AA31" s="545"/>
      <c r="AB31" s="545"/>
      <c r="AC31" s="545"/>
      <c r="AD31" s="545"/>
      <c r="AE31" s="147"/>
      <c r="AF31" s="147" t="str">
        <f ca="1">IF(FP1=1,"`","")</f>
        <v/>
      </c>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215"/>
      <c r="BO31" s="215"/>
      <c r="BP31" s="215"/>
      <c r="BQ31" s="215"/>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43"/>
      <c r="CV31" s="43"/>
      <c r="CW31" s="43"/>
      <c r="CX31" s="43"/>
      <c r="CY31" s="43"/>
      <c r="CZ31" s="43"/>
      <c r="DA31" s="43"/>
      <c r="DB31" s="43"/>
      <c r="DC31" s="43"/>
      <c r="DD31" s="43"/>
      <c r="DE31" s="43"/>
      <c r="DF31" s="43"/>
      <c r="DG31" s="43"/>
      <c r="DH31" s="43"/>
      <c r="DI31" s="43"/>
      <c r="DJ31" s="43"/>
      <c r="DK31" s="43"/>
      <c r="DL31" s="43"/>
      <c r="DM31" s="686"/>
      <c r="DN31" s="686"/>
      <c r="DO31" s="686"/>
      <c r="DP31" s="686"/>
      <c r="DQ31" s="686"/>
      <c r="DR31" s="686"/>
      <c r="DS31" s="686"/>
      <c r="DT31" s="686"/>
      <c r="DU31" s="686"/>
      <c r="DV31" s="686"/>
      <c r="DW31" s="686"/>
      <c r="DX31" s="686"/>
      <c r="DY31" s="686"/>
      <c r="DZ31" s="686"/>
      <c r="EA31" s="686"/>
      <c r="EB31" s="686"/>
      <c r="EC31" s="686"/>
      <c r="ED31" s="686"/>
      <c r="EE31" s="686"/>
      <c r="EF31" s="686"/>
      <c r="EG31" s="686"/>
      <c r="EH31" s="686"/>
      <c r="EI31" s="686"/>
      <c r="EJ31" s="686"/>
      <c r="EK31" s="686"/>
      <c r="EL31" s="686"/>
      <c r="EM31" s="686"/>
      <c r="EN31" s="686"/>
      <c r="EO31" s="686"/>
      <c r="EP31" s="686"/>
      <c r="EQ31" s="686"/>
      <c r="ER31" s="686"/>
      <c r="ES31" s="686"/>
      <c r="ET31" s="686"/>
      <c r="EU31" s="686"/>
      <c r="EV31" s="686"/>
      <c r="EW31" s="686"/>
      <c r="EX31" s="686"/>
      <c r="EY31" s="686"/>
      <c r="EZ31" s="686"/>
      <c r="FA31" s="686"/>
      <c r="FB31" s="686"/>
      <c r="FC31" s="686"/>
      <c r="FD31" s="686"/>
      <c r="FE31" s="686"/>
      <c r="FF31" s="686"/>
      <c r="FG31" s="686"/>
      <c r="FH31" s="686"/>
      <c r="FI31" s="686"/>
      <c r="FJ31" s="686"/>
      <c r="FK31" s="686"/>
      <c r="FL31" s="79"/>
      <c r="FM31" s="168"/>
      <c r="FN31" s="168"/>
      <c r="FO31" s="168"/>
      <c r="FP31" s="168"/>
      <c r="FQ31" s="168"/>
      <c r="FR31" s="49"/>
      <c r="FS31" s="49"/>
      <c r="FT31" s="49"/>
      <c r="FU31" s="49"/>
      <c r="FV31" s="49"/>
      <c r="FW31" s="49"/>
      <c r="FX31" s="49"/>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78"/>
      <c r="HO31" s="78"/>
      <c r="HP31" s="78"/>
      <c r="HQ31" s="13"/>
      <c r="HR31" s="13"/>
      <c r="HS31" s="13"/>
      <c r="HT31" s="13"/>
      <c r="HU31" s="13"/>
      <c r="HV31" s="13"/>
      <c r="HW31" s="13"/>
      <c r="HX31" s="13"/>
      <c r="HY31" s="13"/>
      <c r="HZ31" s="13"/>
      <c r="IA31" s="13"/>
    </row>
    <row r="32" spans="1:235" ht="3.75" customHeight="1">
      <c r="A32" s="1"/>
      <c r="B32" s="3"/>
      <c r="C32" s="3"/>
      <c r="D32" s="12"/>
      <c r="E32" s="12"/>
      <c r="F32" s="10"/>
      <c r="G32" s="10"/>
      <c r="H32" s="10"/>
      <c r="I32" s="10"/>
      <c r="J32" s="10"/>
      <c r="K32" s="147"/>
      <c r="L32" s="147"/>
      <c r="M32" s="147"/>
      <c r="N32" s="147"/>
      <c r="O32" s="173"/>
      <c r="P32" s="173"/>
      <c r="Q32" s="197"/>
      <c r="R32" s="197"/>
      <c r="S32" s="215"/>
      <c r="T32" s="215"/>
      <c r="U32" s="215"/>
      <c r="V32" s="126"/>
      <c r="W32" s="126"/>
      <c r="X32" s="545"/>
      <c r="Y32" s="545"/>
      <c r="Z32" s="545"/>
      <c r="AA32" s="545"/>
      <c r="AB32" s="545"/>
      <c r="AC32" s="545"/>
      <c r="AD32" s="545"/>
      <c r="AE32" s="147"/>
      <c r="AF32" s="147" t="str">
        <f ca="1">IF(FP1=1,"`","")</f>
        <v/>
      </c>
      <c r="AG32" s="147" t="str">
        <f ca="1">IF(FP1=1,":","")</f>
        <v/>
      </c>
      <c r="AH32" s="147" t="str">
        <f ca="1">IF(FP1=1,":","")</f>
        <v/>
      </c>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c r="BM32" s="147"/>
      <c r="BN32" s="215"/>
      <c r="BO32" s="215"/>
      <c r="BP32" s="215"/>
      <c r="BQ32" s="215"/>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43"/>
      <c r="CV32" s="43"/>
      <c r="CW32" s="43"/>
      <c r="CX32" s="43"/>
      <c r="CY32" s="43"/>
      <c r="CZ32" s="43"/>
      <c r="DA32" s="43"/>
      <c r="DB32" s="43"/>
      <c r="DC32" s="43"/>
      <c r="DD32" s="43"/>
      <c r="DE32" s="43"/>
      <c r="DF32" s="43"/>
      <c r="DG32" s="43"/>
      <c r="DH32" s="43"/>
      <c r="DI32" s="43"/>
      <c r="DJ32" s="43"/>
      <c r="DK32" s="43"/>
      <c r="DL32" s="43"/>
      <c r="DM32" s="686"/>
      <c r="DN32" s="686"/>
      <c r="DO32" s="686"/>
      <c r="DP32" s="686"/>
      <c r="DQ32" s="686"/>
      <c r="DR32" s="686"/>
      <c r="DS32" s="686"/>
      <c r="DT32" s="686"/>
      <c r="DU32" s="686"/>
      <c r="DV32" s="686"/>
      <c r="DW32" s="686"/>
      <c r="DX32" s="686"/>
      <c r="DY32" s="686"/>
      <c r="DZ32" s="686"/>
      <c r="EA32" s="686"/>
      <c r="EB32" s="686"/>
      <c r="EC32" s="686"/>
      <c r="ED32" s="686"/>
      <c r="EE32" s="686"/>
      <c r="EF32" s="686"/>
      <c r="EG32" s="686"/>
      <c r="EH32" s="686"/>
      <c r="EI32" s="686"/>
      <c r="EJ32" s="686"/>
      <c r="EK32" s="686"/>
      <c r="EL32" s="686"/>
      <c r="EM32" s="686"/>
      <c r="EN32" s="686"/>
      <c r="EO32" s="686"/>
      <c r="EP32" s="686"/>
      <c r="EQ32" s="686"/>
      <c r="ER32" s="686"/>
      <c r="ES32" s="686"/>
      <c r="ET32" s="686"/>
      <c r="EU32" s="686"/>
      <c r="EV32" s="686"/>
      <c r="EW32" s="686"/>
      <c r="EX32" s="686"/>
      <c r="EY32" s="686"/>
      <c r="EZ32" s="686"/>
      <c r="FA32" s="686"/>
      <c r="FB32" s="686"/>
      <c r="FC32" s="686"/>
      <c r="FD32" s="686"/>
      <c r="FE32" s="686"/>
      <c r="FF32" s="686"/>
      <c r="FG32" s="686"/>
      <c r="FH32" s="686"/>
      <c r="FI32" s="686"/>
      <c r="FJ32" s="686"/>
      <c r="FK32" s="686"/>
      <c r="FL32" s="79"/>
      <c r="FM32" s="168"/>
      <c r="FN32" s="168"/>
      <c r="FO32" s="168"/>
      <c r="FP32" s="168"/>
      <c r="FQ32" s="168"/>
      <c r="FR32" s="49"/>
      <c r="FS32" s="49"/>
      <c r="FT32" s="49"/>
      <c r="FU32" s="49"/>
      <c r="FV32" s="49"/>
      <c r="FW32" s="49"/>
      <c r="FX32" s="49"/>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78"/>
      <c r="HO32" s="78"/>
      <c r="HP32" s="78"/>
      <c r="HQ32" s="13"/>
      <c r="HR32" s="13"/>
      <c r="HS32" s="13"/>
      <c r="HT32" s="13"/>
      <c r="HU32" s="13"/>
      <c r="HV32" s="13"/>
      <c r="HW32" s="13"/>
      <c r="HX32" s="13"/>
      <c r="HY32" s="13"/>
      <c r="HZ32" s="13"/>
      <c r="IA32" s="13"/>
    </row>
    <row r="33" spans="1:235" ht="3.75" customHeight="1">
      <c r="A33" s="1"/>
      <c r="B33" s="3"/>
      <c r="C33" s="3"/>
      <c r="D33" s="12"/>
      <c r="E33" s="12"/>
      <c r="F33" s="10"/>
      <c r="G33" s="10"/>
      <c r="H33" s="10"/>
      <c r="I33" s="10"/>
      <c r="J33" s="10"/>
      <c r="K33" s="147"/>
      <c r="L33" s="147"/>
      <c r="M33" s="147"/>
      <c r="N33" s="147"/>
      <c r="O33" s="173"/>
      <c r="P33" s="173"/>
      <c r="Q33" s="197"/>
      <c r="R33" s="197"/>
      <c r="S33" s="215"/>
      <c r="T33" s="215"/>
      <c r="U33" s="215"/>
      <c r="V33" s="126"/>
      <c r="W33" s="126"/>
      <c r="X33" s="545"/>
      <c r="Y33" s="545"/>
      <c r="Z33" s="545"/>
      <c r="AA33" s="545"/>
      <c r="AB33" s="545"/>
      <c r="AC33" s="545"/>
      <c r="AD33" s="545"/>
      <c r="AE33" s="147"/>
      <c r="AF33" s="147" t="str">
        <f ca="1">IF(FP1=1,"`","")</f>
        <v/>
      </c>
      <c r="AG33" s="147" t="str">
        <f t="shared" ref="AG33:AG47" ca="1" si="0">IF($FN$28&gt;=4,"^",IF($FN$28=1,"^",""))</f>
        <v/>
      </c>
      <c r="AH33" s="147" t="str">
        <f ca="1">IF($FN$28&gt;=2,"!",IF($FN$28=1,"^",""))</f>
        <v/>
      </c>
      <c r="AI33" s="147" t="str">
        <f ca="1">IF(FP1=1,":","")</f>
        <v/>
      </c>
      <c r="AJ33" s="147" t="str">
        <f ca="1">IF(FP1=1,":","")</f>
        <v/>
      </c>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43"/>
      <c r="BN33" s="197"/>
      <c r="BO33" s="197"/>
      <c r="BP33" s="197"/>
      <c r="BQ33" s="197"/>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43"/>
      <c r="CV33" s="43"/>
      <c r="CW33" s="43"/>
      <c r="CX33" s="43"/>
      <c r="CY33" s="43"/>
      <c r="CZ33" s="43"/>
      <c r="DA33" s="43"/>
      <c r="DB33" s="43"/>
      <c r="DC33" s="43"/>
      <c r="DD33" s="43"/>
      <c r="DE33" s="43"/>
      <c r="DF33" s="43"/>
      <c r="DG33" s="43"/>
      <c r="DH33" s="43"/>
      <c r="DI33" s="43"/>
      <c r="DJ33" s="43"/>
      <c r="DK33" s="43"/>
      <c r="DL33" s="43"/>
      <c r="DM33" s="686"/>
      <c r="DN33" s="686"/>
      <c r="DO33" s="686"/>
      <c r="DP33" s="686"/>
      <c r="DQ33" s="686"/>
      <c r="DR33" s="686"/>
      <c r="DS33" s="686"/>
      <c r="DT33" s="686"/>
      <c r="DU33" s="686"/>
      <c r="DV33" s="686"/>
      <c r="DW33" s="686"/>
      <c r="DX33" s="686"/>
      <c r="DY33" s="686"/>
      <c r="DZ33" s="686"/>
      <c r="EA33" s="686"/>
      <c r="EB33" s="686"/>
      <c r="EC33" s="686"/>
      <c r="ED33" s="686"/>
      <c r="EE33" s="686"/>
      <c r="EF33" s="686"/>
      <c r="EG33" s="686"/>
      <c r="EH33" s="686"/>
      <c r="EI33" s="686"/>
      <c r="EJ33" s="686"/>
      <c r="EK33" s="686"/>
      <c r="EL33" s="686"/>
      <c r="EM33" s="686"/>
      <c r="EN33" s="686"/>
      <c r="EO33" s="686"/>
      <c r="EP33" s="686"/>
      <c r="EQ33" s="686"/>
      <c r="ER33" s="686"/>
      <c r="ES33" s="686"/>
      <c r="ET33" s="686"/>
      <c r="EU33" s="686"/>
      <c r="EV33" s="686"/>
      <c r="EW33" s="686"/>
      <c r="EX33" s="686"/>
      <c r="EY33" s="686"/>
      <c r="EZ33" s="686"/>
      <c r="FA33" s="686"/>
      <c r="FB33" s="686"/>
      <c r="FC33" s="686"/>
      <c r="FD33" s="686"/>
      <c r="FE33" s="686"/>
      <c r="FF33" s="686"/>
      <c r="FG33" s="686"/>
      <c r="FH33" s="686"/>
      <c r="FI33" s="686"/>
      <c r="FJ33" s="686"/>
      <c r="FK33" s="686"/>
      <c r="FL33" s="79"/>
      <c r="FM33" s="168"/>
      <c r="FN33" s="168"/>
      <c r="FO33" s="168"/>
      <c r="FP33" s="168"/>
      <c r="FQ33" s="168"/>
      <c r="FR33" s="49"/>
      <c r="FS33" s="49"/>
      <c r="FT33" s="49"/>
      <c r="FU33" s="49"/>
      <c r="FV33" s="49"/>
      <c r="FW33" s="49"/>
      <c r="FX33" s="49"/>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78"/>
      <c r="HO33" s="78"/>
      <c r="HP33" s="78"/>
      <c r="HQ33" s="13"/>
      <c r="HR33" s="13"/>
      <c r="HS33" s="13"/>
      <c r="HT33" s="13"/>
      <c r="HU33" s="13"/>
      <c r="HV33" s="13"/>
      <c r="HW33" s="13"/>
      <c r="HX33" s="13"/>
      <c r="HY33" s="13"/>
      <c r="HZ33" s="13"/>
      <c r="IA33" s="13"/>
    </row>
    <row r="34" spans="1:235" ht="3.75" customHeight="1">
      <c r="A34" s="1"/>
      <c r="B34" s="3"/>
      <c r="C34" s="3"/>
      <c r="D34" s="12"/>
      <c r="E34" s="12"/>
      <c r="F34" s="10"/>
      <c r="G34" s="10"/>
      <c r="H34" s="10"/>
      <c r="I34" s="10"/>
      <c r="J34" s="10"/>
      <c r="K34" s="147"/>
      <c r="L34" s="147"/>
      <c r="M34" s="147"/>
      <c r="N34" s="147"/>
      <c r="O34" s="174"/>
      <c r="P34" s="174"/>
      <c r="Q34" s="197"/>
      <c r="R34" s="197"/>
      <c r="S34" s="215"/>
      <c r="T34" s="215"/>
      <c r="U34" s="215"/>
      <c r="V34" s="126"/>
      <c r="W34" s="126"/>
      <c r="X34" s="545"/>
      <c r="Y34" s="545"/>
      <c r="Z34" s="545"/>
      <c r="AA34" s="545"/>
      <c r="AB34" s="545"/>
      <c r="AC34" s="545"/>
      <c r="AD34" s="545"/>
      <c r="AE34" s="147"/>
      <c r="AF34" s="147" t="str">
        <f ca="1">IF(FP1=1,"`","")</f>
        <v/>
      </c>
      <c r="AG34" s="147" t="str">
        <f t="shared" ca="1" si="0"/>
        <v/>
      </c>
      <c r="AH34" s="147" t="str">
        <f t="shared" ref="AH34:AH47" ca="1" si="1">IF($FN$28&gt;=4,"^",IF($FN$28=1,"^",""))</f>
        <v/>
      </c>
      <c r="AI34" s="147" t="str">
        <f ca="1">IF($FN$28&gt;=2,"!",IF($FN$28=1,"^",""))</f>
        <v/>
      </c>
      <c r="AJ34" s="147" t="str">
        <f ca="1">IF($FN$28&gt;=4,"^",IF($FN$28=1,"^",""))</f>
        <v/>
      </c>
      <c r="AK34" s="147" t="str">
        <f ca="1">IF(FP1=1,":","")</f>
        <v/>
      </c>
      <c r="AL34" s="147" t="str">
        <f ca="1">IF(FP1=1,":","")</f>
        <v/>
      </c>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43"/>
      <c r="BN34" s="212"/>
      <c r="BO34" s="148"/>
      <c r="BP34" s="148"/>
      <c r="BQ34" s="148"/>
      <c r="BR34" s="148"/>
      <c r="BS34" s="148"/>
      <c r="BT34" s="148"/>
      <c r="BU34" s="148"/>
      <c r="BV34" s="148"/>
      <c r="BW34" s="148"/>
      <c r="BX34" s="148"/>
      <c r="BY34" s="148"/>
      <c r="BZ34" s="148"/>
      <c r="CA34" s="148"/>
      <c r="CB34" s="148"/>
      <c r="CC34" s="148"/>
      <c r="CD34" s="148"/>
      <c r="CE34" s="148"/>
      <c r="CF34" s="148"/>
      <c r="CG34" s="148"/>
      <c r="CH34" s="148"/>
      <c r="CI34" s="148"/>
      <c r="CJ34" s="148"/>
      <c r="CK34" s="148"/>
      <c r="CL34" s="148"/>
      <c r="CM34" s="148"/>
      <c r="CN34" s="148"/>
      <c r="CO34" s="148"/>
      <c r="CP34" s="148"/>
      <c r="CQ34" s="148"/>
      <c r="CR34" s="148"/>
      <c r="CS34" s="148"/>
      <c r="CT34" s="148"/>
      <c r="CU34" s="43"/>
      <c r="CV34" s="43"/>
      <c r="CW34" s="43"/>
      <c r="CX34" s="43"/>
      <c r="CY34" s="43"/>
      <c r="CZ34" s="43"/>
      <c r="DA34" s="43"/>
      <c r="DB34" s="43"/>
      <c r="DC34" s="43"/>
      <c r="DD34" s="43"/>
      <c r="DE34" s="43"/>
      <c r="DF34" s="43"/>
      <c r="DG34" s="43"/>
      <c r="DH34" s="43"/>
      <c r="DI34" s="43"/>
      <c r="DJ34" s="43"/>
      <c r="DK34" s="43"/>
      <c r="DL34" s="43"/>
      <c r="DM34" s="686"/>
      <c r="DN34" s="686"/>
      <c r="DO34" s="686"/>
      <c r="DP34" s="686"/>
      <c r="DQ34" s="686"/>
      <c r="DR34" s="686"/>
      <c r="DS34" s="686"/>
      <c r="DT34" s="686"/>
      <c r="DU34" s="686"/>
      <c r="DV34" s="686"/>
      <c r="DW34" s="686"/>
      <c r="DX34" s="686"/>
      <c r="DY34" s="686"/>
      <c r="DZ34" s="686"/>
      <c r="EA34" s="686"/>
      <c r="EB34" s="686"/>
      <c r="EC34" s="686"/>
      <c r="ED34" s="686"/>
      <c r="EE34" s="686"/>
      <c r="EF34" s="686"/>
      <c r="EG34" s="686"/>
      <c r="EH34" s="686"/>
      <c r="EI34" s="686"/>
      <c r="EJ34" s="686"/>
      <c r="EK34" s="686"/>
      <c r="EL34" s="686"/>
      <c r="EM34" s="686"/>
      <c r="EN34" s="686"/>
      <c r="EO34" s="686"/>
      <c r="EP34" s="686"/>
      <c r="EQ34" s="686"/>
      <c r="ER34" s="686"/>
      <c r="ES34" s="686"/>
      <c r="ET34" s="686"/>
      <c r="EU34" s="686"/>
      <c r="EV34" s="686"/>
      <c r="EW34" s="686"/>
      <c r="EX34" s="686"/>
      <c r="EY34" s="686"/>
      <c r="EZ34" s="686"/>
      <c r="FA34" s="686"/>
      <c r="FB34" s="686"/>
      <c r="FC34" s="686"/>
      <c r="FD34" s="686"/>
      <c r="FE34" s="686"/>
      <c r="FF34" s="686"/>
      <c r="FG34" s="686"/>
      <c r="FH34" s="686"/>
      <c r="FI34" s="686"/>
      <c r="FJ34" s="686"/>
      <c r="FK34" s="686"/>
      <c r="FL34" s="79"/>
      <c r="FM34" s="168"/>
      <c r="FN34" s="168"/>
      <c r="FO34" s="168"/>
      <c r="FP34" s="168"/>
      <c r="FQ34" s="168"/>
      <c r="FR34" s="49"/>
      <c r="FS34" s="49"/>
      <c r="FT34" s="49"/>
      <c r="FU34" s="49"/>
      <c r="FV34" s="49"/>
      <c r="FW34" s="49"/>
      <c r="FX34" s="49"/>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78"/>
      <c r="HO34" s="78"/>
      <c r="HP34" s="78"/>
      <c r="HQ34" s="13"/>
      <c r="HR34" s="13"/>
      <c r="HS34" s="13"/>
      <c r="HT34" s="13"/>
      <c r="HU34" s="13"/>
      <c r="HV34" s="13"/>
      <c r="HW34" s="13"/>
      <c r="HX34" s="13"/>
      <c r="HY34" s="13"/>
      <c r="HZ34" s="13"/>
      <c r="IA34" s="13"/>
    </row>
    <row r="35" spans="1:235" ht="3.75" customHeight="1">
      <c r="A35" s="1"/>
      <c r="B35" s="3"/>
      <c r="C35" s="3"/>
      <c r="D35" s="12"/>
      <c r="E35" s="12"/>
      <c r="F35" s="10"/>
      <c r="G35" s="10"/>
      <c r="H35" s="10"/>
      <c r="I35" s="10"/>
      <c r="J35" s="10"/>
      <c r="K35" s="147"/>
      <c r="L35" s="147"/>
      <c r="M35" s="147"/>
      <c r="N35" s="147"/>
      <c r="O35" s="126"/>
      <c r="P35" s="126"/>
      <c r="Q35" s="197"/>
      <c r="R35" s="197"/>
      <c r="S35" s="215"/>
      <c r="T35" s="215"/>
      <c r="U35" s="215"/>
      <c r="V35" s="126"/>
      <c r="W35" s="126"/>
      <c r="X35" s="174"/>
      <c r="Y35" s="174"/>
      <c r="Z35" s="174"/>
      <c r="AA35" s="174"/>
      <c r="AB35" s="174"/>
      <c r="AC35" s="174"/>
      <c r="AD35" s="197"/>
      <c r="AE35" s="147"/>
      <c r="AF35" s="147" t="str">
        <f ca="1">IF(FP1=1,"`","")</f>
        <v/>
      </c>
      <c r="AG35" s="147" t="str">
        <f t="shared" ca="1" si="0"/>
        <v/>
      </c>
      <c r="AH35" s="147" t="str">
        <f t="shared" ca="1" si="1"/>
        <v/>
      </c>
      <c r="AI35" s="147" t="str">
        <f t="shared" ref="AI35:AI47" ca="1" si="2">IF($FN$28&gt;=4,"^",IF($FN$28=1,"^",""))</f>
        <v/>
      </c>
      <c r="AJ35" s="147" t="str">
        <f ca="1">IF($FN$28&gt;=2,"!",IF($FN$28=1,"^",""))</f>
        <v/>
      </c>
      <c r="AK35" s="147" t="str">
        <f ca="1">IF($FN$28&gt;=4,"^",IF($FN$28=1,"^",""))</f>
        <v/>
      </c>
      <c r="AL35" s="147" t="str">
        <f ca="1">IF($FN$28&gt;=4,"^",IF($FN$28=1,"^",""))</f>
        <v/>
      </c>
      <c r="AM35" s="147" t="str">
        <f ca="1">IF(FP1=1,":","")</f>
        <v/>
      </c>
      <c r="AN35" s="147" t="str">
        <f ca="1">IF(FP1=1,":","")</f>
        <v/>
      </c>
      <c r="AO35" s="215"/>
      <c r="AP35" s="215"/>
      <c r="AQ35" s="215"/>
      <c r="AR35" s="215"/>
      <c r="AS35" s="215"/>
      <c r="AT35" s="215"/>
      <c r="AU35" s="215"/>
      <c r="AV35" s="215"/>
      <c r="AW35" s="215"/>
      <c r="AX35" s="215"/>
      <c r="AY35" s="215"/>
      <c r="AZ35" s="215"/>
      <c r="BA35" s="215"/>
      <c r="BB35" s="215"/>
      <c r="BC35" s="215"/>
      <c r="BD35" s="215"/>
      <c r="BE35" s="215"/>
      <c r="BF35" s="215"/>
      <c r="BG35" s="215"/>
      <c r="BH35" s="215"/>
      <c r="BI35" s="215"/>
      <c r="BJ35" s="215"/>
      <c r="BK35" s="215"/>
      <c r="BL35" s="215"/>
      <c r="BM35" s="215"/>
      <c r="BN35" s="148"/>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43"/>
      <c r="CV35" s="43"/>
      <c r="CW35" s="210"/>
      <c r="CX35" s="210"/>
      <c r="CY35" s="147"/>
      <c r="CZ35" s="147"/>
      <c r="DA35" s="43"/>
      <c r="DB35" s="43"/>
      <c r="DC35" s="43"/>
      <c r="DD35" s="43"/>
      <c r="DE35" s="43"/>
      <c r="DF35" s="43"/>
      <c r="DG35" s="43"/>
      <c r="DH35" s="43"/>
      <c r="DI35" s="43"/>
      <c r="DJ35" s="43"/>
      <c r="DK35" s="43"/>
      <c r="DL35" s="43"/>
      <c r="DM35" s="686"/>
      <c r="DN35" s="686"/>
      <c r="DO35" s="686"/>
      <c r="DP35" s="686"/>
      <c r="DQ35" s="686"/>
      <c r="DR35" s="686"/>
      <c r="DS35" s="686"/>
      <c r="DT35" s="686"/>
      <c r="DU35" s="686"/>
      <c r="DV35" s="686"/>
      <c r="DW35" s="686"/>
      <c r="DX35" s="686"/>
      <c r="DY35" s="686"/>
      <c r="DZ35" s="686"/>
      <c r="EA35" s="686"/>
      <c r="EB35" s="686"/>
      <c r="EC35" s="686"/>
      <c r="ED35" s="686"/>
      <c r="EE35" s="686"/>
      <c r="EF35" s="686"/>
      <c r="EG35" s="686"/>
      <c r="EH35" s="686"/>
      <c r="EI35" s="686"/>
      <c r="EJ35" s="686"/>
      <c r="EK35" s="686"/>
      <c r="EL35" s="686"/>
      <c r="EM35" s="686"/>
      <c r="EN35" s="686"/>
      <c r="EO35" s="686"/>
      <c r="EP35" s="686"/>
      <c r="EQ35" s="686"/>
      <c r="ER35" s="686"/>
      <c r="ES35" s="686"/>
      <c r="ET35" s="686"/>
      <c r="EU35" s="686"/>
      <c r="EV35" s="686"/>
      <c r="EW35" s="686"/>
      <c r="EX35" s="686"/>
      <c r="EY35" s="686"/>
      <c r="EZ35" s="686"/>
      <c r="FA35" s="686"/>
      <c r="FB35" s="686"/>
      <c r="FC35" s="686"/>
      <c r="FD35" s="686"/>
      <c r="FE35" s="686"/>
      <c r="FF35" s="686"/>
      <c r="FG35" s="686"/>
      <c r="FH35" s="686"/>
      <c r="FI35" s="686"/>
      <c r="FJ35" s="686"/>
      <c r="FK35" s="686"/>
      <c r="FL35" s="79"/>
      <c r="FM35" s="168"/>
      <c r="FN35" s="168"/>
      <c r="FO35" s="168"/>
      <c r="FP35" s="168"/>
      <c r="FQ35" s="168"/>
      <c r="FR35" s="49"/>
      <c r="FS35" s="49"/>
      <c r="FT35" s="49"/>
      <c r="FU35" s="49"/>
      <c r="FV35" s="49"/>
      <c r="FW35" s="49"/>
      <c r="FX35" s="49"/>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78"/>
      <c r="HO35" s="78"/>
      <c r="HP35" s="78"/>
      <c r="HQ35" s="13"/>
      <c r="HR35" s="13"/>
      <c r="HS35" s="13"/>
      <c r="HT35" s="13"/>
      <c r="HU35" s="13"/>
      <c r="HV35" s="13"/>
      <c r="HW35" s="13"/>
      <c r="HX35" s="13"/>
      <c r="HY35" s="13"/>
      <c r="HZ35" s="13"/>
      <c r="IA35" s="13"/>
    </row>
    <row r="36" spans="1:235" ht="3.75" customHeight="1">
      <c r="A36" s="1"/>
      <c r="B36" s="3"/>
      <c r="C36" s="3"/>
      <c r="D36" s="12"/>
      <c r="E36" s="12"/>
      <c r="F36" s="10"/>
      <c r="G36" s="10"/>
      <c r="H36" s="10"/>
      <c r="I36" s="10"/>
      <c r="J36" s="10"/>
      <c r="K36" s="10"/>
      <c r="L36" s="10"/>
      <c r="M36" s="10"/>
      <c r="N36" s="126"/>
      <c r="O36" s="126"/>
      <c r="P36" s="126"/>
      <c r="Q36" s="197"/>
      <c r="R36" s="197"/>
      <c r="S36" s="215"/>
      <c r="T36" s="215"/>
      <c r="U36" s="215"/>
      <c r="V36" s="126"/>
      <c r="W36" s="126"/>
      <c r="X36" s="126"/>
      <c r="Y36" s="126"/>
      <c r="Z36" s="126"/>
      <c r="AA36" s="126"/>
      <c r="AB36" s="126"/>
      <c r="AC36" s="126"/>
      <c r="AD36" s="197"/>
      <c r="AE36" s="147"/>
      <c r="AF36" s="147" t="str">
        <f ca="1">IF(FP1=1,"`","")</f>
        <v/>
      </c>
      <c r="AG36" s="147" t="str">
        <f t="shared" ca="1" si="0"/>
        <v/>
      </c>
      <c r="AH36" s="147" t="str">
        <f t="shared" ca="1" si="1"/>
        <v/>
      </c>
      <c r="AI36" s="147" t="str">
        <f t="shared" ca="1" si="2"/>
        <v/>
      </c>
      <c r="AJ36" s="147" t="str">
        <f t="shared" ref="AJ36:AJ47" ca="1" si="3">IF($FN$28&gt;=4,"^",IF($FN$28=1,"^",""))</f>
        <v/>
      </c>
      <c r="AK36" s="147" t="str">
        <f ca="1">IF($FN$28&gt;=2,"!",IF($FN$28=1,"^",""))</f>
        <v/>
      </c>
      <c r="AL36" s="147" t="str">
        <f ca="1">IF($FN$28&gt;=4,"^",IF($FN$28=1,"^",""))</f>
        <v/>
      </c>
      <c r="AM36" s="147" t="str">
        <f ca="1">IF($FN$28&gt;=4,"^",IF($FN$28=1,"^",""))</f>
        <v/>
      </c>
      <c r="AN36" s="147" t="str">
        <f ca="1">IF($FN$28&gt;=4,"^",IF($FN$28=1,"^",""))</f>
        <v/>
      </c>
      <c r="AO36" s="147" t="str">
        <f ca="1">IF(FP1=1,":","")</f>
        <v/>
      </c>
      <c r="AP36" s="147" t="str">
        <f ca="1">IF(FP1=1,":","")</f>
        <v/>
      </c>
      <c r="AQ36" s="215"/>
      <c r="AR36" s="215"/>
      <c r="AS36" s="215"/>
      <c r="AT36" s="197"/>
      <c r="AU36" s="197"/>
      <c r="AV36" s="197"/>
      <c r="AW36" s="197"/>
      <c r="AX36" s="197"/>
      <c r="AY36" s="197"/>
      <c r="AZ36" s="197"/>
      <c r="BA36" s="43"/>
      <c r="BB36" s="43"/>
      <c r="BC36" s="43"/>
      <c r="BD36" s="43"/>
      <c r="BE36" s="43"/>
      <c r="BF36" s="43"/>
      <c r="BG36" s="43"/>
      <c r="BH36" s="197"/>
      <c r="BI36" s="197"/>
      <c r="BJ36" s="197"/>
      <c r="BK36" s="197"/>
      <c r="BL36" s="215"/>
      <c r="BM36" s="215"/>
      <c r="BN36" s="148"/>
      <c r="BO36" s="148"/>
      <c r="BP36" s="148"/>
      <c r="BQ36" s="148"/>
      <c r="BR36" s="148"/>
      <c r="BS36" s="148"/>
      <c r="BT36" s="148"/>
      <c r="BU36" s="148"/>
      <c r="BV36" s="148"/>
      <c r="BW36" s="148"/>
      <c r="BX36" s="148"/>
      <c r="BY36" s="148"/>
      <c r="BZ36" s="148"/>
      <c r="CA36" s="148"/>
      <c r="CB36" s="148"/>
      <c r="CC36" s="148"/>
      <c r="CD36" s="148"/>
      <c r="CE36" s="148"/>
      <c r="CF36" s="148"/>
      <c r="CG36" s="148"/>
      <c r="CH36" s="148"/>
      <c r="CI36" s="148"/>
      <c r="CJ36" s="148"/>
      <c r="CK36" s="148"/>
      <c r="CL36" s="148"/>
      <c r="CM36" s="148"/>
      <c r="CN36" s="148"/>
      <c r="CO36" s="148"/>
      <c r="CP36" s="148"/>
      <c r="CQ36" s="148"/>
      <c r="CR36" s="148"/>
      <c r="CS36" s="148"/>
      <c r="CT36" s="148"/>
      <c r="CU36" s="43"/>
      <c r="CV36" s="43"/>
      <c r="CW36" s="147"/>
      <c r="CX36" s="147"/>
      <c r="CY36" s="210"/>
      <c r="CZ36" s="210"/>
      <c r="DA36" s="43"/>
      <c r="DB36" s="43"/>
      <c r="DC36" s="43"/>
      <c r="DD36" s="43"/>
      <c r="DE36" s="43"/>
      <c r="DF36" s="43"/>
      <c r="DG36" s="43"/>
      <c r="DH36" s="43"/>
      <c r="DI36" s="43"/>
      <c r="DJ36" s="43"/>
      <c r="DK36" s="43"/>
      <c r="DL36" s="43"/>
      <c r="DM36" s="686"/>
      <c r="DN36" s="686"/>
      <c r="DO36" s="686"/>
      <c r="DP36" s="686"/>
      <c r="DQ36" s="686"/>
      <c r="DR36" s="686"/>
      <c r="DS36" s="686"/>
      <c r="DT36" s="686"/>
      <c r="DU36" s="686"/>
      <c r="DV36" s="686"/>
      <c r="DW36" s="686"/>
      <c r="DX36" s="686"/>
      <c r="DY36" s="686"/>
      <c r="DZ36" s="686"/>
      <c r="EA36" s="686"/>
      <c r="EB36" s="686"/>
      <c r="EC36" s="686"/>
      <c r="ED36" s="686"/>
      <c r="EE36" s="686"/>
      <c r="EF36" s="686"/>
      <c r="EG36" s="686"/>
      <c r="EH36" s="686"/>
      <c r="EI36" s="686"/>
      <c r="EJ36" s="686"/>
      <c r="EK36" s="686"/>
      <c r="EL36" s="686"/>
      <c r="EM36" s="686"/>
      <c r="EN36" s="686"/>
      <c r="EO36" s="686"/>
      <c r="EP36" s="686"/>
      <c r="EQ36" s="686"/>
      <c r="ER36" s="686"/>
      <c r="ES36" s="686"/>
      <c r="ET36" s="686"/>
      <c r="EU36" s="686"/>
      <c r="EV36" s="686"/>
      <c r="EW36" s="686"/>
      <c r="EX36" s="686"/>
      <c r="EY36" s="686"/>
      <c r="EZ36" s="686"/>
      <c r="FA36" s="686"/>
      <c r="FB36" s="686"/>
      <c r="FC36" s="686"/>
      <c r="FD36" s="686"/>
      <c r="FE36" s="686"/>
      <c r="FF36" s="686"/>
      <c r="FG36" s="686"/>
      <c r="FH36" s="686"/>
      <c r="FI36" s="686"/>
      <c r="FJ36" s="686"/>
      <c r="FK36" s="686"/>
      <c r="FL36" s="79"/>
      <c r="FM36" s="168"/>
      <c r="FN36" s="168"/>
      <c r="FO36" s="168"/>
      <c r="FP36" s="168"/>
      <c r="FQ36" s="168"/>
      <c r="FR36" s="49"/>
      <c r="FS36" s="49"/>
      <c r="FT36" s="49"/>
      <c r="FU36" s="49"/>
      <c r="FV36" s="49"/>
      <c r="FW36" s="49"/>
      <c r="FX36" s="49"/>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78"/>
      <c r="HO36" s="78"/>
      <c r="HP36" s="78"/>
      <c r="HQ36" s="13"/>
      <c r="HR36" s="13"/>
      <c r="HS36" s="13"/>
      <c r="HT36" s="13"/>
      <c r="HU36" s="13"/>
      <c r="HV36" s="13"/>
      <c r="HW36" s="13"/>
      <c r="HX36" s="13"/>
      <c r="HY36" s="13"/>
      <c r="HZ36" s="13"/>
      <c r="IA36" s="13"/>
    </row>
    <row r="37" spans="1:235" ht="3.75" customHeight="1">
      <c r="A37" s="1"/>
      <c r="B37" s="3"/>
      <c r="C37" s="3"/>
      <c r="D37" s="12"/>
      <c r="E37" s="12"/>
      <c r="F37" s="10"/>
      <c r="G37" s="10"/>
      <c r="H37" s="10"/>
      <c r="I37" s="10"/>
      <c r="J37" s="10"/>
      <c r="K37" s="10"/>
      <c r="L37" s="10"/>
      <c r="M37" s="10"/>
      <c r="N37" s="126"/>
      <c r="O37" s="126"/>
      <c r="P37" s="126"/>
      <c r="Q37" s="197"/>
      <c r="R37" s="197"/>
      <c r="S37" s="215"/>
      <c r="T37" s="215"/>
      <c r="U37" s="215"/>
      <c r="V37" s="126"/>
      <c r="W37" s="126"/>
      <c r="X37" s="126"/>
      <c r="Y37" s="126"/>
      <c r="Z37" s="126"/>
      <c r="AA37" s="126"/>
      <c r="AB37" s="126"/>
      <c r="AC37" s="126"/>
      <c r="AD37" s="197"/>
      <c r="AE37" s="147"/>
      <c r="AF37" s="147" t="str">
        <f ca="1">IF(FP1=1,"`","")</f>
        <v/>
      </c>
      <c r="AG37" s="147" t="str">
        <f t="shared" ca="1" si="0"/>
        <v/>
      </c>
      <c r="AH37" s="147" t="str">
        <f t="shared" ca="1" si="1"/>
        <v/>
      </c>
      <c r="AI37" s="147" t="str">
        <f t="shared" ca="1" si="2"/>
        <v/>
      </c>
      <c r="AJ37" s="147" t="str">
        <f t="shared" ca="1" si="3"/>
        <v/>
      </c>
      <c r="AK37" s="147" t="str">
        <f t="shared" ref="AK37:AK47" ca="1" si="4">IF($FN$28&gt;=4,"^",IF($FN$28=1,"^",""))</f>
        <v/>
      </c>
      <c r="AL37" s="147" t="str">
        <f ca="1">IF($FN$28&gt;=2,"!",IF($FN$28=1,"^",""))</f>
        <v/>
      </c>
      <c r="AM37" s="147" t="str">
        <f ca="1">IF($FN$28&gt;=4,"^",IF($FN$28=1,"^",""))</f>
        <v/>
      </c>
      <c r="AN37" s="147" t="str">
        <f ca="1">IF($FN$28&gt;=4,"^",IF($FN$28=1,"^",""))</f>
        <v/>
      </c>
      <c r="AO37" s="147" t="str">
        <f ca="1">IF($FN$28&gt;=4,"^",IF($FN$28=1,"^",""))</f>
        <v/>
      </c>
      <c r="AP37" s="147" t="str">
        <f ca="1">IF($FN$28&gt;=4,"^",IF($FN$28=1,"^",""))</f>
        <v/>
      </c>
      <c r="AQ37" s="147" t="str">
        <f ca="1">IF(FP1=1,":","")</f>
        <v/>
      </c>
      <c r="AR37" s="147" t="str">
        <f ca="1">IF(FP1=1,":","")</f>
        <v/>
      </c>
      <c r="AS37" s="215"/>
      <c r="AT37" s="197"/>
      <c r="AU37" s="197"/>
      <c r="AV37" s="197"/>
      <c r="AW37" s="197"/>
      <c r="AX37" s="197"/>
      <c r="AY37" s="197"/>
      <c r="AZ37" s="197"/>
      <c r="BA37" s="43"/>
      <c r="BB37" s="43"/>
      <c r="BC37" s="43"/>
      <c r="BD37" s="43"/>
      <c r="BE37" s="43"/>
      <c r="BF37" s="43"/>
      <c r="BG37" s="43"/>
      <c r="BH37" s="197"/>
      <c r="BI37" s="197"/>
      <c r="BJ37" s="197"/>
      <c r="BK37" s="197"/>
      <c r="BL37" s="215"/>
      <c r="BM37" s="215"/>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7"/>
      <c r="CV37" s="147"/>
      <c r="CW37" s="210"/>
      <c r="CX37" s="210"/>
      <c r="CY37" s="210"/>
      <c r="CZ37" s="210"/>
      <c r="DA37" s="43"/>
      <c r="DB37" s="43"/>
      <c r="DC37" s="43"/>
      <c r="DD37" s="43"/>
      <c r="DE37" s="43"/>
      <c r="DF37" s="43"/>
      <c r="DG37" s="43"/>
      <c r="DH37" s="43"/>
      <c r="DI37" s="43"/>
      <c r="DJ37" s="43"/>
      <c r="DK37" s="43"/>
      <c r="DL37" s="43"/>
      <c r="DM37" s="686"/>
      <c r="DN37" s="686"/>
      <c r="DO37" s="686"/>
      <c r="DP37" s="686"/>
      <c r="DQ37" s="686"/>
      <c r="DR37" s="686"/>
      <c r="DS37" s="686"/>
      <c r="DT37" s="686"/>
      <c r="DU37" s="686"/>
      <c r="DV37" s="686"/>
      <c r="DW37" s="686"/>
      <c r="DX37" s="686"/>
      <c r="DY37" s="686"/>
      <c r="DZ37" s="686"/>
      <c r="EA37" s="686"/>
      <c r="EB37" s="686"/>
      <c r="EC37" s="686"/>
      <c r="ED37" s="686"/>
      <c r="EE37" s="686"/>
      <c r="EF37" s="686"/>
      <c r="EG37" s="686"/>
      <c r="EH37" s="686"/>
      <c r="EI37" s="686"/>
      <c r="EJ37" s="686"/>
      <c r="EK37" s="686"/>
      <c r="EL37" s="686"/>
      <c r="EM37" s="686"/>
      <c r="EN37" s="686"/>
      <c r="EO37" s="686"/>
      <c r="EP37" s="686"/>
      <c r="EQ37" s="686"/>
      <c r="ER37" s="686"/>
      <c r="ES37" s="686"/>
      <c r="ET37" s="686"/>
      <c r="EU37" s="686"/>
      <c r="EV37" s="686"/>
      <c r="EW37" s="686"/>
      <c r="EX37" s="686"/>
      <c r="EY37" s="686"/>
      <c r="EZ37" s="686"/>
      <c r="FA37" s="686"/>
      <c r="FB37" s="686"/>
      <c r="FC37" s="686"/>
      <c r="FD37" s="686"/>
      <c r="FE37" s="686"/>
      <c r="FF37" s="686"/>
      <c r="FG37" s="686"/>
      <c r="FH37" s="686"/>
      <c r="FI37" s="686"/>
      <c r="FJ37" s="686"/>
      <c r="FK37" s="686"/>
      <c r="FL37" s="79"/>
      <c r="FM37" s="168"/>
      <c r="FN37" s="168"/>
      <c r="FO37" s="168"/>
      <c r="FP37" s="168"/>
      <c r="FQ37" s="168"/>
      <c r="FR37" s="49"/>
      <c r="FS37" s="49"/>
      <c r="FT37" s="49"/>
      <c r="FU37" s="49"/>
      <c r="FV37" s="49"/>
      <c r="FW37" s="49"/>
      <c r="FX37" s="49"/>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78"/>
      <c r="HO37" s="78"/>
      <c r="HP37" s="78"/>
      <c r="HQ37" s="13"/>
      <c r="HR37" s="13"/>
      <c r="HS37" s="13"/>
      <c r="HT37" s="13"/>
      <c r="HU37" s="13"/>
      <c r="HV37" s="13"/>
      <c r="HW37" s="13"/>
      <c r="HX37" s="13"/>
      <c r="HY37" s="13"/>
      <c r="HZ37" s="13"/>
      <c r="IA37" s="13"/>
    </row>
    <row r="38" spans="1:235" ht="3.75" customHeight="1">
      <c r="A38" s="1"/>
      <c r="B38" s="3"/>
      <c r="C38" s="3"/>
      <c r="D38" s="12"/>
      <c r="E38" s="12"/>
      <c r="F38" s="10"/>
      <c r="G38" s="10"/>
      <c r="H38" s="10"/>
      <c r="I38" s="10"/>
      <c r="J38" s="10"/>
      <c r="K38" s="10"/>
      <c r="L38" s="10"/>
      <c r="M38" s="10"/>
      <c r="N38" s="126"/>
      <c r="O38" s="126"/>
      <c r="P38" s="126"/>
      <c r="Q38" s="197"/>
      <c r="R38" s="197"/>
      <c r="S38" s="215"/>
      <c r="T38" s="215"/>
      <c r="U38" s="215"/>
      <c r="V38" s="126"/>
      <c r="W38" s="126"/>
      <c r="X38" s="126"/>
      <c r="Y38" s="126"/>
      <c r="Z38" s="126"/>
      <c r="AA38" s="126"/>
      <c r="AB38" s="126"/>
      <c r="AC38" s="126"/>
      <c r="AD38" s="197"/>
      <c r="AE38" s="215"/>
      <c r="AF38" s="147" t="str">
        <f ca="1">IF(FP1=1,"`","")</f>
        <v/>
      </c>
      <c r="AG38" s="147" t="str">
        <f t="shared" ca="1" si="0"/>
        <v/>
      </c>
      <c r="AH38" s="147" t="str">
        <f t="shared" ca="1" si="1"/>
        <v/>
      </c>
      <c r="AI38" s="147" t="str">
        <f t="shared" ca="1" si="2"/>
        <v/>
      </c>
      <c r="AJ38" s="147" t="str">
        <f t="shared" ca="1" si="3"/>
        <v/>
      </c>
      <c r="AK38" s="147" t="str">
        <f t="shared" ca="1" si="4"/>
        <v/>
      </c>
      <c r="AL38" s="147" t="str">
        <f t="shared" ref="AL38:AL47" ca="1" si="5">IF($FN$28&gt;=4,"^",IF($FN$28=1,"^",""))</f>
        <v/>
      </c>
      <c r="AM38" s="147" t="str">
        <f ca="1">IF($FN$28&gt;=2,"!",IF($FN$28=1,"^",""))</f>
        <v/>
      </c>
      <c r="AN38" s="147" t="str">
        <f ca="1">IF($FN$28&gt;=4,"^",IF($FN$28=1,"^",""))</f>
        <v/>
      </c>
      <c r="AO38" s="147" t="str">
        <f ca="1">IF($FN$28&gt;=4,"^",IF($FN$28=1,"^",""))</f>
        <v/>
      </c>
      <c r="AP38" s="147" t="str">
        <f ca="1">IF($FN$28&gt;=4,"^",IF($FN$28=1,"^",""))</f>
        <v/>
      </c>
      <c r="AQ38" s="147" t="str">
        <f ca="1">IF($FN$28&gt;=4,"^",IF($FN$28=1,"^",""))</f>
        <v/>
      </c>
      <c r="AR38" s="147" t="str">
        <f ca="1">IF($FN$28&gt;=4,"^",IF($FN$28=1,"^",""))</f>
        <v/>
      </c>
      <c r="AS38" s="147" t="str">
        <f ca="1">IF(FP1=1,":","")</f>
        <v/>
      </c>
      <c r="AT38" s="147" t="str">
        <f ca="1">IF(FP1=1,":","")</f>
        <v/>
      </c>
      <c r="AU38" s="197"/>
      <c r="AV38" s="197"/>
      <c r="AW38" s="197"/>
      <c r="AX38" s="197"/>
      <c r="AY38" s="197"/>
      <c r="AZ38" s="197"/>
      <c r="BA38" s="43"/>
      <c r="BB38" s="43"/>
      <c r="BC38" s="43"/>
      <c r="BD38" s="43"/>
      <c r="BE38" s="43"/>
      <c r="BF38" s="43"/>
      <c r="BG38" s="43"/>
      <c r="BH38" s="197"/>
      <c r="BI38" s="197"/>
      <c r="BJ38" s="197"/>
      <c r="BK38" s="197"/>
      <c r="BL38" s="215"/>
      <c r="BM38" s="215"/>
      <c r="BN38" s="215"/>
      <c r="BO38" s="215"/>
      <c r="BP38" s="215"/>
      <c r="BQ38" s="215"/>
      <c r="BR38" s="215"/>
      <c r="BS38" s="215"/>
      <c r="BT38" s="215"/>
      <c r="BU38" s="147"/>
      <c r="BV38" s="147"/>
      <c r="BW38" s="147"/>
      <c r="BX38" s="147"/>
      <c r="BY38" s="147"/>
      <c r="BZ38" s="147"/>
      <c r="CA38" s="147"/>
      <c r="CB38" s="147"/>
      <c r="CC38" s="147"/>
      <c r="CD38" s="43"/>
      <c r="CE38" s="43"/>
      <c r="CF38" s="43"/>
      <c r="CG38" s="43"/>
      <c r="CH38" s="43"/>
      <c r="CI38" s="43"/>
      <c r="CJ38" s="43"/>
      <c r="CK38" s="43"/>
      <c r="CL38" s="43"/>
      <c r="CM38" s="43"/>
      <c r="CN38" s="210"/>
      <c r="CO38" s="210"/>
      <c r="CP38" s="210"/>
      <c r="CQ38" s="43"/>
      <c r="CR38" s="43"/>
      <c r="CS38" s="147"/>
      <c r="CT38" s="147"/>
      <c r="CU38" s="43"/>
      <c r="CV38" s="43"/>
      <c r="CW38" s="210"/>
      <c r="CX38" s="210"/>
      <c r="CY38" s="210"/>
      <c r="CZ38" s="210"/>
      <c r="DA38" s="210"/>
      <c r="DB38" s="210"/>
      <c r="DC38" s="210"/>
      <c r="DD38" s="210"/>
      <c r="DE38" s="210"/>
      <c r="DF38" s="210"/>
      <c r="DG38" s="210"/>
      <c r="DH38" s="210"/>
      <c r="DI38" s="210"/>
      <c r="DJ38" s="210"/>
      <c r="DK38" s="210"/>
      <c r="DL38" s="210"/>
      <c r="DM38" s="686"/>
      <c r="DN38" s="686"/>
      <c r="DO38" s="686"/>
      <c r="DP38" s="686"/>
      <c r="DQ38" s="686"/>
      <c r="DR38" s="686"/>
      <c r="DS38" s="686"/>
      <c r="DT38" s="686"/>
      <c r="DU38" s="686"/>
      <c r="DV38" s="686"/>
      <c r="DW38" s="686"/>
      <c r="DX38" s="686"/>
      <c r="DY38" s="686"/>
      <c r="DZ38" s="686"/>
      <c r="EA38" s="686"/>
      <c r="EB38" s="686"/>
      <c r="EC38" s="686"/>
      <c r="ED38" s="686"/>
      <c r="EE38" s="686"/>
      <c r="EF38" s="686"/>
      <c r="EG38" s="686"/>
      <c r="EH38" s="686"/>
      <c r="EI38" s="686"/>
      <c r="EJ38" s="686"/>
      <c r="EK38" s="686"/>
      <c r="EL38" s="686"/>
      <c r="EM38" s="686"/>
      <c r="EN38" s="686"/>
      <c r="EO38" s="686"/>
      <c r="EP38" s="686"/>
      <c r="EQ38" s="686"/>
      <c r="ER38" s="686"/>
      <c r="ES38" s="686"/>
      <c r="ET38" s="686"/>
      <c r="EU38" s="686"/>
      <c r="EV38" s="686"/>
      <c r="EW38" s="686"/>
      <c r="EX38" s="686"/>
      <c r="EY38" s="686"/>
      <c r="EZ38" s="686"/>
      <c r="FA38" s="686"/>
      <c r="FB38" s="686"/>
      <c r="FC38" s="686"/>
      <c r="FD38" s="686"/>
      <c r="FE38" s="686"/>
      <c r="FF38" s="686"/>
      <c r="FG38" s="686"/>
      <c r="FH38" s="686"/>
      <c r="FI38" s="686"/>
      <c r="FJ38" s="686"/>
      <c r="FK38" s="686"/>
      <c r="FL38" s="79"/>
      <c r="FM38" s="168"/>
      <c r="FN38" s="168"/>
      <c r="FO38" s="168"/>
      <c r="FP38" s="168"/>
      <c r="FQ38" s="168"/>
      <c r="FR38" s="49"/>
      <c r="FS38" s="49"/>
      <c r="FT38" s="49"/>
      <c r="FU38" s="49"/>
      <c r="FV38" s="49"/>
      <c r="FW38" s="49"/>
      <c r="FX38" s="49"/>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78"/>
      <c r="HO38" s="78"/>
      <c r="HP38" s="78"/>
      <c r="HQ38" s="13"/>
      <c r="HR38" s="13"/>
      <c r="HS38" s="13"/>
      <c r="HT38" s="13"/>
      <c r="HU38" s="13"/>
      <c r="HV38" s="13"/>
      <c r="HW38" s="13"/>
      <c r="HX38" s="13"/>
      <c r="HY38" s="13"/>
      <c r="HZ38" s="13"/>
      <c r="IA38" s="13"/>
    </row>
    <row r="39" spans="1:235" ht="3.75" customHeight="1">
      <c r="A39" s="1"/>
      <c r="B39" s="3"/>
      <c r="C39" s="3"/>
      <c r="D39" s="12"/>
      <c r="E39" s="12"/>
      <c r="F39" s="10"/>
      <c r="G39" s="10"/>
      <c r="H39" s="10"/>
      <c r="I39" s="10"/>
      <c r="J39" s="10"/>
      <c r="K39" s="10"/>
      <c r="L39" s="10"/>
      <c r="M39" s="10"/>
      <c r="N39" s="126"/>
      <c r="O39" s="126"/>
      <c r="P39" s="126"/>
      <c r="Q39" s="197"/>
      <c r="R39" s="197"/>
      <c r="S39" s="215"/>
      <c r="T39" s="215"/>
      <c r="U39" s="215"/>
      <c r="V39" s="126"/>
      <c r="W39" s="126"/>
      <c r="X39" s="126"/>
      <c r="Y39" s="126"/>
      <c r="Z39" s="126"/>
      <c r="AA39" s="126"/>
      <c r="AB39" s="126"/>
      <c r="AC39" s="126"/>
      <c r="AD39" s="197"/>
      <c r="AE39" s="215"/>
      <c r="AF39" s="147" t="str">
        <f ca="1">IF(FP1=1,"`","")</f>
        <v/>
      </c>
      <c r="AG39" s="147" t="str">
        <f t="shared" ca="1" si="0"/>
        <v/>
      </c>
      <c r="AH39" s="147" t="str">
        <f t="shared" ca="1" si="1"/>
        <v/>
      </c>
      <c r="AI39" s="147" t="str">
        <f t="shared" ca="1" si="2"/>
        <v/>
      </c>
      <c r="AJ39" s="147" t="str">
        <f t="shared" ca="1" si="3"/>
        <v/>
      </c>
      <c r="AK39" s="147" t="str">
        <f t="shared" ca="1" si="4"/>
        <v/>
      </c>
      <c r="AL39" s="147" t="str">
        <f t="shared" ca="1" si="5"/>
        <v/>
      </c>
      <c r="AM39" s="147" t="str">
        <f t="shared" ref="AM39:AM47" ca="1" si="6">IF($FN$28&gt;=4,"^",IF($FN$28=1,"^",""))</f>
        <v/>
      </c>
      <c r="AN39" s="147" t="str">
        <f ca="1">IF($FN$28&gt;=2,"!",IF($FN$28=1,"^",""))</f>
        <v/>
      </c>
      <c r="AO39" s="147" t="str">
        <f t="shared" ref="AO39:AT39" ca="1" si="7">IF($FN$28&gt;=4,"^",IF($FN$28=1,"^",""))</f>
        <v/>
      </c>
      <c r="AP39" s="147" t="str">
        <f t="shared" ca="1" si="7"/>
        <v/>
      </c>
      <c r="AQ39" s="147" t="str">
        <f t="shared" ca="1" si="7"/>
        <v/>
      </c>
      <c r="AR39" s="147" t="str">
        <f t="shared" ca="1" si="7"/>
        <v/>
      </c>
      <c r="AS39" s="147" t="str">
        <f t="shared" ca="1" si="7"/>
        <v/>
      </c>
      <c r="AT39" s="147" t="str">
        <f t="shared" ca="1" si="7"/>
        <v/>
      </c>
      <c r="AU39" s="147" t="str">
        <f ca="1">IF(FP1=1,":","")</f>
        <v/>
      </c>
      <c r="AV39" s="147" t="str">
        <f ca="1">IF(FP1=1,":","")</f>
        <v/>
      </c>
      <c r="AW39" s="197"/>
      <c r="AX39" s="197"/>
      <c r="AY39" s="197"/>
      <c r="AZ39" s="197"/>
      <c r="BA39" s="43"/>
      <c r="BB39" s="43"/>
      <c r="BC39" s="43"/>
      <c r="BD39" s="711" t="str">
        <f ca="1">IF(FP1=1,"GO = collectieve vraaglijn","")</f>
        <v/>
      </c>
      <c r="BE39" s="712"/>
      <c r="BF39" s="712"/>
      <c r="BG39" s="712"/>
      <c r="BH39" s="712"/>
      <c r="BI39" s="712"/>
      <c r="BJ39" s="712"/>
      <c r="BK39" s="686"/>
      <c r="BL39" s="686"/>
      <c r="BM39" s="686"/>
      <c r="BN39" s="686"/>
      <c r="BO39" s="686"/>
      <c r="BP39" s="686"/>
      <c r="BQ39" s="686"/>
      <c r="BR39" s="686"/>
      <c r="BS39" s="686"/>
      <c r="BT39" s="686"/>
      <c r="BU39" s="686"/>
      <c r="BV39" s="686"/>
      <c r="BW39" s="686"/>
      <c r="BX39" s="686"/>
      <c r="BY39" s="686"/>
      <c r="BZ39" s="686"/>
      <c r="CA39" s="686"/>
      <c r="CB39" s="686"/>
      <c r="CC39" s="686"/>
      <c r="CD39" s="686"/>
      <c r="CE39" s="686"/>
      <c r="CF39" s="686"/>
      <c r="CG39" s="686"/>
      <c r="CH39" s="686"/>
      <c r="CI39" s="686"/>
      <c r="CJ39" s="686"/>
      <c r="CK39" s="686"/>
      <c r="CL39" s="686"/>
      <c r="CM39" s="686"/>
      <c r="CN39" s="686"/>
      <c r="CO39" s="686"/>
      <c r="CP39" s="686"/>
      <c r="CQ39" s="686"/>
      <c r="CR39" s="686"/>
      <c r="CS39" s="43"/>
      <c r="CT39" s="43"/>
      <c r="CU39" s="43"/>
      <c r="CV39" s="43"/>
      <c r="CW39" s="210"/>
      <c r="CX39" s="210"/>
      <c r="CY39" s="210"/>
      <c r="CZ39" s="210"/>
      <c r="DA39" s="210"/>
      <c r="DB39" s="210"/>
      <c r="DC39" s="210"/>
      <c r="DD39" s="210"/>
      <c r="DE39" s="210"/>
      <c r="DF39" s="210"/>
      <c r="DG39" s="210"/>
      <c r="DH39" s="210"/>
      <c r="DI39" s="210"/>
      <c r="DJ39" s="210"/>
      <c r="DK39" s="210"/>
      <c r="DL39" s="210"/>
      <c r="DM39" s="686"/>
      <c r="DN39" s="686"/>
      <c r="DO39" s="686"/>
      <c r="DP39" s="686"/>
      <c r="DQ39" s="686"/>
      <c r="DR39" s="686"/>
      <c r="DS39" s="686"/>
      <c r="DT39" s="686"/>
      <c r="DU39" s="686"/>
      <c r="DV39" s="686"/>
      <c r="DW39" s="686"/>
      <c r="DX39" s="686"/>
      <c r="DY39" s="686"/>
      <c r="DZ39" s="686"/>
      <c r="EA39" s="686"/>
      <c r="EB39" s="686"/>
      <c r="EC39" s="686"/>
      <c r="ED39" s="686"/>
      <c r="EE39" s="686"/>
      <c r="EF39" s="686"/>
      <c r="EG39" s="686"/>
      <c r="EH39" s="686"/>
      <c r="EI39" s="686"/>
      <c r="EJ39" s="686"/>
      <c r="EK39" s="686"/>
      <c r="EL39" s="686"/>
      <c r="EM39" s="686"/>
      <c r="EN39" s="686"/>
      <c r="EO39" s="686"/>
      <c r="EP39" s="686"/>
      <c r="EQ39" s="686"/>
      <c r="ER39" s="686"/>
      <c r="ES39" s="686"/>
      <c r="ET39" s="686"/>
      <c r="EU39" s="686"/>
      <c r="EV39" s="686"/>
      <c r="EW39" s="686"/>
      <c r="EX39" s="686"/>
      <c r="EY39" s="686"/>
      <c r="EZ39" s="686"/>
      <c r="FA39" s="686"/>
      <c r="FB39" s="686"/>
      <c r="FC39" s="686"/>
      <c r="FD39" s="686"/>
      <c r="FE39" s="686"/>
      <c r="FF39" s="686"/>
      <c r="FG39" s="686"/>
      <c r="FH39" s="686"/>
      <c r="FI39" s="686"/>
      <c r="FJ39" s="686"/>
      <c r="FK39" s="686"/>
      <c r="FL39" s="79"/>
      <c r="FM39" s="168"/>
      <c r="FN39" s="168"/>
      <c r="FO39" s="168"/>
      <c r="FP39" s="168"/>
      <c r="FQ39" s="168"/>
      <c r="FR39" s="49"/>
      <c r="FS39" s="49"/>
      <c r="FT39" s="49"/>
      <c r="FU39" s="49"/>
      <c r="FV39" s="49"/>
      <c r="FW39" s="49"/>
      <c r="FX39" s="49"/>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78"/>
      <c r="HO39" s="78"/>
      <c r="HP39" s="78"/>
      <c r="HQ39" s="13"/>
      <c r="HR39" s="13"/>
      <c r="HS39" s="13"/>
      <c r="HT39" s="13"/>
      <c r="HU39" s="13"/>
      <c r="HV39" s="13"/>
      <c r="HW39" s="13"/>
      <c r="HX39" s="13"/>
      <c r="HY39" s="13"/>
      <c r="HZ39" s="13"/>
      <c r="IA39" s="13"/>
    </row>
    <row r="40" spans="1:235" ht="3.75" customHeight="1">
      <c r="A40" s="1"/>
      <c r="B40" s="3"/>
      <c r="C40" s="3"/>
      <c r="D40" s="12"/>
      <c r="E40" s="12"/>
      <c r="F40" s="10"/>
      <c r="G40" s="10"/>
      <c r="H40" s="10"/>
      <c r="I40" s="10"/>
      <c r="J40" s="10"/>
      <c r="K40" s="10"/>
      <c r="L40" s="10"/>
      <c r="M40" s="10"/>
      <c r="N40" s="126"/>
      <c r="O40" s="126"/>
      <c r="P40" s="126"/>
      <c r="Q40" s="197"/>
      <c r="R40" s="197"/>
      <c r="S40" s="215"/>
      <c r="T40" s="215"/>
      <c r="U40" s="215"/>
      <c r="V40" s="126"/>
      <c r="W40" s="126"/>
      <c r="X40" s="126"/>
      <c r="Y40" s="126"/>
      <c r="Z40" s="126"/>
      <c r="AA40" s="126"/>
      <c r="AB40" s="126"/>
      <c r="AC40" s="126"/>
      <c r="AD40" s="197"/>
      <c r="AE40" s="215"/>
      <c r="AF40" s="147" t="str">
        <f ca="1">IF(FP1=1,"`","")</f>
        <v/>
      </c>
      <c r="AG40" s="147" t="str">
        <f t="shared" ca="1" si="0"/>
        <v/>
      </c>
      <c r="AH40" s="147" t="str">
        <f t="shared" ca="1" si="1"/>
        <v/>
      </c>
      <c r="AI40" s="147" t="str">
        <f t="shared" ca="1" si="2"/>
        <v/>
      </c>
      <c r="AJ40" s="147" t="str">
        <f t="shared" ca="1" si="3"/>
        <v/>
      </c>
      <c r="AK40" s="147" t="str">
        <f t="shared" ca="1" si="4"/>
        <v/>
      </c>
      <c r="AL40" s="147" t="str">
        <f t="shared" ca="1" si="5"/>
        <v/>
      </c>
      <c r="AM40" s="147" t="str">
        <f t="shared" ca="1" si="6"/>
        <v/>
      </c>
      <c r="AN40" s="147" t="str">
        <f t="shared" ref="AN40:AN47" ca="1" si="8">IF($FN$28&gt;=4,"^",IF($FN$28=1,"^",""))</f>
        <v/>
      </c>
      <c r="AO40" s="147" t="str">
        <f ca="1">IF($FN$28&gt;=2,"!",IF($FN$28=1,"^",""))</f>
        <v/>
      </c>
      <c r="AP40" s="147" t="str">
        <f t="shared" ref="AP40:AV40" ca="1" si="9">IF($FN$28&gt;=4,"^",IF($FN$28=1,"^",""))</f>
        <v/>
      </c>
      <c r="AQ40" s="147" t="str">
        <f t="shared" ca="1" si="9"/>
        <v/>
      </c>
      <c r="AR40" s="147" t="str">
        <f t="shared" ca="1" si="9"/>
        <v/>
      </c>
      <c r="AS40" s="147" t="str">
        <f t="shared" ca="1" si="9"/>
        <v/>
      </c>
      <c r="AT40" s="147" t="str">
        <f t="shared" ca="1" si="9"/>
        <v/>
      </c>
      <c r="AU40" s="147" t="str">
        <f t="shared" ca="1" si="9"/>
        <v/>
      </c>
      <c r="AV40" s="147" t="str">
        <f t="shared" ca="1" si="9"/>
        <v/>
      </c>
      <c r="AW40" s="147" t="str">
        <f ca="1">IF(FP1=1,":","")</f>
        <v/>
      </c>
      <c r="AX40" s="147" t="str">
        <f ca="1">IF(FP1=1,":","")</f>
        <v/>
      </c>
      <c r="AY40" s="197"/>
      <c r="AZ40" s="197"/>
      <c r="BA40" s="197"/>
      <c r="BB40" s="197"/>
      <c r="BC40" s="197"/>
      <c r="BD40" s="712"/>
      <c r="BE40" s="712"/>
      <c r="BF40" s="712"/>
      <c r="BG40" s="712"/>
      <c r="BH40" s="712"/>
      <c r="BI40" s="712"/>
      <c r="BJ40" s="712"/>
      <c r="BK40" s="686"/>
      <c r="BL40" s="686"/>
      <c r="BM40" s="686"/>
      <c r="BN40" s="686"/>
      <c r="BO40" s="686"/>
      <c r="BP40" s="686"/>
      <c r="BQ40" s="686"/>
      <c r="BR40" s="686"/>
      <c r="BS40" s="686"/>
      <c r="BT40" s="686"/>
      <c r="BU40" s="686"/>
      <c r="BV40" s="686"/>
      <c r="BW40" s="686"/>
      <c r="BX40" s="686"/>
      <c r="BY40" s="686"/>
      <c r="BZ40" s="686"/>
      <c r="CA40" s="686"/>
      <c r="CB40" s="686"/>
      <c r="CC40" s="686"/>
      <c r="CD40" s="686"/>
      <c r="CE40" s="686"/>
      <c r="CF40" s="686"/>
      <c r="CG40" s="686"/>
      <c r="CH40" s="686"/>
      <c r="CI40" s="686"/>
      <c r="CJ40" s="686"/>
      <c r="CK40" s="686"/>
      <c r="CL40" s="686"/>
      <c r="CM40" s="686"/>
      <c r="CN40" s="686"/>
      <c r="CO40" s="686"/>
      <c r="CP40" s="686"/>
      <c r="CQ40" s="686"/>
      <c r="CR40" s="686"/>
      <c r="CS40" s="210"/>
      <c r="CT40" s="210"/>
      <c r="CU40" s="210"/>
      <c r="CV40" s="210"/>
      <c r="CW40" s="210"/>
      <c r="CX40" s="210"/>
      <c r="CY40" s="210"/>
      <c r="CZ40" s="210"/>
      <c r="DA40" s="210"/>
      <c r="DB40" s="210"/>
      <c r="DC40" s="210"/>
      <c r="DD40" s="210"/>
      <c r="DE40" s="210"/>
      <c r="DF40" s="210"/>
      <c r="DG40" s="210"/>
      <c r="DH40" s="210"/>
      <c r="DI40" s="210"/>
      <c r="DJ40" s="210"/>
      <c r="DK40" s="210"/>
      <c r="DL40" s="210"/>
      <c r="DM40" s="686"/>
      <c r="DN40" s="686"/>
      <c r="DO40" s="686"/>
      <c r="DP40" s="686"/>
      <c r="DQ40" s="686"/>
      <c r="DR40" s="686"/>
      <c r="DS40" s="686"/>
      <c r="DT40" s="686"/>
      <c r="DU40" s="686"/>
      <c r="DV40" s="686"/>
      <c r="DW40" s="686"/>
      <c r="DX40" s="686"/>
      <c r="DY40" s="686"/>
      <c r="DZ40" s="686"/>
      <c r="EA40" s="686"/>
      <c r="EB40" s="686"/>
      <c r="EC40" s="686"/>
      <c r="ED40" s="686"/>
      <c r="EE40" s="686"/>
      <c r="EF40" s="686"/>
      <c r="EG40" s="686"/>
      <c r="EH40" s="686"/>
      <c r="EI40" s="686"/>
      <c r="EJ40" s="686"/>
      <c r="EK40" s="686"/>
      <c r="EL40" s="686"/>
      <c r="EM40" s="686"/>
      <c r="EN40" s="686"/>
      <c r="EO40" s="686"/>
      <c r="EP40" s="686"/>
      <c r="EQ40" s="686"/>
      <c r="ER40" s="686"/>
      <c r="ES40" s="686"/>
      <c r="ET40" s="686"/>
      <c r="EU40" s="686"/>
      <c r="EV40" s="686"/>
      <c r="EW40" s="686"/>
      <c r="EX40" s="686"/>
      <c r="EY40" s="686"/>
      <c r="EZ40" s="686"/>
      <c r="FA40" s="686"/>
      <c r="FB40" s="686"/>
      <c r="FC40" s="686"/>
      <c r="FD40" s="686"/>
      <c r="FE40" s="686"/>
      <c r="FF40" s="686"/>
      <c r="FG40" s="686"/>
      <c r="FH40" s="686"/>
      <c r="FI40" s="686"/>
      <c r="FJ40" s="686"/>
      <c r="FK40" s="686"/>
      <c r="FL40" s="79"/>
      <c r="FM40" s="168"/>
      <c r="FN40" s="168"/>
      <c r="FO40" s="168"/>
      <c r="FP40" s="168"/>
      <c r="FQ40" s="168"/>
      <c r="FR40" s="49"/>
      <c r="FS40" s="49"/>
      <c r="FT40" s="49"/>
      <c r="FU40" s="49"/>
      <c r="FV40" s="49"/>
      <c r="FW40" s="49"/>
      <c r="FX40" s="49"/>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78"/>
      <c r="HO40" s="78"/>
      <c r="HP40" s="78"/>
      <c r="HQ40" s="13"/>
      <c r="HR40" s="13"/>
      <c r="HS40" s="13"/>
      <c r="HT40" s="13"/>
      <c r="HU40" s="13"/>
      <c r="HV40" s="13"/>
      <c r="HW40" s="13"/>
      <c r="HX40" s="13"/>
      <c r="HY40" s="13"/>
      <c r="HZ40" s="13"/>
      <c r="IA40" s="13"/>
    </row>
    <row r="41" spans="1:235" ht="3.75" customHeight="1">
      <c r="A41" s="1"/>
      <c r="B41" s="3"/>
      <c r="C41" s="3"/>
      <c r="D41" s="12"/>
      <c r="E41" s="12"/>
      <c r="F41" s="10"/>
      <c r="G41" s="10"/>
      <c r="H41" s="10"/>
      <c r="I41" s="10"/>
      <c r="J41" s="10"/>
      <c r="K41" s="10"/>
      <c r="L41" s="10"/>
      <c r="M41" s="10"/>
      <c r="N41" s="126"/>
      <c r="O41" s="126"/>
      <c r="P41" s="126"/>
      <c r="Q41" s="197"/>
      <c r="R41" s="197"/>
      <c r="S41" s="215"/>
      <c r="T41" s="215"/>
      <c r="U41" s="215"/>
      <c r="V41" s="126"/>
      <c r="W41" s="126"/>
      <c r="X41" s="126"/>
      <c r="Y41" s="126"/>
      <c r="Z41" s="126"/>
      <c r="AA41" s="126"/>
      <c r="AB41" s="126"/>
      <c r="AC41" s="126"/>
      <c r="AD41" s="197"/>
      <c r="AE41" s="215"/>
      <c r="AF41" s="147" t="str">
        <f ca="1">IF(FP1=1,"`","")</f>
        <v/>
      </c>
      <c r="AG41" s="147" t="str">
        <f t="shared" ca="1" si="0"/>
        <v/>
      </c>
      <c r="AH41" s="147" t="str">
        <f t="shared" ca="1" si="1"/>
        <v/>
      </c>
      <c r="AI41" s="147" t="str">
        <f t="shared" ca="1" si="2"/>
        <v/>
      </c>
      <c r="AJ41" s="147" t="str">
        <f t="shared" ca="1" si="3"/>
        <v/>
      </c>
      <c r="AK41" s="147" t="str">
        <f t="shared" ca="1" si="4"/>
        <v/>
      </c>
      <c r="AL41" s="147" t="str">
        <f t="shared" ca="1" si="5"/>
        <v/>
      </c>
      <c r="AM41" s="147" t="str">
        <f t="shared" ca="1" si="6"/>
        <v/>
      </c>
      <c r="AN41" s="147" t="str">
        <f t="shared" ca="1" si="8"/>
        <v/>
      </c>
      <c r="AO41" s="147" t="str">
        <f t="shared" ref="AO41:AO47" ca="1" si="10">IF($FN$28&gt;=4,"^",IF($FN$28=1,"^",""))</f>
        <v/>
      </c>
      <c r="AP41" s="147" t="str">
        <f ca="1">IF($FN$28&gt;=2,"!",IF($FN$28=1,"^",""))</f>
        <v/>
      </c>
      <c r="AQ41" s="147" t="str">
        <f t="shared" ref="AQ41:AX41" ca="1" si="11">IF($FN$28&gt;=4,"^",IF($FN$28=1,"^",""))</f>
        <v/>
      </c>
      <c r="AR41" s="147" t="str">
        <f t="shared" ca="1" si="11"/>
        <v/>
      </c>
      <c r="AS41" s="147" t="str">
        <f t="shared" ca="1" si="11"/>
        <v/>
      </c>
      <c r="AT41" s="147" t="str">
        <f t="shared" ca="1" si="11"/>
        <v/>
      </c>
      <c r="AU41" s="147" t="str">
        <f t="shared" ca="1" si="11"/>
        <v/>
      </c>
      <c r="AV41" s="147" t="str">
        <f t="shared" ca="1" si="11"/>
        <v/>
      </c>
      <c r="AW41" s="147" t="str">
        <f t="shared" ca="1" si="11"/>
        <v/>
      </c>
      <c r="AX41" s="147" t="str">
        <f t="shared" ca="1" si="11"/>
        <v/>
      </c>
      <c r="AY41" s="147" t="str">
        <f ca="1">IF(FP1=1,":","")</f>
        <v/>
      </c>
      <c r="AZ41" s="147" t="str">
        <f ca="1">IF(FP1=1,":","")</f>
        <v/>
      </c>
      <c r="BA41" s="214"/>
      <c r="BB41" s="214"/>
      <c r="BC41" s="214"/>
      <c r="BD41" s="712"/>
      <c r="BE41" s="712"/>
      <c r="BF41" s="712"/>
      <c r="BG41" s="712"/>
      <c r="BH41" s="712"/>
      <c r="BI41" s="712"/>
      <c r="BJ41" s="712"/>
      <c r="BK41" s="686"/>
      <c r="BL41" s="686"/>
      <c r="BM41" s="686"/>
      <c r="BN41" s="686"/>
      <c r="BO41" s="686"/>
      <c r="BP41" s="686"/>
      <c r="BQ41" s="686"/>
      <c r="BR41" s="686"/>
      <c r="BS41" s="686"/>
      <c r="BT41" s="686"/>
      <c r="BU41" s="686"/>
      <c r="BV41" s="686"/>
      <c r="BW41" s="686"/>
      <c r="BX41" s="686"/>
      <c r="BY41" s="686"/>
      <c r="BZ41" s="686"/>
      <c r="CA41" s="686"/>
      <c r="CB41" s="686"/>
      <c r="CC41" s="686"/>
      <c r="CD41" s="686"/>
      <c r="CE41" s="686"/>
      <c r="CF41" s="686"/>
      <c r="CG41" s="686"/>
      <c r="CH41" s="686"/>
      <c r="CI41" s="686"/>
      <c r="CJ41" s="686"/>
      <c r="CK41" s="686"/>
      <c r="CL41" s="686"/>
      <c r="CM41" s="686"/>
      <c r="CN41" s="686"/>
      <c r="CO41" s="686"/>
      <c r="CP41" s="686"/>
      <c r="CQ41" s="686"/>
      <c r="CR41" s="686"/>
      <c r="CS41" s="210"/>
      <c r="CT41" s="210"/>
      <c r="CU41" s="210"/>
      <c r="CV41" s="210"/>
      <c r="CW41" s="210"/>
      <c r="CX41" s="210"/>
      <c r="CY41" s="210"/>
      <c r="CZ41" s="210"/>
      <c r="DA41" s="210"/>
      <c r="DB41" s="210"/>
      <c r="DC41" s="210"/>
      <c r="DD41" s="210"/>
      <c r="DE41" s="210"/>
      <c r="DF41" s="210"/>
      <c r="DG41" s="210"/>
      <c r="DH41" s="210"/>
      <c r="DI41" s="210"/>
      <c r="DJ41" s="210"/>
      <c r="DK41" s="210"/>
      <c r="DL41" s="210"/>
      <c r="DM41" s="686"/>
      <c r="DN41" s="686"/>
      <c r="DO41" s="686"/>
      <c r="DP41" s="686"/>
      <c r="DQ41" s="686"/>
      <c r="DR41" s="686"/>
      <c r="DS41" s="686"/>
      <c r="DT41" s="686"/>
      <c r="DU41" s="686"/>
      <c r="DV41" s="686"/>
      <c r="DW41" s="686"/>
      <c r="DX41" s="686"/>
      <c r="DY41" s="686"/>
      <c r="DZ41" s="686"/>
      <c r="EA41" s="686"/>
      <c r="EB41" s="686"/>
      <c r="EC41" s="686"/>
      <c r="ED41" s="686"/>
      <c r="EE41" s="686"/>
      <c r="EF41" s="686"/>
      <c r="EG41" s="686"/>
      <c r="EH41" s="686"/>
      <c r="EI41" s="686"/>
      <c r="EJ41" s="686"/>
      <c r="EK41" s="686"/>
      <c r="EL41" s="686"/>
      <c r="EM41" s="686"/>
      <c r="EN41" s="686"/>
      <c r="EO41" s="686"/>
      <c r="EP41" s="686"/>
      <c r="EQ41" s="686"/>
      <c r="ER41" s="686"/>
      <c r="ES41" s="686"/>
      <c r="ET41" s="686"/>
      <c r="EU41" s="686"/>
      <c r="EV41" s="686"/>
      <c r="EW41" s="686"/>
      <c r="EX41" s="686"/>
      <c r="EY41" s="686"/>
      <c r="EZ41" s="686"/>
      <c r="FA41" s="686"/>
      <c r="FB41" s="686"/>
      <c r="FC41" s="686"/>
      <c r="FD41" s="686"/>
      <c r="FE41" s="686"/>
      <c r="FF41" s="686"/>
      <c r="FG41" s="686"/>
      <c r="FH41" s="686"/>
      <c r="FI41" s="686"/>
      <c r="FJ41" s="686"/>
      <c r="FK41" s="686"/>
      <c r="FL41" s="79"/>
      <c r="FM41" s="168"/>
      <c r="FN41" s="168"/>
      <c r="FO41" s="168"/>
      <c r="FP41" s="168"/>
      <c r="FQ41" s="168"/>
      <c r="FR41" s="49"/>
      <c r="FS41" s="49"/>
      <c r="FT41" s="49"/>
      <c r="FU41" s="49"/>
      <c r="FV41" s="49"/>
      <c r="FW41" s="49"/>
      <c r="FX41" s="49"/>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78"/>
      <c r="HO41" s="78"/>
      <c r="HP41" s="78"/>
      <c r="HQ41" s="13"/>
      <c r="HR41" s="13"/>
      <c r="HS41" s="13"/>
      <c r="HT41" s="13"/>
      <c r="HU41" s="13"/>
      <c r="HV41" s="13"/>
      <c r="HW41" s="13"/>
      <c r="HX41" s="13"/>
      <c r="HY41" s="13"/>
      <c r="HZ41" s="13"/>
      <c r="IA41" s="13"/>
    </row>
    <row r="42" spans="1:235" ht="3.75" customHeight="1">
      <c r="A42" s="1"/>
      <c r="B42" s="3"/>
      <c r="C42" s="3"/>
      <c r="D42" s="12"/>
      <c r="E42" s="12"/>
      <c r="F42" s="10"/>
      <c r="G42" s="10"/>
      <c r="H42" s="10"/>
      <c r="I42" s="10"/>
      <c r="J42" s="10"/>
      <c r="K42" s="10"/>
      <c r="L42" s="10"/>
      <c r="M42" s="10"/>
      <c r="N42" s="126"/>
      <c r="O42" s="126"/>
      <c r="P42" s="126"/>
      <c r="Q42" s="197"/>
      <c r="R42" s="197"/>
      <c r="S42" s="215"/>
      <c r="T42" s="215"/>
      <c r="U42" s="215"/>
      <c r="V42" s="126"/>
      <c r="W42" s="126"/>
      <c r="X42" s="197"/>
      <c r="Y42" s="197"/>
      <c r="Z42" s="197"/>
      <c r="AA42" s="197"/>
      <c r="AB42" s="197"/>
      <c r="AC42" s="197"/>
      <c r="AD42" s="197"/>
      <c r="AE42" s="215"/>
      <c r="AF42" s="147" t="str">
        <f ca="1">IF(FP1=1,"`","")</f>
        <v/>
      </c>
      <c r="AG42" s="147" t="str">
        <f t="shared" ca="1" si="0"/>
        <v/>
      </c>
      <c r="AH42" s="147" t="str">
        <f t="shared" ca="1" si="1"/>
        <v/>
      </c>
      <c r="AI42" s="147" t="str">
        <f t="shared" ca="1" si="2"/>
        <v/>
      </c>
      <c r="AJ42" s="147" t="str">
        <f t="shared" ca="1" si="3"/>
        <v/>
      </c>
      <c r="AK42" s="147" t="str">
        <f t="shared" ca="1" si="4"/>
        <v/>
      </c>
      <c r="AL42" s="147" t="str">
        <f t="shared" ca="1" si="5"/>
        <v/>
      </c>
      <c r="AM42" s="147" t="str">
        <f t="shared" ca="1" si="6"/>
        <v/>
      </c>
      <c r="AN42" s="147" t="str">
        <f t="shared" ca="1" si="8"/>
        <v/>
      </c>
      <c r="AO42" s="147" t="str">
        <f t="shared" ca="1" si="10"/>
        <v/>
      </c>
      <c r="AP42" s="147" t="str">
        <f t="shared" ref="AP42:AP47" ca="1" si="12">IF($FN$28&gt;=4,"^",IF($FN$28=1,"^",""))</f>
        <v/>
      </c>
      <c r="AQ42" s="147" t="str">
        <f ca="1">IF($FN$28&gt;=2,"!",IF($FN$28=1,"^",""))</f>
        <v/>
      </c>
      <c r="AR42" s="147" t="str">
        <f t="shared" ref="AR42:AZ42" ca="1" si="13">IF($FN$28&gt;=4,"^",IF($FN$28=1,"^",""))</f>
        <v/>
      </c>
      <c r="AS42" s="147" t="str">
        <f t="shared" ca="1" si="13"/>
        <v/>
      </c>
      <c r="AT42" s="147" t="str">
        <f t="shared" ca="1" si="13"/>
        <v/>
      </c>
      <c r="AU42" s="147" t="str">
        <f t="shared" ca="1" si="13"/>
        <v/>
      </c>
      <c r="AV42" s="147" t="str">
        <f t="shared" ca="1" si="13"/>
        <v/>
      </c>
      <c r="AW42" s="147" t="str">
        <f t="shared" ca="1" si="13"/>
        <v/>
      </c>
      <c r="AX42" s="147" t="str">
        <f t="shared" ca="1" si="13"/>
        <v/>
      </c>
      <c r="AY42" s="147" t="str">
        <f t="shared" ca="1" si="13"/>
        <v/>
      </c>
      <c r="AZ42" s="147" t="str">
        <f t="shared" ca="1" si="13"/>
        <v/>
      </c>
      <c r="BA42" s="147" t="str">
        <f ca="1">IF(FP1=1,":","")</f>
        <v/>
      </c>
      <c r="BB42" s="147" t="str">
        <f ca="1">IF(FP1=1,":","")</f>
        <v/>
      </c>
      <c r="BC42" s="214"/>
      <c r="BD42" s="712"/>
      <c r="BE42" s="712"/>
      <c r="BF42" s="712"/>
      <c r="BG42" s="712"/>
      <c r="BH42" s="712"/>
      <c r="BI42" s="712"/>
      <c r="BJ42" s="712"/>
      <c r="BK42" s="686"/>
      <c r="BL42" s="686"/>
      <c r="BM42" s="686"/>
      <c r="BN42" s="686"/>
      <c r="BO42" s="686"/>
      <c r="BP42" s="686"/>
      <c r="BQ42" s="686"/>
      <c r="BR42" s="686"/>
      <c r="BS42" s="686"/>
      <c r="BT42" s="686"/>
      <c r="BU42" s="686"/>
      <c r="BV42" s="686"/>
      <c r="BW42" s="686"/>
      <c r="BX42" s="686"/>
      <c r="BY42" s="686"/>
      <c r="BZ42" s="686"/>
      <c r="CA42" s="686"/>
      <c r="CB42" s="686"/>
      <c r="CC42" s="686"/>
      <c r="CD42" s="686"/>
      <c r="CE42" s="686"/>
      <c r="CF42" s="686"/>
      <c r="CG42" s="686"/>
      <c r="CH42" s="686"/>
      <c r="CI42" s="686"/>
      <c r="CJ42" s="686"/>
      <c r="CK42" s="686"/>
      <c r="CL42" s="686"/>
      <c r="CM42" s="686"/>
      <c r="CN42" s="686"/>
      <c r="CO42" s="686"/>
      <c r="CP42" s="686"/>
      <c r="CQ42" s="686"/>
      <c r="CR42" s="686"/>
      <c r="CS42" s="210"/>
      <c r="CT42" s="210"/>
      <c r="CU42" s="210"/>
      <c r="CV42" s="210"/>
      <c r="CW42" s="210"/>
      <c r="CX42" s="210"/>
      <c r="CY42" s="210"/>
      <c r="CZ42" s="210"/>
      <c r="DA42" s="210"/>
      <c r="DB42" s="210"/>
      <c r="DC42" s="210"/>
      <c r="DD42" s="210"/>
      <c r="DE42" s="210"/>
      <c r="DF42" s="210"/>
      <c r="DG42" s="210"/>
      <c r="DH42" s="210"/>
      <c r="DI42" s="210"/>
      <c r="DJ42" s="210"/>
      <c r="DK42" s="210"/>
      <c r="DL42" s="210"/>
      <c r="DM42" s="686"/>
      <c r="DN42" s="686"/>
      <c r="DO42" s="686"/>
      <c r="DP42" s="686"/>
      <c r="DQ42" s="686"/>
      <c r="DR42" s="686"/>
      <c r="DS42" s="686"/>
      <c r="DT42" s="686"/>
      <c r="DU42" s="686"/>
      <c r="DV42" s="686"/>
      <c r="DW42" s="686"/>
      <c r="DX42" s="686"/>
      <c r="DY42" s="686"/>
      <c r="DZ42" s="686"/>
      <c r="EA42" s="686"/>
      <c r="EB42" s="686"/>
      <c r="EC42" s="686"/>
      <c r="ED42" s="686"/>
      <c r="EE42" s="686"/>
      <c r="EF42" s="686"/>
      <c r="EG42" s="686"/>
      <c r="EH42" s="686"/>
      <c r="EI42" s="686"/>
      <c r="EJ42" s="686"/>
      <c r="EK42" s="686"/>
      <c r="EL42" s="686"/>
      <c r="EM42" s="686"/>
      <c r="EN42" s="686"/>
      <c r="EO42" s="686"/>
      <c r="EP42" s="686"/>
      <c r="EQ42" s="686"/>
      <c r="ER42" s="686"/>
      <c r="ES42" s="686"/>
      <c r="ET42" s="686"/>
      <c r="EU42" s="686"/>
      <c r="EV42" s="686"/>
      <c r="EW42" s="686"/>
      <c r="EX42" s="686"/>
      <c r="EY42" s="686"/>
      <c r="EZ42" s="686"/>
      <c r="FA42" s="686"/>
      <c r="FB42" s="686"/>
      <c r="FC42" s="686"/>
      <c r="FD42" s="686"/>
      <c r="FE42" s="686"/>
      <c r="FF42" s="686"/>
      <c r="FG42" s="686"/>
      <c r="FH42" s="686"/>
      <c r="FI42" s="686"/>
      <c r="FJ42" s="686"/>
      <c r="FK42" s="686"/>
      <c r="FL42" s="79"/>
      <c r="FM42" s="168"/>
      <c r="FN42" s="168"/>
      <c r="FO42" s="168"/>
      <c r="FP42" s="168"/>
      <c r="FQ42" s="168"/>
      <c r="FR42" s="49"/>
      <c r="FS42" s="49"/>
      <c r="FT42" s="49"/>
      <c r="FU42" s="49"/>
      <c r="FV42" s="49"/>
      <c r="FW42" s="49"/>
      <c r="FX42" s="49"/>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78"/>
      <c r="HO42" s="78"/>
      <c r="HP42" s="78"/>
      <c r="HQ42" s="13"/>
      <c r="HR42" s="13"/>
      <c r="HS42" s="13"/>
      <c r="HT42" s="13"/>
      <c r="HU42" s="13"/>
      <c r="HV42" s="13"/>
      <c r="HW42" s="13"/>
      <c r="HX42" s="13"/>
      <c r="HY42" s="13"/>
      <c r="HZ42" s="13"/>
      <c r="IA42" s="13"/>
    </row>
    <row r="43" spans="1:235" ht="3.75" customHeight="1">
      <c r="A43" s="1"/>
      <c r="B43" s="3"/>
      <c r="C43" s="3"/>
      <c r="D43" s="12"/>
      <c r="E43" s="12"/>
      <c r="F43" s="10"/>
      <c r="G43" s="10"/>
      <c r="H43" s="10"/>
      <c r="I43" s="10"/>
      <c r="J43" s="10"/>
      <c r="K43" s="10"/>
      <c r="L43" s="10"/>
      <c r="M43" s="10"/>
      <c r="N43" s="126"/>
      <c r="O43" s="126"/>
      <c r="P43" s="126"/>
      <c r="Q43" s="197"/>
      <c r="R43" s="197"/>
      <c r="S43" s="215"/>
      <c r="T43" s="215"/>
      <c r="U43" s="215"/>
      <c r="V43" s="197"/>
      <c r="W43" s="197"/>
      <c r="X43" s="197"/>
      <c r="Y43" s="197"/>
      <c r="Z43" s="197"/>
      <c r="AA43" s="197"/>
      <c r="AB43" s="147"/>
      <c r="AC43" s="197"/>
      <c r="AD43" s="197"/>
      <c r="AE43" s="215"/>
      <c r="AF43" s="147" t="str">
        <f ca="1">IF(FP1=1,"`","")</f>
        <v/>
      </c>
      <c r="AG43" s="147" t="str">
        <f t="shared" ca="1" si="0"/>
        <v/>
      </c>
      <c r="AH43" s="147" t="str">
        <f t="shared" ca="1" si="1"/>
        <v/>
      </c>
      <c r="AI43" s="147" t="str">
        <f t="shared" ca="1" si="2"/>
        <v/>
      </c>
      <c r="AJ43" s="147" t="str">
        <f t="shared" ca="1" si="3"/>
        <v/>
      </c>
      <c r="AK43" s="147" t="str">
        <f t="shared" ca="1" si="4"/>
        <v/>
      </c>
      <c r="AL43" s="147" t="str">
        <f t="shared" ca="1" si="5"/>
        <v/>
      </c>
      <c r="AM43" s="147" t="str">
        <f t="shared" ca="1" si="6"/>
        <v/>
      </c>
      <c r="AN43" s="147" t="str">
        <f t="shared" ca="1" si="8"/>
        <v/>
      </c>
      <c r="AO43" s="147" t="str">
        <f t="shared" ca="1" si="10"/>
        <v/>
      </c>
      <c r="AP43" s="147" t="str">
        <f t="shared" ca="1" si="12"/>
        <v/>
      </c>
      <c r="AQ43" s="147" t="str">
        <f ca="1">IF($FN$28&gt;=4,"^",IF($FN$28=1,"^",""))</f>
        <v/>
      </c>
      <c r="AR43" s="147" t="str">
        <f ca="1">IF($FN$28&gt;=2,"!",IF($FN$28=1,"^",""))</f>
        <v/>
      </c>
      <c r="AS43" s="147" t="str">
        <f t="shared" ref="AS43:BB43" ca="1" si="14">IF($FN$28&gt;=4,"^",IF($FN$28=1,"^",""))</f>
        <v/>
      </c>
      <c r="AT43" s="147" t="str">
        <f t="shared" ca="1" si="14"/>
        <v/>
      </c>
      <c r="AU43" s="147" t="str">
        <f t="shared" ca="1" si="14"/>
        <v/>
      </c>
      <c r="AV43" s="147" t="str">
        <f t="shared" ca="1" si="14"/>
        <v/>
      </c>
      <c r="AW43" s="147" t="str">
        <f t="shared" ca="1" si="14"/>
        <v/>
      </c>
      <c r="AX43" s="147" t="str">
        <f t="shared" ca="1" si="14"/>
        <v/>
      </c>
      <c r="AY43" s="147" t="str">
        <f t="shared" ca="1" si="14"/>
        <v/>
      </c>
      <c r="AZ43" s="147" t="str">
        <f t="shared" ca="1" si="14"/>
        <v/>
      </c>
      <c r="BA43" s="147" t="str">
        <f t="shared" ca="1" si="14"/>
        <v/>
      </c>
      <c r="BB43" s="147" t="str">
        <f t="shared" ca="1" si="14"/>
        <v/>
      </c>
      <c r="BC43" s="147" t="str">
        <f ca="1">IF(FP1=1,":","")</f>
        <v/>
      </c>
      <c r="BD43" s="147" t="str">
        <f ca="1">IF(FP1=1,":","")</f>
        <v/>
      </c>
      <c r="BE43" s="214"/>
      <c r="BF43" s="214"/>
      <c r="BG43" s="214"/>
      <c r="BH43" s="214"/>
      <c r="BI43" s="214"/>
      <c r="BJ43" s="214"/>
      <c r="BK43" s="214"/>
      <c r="BL43" s="215"/>
      <c r="BM43" s="215"/>
      <c r="BN43" s="215"/>
      <c r="BO43" s="197"/>
      <c r="BP43" s="197"/>
      <c r="BQ43" s="197"/>
      <c r="BR43" s="197"/>
      <c r="BS43" s="197"/>
      <c r="BT43" s="197"/>
      <c r="BU43" s="43"/>
      <c r="BV43" s="43"/>
      <c r="BW43" s="43"/>
      <c r="BX43" s="43"/>
      <c r="BY43" s="43"/>
      <c r="BZ43" s="43"/>
      <c r="CA43" s="43"/>
      <c r="CB43" s="43"/>
      <c r="CC43" s="43"/>
      <c r="CD43" s="43"/>
      <c r="CE43" s="43"/>
      <c r="CF43" s="43"/>
      <c r="CG43" s="43"/>
      <c r="CH43" s="43"/>
      <c r="CI43" s="147"/>
      <c r="CJ43" s="147"/>
      <c r="CK43" s="43"/>
      <c r="CL43" s="43"/>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686"/>
      <c r="DN43" s="686"/>
      <c r="DO43" s="686"/>
      <c r="DP43" s="686"/>
      <c r="DQ43" s="686"/>
      <c r="DR43" s="686"/>
      <c r="DS43" s="686"/>
      <c r="DT43" s="686"/>
      <c r="DU43" s="686"/>
      <c r="DV43" s="686"/>
      <c r="DW43" s="686"/>
      <c r="DX43" s="686"/>
      <c r="DY43" s="686"/>
      <c r="DZ43" s="686"/>
      <c r="EA43" s="686"/>
      <c r="EB43" s="686"/>
      <c r="EC43" s="686"/>
      <c r="ED43" s="686"/>
      <c r="EE43" s="686"/>
      <c r="EF43" s="686"/>
      <c r="EG43" s="686"/>
      <c r="EH43" s="686"/>
      <c r="EI43" s="686"/>
      <c r="EJ43" s="686"/>
      <c r="EK43" s="686"/>
      <c r="EL43" s="686"/>
      <c r="EM43" s="686"/>
      <c r="EN43" s="686"/>
      <c r="EO43" s="686"/>
      <c r="EP43" s="686"/>
      <c r="EQ43" s="686"/>
      <c r="ER43" s="686"/>
      <c r="ES43" s="686"/>
      <c r="ET43" s="686"/>
      <c r="EU43" s="686"/>
      <c r="EV43" s="686"/>
      <c r="EW43" s="686"/>
      <c r="EX43" s="686"/>
      <c r="EY43" s="686"/>
      <c r="EZ43" s="686"/>
      <c r="FA43" s="686"/>
      <c r="FB43" s="686"/>
      <c r="FC43" s="686"/>
      <c r="FD43" s="686"/>
      <c r="FE43" s="686"/>
      <c r="FF43" s="686"/>
      <c r="FG43" s="686"/>
      <c r="FH43" s="686"/>
      <c r="FI43" s="686"/>
      <c r="FJ43" s="686"/>
      <c r="FK43" s="686"/>
      <c r="FL43" s="79"/>
      <c r="FM43" s="168"/>
      <c r="FN43" s="168"/>
      <c r="FO43" s="168"/>
      <c r="FP43" s="168"/>
      <c r="FQ43" s="168"/>
      <c r="FR43" s="49"/>
      <c r="FS43" s="49"/>
      <c r="FT43" s="49"/>
      <c r="FU43" s="49"/>
      <c r="FV43" s="49"/>
      <c r="FW43" s="49"/>
      <c r="FX43" s="49"/>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78"/>
      <c r="HO43" s="78"/>
      <c r="HP43" s="78"/>
      <c r="HQ43" s="13"/>
      <c r="HR43" s="13"/>
      <c r="HS43" s="13"/>
      <c r="HT43" s="13"/>
      <c r="HU43" s="13"/>
      <c r="HV43" s="13"/>
      <c r="HW43" s="13"/>
      <c r="HX43" s="13"/>
      <c r="HY43" s="13"/>
      <c r="HZ43" s="13"/>
      <c r="IA43" s="13"/>
    </row>
    <row r="44" spans="1:235" ht="3.75" customHeight="1">
      <c r="A44" s="1"/>
      <c r="B44" s="3"/>
      <c r="C44" s="3"/>
      <c r="D44" s="12"/>
      <c r="E44" s="12"/>
      <c r="F44" s="10"/>
      <c r="G44" s="10"/>
      <c r="H44" s="10"/>
      <c r="I44" s="10"/>
      <c r="J44" s="10"/>
      <c r="K44" s="10"/>
      <c r="L44" s="10"/>
      <c r="M44" s="10"/>
      <c r="N44" s="126"/>
      <c r="O44" s="126"/>
      <c r="P44" s="126"/>
      <c r="Q44" s="197"/>
      <c r="R44" s="197"/>
      <c r="S44" s="215"/>
      <c r="T44" s="215"/>
      <c r="U44" s="215"/>
      <c r="V44" s="197"/>
      <c r="W44" s="197"/>
      <c r="X44" s="197"/>
      <c r="Y44" s="197"/>
      <c r="Z44" s="197"/>
      <c r="AA44" s="197"/>
      <c r="AB44" s="147"/>
      <c r="AC44" s="147"/>
      <c r="AD44" s="197"/>
      <c r="AE44" s="215"/>
      <c r="AF44" s="147" t="str">
        <f ca="1">IF(FP1=1,"`","")</f>
        <v/>
      </c>
      <c r="AG44" s="147" t="str">
        <f t="shared" ca="1" si="0"/>
        <v/>
      </c>
      <c r="AH44" s="147" t="str">
        <f t="shared" ca="1" si="1"/>
        <v/>
      </c>
      <c r="AI44" s="147" t="str">
        <f t="shared" ca="1" si="2"/>
        <v/>
      </c>
      <c r="AJ44" s="147" t="str">
        <f t="shared" ca="1" si="3"/>
        <v/>
      </c>
      <c r="AK44" s="147" t="str">
        <f t="shared" ca="1" si="4"/>
        <v/>
      </c>
      <c r="AL44" s="147" t="str">
        <f t="shared" ca="1" si="5"/>
        <v/>
      </c>
      <c r="AM44" s="147" t="str">
        <f t="shared" ca="1" si="6"/>
        <v/>
      </c>
      <c r="AN44" s="147" t="str">
        <f t="shared" ca="1" si="8"/>
        <v/>
      </c>
      <c r="AO44" s="147" t="str">
        <f t="shared" ca="1" si="10"/>
        <v/>
      </c>
      <c r="AP44" s="147" t="str">
        <f t="shared" ca="1" si="12"/>
        <v/>
      </c>
      <c r="AQ44" s="147" t="str">
        <f ca="1">IF($FN$28&gt;=4,"^",IF($FN$28=1,"^",""))</f>
        <v/>
      </c>
      <c r="AR44" s="147" t="str">
        <f ca="1">IF($FN$28&gt;=4,"^",IF($FN$28=1,"^",""))</f>
        <v/>
      </c>
      <c r="AS44" s="147" t="str">
        <f ca="1">IF($FN$28&gt;=2,"!",IF($FN$28=1,"^",""))</f>
        <v/>
      </c>
      <c r="AT44" s="147" t="str">
        <f t="shared" ref="AT44:BD44" ca="1" si="15">IF($FN$28&gt;=4,"^",IF($FN$28=1,"^",""))</f>
        <v/>
      </c>
      <c r="AU44" s="147" t="str">
        <f t="shared" ca="1" si="15"/>
        <v/>
      </c>
      <c r="AV44" s="147" t="str">
        <f t="shared" ca="1" si="15"/>
        <v/>
      </c>
      <c r="AW44" s="147" t="str">
        <f t="shared" ca="1" si="15"/>
        <v/>
      </c>
      <c r="AX44" s="147" t="str">
        <f t="shared" ca="1" si="15"/>
        <v/>
      </c>
      <c r="AY44" s="147" t="str">
        <f t="shared" ca="1" si="15"/>
        <v/>
      </c>
      <c r="AZ44" s="147" t="str">
        <f t="shared" ca="1" si="15"/>
        <v/>
      </c>
      <c r="BA44" s="147" t="str">
        <f t="shared" ca="1" si="15"/>
        <v/>
      </c>
      <c r="BB44" s="147" t="str">
        <f t="shared" ca="1" si="15"/>
        <v/>
      </c>
      <c r="BC44" s="147" t="str">
        <f t="shared" ca="1" si="15"/>
        <v/>
      </c>
      <c r="BD44" s="147" t="str">
        <f t="shared" ca="1" si="15"/>
        <v/>
      </c>
      <c r="BE44" s="147" t="str">
        <f ca="1">IF($FN$28&gt;=6,"`",IF(FP1=1,":",""))</f>
        <v/>
      </c>
      <c r="BF44" s="147" t="str">
        <f ca="1">IF($FN$28&gt;=4,"`",IF(FP1=1,":",""))</f>
        <v/>
      </c>
      <c r="BG44" s="214"/>
      <c r="BH44" s="214"/>
      <c r="BI44" s="214"/>
      <c r="BJ44" s="214"/>
      <c r="BK44" s="214"/>
      <c r="BL44" s="215"/>
      <c r="BM44" s="197"/>
      <c r="BN44" s="197"/>
      <c r="BO44" s="197"/>
      <c r="BP44" s="197"/>
      <c r="BQ44" s="197"/>
      <c r="BR44" s="197"/>
      <c r="BS44" s="197"/>
      <c r="BT44" s="197"/>
      <c r="BU44" s="43"/>
      <c r="BV44" s="43"/>
      <c r="BW44" s="43"/>
      <c r="BX44" s="43"/>
      <c r="BY44" s="43"/>
      <c r="BZ44" s="43"/>
      <c r="CA44" s="43"/>
      <c r="CB44" s="147"/>
      <c r="CC44" s="43"/>
      <c r="CD44" s="147"/>
      <c r="CE44" s="147"/>
      <c r="CF44" s="43"/>
      <c r="CG44" s="147"/>
      <c r="CH44" s="147"/>
      <c r="CI44" s="43"/>
      <c r="CJ44" s="43"/>
      <c r="CK44" s="43"/>
      <c r="CL44" s="43"/>
      <c r="CM44" s="210"/>
      <c r="CN44" s="210"/>
      <c r="CO44" s="210"/>
      <c r="CP44" s="210"/>
      <c r="CQ44" s="210"/>
      <c r="CR44" s="210"/>
      <c r="CS44" s="210"/>
      <c r="CT44" s="43"/>
      <c r="CU44" s="43"/>
      <c r="CV44" s="43"/>
      <c r="CW44" s="43"/>
      <c r="CX44" s="43"/>
      <c r="CY44" s="43"/>
      <c r="CZ44" s="43"/>
      <c r="DA44" s="210"/>
      <c r="DB44" s="210"/>
      <c r="DC44" s="210"/>
      <c r="DD44" s="210"/>
      <c r="DE44" s="210"/>
      <c r="DF44" s="210"/>
      <c r="DG44" s="210"/>
      <c r="DH44" s="210"/>
      <c r="DI44" s="210"/>
      <c r="DJ44" s="210"/>
      <c r="DK44" s="210"/>
      <c r="DL44" s="210"/>
      <c r="DM44" s="686"/>
      <c r="DN44" s="686"/>
      <c r="DO44" s="686"/>
      <c r="DP44" s="686"/>
      <c r="DQ44" s="686"/>
      <c r="DR44" s="686"/>
      <c r="DS44" s="686"/>
      <c r="DT44" s="686"/>
      <c r="DU44" s="686"/>
      <c r="DV44" s="686"/>
      <c r="DW44" s="686"/>
      <c r="DX44" s="686"/>
      <c r="DY44" s="686"/>
      <c r="DZ44" s="686"/>
      <c r="EA44" s="686"/>
      <c r="EB44" s="686"/>
      <c r="EC44" s="686"/>
      <c r="ED44" s="686"/>
      <c r="EE44" s="686"/>
      <c r="EF44" s="686"/>
      <c r="EG44" s="686"/>
      <c r="EH44" s="686"/>
      <c r="EI44" s="686"/>
      <c r="EJ44" s="686"/>
      <c r="EK44" s="686"/>
      <c r="EL44" s="686"/>
      <c r="EM44" s="686"/>
      <c r="EN44" s="686"/>
      <c r="EO44" s="686"/>
      <c r="EP44" s="686"/>
      <c r="EQ44" s="686"/>
      <c r="ER44" s="686"/>
      <c r="ES44" s="686"/>
      <c r="ET44" s="686"/>
      <c r="EU44" s="686"/>
      <c r="EV44" s="686"/>
      <c r="EW44" s="686"/>
      <c r="EX44" s="686"/>
      <c r="EY44" s="686"/>
      <c r="EZ44" s="686"/>
      <c r="FA44" s="686"/>
      <c r="FB44" s="686"/>
      <c r="FC44" s="686"/>
      <c r="FD44" s="686"/>
      <c r="FE44" s="686"/>
      <c r="FF44" s="686"/>
      <c r="FG44" s="686"/>
      <c r="FH44" s="686"/>
      <c r="FI44" s="686"/>
      <c r="FJ44" s="686"/>
      <c r="FK44" s="686"/>
      <c r="FL44" s="79"/>
      <c r="FM44" s="168"/>
      <c r="FN44" s="168"/>
      <c r="FO44" s="168"/>
      <c r="FP44" s="168"/>
      <c r="FQ44" s="168"/>
      <c r="FR44" s="49"/>
      <c r="FS44" s="49"/>
      <c r="FT44" s="49"/>
      <c r="FU44" s="49"/>
      <c r="FV44" s="49"/>
      <c r="FW44" s="49"/>
      <c r="FX44" s="49"/>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78"/>
      <c r="HO44" s="78"/>
      <c r="HP44" s="78"/>
      <c r="HQ44" s="13"/>
      <c r="HR44" s="13"/>
      <c r="HS44" s="13"/>
      <c r="HT44" s="13"/>
      <c r="HU44" s="13"/>
      <c r="HV44" s="13"/>
      <c r="HW44" s="13"/>
      <c r="HX44" s="13"/>
      <c r="HY44" s="13"/>
      <c r="HZ44" s="13"/>
      <c r="IA44" s="13"/>
    </row>
    <row r="45" spans="1:235" ht="3.75" customHeight="1">
      <c r="A45" s="1"/>
      <c r="B45" s="3"/>
      <c r="C45" s="3"/>
      <c r="D45" s="12"/>
      <c r="E45" s="12"/>
      <c r="F45" s="10"/>
      <c r="G45" s="215"/>
      <c r="H45" s="39"/>
      <c r="I45" s="10"/>
      <c r="J45" s="212"/>
      <c r="K45" s="39"/>
      <c r="L45" s="39"/>
      <c r="M45" s="39"/>
      <c r="N45" s="197"/>
      <c r="O45" s="197"/>
      <c r="P45" s="197"/>
      <c r="Q45" s="197"/>
      <c r="R45" s="197"/>
      <c r="S45" s="215"/>
      <c r="T45" s="215"/>
      <c r="U45" s="215"/>
      <c r="V45" s="197"/>
      <c r="W45" s="147"/>
      <c r="X45" s="147"/>
      <c r="Y45" s="147"/>
      <c r="Z45" s="147"/>
      <c r="AA45" s="147"/>
      <c r="AB45" s="147"/>
      <c r="AC45" s="147"/>
      <c r="AD45" s="147"/>
      <c r="AE45" s="215"/>
      <c r="AF45" s="147" t="str">
        <f ca="1">IF(FP1=1,"`","")</f>
        <v/>
      </c>
      <c r="AG45" s="147" t="str">
        <f t="shared" ca="1" si="0"/>
        <v/>
      </c>
      <c r="AH45" s="147" t="str">
        <f t="shared" ca="1" si="1"/>
        <v/>
      </c>
      <c r="AI45" s="147" t="str">
        <f t="shared" ca="1" si="2"/>
        <v/>
      </c>
      <c r="AJ45" s="147" t="str">
        <f t="shared" ca="1" si="3"/>
        <v/>
      </c>
      <c r="AK45" s="147" t="str">
        <f t="shared" ca="1" si="4"/>
        <v/>
      </c>
      <c r="AL45" s="147" t="str">
        <f t="shared" ca="1" si="5"/>
        <v/>
      </c>
      <c r="AM45" s="147" t="str">
        <f t="shared" ca="1" si="6"/>
        <v/>
      </c>
      <c r="AN45" s="147" t="str">
        <f t="shared" ca="1" si="8"/>
        <v/>
      </c>
      <c r="AO45" s="147" t="str">
        <f t="shared" ca="1" si="10"/>
        <v/>
      </c>
      <c r="AP45" s="147" t="str">
        <f t="shared" ca="1" si="12"/>
        <v/>
      </c>
      <c r="AQ45" s="147" t="str">
        <f ca="1">IF($FN$28&gt;=4,"^",IF($FN$28=1,"^",""))</f>
        <v/>
      </c>
      <c r="AR45" s="147" t="str">
        <f ca="1">IF($FN$28&gt;=4,"^",IF($FN$28=1,"^",""))</f>
        <v/>
      </c>
      <c r="AS45" s="147" t="str">
        <f ca="1">IF($FN$28&gt;=4,"^",IF($FN$28=1,"^",""))</f>
        <v/>
      </c>
      <c r="AT45" s="147" t="str">
        <f ca="1">IF($FN$28&gt;=2,"!",IF($FN$28=1,"^",""))</f>
        <v/>
      </c>
      <c r="AU45" s="147" t="str">
        <f t="shared" ref="AU45:BF45" ca="1" si="16">IF($FN$28&gt;=4,"^",IF($FN$28=1,"^",""))</f>
        <v/>
      </c>
      <c r="AV45" s="147" t="str">
        <f t="shared" ca="1" si="16"/>
        <v/>
      </c>
      <c r="AW45" s="147" t="str">
        <f t="shared" ca="1" si="16"/>
        <v/>
      </c>
      <c r="AX45" s="147" t="str">
        <f t="shared" ca="1" si="16"/>
        <v/>
      </c>
      <c r="AY45" s="147" t="str">
        <f t="shared" ca="1" si="16"/>
        <v/>
      </c>
      <c r="AZ45" s="147" t="str">
        <f t="shared" ca="1" si="16"/>
        <v/>
      </c>
      <c r="BA45" s="147" t="str">
        <f t="shared" ca="1" si="16"/>
        <v/>
      </c>
      <c r="BB45" s="147" t="str">
        <f t="shared" ca="1" si="16"/>
        <v/>
      </c>
      <c r="BC45" s="147" t="str">
        <f t="shared" ca="1" si="16"/>
        <v/>
      </c>
      <c r="BD45" s="147" t="str">
        <f t="shared" ca="1" si="16"/>
        <v/>
      </c>
      <c r="BE45" s="147" t="str">
        <f t="shared" ca="1" si="16"/>
        <v/>
      </c>
      <c r="BF45" s="147" t="str">
        <f t="shared" ca="1" si="16"/>
        <v/>
      </c>
      <c r="BG45" s="147" t="str">
        <f ca="1">IF(FP1=1,":","")</f>
        <v/>
      </c>
      <c r="BH45" s="147" t="str">
        <f ca="1">IF(FP1=1,":","")</f>
        <v/>
      </c>
      <c r="BI45" s="215"/>
      <c r="BJ45" s="215"/>
      <c r="BK45" s="215"/>
      <c r="BL45" s="215"/>
      <c r="BM45" s="215"/>
      <c r="BN45" s="215"/>
      <c r="BO45" s="215"/>
      <c r="BP45" s="215"/>
      <c r="BQ45" s="215"/>
      <c r="BR45" s="215"/>
      <c r="BS45" s="215"/>
      <c r="BT45" s="215"/>
      <c r="BU45" s="147"/>
      <c r="BV45" s="147"/>
      <c r="BW45" s="147"/>
      <c r="BX45" s="147"/>
      <c r="BY45" s="147"/>
      <c r="BZ45" s="147"/>
      <c r="CA45" s="147"/>
      <c r="CB45" s="147"/>
      <c r="CC45" s="147"/>
      <c r="CD45" s="147"/>
      <c r="CE45" s="147"/>
      <c r="CF45" s="147"/>
      <c r="CG45" s="43"/>
      <c r="CH45" s="43"/>
      <c r="CI45" s="43"/>
      <c r="CJ45" s="43"/>
      <c r="CK45" s="43"/>
      <c r="CL45" s="43"/>
      <c r="CM45" s="210"/>
      <c r="CN45" s="210"/>
      <c r="CO45" s="210"/>
      <c r="CP45" s="210"/>
      <c r="CQ45" s="210"/>
      <c r="CR45" s="210"/>
      <c r="CS45" s="210"/>
      <c r="CT45" s="43"/>
      <c r="CU45" s="43"/>
      <c r="CV45" s="43"/>
      <c r="CW45" s="43"/>
      <c r="CX45" s="43"/>
      <c r="CY45" s="43"/>
      <c r="CZ45" s="43"/>
      <c r="DA45" s="210"/>
      <c r="DB45" s="210"/>
      <c r="DC45" s="210"/>
      <c r="DD45" s="210"/>
      <c r="DE45" s="210"/>
      <c r="DF45" s="210"/>
      <c r="DG45" s="210"/>
      <c r="DH45" s="210"/>
      <c r="DI45" s="210"/>
      <c r="DJ45" s="210"/>
      <c r="DK45" s="210"/>
      <c r="DL45" s="210"/>
      <c r="DM45" s="686"/>
      <c r="DN45" s="686"/>
      <c r="DO45" s="686"/>
      <c r="DP45" s="686"/>
      <c r="DQ45" s="686"/>
      <c r="DR45" s="686"/>
      <c r="DS45" s="686"/>
      <c r="DT45" s="686"/>
      <c r="DU45" s="686"/>
      <c r="DV45" s="686"/>
      <c r="DW45" s="686"/>
      <c r="DX45" s="686"/>
      <c r="DY45" s="686"/>
      <c r="DZ45" s="686"/>
      <c r="EA45" s="686"/>
      <c r="EB45" s="686"/>
      <c r="EC45" s="686"/>
      <c r="ED45" s="686"/>
      <c r="EE45" s="686"/>
      <c r="EF45" s="686"/>
      <c r="EG45" s="686"/>
      <c r="EH45" s="686"/>
      <c r="EI45" s="686"/>
      <c r="EJ45" s="686"/>
      <c r="EK45" s="686"/>
      <c r="EL45" s="686"/>
      <c r="EM45" s="686"/>
      <c r="EN45" s="686"/>
      <c r="EO45" s="686"/>
      <c r="EP45" s="686"/>
      <c r="EQ45" s="686"/>
      <c r="ER45" s="686"/>
      <c r="ES45" s="686"/>
      <c r="ET45" s="686"/>
      <c r="EU45" s="686"/>
      <c r="EV45" s="686"/>
      <c r="EW45" s="686"/>
      <c r="EX45" s="686"/>
      <c r="EY45" s="686"/>
      <c r="EZ45" s="686"/>
      <c r="FA45" s="686"/>
      <c r="FB45" s="686"/>
      <c r="FC45" s="686"/>
      <c r="FD45" s="686"/>
      <c r="FE45" s="686"/>
      <c r="FF45" s="686"/>
      <c r="FG45" s="686"/>
      <c r="FH45" s="686"/>
      <c r="FI45" s="686"/>
      <c r="FJ45" s="686"/>
      <c r="FK45" s="686"/>
      <c r="FL45" s="79"/>
      <c r="FM45" s="168"/>
      <c r="FN45" s="168"/>
      <c r="FO45" s="168"/>
      <c r="FP45" s="168"/>
      <c r="FQ45" s="168"/>
      <c r="FR45" s="49"/>
      <c r="FS45" s="49"/>
      <c r="FT45" s="49"/>
      <c r="FU45" s="49"/>
      <c r="FV45" s="49"/>
      <c r="FW45" s="49"/>
      <c r="FX45" s="49"/>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78"/>
      <c r="HO45" s="78"/>
      <c r="HP45" s="78"/>
      <c r="HQ45" s="13"/>
      <c r="HR45" s="13"/>
      <c r="HS45" s="13"/>
      <c r="HT45" s="13"/>
      <c r="HU45" s="13"/>
      <c r="HV45" s="13"/>
      <c r="HW45" s="13"/>
      <c r="HX45" s="13"/>
      <c r="HY45" s="13"/>
      <c r="HZ45" s="13"/>
      <c r="IA45" s="13"/>
    </row>
    <row r="46" spans="1:235" ht="3.75" customHeight="1">
      <c r="A46" s="1"/>
      <c r="B46" s="3"/>
      <c r="C46" s="3"/>
      <c r="D46" s="12"/>
      <c r="E46" s="12"/>
      <c r="F46" s="10"/>
      <c r="G46" s="215"/>
      <c r="H46" s="215"/>
      <c r="I46" s="215"/>
      <c r="J46" s="39"/>
      <c r="K46" s="39"/>
      <c r="L46" s="39"/>
      <c r="M46" s="39"/>
      <c r="N46" s="679" t="str">
        <f ca="1">IF($FN$28&gt;=4,"P ",IF($FN$28=3,"P ",""))</f>
        <v/>
      </c>
      <c r="O46" s="679"/>
      <c r="P46" s="679"/>
      <c r="Q46" s="679"/>
      <c r="R46" s="679"/>
      <c r="S46" s="679"/>
      <c r="T46" s="679"/>
      <c r="U46" s="679"/>
      <c r="V46" s="679"/>
      <c r="W46" s="679"/>
      <c r="X46" s="197"/>
      <c r="Y46" s="197"/>
      <c r="Z46" s="197"/>
      <c r="AA46" s="197"/>
      <c r="AB46" s="147" t="str">
        <f ca="1">IF($FN$28&gt;=4,"`",IF($FN$28=3,"`",""))</f>
        <v/>
      </c>
      <c r="AC46" s="197"/>
      <c r="AD46" s="197"/>
      <c r="AE46" s="215"/>
      <c r="AF46" s="147" t="str">
        <f ca="1">IF(FP1=1,"`","")</f>
        <v/>
      </c>
      <c r="AG46" s="147" t="str">
        <f t="shared" ca="1" si="0"/>
        <v/>
      </c>
      <c r="AH46" s="147" t="str">
        <f t="shared" ca="1" si="1"/>
        <v/>
      </c>
      <c r="AI46" s="147" t="str">
        <f t="shared" ca="1" si="2"/>
        <v/>
      </c>
      <c r="AJ46" s="147" t="str">
        <f t="shared" ca="1" si="3"/>
        <v/>
      </c>
      <c r="AK46" s="147" t="str">
        <f t="shared" ca="1" si="4"/>
        <v/>
      </c>
      <c r="AL46" s="147" t="str">
        <f t="shared" ca="1" si="5"/>
        <v/>
      </c>
      <c r="AM46" s="147" t="str">
        <f t="shared" ca="1" si="6"/>
        <v/>
      </c>
      <c r="AN46" s="147" t="str">
        <f t="shared" ca="1" si="8"/>
        <v/>
      </c>
      <c r="AO46" s="147" t="str">
        <f t="shared" ca="1" si="10"/>
        <v/>
      </c>
      <c r="AP46" s="147" t="str">
        <f t="shared" ca="1" si="12"/>
        <v/>
      </c>
      <c r="AQ46" s="147" t="str">
        <f ca="1">IF($FN$28&gt;=4,"^",IF($FN$28=1,"^",""))</f>
        <v/>
      </c>
      <c r="AR46" s="147" t="str">
        <f ca="1">IF($FN$28&gt;=4,"^",IF($FN$28=1,"^",""))</f>
        <v/>
      </c>
      <c r="AS46" s="147" t="str">
        <f ca="1">IF($FN$28&gt;=4,"^",IF($FN$28=1,"^",""))</f>
        <v/>
      </c>
      <c r="AT46" s="147" t="str">
        <f ca="1">IF($FN$28&gt;=4,"^",IF($FN$28=1,"^",""))</f>
        <v/>
      </c>
      <c r="AU46" s="147" t="str">
        <f ca="1">IF($FN$28&gt;=2,"!",IF($FN$28=1,"^",""))</f>
        <v/>
      </c>
      <c r="AV46" s="147" t="str">
        <f t="shared" ref="AV46:BH46" ca="1" si="17">IF($FN$28&gt;=4,"^",IF($FN$28=1,"^",""))</f>
        <v/>
      </c>
      <c r="AW46" s="147" t="str">
        <f t="shared" ca="1" si="17"/>
        <v/>
      </c>
      <c r="AX46" s="147" t="str">
        <f t="shared" ca="1" si="17"/>
        <v/>
      </c>
      <c r="AY46" s="147" t="str">
        <f t="shared" ca="1" si="17"/>
        <v/>
      </c>
      <c r="AZ46" s="147" t="str">
        <f t="shared" ca="1" si="17"/>
        <v/>
      </c>
      <c r="BA46" s="147" t="str">
        <f t="shared" ca="1" si="17"/>
        <v/>
      </c>
      <c r="BB46" s="147" t="str">
        <f t="shared" ca="1" si="17"/>
        <v/>
      </c>
      <c r="BC46" s="147" t="str">
        <f t="shared" ca="1" si="17"/>
        <v/>
      </c>
      <c r="BD46" s="147" t="str">
        <f t="shared" ca="1" si="17"/>
        <v/>
      </c>
      <c r="BE46" s="147" t="str">
        <f t="shared" ca="1" si="17"/>
        <v/>
      </c>
      <c r="BF46" s="147" t="str">
        <f t="shared" ca="1" si="17"/>
        <v/>
      </c>
      <c r="BG46" s="147" t="str">
        <f t="shared" ca="1" si="17"/>
        <v/>
      </c>
      <c r="BH46" s="147" t="str">
        <f t="shared" ca="1" si="17"/>
        <v/>
      </c>
      <c r="BI46" s="147" t="str">
        <f ca="1">IF(FP1=1,":","")</f>
        <v/>
      </c>
      <c r="BJ46" s="147" t="str">
        <f ca="1">IF(FP1=1,":","")</f>
        <v/>
      </c>
      <c r="BK46" s="197"/>
      <c r="BL46" s="197"/>
      <c r="BM46" s="197"/>
      <c r="BN46" s="197"/>
      <c r="BO46" s="197"/>
      <c r="BP46" s="197"/>
      <c r="BQ46" s="197"/>
      <c r="BR46" s="197"/>
      <c r="BS46" s="197"/>
      <c r="BT46" s="197"/>
      <c r="BU46" s="43"/>
      <c r="BV46" s="43"/>
      <c r="BW46" s="43"/>
      <c r="BX46" s="43"/>
      <c r="BY46" s="43"/>
      <c r="BZ46" s="147"/>
      <c r="CA46" s="147"/>
      <c r="CB46" s="147"/>
      <c r="CC46" s="147"/>
      <c r="CD46" s="147"/>
      <c r="CE46" s="147"/>
      <c r="CF46" s="43"/>
      <c r="CG46" s="43"/>
      <c r="CH46" s="43"/>
      <c r="CI46" s="43"/>
      <c r="CJ46" s="43"/>
      <c r="CK46" s="43"/>
      <c r="CL46" s="43"/>
      <c r="CM46" s="210"/>
      <c r="CN46" s="210"/>
      <c r="CO46" s="210"/>
      <c r="CP46" s="210"/>
      <c r="CQ46" s="210"/>
      <c r="CR46" s="210"/>
      <c r="CS46" s="210"/>
      <c r="CT46" s="43"/>
      <c r="CU46" s="43"/>
      <c r="CV46" s="43"/>
      <c r="CW46" s="43"/>
      <c r="CX46" s="43"/>
      <c r="CY46" s="43"/>
      <c r="CZ46" s="43"/>
      <c r="DA46" s="210"/>
      <c r="DB46" s="210"/>
      <c r="DC46" s="210"/>
      <c r="DD46" s="210"/>
      <c r="DE46" s="210"/>
      <c r="DF46" s="210"/>
      <c r="DG46" s="210"/>
      <c r="DH46" s="210"/>
      <c r="DI46" s="210"/>
      <c r="DJ46" s="210"/>
      <c r="DK46" s="210"/>
      <c r="DL46" s="210"/>
      <c r="DM46" s="686"/>
      <c r="DN46" s="686"/>
      <c r="DO46" s="686"/>
      <c r="DP46" s="686"/>
      <c r="DQ46" s="686"/>
      <c r="DR46" s="686"/>
      <c r="DS46" s="686"/>
      <c r="DT46" s="686"/>
      <c r="DU46" s="686"/>
      <c r="DV46" s="686"/>
      <c r="DW46" s="686"/>
      <c r="DX46" s="686"/>
      <c r="DY46" s="686"/>
      <c r="DZ46" s="686"/>
      <c r="EA46" s="686"/>
      <c r="EB46" s="686"/>
      <c r="EC46" s="686"/>
      <c r="ED46" s="686"/>
      <c r="EE46" s="686"/>
      <c r="EF46" s="686"/>
      <c r="EG46" s="686"/>
      <c r="EH46" s="686"/>
      <c r="EI46" s="686"/>
      <c r="EJ46" s="686"/>
      <c r="EK46" s="686"/>
      <c r="EL46" s="686"/>
      <c r="EM46" s="686"/>
      <c r="EN46" s="686"/>
      <c r="EO46" s="686"/>
      <c r="EP46" s="686"/>
      <c r="EQ46" s="686"/>
      <c r="ER46" s="686"/>
      <c r="ES46" s="686"/>
      <c r="ET46" s="686"/>
      <c r="EU46" s="686"/>
      <c r="EV46" s="686"/>
      <c r="EW46" s="686"/>
      <c r="EX46" s="686"/>
      <c r="EY46" s="686"/>
      <c r="EZ46" s="686"/>
      <c r="FA46" s="686"/>
      <c r="FB46" s="686"/>
      <c r="FC46" s="686"/>
      <c r="FD46" s="686"/>
      <c r="FE46" s="686"/>
      <c r="FF46" s="686"/>
      <c r="FG46" s="686"/>
      <c r="FH46" s="686"/>
      <c r="FI46" s="686"/>
      <c r="FJ46" s="686"/>
      <c r="FK46" s="686"/>
      <c r="FL46" s="79"/>
      <c r="FM46" s="168"/>
      <c r="FN46" s="168"/>
      <c r="FO46" s="168"/>
      <c r="FP46" s="168"/>
      <c r="FQ46" s="168"/>
      <c r="FR46" s="49"/>
      <c r="FS46" s="49"/>
      <c r="FT46" s="49"/>
      <c r="FU46" s="49"/>
      <c r="FV46" s="49"/>
      <c r="FW46" s="49"/>
      <c r="FX46" s="49"/>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78"/>
      <c r="HO46" s="78"/>
      <c r="HP46" s="78"/>
      <c r="HQ46" s="13"/>
      <c r="HR46" s="13"/>
      <c r="HS46" s="13"/>
      <c r="HT46" s="13"/>
      <c r="HU46" s="13"/>
      <c r="HV46" s="13"/>
      <c r="HW46" s="13"/>
      <c r="HX46" s="13"/>
      <c r="HY46" s="13"/>
      <c r="HZ46" s="13"/>
      <c r="IA46" s="13"/>
    </row>
    <row r="47" spans="1:235" ht="3.75" customHeight="1">
      <c r="A47" s="1"/>
      <c r="B47" s="3"/>
      <c r="C47" s="3"/>
      <c r="D47" s="12"/>
      <c r="E47" s="12"/>
      <c r="F47" s="215"/>
      <c r="G47" s="215"/>
      <c r="H47" s="215"/>
      <c r="I47" s="215"/>
      <c r="J47" s="39"/>
      <c r="K47" s="39"/>
      <c r="L47" s="39"/>
      <c r="M47" s="39"/>
      <c r="N47" s="679"/>
      <c r="O47" s="679"/>
      <c r="P47" s="679"/>
      <c r="Q47" s="679"/>
      <c r="R47" s="679"/>
      <c r="S47" s="679"/>
      <c r="T47" s="679"/>
      <c r="U47" s="679"/>
      <c r="V47" s="679"/>
      <c r="W47" s="679"/>
      <c r="X47" s="197"/>
      <c r="Y47" s="197"/>
      <c r="Z47" s="197"/>
      <c r="AA47" s="197"/>
      <c r="AB47" s="147" t="str">
        <f ca="1">IF($FN$28&gt;=4,"`",IF($FN$28=3,"`",""))</f>
        <v/>
      </c>
      <c r="AC47" s="147" t="str">
        <f ca="1">IF($FN$28&gt;=4,"`",IF($FN$28=3,"`",""))</f>
        <v/>
      </c>
      <c r="AD47" s="197"/>
      <c r="AE47" s="215"/>
      <c r="AF47" s="147" t="str">
        <f ca="1">IF(FP1=1,"`","")</f>
        <v/>
      </c>
      <c r="AG47" s="147" t="str">
        <f t="shared" ca="1" si="0"/>
        <v/>
      </c>
      <c r="AH47" s="147" t="str">
        <f t="shared" ca="1" si="1"/>
        <v/>
      </c>
      <c r="AI47" s="147" t="str">
        <f t="shared" ca="1" si="2"/>
        <v/>
      </c>
      <c r="AJ47" s="147" t="str">
        <f t="shared" ca="1" si="3"/>
        <v/>
      </c>
      <c r="AK47" s="147" t="str">
        <f t="shared" ca="1" si="4"/>
        <v/>
      </c>
      <c r="AL47" s="147" t="str">
        <f t="shared" ca="1" si="5"/>
        <v/>
      </c>
      <c r="AM47" s="147" t="str">
        <f t="shared" ca="1" si="6"/>
        <v/>
      </c>
      <c r="AN47" s="147" t="str">
        <f t="shared" ca="1" si="8"/>
        <v/>
      </c>
      <c r="AO47" s="147" t="str">
        <f t="shared" ca="1" si="10"/>
        <v/>
      </c>
      <c r="AP47" s="147" t="str">
        <f t="shared" ca="1" si="12"/>
        <v/>
      </c>
      <c r="AQ47" s="147" t="str">
        <f ca="1">IF($FN$28&gt;=4,"^",IF($FN$28=1,"^",""))</f>
        <v/>
      </c>
      <c r="AR47" s="147" t="str">
        <f ca="1">IF($FN$28&gt;=4,"^",IF($FN$28=1,"^",""))</f>
        <v/>
      </c>
      <c r="AS47" s="147" t="str">
        <f ca="1">IF($FN$28&gt;=4,"^",IF($FN$28=1,"^",""))</f>
        <v/>
      </c>
      <c r="AT47" s="147" t="str">
        <f ca="1">IF($FN$28&gt;=4,"^",IF($FN$28=1,"^",""))</f>
        <v/>
      </c>
      <c r="AU47" s="147" t="str">
        <f ca="1">IF($FN$28&gt;=4,"^",IF($FN$28=1,"^",""))</f>
        <v/>
      </c>
      <c r="AV47" s="147" t="str">
        <f ca="1">IF($FN$28&gt;=2,"!",IF($FN$28=1,"^",""))</f>
        <v/>
      </c>
      <c r="AW47" s="147" t="str">
        <f t="shared" ref="AW47:BJ47" ca="1" si="18">IF($FN$28&gt;=4,"^",IF($FN$28=1,"^",""))</f>
        <v/>
      </c>
      <c r="AX47" s="147" t="str">
        <f t="shared" ca="1" si="18"/>
        <v/>
      </c>
      <c r="AY47" s="147" t="str">
        <f t="shared" ca="1" si="18"/>
        <v/>
      </c>
      <c r="AZ47" s="147" t="str">
        <f t="shared" ca="1" si="18"/>
        <v/>
      </c>
      <c r="BA47" s="147" t="str">
        <f t="shared" ca="1" si="18"/>
        <v/>
      </c>
      <c r="BB47" s="147" t="str">
        <f t="shared" ca="1" si="18"/>
        <v/>
      </c>
      <c r="BC47" s="147" t="str">
        <f t="shared" ca="1" si="18"/>
        <v/>
      </c>
      <c r="BD47" s="147" t="str">
        <f t="shared" ca="1" si="18"/>
        <v/>
      </c>
      <c r="BE47" s="147" t="str">
        <f t="shared" ca="1" si="18"/>
        <v/>
      </c>
      <c r="BF47" s="147" t="str">
        <f t="shared" ca="1" si="18"/>
        <v/>
      </c>
      <c r="BG47" s="147" t="str">
        <f t="shared" ca="1" si="18"/>
        <v/>
      </c>
      <c r="BH47" s="147" t="str">
        <f t="shared" ca="1" si="18"/>
        <v/>
      </c>
      <c r="BI47" s="147" t="str">
        <f t="shared" ca="1" si="18"/>
        <v/>
      </c>
      <c r="BJ47" s="147" t="str">
        <f t="shared" ca="1" si="18"/>
        <v/>
      </c>
      <c r="BK47" s="147" t="str">
        <f ca="1">IF(FP1=1,":","")</f>
        <v/>
      </c>
      <c r="BL47" s="147" t="str">
        <f ca="1">IF(FP1=1,":","")</f>
        <v/>
      </c>
      <c r="BM47" s="197"/>
      <c r="BN47" s="197"/>
      <c r="BO47" s="197"/>
      <c r="BP47" s="197"/>
      <c r="BQ47" s="197"/>
      <c r="BR47" s="197"/>
      <c r="BS47" s="197"/>
      <c r="BT47" s="197"/>
      <c r="BU47" s="43"/>
      <c r="BV47" s="43"/>
      <c r="BW47" s="43"/>
      <c r="BX47" s="147"/>
      <c r="BY47" s="147"/>
      <c r="BZ47" s="43"/>
      <c r="CA47" s="147"/>
      <c r="CB47" s="147"/>
      <c r="CC47" s="43"/>
      <c r="CD47" s="43"/>
      <c r="CE47" s="43"/>
      <c r="CF47" s="43"/>
      <c r="CG47" s="43"/>
      <c r="CH47" s="43"/>
      <c r="CI47" s="43"/>
      <c r="CJ47" s="43"/>
      <c r="CK47" s="43"/>
      <c r="CL47" s="43"/>
      <c r="CM47" s="210"/>
      <c r="CN47" s="210"/>
      <c r="CO47" s="210"/>
      <c r="CP47" s="210"/>
      <c r="CQ47" s="210"/>
      <c r="CR47" s="210"/>
      <c r="CS47" s="210"/>
      <c r="CT47" s="43"/>
      <c r="CU47" s="43"/>
      <c r="CV47" s="43"/>
      <c r="CW47" s="43"/>
      <c r="CX47" s="43"/>
      <c r="CY47" s="43"/>
      <c r="CZ47" s="43"/>
      <c r="DA47" s="210"/>
      <c r="DB47" s="210"/>
      <c r="DC47" s="210"/>
      <c r="DD47" s="210"/>
      <c r="DE47" s="210"/>
      <c r="DF47" s="210"/>
      <c r="DG47" s="210"/>
      <c r="DH47" s="210"/>
      <c r="DI47" s="210"/>
      <c r="DJ47" s="210"/>
      <c r="DK47" s="210"/>
      <c r="DL47" s="210"/>
      <c r="DM47" s="686"/>
      <c r="DN47" s="686"/>
      <c r="DO47" s="686"/>
      <c r="DP47" s="686"/>
      <c r="DQ47" s="686"/>
      <c r="DR47" s="686"/>
      <c r="DS47" s="686"/>
      <c r="DT47" s="686"/>
      <c r="DU47" s="686"/>
      <c r="DV47" s="686"/>
      <c r="DW47" s="686"/>
      <c r="DX47" s="686"/>
      <c r="DY47" s="686"/>
      <c r="DZ47" s="686"/>
      <c r="EA47" s="686"/>
      <c r="EB47" s="686"/>
      <c r="EC47" s="686"/>
      <c r="ED47" s="686"/>
      <c r="EE47" s="686"/>
      <c r="EF47" s="686"/>
      <c r="EG47" s="686"/>
      <c r="EH47" s="686"/>
      <c r="EI47" s="686"/>
      <c r="EJ47" s="686"/>
      <c r="EK47" s="686"/>
      <c r="EL47" s="686"/>
      <c r="EM47" s="686"/>
      <c r="EN47" s="686"/>
      <c r="EO47" s="686"/>
      <c r="EP47" s="686"/>
      <c r="EQ47" s="686"/>
      <c r="ER47" s="686"/>
      <c r="ES47" s="686"/>
      <c r="ET47" s="686"/>
      <c r="EU47" s="686"/>
      <c r="EV47" s="686"/>
      <c r="EW47" s="686"/>
      <c r="EX47" s="686"/>
      <c r="EY47" s="686"/>
      <c r="EZ47" s="686"/>
      <c r="FA47" s="686"/>
      <c r="FB47" s="686"/>
      <c r="FC47" s="686"/>
      <c r="FD47" s="686"/>
      <c r="FE47" s="686"/>
      <c r="FF47" s="686"/>
      <c r="FG47" s="686"/>
      <c r="FH47" s="686"/>
      <c r="FI47" s="686"/>
      <c r="FJ47" s="686"/>
      <c r="FK47" s="686"/>
      <c r="FL47" s="79"/>
      <c r="FM47" s="168"/>
      <c r="FN47" s="168"/>
      <c r="FO47" s="168"/>
      <c r="FP47" s="168"/>
      <c r="FQ47" s="168"/>
      <c r="FR47" s="49"/>
      <c r="FS47" s="49"/>
      <c r="FT47" s="49"/>
      <c r="FU47" s="49"/>
      <c r="FV47" s="49"/>
      <c r="FW47" s="49"/>
      <c r="FX47" s="49"/>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78"/>
      <c r="HO47" s="78"/>
      <c r="HP47" s="78"/>
      <c r="HQ47" s="13"/>
      <c r="HR47" s="13"/>
      <c r="HS47" s="13"/>
      <c r="HT47" s="13"/>
      <c r="HU47" s="13"/>
      <c r="HV47" s="13"/>
      <c r="HW47" s="13"/>
      <c r="HX47" s="13"/>
      <c r="HY47" s="13"/>
      <c r="HZ47" s="13"/>
      <c r="IA47" s="13"/>
    </row>
    <row r="48" spans="1:235" ht="3.75" customHeight="1">
      <c r="A48" s="1"/>
      <c r="B48" s="3"/>
      <c r="C48" s="3"/>
      <c r="D48" s="12"/>
      <c r="E48" s="12"/>
      <c r="F48" s="10"/>
      <c r="G48" s="215"/>
      <c r="H48" s="215"/>
      <c r="I48" s="215"/>
      <c r="J48" s="39"/>
      <c r="K48" s="39"/>
      <c r="L48" s="39"/>
      <c r="M48" s="39"/>
      <c r="N48" s="679"/>
      <c r="O48" s="679"/>
      <c r="P48" s="679"/>
      <c r="Q48" s="679"/>
      <c r="R48" s="679"/>
      <c r="S48" s="679"/>
      <c r="T48" s="679"/>
      <c r="U48" s="679"/>
      <c r="V48" s="679"/>
      <c r="W48" s="679"/>
      <c r="X48" s="147" t="str">
        <f ca="1">IF($FN$28&gt;=4,"`",IF($FN$28=3,"`",""))</f>
        <v/>
      </c>
      <c r="Y48" s="147" t="str">
        <f ca="1">IF($FN$28&gt;=4,"`",IF($FN$28=3,"`",""))</f>
        <v/>
      </c>
      <c r="Z48" s="147" t="str">
        <f ca="1">IF($FN$28&gt;=4,"`",IF($FN$28=3,"`",""))</f>
        <v/>
      </c>
      <c r="AA48" s="147" t="str">
        <f ca="1">IF($FN$28&gt;=4,"`",IF($FN$28=3,"`",""))</f>
        <v/>
      </c>
      <c r="AB48" s="147" t="str">
        <f ca="1">IF($FN$28&gt;=4,"`",IF($FN$28=3,"`",""))</f>
        <v/>
      </c>
      <c r="AC48" s="147" t="str">
        <f ca="1">IF($FN$28&gt;=4,"`",IF($FN$28=3,"`",""))</f>
        <v/>
      </c>
      <c r="AD48" s="147" t="str">
        <f ca="1">IF($FN$28&gt;=4,"`",IF($FN$28=3,"`",""))</f>
        <v/>
      </c>
      <c r="AE48" s="215"/>
      <c r="AF48" s="147" t="str">
        <f ca="1">IF(FP1=1,"`","")</f>
        <v/>
      </c>
      <c r="AG48" s="147" t="str">
        <f ca="1">IF($FN$28&gt;=4,"`",IF($FN$28=3,"`",IF($FN$28=1,"^","")))</f>
        <v/>
      </c>
      <c r="AH48" s="147" t="str">
        <f ca="1">IF($FN$28&gt;=4,"`",IF($FN$28=1,"^",""))</f>
        <v/>
      </c>
      <c r="AI48" s="147" t="str">
        <f ca="1">IF($FN$28&gt;=4,"`",IF($FN$28=3,"`",IF($FN$28=1,"^","")))</f>
        <v/>
      </c>
      <c r="AJ48" s="147" t="str">
        <f ca="1">IF($FN$28&gt;=4,"`",IF($FN$28=1,"^",""))</f>
        <v/>
      </c>
      <c r="AK48" s="147" t="str">
        <f ca="1">IF($FN$28&gt;=4,"`",IF($FN$28=3,"`",IF($FN$28=1,"^","")))</f>
        <v/>
      </c>
      <c r="AL48" s="147" t="str">
        <f ca="1">IF($FN$28&gt;=4,"`",IF($FN$28=1,"^",""))</f>
        <v/>
      </c>
      <c r="AM48" s="147" t="str">
        <f ca="1">IF($FN$28&gt;=4,"`",IF($FN$28=3,"`",IF($FN$28=1,"^","")))</f>
        <v/>
      </c>
      <c r="AN48" s="147" t="str">
        <f ca="1">IF($FN$28&gt;=4,"`",IF($FN$28=1,"^",""))</f>
        <v/>
      </c>
      <c r="AO48" s="147" t="str">
        <f ca="1">IF($FN$28&gt;=4,"`",IF($FN$28=3,"`",IF($FN$28=1,"^","")))</f>
        <v/>
      </c>
      <c r="AP48" s="147" t="str">
        <f ca="1">IF($FN$28&gt;=4,"`",IF($FN$28=1,"^",""))</f>
        <v/>
      </c>
      <c r="AQ48" s="147" t="str">
        <f ca="1">IF($FN$28&gt;=4,"`",IF($FN$28=3,"`",IF($FN$28=1,"^","")))</f>
        <v/>
      </c>
      <c r="AR48" s="147" t="str">
        <f ca="1">IF($FN$28&gt;=4,"`",IF($FN$28=1,"^",""))</f>
        <v/>
      </c>
      <c r="AS48" s="147" t="str">
        <f ca="1">IF($FN$28&gt;=4,"`",IF($FN$28=3,"`",IF($FN$28=1,"^","")))</f>
        <v/>
      </c>
      <c r="AT48" s="147" t="str">
        <f ca="1">IF($FN$28&gt;=4,"`",IF($FN$28=1,"^",""))</f>
        <v/>
      </c>
      <c r="AU48" s="147" t="str">
        <f ca="1">IF($FN$28&gt;=4,"`",IF($FN$28=3,"`",IF($FN$28=1,"^","")))</f>
        <v/>
      </c>
      <c r="AV48" s="147" t="str">
        <f ca="1">IF($FN$28&gt;=4,"`",IF($FN$28=1,"^",""))</f>
        <v/>
      </c>
      <c r="AW48" s="147" t="str">
        <f ca="1">IF($FN$28&gt;=2,"!",IF($FN$28=1,"^",""))</f>
        <v/>
      </c>
      <c r="AX48" s="147" t="str">
        <f ca="1">IF($FN$28&gt;=4,"`",IF($FN$28=1,"^",""))</f>
        <v/>
      </c>
      <c r="AY48" s="147" t="str">
        <f ca="1">IF($FN$28&gt;=4,"`",IF($FN$28=3,"`",IF($FN$28=1,"^","")))</f>
        <v/>
      </c>
      <c r="AZ48" s="147" t="str">
        <f ca="1">IF($FN$28&gt;=4,"`",IF($FN$28=1,"^",""))</f>
        <v/>
      </c>
      <c r="BA48" s="147" t="str">
        <f ca="1">IF($FN$28&gt;=4,"`",IF($FN$28=3,"`",IF($FN$28=1,"^","")))</f>
        <v/>
      </c>
      <c r="BB48" s="147" t="str">
        <f ca="1">IF($FN$28&gt;=4,"`",IF($FN$28=1,"^",""))</f>
        <v/>
      </c>
      <c r="BC48" s="147" t="str">
        <f ca="1">IF($FN$28&gt;=4,"`",IF($FN$28=3,"`",IF($FN$28=1,"^","")))</f>
        <v/>
      </c>
      <c r="BD48" s="147" t="str">
        <f ca="1">IF($FN$28&gt;=4,"`",IF($FN$28=1,"^",""))</f>
        <v/>
      </c>
      <c r="BE48" s="147" t="str">
        <f ca="1">IF($FN$28&gt;=4,"`",IF($FN$28=3,"`",IF($FN$28=1,"^","")))</f>
        <v/>
      </c>
      <c r="BF48" s="147" t="str">
        <f ca="1">IF($FN$28&gt;=4,"`",IF($FN$28=1,"^",""))</f>
        <v/>
      </c>
      <c r="BG48" s="147" t="str">
        <f ca="1">IF($FN$28&gt;=4,"`",IF($FN$28=3,"`",IF($FN$28=1,"^","")))</f>
        <v/>
      </c>
      <c r="BH48" s="147" t="str">
        <f ca="1">IF($FN$28&gt;=4,"`",IF($FN$28=1,"^",""))</f>
        <v/>
      </c>
      <c r="BI48" s="147" t="str">
        <f ca="1">IF($FN$28&gt;=4,"`",IF($FN$28=3,"`",IF($FN$28=1,"^","")))</f>
        <v/>
      </c>
      <c r="BJ48" s="147" t="str">
        <f ca="1">IF($FN$28&gt;=4,"`",IF($FN$28=1,"^",""))</f>
        <v/>
      </c>
      <c r="BK48" s="147" t="str">
        <f ca="1">IF($FN$28&gt;=4,"`",IF($FN$28=3,"`",IF($FN$28=1,"^","")))</f>
        <v/>
      </c>
      <c r="BL48" s="147" t="str">
        <f ca="1">IF($FN$28&gt;=4,"`",IF($FN$28=1,"^",""))</f>
        <v/>
      </c>
      <c r="BM48" s="147" t="str">
        <f ca="1">IF($FN$28=3,"`",IF(FP1=1,":",""))</f>
        <v/>
      </c>
      <c r="BN48" s="147" t="str">
        <f ca="1">IF(FP1=1,":","")</f>
        <v/>
      </c>
      <c r="BO48" s="197"/>
      <c r="BP48" s="197"/>
      <c r="BQ48" s="197"/>
      <c r="BR48" s="197"/>
      <c r="BS48" s="197"/>
      <c r="BT48" s="197"/>
      <c r="BU48" s="43"/>
      <c r="BV48" s="147"/>
      <c r="BW48" s="147"/>
      <c r="BX48" s="43"/>
      <c r="BY48" s="147"/>
      <c r="BZ48" s="147"/>
      <c r="CA48" s="43"/>
      <c r="CB48" s="43"/>
      <c r="CC48" s="43"/>
      <c r="CD48" s="43"/>
      <c r="CE48" s="43"/>
      <c r="CF48" s="43"/>
      <c r="CG48" s="43"/>
      <c r="CH48" s="43"/>
      <c r="CI48" s="43"/>
      <c r="CJ48" s="43"/>
      <c r="CK48" s="43"/>
      <c r="CL48" s="43"/>
      <c r="CM48" s="210"/>
      <c r="CN48" s="210"/>
      <c r="CO48" s="210"/>
      <c r="CP48" s="210"/>
      <c r="CQ48" s="210"/>
      <c r="CR48" s="210"/>
      <c r="CS48" s="43"/>
      <c r="CT48" s="43"/>
      <c r="CU48" s="43"/>
      <c r="CV48" s="43"/>
      <c r="CW48" s="43"/>
      <c r="CX48" s="43"/>
      <c r="CY48" s="43"/>
      <c r="CZ48" s="210"/>
      <c r="DA48" s="210"/>
      <c r="DB48" s="210"/>
      <c r="DC48" s="210"/>
      <c r="DD48" s="210"/>
      <c r="DE48" s="210"/>
      <c r="DF48" s="210"/>
      <c r="DG48" s="210"/>
      <c r="DH48" s="210"/>
      <c r="DI48" s="210"/>
      <c r="DJ48" s="210"/>
      <c r="DK48" s="210"/>
      <c r="DL48" s="210"/>
      <c r="DM48" s="686"/>
      <c r="DN48" s="686"/>
      <c r="DO48" s="686"/>
      <c r="DP48" s="686"/>
      <c r="DQ48" s="686"/>
      <c r="DR48" s="686"/>
      <c r="DS48" s="686"/>
      <c r="DT48" s="686"/>
      <c r="DU48" s="686"/>
      <c r="DV48" s="686"/>
      <c r="DW48" s="686"/>
      <c r="DX48" s="686"/>
      <c r="DY48" s="686"/>
      <c r="DZ48" s="686"/>
      <c r="EA48" s="686"/>
      <c r="EB48" s="686"/>
      <c r="EC48" s="686"/>
      <c r="ED48" s="686"/>
      <c r="EE48" s="686"/>
      <c r="EF48" s="686"/>
      <c r="EG48" s="686"/>
      <c r="EH48" s="686"/>
      <c r="EI48" s="686"/>
      <c r="EJ48" s="686"/>
      <c r="EK48" s="686"/>
      <c r="EL48" s="686"/>
      <c r="EM48" s="686"/>
      <c r="EN48" s="686"/>
      <c r="EO48" s="686"/>
      <c r="EP48" s="686"/>
      <c r="EQ48" s="686"/>
      <c r="ER48" s="686"/>
      <c r="ES48" s="686"/>
      <c r="ET48" s="686"/>
      <c r="EU48" s="686"/>
      <c r="EV48" s="686"/>
      <c r="EW48" s="686"/>
      <c r="EX48" s="686"/>
      <c r="EY48" s="686"/>
      <c r="EZ48" s="686"/>
      <c r="FA48" s="686"/>
      <c r="FB48" s="686"/>
      <c r="FC48" s="686"/>
      <c r="FD48" s="686"/>
      <c r="FE48" s="686"/>
      <c r="FF48" s="686"/>
      <c r="FG48" s="686"/>
      <c r="FH48" s="686"/>
      <c r="FI48" s="686"/>
      <c r="FJ48" s="686"/>
      <c r="FK48" s="686"/>
      <c r="FL48" s="79"/>
      <c r="FM48" s="168"/>
      <c r="FN48" s="168"/>
      <c r="FO48" s="168"/>
      <c r="FP48" s="168"/>
      <c r="FQ48" s="168"/>
      <c r="FR48" s="49"/>
      <c r="FS48" s="49"/>
      <c r="FT48" s="49"/>
      <c r="FU48" s="49"/>
      <c r="FV48" s="49"/>
      <c r="FW48" s="49"/>
      <c r="FX48" s="49"/>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78"/>
      <c r="HO48" s="78"/>
      <c r="HP48" s="78"/>
      <c r="HQ48" s="13"/>
      <c r="HR48" s="13"/>
      <c r="HS48" s="13"/>
      <c r="HT48" s="13"/>
      <c r="HU48" s="13"/>
      <c r="HV48" s="13"/>
      <c r="HW48" s="13"/>
      <c r="HX48" s="13"/>
      <c r="HY48" s="13"/>
      <c r="HZ48" s="13"/>
      <c r="IA48" s="13"/>
    </row>
    <row r="49" spans="1:235" ht="3.75" customHeight="1">
      <c r="A49" s="1"/>
      <c r="B49" s="3"/>
      <c r="C49" s="3"/>
      <c r="D49" s="12"/>
      <c r="E49" s="12"/>
      <c r="F49" s="10"/>
      <c r="G49" s="215"/>
      <c r="H49" s="39"/>
      <c r="I49" s="10"/>
      <c r="J49" s="39"/>
      <c r="K49" s="39"/>
      <c r="L49" s="39"/>
      <c r="M49" s="39"/>
      <c r="N49" s="679"/>
      <c r="O49" s="679"/>
      <c r="P49" s="679"/>
      <c r="Q49" s="679"/>
      <c r="R49" s="679"/>
      <c r="S49" s="679"/>
      <c r="T49" s="679"/>
      <c r="U49" s="679"/>
      <c r="V49" s="679"/>
      <c r="W49" s="679"/>
      <c r="X49" s="197"/>
      <c r="Y49" s="197"/>
      <c r="Z49" s="197"/>
      <c r="AA49" s="197"/>
      <c r="AB49" s="147" t="str">
        <f ca="1">IF($FN$28&gt;=4,"`",IF($FN$28=3,"`",""))</f>
        <v/>
      </c>
      <c r="AC49" s="147" t="str">
        <f ca="1">IF($FN$28&gt;=4,"`",IF($FN$28=3,"`",""))</f>
        <v/>
      </c>
      <c r="AD49" s="197"/>
      <c r="AE49" s="215"/>
      <c r="AF49" s="147" t="str">
        <f ca="1">IF(FP1=1,"`","")</f>
        <v/>
      </c>
      <c r="AG49" s="147" t="str">
        <f t="shared" ref="AG49:AP63" ca="1" si="19">IF($FN$28&gt;=4,"*",IF($FN$28=1,"^",""))</f>
        <v/>
      </c>
      <c r="AH49" s="147" t="str">
        <f t="shared" ca="1" si="19"/>
        <v/>
      </c>
      <c r="AI49" s="147" t="str">
        <f t="shared" ca="1" si="19"/>
        <v/>
      </c>
      <c r="AJ49" s="147" t="str">
        <f t="shared" ca="1" si="19"/>
        <v/>
      </c>
      <c r="AK49" s="147" t="str">
        <f t="shared" ca="1" si="19"/>
        <v/>
      </c>
      <c r="AL49" s="147" t="str">
        <f t="shared" ca="1" si="19"/>
        <v/>
      </c>
      <c r="AM49" s="147" t="str">
        <f t="shared" ca="1" si="19"/>
        <v/>
      </c>
      <c r="AN49" s="147" t="str">
        <f t="shared" ca="1" si="19"/>
        <v/>
      </c>
      <c r="AO49" s="147" t="str">
        <f t="shared" ca="1" si="19"/>
        <v/>
      </c>
      <c r="AP49" s="147" t="str">
        <f t="shared" ca="1" si="19"/>
        <v/>
      </c>
      <c r="AQ49" s="147" t="str">
        <f t="shared" ref="AQ49:AW63" ca="1" si="20">IF($FN$28&gt;=4,"*",IF($FN$28=1,"^",""))</f>
        <v/>
      </c>
      <c r="AR49" s="147" t="str">
        <f t="shared" ca="1" si="20"/>
        <v/>
      </c>
      <c r="AS49" s="147" t="str">
        <f t="shared" ca="1" si="20"/>
        <v/>
      </c>
      <c r="AT49" s="147" t="str">
        <f t="shared" ca="1" si="20"/>
        <v/>
      </c>
      <c r="AU49" s="147" t="str">
        <f t="shared" ca="1" si="20"/>
        <v/>
      </c>
      <c r="AV49" s="147" t="str">
        <f t="shared" ca="1" si="20"/>
        <v/>
      </c>
      <c r="AW49" s="147" t="str">
        <f t="shared" ca="1" si="20"/>
        <v/>
      </c>
      <c r="AX49" s="147" t="str">
        <f ca="1">IF($FN$28&gt;=2,"!",IF($FN$28=1,"^",""))</f>
        <v/>
      </c>
      <c r="AY49" s="147" t="str">
        <f t="shared" ref="AY49:BL49" ca="1" si="21">IF($FN$28&gt;=4,"*",IF($FN$28=1,"^",""))</f>
        <v/>
      </c>
      <c r="AZ49" s="147" t="str">
        <f t="shared" ca="1" si="21"/>
        <v/>
      </c>
      <c r="BA49" s="147" t="str">
        <f t="shared" ca="1" si="21"/>
        <v/>
      </c>
      <c r="BB49" s="147" t="str">
        <f t="shared" ca="1" si="21"/>
        <v/>
      </c>
      <c r="BC49" s="147" t="str">
        <f t="shared" ca="1" si="21"/>
        <v/>
      </c>
      <c r="BD49" s="147" t="str">
        <f t="shared" ca="1" si="21"/>
        <v/>
      </c>
      <c r="BE49" s="147" t="str">
        <f t="shared" ca="1" si="21"/>
        <v/>
      </c>
      <c r="BF49" s="147" t="str">
        <f t="shared" ca="1" si="21"/>
        <v/>
      </c>
      <c r="BG49" s="147" t="str">
        <f t="shared" ca="1" si="21"/>
        <v/>
      </c>
      <c r="BH49" s="147" t="str">
        <f t="shared" ca="1" si="21"/>
        <v/>
      </c>
      <c r="BI49" s="147" t="str">
        <f t="shared" ca="1" si="21"/>
        <v/>
      </c>
      <c r="BJ49" s="147" t="str">
        <f t="shared" ca="1" si="21"/>
        <v/>
      </c>
      <c r="BK49" s="147" t="str">
        <f t="shared" ca="1" si="21"/>
        <v/>
      </c>
      <c r="BL49" s="147" t="str">
        <f t="shared" ca="1" si="21"/>
        <v/>
      </c>
      <c r="BM49" s="147" t="str">
        <f ca="1">IF($FN$28&gt;=4,"`",IF($FN$28=1,"^",""))</f>
        <v/>
      </c>
      <c r="BN49" s="147" t="str">
        <f ca="1">IF($FN$28=5,",",IF($FN$28=1,"^",""))</f>
        <v/>
      </c>
      <c r="BO49" s="147" t="str">
        <f ca="1">IF(FP1=1,":","")</f>
        <v/>
      </c>
      <c r="BP49" s="147" t="str">
        <f ca="1">IF(FP1=1,":","")</f>
        <v/>
      </c>
      <c r="BQ49" s="197"/>
      <c r="BR49" s="197"/>
      <c r="BS49" s="197"/>
      <c r="BT49" s="215"/>
      <c r="BU49" s="215"/>
      <c r="BV49" s="197"/>
      <c r="BW49" s="147"/>
      <c r="BX49" s="147"/>
      <c r="BY49" s="197"/>
      <c r="BZ49" s="197"/>
      <c r="CA49" s="197"/>
      <c r="CB49" s="197"/>
      <c r="CC49" s="197"/>
      <c r="CD49" s="197"/>
      <c r="CE49" s="197"/>
      <c r="CF49" s="197"/>
      <c r="CG49" s="197"/>
      <c r="CH49" s="43"/>
      <c r="CI49" s="43"/>
      <c r="CJ49" s="43"/>
      <c r="CK49" s="43"/>
      <c r="CL49" s="43"/>
      <c r="CM49" s="210"/>
      <c r="CN49" s="210"/>
      <c r="CO49" s="210"/>
      <c r="CP49" s="210"/>
      <c r="CQ49" s="210"/>
      <c r="CR49" s="210"/>
      <c r="CS49" s="43"/>
      <c r="CT49" s="43"/>
      <c r="CU49" s="43"/>
      <c r="CV49" s="43"/>
      <c r="CW49" s="43"/>
      <c r="CX49" s="43"/>
      <c r="CY49" s="43"/>
      <c r="CZ49" s="43"/>
      <c r="DA49" s="210"/>
      <c r="DB49" s="210"/>
      <c r="DC49" s="210"/>
      <c r="DD49" s="210"/>
      <c r="DE49" s="210"/>
      <c r="DF49" s="210"/>
      <c r="DG49" s="210"/>
      <c r="DH49" s="210"/>
      <c r="DI49" s="210"/>
      <c r="DJ49" s="210"/>
      <c r="DK49" s="210"/>
      <c r="DL49" s="210"/>
      <c r="DM49" s="686"/>
      <c r="DN49" s="686"/>
      <c r="DO49" s="686"/>
      <c r="DP49" s="686"/>
      <c r="DQ49" s="686"/>
      <c r="DR49" s="686"/>
      <c r="DS49" s="686"/>
      <c r="DT49" s="686"/>
      <c r="DU49" s="686"/>
      <c r="DV49" s="686"/>
      <c r="DW49" s="686"/>
      <c r="DX49" s="686"/>
      <c r="DY49" s="686"/>
      <c r="DZ49" s="686"/>
      <c r="EA49" s="686"/>
      <c r="EB49" s="686"/>
      <c r="EC49" s="686"/>
      <c r="ED49" s="686"/>
      <c r="EE49" s="686"/>
      <c r="EF49" s="686"/>
      <c r="EG49" s="686"/>
      <c r="EH49" s="686"/>
      <c r="EI49" s="686"/>
      <c r="EJ49" s="686"/>
      <c r="EK49" s="686"/>
      <c r="EL49" s="686"/>
      <c r="EM49" s="686"/>
      <c r="EN49" s="686"/>
      <c r="EO49" s="686"/>
      <c r="EP49" s="686"/>
      <c r="EQ49" s="686"/>
      <c r="ER49" s="686"/>
      <c r="ES49" s="686"/>
      <c r="ET49" s="686"/>
      <c r="EU49" s="686"/>
      <c r="EV49" s="686"/>
      <c r="EW49" s="686"/>
      <c r="EX49" s="686"/>
      <c r="EY49" s="686"/>
      <c r="EZ49" s="686"/>
      <c r="FA49" s="686"/>
      <c r="FB49" s="686"/>
      <c r="FC49" s="686"/>
      <c r="FD49" s="686"/>
      <c r="FE49" s="686"/>
      <c r="FF49" s="686"/>
      <c r="FG49" s="686"/>
      <c r="FH49" s="686"/>
      <c r="FI49" s="686"/>
      <c r="FJ49" s="686"/>
      <c r="FK49" s="686"/>
      <c r="FL49" s="79"/>
      <c r="FM49" s="168"/>
      <c r="FN49" s="168"/>
      <c r="FO49" s="168"/>
      <c r="FP49" s="168"/>
      <c r="FQ49" s="168"/>
      <c r="FR49" s="49"/>
      <c r="FS49" s="49"/>
      <c r="FT49" s="49"/>
      <c r="FU49" s="49"/>
      <c r="FV49" s="49"/>
      <c r="FW49" s="49"/>
      <c r="FX49" s="49"/>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78"/>
      <c r="HO49" s="78"/>
      <c r="HP49" s="78"/>
      <c r="HQ49" s="13"/>
      <c r="HR49" s="13"/>
      <c r="HS49" s="13"/>
      <c r="HT49" s="13"/>
      <c r="HU49" s="13"/>
      <c r="HV49" s="13"/>
      <c r="HW49" s="13"/>
      <c r="HX49" s="13"/>
      <c r="HY49" s="13"/>
      <c r="HZ49" s="13"/>
      <c r="IA49" s="13"/>
    </row>
    <row r="50" spans="1:235" ht="3.75" customHeight="1">
      <c r="A50" s="1"/>
      <c r="B50" s="3"/>
      <c r="C50" s="3"/>
      <c r="D50" s="12"/>
      <c r="E50" s="12"/>
      <c r="F50" s="215"/>
      <c r="G50" s="215"/>
      <c r="H50" s="215"/>
      <c r="I50" s="215"/>
      <c r="J50" s="10"/>
      <c r="K50" s="212"/>
      <c r="L50" s="175"/>
      <c r="M50" s="175"/>
      <c r="N50" s="679"/>
      <c r="O50" s="679"/>
      <c r="P50" s="679"/>
      <c r="Q50" s="679"/>
      <c r="R50" s="679"/>
      <c r="S50" s="679"/>
      <c r="T50" s="679"/>
      <c r="U50" s="679"/>
      <c r="V50" s="679"/>
      <c r="W50" s="679"/>
      <c r="X50" s="197"/>
      <c r="Y50" s="197"/>
      <c r="Z50" s="197"/>
      <c r="AA50" s="197"/>
      <c r="AB50" s="147" t="str">
        <f ca="1">IF($FN$28&gt;=4,"`",IF($FN$28=3,"`",""))</f>
        <v/>
      </c>
      <c r="AC50" s="197"/>
      <c r="AD50" s="197"/>
      <c r="AE50" s="215"/>
      <c r="AF50" s="147" t="str">
        <f ca="1">IF(FP1=1,"`","")</f>
        <v/>
      </c>
      <c r="AG50" s="147" t="str">
        <f t="shared" ca="1" si="19"/>
        <v/>
      </c>
      <c r="AH50" s="147" t="str">
        <f t="shared" ca="1" si="19"/>
        <v/>
      </c>
      <c r="AI50" s="147" t="str">
        <f t="shared" ca="1" si="19"/>
        <v/>
      </c>
      <c r="AJ50" s="147" t="str">
        <f t="shared" ca="1" si="19"/>
        <v/>
      </c>
      <c r="AK50" s="147" t="str">
        <f t="shared" ca="1" si="19"/>
        <v/>
      </c>
      <c r="AL50" s="147" t="str">
        <f t="shared" ca="1" si="19"/>
        <v/>
      </c>
      <c r="AM50" s="147" t="str">
        <f t="shared" ca="1" si="19"/>
        <v/>
      </c>
      <c r="AN50" s="147" t="str">
        <f t="shared" ca="1" si="19"/>
        <v/>
      </c>
      <c r="AO50" s="147" t="str">
        <f t="shared" ca="1" si="19"/>
        <v/>
      </c>
      <c r="AP50" s="147" t="str">
        <f t="shared" ca="1" si="19"/>
        <v/>
      </c>
      <c r="AQ50" s="147" t="str">
        <f t="shared" ca="1" si="20"/>
        <v/>
      </c>
      <c r="AR50" s="147" t="str">
        <f t="shared" ca="1" si="20"/>
        <v/>
      </c>
      <c r="AS50" s="147" t="str">
        <f t="shared" ca="1" si="20"/>
        <v/>
      </c>
      <c r="AT50" s="147" t="str">
        <f t="shared" ca="1" si="20"/>
        <v/>
      </c>
      <c r="AU50" s="147" t="str">
        <f t="shared" ca="1" si="20"/>
        <v/>
      </c>
      <c r="AV50" s="147" t="str">
        <f t="shared" ca="1" si="20"/>
        <v/>
      </c>
      <c r="AW50" s="147" t="str">
        <f t="shared" ca="1" si="20"/>
        <v/>
      </c>
      <c r="AX50" s="147" t="str">
        <f t="shared" ref="AX50:AX63" ca="1" si="22">IF($FN$28&gt;=4,"*",IF($FN$28=1,"^",""))</f>
        <v/>
      </c>
      <c r="AY50" s="147" t="str">
        <f ca="1">IF($FN$28&gt;=2,"!",IF($FN$28=1,"^",""))</f>
        <v/>
      </c>
      <c r="AZ50" s="147" t="str">
        <f t="shared" ref="AZ50:BL50" ca="1" si="23">IF($FN$28&gt;=4,"*",IF($FN$28=1,"^",""))</f>
        <v/>
      </c>
      <c r="BA50" s="147" t="str">
        <f t="shared" ca="1" si="23"/>
        <v/>
      </c>
      <c r="BB50" s="147" t="str">
        <f t="shared" ca="1" si="23"/>
        <v/>
      </c>
      <c r="BC50" s="147" t="str">
        <f t="shared" ca="1" si="23"/>
        <v/>
      </c>
      <c r="BD50" s="147" t="str">
        <f t="shared" ca="1" si="23"/>
        <v/>
      </c>
      <c r="BE50" s="147" t="str">
        <f t="shared" ca="1" si="23"/>
        <v/>
      </c>
      <c r="BF50" s="147" t="str">
        <f t="shared" ca="1" si="23"/>
        <v/>
      </c>
      <c r="BG50" s="147" t="str">
        <f t="shared" ca="1" si="23"/>
        <v/>
      </c>
      <c r="BH50" s="147" t="str">
        <f t="shared" ca="1" si="23"/>
        <v/>
      </c>
      <c r="BI50" s="147" t="str">
        <f t="shared" ca="1" si="23"/>
        <v/>
      </c>
      <c r="BJ50" s="147" t="str">
        <f t="shared" ca="1" si="23"/>
        <v/>
      </c>
      <c r="BK50" s="147" t="str">
        <f t="shared" ca="1" si="23"/>
        <v/>
      </c>
      <c r="BL50" s="147" t="str">
        <f t="shared" ca="1" si="23"/>
        <v/>
      </c>
      <c r="BM50" s="147" t="str">
        <f ca="1">IF($FN$28&gt;=4,"`",IF($FN$28=3,"`",IF($FN$28=1,"^","")))</f>
        <v/>
      </c>
      <c r="BN50" s="147" t="str">
        <f t="shared" ref="BN50:CC63" ca="1" si="24">IF($FN$28=5,",",IF($FN$28=1,"^",""))</f>
        <v/>
      </c>
      <c r="BO50" s="147" t="str">
        <f t="shared" ca="1" si="24"/>
        <v/>
      </c>
      <c r="BP50" s="147" t="str">
        <f t="shared" ca="1" si="24"/>
        <v/>
      </c>
      <c r="BQ50" s="147" t="str">
        <f ca="1">IF(FP1=1,":","")</f>
        <v/>
      </c>
      <c r="BR50" s="147" t="str">
        <f ca="1">IF(FP1=1,":","")</f>
        <v/>
      </c>
      <c r="BS50" s="147"/>
      <c r="BT50" s="147"/>
      <c r="BU50" s="147"/>
      <c r="BV50" s="147"/>
      <c r="BW50" s="197"/>
      <c r="BX50" s="197"/>
      <c r="BY50" s="197"/>
      <c r="BZ50" s="197"/>
      <c r="CA50" s="197"/>
      <c r="CB50" s="197"/>
      <c r="CC50" s="197"/>
      <c r="CD50" s="197"/>
      <c r="CE50" s="197"/>
      <c r="CF50" s="197"/>
      <c r="CG50" s="197"/>
      <c r="CH50" s="43"/>
      <c r="CI50" s="43"/>
      <c r="CJ50" s="43"/>
      <c r="CK50" s="43"/>
      <c r="CL50" s="43"/>
      <c r="CM50" s="210"/>
      <c r="CN50" s="210"/>
      <c r="CO50" s="210"/>
      <c r="CP50" s="210"/>
      <c r="CQ50" s="210"/>
      <c r="CR50" s="210"/>
      <c r="CS50" s="43"/>
      <c r="CT50" s="43"/>
      <c r="CU50" s="43"/>
      <c r="CV50" s="43"/>
      <c r="CW50" s="43"/>
      <c r="CX50" s="43"/>
      <c r="CY50" s="43"/>
      <c r="CZ50" s="43"/>
      <c r="DA50" s="210"/>
      <c r="DB50" s="210"/>
      <c r="DC50" s="210"/>
      <c r="DD50" s="210"/>
      <c r="DE50" s="210"/>
      <c r="DF50" s="210"/>
      <c r="DG50" s="210"/>
      <c r="DH50" s="210"/>
      <c r="DI50" s="210"/>
      <c r="DJ50" s="210"/>
      <c r="DK50" s="210"/>
      <c r="DL50" s="210"/>
      <c r="DM50" s="686"/>
      <c r="DN50" s="686"/>
      <c r="DO50" s="686"/>
      <c r="DP50" s="686"/>
      <c r="DQ50" s="686"/>
      <c r="DR50" s="686"/>
      <c r="DS50" s="686"/>
      <c r="DT50" s="686"/>
      <c r="DU50" s="686"/>
      <c r="DV50" s="686"/>
      <c r="DW50" s="686"/>
      <c r="DX50" s="686"/>
      <c r="DY50" s="686"/>
      <c r="DZ50" s="686"/>
      <c r="EA50" s="686"/>
      <c r="EB50" s="686"/>
      <c r="EC50" s="686"/>
      <c r="ED50" s="686"/>
      <c r="EE50" s="686"/>
      <c r="EF50" s="686"/>
      <c r="EG50" s="686"/>
      <c r="EH50" s="686"/>
      <c r="EI50" s="686"/>
      <c r="EJ50" s="686"/>
      <c r="EK50" s="686"/>
      <c r="EL50" s="686"/>
      <c r="EM50" s="686"/>
      <c r="EN50" s="686"/>
      <c r="EO50" s="686"/>
      <c r="EP50" s="686"/>
      <c r="EQ50" s="686"/>
      <c r="ER50" s="686"/>
      <c r="ES50" s="686"/>
      <c r="ET50" s="686"/>
      <c r="EU50" s="686"/>
      <c r="EV50" s="686"/>
      <c r="EW50" s="686"/>
      <c r="EX50" s="686"/>
      <c r="EY50" s="686"/>
      <c r="EZ50" s="686"/>
      <c r="FA50" s="686"/>
      <c r="FB50" s="686"/>
      <c r="FC50" s="686"/>
      <c r="FD50" s="686"/>
      <c r="FE50" s="686"/>
      <c r="FF50" s="686"/>
      <c r="FG50" s="686"/>
      <c r="FH50" s="686"/>
      <c r="FI50" s="686"/>
      <c r="FJ50" s="686"/>
      <c r="FK50" s="686"/>
      <c r="FL50" s="79"/>
      <c r="FM50" s="168"/>
      <c r="FN50" s="168"/>
      <c r="FO50" s="168"/>
      <c r="FP50" s="168"/>
      <c r="FQ50" s="168"/>
      <c r="FR50" s="49"/>
      <c r="FS50" s="49"/>
      <c r="FT50" s="49"/>
      <c r="FU50" s="49"/>
      <c r="FV50" s="49"/>
      <c r="FW50" s="49"/>
      <c r="FX50" s="49"/>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78"/>
      <c r="HO50" s="78"/>
      <c r="HP50" s="78"/>
      <c r="HQ50" s="13"/>
      <c r="HR50" s="13"/>
      <c r="HS50" s="13"/>
      <c r="HT50" s="13"/>
      <c r="HU50" s="13"/>
      <c r="HV50" s="13"/>
      <c r="HW50" s="13"/>
      <c r="HX50" s="13"/>
      <c r="HY50" s="13"/>
      <c r="HZ50" s="13"/>
      <c r="IA50" s="13"/>
    </row>
    <row r="51" spans="1:235" ht="3.75" customHeight="1">
      <c r="A51" s="1"/>
      <c r="B51" s="3"/>
      <c r="C51" s="3"/>
      <c r="D51" s="12"/>
      <c r="E51" s="12"/>
      <c r="F51" s="215"/>
      <c r="G51" s="215"/>
      <c r="H51" s="215"/>
      <c r="I51" s="215"/>
      <c r="J51" s="10"/>
      <c r="K51" s="175"/>
      <c r="L51" s="175"/>
      <c r="M51" s="175"/>
      <c r="N51" s="173"/>
      <c r="O51" s="173"/>
      <c r="P51" s="173"/>
      <c r="Q51" s="197"/>
      <c r="R51" s="197"/>
      <c r="S51" s="215"/>
      <c r="T51" s="197"/>
      <c r="U51" s="197"/>
      <c r="V51" s="197"/>
      <c r="W51" s="43"/>
      <c r="X51" s="43"/>
      <c r="Y51" s="43"/>
      <c r="Z51" s="43"/>
      <c r="AA51" s="43"/>
      <c r="AB51" s="43"/>
      <c r="AC51" s="43"/>
      <c r="AD51" s="43"/>
      <c r="AE51" s="215"/>
      <c r="AF51" s="147" t="str">
        <f ca="1">IF(FP1=1,"`","")</f>
        <v/>
      </c>
      <c r="AG51" s="147" t="str">
        <f t="shared" ca="1" si="19"/>
        <v/>
      </c>
      <c r="AH51" s="147" t="str">
        <f t="shared" ca="1" si="19"/>
        <v/>
      </c>
      <c r="AI51" s="147" t="str">
        <f t="shared" ca="1" si="19"/>
        <v/>
      </c>
      <c r="AJ51" s="147" t="str">
        <f t="shared" ca="1" si="19"/>
        <v/>
      </c>
      <c r="AK51" s="147" t="str">
        <f t="shared" ca="1" si="19"/>
        <v/>
      </c>
      <c r="AL51" s="147" t="str">
        <f t="shared" ca="1" si="19"/>
        <v/>
      </c>
      <c r="AM51" s="147" t="str">
        <f t="shared" ca="1" si="19"/>
        <v/>
      </c>
      <c r="AN51" s="147" t="str">
        <f t="shared" ca="1" si="19"/>
        <v/>
      </c>
      <c r="AO51" s="147" t="str">
        <f t="shared" ca="1" si="19"/>
        <v/>
      </c>
      <c r="AP51" s="147" t="str">
        <f t="shared" ca="1" si="19"/>
        <v/>
      </c>
      <c r="AQ51" s="147" t="str">
        <f t="shared" ca="1" si="20"/>
        <v/>
      </c>
      <c r="AR51" s="147" t="str">
        <f t="shared" ca="1" si="20"/>
        <v/>
      </c>
      <c r="AS51" s="147" t="str">
        <f t="shared" ca="1" si="20"/>
        <v/>
      </c>
      <c r="AT51" s="147" t="str">
        <f t="shared" ca="1" si="20"/>
        <v/>
      </c>
      <c r="AU51" s="147" t="str">
        <f t="shared" ca="1" si="20"/>
        <v/>
      </c>
      <c r="AV51" s="147" t="str">
        <f t="shared" ca="1" si="20"/>
        <v/>
      </c>
      <c r="AW51" s="147" t="str">
        <f t="shared" ca="1" si="20"/>
        <v/>
      </c>
      <c r="AX51" s="147" t="str">
        <f t="shared" ca="1" si="22"/>
        <v/>
      </c>
      <c r="AY51" s="147" t="str">
        <f t="shared" ref="AY51:AY63" ca="1" si="25">IF($FN$28&gt;=4,"*",IF($FN$28=1,"^",""))</f>
        <v/>
      </c>
      <c r="AZ51" s="147" t="str">
        <f ca="1">IF($FN$28&gt;=2,"!",IF($FN$28=1,"^",""))</f>
        <v/>
      </c>
      <c r="BA51" s="147" t="str">
        <f t="shared" ref="BA51:BL51" ca="1" si="26">IF($FN$28&gt;=4,"*",IF($FN$28=1,"^",""))</f>
        <v/>
      </c>
      <c r="BB51" s="147" t="str">
        <f t="shared" ca="1" si="26"/>
        <v/>
      </c>
      <c r="BC51" s="147" t="str">
        <f t="shared" ca="1" si="26"/>
        <v/>
      </c>
      <c r="BD51" s="147" t="str">
        <f t="shared" ca="1" si="26"/>
        <v/>
      </c>
      <c r="BE51" s="147" t="str">
        <f t="shared" ca="1" si="26"/>
        <v/>
      </c>
      <c r="BF51" s="147" t="str">
        <f t="shared" ca="1" si="26"/>
        <v/>
      </c>
      <c r="BG51" s="147" t="str">
        <f t="shared" ca="1" si="26"/>
        <v/>
      </c>
      <c r="BH51" s="147" t="str">
        <f t="shared" ca="1" si="26"/>
        <v/>
      </c>
      <c r="BI51" s="147" t="str">
        <f t="shared" ca="1" si="26"/>
        <v/>
      </c>
      <c r="BJ51" s="147" t="str">
        <f t="shared" ca="1" si="26"/>
        <v/>
      </c>
      <c r="BK51" s="147" t="str">
        <f t="shared" ca="1" si="26"/>
        <v/>
      </c>
      <c r="BL51" s="147" t="str">
        <f t="shared" ca="1" si="26"/>
        <v/>
      </c>
      <c r="BM51" s="147" t="str">
        <f ca="1">IF($FN$28&gt;=4,"`",IF($FN$28=1,"^",""))</f>
        <v/>
      </c>
      <c r="BN51" s="147" t="str">
        <f t="shared" ca="1" si="24"/>
        <v/>
      </c>
      <c r="BO51" s="147" t="str">
        <f t="shared" ca="1" si="24"/>
        <v/>
      </c>
      <c r="BP51" s="147" t="str">
        <f t="shared" ca="1" si="24"/>
        <v/>
      </c>
      <c r="BQ51" s="147" t="str">
        <f t="shared" ca="1" si="24"/>
        <v/>
      </c>
      <c r="BR51" s="147" t="str">
        <f t="shared" ca="1" si="24"/>
        <v/>
      </c>
      <c r="BS51" s="147" t="str">
        <f ca="1">IF(FP1=1,":","")</f>
        <v/>
      </c>
      <c r="BT51" s="147" t="str">
        <f ca="1">IF(FP1=1,":","")</f>
        <v/>
      </c>
      <c r="BU51" s="197"/>
      <c r="BV51" s="197"/>
      <c r="BW51" s="197"/>
      <c r="BX51" s="197"/>
      <c r="BY51" s="197"/>
      <c r="BZ51" s="197"/>
      <c r="CA51" s="197"/>
      <c r="CB51" s="197"/>
      <c r="CC51" s="197"/>
      <c r="CD51" s="197"/>
      <c r="CE51" s="197"/>
      <c r="CF51" s="197"/>
      <c r="CG51" s="197"/>
      <c r="CH51" s="43"/>
      <c r="CI51" s="43"/>
      <c r="CJ51" s="43"/>
      <c r="CK51" s="43"/>
      <c r="CL51" s="43"/>
      <c r="CM51" s="210"/>
      <c r="CN51" s="210"/>
      <c r="CO51" s="210"/>
      <c r="CP51" s="210"/>
      <c r="CQ51" s="210"/>
      <c r="CR51" s="210"/>
      <c r="CS51" s="43"/>
      <c r="CT51" s="43"/>
      <c r="CU51" s="43"/>
      <c r="CV51" s="43"/>
      <c r="CW51" s="43"/>
      <c r="CX51" s="43"/>
      <c r="CY51" s="43"/>
      <c r="CZ51" s="43"/>
      <c r="DA51" s="210"/>
      <c r="DB51" s="210"/>
      <c r="DC51" s="210"/>
      <c r="DD51" s="210"/>
      <c r="DE51" s="215"/>
      <c r="DF51" s="215"/>
      <c r="DG51" s="215"/>
      <c r="DH51" s="215"/>
      <c r="DI51" s="210"/>
      <c r="DJ51" s="210"/>
      <c r="DK51" s="210"/>
      <c r="DL51" s="210"/>
      <c r="DM51" s="686"/>
      <c r="DN51" s="686"/>
      <c r="DO51" s="686"/>
      <c r="DP51" s="686"/>
      <c r="DQ51" s="686"/>
      <c r="DR51" s="686"/>
      <c r="DS51" s="686"/>
      <c r="DT51" s="686"/>
      <c r="DU51" s="686"/>
      <c r="DV51" s="686"/>
      <c r="DW51" s="686"/>
      <c r="DX51" s="686"/>
      <c r="DY51" s="686"/>
      <c r="DZ51" s="686"/>
      <c r="EA51" s="686"/>
      <c r="EB51" s="686"/>
      <c r="EC51" s="686"/>
      <c r="ED51" s="686"/>
      <c r="EE51" s="686"/>
      <c r="EF51" s="686"/>
      <c r="EG51" s="686"/>
      <c r="EH51" s="686"/>
      <c r="EI51" s="686"/>
      <c r="EJ51" s="686"/>
      <c r="EK51" s="686"/>
      <c r="EL51" s="686"/>
      <c r="EM51" s="686"/>
      <c r="EN51" s="686"/>
      <c r="EO51" s="686"/>
      <c r="EP51" s="686"/>
      <c r="EQ51" s="686"/>
      <c r="ER51" s="686"/>
      <c r="ES51" s="686"/>
      <c r="ET51" s="686"/>
      <c r="EU51" s="686"/>
      <c r="EV51" s="686"/>
      <c r="EW51" s="686"/>
      <c r="EX51" s="686"/>
      <c r="EY51" s="686"/>
      <c r="EZ51" s="686"/>
      <c r="FA51" s="686"/>
      <c r="FB51" s="686"/>
      <c r="FC51" s="686"/>
      <c r="FD51" s="686"/>
      <c r="FE51" s="686"/>
      <c r="FF51" s="686"/>
      <c r="FG51" s="686"/>
      <c r="FH51" s="686"/>
      <c r="FI51" s="686"/>
      <c r="FJ51" s="686"/>
      <c r="FK51" s="686"/>
      <c r="FL51" s="79"/>
      <c r="FM51" s="168"/>
      <c r="FN51" s="168"/>
      <c r="FO51" s="168"/>
      <c r="FP51" s="168"/>
      <c r="FQ51" s="168"/>
      <c r="FR51" s="49"/>
      <c r="FS51" s="49"/>
      <c r="FT51" s="49"/>
      <c r="FU51" s="49"/>
      <c r="FV51" s="49"/>
      <c r="FW51" s="49"/>
      <c r="FX51" s="49"/>
      <c r="FY51" s="32"/>
      <c r="FZ51" s="32"/>
      <c r="GA51" s="32"/>
      <c r="GB51" s="32"/>
      <c r="GC51" s="32"/>
      <c r="GD51" s="32"/>
      <c r="GE51" s="32"/>
      <c r="GF51" s="32"/>
      <c r="GG51" s="32"/>
      <c r="GH51" s="32"/>
      <c r="GI51" s="32"/>
      <c r="GJ51" s="32"/>
      <c r="GK51" s="32"/>
      <c r="GL51" s="32"/>
      <c r="GM51" s="32"/>
      <c r="GN51" s="32"/>
      <c r="GO51" s="32"/>
      <c r="GP51" s="32"/>
      <c r="GQ51" s="32"/>
      <c r="GR51" s="32"/>
      <c r="GS51" s="32"/>
      <c r="GT51" s="32"/>
      <c r="GU51" s="32"/>
      <c r="GV51" s="32"/>
      <c r="GW51" s="32"/>
      <c r="GX51" s="32"/>
      <c r="GY51" s="32"/>
      <c r="GZ51" s="32"/>
      <c r="HA51" s="32"/>
      <c r="HB51" s="32"/>
      <c r="HC51" s="32"/>
      <c r="HD51" s="32"/>
      <c r="HE51" s="32"/>
      <c r="HF51" s="32"/>
      <c r="HG51" s="32"/>
      <c r="HH51" s="32"/>
      <c r="HI51" s="32"/>
      <c r="HJ51" s="32"/>
      <c r="HK51" s="32"/>
      <c r="HL51" s="32"/>
      <c r="HM51" s="32"/>
      <c r="HN51" s="78"/>
      <c r="HO51" s="78"/>
      <c r="HP51" s="78"/>
      <c r="HQ51" s="13"/>
      <c r="HR51" s="13"/>
      <c r="HS51" s="13"/>
      <c r="HT51" s="13"/>
      <c r="HU51" s="13"/>
      <c r="HV51" s="13"/>
      <c r="HW51" s="13"/>
      <c r="HX51" s="13"/>
      <c r="HY51" s="13"/>
      <c r="HZ51" s="13"/>
      <c r="IA51" s="13"/>
    </row>
    <row r="52" spans="1:235" ht="3.75" customHeight="1">
      <c r="A52" s="1"/>
      <c r="B52" s="3"/>
      <c r="C52" s="3"/>
      <c r="D52" s="12"/>
      <c r="E52" s="12"/>
      <c r="F52" s="215"/>
      <c r="G52" s="215"/>
      <c r="H52" s="215"/>
      <c r="I52" s="215"/>
      <c r="J52" s="215"/>
      <c r="K52" s="175"/>
      <c r="L52" s="175"/>
      <c r="M52" s="175"/>
      <c r="N52" s="173"/>
      <c r="O52" s="173"/>
      <c r="P52" s="173"/>
      <c r="Q52" s="197"/>
      <c r="R52" s="197"/>
      <c r="S52" s="215"/>
      <c r="T52" s="197"/>
      <c r="U52" s="197"/>
      <c r="V52" s="197"/>
      <c r="W52" s="43"/>
      <c r="X52" s="43"/>
      <c r="Y52" s="43"/>
      <c r="Z52" s="43"/>
      <c r="AA52" s="43"/>
      <c r="AB52" s="43"/>
      <c r="AC52" s="43"/>
      <c r="AD52" s="43"/>
      <c r="AE52" s="215"/>
      <c r="AF52" s="147" t="str">
        <f ca="1">IF(FP1=1,"`","")</f>
        <v/>
      </c>
      <c r="AG52" s="147" t="str">
        <f t="shared" ca="1" si="19"/>
        <v/>
      </c>
      <c r="AH52" s="147" t="str">
        <f t="shared" ca="1" si="19"/>
        <v/>
      </c>
      <c r="AI52" s="147" t="str">
        <f t="shared" ca="1" si="19"/>
        <v/>
      </c>
      <c r="AJ52" s="147" t="str">
        <f t="shared" ca="1" si="19"/>
        <v/>
      </c>
      <c r="AK52" s="147" t="str">
        <f t="shared" ca="1" si="19"/>
        <v/>
      </c>
      <c r="AL52" s="147" t="str">
        <f t="shared" ca="1" si="19"/>
        <v/>
      </c>
      <c r="AM52" s="147" t="str">
        <f t="shared" ca="1" si="19"/>
        <v/>
      </c>
      <c r="AN52" s="147" t="str">
        <f t="shared" ca="1" si="19"/>
        <v/>
      </c>
      <c r="AO52" s="147" t="str">
        <f t="shared" ca="1" si="19"/>
        <v/>
      </c>
      <c r="AP52" s="147" t="str">
        <f t="shared" ca="1" si="19"/>
        <v/>
      </c>
      <c r="AQ52" s="147" t="str">
        <f t="shared" ca="1" si="20"/>
        <v/>
      </c>
      <c r="AR52" s="147" t="str">
        <f t="shared" ca="1" si="20"/>
        <v/>
      </c>
      <c r="AS52" s="147" t="str">
        <f t="shared" ca="1" si="20"/>
        <v/>
      </c>
      <c r="AT52" s="147" t="str">
        <f t="shared" ca="1" si="20"/>
        <v/>
      </c>
      <c r="AU52" s="147" t="str">
        <f t="shared" ca="1" si="20"/>
        <v/>
      </c>
      <c r="AV52" s="147" t="str">
        <f t="shared" ca="1" si="20"/>
        <v/>
      </c>
      <c r="AW52" s="147" t="str">
        <f t="shared" ca="1" si="20"/>
        <v/>
      </c>
      <c r="AX52" s="147" t="str">
        <f t="shared" ca="1" si="22"/>
        <v/>
      </c>
      <c r="AY52" s="147" t="str">
        <f t="shared" ca="1" si="25"/>
        <v/>
      </c>
      <c r="AZ52" s="147" t="str">
        <f t="shared" ref="AZ52:AZ63" ca="1" si="27">IF($FN$28&gt;=4,"*",IF($FN$28=1,"^",""))</f>
        <v/>
      </c>
      <c r="BA52" s="147" t="str">
        <f ca="1">IF($FN$28&gt;=2,"!",IF($FN$28=1,"^",""))</f>
        <v/>
      </c>
      <c r="BB52" s="147" t="str">
        <f t="shared" ref="BB52:BL52" ca="1" si="28">IF($FN$28&gt;=4,"*",IF($FN$28=1,"^",""))</f>
        <v/>
      </c>
      <c r="BC52" s="147" t="str">
        <f t="shared" ca="1" si="28"/>
        <v/>
      </c>
      <c r="BD52" s="147" t="str">
        <f t="shared" ca="1" si="28"/>
        <v/>
      </c>
      <c r="BE52" s="147" t="str">
        <f t="shared" ca="1" si="28"/>
        <v/>
      </c>
      <c r="BF52" s="147" t="str">
        <f t="shared" ca="1" si="28"/>
        <v/>
      </c>
      <c r="BG52" s="147" t="str">
        <f t="shared" ca="1" si="28"/>
        <v/>
      </c>
      <c r="BH52" s="147" t="str">
        <f t="shared" ca="1" si="28"/>
        <v/>
      </c>
      <c r="BI52" s="147" t="str">
        <f t="shared" ca="1" si="28"/>
        <v/>
      </c>
      <c r="BJ52" s="147" t="str">
        <f t="shared" ca="1" si="28"/>
        <v/>
      </c>
      <c r="BK52" s="147" t="str">
        <f t="shared" ca="1" si="28"/>
        <v/>
      </c>
      <c r="BL52" s="147" t="str">
        <f t="shared" ca="1" si="28"/>
        <v/>
      </c>
      <c r="BM52" s="147" t="str">
        <f ca="1">IF($FN$28&gt;=4,"`",IF($FN$28=3,"`",IF($FN$28=1,"^","")))</f>
        <v/>
      </c>
      <c r="BN52" s="147" t="str">
        <f t="shared" ca="1" si="24"/>
        <v/>
      </c>
      <c r="BO52" s="147" t="str">
        <f t="shared" ca="1" si="24"/>
        <v/>
      </c>
      <c r="BP52" s="147" t="str">
        <f t="shared" ca="1" si="24"/>
        <v/>
      </c>
      <c r="BQ52" s="147" t="str">
        <f t="shared" ca="1" si="24"/>
        <v/>
      </c>
      <c r="BR52" s="147" t="str">
        <f t="shared" ca="1" si="24"/>
        <v/>
      </c>
      <c r="BS52" s="147" t="str">
        <f t="shared" ca="1" si="24"/>
        <v/>
      </c>
      <c r="BT52" s="147" t="str">
        <f t="shared" ca="1" si="24"/>
        <v/>
      </c>
      <c r="BU52" s="147" t="str">
        <f ca="1">IF(FP1=1,":","")</f>
        <v/>
      </c>
      <c r="BV52" s="147" t="str">
        <f ca="1">IF(FP1=1,":","")</f>
        <v/>
      </c>
      <c r="BW52" s="197"/>
      <c r="BX52" s="197"/>
      <c r="BY52" s="197"/>
      <c r="BZ52" s="197"/>
      <c r="CA52" s="197"/>
      <c r="CB52" s="197"/>
      <c r="CC52" s="43"/>
      <c r="CD52" s="197"/>
      <c r="CE52" s="215"/>
      <c r="CF52" s="197"/>
      <c r="CG52" s="197"/>
      <c r="CH52" s="43"/>
      <c r="CI52" s="43"/>
      <c r="CJ52" s="43"/>
      <c r="CK52" s="43"/>
      <c r="CL52" s="43"/>
      <c r="CM52" s="210"/>
      <c r="CN52" s="210"/>
      <c r="CO52" s="210"/>
      <c r="CP52" s="210"/>
      <c r="CQ52" s="210"/>
      <c r="CR52" s="210"/>
      <c r="CS52" s="210"/>
      <c r="CT52" s="43"/>
      <c r="CU52" s="43"/>
      <c r="CV52" s="43"/>
      <c r="CW52" s="43"/>
      <c r="CX52" s="43"/>
      <c r="CY52" s="43"/>
      <c r="CZ52" s="43"/>
      <c r="DA52" s="215"/>
      <c r="DB52" s="215"/>
      <c r="DC52" s="215"/>
      <c r="DD52" s="215"/>
      <c r="DE52" s="210"/>
      <c r="DF52" s="210"/>
      <c r="DG52" s="210"/>
      <c r="DH52" s="210"/>
      <c r="DI52" s="210"/>
      <c r="DJ52" s="210"/>
      <c r="DK52" s="210"/>
      <c r="DL52" s="210"/>
      <c r="DM52" s="686"/>
      <c r="DN52" s="686"/>
      <c r="DO52" s="686"/>
      <c r="DP52" s="686"/>
      <c r="DQ52" s="686"/>
      <c r="DR52" s="686"/>
      <c r="DS52" s="686"/>
      <c r="DT52" s="686"/>
      <c r="DU52" s="686"/>
      <c r="DV52" s="686"/>
      <c r="DW52" s="686"/>
      <c r="DX52" s="686"/>
      <c r="DY52" s="686"/>
      <c r="DZ52" s="686"/>
      <c r="EA52" s="686"/>
      <c r="EB52" s="686"/>
      <c r="EC52" s="686"/>
      <c r="ED52" s="686"/>
      <c r="EE52" s="686"/>
      <c r="EF52" s="686"/>
      <c r="EG52" s="686"/>
      <c r="EH52" s="686"/>
      <c r="EI52" s="686"/>
      <c r="EJ52" s="686"/>
      <c r="EK52" s="686"/>
      <c r="EL52" s="686"/>
      <c r="EM52" s="686"/>
      <c r="EN52" s="686"/>
      <c r="EO52" s="686"/>
      <c r="EP52" s="686"/>
      <c r="EQ52" s="686"/>
      <c r="ER52" s="686"/>
      <c r="ES52" s="686"/>
      <c r="ET52" s="686"/>
      <c r="EU52" s="686"/>
      <c r="EV52" s="686"/>
      <c r="EW52" s="686"/>
      <c r="EX52" s="686"/>
      <c r="EY52" s="686"/>
      <c r="EZ52" s="686"/>
      <c r="FA52" s="686"/>
      <c r="FB52" s="686"/>
      <c r="FC52" s="686"/>
      <c r="FD52" s="686"/>
      <c r="FE52" s="686"/>
      <c r="FF52" s="686"/>
      <c r="FG52" s="686"/>
      <c r="FH52" s="686"/>
      <c r="FI52" s="686"/>
      <c r="FJ52" s="686"/>
      <c r="FK52" s="686"/>
      <c r="FL52" s="79"/>
      <c r="FM52" s="168"/>
      <c r="FN52" s="168"/>
      <c r="FO52" s="168"/>
      <c r="FP52" s="168"/>
      <c r="FQ52" s="168"/>
      <c r="FR52" s="49"/>
      <c r="FS52" s="49"/>
      <c r="FT52" s="49"/>
      <c r="FU52" s="49"/>
      <c r="FV52" s="49"/>
      <c r="FW52" s="49"/>
      <c r="FX52" s="49"/>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c r="HL52" s="32"/>
      <c r="HM52" s="32"/>
      <c r="HN52" s="78"/>
      <c r="HO52" s="78"/>
      <c r="HP52" s="78"/>
      <c r="HQ52" s="13"/>
      <c r="HR52" s="13"/>
      <c r="HS52" s="13"/>
      <c r="HT52" s="13"/>
      <c r="HU52" s="13"/>
      <c r="HV52" s="13"/>
      <c r="HW52" s="13"/>
      <c r="HX52" s="13"/>
      <c r="HY52" s="13"/>
      <c r="HZ52" s="13"/>
      <c r="IA52" s="13"/>
    </row>
    <row r="53" spans="1:235" ht="3.75" customHeight="1">
      <c r="A53" s="1"/>
      <c r="B53" s="3"/>
      <c r="C53" s="3"/>
      <c r="D53" s="12"/>
      <c r="E53" s="12"/>
      <c r="F53" s="10"/>
      <c r="G53" s="10"/>
      <c r="H53" s="215"/>
      <c r="I53" s="215"/>
      <c r="J53" s="10"/>
      <c r="K53" s="175"/>
      <c r="L53" s="175"/>
      <c r="M53" s="175"/>
      <c r="N53" s="173"/>
      <c r="O53" s="173"/>
      <c r="P53" s="173"/>
      <c r="Q53" s="197"/>
      <c r="R53" s="212"/>
      <c r="S53" s="197"/>
      <c r="T53" s="197"/>
      <c r="U53" s="197"/>
      <c r="V53" s="197"/>
      <c r="W53" s="43"/>
      <c r="X53" s="43"/>
      <c r="Y53" s="43"/>
      <c r="Z53" s="43"/>
      <c r="AA53" s="43"/>
      <c r="AB53" s="43"/>
      <c r="AC53" s="43"/>
      <c r="AD53" s="43"/>
      <c r="AE53" s="215"/>
      <c r="AF53" s="147" t="str">
        <f ca="1">IF(FP1=1,"`","")</f>
        <v/>
      </c>
      <c r="AG53" s="147" t="str">
        <f t="shared" ca="1" si="19"/>
        <v/>
      </c>
      <c r="AH53" s="147" t="str">
        <f t="shared" ca="1" si="19"/>
        <v/>
      </c>
      <c r="AI53" s="147" t="str">
        <f t="shared" ca="1" si="19"/>
        <v/>
      </c>
      <c r="AJ53" s="147" t="str">
        <f t="shared" ca="1" si="19"/>
        <v/>
      </c>
      <c r="AK53" s="147" t="str">
        <f t="shared" ca="1" si="19"/>
        <v/>
      </c>
      <c r="AL53" s="147" t="str">
        <f t="shared" ca="1" si="19"/>
        <v/>
      </c>
      <c r="AM53" s="147" t="str">
        <f t="shared" ca="1" si="19"/>
        <v/>
      </c>
      <c r="AN53" s="147" t="str">
        <f t="shared" ca="1" si="19"/>
        <v/>
      </c>
      <c r="AO53" s="147" t="str">
        <f t="shared" ca="1" si="19"/>
        <v/>
      </c>
      <c r="AP53" s="147" t="str">
        <f t="shared" ca="1" si="19"/>
        <v/>
      </c>
      <c r="AQ53" s="147" t="str">
        <f t="shared" ca="1" si="20"/>
        <v/>
      </c>
      <c r="AR53" s="147" t="str">
        <f t="shared" ca="1" si="20"/>
        <v/>
      </c>
      <c r="AS53" s="147" t="str">
        <f t="shared" ca="1" si="20"/>
        <v/>
      </c>
      <c r="AT53" s="147" t="str">
        <f t="shared" ca="1" si="20"/>
        <v/>
      </c>
      <c r="AU53" s="147" t="str">
        <f t="shared" ca="1" si="20"/>
        <v/>
      </c>
      <c r="AV53" s="147" t="str">
        <f t="shared" ca="1" si="20"/>
        <v/>
      </c>
      <c r="AW53" s="147" t="str">
        <f t="shared" ca="1" si="20"/>
        <v/>
      </c>
      <c r="AX53" s="147" t="str">
        <f t="shared" ca="1" si="22"/>
        <v/>
      </c>
      <c r="AY53" s="147" t="str">
        <f t="shared" ca="1" si="25"/>
        <v/>
      </c>
      <c r="AZ53" s="147" t="str">
        <f t="shared" ca="1" si="27"/>
        <v/>
      </c>
      <c r="BA53" s="147" t="str">
        <f t="shared" ref="BA53:BA63" ca="1" si="29">IF($FN$28&gt;=4,"*",IF($FN$28=1,"^",""))</f>
        <v/>
      </c>
      <c r="BB53" s="147" t="str">
        <f ca="1">IF($FN$28&gt;=2,"!",IF($FN$28=1,"^",""))</f>
        <v/>
      </c>
      <c r="BC53" s="147" t="str">
        <f t="shared" ref="BC53:BL53" ca="1" si="30">IF($FN$28&gt;=4,"*",IF($FN$28=1,"^",""))</f>
        <v/>
      </c>
      <c r="BD53" s="147" t="str">
        <f t="shared" ca="1" si="30"/>
        <v/>
      </c>
      <c r="BE53" s="147" t="str">
        <f t="shared" ca="1" si="30"/>
        <v/>
      </c>
      <c r="BF53" s="147" t="str">
        <f t="shared" ca="1" si="30"/>
        <v/>
      </c>
      <c r="BG53" s="147" t="str">
        <f t="shared" ca="1" si="30"/>
        <v/>
      </c>
      <c r="BH53" s="147" t="str">
        <f t="shared" ca="1" si="30"/>
        <v/>
      </c>
      <c r="BI53" s="147" t="str">
        <f t="shared" ca="1" si="30"/>
        <v/>
      </c>
      <c r="BJ53" s="147" t="str">
        <f t="shared" ca="1" si="30"/>
        <v/>
      </c>
      <c r="BK53" s="147" t="str">
        <f t="shared" ca="1" si="30"/>
        <v/>
      </c>
      <c r="BL53" s="147" t="str">
        <f t="shared" ca="1" si="30"/>
        <v/>
      </c>
      <c r="BM53" s="147" t="str">
        <f ca="1">IF($FN$28&gt;=4,"`",IF($FN$28=1,"^",""))</f>
        <v/>
      </c>
      <c r="BN53" s="147" t="str">
        <f t="shared" ca="1" si="24"/>
        <v/>
      </c>
      <c r="BO53" s="147" t="str">
        <f t="shared" ca="1" si="24"/>
        <v/>
      </c>
      <c r="BP53" s="147" t="str">
        <f t="shared" ca="1" si="24"/>
        <v/>
      </c>
      <c r="BQ53" s="147" t="str">
        <f t="shared" ca="1" si="24"/>
        <v/>
      </c>
      <c r="BR53" s="147" t="str">
        <f t="shared" ca="1" si="24"/>
        <v/>
      </c>
      <c r="BS53" s="147" t="str">
        <f t="shared" ca="1" si="24"/>
        <v/>
      </c>
      <c r="BT53" s="147" t="str">
        <f t="shared" ca="1" si="24"/>
        <v/>
      </c>
      <c r="BU53" s="147" t="str">
        <f t="shared" ca="1" si="24"/>
        <v/>
      </c>
      <c r="BV53" s="147" t="str">
        <f t="shared" ca="1" si="24"/>
        <v/>
      </c>
      <c r="BW53" s="147" t="str">
        <f ca="1">IF(FP1=1,":","")</f>
        <v/>
      </c>
      <c r="BX53" s="147" t="str">
        <f ca="1">IF(FP1=1,":","")</f>
        <v/>
      </c>
      <c r="BY53" s="215"/>
      <c r="BZ53" s="215"/>
      <c r="CA53" s="215"/>
      <c r="CB53" s="215"/>
      <c r="CC53" s="215"/>
      <c r="CD53" s="215"/>
      <c r="CE53" s="215"/>
      <c r="CF53" s="215"/>
      <c r="CG53" s="197"/>
      <c r="CH53" s="43"/>
      <c r="CI53" s="43"/>
      <c r="CJ53" s="43"/>
      <c r="CK53" s="43"/>
      <c r="CL53" s="43"/>
      <c r="CM53" s="210"/>
      <c r="CN53" s="210"/>
      <c r="CO53" s="210"/>
      <c r="CP53" s="210"/>
      <c r="CQ53" s="210"/>
      <c r="CR53" s="210"/>
      <c r="CS53" s="210"/>
      <c r="CT53" s="210"/>
      <c r="CU53" s="210"/>
      <c r="CV53" s="210"/>
      <c r="CW53" s="215"/>
      <c r="CX53" s="215"/>
      <c r="CY53" s="215"/>
      <c r="CZ53" s="215"/>
      <c r="DA53" s="210"/>
      <c r="DB53" s="210"/>
      <c r="DC53" s="210"/>
      <c r="DD53" s="210"/>
      <c r="DE53" s="210"/>
      <c r="DF53" s="210"/>
      <c r="DG53" s="210"/>
      <c r="DH53" s="210"/>
      <c r="DI53" s="210"/>
      <c r="DJ53" s="210"/>
      <c r="DK53" s="210"/>
      <c r="DL53" s="210"/>
      <c r="DM53" s="686"/>
      <c r="DN53" s="686"/>
      <c r="DO53" s="686"/>
      <c r="DP53" s="686"/>
      <c r="DQ53" s="686"/>
      <c r="DR53" s="686"/>
      <c r="DS53" s="686"/>
      <c r="DT53" s="686"/>
      <c r="DU53" s="686"/>
      <c r="DV53" s="686"/>
      <c r="DW53" s="686"/>
      <c r="DX53" s="686"/>
      <c r="DY53" s="686"/>
      <c r="DZ53" s="686"/>
      <c r="EA53" s="686"/>
      <c r="EB53" s="686"/>
      <c r="EC53" s="686"/>
      <c r="ED53" s="686"/>
      <c r="EE53" s="686"/>
      <c r="EF53" s="686"/>
      <c r="EG53" s="686"/>
      <c r="EH53" s="686"/>
      <c r="EI53" s="686"/>
      <c r="EJ53" s="686"/>
      <c r="EK53" s="686"/>
      <c r="EL53" s="686"/>
      <c r="EM53" s="686"/>
      <c r="EN53" s="686"/>
      <c r="EO53" s="686"/>
      <c r="EP53" s="686"/>
      <c r="EQ53" s="686"/>
      <c r="ER53" s="686"/>
      <c r="ES53" s="686"/>
      <c r="ET53" s="686"/>
      <c r="EU53" s="686"/>
      <c r="EV53" s="686"/>
      <c r="EW53" s="686"/>
      <c r="EX53" s="686"/>
      <c r="EY53" s="686"/>
      <c r="EZ53" s="686"/>
      <c r="FA53" s="686"/>
      <c r="FB53" s="686"/>
      <c r="FC53" s="686"/>
      <c r="FD53" s="686"/>
      <c r="FE53" s="686"/>
      <c r="FF53" s="686"/>
      <c r="FG53" s="686"/>
      <c r="FH53" s="686"/>
      <c r="FI53" s="686"/>
      <c r="FJ53" s="686"/>
      <c r="FK53" s="686"/>
      <c r="FL53" s="79"/>
      <c r="FM53" s="168"/>
      <c r="FN53" s="168"/>
      <c r="FO53" s="168"/>
      <c r="FP53" s="168"/>
      <c r="FQ53" s="168"/>
      <c r="FR53" s="49"/>
      <c r="FS53" s="49"/>
      <c r="FT53" s="49"/>
      <c r="FU53" s="49"/>
      <c r="FV53" s="49"/>
      <c r="FW53" s="49"/>
      <c r="FX53" s="49"/>
      <c r="FY53" s="32"/>
      <c r="FZ53" s="32"/>
      <c r="GA53" s="32"/>
      <c r="GB53" s="32"/>
      <c r="GC53" s="32"/>
      <c r="GD53" s="32"/>
      <c r="GE53" s="32"/>
      <c r="GF53" s="32"/>
      <c r="GG53" s="32"/>
      <c r="GH53" s="32"/>
      <c r="GI53" s="32"/>
      <c r="GJ53" s="32"/>
      <c r="GK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78"/>
      <c r="HO53" s="78"/>
      <c r="HP53" s="78"/>
      <c r="HQ53" s="13"/>
      <c r="HR53" s="13"/>
      <c r="HS53" s="13"/>
      <c r="HT53" s="13"/>
      <c r="HU53" s="13"/>
      <c r="HV53" s="13"/>
      <c r="HW53" s="13"/>
      <c r="HX53" s="13"/>
      <c r="HY53" s="13"/>
      <c r="HZ53" s="13"/>
      <c r="IA53" s="13"/>
    </row>
    <row r="54" spans="1:235" ht="3.75" customHeight="1">
      <c r="A54" s="1"/>
      <c r="B54" s="3"/>
      <c r="C54" s="3"/>
      <c r="D54" s="12"/>
      <c r="E54" s="12"/>
      <c r="F54" s="10"/>
      <c r="G54" s="10"/>
      <c r="H54" s="215"/>
      <c r="I54" s="10"/>
      <c r="J54" s="10"/>
      <c r="K54" s="174"/>
      <c r="L54" s="174"/>
      <c r="M54" s="174"/>
      <c r="N54" s="174"/>
      <c r="O54" s="174"/>
      <c r="P54" s="174"/>
      <c r="Q54" s="197"/>
      <c r="R54" s="197"/>
      <c r="S54" s="197"/>
      <c r="T54" s="197"/>
      <c r="U54" s="197"/>
      <c r="V54" s="197"/>
      <c r="W54" s="197"/>
      <c r="X54" s="197"/>
      <c r="Y54" s="197"/>
      <c r="Z54" s="197"/>
      <c r="AA54" s="197"/>
      <c r="AB54" s="147"/>
      <c r="AC54" s="147"/>
      <c r="AD54" s="197"/>
      <c r="AE54" s="215"/>
      <c r="AF54" s="147" t="str">
        <f ca="1">IF(FP1=1,"`","")</f>
        <v/>
      </c>
      <c r="AG54" s="147" t="str">
        <f t="shared" ca="1" si="19"/>
        <v/>
      </c>
      <c r="AH54" s="147" t="str">
        <f t="shared" ca="1" si="19"/>
        <v/>
      </c>
      <c r="AI54" s="147" t="str">
        <f t="shared" ca="1" si="19"/>
        <v/>
      </c>
      <c r="AJ54" s="147" t="str">
        <f t="shared" ca="1" si="19"/>
        <v/>
      </c>
      <c r="AK54" s="147" t="str">
        <f t="shared" ca="1" si="19"/>
        <v/>
      </c>
      <c r="AL54" s="147" t="str">
        <f t="shared" ca="1" si="19"/>
        <v/>
      </c>
      <c r="AM54" s="147" t="str">
        <f t="shared" ca="1" si="19"/>
        <v/>
      </c>
      <c r="AN54" s="147" t="str">
        <f t="shared" ca="1" si="19"/>
        <v/>
      </c>
      <c r="AO54" s="147" t="str">
        <f t="shared" ca="1" si="19"/>
        <v/>
      </c>
      <c r="AP54" s="147" t="str">
        <f t="shared" ca="1" si="19"/>
        <v/>
      </c>
      <c r="AQ54" s="147" t="str">
        <f t="shared" ca="1" si="20"/>
        <v/>
      </c>
      <c r="AR54" s="147" t="str">
        <f t="shared" ca="1" si="20"/>
        <v/>
      </c>
      <c r="AS54" s="147" t="str">
        <f t="shared" ca="1" si="20"/>
        <v/>
      </c>
      <c r="AT54" s="147" t="str">
        <f t="shared" ca="1" si="20"/>
        <v/>
      </c>
      <c r="AU54" s="147" t="str">
        <f t="shared" ca="1" si="20"/>
        <v/>
      </c>
      <c r="AV54" s="147" t="str">
        <f t="shared" ca="1" si="20"/>
        <v/>
      </c>
      <c r="AW54" s="147" t="str">
        <f t="shared" ca="1" si="20"/>
        <v/>
      </c>
      <c r="AX54" s="147" t="str">
        <f t="shared" ca="1" si="22"/>
        <v/>
      </c>
      <c r="AY54" s="147" t="str">
        <f t="shared" ca="1" si="25"/>
        <v/>
      </c>
      <c r="AZ54" s="147" t="str">
        <f t="shared" ca="1" si="27"/>
        <v/>
      </c>
      <c r="BA54" s="147" t="str">
        <f t="shared" ca="1" si="29"/>
        <v/>
      </c>
      <c r="BB54" s="147" t="str">
        <f t="shared" ref="BB54:BB63" ca="1" si="31">IF($FN$28&gt;=4,"*",IF($FN$28=1,"^",""))</f>
        <v/>
      </c>
      <c r="BC54" s="147" t="str">
        <f ca="1">IF($FN$28&gt;=2,"!",IF($FN$28=1,"^",""))</f>
        <v/>
      </c>
      <c r="BD54" s="147" t="str">
        <f t="shared" ref="BD54:BL54" ca="1" si="32">IF($FN$28&gt;=4,"*",IF($FN$28=1,"^",""))</f>
        <v/>
      </c>
      <c r="BE54" s="147" t="str">
        <f t="shared" ca="1" si="32"/>
        <v/>
      </c>
      <c r="BF54" s="147" t="str">
        <f t="shared" ca="1" si="32"/>
        <v/>
      </c>
      <c r="BG54" s="147" t="str">
        <f t="shared" ca="1" si="32"/>
        <v/>
      </c>
      <c r="BH54" s="147" t="str">
        <f t="shared" ca="1" si="32"/>
        <v/>
      </c>
      <c r="BI54" s="147" t="str">
        <f t="shared" ca="1" si="32"/>
        <v/>
      </c>
      <c r="BJ54" s="147" t="str">
        <f t="shared" ca="1" si="32"/>
        <v/>
      </c>
      <c r="BK54" s="147" t="str">
        <f t="shared" ca="1" si="32"/>
        <v/>
      </c>
      <c r="BL54" s="147" t="str">
        <f t="shared" ca="1" si="32"/>
        <v/>
      </c>
      <c r="BM54" s="147" t="str">
        <f ca="1">IF($FN$28&gt;=4,"`",IF($FN$28=3,"`",IF($FN$28=1,"^","")))</f>
        <v/>
      </c>
      <c r="BN54" s="147" t="str">
        <f t="shared" ca="1" si="24"/>
        <v/>
      </c>
      <c r="BO54" s="147" t="str">
        <f t="shared" ca="1" si="24"/>
        <v/>
      </c>
      <c r="BP54" s="147" t="str">
        <f t="shared" ca="1" si="24"/>
        <v/>
      </c>
      <c r="BQ54" s="147" t="str">
        <f t="shared" ca="1" si="24"/>
        <v/>
      </c>
      <c r="BR54" s="147" t="str">
        <f t="shared" ca="1" si="24"/>
        <v/>
      </c>
      <c r="BS54" s="147" t="str">
        <f t="shared" ca="1" si="24"/>
        <v/>
      </c>
      <c r="BT54" s="147" t="str">
        <f t="shared" ca="1" si="24"/>
        <v/>
      </c>
      <c r="BU54" s="147" t="str">
        <f t="shared" ca="1" si="24"/>
        <v/>
      </c>
      <c r="BV54" s="147" t="str">
        <f t="shared" ca="1" si="24"/>
        <v/>
      </c>
      <c r="BW54" s="147" t="str">
        <f t="shared" ca="1" si="24"/>
        <v/>
      </c>
      <c r="BX54" s="147" t="str">
        <f t="shared" ca="1" si="24"/>
        <v/>
      </c>
      <c r="BY54" s="147" t="str">
        <f ca="1">IF(FP1=1,":","")</f>
        <v/>
      </c>
      <c r="BZ54" s="147" t="str">
        <f ca="1">IF(FP1=1,":","")</f>
        <v/>
      </c>
      <c r="CA54" s="197"/>
      <c r="CB54" s="197"/>
      <c r="CC54" s="43"/>
      <c r="CD54" s="197"/>
      <c r="CE54" s="215"/>
      <c r="CF54" s="197"/>
      <c r="CG54" s="197"/>
      <c r="CH54" s="43"/>
      <c r="CI54" s="43"/>
      <c r="CJ54" s="43"/>
      <c r="CK54" s="43"/>
      <c r="CL54" s="43"/>
      <c r="CM54" s="210"/>
      <c r="CN54" s="210"/>
      <c r="CO54" s="210"/>
      <c r="CP54" s="210"/>
      <c r="CQ54" s="210"/>
      <c r="CR54" s="210"/>
      <c r="CS54" s="215"/>
      <c r="CT54" s="215"/>
      <c r="CU54" s="215"/>
      <c r="CV54" s="215"/>
      <c r="CW54" s="210"/>
      <c r="CX54" s="210"/>
      <c r="CY54" s="210"/>
      <c r="CZ54" s="210"/>
      <c r="DA54" s="210"/>
      <c r="DB54" s="210"/>
      <c r="DC54" s="210"/>
      <c r="DD54" s="210"/>
      <c r="DE54" s="210"/>
      <c r="DF54" s="210"/>
      <c r="DG54" s="210"/>
      <c r="DH54" s="210"/>
      <c r="DI54" s="210"/>
      <c r="DJ54" s="210"/>
      <c r="DK54" s="210"/>
      <c r="DL54" s="210"/>
      <c r="DM54" s="686"/>
      <c r="DN54" s="686"/>
      <c r="DO54" s="686"/>
      <c r="DP54" s="686"/>
      <c r="DQ54" s="686"/>
      <c r="DR54" s="686"/>
      <c r="DS54" s="686"/>
      <c r="DT54" s="686"/>
      <c r="DU54" s="686"/>
      <c r="DV54" s="686"/>
      <c r="DW54" s="686"/>
      <c r="DX54" s="686"/>
      <c r="DY54" s="686"/>
      <c r="DZ54" s="686"/>
      <c r="EA54" s="686"/>
      <c r="EB54" s="686"/>
      <c r="EC54" s="686"/>
      <c r="ED54" s="686"/>
      <c r="EE54" s="686"/>
      <c r="EF54" s="686"/>
      <c r="EG54" s="686"/>
      <c r="EH54" s="686"/>
      <c r="EI54" s="686"/>
      <c r="EJ54" s="686"/>
      <c r="EK54" s="686"/>
      <c r="EL54" s="686"/>
      <c r="EM54" s="686"/>
      <c r="EN54" s="686"/>
      <c r="EO54" s="686"/>
      <c r="EP54" s="686"/>
      <c r="EQ54" s="686"/>
      <c r="ER54" s="686"/>
      <c r="ES54" s="686"/>
      <c r="ET54" s="686"/>
      <c r="EU54" s="686"/>
      <c r="EV54" s="686"/>
      <c r="EW54" s="686"/>
      <c r="EX54" s="686"/>
      <c r="EY54" s="686"/>
      <c r="EZ54" s="686"/>
      <c r="FA54" s="686"/>
      <c r="FB54" s="686"/>
      <c r="FC54" s="686"/>
      <c r="FD54" s="686"/>
      <c r="FE54" s="686"/>
      <c r="FF54" s="686"/>
      <c r="FG54" s="686"/>
      <c r="FH54" s="686"/>
      <c r="FI54" s="686"/>
      <c r="FJ54" s="686"/>
      <c r="FK54" s="686"/>
      <c r="FL54" s="79"/>
      <c r="FM54" s="168"/>
      <c r="FN54" s="168"/>
      <c r="FO54" s="168"/>
      <c r="FP54" s="168"/>
      <c r="FQ54" s="168"/>
      <c r="FR54" s="49"/>
      <c r="FS54" s="49"/>
      <c r="FT54" s="49"/>
      <c r="FU54" s="49"/>
      <c r="FV54" s="49"/>
      <c r="FW54" s="49"/>
      <c r="FX54" s="49"/>
      <c r="FY54" s="32"/>
      <c r="FZ54" s="32"/>
      <c r="GA54" s="32"/>
      <c r="GB54" s="32"/>
      <c r="GC54" s="32"/>
      <c r="GD54" s="32"/>
      <c r="GE54" s="32"/>
      <c r="GF54" s="32"/>
      <c r="GG54" s="32"/>
      <c r="GH54" s="32"/>
      <c r="GI54" s="32"/>
      <c r="GJ54" s="32"/>
      <c r="GK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78"/>
      <c r="HO54" s="78"/>
      <c r="HP54" s="78"/>
      <c r="HQ54" s="13"/>
      <c r="HR54" s="13"/>
      <c r="HS54" s="13"/>
      <c r="HT54" s="13"/>
      <c r="HU54" s="13"/>
      <c r="HV54" s="13"/>
      <c r="HW54" s="13"/>
      <c r="HX54" s="13"/>
      <c r="HY54" s="13"/>
      <c r="HZ54" s="13"/>
      <c r="IA54" s="13"/>
    </row>
    <row r="55" spans="1:235" ht="3.75" customHeight="1">
      <c r="A55" s="1"/>
      <c r="B55" s="3"/>
      <c r="C55" s="3"/>
      <c r="D55" s="12"/>
      <c r="E55" s="12"/>
      <c r="F55" s="10"/>
      <c r="G55" s="10"/>
      <c r="H55" s="10"/>
      <c r="I55" s="10"/>
      <c r="J55" s="212"/>
      <c r="K55" s="25"/>
      <c r="L55" s="25"/>
      <c r="M55" s="25"/>
      <c r="N55" s="197"/>
      <c r="O55" s="197"/>
      <c r="P55" s="197"/>
      <c r="Q55" s="197"/>
      <c r="R55" s="197"/>
      <c r="S55" s="197"/>
      <c r="T55" s="197"/>
      <c r="U55" s="197"/>
      <c r="V55" s="197"/>
      <c r="W55" s="197"/>
      <c r="X55" s="197"/>
      <c r="Y55" s="197"/>
      <c r="Z55" s="197"/>
      <c r="AA55" s="197"/>
      <c r="AB55" s="147"/>
      <c r="AC55" s="197"/>
      <c r="AD55" s="197"/>
      <c r="AE55" s="215"/>
      <c r="AF55" s="147" t="str">
        <f ca="1">IF(FP1=1,"`","")</f>
        <v/>
      </c>
      <c r="AG55" s="147" t="str">
        <f t="shared" ca="1" si="19"/>
        <v/>
      </c>
      <c r="AH55" s="147" t="str">
        <f t="shared" ca="1" si="19"/>
        <v/>
      </c>
      <c r="AI55" s="147" t="str">
        <f t="shared" ca="1" si="19"/>
        <v/>
      </c>
      <c r="AJ55" s="147" t="str">
        <f t="shared" ca="1" si="19"/>
        <v/>
      </c>
      <c r="AK55" s="147" t="str">
        <f t="shared" ca="1" si="19"/>
        <v/>
      </c>
      <c r="AL55" s="147" t="str">
        <f t="shared" ca="1" si="19"/>
        <v/>
      </c>
      <c r="AM55" s="147" t="str">
        <f t="shared" ca="1" si="19"/>
        <v/>
      </c>
      <c r="AN55" s="147" t="str">
        <f t="shared" ca="1" si="19"/>
        <v/>
      </c>
      <c r="AO55" s="147" t="str">
        <f t="shared" ca="1" si="19"/>
        <v/>
      </c>
      <c r="AP55" s="147" t="str">
        <f t="shared" ca="1" si="19"/>
        <v/>
      </c>
      <c r="AQ55" s="147" t="str">
        <f t="shared" ca="1" si="20"/>
        <v/>
      </c>
      <c r="AR55" s="147" t="str">
        <f t="shared" ca="1" si="20"/>
        <v/>
      </c>
      <c r="AS55" s="147" t="str">
        <f t="shared" ca="1" si="20"/>
        <v/>
      </c>
      <c r="AT55" s="147" t="str">
        <f t="shared" ca="1" si="20"/>
        <v/>
      </c>
      <c r="AU55" s="147" t="str">
        <f t="shared" ca="1" si="20"/>
        <v/>
      </c>
      <c r="AV55" s="147" t="str">
        <f t="shared" ca="1" si="20"/>
        <v/>
      </c>
      <c r="AW55" s="147" t="str">
        <f t="shared" ca="1" si="20"/>
        <v/>
      </c>
      <c r="AX55" s="147" t="str">
        <f t="shared" ca="1" si="22"/>
        <v/>
      </c>
      <c r="AY55" s="147" t="str">
        <f t="shared" ca="1" si="25"/>
        <v/>
      </c>
      <c r="AZ55" s="147" t="str">
        <f t="shared" ca="1" si="27"/>
        <v/>
      </c>
      <c r="BA55" s="147" t="str">
        <f t="shared" ca="1" si="29"/>
        <v/>
      </c>
      <c r="BB55" s="147" t="str">
        <f t="shared" ca="1" si="31"/>
        <v/>
      </c>
      <c r="BC55" s="147" t="str">
        <f t="shared" ref="BC55:BC63" ca="1" si="33">IF($FN$28&gt;=4,"*",IF($FN$28=1,"^",""))</f>
        <v/>
      </c>
      <c r="BD55" s="147" t="str">
        <f ca="1">IF($FN$28&gt;=2,"!",IF($FN$28=1,"^",""))</f>
        <v/>
      </c>
      <c r="BE55" s="147" t="str">
        <f t="shared" ref="BE55:BL55" ca="1" si="34">IF($FN$28&gt;=4,"*",IF($FN$28=1,"^",""))</f>
        <v/>
      </c>
      <c r="BF55" s="147" t="str">
        <f t="shared" ca="1" si="34"/>
        <v/>
      </c>
      <c r="BG55" s="147" t="str">
        <f t="shared" ca="1" si="34"/>
        <v/>
      </c>
      <c r="BH55" s="147" t="str">
        <f t="shared" ca="1" si="34"/>
        <v/>
      </c>
      <c r="BI55" s="147" t="str">
        <f t="shared" ca="1" si="34"/>
        <v/>
      </c>
      <c r="BJ55" s="147" t="str">
        <f t="shared" ca="1" si="34"/>
        <v/>
      </c>
      <c r="BK55" s="147" t="str">
        <f t="shared" ca="1" si="34"/>
        <v/>
      </c>
      <c r="BL55" s="147" t="str">
        <f t="shared" ca="1" si="34"/>
        <v/>
      </c>
      <c r="BM55" s="147" t="str">
        <f ca="1">IF($FN$28&gt;=4,"`",IF($FN$28=1,"^",""))</f>
        <v/>
      </c>
      <c r="BN55" s="147" t="str">
        <f t="shared" ca="1" si="24"/>
        <v/>
      </c>
      <c r="BO55" s="147" t="str">
        <f t="shared" ca="1" si="24"/>
        <v/>
      </c>
      <c r="BP55" s="147" t="str">
        <f t="shared" ca="1" si="24"/>
        <v/>
      </c>
      <c r="BQ55" s="147" t="str">
        <f t="shared" ca="1" si="24"/>
        <v/>
      </c>
      <c r="BR55" s="147" t="str">
        <f t="shared" ca="1" si="24"/>
        <v/>
      </c>
      <c r="BS55" s="147" t="str">
        <f t="shared" ca="1" si="24"/>
        <v/>
      </c>
      <c r="BT55" s="147" t="str">
        <f t="shared" ca="1" si="24"/>
        <v/>
      </c>
      <c r="BU55" s="147" t="str">
        <f t="shared" ca="1" si="24"/>
        <v/>
      </c>
      <c r="BV55" s="147" t="str">
        <f t="shared" ca="1" si="24"/>
        <v/>
      </c>
      <c r="BW55" s="147" t="str">
        <f t="shared" ca="1" si="24"/>
        <v/>
      </c>
      <c r="BX55" s="147" t="str">
        <f t="shared" ca="1" si="24"/>
        <v/>
      </c>
      <c r="BY55" s="147" t="str">
        <f t="shared" ca="1" si="24"/>
        <v/>
      </c>
      <c r="BZ55" s="147" t="str">
        <f t="shared" ca="1" si="24"/>
        <v/>
      </c>
      <c r="CA55" s="147" t="str">
        <f ca="1">IF(FP1=1,":","")</f>
        <v/>
      </c>
      <c r="CB55" s="147" t="str">
        <f ca="1">IF(FP1=1,":","")</f>
        <v/>
      </c>
      <c r="CC55" s="43"/>
      <c r="CD55" s="197"/>
      <c r="CE55" s="197"/>
      <c r="CF55" s="197"/>
      <c r="CG55" s="197"/>
      <c r="CH55" s="43"/>
      <c r="CI55" s="43"/>
      <c r="CJ55" s="43"/>
      <c r="CK55" s="43"/>
      <c r="CL55" s="43"/>
      <c r="CM55" s="210"/>
      <c r="CN55" s="210"/>
      <c r="CO55" s="215"/>
      <c r="CP55" s="215"/>
      <c r="CQ55" s="215"/>
      <c r="CR55" s="215"/>
      <c r="CS55" s="210"/>
      <c r="CT55" s="210"/>
      <c r="CU55" s="210"/>
      <c r="CV55" s="210"/>
      <c r="CW55" s="210"/>
      <c r="CX55" s="210"/>
      <c r="CY55" s="210"/>
      <c r="CZ55" s="210"/>
      <c r="DA55" s="210"/>
      <c r="DB55" s="210"/>
      <c r="DC55" s="210"/>
      <c r="DD55" s="210"/>
      <c r="DE55" s="210"/>
      <c r="DF55" s="210"/>
      <c r="DG55" s="210"/>
      <c r="DH55" s="210"/>
      <c r="DI55" s="210"/>
      <c r="DJ55" s="210"/>
      <c r="DK55" s="210"/>
      <c r="DL55" s="210"/>
      <c r="DM55" s="686"/>
      <c r="DN55" s="686"/>
      <c r="DO55" s="686"/>
      <c r="DP55" s="686"/>
      <c r="DQ55" s="686"/>
      <c r="DR55" s="686"/>
      <c r="DS55" s="686"/>
      <c r="DT55" s="686"/>
      <c r="DU55" s="686"/>
      <c r="DV55" s="686"/>
      <c r="DW55" s="686"/>
      <c r="DX55" s="686"/>
      <c r="DY55" s="686"/>
      <c r="DZ55" s="686"/>
      <c r="EA55" s="686"/>
      <c r="EB55" s="686"/>
      <c r="EC55" s="686"/>
      <c r="ED55" s="686"/>
      <c r="EE55" s="686"/>
      <c r="EF55" s="686"/>
      <c r="EG55" s="686"/>
      <c r="EH55" s="686"/>
      <c r="EI55" s="686"/>
      <c r="EJ55" s="686"/>
      <c r="EK55" s="686"/>
      <c r="EL55" s="686"/>
      <c r="EM55" s="686"/>
      <c r="EN55" s="686"/>
      <c r="EO55" s="686"/>
      <c r="EP55" s="686"/>
      <c r="EQ55" s="686"/>
      <c r="ER55" s="686"/>
      <c r="ES55" s="686"/>
      <c r="ET55" s="686"/>
      <c r="EU55" s="686"/>
      <c r="EV55" s="686"/>
      <c r="EW55" s="686"/>
      <c r="EX55" s="686"/>
      <c r="EY55" s="686"/>
      <c r="EZ55" s="686"/>
      <c r="FA55" s="686"/>
      <c r="FB55" s="686"/>
      <c r="FC55" s="686"/>
      <c r="FD55" s="686"/>
      <c r="FE55" s="686"/>
      <c r="FF55" s="686"/>
      <c r="FG55" s="686"/>
      <c r="FH55" s="686"/>
      <c r="FI55" s="686"/>
      <c r="FJ55" s="686"/>
      <c r="FK55" s="686"/>
      <c r="FL55" s="79"/>
      <c r="FM55" s="168"/>
      <c r="FN55" s="168"/>
      <c r="FO55" s="168"/>
      <c r="FP55" s="168"/>
      <c r="FQ55" s="168"/>
      <c r="FR55" s="49"/>
      <c r="FS55" s="49"/>
      <c r="FT55" s="49"/>
      <c r="FU55" s="49"/>
      <c r="FV55" s="49"/>
      <c r="FW55" s="49"/>
      <c r="FX55" s="49"/>
      <c r="FY55" s="32"/>
      <c r="FZ55" s="32"/>
      <c r="GA55" s="32"/>
      <c r="GB55" s="32"/>
      <c r="GC55" s="32"/>
      <c r="GD55" s="32"/>
      <c r="GE55" s="32"/>
      <c r="GF55" s="32"/>
      <c r="GG55" s="32"/>
      <c r="GH55" s="32"/>
      <c r="GI55" s="32"/>
      <c r="GJ55" s="32"/>
      <c r="GK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78"/>
      <c r="HO55" s="78"/>
      <c r="HP55" s="78"/>
      <c r="HQ55" s="13"/>
      <c r="HR55" s="13"/>
      <c r="HS55" s="13"/>
      <c r="HT55" s="13"/>
      <c r="HU55" s="13"/>
      <c r="HV55" s="13"/>
      <c r="HW55" s="13"/>
      <c r="HX55" s="13"/>
      <c r="HY55" s="13"/>
      <c r="HZ55" s="13"/>
      <c r="IA55" s="13"/>
    </row>
    <row r="56" spans="1:235" ht="3.75" customHeight="1">
      <c r="A56" s="1"/>
      <c r="B56" s="3"/>
      <c r="C56" s="3"/>
      <c r="D56" s="12"/>
      <c r="E56" s="12"/>
      <c r="F56" s="10"/>
      <c r="G56" s="10"/>
      <c r="H56" s="10"/>
      <c r="I56" s="10"/>
      <c r="J56" s="25"/>
      <c r="K56" s="25"/>
      <c r="L56" s="25"/>
      <c r="M56" s="25"/>
      <c r="N56" s="197"/>
      <c r="O56" s="197"/>
      <c r="P56" s="197"/>
      <c r="Q56" s="197"/>
      <c r="R56" s="197"/>
      <c r="S56" s="197"/>
      <c r="T56" s="197"/>
      <c r="U56" s="197"/>
      <c r="V56" s="197"/>
      <c r="W56" s="197"/>
      <c r="X56" s="197"/>
      <c r="Y56" s="197"/>
      <c r="Z56" s="197"/>
      <c r="AA56" s="197"/>
      <c r="AB56" s="197"/>
      <c r="AC56" s="197"/>
      <c r="AD56" s="197"/>
      <c r="AE56" s="215"/>
      <c r="AF56" s="147" t="str">
        <f ca="1">IF(FP1=1,"`","")</f>
        <v/>
      </c>
      <c r="AG56" s="147" t="str">
        <f t="shared" ca="1" si="19"/>
        <v/>
      </c>
      <c r="AH56" s="147" t="str">
        <f t="shared" ca="1" si="19"/>
        <v/>
      </c>
      <c r="AI56" s="147" t="str">
        <f t="shared" ca="1" si="19"/>
        <v/>
      </c>
      <c r="AJ56" s="147" t="str">
        <f t="shared" ca="1" si="19"/>
        <v/>
      </c>
      <c r="AK56" s="147" t="str">
        <f t="shared" ca="1" si="19"/>
        <v/>
      </c>
      <c r="AL56" s="147" t="str">
        <f t="shared" ca="1" si="19"/>
        <v/>
      </c>
      <c r="AM56" s="147" t="str">
        <f t="shared" ca="1" si="19"/>
        <v/>
      </c>
      <c r="AN56" s="147" t="str">
        <f t="shared" ca="1" si="19"/>
        <v/>
      </c>
      <c r="AO56" s="147" t="str">
        <f t="shared" ca="1" si="19"/>
        <v/>
      </c>
      <c r="AP56" s="147" t="str">
        <f t="shared" ca="1" si="19"/>
        <v/>
      </c>
      <c r="AQ56" s="147" t="str">
        <f t="shared" ca="1" si="20"/>
        <v/>
      </c>
      <c r="AR56" s="147" t="str">
        <f t="shared" ca="1" si="20"/>
        <v/>
      </c>
      <c r="AS56" s="147" t="str">
        <f t="shared" ca="1" si="20"/>
        <v/>
      </c>
      <c r="AT56" s="147" t="str">
        <f t="shared" ca="1" si="20"/>
        <v/>
      </c>
      <c r="AU56" s="147" t="str">
        <f t="shared" ca="1" si="20"/>
        <v/>
      </c>
      <c r="AV56" s="147" t="str">
        <f t="shared" ca="1" si="20"/>
        <v/>
      </c>
      <c r="AW56" s="147" t="str">
        <f t="shared" ca="1" si="20"/>
        <v/>
      </c>
      <c r="AX56" s="147" t="str">
        <f t="shared" ca="1" si="22"/>
        <v/>
      </c>
      <c r="AY56" s="147" t="str">
        <f t="shared" ca="1" si="25"/>
        <v/>
      </c>
      <c r="AZ56" s="147" t="str">
        <f t="shared" ca="1" si="27"/>
        <v/>
      </c>
      <c r="BA56" s="147" t="str">
        <f t="shared" ca="1" si="29"/>
        <v/>
      </c>
      <c r="BB56" s="147" t="str">
        <f t="shared" ca="1" si="31"/>
        <v/>
      </c>
      <c r="BC56" s="147" t="str">
        <f t="shared" ca="1" si="33"/>
        <v/>
      </c>
      <c r="BD56" s="147" t="str">
        <f t="shared" ref="BD56:BD63" ca="1" si="35">IF($FN$28&gt;=4,"*",IF($FN$28=1,"^",""))</f>
        <v/>
      </c>
      <c r="BE56" s="147" t="str">
        <f ca="1">IF($FN$28&gt;=2,"!",IF($FN$28=1,"^",""))</f>
        <v/>
      </c>
      <c r="BF56" s="147" t="str">
        <f t="shared" ref="BF56:BL56" ca="1" si="36">IF($FN$28&gt;=4,"*",IF($FN$28=1,"^",""))</f>
        <v/>
      </c>
      <c r="BG56" s="147" t="str">
        <f t="shared" ca="1" si="36"/>
        <v/>
      </c>
      <c r="BH56" s="147" t="str">
        <f t="shared" ca="1" si="36"/>
        <v/>
      </c>
      <c r="BI56" s="147" t="str">
        <f t="shared" ca="1" si="36"/>
        <v/>
      </c>
      <c r="BJ56" s="147" t="str">
        <f t="shared" ca="1" si="36"/>
        <v/>
      </c>
      <c r="BK56" s="147" t="str">
        <f t="shared" ca="1" si="36"/>
        <v/>
      </c>
      <c r="BL56" s="147" t="str">
        <f t="shared" ca="1" si="36"/>
        <v/>
      </c>
      <c r="BM56" s="147" t="str">
        <f ca="1">IF($FN$28&gt;=4,"`",IF($FN$28=3,"`",IF($FN$28=1,"^","")))</f>
        <v/>
      </c>
      <c r="BN56" s="147" t="str">
        <f t="shared" ca="1" si="24"/>
        <v/>
      </c>
      <c r="BO56" s="147" t="str">
        <f t="shared" ca="1" si="24"/>
        <v/>
      </c>
      <c r="BP56" s="147" t="str">
        <f t="shared" ca="1" si="24"/>
        <v/>
      </c>
      <c r="BQ56" s="147" t="str">
        <f t="shared" ca="1" si="24"/>
        <v/>
      </c>
      <c r="BR56" s="147" t="str">
        <f t="shared" ca="1" si="24"/>
        <v/>
      </c>
      <c r="BS56" s="147" t="str">
        <f t="shared" ca="1" si="24"/>
        <v/>
      </c>
      <c r="BT56" s="147" t="str">
        <f t="shared" ca="1" si="24"/>
        <v/>
      </c>
      <c r="BU56" s="147" t="str">
        <f t="shared" ca="1" si="24"/>
        <v/>
      </c>
      <c r="BV56" s="147" t="str">
        <f t="shared" ca="1" si="24"/>
        <v/>
      </c>
      <c r="BW56" s="147" t="str">
        <f t="shared" ca="1" si="24"/>
        <v/>
      </c>
      <c r="BX56" s="147" t="str">
        <f t="shared" ca="1" si="24"/>
        <v/>
      </c>
      <c r="BY56" s="147" t="str">
        <f t="shared" ca="1" si="24"/>
        <v/>
      </c>
      <c r="BZ56" s="147" t="str">
        <f t="shared" ca="1" si="24"/>
        <v/>
      </c>
      <c r="CA56" s="147" t="str">
        <f t="shared" ca="1" si="24"/>
        <v/>
      </c>
      <c r="CB56" s="147" t="str">
        <f t="shared" ca="1" si="24"/>
        <v/>
      </c>
      <c r="CC56" s="147" t="str">
        <f ca="1">IF(FP1=1,":","")</f>
        <v/>
      </c>
      <c r="CD56" s="147" t="str">
        <f ca="1">IF(FP1=1,":","")</f>
        <v/>
      </c>
      <c r="CE56" s="197"/>
      <c r="CF56" s="197"/>
      <c r="CG56" s="197"/>
      <c r="CH56" s="43"/>
      <c r="CI56" s="43"/>
      <c r="CJ56" s="43"/>
      <c r="CK56" s="215"/>
      <c r="CL56" s="215"/>
      <c r="CM56" s="215"/>
      <c r="CN56" s="215"/>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686"/>
      <c r="DN56" s="686"/>
      <c r="DO56" s="686"/>
      <c r="DP56" s="686"/>
      <c r="DQ56" s="686"/>
      <c r="DR56" s="686"/>
      <c r="DS56" s="686"/>
      <c r="DT56" s="686"/>
      <c r="DU56" s="686"/>
      <c r="DV56" s="686"/>
      <c r="DW56" s="686"/>
      <c r="DX56" s="686"/>
      <c r="DY56" s="686"/>
      <c r="DZ56" s="686"/>
      <c r="EA56" s="686"/>
      <c r="EB56" s="686"/>
      <c r="EC56" s="686"/>
      <c r="ED56" s="686"/>
      <c r="EE56" s="686"/>
      <c r="EF56" s="686"/>
      <c r="EG56" s="686"/>
      <c r="EH56" s="686"/>
      <c r="EI56" s="686"/>
      <c r="EJ56" s="686"/>
      <c r="EK56" s="686"/>
      <c r="EL56" s="686"/>
      <c r="EM56" s="686"/>
      <c r="EN56" s="686"/>
      <c r="EO56" s="686"/>
      <c r="EP56" s="686"/>
      <c r="EQ56" s="686"/>
      <c r="ER56" s="686"/>
      <c r="ES56" s="686"/>
      <c r="ET56" s="686"/>
      <c r="EU56" s="686"/>
      <c r="EV56" s="686"/>
      <c r="EW56" s="686"/>
      <c r="EX56" s="686"/>
      <c r="EY56" s="686"/>
      <c r="EZ56" s="686"/>
      <c r="FA56" s="686"/>
      <c r="FB56" s="686"/>
      <c r="FC56" s="686"/>
      <c r="FD56" s="686"/>
      <c r="FE56" s="686"/>
      <c r="FF56" s="686"/>
      <c r="FG56" s="686"/>
      <c r="FH56" s="686"/>
      <c r="FI56" s="686"/>
      <c r="FJ56" s="686"/>
      <c r="FK56" s="686"/>
      <c r="FL56" s="79"/>
      <c r="FM56" s="168"/>
      <c r="FN56" s="168"/>
      <c r="FO56" s="168"/>
      <c r="FP56" s="168"/>
      <c r="FQ56" s="168"/>
      <c r="FR56" s="49"/>
      <c r="FS56" s="49"/>
      <c r="FT56" s="49"/>
      <c r="FU56" s="49"/>
      <c r="FV56" s="49"/>
      <c r="FW56" s="49"/>
      <c r="FX56" s="49"/>
      <c r="FY56" s="32"/>
      <c r="FZ56" s="32"/>
      <c r="GA56" s="32"/>
      <c r="GB56" s="32"/>
      <c r="GC56" s="32"/>
      <c r="GD56" s="32"/>
      <c r="GE56" s="32"/>
      <c r="GF56" s="32"/>
      <c r="GG56" s="32"/>
      <c r="GH56" s="32"/>
      <c r="GI56" s="32"/>
      <c r="GJ56" s="32"/>
      <c r="GK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78"/>
      <c r="HO56" s="78"/>
      <c r="HP56" s="78"/>
      <c r="HQ56" s="13"/>
      <c r="HR56" s="13"/>
      <c r="HS56" s="13"/>
      <c r="HT56" s="13"/>
      <c r="HU56" s="13"/>
      <c r="HV56" s="13"/>
      <c r="HW56" s="13"/>
      <c r="HX56" s="13"/>
      <c r="HY56" s="13"/>
      <c r="HZ56" s="13"/>
      <c r="IA56" s="13"/>
    </row>
    <row r="57" spans="1:235" ht="3.75" customHeight="1">
      <c r="A57" s="1"/>
      <c r="B57" s="3"/>
      <c r="C57" s="3"/>
      <c r="D57" s="12"/>
      <c r="E57" s="12"/>
      <c r="F57" s="10"/>
      <c r="G57" s="215"/>
      <c r="H57" s="10"/>
      <c r="I57" s="25"/>
      <c r="J57" s="25"/>
      <c r="K57" s="25"/>
      <c r="L57" s="25"/>
      <c r="M57" s="25"/>
      <c r="N57" s="197"/>
      <c r="O57" s="197"/>
      <c r="P57" s="197"/>
      <c r="Q57" s="197"/>
      <c r="R57" s="197"/>
      <c r="S57" s="197"/>
      <c r="T57" s="197"/>
      <c r="U57" s="197"/>
      <c r="V57" s="197"/>
      <c r="W57" s="197"/>
      <c r="X57" s="197"/>
      <c r="Y57" s="197"/>
      <c r="Z57" s="197"/>
      <c r="AA57" s="197"/>
      <c r="AB57" s="197"/>
      <c r="AC57" s="197"/>
      <c r="AD57" s="197"/>
      <c r="AE57" s="215"/>
      <c r="AF57" s="147" t="str">
        <f ca="1">IF(FP1=1,"`","")</f>
        <v/>
      </c>
      <c r="AG57" s="147" t="str">
        <f t="shared" ca="1" si="19"/>
        <v/>
      </c>
      <c r="AH57" s="147" t="str">
        <f t="shared" ca="1" si="19"/>
        <v/>
      </c>
      <c r="AI57" s="147" t="str">
        <f t="shared" ca="1" si="19"/>
        <v/>
      </c>
      <c r="AJ57" s="147" t="str">
        <f t="shared" ca="1" si="19"/>
        <v/>
      </c>
      <c r="AK57" s="147" t="str">
        <f t="shared" ca="1" si="19"/>
        <v/>
      </c>
      <c r="AL57" s="147" t="str">
        <f t="shared" ca="1" si="19"/>
        <v/>
      </c>
      <c r="AM57" s="147" t="str">
        <f t="shared" ca="1" si="19"/>
        <v/>
      </c>
      <c r="AN57" s="147" t="str">
        <f t="shared" ca="1" si="19"/>
        <v/>
      </c>
      <c r="AO57" s="147" t="str">
        <f t="shared" ca="1" si="19"/>
        <v/>
      </c>
      <c r="AP57" s="147" t="str">
        <f t="shared" ca="1" si="19"/>
        <v/>
      </c>
      <c r="AQ57" s="147" t="str">
        <f t="shared" ca="1" si="20"/>
        <v/>
      </c>
      <c r="AR57" s="147" t="str">
        <f t="shared" ca="1" si="20"/>
        <v/>
      </c>
      <c r="AS57" s="147" t="str">
        <f t="shared" ca="1" si="20"/>
        <v/>
      </c>
      <c r="AT57" s="147" t="str">
        <f t="shared" ca="1" si="20"/>
        <v/>
      </c>
      <c r="AU57" s="147" t="str">
        <f t="shared" ca="1" si="20"/>
        <v/>
      </c>
      <c r="AV57" s="147" t="str">
        <f t="shared" ca="1" si="20"/>
        <v/>
      </c>
      <c r="AW57" s="147" t="str">
        <f t="shared" ca="1" si="20"/>
        <v/>
      </c>
      <c r="AX57" s="147" t="str">
        <f t="shared" ca="1" si="22"/>
        <v/>
      </c>
      <c r="AY57" s="147" t="str">
        <f t="shared" ca="1" si="25"/>
        <v/>
      </c>
      <c r="AZ57" s="147" t="str">
        <f t="shared" ca="1" si="27"/>
        <v/>
      </c>
      <c r="BA57" s="147" t="str">
        <f t="shared" ca="1" si="29"/>
        <v/>
      </c>
      <c r="BB57" s="147" t="str">
        <f t="shared" ca="1" si="31"/>
        <v/>
      </c>
      <c r="BC57" s="147" t="str">
        <f t="shared" ca="1" si="33"/>
        <v/>
      </c>
      <c r="BD57" s="147" t="str">
        <f t="shared" ca="1" si="35"/>
        <v/>
      </c>
      <c r="BE57" s="147" t="str">
        <f t="shared" ref="BE57:BE63" ca="1" si="37">IF($FN$28&gt;=4,"*",IF($FN$28=1,"^",""))</f>
        <v/>
      </c>
      <c r="BF57" s="147" t="str">
        <f ca="1">IF($FN$28&gt;=2,"!",IF($FN$28=1,"^",""))</f>
        <v/>
      </c>
      <c r="BG57" s="147" t="str">
        <f t="shared" ref="BG57:BL57" ca="1" si="38">IF($FN$28&gt;=4,"*",IF($FN$28=1,"^",""))</f>
        <v/>
      </c>
      <c r="BH57" s="147" t="str">
        <f t="shared" ca="1" si="38"/>
        <v/>
      </c>
      <c r="BI57" s="147" t="str">
        <f t="shared" ca="1" si="38"/>
        <v/>
      </c>
      <c r="BJ57" s="147" t="str">
        <f t="shared" ca="1" si="38"/>
        <v/>
      </c>
      <c r="BK57" s="147" t="str">
        <f t="shared" ca="1" si="38"/>
        <v/>
      </c>
      <c r="BL57" s="147" t="str">
        <f t="shared" ca="1" si="38"/>
        <v/>
      </c>
      <c r="BM57" s="147" t="str">
        <f ca="1">IF($FN$28&gt;=4,"`",IF($FN$28=1,"^",""))</f>
        <v/>
      </c>
      <c r="BN57" s="147" t="str">
        <f t="shared" ca="1" si="24"/>
        <v/>
      </c>
      <c r="BO57" s="147" t="str">
        <f t="shared" ca="1" si="24"/>
        <v/>
      </c>
      <c r="BP57" s="147" t="str">
        <f t="shared" ca="1" si="24"/>
        <v/>
      </c>
      <c r="BQ57" s="147" t="str">
        <f t="shared" ca="1" si="24"/>
        <v/>
      </c>
      <c r="BR57" s="147" t="str">
        <f t="shared" ca="1" si="24"/>
        <v/>
      </c>
      <c r="BS57" s="147" t="str">
        <f t="shared" ca="1" si="24"/>
        <v/>
      </c>
      <c r="BT57" s="147" t="str">
        <f t="shared" ca="1" si="24"/>
        <v/>
      </c>
      <c r="BU57" s="147" t="str">
        <f t="shared" ca="1" si="24"/>
        <v/>
      </c>
      <c r="BV57" s="147" t="str">
        <f t="shared" ca="1" si="24"/>
        <v/>
      </c>
      <c r="BW57" s="147" t="str">
        <f t="shared" ca="1" si="24"/>
        <v/>
      </c>
      <c r="BX57" s="147" t="str">
        <f t="shared" ca="1" si="24"/>
        <v/>
      </c>
      <c r="BY57" s="147" t="str">
        <f t="shared" ca="1" si="24"/>
        <v/>
      </c>
      <c r="BZ57" s="147" t="str">
        <f t="shared" ca="1" si="24"/>
        <v/>
      </c>
      <c r="CA57" s="147" t="str">
        <f t="shared" ca="1" si="24"/>
        <v/>
      </c>
      <c r="CB57" s="147" t="str">
        <f t="shared" ca="1" si="24"/>
        <v/>
      </c>
      <c r="CC57" s="147" t="str">
        <f t="shared" ca="1" si="24"/>
        <v/>
      </c>
      <c r="CD57" s="147" t="str">
        <f t="shared" ref="CD57:CP63" ca="1" si="39">IF($FN$28=5,",",IF($FN$28=1,"^",""))</f>
        <v/>
      </c>
      <c r="CE57" s="147" t="str">
        <f ca="1">IF(FP1=1,":","")</f>
        <v/>
      </c>
      <c r="CF57" s="147" t="str">
        <f ca="1">IF(FP1=1,":","")</f>
        <v/>
      </c>
      <c r="CG57" s="215"/>
      <c r="CH57" s="215"/>
      <c r="CI57" s="215"/>
      <c r="CJ57" s="215"/>
      <c r="CK57" s="43"/>
      <c r="CL57" s="43"/>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686"/>
      <c r="DN57" s="686"/>
      <c r="DO57" s="686"/>
      <c r="DP57" s="686"/>
      <c r="DQ57" s="686"/>
      <c r="DR57" s="686"/>
      <c r="DS57" s="686"/>
      <c r="DT57" s="686"/>
      <c r="DU57" s="686"/>
      <c r="DV57" s="686"/>
      <c r="DW57" s="686"/>
      <c r="DX57" s="686"/>
      <c r="DY57" s="686"/>
      <c r="DZ57" s="686"/>
      <c r="EA57" s="686"/>
      <c r="EB57" s="686"/>
      <c r="EC57" s="686"/>
      <c r="ED57" s="686"/>
      <c r="EE57" s="686"/>
      <c r="EF57" s="686"/>
      <c r="EG57" s="686"/>
      <c r="EH57" s="686"/>
      <c r="EI57" s="686"/>
      <c r="EJ57" s="686"/>
      <c r="EK57" s="686"/>
      <c r="EL57" s="686"/>
      <c r="EM57" s="686"/>
      <c r="EN57" s="686"/>
      <c r="EO57" s="686"/>
      <c r="EP57" s="686"/>
      <c r="EQ57" s="686"/>
      <c r="ER57" s="686"/>
      <c r="ES57" s="686"/>
      <c r="ET57" s="686"/>
      <c r="EU57" s="686"/>
      <c r="EV57" s="686"/>
      <c r="EW57" s="686"/>
      <c r="EX57" s="686"/>
      <c r="EY57" s="686"/>
      <c r="EZ57" s="686"/>
      <c r="FA57" s="686"/>
      <c r="FB57" s="686"/>
      <c r="FC57" s="686"/>
      <c r="FD57" s="686"/>
      <c r="FE57" s="686"/>
      <c r="FF57" s="686"/>
      <c r="FG57" s="686"/>
      <c r="FH57" s="686"/>
      <c r="FI57" s="686"/>
      <c r="FJ57" s="686"/>
      <c r="FK57" s="686"/>
      <c r="FL57" s="79"/>
      <c r="FM57" s="168"/>
      <c r="FN57" s="168"/>
      <c r="FO57" s="168"/>
      <c r="FP57" s="168"/>
      <c r="FQ57" s="168"/>
      <c r="FR57" s="49"/>
      <c r="FS57" s="49"/>
      <c r="FT57" s="49"/>
      <c r="FU57" s="49"/>
      <c r="FV57" s="49"/>
      <c r="FW57" s="49"/>
      <c r="FX57" s="49"/>
      <c r="FY57" s="32"/>
      <c r="FZ57" s="32"/>
      <c r="GA57" s="32"/>
      <c r="GB57" s="32"/>
      <c r="GC57" s="32"/>
      <c r="GD57" s="32"/>
      <c r="GE57" s="32"/>
      <c r="GF57" s="32"/>
      <c r="GG57" s="32"/>
      <c r="GH57" s="32"/>
      <c r="GI57" s="32"/>
      <c r="GJ57" s="32"/>
      <c r="GK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78"/>
      <c r="HO57" s="78"/>
      <c r="HP57" s="78"/>
      <c r="HQ57" s="13"/>
      <c r="HR57" s="13"/>
      <c r="HS57" s="13"/>
      <c r="HT57" s="13"/>
      <c r="HU57" s="13"/>
      <c r="HV57" s="13"/>
      <c r="HW57" s="13"/>
      <c r="HX57" s="13"/>
      <c r="HY57" s="13"/>
      <c r="HZ57" s="13"/>
      <c r="IA57" s="13"/>
    </row>
    <row r="58" spans="1:235" ht="3.75" customHeight="1">
      <c r="A58" s="1"/>
      <c r="B58" s="3"/>
      <c r="C58" s="3"/>
      <c r="D58" s="12"/>
      <c r="E58" s="12"/>
      <c r="F58" s="215"/>
      <c r="G58" s="215"/>
      <c r="H58" s="215"/>
      <c r="I58" s="25"/>
      <c r="J58" s="25"/>
      <c r="K58" s="25"/>
      <c r="L58" s="25"/>
      <c r="M58" s="25"/>
      <c r="N58" s="197"/>
      <c r="O58" s="197"/>
      <c r="P58" s="197"/>
      <c r="Q58" s="197"/>
      <c r="R58" s="197"/>
      <c r="S58" s="215"/>
      <c r="T58" s="215"/>
      <c r="U58" s="215"/>
      <c r="V58" s="197"/>
      <c r="W58" s="197"/>
      <c r="X58" s="197"/>
      <c r="Y58" s="197"/>
      <c r="Z58" s="197"/>
      <c r="AA58" s="197"/>
      <c r="AB58" s="197"/>
      <c r="AC58" s="197"/>
      <c r="AD58" s="197"/>
      <c r="AE58" s="215"/>
      <c r="AF58" s="147" t="str">
        <f ca="1">IF(FP1=1,"`","")</f>
        <v/>
      </c>
      <c r="AG58" s="147" t="str">
        <f t="shared" ca="1" si="19"/>
        <v/>
      </c>
      <c r="AH58" s="147" t="str">
        <f t="shared" ca="1" si="19"/>
        <v/>
      </c>
      <c r="AI58" s="147" t="str">
        <f t="shared" ca="1" si="19"/>
        <v/>
      </c>
      <c r="AJ58" s="147" t="str">
        <f t="shared" ca="1" si="19"/>
        <v/>
      </c>
      <c r="AK58" s="147" t="str">
        <f t="shared" ca="1" si="19"/>
        <v/>
      </c>
      <c r="AL58" s="147" t="str">
        <f t="shared" ca="1" si="19"/>
        <v/>
      </c>
      <c r="AM58" s="147" t="str">
        <f t="shared" ca="1" si="19"/>
        <v/>
      </c>
      <c r="AN58" s="147" t="str">
        <f t="shared" ca="1" si="19"/>
        <v/>
      </c>
      <c r="AO58" s="147" t="str">
        <f t="shared" ca="1" si="19"/>
        <v/>
      </c>
      <c r="AP58" s="147" t="str">
        <f t="shared" ca="1" si="19"/>
        <v/>
      </c>
      <c r="AQ58" s="147" t="str">
        <f t="shared" ca="1" si="20"/>
        <v/>
      </c>
      <c r="AR58" s="147" t="str">
        <f t="shared" ca="1" si="20"/>
        <v/>
      </c>
      <c r="AS58" s="147" t="str">
        <f t="shared" ca="1" si="20"/>
        <v/>
      </c>
      <c r="AT58" s="147" t="str">
        <f t="shared" ca="1" si="20"/>
        <v/>
      </c>
      <c r="AU58" s="147" t="str">
        <f t="shared" ca="1" si="20"/>
        <v/>
      </c>
      <c r="AV58" s="147" t="str">
        <f t="shared" ca="1" si="20"/>
        <v/>
      </c>
      <c r="AW58" s="147" t="str">
        <f t="shared" ca="1" si="20"/>
        <v/>
      </c>
      <c r="AX58" s="147" t="str">
        <f t="shared" ca="1" si="22"/>
        <v/>
      </c>
      <c r="AY58" s="147" t="str">
        <f t="shared" ca="1" si="25"/>
        <v/>
      </c>
      <c r="AZ58" s="147" t="str">
        <f t="shared" ca="1" si="27"/>
        <v/>
      </c>
      <c r="BA58" s="147" t="str">
        <f t="shared" ca="1" si="29"/>
        <v/>
      </c>
      <c r="BB58" s="147" t="str">
        <f t="shared" ca="1" si="31"/>
        <v/>
      </c>
      <c r="BC58" s="147" t="str">
        <f t="shared" ca="1" si="33"/>
        <v/>
      </c>
      <c r="BD58" s="147" t="str">
        <f t="shared" ca="1" si="35"/>
        <v/>
      </c>
      <c r="BE58" s="147" t="str">
        <f t="shared" ca="1" si="37"/>
        <v/>
      </c>
      <c r="BF58" s="147" t="str">
        <f t="shared" ref="BF58:BF63" ca="1" si="40">IF($FN$28&gt;=4,"*",IF($FN$28=1,"^",""))</f>
        <v/>
      </c>
      <c r="BG58" s="147" t="str">
        <f ca="1">IF($FN$28&gt;=2,"!",IF($FN$28=1,"^",""))</f>
        <v/>
      </c>
      <c r="BH58" s="147" t="str">
        <f ca="1">IF($FN$28&gt;=4,"*",IF($FN$28=1,"^",""))</f>
        <v/>
      </c>
      <c r="BI58" s="147" t="str">
        <f ca="1">IF($FN$28&gt;=4,"*",IF($FN$28=1,"^",""))</f>
        <v/>
      </c>
      <c r="BJ58" s="147" t="str">
        <f ca="1">IF($FN$28&gt;=4,"*",IF($FN$28=1,"^",""))</f>
        <v/>
      </c>
      <c r="BK58" s="147" t="str">
        <f ca="1">IF($FN$28&gt;=4,"*",IF($FN$28=1,"^",""))</f>
        <v/>
      </c>
      <c r="BL58" s="147" t="str">
        <f ca="1">IF($FN$28&gt;=4,"*",IF($FN$28=1,"^",""))</f>
        <v/>
      </c>
      <c r="BM58" s="147" t="str">
        <f ca="1">IF($FN$28&gt;=4,"`",IF($FN$28=3,"`",IF($FN$28=1,"^","")))</f>
        <v/>
      </c>
      <c r="BN58" s="147" t="str">
        <f t="shared" ca="1" si="24"/>
        <v/>
      </c>
      <c r="BO58" s="147" t="str">
        <f t="shared" ca="1" si="24"/>
        <v/>
      </c>
      <c r="BP58" s="147" t="str">
        <f t="shared" ca="1" si="24"/>
        <v/>
      </c>
      <c r="BQ58" s="147" t="str">
        <f t="shared" ca="1" si="24"/>
        <v/>
      </c>
      <c r="BR58" s="147" t="str">
        <f t="shared" ca="1" si="24"/>
        <v/>
      </c>
      <c r="BS58" s="147" t="str">
        <f t="shared" ca="1" si="24"/>
        <v/>
      </c>
      <c r="BT58" s="147" t="str">
        <f t="shared" ca="1" si="24"/>
        <v/>
      </c>
      <c r="BU58" s="147" t="str">
        <f t="shared" ca="1" si="24"/>
        <v/>
      </c>
      <c r="BV58" s="147" t="str">
        <f t="shared" ca="1" si="24"/>
        <v/>
      </c>
      <c r="BW58" s="147" t="str">
        <f t="shared" ca="1" si="24"/>
        <v/>
      </c>
      <c r="BX58" s="147" t="str">
        <f t="shared" ca="1" si="24"/>
        <v/>
      </c>
      <c r="BY58" s="147" t="str">
        <f t="shared" ca="1" si="24"/>
        <v/>
      </c>
      <c r="BZ58" s="147" t="str">
        <f t="shared" ca="1" si="24"/>
        <v/>
      </c>
      <c r="CA58" s="147" t="str">
        <f t="shared" ca="1" si="24"/>
        <v/>
      </c>
      <c r="CB58" s="147" t="str">
        <f t="shared" ca="1" si="24"/>
        <v/>
      </c>
      <c r="CC58" s="147" t="str">
        <f t="shared" ca="1" si="24"/>
        <v/>
      </c>
      <c r="CD58" s="147" t="str">
        <f t="shared" ca="1" si="39"/>
        <v/>
      </c>
      <c r="CE58" s="147" t="str">
        <f t="shared" ca="1" si="39"/>
        <v/>
      </c>
      <c r="CF58" s="147" t="str">
        <f t="shared" ca="1" si="39"/>
        <v/>
      </c>
      <c r="CG58" s="147" t="str">
        <f ca="1">IF(FP1=1,":","")</f>
        <v/>
      </c>
      <c r="CH58" s="147" t="str">
        <f ca="1">IF(FP1=1,":","")</f>
        <v/>
      </c>
      <c r="CI58" s="43"/>
      <c r="CJ58" s="43"/>
      <c r="CK58" s="43"/>
      <c r="CL58" s="43"/>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686"/>
      <c r="DN58" s="686"/>
      <c r="DO58" s="686"/>
      <c r="DP58" s="686"/>
      <c r="DQ58" s="686"/>
      <c r="DR58" s="686"/>
      <c r="DS58" s="686"/>
      <c r="DT58" s="686"/>
      <c r="DU58" s="686"/>
      <c r="DV58" s="686"/>
      <c r="DW58" s="686"/>
      <c r="DX58" s="686"/>
      <c r="DY58" s="686"/>
      <c r="DZ58" s="686"/>
      <c r="EA58" s="686"/>
      <c r="EB58" s="686"/>
      <c r="EC58" s="686"/>
      <c r="ED58" s="686"/>
      <c r="EE58" s="686"/>
      <c r="EF58" s="686"/>
      <c r="EG58" s="686"/>
      <c r="EH58" s="686"/>
      <c r="EI58" s="686"/>
      <c r="EJ58" s="686"/>
      <c r="EK58" s="686"/>
      <c r="EL58" s="686"/>
      <c r="EM58" s="686"/>
      <c r="EN58" s="686"/>
      <c r="EO58" s="686"/>
      <c r="EP58" s="686"/>
      <c r="EQ58" s="686"/>
      <c r="ER58" s="686"/>
      <c r="ES58" s="686"/>
      <c r="ET58" s="686"/>
      <c r="EU58" s="686"/>
      <c r="EV58" s="686"/>
      <c r="EW58" s="686"/>
      <c r="EX58" s="686"/>
      <c r="EY58" s="686"/>
      <c r="EZ58" s="686"/>
      <c r="FA58" s="686"/>
      <c r="FB58" s="686"/>
      <c r="FC58" s="686"/>
      <c r="FD58" s="686"/>
      <c r="FE58" s="686"/>
      <c r="FF58" s="686"/>
      <c r="FG58" s="686"/>
      <c r="FH58" s="686"/>
      <c r="FI58" s="686"/>
      <c r="FJ58" s="686"/>
      <c r="FK58" s="686"/>
      <c r="FL58" s="79"/>
      <c r="FM58" s="168"/>
      <c r="FN58" s="168"/>
      <c r="FO58" s="168"/>
      <c r="FP58" s="168"/>
      <c r="FQ58" s="168"/>
      <c r="FR58" s="49"/>
      <c r="FS58" s="49"/>
      <c r="FT58" s="49"/>
      <c r="FU58" s="49"/>
      <c r="FV58" s="49"/>
      <c r="FW58" s="49"/>
      <c r="FX58" s="49"/>
      <c r="FY58" s="32"/>
      <c r="FZ58" s="32"/>
      <c r="GA58" s="32"/>
      <c r="GB58" s="32"/>
      <c r="GC58" s="32"/>
      <c r="GD58" s="32"/>
      <c r="GE58" s="32"/>
      <c r="GF58" s="32"/>
      <c r="GG58" s="32"/>
      <c r="GH58" s="32"/>
      <c r="GI58" s="32"/>
      <c r="GJ58" s="32"/>
      <c r="GK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78"/>
      <c r="HO58" s="78"/>
      <c r="HP58" s="78"/>
      <c r="HQ58" s="13"/>
      <c r="HR58" s="13"/>
      <c r="HS58" s="13"/>
      <c r="HT58" s="13"/>
      <c r="HU58" s="13"/>
      <c r="HV58" s="13"/>
      <c r="HW58" s="13"/>
      <c r="HX58" s="13"/>
      <c r="HY58" s="13"/>
      <c r="HZ58" s="13"/>
      <c r="IA58" s="13"/>
    </row>
    <row r="59" spans="1:235" ht="3.75" customHeight="1">
      <c r="A59" s="1"/>
      <c r="B59" s="3"/>
      <c r="C59" s="3"/>
      <c r="D59" s="12"/>
      <c r="E59" s="12"/>
      <c r="F59" s="215"/>
      <c r="G59" s="215"/>
      <c r="H59" s="215"/>
      <c r="I59" s="215"/>
      <c r="J59" s="25"/>
      <c r="K59" s="25"/>
      <c r="L59" s="25"/>
      <c r="M59" s="25"/>
      <c r="N59" s="197"/>
      <c r="O59" s="197"/>
      <c r="P59" s="197"/>
      <c r="Q59" s="197"/>
      <c r="R59" s="197"/>
      <c r="S59" s="215"/>
      <c r="T59" s="215"/>
      <c r="U59" s="215"/>
      <c r="V59" s="197"/>
      <c r="W59" s="197"/>
      <c r="X59" s="197"/>
      <c r="Y59" s="197"/>
      <c r="Z59" s="197"/>
      <c r="AA59" s="197"/>
      <c r="AB59" s="147"/>
      <c r="AC59" s="197"/>
      <c r="AD59" s="197"/>
      <c r="AE59" s="215"/>
      <c r="AF59" s="147" t="str">
        <f ca="1">IF(FP1=1,"`","")</f>
        <v/>
      </c>
      <c r="AG59" s="147" t="str">
        <f t="shared" ca="1" si="19"/>
        <v/>
      </c>
      <c r="AH59" s="147" t="str">
        <f t="shared" ca="1" si="19"/>
        <v/>
      </c>
      <c r="AI59" s="147" t="str">
        <f t="shared" ca="1" si="19"/>
        <v/>
      </c>
      <c r="AJ59" s="147" t="str">
        <f t="shared" ca="1" si="19"/>
        <v/>
      </c>
      <c r="AK59" s="147" t="str">
        <f t="shared" ca="1" si="19"/>
        <v/>
      </c>
      <c r="AL59" s="147" t="str">
        <f t="shared" ca="1" si="19"/>
        <v/>
      </c>
      <c r="AM59" s="147" t="str">
        <f t="shared" ca="1" si="19"/>
        <v/>
      </c>
      <c r="AN59" s="147" t="str">
        <f t="shared" ca="1" si="19"/>
        <v/>
      </c>
      <c r="AO59" s="147" t="str">
        <f t="shared" ca="1" si="19"/>
        <v/>
      </c>
      <c r="AP59" s="147" t="str">
        <f t="shared" ca="1" si="19"/>
        <v/>
      </c>
      <c r="AQ59" s="147" t="str">
        <f t="shared" ca="1" si="20"/>
        <v/>
      </c>
      <c r="AR59" s="147" t="str">
        <f t="shared" ca="1" si="20"/>
        <v/>
      </c>
      <c r="AS59" s="147" t="str">
        <f t="shared" ca="1" si="20"/>
        <v/>
      </c>
      <c r="AT59" s="147" t="str">
        <f t="shared" ca="1" si="20"/>
        <v/>
      </c>
      <c r="AU59" s="147" t="str">
        <f t="shared" ca="1" si="20"/>
        <v/>
      </c>
      <c r="AV59" s="147" t="str">
        <f t="shared" ca="1" si="20"/>
        <v/>
      </c>
      <c r="AW59" s="147" t="str">
        <f t="shared" ca="1" si="20"/>
        <v/>
      </c>
      <c r="AX59" s="147" t="str">
        <f t="shared" ca="1" si="22"/>
        <v/>
      </c>
      <c r="AY59" s="147" t="str">
        <f t="shared" ca="1" si="25"/>
        <v/>
      </c>
      <c r="AZ59" s="147" t="str">
        <f t="shared" ca="1" si="27"/>
        <v/>
      </c>
      <c r="BA59" s="147" t="str">
        <f t="shared" ca="1" si="29"/>
        <v/>
      </c>
      <c r="BB59" s="147" t="str">
        <f t="shared" ca="1" si="31"/>
        <v/>
      </c>
      <c r="BC59" s="147" t="str">
        <f t="shared" ca="1" si="33"/>
        <v/>
      </c>
      <c r="BD59" s="147" t="str">
        <f t="shared" ca="1" si="35"/>
        <v/>
      </c>
      <c r="BE59" s="147" t="str">
        <f t="shared" ca="1" si="37"/>
        <v/>
      </c>
      <c r="BF59" s="147" t="str">
        <f t="shared" ca="1" si="40"/>
        <v/>
      </c>
      <c r="BG59" s="147" t="str">
        <f ca="1">IF($FN$28&gt;=4,"*",IF($FN$28=1,"^",""))</f>
        <v/>
      </c>
      <c r="BH59" s="147" t="str">
        <f ca="1">IF($FN$28&gt;=2,"!",IF($FN$28=1,"^",""))</f>
        <v/>
      </c>
      <c r="BI59" s="147" t="str">
        <f ca="1">IF($FN$28&gt;=4,"*",IF($FN$28=1,"^",""))</f>
        <v/>
      </c>
      <c r="BJ59" s="147" t="str">
        <f ca="1">IF($FN$28&gt;=4,"*",IF($FN$28=1,"^",""))</f>
        <v/>
      </c>
      <c r="BK59" s="147" t="str">
        <f ca="1">IF($FN$28&gt;=4,"*",IF($FN$28=1,"^",""))</f>
        <v/>
      </c>
      <c r="BL59" s="147" t="str">
        <f ca="1">IF($FN$28&gt;=4,"*",IF($FN$28=1,"^",""))</f>
        <v/>
      </c>
      <c r="BM59" s="147" t="str">
        <f ca="1">IF($FN$28&gt;=4,"`",IF($FN$28=1,"^",""))</f>
        <v/>
      </c>
      <c r="BN59" s="147" t="str">
        <f t="shared" ca="1" si="24"/>
        <v/>
      </c>
      <c r="BO59" s="147" t="str">
        <f t="shared" ca="1" si="24"/>
        <v/>
      </c>
      <c r="BP59" s="147" t="str">
        <f t="shared" ca="1" si="24"/>
        <v/>
      </c>
      <c r="BQ59" s="147" t="str">
        <f t="shared" ca="1" si="24"/>
        <v/>
      </c>
      <c r="BR59" s="147" t="str">
        <f t="shared" ca="1" si="24"/>
        <v/>
      </c>
      <c r="BS59" s="147" t="str">
        <f t="shared" ca="1" si="24"/>
        <v/>
      </c>
      <c r="BT59" s="147" t="str">
        <f t="shared" ca="1" si="24"/>
        <v/>
      </c>
      <c r="BU59" s="147" t="str">
        <f t="shared" ca="1" si="24"/>
        <v/>
      </c>
      <c r="BV59" s="147" t="str">
        <f t="shared" ca="1" si="24"/>
        <v/>
      </c>
      <c r="BW59" s="147" t="str">
        <f t="shared" ca="1" si="24"/>
        <v/>
      </c>
      <c r="BX59" s="147" t="str">
        <f t="shared" ca="1" si="24"/>
        <v/>
      </c>
      <c r="BY59" s="147" t="str">
        <f t="shared" ca="1" si="24"/>
        <v/>
      </c>
      <c r="BZ59" s="147" t="str">
        <f t="shared" ca="1" si="24"/>
        <v/>
      </c>
      <c r="CA59" s="147" t="str">
        <f t="shared" ca="1" si="24"/>
        <v/>
      </c>
      <c r="CB59" s="147" t="str">
        <f t="shared" ca="1" si="24"/>
        <v/>
      </c>
      <c r="CC59" s="147" t="str">
        <f t="shared" ca="1" si="24"/>
        <v/>
      </c>
      <c r="CD59" s="147" t="str">
        <f t="shared" ca="1" si="39"/>
        <v/>
      </c>
      <c r="CE59" s="147" t="str">
        <f t="shared" ca="1" si="39"/>
        <v/>
      </c>
      <c r="CF59" s="147" t="str">
        <f t="shared" ca="1" si="39"/>
        <v/>
      </c>
      <c r="CG59" s="147" t="str">
        <f t="shared" ca="1" si="39"/>
        <v/>
      </c>
      <c r="CH59" s="147" t="str">
        <f t="shared" ca="1" si="39"/>
        <v/>
      </c>
      <c r="CI59" s="147" t="str">
        <f ca="1">IF(FP1=1,":","")</f>
        <v/>
      </c>
      <c r="CJ59" s="147" t="str">
        <f ca="1">IF(FP1=1,":","")</f>
        <v/>
      </c>
      <c r="CK59" s="43"/>
      <c r="CL59" s="43"/>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713" t="str">
        <f ca="1">IF($FO$28&gt;=1,"MK = GVK = aanbodlijn","")</f>
        <v/>
      </c>
      <c r="DI59" s="519"/>
      <c r="DJ59" s="519"/>
      <c r="DK59" s="519"/>
      <c r="DL59" s="519"/>
      <c r="DM59" s="519"/>
      <c r="DN59" s="519"/>
      <c r="DO59" s="519"/>
      <c r="DP59" s="519"/>
      <c r="DQ59" s="519"/>
      <c r="DR59" s="519"/>
      <c r="DS59" s="519"/>
      <c r="DT59" s="519"/>
      <c r="DU59" s="519"/>
      <c r="DV59" s="519"/>
      <c r="DW59" s="519"/>
      <c r="DX59" s="519"/>
      <c r="DY59" s="519"/>
      <c r="DZ59" s="519"/>
      <c r="EA59" s="519"/>
      <c r="EB59" s="519"/>
      <c r="EC59" s="519"/>
      <c r="ED59" s="519"/>
      <c r="EE59" s="519"/>
      <c r="EF59" s="519"/>
      <c r="EG59" s="519"/>
      <c r="EH59" s="519"/>
      <c r="EI59" s="519"/>
      <c r="EJ59" s="519"/>
      <c r="EK59" s="519"/>
      <c r="EL59" s="519"/>
      <c r="EM59" s="519"/>
      <c r="EN59" s="519"/>
      <c r="EO59" s="519"/>
      <c r="EP59" s="519"/>
      <c r="EQ59" s="519"/>
      <c r="ER59" s="519"/>
      <c r="ES59" s="210"/>
      <c r="ET59" s="210"/>
      <c r="EU59" s="210"/>
      <c r="EV59" s="210"/>
      <c r="EW59" s="210"/>
      <c r="EX59" s="210"/>
      <c r="EY59" s="210"/>
      <c r="EZ59" s="210"/>
      <c r="FA59" s="210"/>
      <c r="FB59" s="210"/>
      <c r="FC59" s="210"/>
      <c r="FD59" s="210"/>
      <c r="FE59" s="210"/>
      <c r="FF59" s="210"/>
      <c r="FG59" s="210"/>
      <c r="FH59" s="210"/>
      <c r="FI59" s="210"/>
      <c r="FJ59" s="210"/>
      <c r="FK59" s="210"/>
      <c r="FL59" s="79"/>
      <c r="FM59" s="168"/>
      <c r="FN59" s="168"/>
      <c r="FO59" s="168"/>
      <c r="FP59" s="168"/>
      <c r="FQ59" s="168"/>
      <c r="FR59" s="49"/>
      <c r="FS59" s="49"/>
      <c r="FT59" s="49"/>
      <c r="FU59" s="49"/>
      <c r="FV59" s="49"/>
      <c r="FW59" s="49"/>
      <c r="FX59" s="49"/>
      <c r="FY59" s="32"/>
      <c r="FZ59" s="32"/>
      <c r="GA59" s="32"/>
      <c r="GB59" s="32"/>
      <c r="GC59" s="32"/>
      <c r="GD59" s="32"/>
      <c r="GE59" s="32"/>
      <c r="GF59" s="32"/>
      <c r="GG59" s="32"/>
      <c r="GH59" s="32"/>
      <c r="GI59" s="32"/>
      <c r="GJ59" s="32"/>
      <c r="GK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78"/>
      <c r="HO59" s="78"/>
      <c r="HP59" s="78"/>
      <c r="HQ59" s="13"/>
      <c r="HR59" s="13"/>
      <c r="HS59" s="13"/>
      <c r="HT59" s="13"/>
      <c r="HU59" s="13"/>
      <c r="HV59" s="13"/>
      <c r="HW59" s="13"/>
      <c r="HX59" s="13"/>
      <c r="HY59" s="13"/>
      <c r="HZ59" s="13"/>
      <c r="IA59" s="13"/>
    </row>
    <row r="60" spans="1:235" ht="3.75" customHeight="1">
      <c r="A60" s="1"/>
      <c r="B60" s="3"/>
      <c r="C60" s="3"/>
      <c r="D60" s="12"/>
      <c r="E60" s="12"/>
      <c r="F60" s="215"/>
      <c r="G60" s="215"/>
      <c r="H60" s="25"/>
      <c r="I60" s="25"/>
      <c r="J60" s="212"/>
      <c r="K60" s="25"/>
      <c r="L60" s="25"/>
      <c r="M60" s="25"/>
      <c r="N60" s="197"/>
      <c r="O60" s="197"/>
      <c r="P60" s="197"/>
      <c r="Q60" s="197"/>
      <c r="R60" s="197"/>
      <c r="S60" s="215"/>
      <c r="T60" s="215"/>
      <c r="U60" s="215"/>
      <c r="V60" s="197"/>
      <c r="W60" s="197"/>
      <c r="X60" s="197"/>
      <c r="Y60" s="197"/>
      <c r="Z60" s="197"/>
      <c r="AA60" s="197"/>
      <c r="AB60" s="147"/>
      <c r="AC60" s="147"/>
      <c r="AD60" s="197"/>
      <c r="AE60" s="215"/>
      <c r="AF60" s="147" t="str">
        <f ca="1">IF(FP1=1,"`","")</f>
        <v/>
      </c>
      <c r="AG60" s="147" t="str">
        <f t="shared" ca="1" si="19"/>
        <v/>
      </c>
      <c r="AH60" s="147" t="str">
        <f t="shared" ca="1" si="19"/>
        <v/>
      </c>
      <c r="AI60" s="147" t="str">
        <f t="shared" ca="1" si="19"/>
        <v/>
      </c>
      <c r="AJ60" s="147" t="str">
        <f t="shared" ca="1" si="19"/>
        <v/>
      </c>
      <c r="AK60" s="147" t="str">
        <f t="shared" ca="1" si="19"/>
        <v/>
      </c>
      <c r="AL60" s="147" t="str">
        <f t="shared" ca="1" si="19"/>
        <v/>
      </c>
      <c r="AM60" s="147" t="str">
        <f t="shared" ca="1" si="19"/>
        <v/>
      </c>
      <c r="AN60" s="147" t="str">
        <f t="shared" ca="1" si="19"/>
        <v/>
      </c>
      <c r="AO60" s="147" t="str">
        <f t="shared" ca="1" si="19"/>
        <v/>
      </c>
      <c r="AP60" s="147" t="str">
        <f t="shared" ca="1" si="19"/>
        <v/>
      </c>
      <c r="AQ60" s="147" t="str">
        <f t="shared" ca="1" si="20"/>
        <v/>
      </c>
      <c r="AR60" s="147" t="str">
        <f t="shared" ca="1" si="20"/>
        <v/>
      </c>
      <c r="AS60" s="147" t="str">
        <f t="shared" ca="1" si="20"/>
        <v/>
      </c>
      <c r="AT60" s="147" t="str">
        <f t="shared" ca="1" si="20"/>
        <v/>
      </c>
      <c r="AU60" s="147" t="str">
        <f t="shared" ca="1" si="20"/>
        <v/>
      </c>
      <c r="AV60" s="147" t="str">
        <f t="shared" ca="1" si="20"/>
        <v/>
      </c>
      <c r="AW60" s="147" t="str">
        <f t="shared" ca="1" si="20"/>
        <v/>
      </c>
      <c r="AX60" s="147" t="str">
        <f t="shared" ca="1" si="22"/>
        <v/>
      </c>
      <c r="AY60" s="147" t="str">
        <f t="shared" ca="1" si="25"/>
        <v/>
      </c>
      <c r="AZ60" s="147" t="str">
        <f t="shared" ca="1" si="27"/>
        <v/>
      </c>
      <c r="BA60" s="147" t="str">
        <f t="shared" ca="1" si="29"/>
        <v/>
      </c>
      <c r="BB60" s="147" t="str">
        <f t="shared" ca="1" si="31"/>
        <v/>
      </c>
      <c r="BC60" s="147" t="str">
        <f t="shared" ca="1" si="33"/>
        <v/>
      </c>
      <c r="BD60" s="147" t="str">
        <f t="shared" ca="1" si="35"/>
        <v/>
      </c>
      <c r="BE60" s="147" t="str">
        <f t="shared" ca="1" si="37"/>
        <v/>
      </c>
      <c r="BF60" s="147" t="str">
        <f t="shared" ca="1" si="40"/>
        <v/>
      </c>
      <c r="BG60" s="147" t="str">
        <f ca="1">IF($FN$28&gt;=4,"*",IF($FN$28=1,"^",""))</f>
        <v/>
      </c>
      <c r="BH60" s="147" t="str">
        <f ca="1">IF($FN$28&gt;=4,"*",IF($FN$28=1,"^",""))</f>
        <v/>
      </c>
      <c r="BI60" s="147" t="str">
        <f ca="1">IF($FN$28&gt;=2,"!",IF($FN$28=1,"^",""))</f>
        <v/>
      </c>
      <c r="BJ60" s="147" t="str">
        <f ca="1">IF($FN$28&gt;=4,"*",IF($FN$28=1,"^",""))</f>
        <v/>
      </c>
      <c r="BK60" s="147" t="str">
        <f ca="1">IF($FN$28&gt;=4,"*",IF($FN$28=1,"^",""))</f>
        <v/>
      </c>
      <c r="BL60" s="147" t="str">
        <f ca="1">IF($FN$28&gt;=4,"*",IF($FN$28=1,"^",""))</f>
        <v/>
      </c>
      <c r="BM60" s="147" t="str">
        <f ca="1">IF($FN$28&gt;=4,"`",IF($FN$28=3,"`",IF($FN$28=1,"^","")))</f>
        <v/>
      </c>
      <c r="BN60" s="147" t="str">
        <f t="shared" ca="1" si="24"/>
        <v/>
      </c>
      <c r="BO60" s="147" t="str">
        <f t="shared" ca="1" si="24"/>
        <v/>
      </c>
      <c r="BP60" s="147" t="str">
        <f t="shared" ca="1" si="24"/>
        <v/>
      </c>
      <c r="BQ60" s="147" t="str">
        <f t="shared" ca="1" si="24"/>
        <v/>
      </c>
      <c r="BR60" s="147" t="str">
        <f t="shared" ca="1" si="24"/>
        <v/>
      </c>
      <c r="BS60" s="147" t="str">
        <f t="shared" ca="1" si="24"/>
        <v/>
      </c>
      <c r="BT60" s="147" t="str">
        <f t="shared" ca="1" si="24"/>
        <v/>
      </c>
      <c r="BU60" s="147" t="str">
        <f t="shared" ca="1" si="24"/>
        <v/>
      </c>
      <c r="BV60" s="147" t="str">
        <f t="shared" ca="1" si="24"/>
        <v/>
      </c>
      <c r="BW60" s="147" t="str">
        <f t="shared" ca="1" si="24"/>
        <v/>
      </c>
      <c r="BX60" s="147" t="str">
        <f t="shared" ca="1" si="24"/>
        <v/>
      </c>
      <c r="BY60" s="147" t="str">
        <f t="shared" ca="1" si="24"/>
        <v/>
      </c>
      <c r="BZ60" s="147" t="str">
        <f t="shared" ca="1" si="24"/>
        <v/>
      </c>
      <c r="CA60" s="147" t="str">
        <f t="shared" ca="1" si="24"/>
        <v/>
      </c>
      <c r="CB60" s="147" t="str">
        <f t="shared" ca="1" si="24"/>
        <v/>
      </c>
      <c r="CC60" s="147" t="str">
        <f t="shared" ca="1" si="24"/>
        <v/>
      </c>
      <c r="CD60" s="147" t="str">
        <f t="shared" ca="1" si="39"/>
        <v/>
      </c>
      <c r="CE60" s="147" t="str">
        <f t="shared" ca="1" si="39"/>
        <v/>
      </c>
      <c r="CF60" s="147" t="str">
        <f t="shared" ca="1" si="39"/>
        <v/>
      </c>
      <c r="CG60" s="147" t="str">
        <f t="shared" ca="1" si="39"/>
        <v/>
      </c>
      <c r="CH60" s="147" t="str">
        <f t="shared" ca="1" si="39"/>
        <v/>
      </c>
      <c r="CI60" s="147" t="str">
        <f t="shared" ca="1" si="39"/>
        <v/>
      </c>
      <c r="CJ60" s="147" t="str">
        <f t="shared" ca="1" si="39"/>
        <v/>
      </c>
      <c r="CK60" s="147" t="str">
        <f ca="1">IF(FP1=1,":","")</f>
        <v/>
      </c>
      <c r="CL60" s="147" t="str">
        <f ca="1">IF(FP1=1,":","")</f>
        <v/>
      </c>
      <c r="CM60" s="210"/>
      <c r="CN60" s="210"/>
      <c r="CO60" s="210"/>
      <c r="CP60" s="210"/>
      <c r="CQ60" s="210"/>
      <c r="CR60" s="210"/>
      <c r="CS60" s="210"/>
      <c r="CT60" s="210"/>
      <c r="CU60" s="210"/>
      <c r="CV60" s="210"/>
      <c r="CW60" s="79"/>
      <c r="CX60" s="79"/>
      <c r="CY60" s="79"/>
      <c r="CZ60" s="79"/>
      <c r="DA60" s="79"/>
      <c r="DB60" s="79"/>
      <c r="DC60" s="79"/>
      <c r="DD60" s="79"/>
      <c r="DE60" s="79"/>
      <c r="DF60" s="79"/>
      <c r="DG60" s="79"/>
      <c r="DH60" s="519"/>
      <c r="DI60" s="519"/>
      <c r="DJ60" s="519"/>
      <c r="DK60" s="519"/>
      <c r="DL60" s="519"/>
      <c r="DM60" s="519"/>
      <c r="DN60" s="519"/>
      <c r="DO60" s="519"/>
      <c r="DP60" s="519"/>
      <c r="DQ60" s="519"/>
      <c r="DR60" s="519"/>
      <c r="DS60" s="519"/>
      <c r="DT60" s="519"/>
      <c r="DU60" s="519"/>
      <c r="DV60" s="519"/>
      <c r="DW60" s="519"/>
      <c r="DX60" s="519"/>
      <c r="DY60" s="519"/>
      <c r="DZ60" s="519"/>
      <c r="EA60" s="519"/>
      <c r="EB60" s="519"/>
      <c r="EC60" s="519"/>
      <c r="ED60" s="519"/>
      <c r="EE60" s="519"/>
      <c r="EF60" s="519"/>
      <c r="EG60" s="519"/>
      <c r="EH60" s="519"/>
      <c r="EI60" s="519"/>
      <c r="EJ60" s="519"/>
      <c r="EK60" s="519"/>
      <c r="EL60" s="519"/>
      <c r="EM60" s="519"/>
      <c r="EN60" s="519"/>
      <c r="EO60" s="519"/>
      <c r="EP60" s="519"/>
      <c r="EQ60" s="519"/>
      <c r="ER60" s="519"/>
      <c r="ES60" s="210"/>
      <c r="ET60" s="210"/>
      <c r="EU60" s="210"/>
      <c r="EV60" s="210"/>
      <c r="EW60" s="210"/>
      <c r="EX60" s="210"/>
      <c r="EY60" s="210"/>
      <c r="EZ60" s="210"/>
      <c r="FA60" s="210"/>
      <c r="FB60" s="210"/>
      <c r="FC60" s="210"/>
      <c r="FD60" s="210"/>
      <c r="FE60" s="210"/>
      <c r="FF60" s="210"/>
      <c r="FG60" s="210"/>
      <c r="FH60" s="210"/>
      <c r="FI60" s="210"/>
      <c r="FJ60" s="210"/>
      <c r="FK60" s="210"/>
      <c r="FL60" s="79"/>
      <c r="FM60" s="168"/>
      <c r="FN60" s="168"/>
      <c r="FO60" s="168"/>
      <c r="FP60" s="168"/>
      <c r="FQ60" s="168"/>
      <c r="FR60" s="49"/>
      <c r="FS60" s="49"/>
      <c r="FT60" s="49"/>
      <c r="FU60" s="49"/>
      <c r="FV60" s="49"/>
      <c r="FW60" s="49"/>
      <c r="FX60" s="49"/>
      <c r="FY60" s="32"/>
      <c r="FZ60" s="32"/>
      <c r="GA60" s="32"/>
      <c r="GB60" s="32"/>
      <c r="GC60" s="32"/>
      <c r="GD60" s="32"/>
      <c r="GE60" s="32"/>
      <c r="GF60" s="32"/>
      <c r="GG60" s="32"/>
      <c r="GH60" s="32"/>
      <c r="GI60" s="32"/>
      <c r="GJ60" s="32"/>
      <c r="GK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78"/>
      <c r="HO60" s="78"/>
      <c r="HP60" s="78"/>
      <c r="HQ60" s="13"/>
      <c r="HR60" s="13"/>
      <c r="HS60" s="13"/>
      <c r="HT60" s="13"/>
      <c r="HU60" s="13"/>
      <c r="HV60" s="13"/>
      <c r="HW60" s="13"/>
      <c r="HX60" s="13"/>
      <c r="HY60" s="13"/>
      <c r="HZ60" s="13"/>
      <c r="IA60" s="13"/>
    </row>
    <row r="61" spans="1:235" ht="3.75" customHeight="1">
      <c r="A61" s="1"/>
      <c r="B61" s="3"/>
      <c r="C61" s="3"/>
      <c r="D61" s="12"/>
      <c r="E61" s="12"/>
      <c r="F61" s="215"/>
      <c r="G61" s="215"/>
      <c r="H61" s="25"/>
      <c r="I61" s="25"/>
      <c r="J61" s="25"/>
      <c r="K61" s="25"/>
      <c r="L61" s="25"/>
      <c r="M61" s="25"/>
      <c r="N61" s="197"/>
      <c r="O61" s="197"/>
      <c r="P61" s="197"/>
      <c r="Q61" s="197"/>
      <c r="R61" s="197"/>
      <c r="S61" s="215"/>
      <c r="T61" s="215"/>
      <c r="U61" s="215"/>
      <c r="V61" s="213"/>
      <c r="W61" s="147"/>
      <c r="X61" s="147"/>
      <c r="Y61" s="147"/>
      <c r="Z61" s="147"/>
      <c r="AA61" s="147"/>
      <c r="AB61" s="147"/>
      <c r="AC61" s="147"/>
      <c r="AD61" s="147"/>
      <c r="AE61" s="215"/>
      <c r="AF61" s="147" t="str">
        <f ca="1">IF(FP1=1,"`","")</f>
        <v/>
      </c>
      <c r="AG61" s="147" t="str">
        <f t="shared" ca="1" si="19"/>
        <v/>
      </c>
      <c r="AH61" s="147" t="str">
        <f t="shared" ca="1" si="19"/>
        <v/>
      </c>
      <c r="AI61" s="147" t="str">
        <f t="shared" ca="1" si="19"/>
        <v/>
      </c>
      <c r="AJ61" s="147" t="str">
        <f t="shared" ca="1" si="19"/>
        <v/>
      </c>
      <c r="AK61" s="147" t="str">
        <f t="shared" ca="1" si="19"/>
        <v/>
      </c>
      <c r="AL61" s="147" t="str">
        <f t="shared" ca="1" si="19"/>
        <v/>
      </c>
      <c r="AM61" s="147" t="str">
        <f t="shared" ca="1" si="19"/>
        <v/>
      </c>
      <c r="AN61" s="147" t="str">
        <f t="shared" ca="1" si="19"/>
        <v/>
      </c>
      <c r="AO61" s="147" t="str">
        <f t="shared" ca="1" si="19"/>
        <v/>
      </c>
      <c r="AP61" s="147" t="str">
        <f t="shared" ca="1" si="19"/>
        <v/>
      </c>
      <c r="AQ61" s="147" t="str">
        <f t="shared" ca="1" si="20"/>
        <v/>
      </c>
      <c r="AR61" s="147" t="str">
        <f t="shared" ca="1" si="20"/>
        <v/>
      </c>
      <c r="AS61" s="147" t="str">
        <f t="shared" ca="1" si="20"/>
        <v/>
      </c>
      <c r="AT61" s="147" t="str">
        <f t="shared" ca="1" si="20"/>
        <v/>
      </c>
      <c r="AU61" s="147" t="str">
        <f t="shared" ca="1" si="20"/>
        <v/>
      </c>
      <c r="AV61" s="147" t="str">
        <f t="shared" ca="1" si="20"/>
        <v/>
      </c>
      <c r="AW61" s="147" t="str">
        <f t="shared" ca="1" si="20"/>
        <v/>
      </c>
      <c r="AX61" s="147" t="str">
        <f t="shared" ca="1" si="22"/>
        <v/>
      </c>
      <c r="AY61" s="147" t="str">
        <f t="shared" ca="1" si="25"/>
        <v/>
      </c>
      <c r="AZ61" s="147" t="str">
        <f t="shared" ca="1" si="27"/>
        <v/>
      </c>
      <c r="BA61" s="147" t="str">
        <f t="shared" ca="1" si="29"/>
        <v/>
      </c>
      <c r="BB61" s="147" t="str">
        <f t="shared" ca="1" si="31"/>
        <v/>
      </c>
      <c r="BC61" s="147" t="str">
        <f t="shared" ca="1" si="33"/>
        <v/>
      </c>
      <c r="BD61" s="147" t="str">
        <f t="shared" ca="1" si="35"/>
        <v/>
      </c>
      <c r="BE61" s="147" t="str">
        <f t="shared" ca="1" si="37"/>
        <v/>
      </c>
      <c r="BF61" s="147" t="str">
        <f t="shared" ca="1" si="40"/>
        <v/>
      </c>
      <c r="BG61" s="147" t="str">
        <f ca="1">IF($FN$28&gt;=4,"*",IF($FN$28=1,"^",""))</f>
        <v/>
      </c>
      <c r="BH61" s="147" t="str">
        <f ca="1">IF($FN$28&gt;=4,"*",IF($FN$28=1,"^",""))</f>
        <v/>
      </c>
      <c r="BI61" s="147" t="str">
        <f ca="1">IF($FN$28&gt;=4,"*",IF($FN$28=1,"^",""))</f>
        <v/>
      </c>
      <c r="BJ61" s="147" t="str">
        <f ca="1">IF($FN$28&gt;=2,"!",IF($FN$28=1,"^",""))</f>
        <v/>
      </c>
      <c r="BK61" s="147" t="str">
        <f ca="1">IF($FN$28&gt;=4,"*",IF($FN$28=1,"^",""))</f>
        <v/>
      </c>
      <c r="BL61" s="147" t="str">
        <f ca="1">IF($FN$28&gt;=4,"*",IF($FN$28=1,"^",""))</f>
        <v/>
      </c>
      <c r="BM61" s="147" t="str">
        <f ca="1">IF($FN$28&gt;=4,"`",IF($FN$28=1,"^",""))</f>
        <v/>
      </c>
      <c r="BN61" s="147" t="str">
        <f t="shared" ca="1" si="24"/>
        <v/>
      </c>
      <c r="BO61" s="147" t="str">
        <f t="shared" ca="1" si="24"/>
        <v/>
      </c>
      <c r="BP61" s="147" t="str">
        <f t="shared" ca="1" si="24"/>
        <v/>
      </c>
      <c r="BQ61" s="147" t="str">
        <f t="shared" ca="1" si="24"/>
        <v/>
      </c>
      <c r="BR61" s="147" t="str">
        <f t="shared" ca="1" si="24"/>
        <v/>
      </c>
      <c r="BS61" s="147" t="str">
        <f t="shared" ca="1" si="24"/>
        <v/>
      </c>
      <c r="BT61" s="147" t="str">
        <f t="shared" ca="1" si="24"/>
        <v/>
      </c>
      <c r="BU61" s="147" t="str">
        <f t="shared" ca="1" si="24"/>
        <v/>
      </c>
      <c r="BV61" s="147" t="str">
        <f t="shared" ca="1" si="24"/>
        <v/>
      </c>
      <c r="BW61" s="147" t="str">
        <f t="shared" ca="1" si="24"/>
        <v/>
      </c>
      <c r="BX61" s="147" t="str">
        <f t="shared" ca="1" si="24"/>
        <v/>
      </c>
      <c r="BY61" s="147" t="str">
        <f t="shared" ca="1" si="24"/>
        <v/>
      </c>
      <c r="BZ61" s="147" t="str">
        <f t="shared" ca="1" si="24"/>
        <v/>
      </c>
      <c r="CA61" s="147" t="str">
        <f t="shared" ca="1" si="24"/>
        <v/>
      </c>
      <c r="CB61" s="147" t="str">
        <f t="shared" ca="1" si="24"/>
        <v/>
      </c>
      <c r="CC61" s="147" t="str">
        <f t="shared" ca="1" si="24"/>
        <v/>
      </c>
      <c r="CD61" s="147" t="str">
        <f t="shared" ca="1" si="39"/>
        <v/>
      </c>
      <c r="CE61" s="147" t="str">
        <f t="shared" ca="1" si="39"/>
        <v/>
      </c>
      <c r="CF61" s="147" t="str">
        <f t="shared" ca="1" si="39"/>
        <v/>
      </c>
      <c r="CG61" s="147" t="str">
        <f t="shared" ca="1" si="39"/>
        <v/>
      </c>
      <c r="CH61" s="147" t="str">
        <f t="shared" ca="1" si="39"/>
        <v/>
      </c>
      <c r="CI61" s="147" t="str">
        <f t="shared" ca="1" si="39"/>
        <v/>
      </c>
      <c r="CJ61" s="147" t="str">
        <f t="shared" ca="1" si="39"/>
        <v/>
      </c>
      <c r="CK61" s="147" t="str">
        <f t="shared" ca="1" si="39"/>
        <v/>
      </c>
      <c r="CL61" s="147" t="str">
        <f t="shared" ca="1" si="39"/>
        <v/>
      </c>
      <c r="CM61" s="147" t="str">
        <f ca="1">IF(FP1=1,":","")</f>
        <v/>
      </c>
      <c r="CN61" s="147" t="str">
        <f ca="1">IF(FP1=1,":","")</f>
        <v/>
      </c>
      <c r="CO61" s="43"/>
      <c r="CP61" s="43"/>
      <c r="CQ61" s="43"/>
      <c r="CR61" s="43"/>
      <c r="CS61" s="43"/>
      <c r="CT61" s="43"/>
      <c r="CU61" s="43"/>
      <c r="CV61" s="43"/>
      <c r="CW61" s="79"/>
      <c r="CX61" s="79"/>
      <c r="CY61" s="79"/>
      <c r="CZ61" s="79"/>
      <c r="DA61" s="79"/>
      <c r="DB61" s="79"/>
      <c r="DC61" s="79"/>
      <c r="DD61" s="79"/>
      <c r="DE61" s="79"/>
      <c r="DF61" s="79"/>
      <c r="DG61" s="79"/>
      <c r="DH61" s="519"/>
      <c r="DI61" s="519"/>
      <c r="DJ61" s="519"/>
      <c r="DK61" s="519"/>
      <c r="DL61" s="519"/>
      <c r="DM61" s="519"/>
      <c r="DN61" s="519"/>
      <c r="DO61" s="519"/>
      <c r="DP61" s="519"/>
      <c r="DQ61" s="519"/>
      <c r="DR61" s="519"/>
      <c r="DS61" s="519"/>
      <c r="DT61" s="519"/>
      <c r="DU61" s="519"/>
      <c r="DV61" s="519"/>
      <c r="DW61" s="519"/>
      <c r="DX61" s="519"/>
      <c r="DY61" s="519"/>
      <c r="DZ61" s="519"/>
      <c r="EA61" s="519"/>
      <c r="EB61" s="519"/>
      <c r="EC61" s="519"/>
      <c r="ED61" s="519"/>
      <c r="EE61" s="519"/>
      <c r="EF61" s="519"/>
      <c r="EG61" s="519"/>
      <c r="EH61" s="519"/>
      <c r="EI61" s="519"/>
      <c r="EJ61" s="519"/>
      <c r="EK61" s="519"/>
      <c r="EL61" s="519"/>
      <c r="EM61" s="519"/>
      <c r="EN61" s="519"/>
      <c r="EO61" s="519"/>
      <c r="EP61" s="519"/>
      <c r="EQ61" s="519"/>
      <c r="ER61" s="519"/>
      <c r="ES61" s="210"/>
      <c r="ET61" s="210"/>
      <c r="EU61" s="210"/>
      <c r="EV61" s="210"/>
      <c r="EW61" s="210"/>
      <c r="EX61" s="210"/>
      <c r="EY61" s="210"/>
      <c r="EZ61" s="210"/>
      <c r="FA61" s="210"/>
      <c r="FB61" s="210"/>
      <c r="FC61" s="210"/>
      <c r="FD61" s="210"/>
      <c r="FE61" s="210"/>
      <c r="FF61" s="210"/>
      <c r="FG61" s="210"/>
      <c r="FH61" s="210"/>
      <c r="FI61" s="210"/>
      <c r="FJ61" s="210"/>
      <c r="FK61" s="210"/>
      <c r="FL61" s="79"/>
      <c r="FM61" s="168"/>
      <c r="FN61" s="168"/>
      <c r="FO61" s="168"/>
      <c r="FP61" s="168"/>
      <c r="FQ61" s="168"/>
      <c r="FR61" s="49"/>
      <c r="FS61" s="49"/>
      <c r="FT61" s="49"/>
      <c r="FU61" s="49"/>
      <c r="FV61" s="49"/>
      <c r="FW61" s="49"/>
      <c r="FX61" s="49"/>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78"/>
      <c r="HO61" s="78"/>
      <c r="HP61" s="78"/>
      <c r="HQ61" s="13"/>
      <c r="HR61" s="13"/>
      <c r="HS61" s="13"/>
      <c r="HT61" s="13"/>
      <c r="HU61" s="13"/>
      <c r="HV61" s="13"/>
      <c r="HW61" s="13"/>
      <c r="HX61" s="13"/>
      <c r="HY61" s="13"/>
      <c r="HZ61" s="13"/>
      <c r="IA61" s="13"/>
    </row>
    <row r="62" spans="1:235" ht="3.75" customHeight="1">
      <c r="A62" s="1"/>
      <c r="B62" s="3"/>
      <c r="C62" s="3"/>
      <c r="D62" s="12"/>
      <c r="E62" s="12"/>
      <c r="F62" s="215"/>
      <c r="G62" s="215"/>
      <c r="H62" s="215"/>
      <c r="I62" s="25"/>
      <c r="J62" s="25"/>
      <c r="K62" s="25"/>
      <c r="L62" s="25"/>
      <c r="M62" s="25"/>
      <c r="N62" s="679" t="str">
        <f ca="1">IF($FN$28&gt;=2,"",IF($FP$1=1,"Pev",""))</f>
        <v/>
      </c>
      <c r="O62" s="679"/>
      <c r="P62" s="679"/>
      <c r="Q62" s="679"/>
      <c r="R62" s="679"/>
      <c r="S62" s="679"/>
      <c r="T62" s="679"/>
      <c r="U62" s="679"/>
      <c r="V62" s="679"/>
      <c r="W62" s="679"/>
      <c r="X62" s="197"/>
      <c r="Y62" s="197"/>
      <c r="Z62" s="197"/>
      <c r="AA62" s="197"/>
      <c r="AB62" s="147" t="str">
        <f ca="1">IF($FN$28&gt;=2,"",IF($FP$1=1,"`",""))</f>
        <v/>
      </c>
      <c r="AC62" s="147"/>
      <c r="AD62" s="197"/>
      <c r="AE62" s="215"/>
      <c r="AF62" s="147" t="str">
        <f ca="1">IF(FP1=1,"`","")</f>
        <v/>
      </c>
      <c r="AG62" s="147" t="str">
        <f t="shared" ca="1" si="19"/>
        <v/>
      </c>
      <c r="AH62" s="147" t="str">
        <f t="shared" ca="1" si="19"/>
        <v/>
      </c>
      <c r="AI62" s="147" t="str">
        <f t="shared" ca="1" si="19"/>
        <v/>
      </c>
      <c r="AJ62" s="147" t="str">
        <f t="shared" ca="1" si="19"/>
        <v/>
      </c>
      <c r="AK62" s="147" t="str">
        <f t="shared" ca="1" si="19"/>
        <v/>
      </c>
      <c r="AL62" s="147" t="str">
        <f t="shared" ca="1" si="19"/>
        <v/>
      </c>
      <c r="AM62" s="147" t="str">
        <f t="shared" ca="1" si="19"/>
        <v/>
      </c>
      <c r="AN62" s="147" t="str">
        <f t="shared" ca="1" si="19"/>
        <v/>
      </c>
      <c r="AO62" s="147" t="str">
        <f t="shared" ca="1" si="19"/>
        <v/>
      </c>
      <c r="AP62" s="147" t="str">
        <f t="shared" ca="1" si="19"/>
        <v/>
      </c>
      <c r="AQ62" s="147" t="str">
        <f t="shared" ca="1" si="20"/>
        <v/>
      </c>
      <c r="AR62" s="147" t="str">
        <f t="shared" ca="1" si="20"/>
        <v/>
      </c>
      <c r="AS62" s="147" t="str">
        <f t="shared" ca="1" si="20"/>
        <v/>
      </c>
      <c r="AT62" s="147" t="str">
        <f t="shared" ca="1" si="20"/>
        <v/>
      </c>
      <c r="AU62" s="147" t="str">
        <f t="shared" ca="1" si="20"/>
        <v/>
      </c>
      <c r="AV62" s="147" t="str">
        <f t="shared" ca="1" si="20"/>
        <v/>
      </c>
      <c r="AW62" s="147" t="str">
        <f t="shared" ca="1" si="20"/>
        <v/>
      </c>
      <c r="AX62" s="147" t="str">
        <f t="shared" ca="1" si="22"/>
        <v/>
      </c>
      <c r="AY62" s="147" t="str">
        <f t="shared" ca="1" si="25"/>
        <v/>
      </c>
      <c r="AZ62" s="147" t="str">
        <f t="shared" ca="1" si="27"/>
        <v/>
      </c>
      <c r="BA62" s="147" t="str">
        <f t="shared" ca="1" si="29"/>
        <v/>
      </c>
      <c r="BB62" s="147" t="str">
        <f t="shared" ca="1" si="31"/>
        <v/>
      </c>
      <c r="BC62" s="147" t="str">
        <f t="shared" ca="1" si="33"/>
        <v/>
      </c>
      <c r="BD62" s="147" t="str">
        <f t="shared" ca="1" si="35"/>
        <v/>
      </c>
      <c r="BE62" s="147" t="str">
        <f t="shared" ca="1" si="37"/>
        <v/>
      </c>
      <c r="BF62" s="147" t="str">
        <f t="shared" ca="1" si="40"/>
        <v/>
      </c>
      <c r="BG62" s="147" t="str">
        <f ca="1">IF($FN$28&gt;=4,"*",IF($FN$28=1,"^",""))</f>
        <v/>
      </c>
      <c r="BH62" s="147" t="str">
        <f ca="1">IF($FN$28&gt;=4,"*",IF($FN$28=1,"^",""))</f>
        <v/>
      </c>
      <c r="BI62" s="147" t="str">
        <f ca="1">IF($FN$28&gt;=4,"*",IF($FN$28=1,"^",""))</f>
        <v/>
      </c>
      <c r="BJ62" s="147" t="str">
        <f ca="1">IF($FN$28&gt;=4,"*",IF($FN$28=1,"^",""))</f>
        <v/>
      </c>
      <c r="BK62" s="147" t="str">
        <f ca="1">IF($FN$28&gt;=2,"!",IF($FN$28=1,"^",""))</f>
        <v/>
      </c>
      <c r="BL62" s="147" t="str">
        <f ca="1">IF($FN$28&gt;=4,"*",IF($FN$28=1,"^",""))</f>
        <v/>
      </c>
      <c r="BM62" s="147" t="str">
        <f ca="1">IF($FN$28&gt;=4,"`",IF($FN$28=3,"`",IF($FN$28=1,"^","")))</f>
        <v/>
      </c>
      <c r="BN62" s="147" t="str">
        <f t="shared" ca="1" si="24"/>
        <v/>
      </c>
      <c r="BO62" s="147" t="str">
        <f t="shared" ca="1" si="24"/>
        <v/>
      </c>
      <c r="BP62" s="147" t="str">
        <f t="shared" ca="1" si="24"/>
        <v/>
      </c>
      <c r="BQ62" s="147" t="str">
        <f t="shared" ca="1" si="24"/>
        <v/>
      </c>
      <c r="BR62" s="147" t="str">
        <f t="shared" ca="1" si="24"/>
        <v/>
      </c>
      <c r="BS62" s="147" t="str">
        <f t="shared" ca="1" si="24"/>
        <v/>
      </c>
      <c r="BT62" s="147" t="str">
        <f t="shared" ca="1" si="24"/>
        <v/>
      </c>
      <c r="BU62" s="147" t="str">
        <f t="shared" ca="1" si="24"/>
        <v/>
      </c>
      <c r="BV62" s="147" t="str">
        <f t="shared" ca="1" si="24"/>
        <v/>
      </c>
      <c r="BW62" s="147" t="str">
        <f t="shared" ca="1" si="24"/>
        <v/>
      </c>
      <c r="BX62" s="147" t="str">
        <f t="shared" ca="1" si="24"/>
        <v/>
      </c>
      <c r="BY62" s="147" t="str">
        <f t="shared" ca="1" si="24"/>
        <v/>
      </c>
      <c r="BZ62" s="147" t="str">
        <f t="shared" ca="1" si="24"/>
        <v/>
      </c>
      <c r="CA62" s="147" t="str">
        <f t="shared" ca="1" si="24"/>
        <v/>
      </c>
      <c r="CB62" s="147" t="str">
        <f t="shared" ca="1" si="24"/>
        <v/>
      </c>
      <c r="CC62" s="147" t="str">
        <f t="shared" ca="1" si="24"/>
        <v/>
      </c>
      <c r="CD62" s="147" t="str">
        <f t="shared" ca="1" si="39"/>
        <v/>
      </c>
      <c r="CE62" s="147" t="str">
        <f t="shared" ca="1" si="39"/>
        <v/>
      </c>
      <c r="CF62" s="147" t="str">
        <f t="shared" ca="1" si="39"/>
        <v/>
      </c>
      <c r="CG62" s="147" t="str">
        <f t="shared" ca="1" si="39"/>
        <v/>
      </c>
      <c r="CH62" s="147" t="str">
        <f t="shared" ca="1" si="39"/>
        <v/>
      </c>
      <c r="CI62" s="147" t="str">
        <f t="shared" ca="1" si="39"/>
        <v/>
      </c>
      <c r="CJ62" s="147" t="str">
        <f t="shared" ca="1" si="39"/>
        <v/>
      </c>
      <c r="CK62" s="147" t="str">
        <f t="shared" ca="1" si="39"/>
        <v/>
      </c>
      <c r="CL62" s="147" t="str">
        <f t="shared" ca="1" si="39"/>
        <v/>
      </c>
      <c r="CM62" s="147" t="str">
        <f t="shared" ca="1" si="39"/>
        <v/>
      </c>
      <c r="CN62" s="147" t="str">
        <f t="shared" ca="1" si="39"/>
        <v/>
      </c>
      <c r="CO62" s="147" t="str">
        <f ca="1">IF(FP1=1,":","")</f>
        <v/>
      </c>
      <c r="CP62" s="147" t="str">
        <f ca="1">IF(FP1=1,":","")</f>
        <v/>
      </c>
      <c r="CQ62" s="43"/>
      <c r="CR62" s="43"/>
      <c r="CS62" s="43"/>
      <c r="CT62" s="43"/>
      <c r="CU62" s="43"/>
      <c r="CV62" s="43"/>
      <c r="CW62" s="79"/>
      <c r="CX62" s="79"/>
      <c r="CY62" s="79"/>
      <c r="CZ62" s="79"/>
      <c r="DA62" s="79"/>
      <c r="DB62" s="79"/>
      <c r="DC62" s="79"/>
      <c r="DD62" s="79"/>
      <c r="DE62" s="79"/>
      <c r="DF62" s="79"/>
      <c r="DG62" s="79"/>
      <c r="DH62" s="519"/>
      <c r="DI62" s="519"/>
      <c r="DJ62" s="519"/>
      <c r="DK62" s="519"/>
      <c r="DL62" s="519"/>
      <c r="DM62" s="519"/>
      <c r="DN62" s="519"/>
      <c r="DO62" s="519"/>
      <c r="DP62" s="519"/>
      <c r="DQ62" s="519"/>
      <c r="DR62" s="519"/>
      <c r="DS62" s="519"/>
      <c r="DT62" s="519"/>
      <c r="DU62" s="519"/>
      <c r="DV62" s="519"/>
      <c r="DW62" s="519"/>
      <c r="DX62" s="519"/>
      <c r="DY62" s="519"/>
      <c r="DZ62" s="519"/>
      <c r="EA62" s="519"/>
      <c r="EB62" s="519"/>
      <c r="EC62" s="519"/>
      <c r="ED62" s="519"/>
      <c r="EE62" s="519"/>
      <c r="EF62" s="519"/>
      <c r="EG62" s="519"/>
      <c r="EH62" s="519"/>
      <c r="EI62" s="519"/>
      <c r="EJ62" s="519"/>
      <c r="EK62" s="519"/>
      <c r="EL62" s="519"/>
      <c r="EM62" s="519"/>
      <c r="EN62" s="519"/>
      <c r="EO62" s="519"/>
      <c r="EP62" s="519"/>
      <c r="EQ62" s="519"/>
      <c r="ER62" s="519"/>
      <c r="ES62" s="210"/>
      <c r="ET62" s="210"/>
      <c r="EU62" s="210"/>
      <c r="EV62" s="210"/>
      <c r="EW62" s="210"/>
      <c r="EX62" s="210"/>
      <c r="EY62" s="210"/>
      <c r="EZ62" s="210"/>
      <c r="FA62" s="210"/>
      <c r="FB62" s="210"/>
      <c r="FC62" s="210"/>
      <c r="FD62" s="210"/>
      <c r="FE62" s="210"/>
      <c r="FF62" s="210"/>
      <c r="FG62" s="210"/>
      <c r="FH62" s="210"/>
      <c r="FI62" s="210"/>
      <c r="FJ62" s="210"/>
      <c r="FK62" s="210"/>
      <c r="FL62" s="79"/>
      <c r="FM62" s="168"/>
      <c r="FN62" s="168"/>
      <c r="FO62" s="168"/>
      <c r="FP62" s="168"/>
      <c r="FQ62" s="168"/>
      <c r="FR62" s="49"/>
      <c r="FS62" s="49"/>
      <c r="FT62" s="49"/>
      <c r="FU62" s="49"/>
      <c r="FV62" s="49"/>
      <c r="FW62" s="49"/>
      <c r="FX62" s="49"/>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78"/>
      <c r="HO62" s="78"/>
      <c r="HP62" s="78"/>
      <c r="HQ62" s="13"/>
      <c r="HR62" s="13"/>
      <c r="HS62" s="13"/>
      <c r="HT62" s="13"/>
      <c r="HU62" s="13"/>
      <c r="HV62" s="13"/>
      <c r="HW62" s="13"/>
      <c r="HX62" s="13"/>
      <c r="HY62" s="13"/>
      <c r="HZ62" s="13"/>
      <c r="IA62" s="13"/>
    </row>
    <row r="63" spans="1:235" ht="3.75" customHeight="1">
      <c r="A63" s="1"/>
      <c r="B63" s="3"/>
      <c r="C63" s="3"/>
      <c r="D63" s="12"/>
      <c r="E63" s="12"/>
      <c r="F63" s="215"/>
      <c r="G63" s="215"/>
      <c r="H63" s="10"/>
      <c r="I63" s="25"/>
      <c r="J63" s="25"/>
      <c r="K63" s="25"/>
      <c r="L63" s="25"/>
      <c r="M63" s="25"/>
      <c r="N63" s="679"/>
      <c r="O63" s="679"/>
      <c r="P63" s="679"/>
      <c r="Q63" s="679"/>
      <c r="R63" s="679"/>
      <c r="S63" s="679"/>
      <c r="T63" s="679"/>
      <c r="U63" s="679"/>
      <c r="V63" s="679"/>
      <c r="W63" s="679"/>
      <c r="X63" s="212"/>
      <c r="Y63" s="173"/>
      <c r="Z63" s="173"/>
      <c r="AA63" s="173"/>
      <c r="AB63" s="147" t="str">
        <f ca="1">IF($FN$28&gt;=2,"",IF($FP$1=1,"`",""))</f>
        <v/>
      </c>
      <c r="AC63" s="147" t="str">
        <f ca="1">IF($FN$28&gt;=2,"",IF($FP$1=1,"`",""))</f>
        <v/>
      </c>
      <c r="AD63" s="197"/>
      <c r="AE63" s="215"/>
      <c r="AF63" s="147" t="str">
        <f ca="1">IF(FP1=1,"`","")</f>
        <v/>
      </c>
      <c r="AG63" s="147" t="str">
        <f t="shared" ca="1" si="19"/>
        <v/>
      </c>
      <c r="AH63" s="147" t="str">
        <f t="shared" ca="1" si="19"/>
        <v/>
      </c>
      <c r="AI63" s="147" t="str">
        <f t="shared" ca="1" si="19"/>
        <v/>
      </c>
      <c r="AJ63" s="147" t="str">
        <f t="shared" ca="1" si="19"/>
        <v/>
      </c>
      <c r="AK63" s="147" t="str">
        <f t="shared" ca="1" si="19"/>
        <v/>
      </c>
      <c r="AL63" s="147" t="str">
        <f t="shared" ca="1" si="19"/>
        <v/>
      </c>
      <c r="AM63" s="147" t="str">
        <f t="shared" ca="1" si="19"/>
        <v/>
      </c>
      <c r="AN63" s="147" t="str">
        <f t="shared" ca="1" si="19"/>
        <v/>
      </c>
      <c r="AO63" s="147" t="str">
        <f t="shared" ca="1" si="19"/>
        <v/>
      </c>
      <c r="AP63" s="147" t="str">
        <f t="shared" ca="1" si="19"/>
        <v/>
      </c>
      <c r="AQ63" s="147" t="str">
        <f t="shared" ca="1" si="20"/>
        <v/>
      </c>
      <c r="AR63" s="147" t="str">
        <f t="shared" ca="1" si="20"/>
        <v/>
      </c>
      <c r="AS63" s="147" t="str">
        <f t="shared" ca="1" si="20"/>
        <v/>
      </c>
      <c r="AT63" s="147" t="str">
        <f t="shared" ca="1" si="20"/>
        <v/>
      </c>
      <c r="AU63" s="147" t="str">
        <f t="shared" ca="1" si="20"/>
        <v/>
      </c>
      <c r="AV63" s="147" t="str">
        <f t="shared" ca="1" si="20"/>
        <v/>
      </c>
      <c r="AW63" s="147" t="str">
        <f t="shared" ca="1" si="20"/>
        <v/>
      </c>
      <c r="AX63" s="147" t="str">
        <f t="shared" ca="1" si="22"/>
        <v/>
      </c>
      <c r="AY63" s="147" t="str">
        <f t="shared" ca="1" si="25"/>
        <v/>
      </c>
      <c r="AZ63" s="147" t="str">
        <f t="shared" ca="1" si="27"/>
        <v/>
      </c>
      <c r="BA63" s="147" t="str">
        <f t="shared" ca="1" si="29"/>
        <v/>
      </c>
      <c r="BB63" s="147" t="str">
        <f t="shared" ca="1" si="31"/>
        <v/>
      </c>
      <c r="BC63" s="147" t="str">
        <f t="shared" ca="1" si="33"/>
        <v/>
      </c>
      <c r="BD63" s="147" t="str">
        <f t="shared" ca="1" si="35"/>
        <v/>
      </c>
      <c r="BE63" s="147" t="str">
        <f t="shared" ca="1" si="37"/>
        <v/>
      </c>
      <c r="BF63" s="147" t="str">
        <f t="shared" ca="1" si="40"/>
        <v/>
      </c>
      <c r="BG63" s="147" t="str">
        <f ca="1">IF($FN$28&gt;=4,"*",IF($FN$28=1,"^",""))</f>
        <v/>
      </c>
      <c r="BH63" s="147" t="str">
        <f ca="1">IF($FN$28&gt;=4,"*",IF($FN$28=1,"^",""))</f>
        <v/>
      </c>
      <c r="BI63" s="147" t="str">
        <f ca="1">IF($FN$28&gt;=4,"*",IF($FN$28=1,"^",""))</f>
        <v/>
      </c>
      <c r="BJ63" s="147" t="str">
        <f ca="1">IF($FN$28&gt;=4,"*",IF($FN$28=1,"^",""))</f>
        <v/>
      </c>
      <c r="BK63" s="147" t="str">
        <f ca="1">IF($FN$28&gt;=4,"*",IF($FN$28=1,"^",""))</f>
        <v/>
      </c>
      <c r="BL63" s="147" t="str">
        <f ca="1">IF($FN$28&gt;=2,"!",IF($FN$28=1,"^",""))</f>
        <v/>
      </c>
      <c r="BM63" s="147" t="str">
        <f ca="1">IF($FN$28&gt;=4,"`",IF($FN$28=1,"^",""))</f>
        <v/>
      </c>
      <c r="BN63" s="147" t="str">
        <f t="shared" ca="1" si="24"/>
        <v/>
      </c>
      <c r="BO63" s="147" t="str">
        <f t="shared" ca="1" si="24"/>
        <v/>
      </c>
      <c r="BP63" s="147" t="str">
        <f t="shared" ca="1" si="24"/>
        <v/>
      </c>
      <c r="BQ63" s="147" t="str">
        <f t="shared" ca="1" si="24"/>
        <v/>
      </c>
      <c r="BR63" s="147" t="str">
        <f t="shared" ca="1" si="24"/>
        <v/>
      </c>
      <c r="BS63" s="147" t="str">
        <f t="shared" ca="1" si="24"/>
        <v/>
      </c>
      <c r="BT63" s="147" t="str">
        <f t="shared" ca="1" si="24"/>
        <v/>
      </c>
      <c r="BU63" s="147" t="str">
        <f t="shared" ca="1" si="24"/>
        <v/>
      </c>
      <c r="BV63" s="147" t="str">
        <f t="shared" ca="1" si="24"/>
        <v/>
      </c>
      <c r="BW63" s="147" t="str">
        <f t="shared" ca="1" si="24"/>
        <v/>
      </c>
      <c r="BX63" s="147" t="str">
        <f t="shared" ca="1" si="24"/>
        <v/>
      </c>
      <c r="BY63" s="147" t="str">
        <f t="shared" ca="1" si="24"/>
        <v/>
      </c>
      <c r="BZ63" s="147" t="str">
        <f t="shared" ca="1" si="24"/>
        <v/>
      </c>
      <c r="CA63" s="147" t="str">
        <f t="shared" ca="1" si="24"/>
        <v/>
      </c>
      <c r="CB63" s="147" t="str">
        <f t="shared" ca="1" si="24"/>
        <v/>
      </c>
      <c r="CC63" s="147" t="str">
        <f t="shared" ca="1" si="24"/>
        <v/>
      </c>
      <c r="CD63" s="147" t="str">
        <f t="shared" ca="1" si="39"/>
        <v/>
      </c>
      <c r="CE63" s="147" t="str">
        <f t="shared" ca="1" si="39"/>
        <v/>
      </c>
      <c r="CF63" s="147" t="str">
        <f t="shared" ca="1" si="39"/>
        <v/>
      </c>
      <c r="CG63" s="147" t="str">
        <f t="shared" ca="1" si="39"/>
        <v/>
      </c>
      <c r="CH63" s="147" t="str">
        <f t="shared" ca="1" si="39"/>
        <v/>
      </c>
      <c r="CI63" s="147" t="str">
        <f t="shared" ca="1" si="39"/>
        <v/>
      </c>
      <c r="CJ63" s="147" t="str">
        <f t="shared" ca="1" si="39"/>
        <v/>
      </c>
      <c r="CK63" s="147" t="str">
        <f t="shared" ca="1" si="39"/>
        <v/>
      </c>
      <c r="CL63" s="147" t="str">
        <f t="shared" ca="1" si="39"/>
        <v/>
      </c>
      <c r="CM63" s="147" t="str">
        <f t="shared" ca="1" si="39"/>
        <v/>
      </c>
      <c r="CN63" s="147" t="str">
        <f t="shared" ca="1" si="39"/>
        <v/>
      </c>
      <c r="CO63" s="147" t="str">
        <f t="shared" ca="1" si="39"/>
        <v/>
      </c>
      <c r="CP63" s="147" t="str">
        <f t="shared" ca="1" si="39"/>
        <v/>
      </c>
      <c r="CQ63" s="147" t="str">
        <f ca="1">IF(FP1=1,":","")</f>
        <v/>
      </c>
      <c r="CR63" s="147" t="str">
        <f ca="1">IF(FP1=1,":","")</f>
        <v/>
      </c>
      <c r="CS63" s="43"/>
      <c r="CT63" s="43"/>
      <c r="CU63" s="43"/>
      <c r="CV63" s="43"/>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10"/>
      <c r="FM63" s="168"/>
      <c r="FN63" s="168"/>
      <c r="FO63" s="168"/>
      <c r="FP63" s="168"/>
      <c r="FQ63" s="168"/>
      <c r="FR63" s="49"/>
      <c r="FS63" s="49"/>
      <c r="FT63" s="49"/>
      <c r="FU63" s="49"/>
      <c r="FV63" s="49"/>
      <c r="FW63" s="49"/>
      <c r="FX63" s="49"/>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78"/>
      <c r="HO63" s="78"/>
      <c r="HP63" s="78"/>
      <c r="HQ63" s="13"/>
      <c r="HR63" s="13"/>
      <c r="HS63" s="13"/>
      <c r="HT63" s="13"/>
      <c r="HU63" s="13"/>
      <c r="HV63" s="13"/>
      <c r="HW63" s="13"/>
      <c r="HX63" s="13"/>
      <c r="HY63" s="13"/>
      <c r="HZ63" s="13"/>
      <c r="IA63" s="13"/>
    </row>
    <row r="64" spans="1:235" ht="3.75" customHeight="1">
      <c r="A64" s="1"/>
      <c r="B64" s="3"/>
      <c r="C64" s="3"/>
      <c r="D64" s="12"/>
      <c r="E64" s="12"/>
      <c r="F64" s="215"/>
      <c r="G64" s="10"/>
      <c r="H64" s="10"/>
      <c r="I64" s="25"/>
      <c r="J64" s="25"/>
      <c r="K64" s="25"/>
      <c r="L64" s="25"/>
      <c r="M64" s="25"/>
      <c r="N64" s="679"/>
      <c r="O64" s="679"/>
      <c r="P64" s="679"/>
      <c r="Q64" s="679"/>
      <c r="R64" s="679"/>
      <c r="S64" s="679"/>
      <c r="T64" s="679"/>
      <c r="U64" s="679"/>
      <c r="V64" s="679"/>
      <c r="W64" s="679"/>
      <c r="X64" s="147" t="str">
        <f ca="1">IF($FN$28&gt;=2,"",IF($FP$1=1,"`",""))</f>
        <v/>
      </c>
      <c r="Y64" s="147" t="str">
        <f ca="1">IF($FN$28&gt;=2,"",IF($FP$1=1,"`",""))</f>
        <v/>
      </c>
      <c r="Z64" s="147" t="str">
        <f ca="1">IF($FN$28&gt;=2,"",IF($FP$1=1,"`",""))</f>
        <v/>
      </c>
      <c r="AA64" s="147" t="str">
        <f ca="1">IF($FN$28&gt;=2,"",IF($FP$1=1,"`",""))</f>
        <v/>
      </c>
      <c r="AB64" s="147" t="str">
        <f ca="1">IF($FN$28&gt;=2,"",IF($FP$1=1,"`",""))</f>
        <v/>
      </c>
      <c r="AC64" s="147" t="str">
        <f ca="1">IF($FN$28&gt;=2,"",IF($FP$1=1,"`",""))</f>
        <v/>
      </c>
      <c r="AD64" s="147" t="str">
        <f ca="1">IF($FN$28&gt;=2,"",IF($FP$1=1,"`",""))</f>
        <v/>
      </c>
      <c r="AE64" s="215"/>
      <c r="AF64" s="147" t="str">
        <f ca="1">IF(FP1=1,"`","")</f>
        <v/>
      </c>
      <c r="AG64" s="147" t="str">
        <f t="shared" ref="AG64:BL64" ca="1" si="41">IF($FN$28&gt;=4,"-",IF($FP$1=1,"-",""))</f>
        <v/>
      </c>
      <c r="AH64" s="147" t="str">
        <f t="shared" ca="1" si="41"/>
        <v/>
      </c>
      <c r="AI64" s="147" t="str">
        <f t="shared" ca="1" si="41"/>
        <v/>
      </c>
      <c r="AJ64" s="147" t="str">
        <f t="shared" ca="1" si="41"/>
        <v/>
      </c>
      <c r="AK64" s="147" t="str">
        <f t="shared" ca="1" si="41"/>
        <v/>
      </c>
      <c r="AL64" s="147" t="str">
        <f t="shared" ca="1" si="41"/>
        <v/>
      </c>
      <c r="AM64" s="147" t="str">
        <f t="shared" ca="1" si="41"/>
        <v/>
      </c>
      <c r="AN64" s="147" t="str">
        <f t="shared" ca="1" si="41"/>
        <v/>
      </c>
      <c r="AO64" s="147" t="str">
        <f t="shared" ca="1" si="41"/>
        <v/>
      </c>
      <c r="AP64" s="147" t="str">
        <f t="shared" ca="1" si="41"/>
        <v/>
      </c>
      <c r="AQ64" s="147" t="str">
        <f t="shared" ca="1" si="41"/>
        <v/>
      </c>
      <c r="AR64" s="147" t="str">
        <f t="shared" ca="1" si="41"/>
        <v/>
      </c>
      <c r="AS64" s="147" t="str">
        <f t="shared" ca="1" si="41"/>
        <v/>
      </c>
      <c r="AT64" s="147" t="str">
        <f t="shared" ca="1" si="41"/>
        <v/>
      </c>
      <c r="AU64" s="147" t="str">
        <f t="shared" ca="1" si="41"/>
        <v/>
      </c>
      <c r="AV64" s="147" t="str">
        <f t="shared" ca="1" si="41"/>
        <v/>
      </c>
      <c r="AW64" s="147" t="str">
        <f t="shared" ca="1" si="41"/>
        <v/>
      </c>
      <c r="AX64" s="147" t="str">
        <f t="shared" ca="1" si="41"/>
        <v/>
      </c>
      <c r="AY64" s="147" t="str">
        <f t="shared" ca="1" si="41"/>
        <v/>
      </c>
      <c r="AZ64" s="147" t="str">
        <f t="shared" ca="1" si="41"/>
        <v/>
      </c>
      <c r="BA64" s="147" t="str">
        <f t="shared" ca="1" si="41"/>
        <v/>
      </c>
      <c r="BB64" s="147" t="str">
        <f t="shared" ca="1" si="41"/>
        <v/>
      </c>
      <c r="BC64" s="147" t="str">
        <f t="shared" ca="1" si="41"/>
        <v/>
      </c>
      <c r="BD64" s="147" t="str">
        <f t="shared" ca="1" si="41"/>
        <v/>
      </c>
      <c r="BE64" s="147" t="str">
        <f t="shared" ca="1" si="41"/>
        <v/>
      </c>
      <c r="BF64" s="147" t="str">
        <f t="shared" ca="1" si="41"/>
        <v/>
      </c>
      <c r="BG64" s="147" t="str">
        <f t="shared" ca="1" si="41"/>
        <v/>
      </c>
      <c r="BH64" s="147" t="str">
        <f t="shared" ca="1" si="41"/>
        <v/>
      </c>
      <c r="BI64" s="147" t="str">
        <f t="shared" ca="1" si="41"/>
        <v/>
      </c>
      <c r="BJ64" s="147" t="str">
        <f t="shared" ca="1" si="41"/>
        <v/>
      </c>
      <c r="BK64" s="147" t="str">
        <f t="shared" ca="1" si="41"/>
        <v/>
      </c>
      <c r="BL64" s="147" t="str">
        <f t="shared" ca="1" si="41"/>
        <v/>
      </c>
      <c r="BM64" s="147" t="str">
        <f ca="1">IF($FN$28&gt;=4,"-",IF($FN$28=3,"`",IF($FP$1=1,"-","")))</f>
        <v/>
      </c>
      <c r="BN64" s="147" t="str">
        <f t="shared" ref="BN64:CR64" ca="1" si="42">IF($FN$28&gt;=4,"-",IF($FP$1=1,"-",""))</f>
        <v/>
      </c>
      <c r="BO64" s="147" t="str">
        <f t="shared" ca="1" si="42"/>
        <v/>
      </c>
      <c r="BP64" s="147" t="str">
        <f t="shared" ca="1" si="42"/>
        <v/>
      </c>
      <c r="BQ64" s="147" t="str">
        <f t="shared" ca="1" si="42"/>
        <v/>
      </c>
      <c r="BR64" s="147" t="str">
        <f t="shared" ca="1" si="42"/>
        <v/>
      </c>
      <c r="BS64" s="147" t="str">
        <f t="shared" ca="1" si="42"/>
        <v/>
      </c>
      <c r="BT64" s="147" t="str">
        <f t="shared" ca="1" si="42"/>
        <v/>
      </c>
      <c r="BU64" s="147" t="str">
        <f t="shared" ca="1" si="42"/>
        <v/>
      </c>
      <c r="BV64" s="147" t="str">
        <f t="shared" ca="1" si="42"/>
        <v/>
      </c>
      <c r="BW64" s="147" t="str">
        <f t="shared" ca="1" si="42"/>
        <v/>
      </c>
      <c r="BX64" s="147" t="str">
        <f t="shared" ca="1" si="42"/>
        <v/>
      </c>
      <c r="BY64" s="147" t="str">
        <f t="shared" ca="1" si="42"/>
        <v/>
      </c>
      <c r="BZ64" s="147" t="str">
        <f t="shared" ca="1" si="42"/>
        <v/>
      </c>
      <c r="CA64" s="147" t="str">
        <f t="shared" ca="1" si="42"/>
        <v/>
      </c>
      <c r="CB64" s="147" t="str">
        <f t="shared" ca="1" si="42"/>
        <v/>
      </c>
      <c r="CC64" s="147" t="str">
        <f t="shared" ca="1" si="42"/>
        <v/>
      </c>
      <c r="CD64" s="147" t="str">
        <f t="shared" ca="1" si="42"/>
        <v/>
      </c>
      <c r="CE64" s="147" t="str">
        <f t="shared" ca="1" si="42"/>
        <v/>
      </c>
      <c r="CF64" s="147" t="str">
        <f t="shared" ca="1" si="42"/>
        <v/>
      </c>
      <c r="CG64" s="147" t="str">
        <f t="shared" ca="1" si="42"/>
        <v/>
      </c>
      <c r="CH64" s="147" t="str">
        <f t="shared" ca="1" si="42"/>
        <v/>
      </c>
      <c r="CI64" s="147" t="str">
        <f t="shared" ca="1" si="42"/>
        <v/>
      </c>
      <c r="CJ64" s="147" t="str">
        <f t="shared" ca="1" si="42"/>
        <v/>
      </c>
      <c r="CK64" s="147" t="str">
        <f t="shared" ca="1" si="42"/>
        <v/>
      </c>
      <c r="CL64" s="147" t="str">
        <f t="shared" ca="1" si="42"/>
        <v/>
      </c>
      <c r="CM64" s="147" t="str">
        <f t="shared" ca="1" si="42"/>
        <v/>
      </c>
      <c r="CN64" s="147" t="str">
        <f t="shared" ca="1" si="42"/>
        <v/>
      </c>
      <c r="CO64" s="147" t="str">
        <f t="shared" ca="1" si="42"/>
        <v/>
      </c>
      <c r="CP64" s="147" t="str">
        <f t="shared" ca="1" si="42"/>
        <v/>
      </c>
      <c r="CQ64" s="147" t="str">
        <f t="shared" ca="1" si="42"/>
        <v/>
      </c>
      <c r="CR64" s="147" t="str">
        <f t="shared" ca="1" si="42"/>
        <v/>
      </c>
      <c r="CS64" s="147" t="str">
        <f ca="1">IF(FP1=1,":","")</f>
        <v/>
      </c>
      <c r="CT64" s="147" t="str">
        <f ca="1">IF(FP1=1,":","")</f>
        <v/>
      </c>
      <c r="CU64" s="147" t="str">
        <f t="shared" ref="CU64:DP64" ca="1" si="43">IF($FN$28&gt;=4,"-",IF($FP$1=1,"-",""))</f>
        <v/>
      </c>
      <c r="CV64" s="147" t="str">
        <f t="shared" ca="1" si="43"/>
        <v/>
      </c>
      <c r="CW64" s="147" t="str">
        <f t="shared" ca="1" si="43"/>
        <v/>
      </c>
      <c r="CX64" s="147" t="str">
        <f t="shared" ca="1" si="43"/>
        <v/>
      </c>
      <c r="CY64" s="147" t="str">
        <f t="shared" ca="1" si="43"/>
        <v/>
      </c>
      <c r="CZ64" s="147" t="str">
        <f t="shared" ca="1" si="43"/>
        <v/>
      </c>
      <c r="DA64" s="147" t="str">
        <f t="shared" ca="1" si="43"/>
        <v/>
      </c>
      <c r="DB64" s="147" t="str">
        <f t="shared" ca="1" si="43"/>
        <v/>
      </c>
      <c r="DC64" s="147" t="str">
        <f t="shared" ca="1" si="43"/>
        <v/>
      </c>
      <c r="DD64" s="147" t="str">
        <f t="shared" ca="1" si="43"/>
        <v/>
      </c>
      <c r="DE64" s="147" t="str">
        <f t="shared" ca="1" si="43"/>
        <v/>
      </c>
      <c r="DF64" s="147" t="str">
        <f t="shared" ca="1" si="43"/>
        <v/>
      </c>
      <c r="DG64" s="147" t="str">
        <f t="shared" ca="1" si="43"/>
        <v/>
      </c>
      <c r="DH64" s="147" t="str">
        <f t="shared" ca="1" si="43"/>
        <v/>
      </c>
      <c r="DI64" s="147" t="str">
        <f t="shared" ca="1" si="43"/>
        <v/>
      </c>
      <c r="DJ64" s="147" t="str">
        <f t="shared" ca="1" si="43"/>
        <v/>
      </c>
      <c r="DK64" s="147" t="str">
        <f t="shared" ca="1" si="43"/>
        <v/>
      </c>
      <c r="DL64" s="147" t="str">
        <f t="shared" ca="1" si="43"/>
        <v/>
      </c>
      <c r="DM64" s="147" t="str">
        <f t="shared" ca="1" si="43"/>
        <v/>
      </c>
      <c r="DN64" s="147" t="str">
        <f t="shared" ca="1" si="43"/>
        <v/>
      </c>
      <c r="DO64" s="147" t="str">
        <f t="shared" ca="1" si="43"/>
        <v/>
      </c>
      <c r="DP64" s="147" t="str">
        <f t="shared" ca="1" si="43"/>
        <v/>
      </c>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10"/>
      <c r="FM64" s="168"/>
      <c r="FN64" s="168"/>
      <c r="FO64" s="168"/>
      <c r="FP64" s="168"/>
      <c r="FQ64" s="168"/>
      <c r="FR64" s="49"/>
      <c r="FS64" s="49"/>
      <c r="FT64" s="49"/>
      <c r="FU64" s="49"/>
      <c r="FV64" s="49"/>
      <c r="FW64" s="49"/>
      <c r="FX64" s="49"/>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78"/>
      <c r="HO64" s="78"/>
      <c r="HP64" s="78"/>
      <c r="HQ64" s="13"/>
      <c r="HR64" s="13"/>
      <c r="HS64" s="13"/>
      <c r="HT64" s="13"/>
      <c r="HU64" s="13"/>
      <c r="HV64" s="13"/>
      <c r="HW64" s="13"/>
      <c r="HX64" s="13"/>
      <c r="HY64" s="13"/>
      <c r="HZ64" s="13"/>
      <c r="IA64" s="13"/>
    </row>
    <row r="65" spans="1:235" ht="3.75" customHeight="1">
      <c r="A65" s="1"/>
      <c r="B65" s="3"/>
      <c r="C65" s="3"/>
      <c r="D65" s="12"/>
      <c r="E65" s="12"/>
      <c r="F65" s="10"/>
      <c r="G65" s="10"/>
      <c r="H65" s="10"/>
      <c r="I65" s="25"/>
      <c r="J65" s="25"/>
      <c r="K65" s="10"/>
      <c r="L65" s="10"/>
      <c r="M65" s="10"/>
      <c r="N65" s="679"/>
      <c r="O65" s="679"/>
      <c r="P65" s="679"/>
      <c r="Q65" s="679"/>
      <c r="R65" s="679"/>
      <c r="S65" s="679"/>
      <c r="T65" s="679"/>
      <c r="U65" s="679"/>
      <c r="V65" s="679"/>
      <c r="W65" s="679"/>
      <c r="X65" s="173"/>
      <c r="Y65" s="173"/>
      <c r="Z65" s="173"/>
      <c r="AA65" s="173"/>
      <c r="AB65" s="147" t="str">
        <f ca="1">IF($FN$28&gt;=2,"",IF($FP$1=1,"`",""))</f>
        <v/>
      </c>
      <c r="AC65" s="147" t="str">
        <f ca="1">IF($FN$28&gt;=2,"",IF($FP$1=1,"`",""))</f>
        <v/>
      </c>
      <c r="AD65" s="197"/>
      <c r="AE65" s="215"/>
      <c r="AF65" s="147" t="str">
        <f ca="1">IF(FP1=1,"`","")</f>
        <v/>
      </c>
      <c r="AG65" s="147"/>
      <c r="AH65" s="147"/>
      <c r="AI65" s="147"/>
      <c r="AJ65" s="147"/>
      <c r="AK65" s="147"/>
      <c r="AL65" s="147"/>
      <c r="AM65" s="147"/>
      <c r="AN65" s="147"/>
      <c r="AO65" s="147"/>
      <c r="AP65" s="147"/>
      <c r="AQ65" s="147"/>
      <c r="AR65" s="147"/>
      <c r="AS65" s="197"/>
      <c r="AT65" s="197"/>
      <c r="AU65" s="197"/>
      <c r="AV65" s="197"/>
      <c r="AW65" s="197"/>
      <c r="AX65" s="197"/>
      <c r="AY65" s="147"/>
      <c r="AZ65" s="197"/>
      <c r="BA65" s="215"/>
      <c r="BB65" s="215"/>
      <c r="BC65" s="215"/>
      <c r="BD65" s="215"/>
      <c r="BE65" s="197"/>
      <c r="BF65" s="197"/>
      <c r="BG65" s="215"/>
      <c r="BH65" s="215"/>
      <c r="BI65" s="215"/>
      <c r="BJ65" s="215"/>
      <c r="BK65" s="215"/>
      <c r="BL65" s="215"/>
      <c r="BM65" s="215"/>
      <c r="BN65" s="147" t="str">
        <f ca="1">IF($FN$28&gt;=2,"!","")</f>
        <v/>
      </c>
      <c r="BO65" s="215"/>
      <c r="BP65" s="215"/>
      <c r="BQ65" s="215"/>
      <c r="BR65" s="215"/>
      <c r="BS65" s="215"/>
      <c r="BT65" s="215"/>
      <c r="BU65" s="215"/>
      <c r="BV65" s="215"/>
      <c r="BW65" s="215"/>
      <c r="BX65" s="215"/>
      <c r="BY65" s="215"/>
      <c r="BZ65" s="43"/>
      <c r="CA65" s="43"/>
      <c r="CB65" s="43"/>
      <c r="CC65" s="43"/>
      <c r="CD65" s="43"/>
      <c r="CE65" s="214"/>
      <c r="CF65" s="214"/>
      <c r="CG65" s="126"/>
      <c r="CH65" s="126"/>
      <c r="CI65" s="126"/>
      <c r="CJ65" s="126"/>
      <c r="CK65" s="43"/>
      <c r="CL65" s="43"/>
      <c r="CM65" s="43"/>
      <c r="CN65" s="43"/>
      <c r="CO65" s="43"/>
      <c r="CP65" s="43"/>
      <c r="CQ65" s="43"/>
      <c r="CR65" s="43"/>
      <c r="CS65" s="43"/>
      <c r="CT65" s="43"/>
      <c r="CU65" s="147" t="str">
        <f ca="1">IF(FP1=1,":","")</f>
        <v/>
      </c>
      <c r="CV65" s="147" t="str">
        <f ca="1">IF(FP1=1,":","")</f>
        <v/>
      </c>
      <c r="CW65" s="43"/>
      <c r="CX65" s="43"/>
      <c r="CY65" s="43"/>
      <c r="CZ65" s="43"/>
      <c r="DA65" s="43"/>
      <c r="DB65" s="43"/>
      <c r="DC65" s="43"/>
      <c r="DD65" s="43"/>
      <c r="DE65" s="43"/>
      <c r="DF65" s="43"/>
      <c r="DG65" s="43"/>
      <c r="DH65" s="43"/>
      <c r="DI65" s="43"/>
      <c r="DJ65" s="43"/>
      <c r="DK65" s="43"/>
      <c r="DL65" s="43"/>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10"/>
      <c r="FM65" s="168"/>
      <c r="FN65" s="168"/>
      <c r="FO65" s="168"/>
      <c r="FP65" s="168"/>
      <c r="FQ65" s="168"/>
      <c r="FR65" s="49"/>
      <c r="FS65" s="49"/>
      <c r="FT65" s="49"/>
      <c r="FU65" s="49"/>
      <c r="FV65" s="49"/>
      <c r="FW65" s="49"/>
      <c r="FX65" s="49"/>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78"/>
      <c r="HO65" s="78"/>
      <c r="HP65" s="78"/>
      <c r="HQ65" s="13"/>
      <c r="HR65" s="13"/>
      <c r="HS65" s="13"/>
      <c r="HT65" s="13"/>
      <c r="HU65" s="13"/>
      <c r="HV65" s="13"/>
      <c r="HW65" s="13"/>
      <c r="HX65" s="13"/>
      <c r="HY65" s="13"/>
      <c r="HZ65" s="13"/>
      <c r="IA65" s="13"/>
    </row>
    <row r="66" spans="1:235" ht="3.75" customHeight="1">
      <c r="A66" s="1"/>
      <c r="B66" s="3"/>
      <c r="C66" s="3"/>
      <c r="D66" s="12"/>
      <c r="E66" s="12"/>
      <c r="F66" s="10"/>
      <c r="G66" s="10"/>
      <c r="H66" s="10"/>
      <c r="I66" s="10"/>
      <c r="J66" s="10"/>
      <c r="K66" s="10"/>
      <c r="L66" s="10"/>
      <c r="M66" s="10"/>
      <c r="N66" s="679"/>
      <c r="O66" s="679"/>
      <c r="P66" s="679"/>
      <c r="Q66" s="679"/>
      <c r="R66" s="679"/>
      <c r="S66" s="679"/>
      <c r="T66" s="679"/>
      <c r="U66" s="679"/>
      <c r="V66" s="679"/>
      <c r="W66" s="679"/>
      <c r="X66" s="173"/>
      <c r="Y66" s="173"/>
      <c r="Z66" s="173"/>
      <c r="AA66" s="173"/>
      <c r="AB66" s="147" t="str">
        <f ca="1">IF($FN$28&gt;=2,"",IF($FP$1=1,"`",""))</f>
        <v/>
      </c>
      <c r="AC66" s="173"/>
      <c r="AD66" s="197"/>
      <c r="AE66" s="215"/>
      <c r="AF66" s="147" t="str">
        <f ca="1">IF(FP1=1,"`","")</f>
        <v/>
      </c>
      <c r="AG66" s="147"/>
      <c r="AH66" s="147"/>
      <c r="AI66" s="147"/>
      <c r="AJ66" s="147"/>
      <c r="AK66" s="147"/>
      <c r="AL66" s="147"/>
      <c r="AM66" s="147"/>
      <c r="AN66" s="147"/>
      <c r="AO66" s="147"/>
      <c r="AP66" s="147"/>
      <c r="AQ66" s="197"/>
      <c r="AR66" s="197"/>
      <c r="AS66" s="197"/>
      <c r="AT66" s="197"/>
      <c r="AU66" s="197"/>
      <c r="AV66" s="197"/>
      <c r="AW66" s="215"/>
      <c r="AX66" s="215"/>
      <c r="AY66" s="215"/>
      <c r="AZ66" s="215"/>
      <c r="BA66" s="197"/>
      <c r="BB66" s="197"/>
      <c r="BC66" s="197"/>
      <c r="BD66" s="197"/>
      <c r="BE66" s="197"/>
      <c r="BF66" s="197"/>
      <c r="BG66" s="215"/>
      <c r="BH66" s="215"/>
      <c r="BI66" s="215"/>
      <c r="BJ66" s="215"/>
      <c r="BK66" s="215"/>
      <c r="BL66" s="43"/>
      <c r="BM66" s="147" t="str">
        <f ca="1">IF($FN$28&gt;=4,"`",IF($FN$28=3,"`",""))</f>
        <v/>
      </c>
      <c r="BN66" s="215"/>
      <c r="BO66" s="147" t="str">
        <f ca="1">IF($FN$28&gt;=2,"!","")</f>
        <v/>
      </c>
      <c r="BP66" s="215"/>
      <c r="BQ66" s="215"/>
      <c r="BR66" s="215"/>
      <c r="BS66" s="147"/>
      <c r="BT66" s="215"/>
      <c r="BU66" s="215"/>
      <c r="BV66" s="197"/>
      <c r="BW66" s="197"/>
      <c r="BX66" s="215"/>
      <c r="BY66" s="215"/>
      <c r="BZ66" s="43"/>
      <c r="CA66" s="43"/>
      <c r="CB66" s="43"/>
      <c r="CC66" s="43"/>
      <c r="CD66" s="43"/>
      <c r="CE66" s="214"/>
      <c r="CF66" s="214"/>
      <c r="CG66" s="126"/>
      <c r="CH66" s="126"/>
      <c r="CI66" s="126"/>
      <c r="CJ66" s="126"/>
      <c r="CK66" s="43"/>
      <c r="CL66" s="43"/>
      <c r="CM66" s="43"/>
      <c r="CN66" s="43"/>
      <c r="CO66" s="43"/>
      <c r="CP66" s="43"/>
      <c r="CQ66" s="43"/>
      <c r="CR66" s="43"/>
      <c r="CS66" s="43"/>
      <c r="CT66" s="147" t="str">
        <f ca="1">IF($FN$28&gt;=2,"",IF($FP$1=1,"`",""))</f>
        <v/>
      </c>
      <c r="CU66" s="43"/>
      <c r="CV66" s="43"/>
      <c r="CW66" s="147" t="str">
        <f ca="1">IF(FP1=1,":","")</f>
        <v/>
      </c>
      <c r="CX66" s="147" t="str">
        <f ca="1">IF(FP1=1,":","")</f>
        <v/>
      </c>
      <c r="CY66" s="43"/>
      <c r="CZ66" s="43"/>
      <c r="DA66" s="43"/>
      <c r="DB66" s="43"/>
      <c r="DC66" s="43"/>
      <c r="DD66" s="43"/>
      <c r="DE66" s="43"/>
      <c r="DF66" s="43"/>
      <c r="DG66" s="43"/>
      <c r="DH66" s="43"/>
      <c r="DI66" s="43"/>
      <c r="DJ66" s="43"/>
      <c r="DK66" s="43"/>
      <c r="DL66" s="43"/>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10"/>
      <c r="FM66" s="168"/>
      <c r="FN66" s="168"/>
      <c r="FO66" s="168"/>
      <c r="FP66" s="168"/>
      <c r="FQ66" s="168"/>
      <c r="FR66" s="49"/>
      <c r="FS66" s="49"/>
      <c r="FT66" s="49"/>
      <c r="FU66" s="49"/>
      <c r="FV66" s="49"/>
      <c r="FW66" s="49"/>
      <c r="FX66" s="49"/>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78"/>
      <c r="HO66" s="78"/>
      <c r="HP66" s="78"/>
      <c r="HQ66" s="13"/>
      <c r="HR66" s="13"/>
      <c r="HS66" s="13"/>
      <c r="HT66" s="13"/>
      <c r="HU66" s="13"/>
      <c r="HV66" s="13"/>
      <c r="HW66" s="13"/>
      <c r="HX66" s="13"/>
      <c r="HY66" s="13"/>
      <c r="HZ66" s="13"/>
      <c r="IA66" s="13"/>
    </row>
    <row r="67" spans="1:235" ht="3.75" customHeight="1">
      <c r="A67" s="1"/>
      <c r="B67" s="3"/>
      <c r="C67" s="3"/>
      <c r="D67" s="12"/>
      <c r="E67" s="12"/>
      <c r="F67" s="10"/>
      <c r="G67" s="10"/>
      <c r="H67" s="10"/>
      <c r="I67" s="10"/>
      <c r="J67" s="10"/>
      <c r="K67" s="10"/>
      <c r="L67" s="10"/>
      <c r="M67" s="10"/>
      <c r="N67" s="126"/>
      <c r="O67" s="126"/>
      <c r="P67" s="126"/>
      <c r="Q67" s="197"/>
      <c r="R67" s="197"/>
      <c r="S67" s="215"/>
      <c r="T67" s="215"/>
      <c r="U67" s="215"/>
      <c r="V67" s="126"/>
      <c r="W67" s="126"/>
      <c r="X67" s="126"/>
      <c r="Y67" s="126"/>
      <c r="Z67" s="126"/>
      <c r="AA67" s="126"/>
      <c r="AB67" s="147"/>
      <c r="AC67" s="126"/>
      <c r="AD67" s="197"/>
      <c r="AE67" s="215"/>
      <c r="AF67" s="147" t="str">
        <f ca="1">IF(FP1=1,"`","")</f>
        <v/>
      </c>
      <c r="AG67" s="147"/>
      <c r="AH67" s="147"/>
      <c r="AI67" s="147"/>
      <c r="AJ67" s="147"/>
      <c r="AK67" s="147"/>
      <c r="AL67" s="147"/>
      <c r="AM67" s="147"/>
      <c r="AN67" s="147"/>
      <c r="AO67" s="197"/>
      <c r="AP67" s="197"/>
      <c r="AQ67" s="197"/>
      <c r="AR67" s="197"/>
      <c r="AS67" s="215"/>
      <c r="AT67" s="215"/>
      <c r="AU67" s="215"/>
      <c r="AV67" s="215"/>
      <c r="AW67" s="197"/>
      <c r="AX67" s="197"/>
      <c r="AY67" s="197"/>
      <c r="AZ67" s="147"/>
      <c r="BA67" s="197"/>
      <c r="BB67" s="197"/>
      <c r="BC67" s="197"/>
      <c r="BD67" s="197"/>
      <c r="BE67" s="197"/>
      <c r="BF67" s="197"/>
      <c r="BG67" s="215"/>
      <c r="BH67" s="215"/>
      <c r="BI67" s="215"/>
      <c r="BJ67" s="197"/>
      <c r="BK67" s="197"/>
      <c r="BL67" s="43"/>
      <c r="BM67" s="197"/>
      <c r="BN67" s="215"/>
      <c r="BO67" s="215"/>
      <c r="BP67" s="147" t="str">
        <f ca="1">IF($FN$28&gt;=2,"!","")</f>
        <v/>
      </c>
      <c r="BQ67" s="147"/>
      <c r="BR67" s="147"/>
      <c r="BS67" s="147"/>
      <c r="BT67" s="147"/>
      <c r="BU67" s="147"/>
      <c r="BV67" s="147"/>
      <c r="BW67" s="147"/>
      <c r="BX67" s="147"/>
      <c r="BY67" s="147"/>
      <c r="BZ67" s="43"/>
      <c r="CA67" s="43"/>
      <c r="CB67" s="43"/>
      <c r="CC67" s="43"/>
      <c r="CD67" s="43"/>
      <c r="CE67" s="214"/>
      <c r="CF67" s="214"/>
      <c r="CG67" s="126"/>
      <c r="CH67" s="126"/>
      <c r="CI67" s="126"/>
      <c r="CJ67" s="126"/>
      <c r="CK67" s="43"/>
      <c r="CL67" s="43"/>
      <c r="CM67" s="43"/>
      <c r="CN67" s="43"/>
      <c r="CO67" s="43"/>
      <c r="CP67" s="43"/>
      <c r="CQ67" s="43"/>
      <c r="CR67" s="43"/>
      <c r="CS67" s="43"/>
      <c r="CT67" s="43"/>
      <c r="CU67" s="43"/>
      <c r="CV67" s="43"/>
      <c r="CW67" s="43"/>
      <c r="CX67" s="43"/>
      <c r="CY67" s="147" t="str">
        <f ca="1">IF(FP1=1,":","")</f>
        <v/>
      </c>
      <c r="CZ67" s="147" t="str">
        <f ca="1">IF(FP1=1,":","")</f>
        <v/>
      </c>
      <c r="DA67" s="43"/>
      <c r="DB67" s="43"/>
      <c r="DC67" s="43"/>
      <c r="DD67" s="43"/>
      <c r="DE67" s="43"/>
      <c r="DF67" s="43"/>
      <c r="DG67" s="43"/>
      <c r="DH67" s="43"/>
      <c r="DI67" s="43"/>
      <c r="DJ67" s="43"/>
      <c r="DK67" s="43"/>
      <c r="DL67" s="43"/>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10"/>
      <c r="FM67" s="168"/>
      <c r="FN67" s="168"/>
      <c r="FO67" s="168"/>
      <c r="FP67" s="168"/>
      <c r="FQ67" s="168"/>
      <c r="FR67" s="49"/>
      <c r="FS67" s="49"/>
      <c r="FT67" s="49"/>
      <c r="FU67" s="49"/>
      <c r="FV67" s="49"/>
      <c r="FW67" s="49"/>
      <c r="FX67" s="49"/>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78"/>
      <c r="HO67" s="78"/>
      <c r="HP67" s="78"/>
      <c r="HQ67" s="13"/>
      <c r="HR67" s="13"/>
      <c r="HS67" s="13"/>
      <c r="HT67" s="13"/>
      <c r="HU67" s="13"/>
      <c r="HV67" s="13"/>
      <c r="HW67" s="13"/>
      <c r="HX67" s="13"/>
      <c r="HY67" s="13"/>
      <c r="HZ67" s="13"/>
      <c r="IA67" s="13"/>
    </row>
    <row r="68" spans="1:235" ht="3.75" customHeight="1">
      <c r="A68" s="1"/>
      <c r="B68" s="3"/>
      <c r="C68" s="3"/>
      <c r="D68" s="12"/>
      <c r="E68" s="12"/>
      <c r="F68" s="10"/>
      <c r="G68" s="10"/>
      <c r="H68" s="10"/>
      <c r="I68" s="10"/>
      <c r="J68" s="10"/>
      <c r="K68" s="212"/>
      <c r="L68" s="175"/>
      <c r="M68" s="175"/>
      <c r="N68" s="173"/>
      <c r="O68" s="173"/>
      <c r="P68" s="173"/>
      <c r="Q68" s="197"/>
      <c r="R68" s="197"/>
      <c r="S68" s="215"/>
      <c r="T68" s="215"/>
      <c r="U68" s="215"/>
      <c r="V68" s="126"/>
      <c r="W68" s="126"/>
      <c r="X68" s="126"/>
      <c r="Y68" s="126"/>
      <c r="Z68" s="126"/>
      <c r="AA68" s="126"/>
      <c r="AB68" s="147"/>
      <c r="AC68" s="147"/>
      <c r="AD68" s="197"/>
      <c r="AE68" s="215"/>
      <c r="AF68" s="147" t="str">
        <f ca="1">IF(FP1=1,"`","")</f>
        <v/>
      </c>
      <c r="AG68" s="147"/>
      <c r="AH68" s="147"/>
      <c r="AI68" s="147"/>
      <c r="AJ68" s="147"/>
      <c r="AK68" s="147"/>
      <c r="AL68" s="147"/>
      <c r="AM68" s="215"/>
      <c r="AN68" s="197"/>
      <c r="AO68" s="215"/>
      <c r="AP68" s="215"/>
      <c r="AQ68" s="215"/>
      <c r="AR68" s="215"/>
      <c r="AS68" s="197"/>
      <c r="AT68" s="197"/>
      <c r="AU68" s="197"/>
      <c r="AV68" s="197"/>
      <c r="AW68" s="197"/>
      <c r="AX68" s="197"/>
      <c r="AY68" s="197"/>
      <c r="AZ68" s="197"/>
      <c r="BA68" s="147"/>
      <c r="BB68" s="197"/>
      <c r="BC68" s="197"/>
      <c r="BD68" s="197"/>
      <c r="BE68" s="197"/>
      <c r="BF68" s="197"/>
      <c r="BG68" s="215"/>
      <c r="BH68" s="215"/>
      <c r="BI68" s="215"/>
      <c r="BJ68" s="197"/>
      <c r="BK68" s="197"/>
      <c r="BL68" s="43"/>
      <c r="BM68" s="147" t="str">
        <f ca="1">IF($FN$28&gt;=4,"`",IF($FN$28=3,"`",""))</f>
        <v/>
      </c>
      <c r="BN68" s="215"/>
      <c r="BO68" s="215"/>
      <c r="BP68" s="147"/>
      <c r="BQ68" s="147" t="str">
        <f ca="1">IF($FN$28&gt;=2,"!","")</f>
        <v/>
      </c>
      <c r="BR68" s="147"/>
      <c r="BS68" s="147"/>
      <c r="BT68" s="147"/>
      <c r="BU68" s="147"/>
      <c r="BV68" s="714" t="str">
        <f ca="1">IF(FN28&gt;=2,"MO","")</f>
        <v/>
      </c>
      <c r="BW68" s="545"/>
      <c r="BX68" s="545"/>
      <c r="BY68" s="545"/>
      <c r="BZ68" s="545"/>
      <c r="CA68" s="545"/>
      <c r="CB68" s="545"/>
      <c r="CC68" s="545"/>
      <c r="CD68" s="545"/>
      <c r="CE68" s="43"/>
      <c r="CF68" s="43"/>
      <c r="CG68" s="126"/>
      <c r="CH68" s="126"/>
      <c r="CI68" s="126"/>
      <c r="CJ68" s="126"/>
      <c r="CK68" s="43"/>
      <c r="CL68" s="43"/>
      <c r="CM68" s="43"/>
      <c r="CN68" s="43"/>
      <c r="CO68" s="43"/>
      <c r="CP68" s="43"/>
      <c r="CQ68" s="43"/>
      <c r="CR68" s="43"/>
      <c r="CS68" s="43"/>
      <c r="CT68" s="147" t="str">
        <f ca="1">IF($FN$28&gt;=2,"",IF($FP$1=1,"`",""))</f>
        <v/>
      </c>
      <c r="CU68" s="43"/>
      <c r="CV68" s="43"/>
      <c r="CW68" s="43"/>
      <c r="CX68" s="43"/>
      <c r="CY68" s="43"/>
      <c r="CZ68" s="43"/>
      <c r="DA68" s="147" t="str">
        <f ca="1">IF(FP1=1,":","")</f>
        <v/>
      </c>
      <c r="DB68" s="147" t="str">
        <f ca="1">IF(FP1=1,":","")</f>
        <v/>
      </c>
      <c r="DC68" s="43"/>
      <c r="DD68" s="43"/>
      <c r="DE68" s="43"/>
      <c r="DF68" s="43"/>
      <c r="DG68" s="43"/>
      <c r="DH68" s="43"/>
      <c r="DI68" s="43"/>
      <c r="DJ68" s="43"/>
      <c r="DK68" s="43"/>
      <c r="DL68" s="43"/>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10"/>
      <c r="FM68" s="168"/>
      <c r="FN68" s="168"/>
      <c r="FO68" s="168"/>
      <c r="FP68" s="168"/>
      <c r="FQ68" s="168"/>
      <c r="FR68" s="49"/>
      <c r="FS68" s="49"/>
      <c r="FT68" s="49"/>
      <c r="FU68" s="49"/>
      <c r="FV68" s="49"/>
      <c r="FW68" s="49"/>
      <c r="FX68" s="49"/>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78"/>
      <c r="HO68" s="78"/>
      <c r="HP68" s="78"/>
      <c r="HQ68" s="13"/>
      <c r="HR68" s="13"/>
      <c r="HS68" s="13"/>
      <c r="HT68" s="13"/>
      <c r="HU68" s="13"/>
      <c r="HV68" s="13"/>
      <c r="HW68" s="13"/>
      <c r="HX68" s="13"/>
      <c r="HY68" s="13"/>
      <c r="HZ68" s="13"/>
      <c r="IA68" s="13"/>
    </row>
    <row r="69" spans="1:235" ht="3.75" customHeight="1">
      <c r="A69" s="1"/>
      <c r="B69" s="3"/>
      <c r="C69" s="3"/>
      <c r="D69" s="12"/>
      <c r="E69" s="12"/>
      <c r="F69" s="10"/>
      <c r="G69" s="10"/>
      <c r="H69" s="10"/>
      <c r="I69" s="10"/>
      <c r="J69" s="10"/>
      <c r="K69" s="175"/>
      <c r="L69" s="175"/>
      <c r="M69" s="175"/>
      <c r="N69" s="173"/>
      <c r="O69" s="173"/>
      <c r="P69" s="173"/>
      <c r="Q69" s="197"/>
      <c r="R69" s="197"/>
      <c r="S69" s="215"/>
      <c r="T69" s="215"/>
      <c r="U69" s="215"/>
      <c r="V69" s="126"/>
      <c r="W69" s="147"/>
      <c r="X69" s="147"/>
      <c r="Y69" s="147"/>
      <c r="Z69" s="147"/>
      <c r="AA69" s="147"/>
      <c r="AB69" s="147"/>
      <c r="AC69" s="147"/>
      <c r="AD69" s="147"/>
      <c r="AE69" s="215"/>
      <c r="AF69" s="147" t="str">
        <f ca="1">IF(FP1=1,"`","")</f>
        <v/>
      </c>
      <c r="AG69" s="147"/>
      <c r="AH69" s="147"/>
      <c r="AI69" s="147"/>
      <c r="AJ69" s="147"/>
      <c r="AK69" s="215"/>
      <c r="AL69" s="215"/>
      <c r="AM69" s="215"/>
      <c r="AN69" s="215"/>
      <c r="AO69" s="215"/>
      <c r="AP69" s="215"/>
      <c r="AQ69" s="215"/>
      <c r="AR69" s="215"/>
      <c r="AS69" s="215"/>
      <c r="AT69" s="215"/>
      <c r="AU69" s="215"/>
      <c r="AV69" s="215"/>
      <c r="AW69" s="215"/>
      <c r="AX69" s="215"/>
      <c r="AY69" s="215"/>
      <c r="AZ69" s="215"/>
      <c r="BA69" s="147"/>
      <c r="BB69" s="215"/>
      <c r="BC69" s="215"/>
      <c r="BD69" s="215"/>
      <c r="BE69" s="215"/>
      <c r="BF69" s="215"/>
      <c r="BG69" s="215"/>
      <c r="BH69" s="215"/>
      <c r="BI69" s="215"/>
      <c r="BJ69" s="197"/>
      <c r="BK69" s="43"/>
      <c r="BL69" s="43"/>
      <c r="BM69" s="43"/>
      <c r="BN69" s="43"/>
      <c r="BO69" s="43"/>
      <c r="BP69" s="43"/>
      <c r="BQ69" s="43"/>
      <c r="BR69" s="147" t="str">
        <f ca="1">IF($FN$28&gt;=2,"!","")</f>
        <v/>
      </c>
      <c r="BS69" s="215"/>
      <c r="BT69" s="215"/>
      <c r="BU69" s="215"/>
      <c r="BV69" s="545"/>
      <c r="BW69" s="545"/>
      <c r="BX69" s="545"/>
      <c r="BY69" s="545"/>
      <c r="BZ69" s="545"/>
      <c r="CA69" s="545"/>
      <c r="CB69" s="545"/>
      <c r="CC69" s="545"/>
      <c r="CD69" s="545"/>
      <c r="CE69" s="215"/>
      <c r="CF69" s="215"/>
      <c r="CG69" s="215"/>
      <c r="CH69" s="147"/>
      <c r="CI69" s="147"/>
      <c r="CJ69" s="126"/>
      <c r="CK69" s="43"/>
      <c r="CL69" s="43"/>
      <c r="CM69" s="43"/>
      <c r="CN69" s="43"/>
      <c r="CO69" s="43"/>
      <c r="CP69" s="43"/>
      <c r="CQ69" s="43"/>
      <c r="CR69" s="43"/>
      <c r="CS69" s="43"/>
      <c r="CT69" s="43"/>
      <c r="CU69" s="43"/>
      <c r="CV69" s="43"/>
      <c r="CW69" s="43"/>
      <c r="CX69" s="43"/>
      <c r="CY69" s="43"/>
      <c r="CZ69" s="43"/>
      <c r="DA69" s="43"/>
      <c r="DB69" s="43"/>
      <c r="DC69" s="147" t="str">
        <f ca="1">IF(FP1=1,":","")</f>
        <v/>
      </c>
      <c r="DD69" s="147" t="str">
        <f ca="1">IF(FP1=1,":","")</f>
        <v/>
      </c>
      <c r="DE69" s="43"/>
      <c r="DF69" s="43"/>
      <c r="DG69" s="43"/>
      <c r="DH69" s="43"/>
      <c r="DI69" s="43"/>
      <c r="DJ69" s="43"/>
      <c r="DK69" s="43"/>
      <c r="DL69" s="43"/>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10"/>
      <c r="FM69" s="168"/>
      <c r="FN69" s="168"/>
      <c r="FO69" s="168"/>
      <c r="FP69" s="168"/>
      <c r="FQ69" s="168"/>
      <c r="FR69" s="49"/>
      <c r="FS69" s="49"/>
      <c r="FT69" s="49"/>
      <c r="FU69" s="49"/>
      <c r="FV69" s="49"/>
      <c r="FW69" s="49"/>
      <c r="FX69" s="49"/>
      <c r="FY69" s="32"/>
      <c r="FZ69" s="32"/>
      <c r="GA69" s="32"/>
      <c r="GB69" s="32"/>
      <c r="GC69" s="32"/>
      <c r="GD69" s="32"/>
      <c r="GE69" s="32"/>
      <c r="GF69" s="32"/>
      <c r="GG69" s="32"/>
      <c r="GH69" s="32"/>
      <c r="GI69" s="32"/>
      <c r="GJ69" s="32"/>
      <c r="GK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78"/>
      <c r="HO69" s="78"/>
      <c r="HP69" s="78"/>
      <c r="HQ69" s="13"/>
      <c r="HR69" s="13"/>
      <c r="HS69" s="13"/>
      <c r="HT69" s="13"/>
      <c r="HU69" s="13"/>
      <c r="HV69" s="13"/>
      <c r="HW69" s="13"/>
      <c r="HX69" s="13"/>
      <c r="HY69" s="13"/>
      <c r="HZ69" s="13"/>
      <c r="IA69" s="13"/>
    </row>
    <row r="70" spans="1:235" ht="3.75" customHeight="1">
      <c r="A70" s="1"/>
      <c r="B70" s="3"/>
      <c r="C70" s="3"/>
      <c r="D70" s="12"/>
      <c r="E70" s="12"/>
      <c r="F70" s="10"/>
      <c r="G70" s="10"/>
      <c r="H70" s="10"/>
      <c r="I70" s="10"/>
      <c r="J70" s="10"/>
      <c r="K70" s="175"/>
      <c r="L70" s="175"/>
      <c r="M70" s="175"/>
      <c r="N70" s="173"/>
      <c r="O70" s="173"/>
      <c r="P70" s="173"/>
      <c r="Q70" s="197"/>
      <c r="R70" s="197"/>
      <c r="S70" s="215"/>
      <c r="T70" s="215"/>
      <c r="U70" s="215"/>
      <c r="V70" s="126"/>
      <c r="W70" s="126"/>
      <c r="X70" s="173"/>
      <c r="Y70" s="173"/>
      <c r="Z70" s="173"/>
      <c r="AA70" s="173"/>
      <c r="AB70" s="147"/>
      <c r="AC70" s="147"/>
      <c r="AD70" s="197"/>
      <c r="AE70" s="215"/>
      <c r="AF70" s="147" t="str">
        <f ca="1">IF(FP1=1,"`","")</f>
        <v/>
      </c>
      <c r="AG70" s="215"/>
      <c r="AH70" s="215"/>
      <c r="AI70" s="147"/>
      <c r="AJ70" s="147"/>
      <c r="AK70" s="215"/>
      <c r="AL70" s="197"/>
      <c r="AM70" s="197"/>
      <c r="AN70" s="197"/>
      <c r="AO70" s="197"/>
      <c r="AP70" s="197"/>
      <c r="AQ70" s="197"/>
      <c r="AR70" s="197"/>
      <c r="AS70" s="197"/>
      <c r="AT70" s="197"/>
      <c r="AU70" s="197"/>
      <c r="AV70" s="197"/>
      <c r="AW70" s="197"/>
      <c r="AX70" s="197"/>
      <c r="AY70" s="197"/>
      <c r="AZ70" s="147"/>
      <c r="BA70" s="197"/>
      <c r="BB70" s="197"/>
      <c r="BC70" s="197"/>
      <c r="BD70" s="197"/>
      <c r="BE70" s="215"/>
      <c r="BF70" s="197"/>
      <c r="BG70" s="197"/>
      <c r="BH70" s="197"/>
      <c r="BI70" s="197"/>
      <c r="BJ70" s="147"/>
      <c r="BK70" s="43"/>
      <c r="BL70" s="43"/>
      <c r="BM70" s="147" t="str">
        <f ca="1">IF($FN$28&gt;=4,"`",IF($FN$28=3,"`",""))</f>
        <v/>
      </c>
      <c r="BN70" s="43"/>
      <c r="BO70" s="43"/>
      <c r="BP70" s="43"/>
      <c r="BQ70" s="43"/>
      <c r="BR70" s="215"/>
      <c r="BS70" s="147" t="str">
        <f ca="1">IF($FN$28&gt;=2,"!","")</f>
        <v/>
      </c>
      <c r="BT70" s="215"/>
      <c r="BU70" s="215"/>
      <c r="BV70" s="545"/>
      <c r="BW70" s="545"/>
      <c r="BX70" s="545"/>
      <c r="BY70" s="545"/>
      <c r="BZ70" s="545"/>
      <c r="CA70" s="545"/>
      <c r="CB70" s="545"/>
      <c r="CC70" s="545"/>
      <c r="CD70" s="545"/>
      <c r="CE70" s="43"/>
      <c r="CF70" s="43"/>
      <c r="CG70" s="147"/>
      <c r="CH70" s="147"/>
      <c r="CI70" s="147"/>
      <c r="CJ70" s="126"/>
      <c r="CK70" s="43"/>
      <c r="CL70" s="43"/>
      <c r="CM70" s="43"/>
      <c r="CN70" s="43"/>
      <c r="CO70" s="43"/>
      <c r="CP70" s="43"/>
      <c r="CQ70" s="43"/>
      <c r="CR70" s="43"/>
      <c r="CS70" s="43"/>
      <c r="CT70" s="147" t="str">
        <f ca="1">IF($FN$28&gt;=2,"",IF($FP$1=1,"`",""))</f>
        <v/>
      </c>
      <c r="CU70" s="43"/>
      <c r="CV70" s="43"/>
      <c r="CW70" s="43"/>
      <c r="CX70" s="43"/>
      <c r="CY70" s="43"/>
      <c r="CZ70" s="43"/>
      <c r="DA70" s="43"/>
      <c r="DB70" s="43"/>
      <c r="DC70" s="43"/>
      <c r="DD70" s="43"/>
      <c r="DE70" s="147" t="str">
        <f ca="1">IF(FP1=1,":","")</f>
        <v/>
      </c>
      <c r="DF70" s="147" t="str">
        <f ca="1">IF(FP1=1,":","")</f>
        <v/>
      </c>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147"/>
      <c r="EV70" s="147"/>
      <c r="EW70" s="126"/>
      <c r="EX70" s="126"/>
      <c r="EY70" s="126"/>
      <c r="EZ70" s="126"/>
      <c r="FA70" s="126"/>
      <c r="FB70" s="126"/>
      <c r="FC70" s="126"/>
      <c r="FD70" s="126"/>
      <c r="FE70" s="126"/>
      <c r="FF70" s="126"/>
      <c r="FG70" s="126"/>
      <c r="FH70" s="43"/>
      <c r="FI70" s="43"/>
      <c r="FJ70" s="43"/>
      <c r="FK70" s="43"/>
      <c r="FL70" s="10"/>
      <c r="FM70" s="168"/>
      <c r="FN70" s="168"/>
      <c r="FO70" s="168"/>
      <c r="FP70" s="168"/>
      <c r="FQ70" s="168"/>
      <c r="FR70" s="49"/>
      <c r="FS70" s="49"/>
      <c r="FT70" s="49"/>
      <c r="FU70" s="49"/>
      <c r="FV70" s="49"/>
      <c r="FW70" s="49"/>
      <c r="FX70" s="49"/>
      <c r="FY70" s="32"/>
      <c r="FZ70" s="32"/>
      <c r="GA70" s="32"/>
      <c r="GB70" s="32"/>
      <c r="GC70" s="32"/>
      <c r="GD70" s="32"/>
      <c r="GE70" s="32"/>
      <c r="GF70" s="32"/>
      <c r="GG70" s="32"/>
      <c r="GH70" s="32"/>
      <c r="GI70" s="32"/>
      <c r="GJ70" s="32"/>
      <c r="GK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78"/>
      <c r="HO70" s="78"/>
      <c r="HP70" s="78"/>
      <c r="HQ70" s="13"/>
      <c r="HR70" s="13"/>
      <c r="HS70" s="13"/>
      <c r="HT70" s="13"/>
      <c r="HU70" s="13"/>
      <c r="HV70" s="13"/>
      <c r="HW70" s="13"/>
      <c r="HX70" s="13"/>
      <c r="HY70" s="13"/>
      <c r="HZ70" s="13"/>
      <c r="IA70" s="13"/>
    </row>
    <row r="71" spans="1:235" ht="3.75" customHeight="1">
      <c r="A71" s="1"/>
      <c r="B71" s="3"/>
      <c r="C71" s="3"/>
      <c r="D71" s="12"/>
      <c r="E71" s="12"/>
      <c r="F71" s="10"/>
      <c r="G71" s="10"/>
      <c r="H71" s="10"/>
      <c r="I71" s="10"/>
      <c r="J71" s="10"/>
      <c r="K71" s="175"/>
      <c r="L71" s="175"/>
      <c r="M71" s="175"/>
      <c r="N71" s="173"/>
      <c r="O71" s="173"/>
      <c r="P71" s="173"/>
      <c r="Q71" s="197"/>
      <c r="R71" s="197"/>
      <c r="S71" s="215"/>
      <c r="T71" s="215"/>
      <c r="U71" s="215"/>
      <c r="V71" s="126"/>
      <c r="W71" s="126"/>
      <c r="X71" s="173"/>
      <c r="Y71" s="173"/>
      <c r="Z71" s="173"/>
      <c r="AA71" s="173"/>
      <c r="AB71" s="147"/>
      <c r="AC71" s="173"/>
      <c r="AD71" s="197"/>
      <c r="AE71" s="215"/>
      <c r="AF71" s="147" t="str">
        <f ca="1">IF(FP1=1,"`","")</f>
        <v/>
      </c>
      <c r="AG71" s="215"/>
      <c r="AH71" s="215"/>
      <c r="AI71" s="215"/>
      <c r="AJ71" s="215"/>
      <c r="AK71" s="215"/>
      <c r="AL71" s="197"/>
      <c r="AM71" s="197"/>
      <c r="AN71" s="197"/>
      <c r="AO71" s="197"/>
      <c r="AP71" s="197"/>
      <c r="AQ71" s="197"/>
      <c r="AR71" s="197"/>
      <c r="AS71" s="197"/>
      <c r="AT71" s="197"/>
      <c r="AU71" s="197"/>
      <c r="AV71" s="197"/>
      <c r="AW71" s="197"/>
      <c r="AX71" s="197"/>
      <c r="AY71" s="197"/>
      <c r="AZ71" s="147"/>
      <c r="BA71" s="197"/>
      <c r="BB71" s="197"/>
      <c r="BC71" s="197"/>
      <c r="BD71" s="197"/>
      <c r="BE71" s="215"/>
      <c r="BF71" s="197"/>
      <c r="BG71" s="197"/>
      <c r="BH71" s="197"/>
      <c r="BI71" s="197"/>
      <c r="BJ71" s="147"/>
      <c r="BK71" s="43"/>
      <c r="BL71" s="43"/>
      <c r="BM71" s="43"/>
      <c r="BN71" s="43"/>
      <c r="BO71" s="43"/>
      <c r="BP71" s="43"/>
      <c r="BQ71" s="43"/>
      <c r="BR71" s="215"/>
      <c r="BS71" s="215"/>
      <c r="BT71" s="147" t="str">
        <f ca="1">IF($FN$28&gt;=2,"!","")</f>
        <v/>
      </c>
      <c r="BU71" s="215"/>
      <c r="BV71" s="545"/>
      <c r="BW71" s="545"/>
      <c r="BX71" s="545"/>
      <c r="BY71" s="545"/>
      <c r="BZ71" s="545"/>
      <c r="CA71" s="545"/>
      <c r="CB71" s="545"/>
      <c r="CC71" s="545"/>
      <c r="CD71" s="545"/>
      <c r="CE71" s="43"/>
      <c r="CF71" s="43"/>
      <c r="CG71" s="147"/>
      <c r="CH71" s="147"/>
      <c r="CI71" s="147"/>
      <c r="CJ71" s="147"/>
      <c r="CK71" s="43"/>
      <c r="CL71" s="43"/>
      <c r="CM71" s="43"/>
      <c r="CN71" s="43"/>
      <c r="CO71" s="43"/>
      <c r="CP71" s="43"/>
      <c r="CQ71" s="43"/>
      <c r="CR71" s="43"/>
      <c r="CS71" s="43"/>
      <c r="CT71" s="43"/>
      <c r="CU71" s="43"/>
      <c r="CV71" s="43"/>
      <c r="CW71" s="43"/>
      <c r="CX71" s="43"/>
      <c r="CY71" s="43"/>
      <c r="CZ71" s="43"/>
      <c r="DA71" s="43"/>
      <c r="DB71" s="43"/>
      <c r="DC71" s="43"/>
      <c r="DD71" s="43"/>
      <c r="DE71" s="43"/>
      <c r="DF71" s="43"/>
      <c r="DG71" s="147" t="str">
        <f ca="1">IF(FP1=1,":","")</f>
        <v/>
      </c>
      <c r="DH71" s="147" t="str">
        <f ca="1">IF(FP1=1,":","")</f>
        <v/>
      </c>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147"/>
      <c r="EV71" s="147"/>
      <c r="EW71" s="126"/>
      <c r="EX71" s="126"/>
      <c r="EY71" s="126"/>
      <c r="EZ71" s="126"/>
      <c r="FA71" s="126"/>
      <c r="FB71" s="126"/>
      <c r="FC71" s="126"/>
      <c r="FD71" s="126"/>
      <c r="FE71" s="126"/>
      <c r="FF71" s="126"/>
      <c r="FG71" s="126"/>
      <c r="FH71" s="43"/>
      <c r="FI71" s="43"/>
      <c r="FJ71" s="43"/>
      <c r="FK71" s="43"/>
      <c r="FL71" s="10"/>
      <c r="FM71" s="168"/>
      <c r="FN71" s="168"/>
      <c r="FO71" s="168"/>
      <c r="FP71" s="168"/>
      <c r="FQ71" s="168"/>
      <c r="FR71" s="49"/>
      <c r="FS71" s="49"/>
      <c r="FT71" s="49"/>
      <c r="FU71" s="49"/>
      <c r="FV71" s="49"/>
      <c r="FW71" s="49"/>
      <c r="FX71" s="49"/>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78"/>
      <c r="HO71" s="78"/>
      <c r="HP71" s="78"/>
      <c r="HQ71" s="13"/>
      <c r="HR71" s="13"/>
      <c r="HS71" s="13"/>
      <c r="HT71" s="13"/>
      <c r="HU71" s="13"/>
      <c r="HV71" s="13"/>
      <c r="HW71" s="13"/>
      <c r="HX71" s="13"/>
      <c r="HY71" s="13"/>
      <c r="HZ71" s="13"/>
      <c r="IA71" s="13"/>
    </row>
    <row r="72" spans="1:235" ht="3.75" customHeight="1">
      <c r="A72" s="1"/>
      <c r="B72" s="3"/>
      <c r="C72" s="3"/>
      <c r="D72" s="12"/>
      <c r="E72" s="12"/>
      <c r="F72" s="10"/>
      <c r="G72" s="10"/>
      <c r="H72" s="10"/>
      <c r="I72" s="10"/>
      <c r="J72" s="10"/>
      <c r="K72" s="10"/>
      <c r="L72" s="10"/>
      <c r="M72" s="10"/>
      <c r="N72" s="126"/>
      <c r="O72" s="126"/>
      <c r="P72" s="126"/>
      <c r="Q72" s="197"/>
      <c r="R72" s="197"/>
      <c r="S72" s="215"/>
      <c r="T72" s="215"/>
      <c r="U72" s="215"/>
      <c r="V72" s="126"/>
      <c r="W72" s="43"/>
      <c r="X72" s="43"/>
      <c r="Y72" s="43"/>
      <c r="Z72" s="43"/>
      <c r="AA72" s="43"/>
      <c r="AB72" s="43"/>
      <c r="AC72" s="43"/>
      <c r="AD72" s="43"/>
      <c r="AE72" s="215"/>
      <c r="AF72" s="147" t="str">
        <f ca="1">IF(FP1=1,"`","")</f>
        <v/>
      </c>
      <c r="AG72" s="215"/>
      <c r="AH72" s="215"/>
      <c r="AI72" s="215"/>
      <c r="AJ72" s="215"/>
      <c r="AK72" s="215"/>
      <c r="AL72" s="197"/>
      <c r="AM72" s="197"/>
      <c r="AN72" s="197"/>
      <c r="AO72" s="197"/>
      <c r="AP72" s="197"/>
      <c r="AQ72" s="197"/>
      <c r="AR72" s="197"/>
      <c r="AS72" s="197"/>
      <c r="AT72" s="197"/>
      <c r="AU72" s="197"/>
      <c r="AV72" s="197"/>
      <c r="AW72" s="197"/>
      <c r="AX72" s="197"/>
      <c r="AY72" s="197"/>
      <c r="AZ72" s="197"/>
      <c r="BA72" s="147"/>
      <c r="BB72" s="197"/>
      <c r="BC72" s="197"/>
      <c r="BD72" s="197"/>
      <c r="BE72" s="215"/>
      <c r="BF72" s="197"/>
      <c r="BG72" s="197"/>
      <c r="BH72" s="197"/>
      <c r="BI72" s="197"/>
      <c r="BJ72" s="197"/>
      <c r="BK72" s="43"/>
      <c r="BL72" s="43"/>
      <c r="BM72" s="147" t="str">
        <f ca="1">IF($FN$28&gt;=4,"`",IF($FN$28=3,"`",""))</f>
        <v/>
      </c>
      <c r="BN72" s="43"/>
      <c r="BO72" s="43"/>
      <c r="BP72" s="43"/>
      <c r="BQ72" s="43"/>
      <c r="BR72" s="147"/>
      <c r="BS72" s="147"/>
      <c r="BT72" s="215"/>
      <c r="BU72" s="147" t="str">
        <f ca="1">IF($FN$28&gt;=2,"!","")</f>
        <v/>
      </c>
      <c r="BV72" s="545"/>
      <c r="BW72" s="545"/>
      <c r="BX72" s="545"/>
      <c r="BY72" s="545"/>
      <c r="BZ72" s="545"/>
      <c r="CA72" s="545"/>
      <c r="CB72" s="545"/>
      <c r="CC72" s="545"/>
      <c r="CD72" s="545"/>
      <c r="CE72" s="43"/>
      <c r="CF72" s="43"/>
      <c r="CG72" s="147"/>
      <c r="CH72" s="147"/>
      <c r="CI72" s="147"/>
      <c r="CJ72" s="147"/>
      <c r="CK72" s="43"/>
      <c r="CL72" s="43"/>
      <c r="CM72" s="43"/>
      <c r="CN72" s="43"/>
      <c r="CO72" s="43"/>
      <c r="CP72" s="43"/>
      <c r="CQ72" s="43"/>
      <c r="CR72" s="43"/>
      <c r="CS72" s="43"/>
      <c r="CT72" s="147" t="str">
        <f ca="1">IF($FN$28&gt;=2,"",IF($FP$1=1,"`",""))</f>
        <v/>
      </c>
      <c r="CU72" s="43"/>
      <c r="CV72" s="43"/>
      <c r="CW72" s="43"/>
      <c r="CX72" s="43"/>
      <c r="CY72" s="43"/>
      <c r="CZ72" s="43"/>
      <c r="DA72" s="43"/>
      <c r="DB72" s="43"/>
      <c r="DC72" s="43"/>
      <c r="DD72" s="43"/>
      <c r="DE72" s="43"/>
      <c r="DF72" s="43"/>
      <c r="DG72" s="43"/>
      <c r="DH72" s="43"/>
      <c r="DI72" s="147" t="str">
        <f ca="1">IF(FP1=1,":","")</f>
        <v/>
      </c>
      <c r="DJ72" s="147" t="str">
        <f ca="1">IF(FP1=1,":","")</f>
        <v/>
      </c>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147"/>
      <c r="EV72" s="147"/>
      <c r="EW72" s="126"/>
      <c r="EX72" s="126"/>
      <c r="EY72" s="126"/>
      <c r="EZ72" s="126"/>
      <c r="FA72" s="126"/>
      <c r="FB72" s="126"/>
      <c r="FC72" s="126"/>
      <c r="FD72" s="126"/>
      <c r="FE72" s="126"/>
      <c r="FF72" s="126"/>
      <c r="FG72" s="126"/>
      <c r="FH72" s="43"/>
      <c r="FI72" s="43"/>
      <c r="FJ72" s="43"/>
      <c r="FK72" s="43"/>
      <c r="FL72" s="10"/>
      <c r="FM72" s="168"/>
      <c r="FN72" s="168"/>
      <c r="FO72" s="168"/>
      <c r="FP72" s="168"/>
      <c r="FQ72" s="168"/>
      <c r="FR72" s="49"/>
      <c r="FS72" s="49"/>
      <c r="FT72" s="49"/>
      <c r="FU72" s="49"/>
      <c r="FV72" s="49"/>
      <c r="FW72" s="49"/>
      <c r="FX72" s="49"/>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78"/>
      <c r="HO72" s="78"/>
      <c r="HP72" s="78"/>
      <c r="HQ72" s="13"/>
      <c r="HR72" s="13"/>
      <c r="HS72" s="13"/>
      <c r="HT72" s="13"/>
      <c r="HU72" s="13"/>
      <c r="HV72" s="13"/>
      <c r="HW72" s="13"/>
      <c r="HX72" s="13"/>
      <c r="HY72" s="13"/>
      <c r="HZ72" s="13"/>
      <c r="IA72" s="13"/>
    </row>
    <row r="73" spans="1:235" ht="3.75" customHeight="1">
      <c r="A73" s="1"/>
      <c r="B73" s="3"/>
      <c r="C73" s="3"/>
      <c r="D73" s="12"/>
      <c r="E73" s="12"/>
      <c r="F73" s="10"/>
      <c r="G73" s="10"/>
      <c r="H73" s="10"/>
      <c r="I73" s="10"/>
      <c r="J73" s="10"/>
      <c r="K73" s="10"/>
      <c r="L73" s="10"/>
      <c r="M73" s="10"/>
      <c r="N73" s="126"/>
      <c r="O73" s="126"/>
      <c r="P73" s="126"/>
      <c r="Q73" s="197"/>
      <c r="R73" s="197"/>
      <c r="S73" s="215"/>
      <c r="T73" s="215"/>
      <c r="U73" s="215"/>
      <c r="V73" s="126"/>
      <c r="W73" s="43"/>
      <c r="X73" s="43"/>
      <c r="Y73" s="43"/>
      <c r="Z73" s="43"/>
      <c r="AA73" s="43"/>
      <c r="AB73" s="43"/>
      <c r="AC73" s="43"/>
      <c r="AD73" s="43"/>
      <c r="AE73" s="215"/>
      <c r="AF73" s="147" t="str">
        <f ca="1">IF(FP1=1,"`","")</f>
        <v/>
      </c>
      <c r="AG73" s="215"/>
      <c r="AH73" s="215"/>
      <c r="AI73" s="215"/>
      <c r="AJ73" s="215"/>
      <c r="AK73" s="215"/>
      <c r="AL73" s="197"/>
      <c r="AM73" s="197"/>
      <c r="AN73" s="197"/>
      <c r="AO73" s="197"/>
      <c r="AP73" s="197"/>
      <c r="AQ73" s="197"/>
      <c r="AR73" s="197"/>
      <c r="AS73" s="197"/>
      <c r="AT73" s="197"/>
      <c r="AU73" s="197"/>
      <c r="AV73" s="197"/>
      <c r="AW73" s="197"/>
      <c r="AX73" s="197"/>
      <c r="AY73" s="197"/>
      <c r="AZ73" s="197"/>
      <c r="BA73" s="147"/>
      <c r="BB73" s="197"/>
      <c r="BC73" s="197"/>
      <c r="BD73" s="197"/>
      <c r="BE73" s="215"/>
      <c r="BF73" s="197"/>
      <c r="BG73" s="197"/>
      <c r="BH73" s="197"/>
      <c r="BI73" s="197"/>
      <c r="BJ73" s="197"/>
      <c r="BK73" s="147"/>
      <c r="BL73" s="43"/>
      <c r="BM73" s="197"/>
      <c r="BN73" s="215"/>
      <c r="BO73" s="215"/>
      <c r="BP73" s="215"/>
      <c r="BQ73" s="215"/>
      <c r="BR73" s="147"/>
      <c r="BS73" s="197"/>
      <c r="BT73" s="197"/>
      <c r="BU73" s="197"/>
      <c r="BV73" s="147" t="str">
        <f ca="1">IF($FN$28&gt;=2,"!","")</f>
        <v/>
      </c>
      <c r="BW73" s="197"/>
      <c r="BX73" s="215"/>
      <c r="BY73" s="215"/>
      <c r="BZ73" s="43"/>
      <c r="CA73" s="43"/>
      <c r="CB73" s="147"/>
      <c r="CC73" s="147"/>
      <c r="CD73" s="43"/>
      <c r="CE73" s="147"/>
      <c r="CF73" s="43"/>
      <c r="CG73" s="147"/>
      <c r="CH73" s="147"/>
      <c r="CI73" s="147"/>
      <c r="CJ73" s="147"/>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147" t="str">
        <f ca="1">IF(FP1=1,":","")</f>
        <v/>
      </c>
      <c r="DL73" s="147" t="str">
        <f ca="1">IF(FP1=1,":","")</f>
        <v/>
      </c>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147"/>
      <c r="EV73" s="147"/>
      <c r="EW73" s="147"/>
      <c r="EX73" s="126"/>
      <c r="EY73" s="126"/>
      <c r="EZ73" s="126"/>
      <c r="FA73" s="126"/>
      <c r="FB73" s="126"/>
      <c r="FC73" s="126"/>
      <c r="FD73" s="126"/>
      <c r="FE73" s="126"/>
      <c r="FF73" s="126"/>
      <c r="FG73" s="126"/>
      <c r="FH73" s="43"/>
      <c r="FI73" s="43"/>
      <c r="FJ73" s="43"/>
      <c r="FK73" s="43"/>
      <c r="FL73" s="10"/>
      <c r="FM73" s="168"/>
      <c r="FN73" s="168"/>
      <c r="FO73" s="168"/>
      <c r="FP73" s="168"/>
      <c r="FQ73" s="168"/>
      <c r="FR73" s="49"/>
      <c r="FS73" s="49"/>
      <c r="FT73" s="49"/>
      <c r="FU73" s="49"/>
      <c r="FV73" s="49"/>
      <c r="FW73" s="49"/>
      <c r="FX73" s="49"/>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78"/>
      <c r="HO73" s="78"/>
      <c r="HP73" s="78"/>
      <c r="HQ73" s="13"/>
      <c r="HR73" s="13"/>
      <c r="HS73" s="13"/>
      <c r="HT73" s="13"/>
      <c r="HU73" s="13"/>
      <c r="HV73" s="13"/>
      <c r="HW73" s="13"/>
      <c r="HX73" s="13"/>
      <c r="HY73" s="13"/>
      <c r="HZ73" s="13"/>
      <c r="IA73" s="13"/>
    </row>
    <row r="74" spans="1:235" ht="3.75" customHeight="1">
      <c r="A74" s="1"/>
      <c r="B74" s="3"/>
      <c r="C74" s="3"/>
      <c r="D74" s="12"/>
      <c r="E74" s="12"/>
      <c r="F74" s="10"/>
      <c r="G74" s="10"/>
      <c r="H74" s="10"/>
      <c r="I74" s="10"/>
      <c r="J74" s="10"/>
      <c r="K74" s="10"/>
      <c r="L74" s="10"/>
      <c r="M74" s="10"/>
      <c r="N74" s="126"/>
      <c r="O74" s="126"/>
      <c r="P74" s="126"/>
      <c r="Q74" s="197"/>
      <c r="R74" s="197"/>
      <c r="S74" s="215"/>
      <c r="T74" s="215"/>
      <c r="U74" s="215"/>
      <c r="V74" s="126"/>
      <c r="W74" s="43"/>
      <c r="X74" s="43"/>
      <c r="Y74" s="43"/>
      <c r="Z74" s="43"/>
      <c r="AA74" s="43"/>
      <c r="AB74" s="43"/>
      <c r="AC74" s="43"/>
      <c r="AD74" s="43"/>
      <c r="AE74" s="215"/>
      <c r="AF74" s="147" t="str">
        <f ca="1">IF(FP1=1,"`","")</f>
        <v/>
      </c>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47"/>
      <c r="BC74" s="197"/>
      <c r="BD74" s="197"/>
      <c r="BE74" s="197"/>
      <c r="BF74" s="197"/>
      <c r="BG74" s="197"/>
      <c r="BH74" s="197"/>
      <c r="BI74" s="197"/>
      <c r="BJ74" s="197"/>
      <c r="BK74" s="197"/>
      <c r="BL74" s="43"/>
      <c r="BM74" s="147" t="str">
        <f ca="1">IF($FN$28&gt;=4,"`",IF($FN$28=3,"`",""))</f>
        <v/>
      </c>
      <c r="BN74" s="215"/>
      <c r="BO74" s="215"/>
      <c r="BP74" s="215"/>
      <c r="BQ74" s="215"/>
      <c r="BR74" s="197"/>
      <c r="BS74" s="147"/>
      <c r="BT74" s="197"/>
      <c r="BU74" s="197"/>
      <c r="BV74" s="197"/>
      <c r="BW74" s="147" t="str">
        <f ca="1">IF($FN$28&gt;=2,"!","")</f>
        <v/>
      </c>
      <c r="BX74" s="215"/>
      <c r="BY74" s="215"/>
      <c r="BZ74" s="215"/>
      <c r="CA74" s="215"/>
      <c r="CB74" s="215"/>
      <c r="CC74" s="215"/>
      <c r="CD74" s="147"/>
      <c r="CE74" s="147"/>
      <c r="CF74" s="147"/>
      <c r="CG74" s="147"/>
      <c r="CH74" s="147"/>
      <c r="CI74" s="147"/>
      <c r="CJ74" s="147"/>
      <c r="CK74" s="43"/>
      <c r="CL74" s="43"/>
      <c r="CM74" s="43"/>
      <c r="CN74" s="43"/>
      <c r="CO74" s="43"/>
      <c r="CP74" s="43"/>
      <c r="CQ74" s="43"/>
      <c r="CR74" s="43"/>
      <c r="CS74" s="43"/>
      <c r="CT74" s="147" t="str">
        <f ca="1">IF($FN$28&gt;=2,"",IF($FP$1=1,"`",""))</f>
        <v/>
      </c>
      <c r="CU74" s="43"/>
      <c r="CV74" s="43"/>
      <c r="CW74" s="43"/>
      <c r="CX74" s="43"/>
      <c r="CY74" s="43"/>
      <c r="CZ74" s="43"/>
      <c r="DA74" s="43"/>
      <c r="DB74" s="43"/>
      <c r="DC74" s="43"/>
      <c r="DD74" s="43"/>
      <c r="DE74" s="43"/>
      <c r="DF74" s="43"/>
      <c r="DG74" s="43"/>
      <c r="DH74" s="43"/>
      <c r="DI74" s="43"/>
      <c r="DJ74" s="43"/>
      <c r="DK74" s="43"/>
      <c r="DL74" s="43"/>
      <c r="DM74" s="147" t="str">
        <f ca="1">IF(FP1=1,":","")</f>
        <v/>
      </c>
      <c r="DN74" s="147" t="str">
        <f ca="1">IF(FP1=1,":","")</f>
        <v/>
      </c>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147"/>
      <c r="EV74" s="147"/>
      <c r="EW74" s="147"/>
      <c r="EX74" s="126"/>
      <c r="EY74" s="126"/>
      <c r="EZ74" s="126"/>
      <c r="FA74" s="126"/>
      <c r="FB74" s="126"/>
      <c r="FC74" s="126"/>
      <c r="FD74" s="126"/>
      <c r="FE74" s="126"/>
      <c r="FF74" s="126"/>
      <c r="FG74" s="126"/>
      <c r="FH74" s="43"/>
      <c r="FI74" s="43"/>
      <c r="FJ74" s="43"/>
      <c r="FK74" s="43"/>
      <c r="FL74" s="10"/>
      <c r="FM74" s="168"/>
      <c r="FN74" s="168"/>
      <c r="FO74" s="168"/>
      <c r="FP74" s="168"/>
      <c r="FQ74" s="168"/>
      <c r="FR74" s="49"/>
      <c r="FS74" s="49"/>
      <c r="FT74" s="49"/>
      <c r="FU74" s="49"/>
      <c r="FV74" s="49"/>
      <c r="FW74" s="49"/>
      <c r="FX74" s="49"/>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78"/>
      <c r="HO74" s="78"/>
      <c r="HP74" s="78"/>
      <c r="HQ74" s="13"/>
      <c r="HR74" s="13"/>
      <c r="HS74" s="13"/>
      <c r="HT74" s="13"/>
      <c r="HU74" s="13"/>
      <c r="HV74" s="13"/>
      <c r="HW74" s="13"/>
      <c r="HX74" s="13"/>
      <c r="HY74" s="13"/>
      <c r="HZ74" s="13"/>
      <c r="IA74" s="13"/>
    </row>
    <row r="75" spans="1:235" ht="3.75" customHeight="1">
      <c r="A75" s="1"/>
      <c r="B75" s="3"/>
      <c r="C75" s="3"/>
      <c r="D75" s="12"/>
      <c r="E75" s="12"/>
      <c r="F75" s="10"/>
      <c r="G75" s="10"/>
      <c r="H75" s="10"/>
      <c r="I75" s="10"/>
      <c r="J75" s="10"/>
      <c r="K75" s="10"/>
      <c r="L75" s="10"/>
      <c r="M75" s="10"/>
      <c r="N75" s="126"/>
      <c r="O75" s="126"/>
      <c r="P75" s="126"/>
      <c r="Q75" s="197"/>
      <c r="R75" s="197"/>
      <c r="S75" s="215"/>
      <c r="T75" s="215"/>
      <c r="U75" s="215"/>
      <c r="V75" s="126"/>
      <c r="W75" s="43"/>
      <c r="X75" s="43"/>
      <c r="Y75" s="43"/>
      <c r="Z75" s="43"/>
      <c r="AA75" s="43"/>
      <c r="AB75" s="43"/>
      <c r="AC75" s="43"/>
      <c r="AD75" s="43"/>
      <c r="AE75" s="215"/>
      <c r="AF75" s="147" t="str">
        <f ca="1">IF(FP1=1,"`","")</f>
        <v/>
      </c>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97"/>
      <c r="BK75" s="197"/>
      <c r="BL75" s="147"/>
      <c r="BM75" s="197"/>
      <c r="BN75" s="197"/>
      <c r="BO75" s="197"/>
      <c r="BP75" s="215"/>
      <c r="BQ75" s="215"/>
      <c r="BR75" s="197"/>
      <c r="BS75" s="147"/>
      <c r="BT75" s="197"/>
      <c r="BU75" s="197"/>
      <c r="BV75" s="197"/>
      <c r="BW75" s="197"/>
      <c r="BX75" s="147" t="str">
        <f ca="1">IF($FN$28&gt;=2,"!","")</f>
        <v/>
      </c>
      <c r="BY75" s="197"/>
      <c r="BZ75" s="147"/>
      <c r="CA75" s="147"/>
      <c r="CB75" s="147"/>
      <c r="CC75" s="147"/>
      <c r="CD75" s="147"/>
      <c r="CE75" s="147"/>
      <c r="CF75" s="147"/>
      <c r="CG75" s="147"/>
      <c r="CH75" s="147"/>
      <c r="CI75" s="147"/>
      <c r="CJ75" s="147"/>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147" t="str">
        <f ca="1">IF(FP1=1,":","")</f>
        <v/>
      </c>
      <c r="DP75" s="147" t="str">
        <f ca="1">IF(FP1=1,":","")</f>
        <v/>
      </c>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147"/>
      <c r="EV75" s="147"/>
      <c r="EW75" s="147"/>
      <c r="EX75" s="126"/>
      <c r="EY75" s="126"/>
      <c r="EZ75" s="126"/>
      <c r="FA75" s="126"/>
      <c r="FB75" s="126"/>
      <c r="FC75" s="126"/>
      <c r="FD75" s="126"/>
      <c r="FE75" s="126"/>
      <c r="FF75" s="126"/>
      <c r="FG75" s="126"/>
      <c r="FH75" s="43"/>
      <c r="FI75" s="43"/>
      <c r="FJ75" s="43"/>
      <c r="FK75" s="43"/>
      <c r="FL75" s="10"/>
      <c r="FM75" s="168"/>
      <c r="FN75" s="168"/>
      <c r="FO75" s="168"/>
      <c r="FP75" s="168"/>
      <c r="FQ75" s="168"/>
      <c r="FR75" s="49"/>
      <c r="FS75" s="49"/>
      <c r="FT75" s="49"/>
      <c r="FU75" s="49"/>
      <c r="FV75" s="49"/>
      <c r="FW75" s="49"/>
      <c r="FX75" s="49"/>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78"/>
      <c r="HO75" s="78"/>
      <c r="HP75" s="78"/>
      <c r="HQ75" s="13"/>
      <c r="HR75" s="13"/>
      <c r="HS75" s="13"/>
      <c r="HT75" s="13"/>
      <c r="HU75" s="13"/>
      <c r="HV75" s="13"/>
      <c r="HW75" s="13"/>
      <c r="HX75" s="13"/>
      <c r="HY75" s="13"/>
      <c r="HZ75" s="13"/>
      <c r="IA75" s="13"/>
    </row>
    <row r="76" spans="1:235" ht="3.75" customHeight="1">
      <c r="A76" s="1"/>
      <c r="B76" s="3"/>
      <c r="C76" s="3"/>
      <c r="D76" s="12"/>
      <c r="E76" s="12"/>
      <c r="F76" s="10"/>
      <c r="G76" s="10"/>
      <c r="H76" s="10"/>
      <c r="I76" s="10"/>
      <c r="J76" s="10"/>
      <c r="K76" s="10"/>
      <c r="L76" s="10"/>
      <c r="M76" s="10"/>
      <c r="N76" s="126"/>
      <c r="O76" s="126"/>
      <c r="P76" s="126"/>
      <c r="Q76" s="197"/>
      <c r="R76" s="197"/>
      <c r="S76" s="126"/>
      <c r="T76" s="172"/>
      <c r="U76" s="197"/>
      <c r="V76" s="126"/>
      <c r="W76" s="43"/>
      <c r="X76" s="43"/>
      <c r="Y76" s="43"/>
      <c r="Z76" s="43"/>
      <c r="AA76" s="43"/>
      <c r="AB76" s="43"/>
      <c r="AC76" s="43"/>
      <c r="AD76" s="43"/>
      <c r="AE76" s="147"/>
      <c r="AF76" s="147" t="str">
        <f ca="1">IF(FP1=1,"`","")</f>
        <v/>
      </c>
      <c r="AG76" s="147" t="str">
        <f ca="1">IF(FP1=1,"`","")</f>
        <v/>
      </c>
      <c r="AH76" s="147" t="str">
        <f ca="1">IF(FP1=1,"`","")</f>
        <v/>
      </c>
      <c r="AI76" s="147" t="str">
        <f ca="1">IF(FP1=1,"`","")</f>
        <v/>
      </c>
      <c r="AJ76" s="147" t="str">
        <f ca="1">IF(FP1=1,"`","")</f>
        <v/>
      </c>
      <c r="AK76" s="147" t="str">
        <f ca="1">IF(FP1=1,"`","")</f>
        <v/>
      </c>
      <c r="AL76" s="147" t="str">
        <f ca="1">IF(FP1=1,"`","")</f>
        <v/>
      </c>
      <c r="AM76" s="147" t="str">
        <f ca="1">IF(FP1=1,"`","")</f>
        <v/>
      </c>
      <c r="AN76" s="147" t="str">
        <f ca="1">IF(FP1=1,"`","")</f>
        <v/>
      </c>
      <c r="AO76" s="147" t="str">
        <f ca="1">IF(FP1=1,"`","")</f>
        <v/>
      </c>
      <c r="AP76" s="147" t="str">
        <f ca="1">IF(FP1=1,"`","")</f>
        <v/>
      </c>
      <c r="AQ76" s="147" t="str">
        <f ca="1">IF(FP1=1,"`","")</f>
        <v/>
      </c>
      <c r="AR76" s="147" t="str">
        <f ca="1">IF(FP1=1,"`","")</f>
        <v/>
      </c>
      <c r="AS76" s="147" t="str">
        <f ca="1">IF(FP1=1,"`","")</f>
        <v/>
      </c>
      <c r="AT76" s="147" t="str">
        <f ca="1">IF(FP1=1,"`","")</f>
        <v/>
      </c>
      <c r="AU76" s="147" t="str">
        <f ca="1">IF(FP1=1,"`","")</f>
        <v/>
      </c>
      <c r="AV76" s="147" t="str">
        <f ca="1">IF(FP1=1,"`","")</f>
        <v/>
      </c>
      <c r="AW76" s="147" t="str">
        <f ca="1">IF(FP1=1,"`","")</f>
        <v/>
      </c>
      <c r="AX76" s="147" t="str">
        <f ca="1">IF(FP1=1,"`","")</f>
        <v/>
      </c>
      <c r="AY76" s="147" t="str">
        <f ca="1">IF(FP1=1,"`","")</f>
        <v/>
      </c>
      <c r="AZ76" s="147" t="str">
        <f ca="1">IF(FP1=1,"`","")</f>
        <v/>
      </c>
      <c r="BA76" s="147" t="str">
        <f ca="1">IF(FP1=1,"`","")</f>
        <v/>
      </c>
      <c r="BB76" s="147" t="str">
        <f ca="1">IF(FP1=1,"`","")</f>
        <v/>
      </c>
      <c r="BC76" s="147" t="str">
        <f ca="1">IF(FP1=1,"`","")</f>
        <v/>
      </c>
      <c r="BD76" s="147" t="str">
        <f ca="1">IF(FP1=1,"`","")</f>
        <v/>
      </c>
      <c r="BE76" s="147" t="str">
        <f ca="1">IF(FP1=1,"`","")</f>
        <v/>
      </c>
      <c r="BF76" s="147" t="str">
        <f ca="1">IF(FP1=1,"`","")</f>
        <v/>
      </c>
      <c r="BG76" s="147" t="str">
        <f ca="1">IF(FP1=1,"`","")</f>
        <v/>
      </c>
      <c r="BH76" s="147" t="str">
        <f ca="1">IF(FP1=1,"`","")</f>
        <v/>
      </c>
      <c r="BI76" s="147" t="str">
        <f ca="1">IF(FP1=1,"`","")</f>
        <v/>
      </c>
      <c r="BJ76" s="147" t="str">
        <f ca="1">IF(FP1=1,"`","")</f>
        <v/>
      </c>
      <c r="BK76" s="147" t="str">
        <f ca="1">IF(FP1=1,"`","")</f>
        <v/>
      </c>
      <c r="BL76" s="147" t="str">
        <f ca="1">IF(FP1=1,"`","")</f>
        <v/>
      </c>
      <c r="BM76" s="147" t="str">
        <f ca="1">IF(FP1=1,"`","")</f>
        <v/>
      </c>
      <c r="BN76" s="147" t="str">
        <f ca="1">IF(FP1=1,"`","")</f>
        <v/>
      </c>
      <c r="BO76" s="147" t="str">
        <f ca="1">IF(FP1=1,"`","")</f>
        <v/>
      </c>
      <c r="BP76" s="147" t="str">
        <f ca="1">IF(FP1=1,"`","")</f>
        <v/>
      </c>
      <c r="BQ76" s="147" t="str">
        <f ca="1">IF(FP1=1,"`","")</f>
        <v/>
      </c>
      <c r="BR76" s="147" t="str">
        <f ca="1">IF(FP1=1,"`","")</f>
        <v/>
      </c>
      <c r="BS76" s="147" t="str">
        <f ca="1">IF(FP1=1,"`","")</f>
        <v/>
      </c>
      <c r="BT76" s="147" t="str">
        <f ca="1">IF(FP1=1,"`","")</f>
        <v/>
      </c>
      <c r="BU76" s="147" t="str">
        <f ca="1">IF(FP1=1,"`","")</f>
        <v/>
      </c>
      <c r="BV76" s="147" t="str">
        <f ca="1">IF(FP1=1,"`","")</f>
        <v/>
      </c>
      <c r="BW76" s="147" t="str">
        <f ca="1">IF(FP1=1,"`","")</f>
        <v/>
      </c>
      <c r="BX76" s="147" t="str">
        <f ca="1">IF(FP1=1,"`","")</f>
        <v/>
      </c>
      <c r="BY76" s="147" t="str">
        <f ca="1">IF(FP1=1,"`","")</f>
        <v/>
      </c>
      <c r="BZ76" s="147" t="str">
        <f ca="1">IF(FP1=1,"`","")</f>
        <v/>
      </c>
      <c r="CA76" s="147" t="str">
        <f ca="1">IF(FP1=1,"`","")</f>
        <v/>
      </c>
      <c r="CB76" s="147" t="str">
        <f ca="1">IF(FP1=1,"`","")</f>
        <v/>
      </c>
      <c r="CC76" s="147" t="str">
        <f ca="1">IF(FP1=1,"`","")</f>
        <v/>
      </c>
      <c r="CD76" s="147" t="str">
        <f ca="1">IF(FP1=1,"`","")</f>
        <v/>
      </c>
      <c r="CE76" s="147" t="str">
        <f ca="1">IF(FP1=1,"`","")</f>
        <v/>
      </c>
      <c r="CF76" s="147" t="str">
        <f ca="1">IF(FP1=1,"`","")</f>
        <v/>
      </c>
      <c r="CG76" s="147" t="str">
        <f ca="1">IF(FP1=1,"`","")</f>
        <v/>
      </c>
      <c r="CH76" s="147" t="str">
        <f ca="1">IF(FP1=1,"`","")</f>
        <v/>
      </c>
      <c r="CI76" s="147" t="str">
        <f ca="1">IF(FP1=1,"`","")</f>
        <v/>
      </c>
      <c r="CJ76" s="147" t="str">
        <f ca="1">IF(FP1=1,"`","")</f>
        <v/>
      </c>
      <c r="CK76" s="147" t="str">
        <f ca="1">IF(FP1=1,"`","")</f>
        <v/>
      </c>
      <c r="CL76" s="147" t="str">
        <f ca="1">IF(FP1=1,"`","")</f>
        <v/>
      </c>
      <c r="CM76" s="147" t="str">
        <f ca="1">IF(FP1=1,"`","")</f>
        <v/>
      </c>
      <c r="CN76" s="147" t="str">
        <f ca="1">IF(FP1=1,"`","")</f>
        <v/>
      </c>
      <c r="CO76" s="147" t="str">
        <f ca="1">IF(FP1=1,"`","")</f>
        <v/>
      </c>
      <c r="CP76" s="147" t="str">
        <f ca="1">IF(FP1=1,"`","")</f>
        <v/>
      </c>
      <c r="CQ76" s="147" t="str">
        <f ca="1">IF(FP1=1,"`","")</f>
        <v/>
      </c>
      <c r="CR76" s="147" t="str">
        <f ca="1">IF(FP1=1,"`","")</f>
        <v/>
      </c>
      <c r="CS76" s="147" t="str">
        <f ca="1">IF(FP1=1,"`","")</f>
        <v/>
      </c>
      <c r="CT76" s="147" t="str">
        <f ca="1">IF(FP1=1,"`","")</f>
        <v/>
      </c>
      <c r="CU76" s="147" t="str">
        <f ca="1">IF(FP1=1,"`","")</f>
        <v/>
      </c>
      <c r="CV76" s="147" t="str">
        <f ca="1">IF(FP1=1,"`","")</f>
        <v/>
      </c>
      <c r="CW76" s="147" t="str">
        <f ca="1">IF(FP1=1,"`","")</f>
        <v/>
      </c>
      <c r="CX76" s="147" t="str">
        <f ca="1">IF(FP1=1,"`","")</f>
        <v/>
      </c>
      <c r="CY76" s="147" t="str">
        <f ca="1">IF(FP1=1,"`","")</f>
        <v/>
      </c>
      <c r="CZ76" s="147" t="str">
        <f ca="1">IF(FP1=1,"`","")</f>
        <v/>
      </c>
      <c r="DA76" s="147" t="str">
        <f ca="1">IF(FP1=1,"`","")</f>
        <v/>
      </c>
      <c r="DB76" s="147" t="str">
        <f ca="1">IF(FP1=1,"`","")</f>
        <v/>
      </c>
      <c r="DC76" s="147" t="str">
        <f ca="1">IF(FP1=1,"`","")</f>
        <v/>
      </c>
      <c r="DD76" s="147" t="str">
        <f ca="1">IF(FP1=1,"`","")</f>
        <v/>
      </c>
      <c r="DE76" s="147" t="str">
        <f ca="1">IF(FP1=1,"`","")</f>
        <v/>
      </c>
      <c r="DF76" s="147" t="str">
        <f ca="1">IF(FP1=1,"`","")</f>
        <v/>
      </c>
      <c r="DG76" s="147" t="str">
        <f ca="1">IF(FP1=1,"`","")</f>
        <v/>
      </c>
      <c r="DH76" s="147" t="str">
        <f ca="1">IF(FP1=1,"`","")</f>
        <v/>
      </c>
      <c r="DI76" s="147" t="str">
        <f ca="1">IF(FP1=1,"`","")</f>
        <v/>
      </c>
      <c r="DJ76" s="147" t="str">
        <f ca="1">IF(FP1=1,"`","")</f>
        <v/>
      </c>
      <c r="DK76" s="147" t="str">
        <f ca="1">IF(FP1=1,"`","")</f>
        <v/>
      </c>
      <c r="DL76" s="147" t="str">
        <f ca="1">IF(FP1=1,"`","")</f>
        <v/>
      </c>
      <c r="DM76" s="147" t="str">
        <f ca="1">IF(FP1=1,"`","")</f>
        <v/>
      </c>
      <c r="DN76" s="147" t="str">
        <f ca="1">IF(FP1=1,"`","")</f>
        <v/>
      </c>
      <c r="DO76" s="147" t="str">
        <f ca="1">IF(FP1=1,"`","")</f>
        <v/>
      </c>
      <c r="DP76" s="147" t="str">
        <f ca="1">IF(FP1=1,"`","")</f>
        <v/>
      </c>
      <c r="DQ76" s="147" t="str">
        <f ca="1">IF(FP1=1,"`","")</f>
        <v/>
      </c>
      <c r="DR76" s="147" t="str">
        <f ca="1">IF(FP1=1,"`","")</f>
        <v/>
      </c>
      <c r="DS76" s="147" t="str">
        <f ca="1">IF(FP1=1,"`","")</f>
        <v/>
      </c>
      <c r="DT76" s="147" t="str">
        <f ca="1">IF(FP1=1,"`","")</f>
        <v/>
      </c>
      <c r="DU76" s="147" t="str">
        <f ca="1">IF(FP1=1,"`","")</f>
        <v/>
      </c>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126"/>
      <c r="EV76" s="126"/>
      <c r="EW76" s="126"/>
      <c r="EX76" s="126"/>
      <c r="EY76" s="126"/>
      <c r="EZ76" s="126"/>
      <c r="FA76" s="126"/>
      <c r="FB76" s="126"/>
      <c r="FC76" s="126"/>
      <c r="FD76" s="126"/>
      <c r="FE76" s="126"/>
      <c r="FF76" s="126"/>
      <c r="FG76" s="126"/>
      <c r="FH76" s="43"/>
      <c r="FI76" s="43"/>
      <c r="FJ76" s="43"/>
      <c r="FK76" s="43"/>
      <c r="FL76" s="10"/>
      <c r="FM76" s="168"/>
      <c r="FN76" s="168"/>
      <c r="FO76" s="168"/>
      <c r="FP76" s="168"/>
      <c r="FQ76" s="168"/>
      <c r="FR76" s="49"/>
      <c r="FS76" s="49"/>
      <c r="FT76" s="49"/>
      <c r="FU76" s="49"/>
      <c r="FV76" s="49"/>
      <c r="FW76" s="49"/>
      <c r="FX76" s="49"/>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78"/>
      <c r="HO76" s="78"/>
      <c r="HP76" s="78"/>
      <c r="HQ76" s="13"/>
      <c r="HR76" s="13"/>
      <c r="HS76" s="13"/>
      <c r="HT76" s="13"/>
      <c r="HU76" s="13"/>
      <c r="HV76" s="13"/>
      <c r="HW76" s="13"/>
      <c r="HX76" s="13"/>
      <c r="HY76" s="13"/>
      <c r="HZ76" s="13"/>
      <c r="IA76" s="13"/>
    </row>
    <row r="77" spans="1:235" ht="3.75" customHeight="1">
      <c r="A77" s="1"/>
      <c r="B77" s="3"/>
      <c r="C77" s="3"/>
      <c r="D77" s="12"/>
      <c r="E77" s="12"/>
      <c r="F77" s="10"/>
      <c r="G77" s="10"/>
      <c r="H77" s="10"/>
      <c r="I77" s="10"/>
      <c r="J77" s="10"/>
      <c r="K77" s="10"/>
      <c r="L77" s="10"/>
      <c r="M77" s="10"/>
      <c r="N77" s="126"/>
      <c r="O77" s="126"/>
      <c r="P77" s="126"/>
      <c r="Q77" s="197"/>
      <c r="R77" s="197"/>
      <c r="S77" s="126"/>
      <c r="T77" s="172"/>
      <c r="U77" s="197"/>
      <c r="V77" s="126"/>
      <c r="W77" s="126"/>
      <c r="X77" s="126"/>
      <c r="Y77" s="126"/>
      <c r="Z77" s="126"/>
      <c r="AA77" s="126"/>
      <c r="AB77" s="126"/>
      <c r="AC77" s="126"/>
      <c r="AD77" s="19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c r="BI77" s="147"/>
      <c r="BJ77" s="176"/>
      <c r="BK77" s="197"/>
      <c r="BL77" s="197"/>
      <c r="BM77" s="197"/>
      <c r="BN77" s="197"/>
      <c r="BO77" s="172"/>
      <c r="BP77" s="172"/>
      <c r="BQ77" s="126"/>
      <c r="BR77" s="126"/>
      <c r="BS77" s="126"/>
      <c r="BT77" s="126"/>
      <c r="BU77" s="126"/>
      <c r="BV77" s="126"/>
      <c r="BW77" s="126"/>
      <c r="BX77" s="126"/>
      <c r="BY77" s="126"/>
      <c r="BZ77" s="126"/>
      <c r="CA77" s="126"/>
      <c r="CB77" s="126"/>
      <c r="CC77" s="126"/>
      <c r="CD77" s="126"/>
      <c r="CE77" s="126"/>
      <c r="CF77" s="126"/>
      <c r="CG77" s="126"/>
      <c r="CH77" s="126"/>
      <c r="CI77" s="126"/>
      <c r="CJ77" s="126"/>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197"/>
      <c r="EV77" s="126"/>
      <c r="EW77" s="126"/>
      <c r="EX77" s="126"/>
      <c r="EY77" s="126"/>
      <c r="EZ77" s="126"/>
      <c r="FA77" s="126"/>
      <c r="FB77" s="126"/>
      <c r="FC77" s="126"/>
      <c r="FD77" s="126"/>
      <c r="FE77" s="126"/>
      <c r="FF77" s="126"/>
      <c r="FG77" s="126"/>
      <c r="FH77" s="43"/>
      <c r="FI77" s="43"/>
      <c r="FJ77" s="43"/>
      <c r="FK77" s="43"/>
      <c r="FL77" s="10"/>
      <c r="FM77" s="168"/>
      <c r="FN77" s="168"/>
      <c r="FO77" s="168"/>
      <c r="FP77" s="168"/>
      <c r="FQ77" s="168"/>
      <c r="FR77" s="49"/>
      <c r="FS77" s="49"/>
      <c r="FT77" s="49"/>
      <c r="FU77" s="49"/>
      <c r="FV77" s="49"/>
      <c r="FW77" s="49"/>
      <c r="FX77" s="49"/>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78"/>
      <c r="HO77" s="78"/>
      <c r="HP77" s="78"/>
      <c r="HQ77" s="13"/>
      <c r="HR77" s="13"/>
      <c r="HS77" s="13"/>
      <c r="HT77" s="13"/>
      <c r="HU77" s="13"/>
      <c r="HV77" s="13"/>
      <c r="HW77" s="13"/>
      <c r="HX77" s="13"/>
      <c r="HY77" s="13"/>
      <c r="HZ77" s="13"/>
      <c r="IA77" s="13"/>
    </row>
    <row r="78" spans="1:235" ht="3.75" customHeight="1">
      <c r="A78" s="1"/>
      <c r="B78" s="3"/>
      <c r="C78" s="3"/>
      <c r="D78" s="12"/>
      <c r="E78" s="12"/>
      <c r="F78" s="10"/>
      <c r="G78" s="10"/>
      <c r="H78" s="10"/>
      <c r="I78" s="10"/>
      <c r="J78" s="10"/>
      <c r="K78" s="10"/>
      <c r="L78" s="10"/>
      <c r="M78" s="10"/>
      <c r="N78" s="126"/>
      <c r="O78" s="126"/>
      <c r="P78" s="126"/>
      <c r="Q78" s="197"/>
      <c r="R78" s="197"/>
      <c r="S78" s="126"/>
      <c r="T78" s="172"/>
      <c r="U78" s="197"/>
      <c r="V78" s="126"/>
      <c r="W78" s="126"/>
      <c r="X78" s="126"/>
      <c r="Y78" s="126"/>
      <c r="Z78" s="126"/>
      <c r="AA78" s="126"/>
      <c r="AB78" s="126"/>
      <c r="AC78" s="126"/>
      <c r="AD78" s="197"/>
      <c r="AE78" s="197"/>
      <c r="AF78" s="126"/>
      <c r="AG78" s="172"/>
      <c r="AH78" s="197"/>
      <c r="AI78" s="197"/>
      <c r="AJ78" s="197"/>
      <c r="AK78" s="43"/>
      <c r="AL78" s="43"/>
      <c r="AM78" s="43"/>
      <c r="AN78" s="177"/>
      <c r="AO78" s="197"/>
      <c r="AP78" s="197"/>
      <c r="AQ78" s="197"/>
      <c r="AR78" s="197"/>
      <c r="AS78" s="197"/>
      <c r="AT78" s="197"/>
      <c r="AU78" s="197"/>
      <c r="AV78" s="197"/>
      <c r="AW78" s="197"/>
      <c r="AX78" s="197"/>
      <c r="AY78" s="197"/>
      <c r="AZ78" s="197"/>
      <c r="BA78" s="197"/>
      <c r="BB78" s="197"/>
      <c r="BC78" s="197"/>
      <c r="BD78" s="197"/>
      <c r="BE78" s="197"/>
      <c r="BF78" s="197"/>
      <c r="BG78" s="197"/>
      <c r="BH78" s="197"/>
      <c r="BI78" s="178"/>
      <c r="BJ78" s="178"/>
      <c r="BK78" s="214"/>
      <c r="BL78" s="197"/>
      <c r="BM78" s="147" t="str">
        <f t="shared" ref="BM78:BM84" ca="1" si="44">IF($FN$28&gt;=4,"`",IF($FN$28=3,"`",""))</f>
        <v/>
      </c>
      <c r="BN78" s="197"/>
      <c r="BO78" s="172"/>
      <c r="BP78" s="172"/>
      <c r="BQ78" s="126"/>
      <c r="BR78" s="126"/>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147" t="str">
        <f t="shared" ref="CT78:CT84" ca="1" si="45">IF($FN$28&gt;=2,"",IF($FP$1=1,"`",""))</f>
        <v/>
      </c>
      <c r="CU78" s="43"/>
      <c r="CV78" s="43"/>
      <c r="CW78" s="43"/>
      <c r="CX78" s="43"/>
      <c r="CY78" s="43"/>
      <c r="CZ78" s="43"/>
      <c r="DA78" s="43"/>
      <c r="DB78" s="43"/>
      <c r="DC78" s="43"/>
      <c r="DD78" s="714" t="str">
        <f ca="1">IF(FP1=1,"hoeveelheid","")</f>
        <v/>
      </c>
      <c r="DE78" s="715"/>
      <c r="DF78" s="715"/>
      <c r="DG78" s="715"/>
      <c r="DH78" s="715"/>
      <c r="DI78" s="715"/>
      <c r="DJ78" s="715"/>
      <c r="DK78" s="715"/>
      <c r="DL78" s="715"/>
      <c r="DM78" s="715"/>
      <c r="DN78" s="715"/>
      <c r="DO78" s="715"/>
      <c r="DP78" s="715"/>
      <c r="DQ78" s="715"/>
      <c r="DR78" s="715"/>
      <c r="DS78" s="715"/>
      <c r="DT78" s="715"/>
      <c r="DU78" s="715"/>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197"/>
      <c r="EV78" s="126"/>
      <c r="EW78" s="126"/>
      <c r="EX78" s="126"/>
      <c r="EY78" s="126"/>
      <c r="EZ78" s="126"/>
      <c r="FA78" s="126"/>
      <c r="FB78" s="126"/>
      <c r="FC78" s="126"/>
      <c r="FD78" s="126"/>
      <c r="FE78" s="126"/>
      <c r="FF78" s="126"/>
      <c r="FG78" s="126"/>
      <c r="FH78" s="43"/>
      <c r="FI78" s="43"/>
      <c r="FJ78" s="43"/>
      <c r="FK78" s="43"/>
      <c r="FL78" s="10"/>
      <c r="FM78" s="168"/>
      <c r="FN78" s="168"/>
      <c r="FO78" s="168"/>
      <c r="FP78" s="168"/>
      <c r="FQ78" s="168"/>
      <c r="FR78" s="49"/>
      <c r="FS78" s="49"/>
      <c r="FT78" s="49"/>
      <c r="FU78" s="49"/>
      <c r="FV78" s="49"/>
      <c r="FW78" s="49"/>
      <c r="FX78" s="49"/>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78"/>
      <c r="HO78" s="78"/>
      <c r="HP78" s="78"/>
      <c r="HQ78" s="13"/>
      <c r="HR78" s="13"/>
      <c r="HS78" s="13"/>
      <c r="HT78" s="13"/>
      <c r="HU78" s="13"/>
      <c r="HV78" s="13"/>
      <c r="HW78" s="13"/>
      <c r="HX78" s="13"/>
      <c r="HY78" s="13"/>
      <c r="HZ78" s="13"/>
      <c r="IA78" s="13"/>
    </row>
    <row r="79" spans="1:235" ht="3.75" customHeight="1">
      <c r="A79" s="1"/>
      <c r="B79" s="3"/>
      <c r="C79" s="3"/>
      <c r="D79" s="12"/>
      <c r="E79" s="12"/>
      <c r="F79" s="10"/>
      <c r="G79" s="10"/>
      <c r="H79" s="10"/>
      <c r="I79" s="10"/>
      <c r="J79" s="10"/>
      <c r="K79" s="10"/>
      <c r="L79" s="10"/>
      <c r="M79" s="10"/>
      <c r="N79" s="126"/>
      <c r="O79" s="126"/>
      <c r="P79" s="126"/>
      <c r="Q79" s="197"/>
      <c r="R79" s="197"/>
      <c r="S79" s="126"/>
      <c r="T79" s="172"/>
      <c r="U79" s="197"/>
      <c r="V79" s="126"/>
      <c r="W79" s="126"/>
      <c r="X79" s="126"/>
      <c r="Y79" s="126"/>
      <c r="Z79" s="126"/>
      <c r="AA79" s="126"/>
      <c r="AB79" s="126"/>
      <c r="AC79" s="126"/>
      <c r="AD79" s="197"/>
      <c r="AE79" s="197"/>
      <c r="AF79" s="126"/>
      <c r="AG79" s="172"/>
      <c r="AH79" s="197"/>
      <c r="AI79" s="197"/>
      <c r="AJ79" s="197"/>
      <c r="AK79" s="43"/>
      <c r="AL79" s="43"/>
      <c r="AM79" s="43"/>
      <c r="AN79" s="197"/>
      <c r="AO79" s="197"/>
      <c r="AP79" s="197"/>
      <c r="AQ79" s="197"/>
      <c r="AR79" s="197"/>
      <c r="AS79" s="197"/>
      <c r="AT79" s="197"/>
      <c r="AU79" s="197"/>
      <c r="AV79" s="197"/>
      <c r="AW79" s="197"/>
      <c r="AX79" s="197"/>
      <c r="AY79" s="197"/>
      <c r="AZ79" s="197"/>
      <c r="BA79" s="197"/>
      <c r="BB79" s="197"/>
      <c r="BC79" s="197"/>
      <c r="BD79" s="197"/>
      <c r="BE79" s="197"/>
      <c r="BF79" s="197"/>
      <c r="BG79" s="197"/>
      <c r="BH79" s="197"/>
      <c r="BI79" s="178"/>
      <c r="BJ79" s="178"/>
      <c r="BK79" s="214"/>
      <c r="BL79" s="147" t="str">
        <f ca="1">IF($FN$28&gt;=4,"`",IF($FN$28=3,"`",""))</f>
        <v/>
      </c>
      <c r="BM79" s="147" t="str">
        <f t="shared" ca="1" si="44"/>
        <v/>
      </c>
      <c r="BN79" s="147" t="str">
        <f ca="1">IF($FN$28&gt;=4,"`",IF($FN$28=3,"`",""))</f>
        <v/>
      </c>
      <c r="BO79" s="172"/>
      <c r="BP79" s="172"/>
      <c r="BQ79" s="126"/>
      <c r="BR79" s="126"/>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147" t="str">
        <f ca="1">IF($FN$28&gt;=2,"",IF($FP$1=1,"`",""))</f>
        <v/>
      </c>
      <c r="CT79" s="147" t="str">
        <f t="shared" ca="1" si="45"/>
        <v/>
      </c>
      <c r="CU79" s="147" t="str">
        <f ca="1">IF($FN$28&gt;=2,"",IF($FP$1=1,"`",""))</f>
        <v/>
      </c>
      <c r="CV79" s="43"/>
      <c r="CW79" s="43"/>
      <c r="CX79" s="43"/>
      <c r="CY79" s="43"/>
      <c r="CZ79" s="43"/>
      <c r="DA79" s="43"/>
      <c r="DB79" s="43"/>
      <c r="DC79" s="43"/>
      <c r="DD79" s="715"/>
      <c r="DE79" s="715"/>
      <c r="DF79" s="715"/>
      <c r="DG79" s="715"/>
      <c r="DH79" s="715"/>
      <c r="DI79" s="715"/>
      <c r="DJ79" s="715"/>
      <c r="DK79" s="715"/>
      <c r="DL79" s="715"/>
      <c r="DM79" s="715"/>
      <c r="DN79" s="715"/>
      <c r="DO79" s="715"/>
      <c r="DP79" s="715"/>
      <c r="DQ79" s="715"/>
      <c r="DR79" s="715"/>
      <c r="DS79" s="715"/>
      <c r="DT79" s="715"/>
      <c r="DU79" s="715"/>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197"/>
      <c r="EV79" s="126"/>
      <c r="EW79" s="126"/>
      <c r="EX79" s="126"/>
      <c r="EY79" s="126"/>
      <c r="EZ79" s="126"/>
      <c r="FA79" s="126"/>
      <c r="FB79" s="126"/>
      <c r="FC79" s="126"/>
      <c r="FD79" s="126"/>
      <c r="FE79" s="126"/>
      <c r="FF79" s="126"/>
      <c r="FG79" s="126"/>
      <c r="FH79" s="43"/>
      <c r="FI79" s="43"/>
      <c r="FJ79" s="43"/>
      <c r="FK79" s="43"/>
      <c r="FL79" s="10"/>
      <c r="FM79" s="168"/>
      <c r="FN79" s="168"/>
      <c r="FO79" s="168"/>
      <c r="FP79" s="168"/>
      <c r="FQ79" s="168"/>
      <c r="FR79" s="49"/>
      <c r="FS79" s="49"/>
      <c r="FT79" s="49"/>
      <c r="FU79" s="49"/>
      <c r="FV79" s="49"/>
      <c r="FW79" s="49"/>
      <c r="FX79" s="49"/>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78"/>
      <c r="HO79" s="78"/>
      <c r="HP79" s="78"/>
      <c r="HQ79" s="13"/>
      <c r="HR79" s="13"/>
      <c r="HS79" s="13"/>
      <c r="HT79" s="13"/>
      <c r="HU79" s="13"/>
      <c r="HV79" s="13"/>
      <c r="HW79" s="13"/>
      <c r="HX79" s="13"/>
      <c r="HY79" s="13"/>
      <c r="HZ79" s="13"/>
      <c r="IA79" s="13"/>
    </row>
    <row r="80" spans="1:235" ht="3.75" customHeight="1">
      <c r="A80" s="1"/>
      <c r="B80" s="3"/>
      <c r="C80" s="3"/>
      <c r="D80" s="12"/>
      <c r="E80" s="12"/>
      <c r="F80" s="10"/>
      <c r="G80" s="10"/>
      <c r="H80" s="10"/>
      <c r="I80" s="10"/>
      <c r="J80" s="10"/>
      <c r="K80" s="10"/>
      <c r="L80" s="10"/>
      <c r="M80" s="10"/>
      <c r="N80" s="126"/>
      <c r="O80" s="126"/>
      <c r="P80" s="126"/>
      <c r="Q80" s="197"/>
      <c r="R80" s="197"/>
      <c r="S80" s="126"/>
      <c r="T80" s="172"/>
      <c r="U80" s="197"/>
      <c r="V80" s="126"/>
      <c r="W80" s="126"/>
      <c r="X80" s="126"/>
      <c r="Y80" s="126"/>
      <c r="Z80" s="126"/>
      <c r="AA80" s="126"/>
      <c r="AB80" s="126"/>
      <c r="AC80" s="126"/>
      <c r="AD80" s="197"/>
      <c r="AE80" s="197"/>
      <c r="AF80" s="126"/>
      <c r="AG80" s="172"/>
      <c r="AH80" s="197"/>
      <c r="AI80" s="197"/>
      <c r="AJ80" s="197"/>
      <c r="AK80" s="43"/>
      <c r="AL80" s="43"/>
      <c r="AM80" s="43"/>
      <c r="AN80" s="197"/>
      <c r="AO80" s="197"/>
      <c r="AP80" s="197"/>
      <c r="AQ80" s="197"/>
      <c r="AR80" s="197"/>
      <c r="AS80" s="197"/>
      <c r="AT80" s="197"/>
      <c r="AU80" s="197"/>
      <c r="AV80" s="197"/>
      <c r="AW80" s="197"/>
      <c r="AX80" s="197"/>
      <c r="AY80" s="197"/>
      <c r="AZ80" s="197"/>
      <c r="BA80" s="197"/>
      <c r="BB80" s="197"/>
      <c r="BC80" s="197"/>
      <c r="BD80" s="197"/>
      <c r="BE80" s="197"/>
      <c r="BF80" s="197"/>
      <c r="BG80" s="197"/>
      <c r="BH80" s="197"/>
      <c r="BI80" s="178"/>
      <c r="BJ80" s="178"/>
      <c r="BK80" s="147" t="str">
        <f ca="1">IF($FN$28&gt;=4,"`",IF($FN$28=3,"`",""))</f>
        <v/>
      </c>
      <c r="BL80" s="147" t="str">
        <f ca="1">IF($FN$28&gt;=4,"`",IF($FN$28=3,"`",""))</f>
        <v/>
      </c>
      <c r="BM80" s="147" t="str">
        <f t="shared" ca="1" si="44"/>
        <v/>
      </c>
      <c r="BN80" s="147" t="str">
        <f ca="1">IF($FN$28&gt;=4,"`",IF($FN$28=3,"`",""))</f>
        <v/>
      </c>
      <c r="BO80" s="147" t="str">
        <f ca="1">IF($FN$28&gt;=4,"`",IF($FN$28=3,"`",""))</f>
        <v/>
      </c>
      <c r="BP80" s="172"/>
      <c r="BQ80" s="126"/>
      <c r="BR80" s="126"/>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147" t="str">
        <f ca="1">IF($FN$28&gt;=2,"",IF($FP$1=1,"`",""))</f>
        <v/>
      </c>
      <c r="CS80" s="147" t="str">
        <f ca="1">IF($FN$28&gt;=2,"",IF($FP$1=1,"`",""))</f>
        <v/>
      </c>
      <c r="CT80" s="147" t="str">
        <f t="shared" ca="1" si="45"/>
        <v/>
      </c>
      <c r="CU80" s="147" t="str">
        <f ca="1">IF($FN$28&gt;=2,"",IF($FP$1=1,"`",""))</f>
        <v/>
      </c>
      <c r="CV80" s="147" t="str">
        <f ca="1">IF($FN$28&gt;=2,"",IF($FP$1=1,"`",""))</f>
        <v/>
      </c>
      <c r="CW80" s="43"/>
      <c r="CX80" s="43"/>
      <c r="CY80" s="43"/>
      <c r="CZ80" s="43"/>
      <c r="DA80" s="43"/>
      <c r="DB80" s="43"/>
      <c r="DC80" s="43"/>
      <c r="DD80" s="715"/>
      <c r="DE80" s="715"/>
      <c r="DF80" s="715"/>
      <c r="DG80" s="715"/>
      <c r="DH80" s="715"/>
      <c r="DI80" s="715"/>
      <c r="DJ80" s="715"/>
      <c r="DK80" s="715"/>
      <c r="DL80" s="715"/>
      <c r="DM80" s="715"/>
      <c r="DN80" s="715"/>
      <c r="DO80" s="715"/>
      <c r="DP80" s="715"/>
      <c r="DQ80" s="715"/>
      <c r="DR80" s="715"/>
      <c r="DS80" s="715"/>
      <c r="DT80" s="715"/>
      <c r="DU80" s="715"/>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197"/>
      <c r="EV80" s="126"/>
      <c r="EW80" s="126"/>
      <c r="EX80" s="126"/>
      <c r="EY80" s="126"/>
      <c r="EZ80" s="126"/>
      <c r="FA80" s="126"/>
      <c r="FB80" s="126"/>
      <c r="FC80" s="126"/>
      <c r="FD80" s="126"/>
      <c r="FE80" s="126"/>
      <c r="FF80" s="126"/>
      <c r="FG80" s="126"/>
      <c r="FH80" s="43"/>
      <c r="FI80" s="43"/>
      <c r="FJ80" s="43"/>
      <c r="FK80" s="43"/>
      <c r="FL80" s="10"/>
      <c r="FM80" s="168"/>
      <c r="FN80" s="168"/>
      <c r="FO80" s="168"/>
      <c r="FP80" s="168"/>
      <c r="FQ80" s="168"/>
      <c r="FR80" s="49"/>
      <c r="FS80" s="49"/>
      <c r="FT80" s="49"/>
      <c r="FU80" s="49"/>
      <c r="FV80" s="49"/>
      <c r="FW80" s="49"/>
      <c r="FX80" s="49"/>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78"/>
      <c r="HO80" s="78"/>
      <c r="HP80" s="78"/>
      <c r="HQ80" s="13"/>
      <c r="HR80" s="13"/>
      <c r="HS80" s="13"/>
      <c r="HT80" s="13"/>
      <c r="HU80" s="13"/>
      <c r="HV80" s="13"/>
      <c r="HW80" s="13"/>
      <c r="HX80" s="13"/>
      <c r="HY80" s="13"/>
      <c r="HZ80" s="13"/>
      <c r="IA80" s="13"/>
    </row>
    <row r="81" spans="1:235" ht="3.75" customHeight="1">
      <c r="A81" s="1"/>
      <c r="B81" s="3"/>
      <c r="C81" s="3"/>
      <c r="D81" s="12"/>
      <c r="E81" s="12"/>
      <c r="F81" s="10"/>
      <c r="G81" s="10"/>
      <c r="H81" s="10"/>
      <c r="I81" s="10"/>
      <c r="J81" s="10"/>
      <c r="K81" s="10"/>
      <c r="L81" s="10"/>
      <c r="M81" s="10"/>
      <c r="N81" s="126"/>
      <c r="O81" s="126"/>
      <c r="P81" s="126"/>
      <c r="Q81" s="197"/>
      <c r="R81" s="197"/>
      <c r="S81" s="126"/>
      <c r="T81" s="172"/>
      <c r="U81" s="197"/>
      <c r="V81" s="126"/>
      <c r="W81" s="126"/>
      <c r="X81" s="126"/>
      <c r="Y81" s="126"/>
      <c r="Z81" s="126"/>
      <c r="AA81" s="126"/>
      <c r="AB81" s="126"/>
      <c r="AC81" s="126"/>
      <c r="AD81" s="197"/>
      <c r="AE81" s="197"/>
      <c r="AF81" s="126"/>
      <c r="AG81" s="172"/>
      <c r="AH81" s="197"/>
      <c r="AI81" s="197"/>
      <c r="AJ81" s="197"/>
      <c r="AK81" s="43"/>
      <c r="AL81" s="43"/>
      <c r="AM81" s="43"/>
      <c r="AN81" s="197"/>
      <c r="AO81" s="197"/>
      <c r="AP81" s="197"/>
      <c r="AQ81" s="197"/>
      <c r="AR81" s="197"/>
      <c r="AS81" s="197"/>
      <c r="AT81" s="197"/>
      <c r="AU81" s="197"/>
      <c r="AV81" s="197"/>
      <c r="AW81" s="197"/>
      <c r="AX81" s="197"/>
      <c r="AY81" s="197"/>
      <c r="AZ81" s="197"/>
      <c r="BA81" s="197"/>
      <c r="BB81" s="197"/>
      <c r="BC81" s="197"/>
      <c r="BD81" s="197"/>
      <c r="BE81" s="197"/>
      <c r="BF81" s="197"/>
      <c r="BG81" s="197"/>
      <c r="BH81" s="197"/>
      <c r="BI81" s="178"/>
      <c r="BJ81" s="178"/>
      <c r="BK81" s="214"/>
      <c r="BL81" s="197"/>
      <c r="BM81" s="147" t="str">
        <f t="shared" ca="1" si="44"/>
        <v/>
      </c>
      <c r="BN81" s="197"/>
      <c r="BO81" s="172"/>
      <c r="BP81" s="172"/>
      <c r="BQ81" s="126"/>
      <c r="BR81" s="126"/>
      <c r="BS81" s="43"/>
      <c r="BT81" s="43"/>
      <c r="BU81" s="43"/>
      <c r="BV81" s="43"/>
      <c r="BW81" s="43"/>
      <c r="BX81" s="43"/>
      <c r="BY81" s="43"/>
      <c r="BZ81" s="43"/>
      <c r="CA81" s="43"/>
      <c r="CB81" s="43"/>
      <c r="CC81" s="43"/>
      <c r="CD81" s="43"/>
      <c r="CE81" s="43"/>
      <c r="CF81" s="43"/>
      <c r="CG81" s="43"/>
      <c r="CH81" s="43"/>
      <c r="CI81" s="43"/>
      <c r="CJ81" s="43"/>
      <c r="CK81" s="126"/>
      <c r="CL81" s="126"/>
      <c r="CM81" s="126"/>
      <c r="CN81" s="197"/>
      <c r="CO81" s="197"/>
      <c r="CP81" s="126"/>
      <c r="CQ81" s="172"/>
      <c r="CR81" s="197"/>
      <c r="CS81" s="197"/>
      <c r="CT81" s="147" t="str">
        <f t="shared" ca="1" si="45"/>
        <v/>
      </c>
      <c r="CU81" s="43"/>
      <c r="CV81" s="43"/>
      <c r="CW81" s="43"/>
      <c r="CX81" s="43"/>
      <c r="CY81" s="43"/>
      <c r="CZ81" s="43"/>
      <c r="DA81" s="43"/>
      <c r="DB81" s="106"/>
      <c r="DC81" s="106"/>
      <c r="DD81" s="715"/>
      <c r="DE81" s="715"/>
      <c r="DF81" s="715"/>
      <c r="DG81" s="715"/>
      <c r="DH81" s="715"/>
      <c r="DI81" s="715"/>
      <c r="DJ81" s="715"/>
      <c r="DK81" s="715"/>
      <c r="DL81" s="715"/>
      <c r="DM81" s="715"/>
      <c r="DN81" s="715"/>
      <c r="DO81" s="715"/>
      <c r="DP81" s="715"/>
      <c r="DQ81" s="715"/>
      <c r="DR81" s="715"/>
      <c r="DS81" s="715"/>
      <c r="DT81" s="715"/>
      <c r="DU81" s="715"/>
      <c r="DV81" s="197"/>
      <c r="DW81" s="197"/>
      <c r="DX81" s="197"/>
      <c r="DY81" s="172"/>
      <c r="DZ81" s="172"/>
      <c r="EA81" s="126"/>
      <c r="EB81" s="126"/>
      <c r="EC81" s="214"/>
      <c r="ED81" s="214"/>
      <c r="EE81" s="214"/>
      <c r="EF81" s="214"/>
      <c r="EG81" s="214"/>
      <c r="EH81" s="214"/>
      <c r="EI81" s="214"/>
      <c r="EJ81" s="214"/>
      <c r="EK81" s="214"/>
      <c r="EL81" s="214"/>
      <c r="EM81" s="214"/>
      <c r="EN81" s="214"/>
      <c r="EO81" s="214"/>
      <c r="EP81" s="214"/>
      <c r="EQ81" s="214"/>
      <c r="ER81" s="214"/>
      <c r="ES81" s="214"/>
      <c r="ET81" s="214"/>
      <c r="EU81" s="197"/>
      <c r="EV81" s="126"/>
      <c r="EW81" s="126"/>
      <c r="EX81" s="126"/>
      <c r="EY81" s="126"/>
      <c r="EZ81" s="126"/>
      <c r="FA81" s="126"/>
      <c r="FB81" s="126"/>
      <c r="FC81" s="126"/>
      <c r="FD81" s="126"/>
      <c r="FE81" s="126"/>
      <c r="FF81" s="126"/>
      <c r="FG81" s="126"/>
      <c r="FH81" s="43"/>
      <c r="FI81" s="43"/>
      <c r="FJ81" s="43"/>
      <c r="FK81" s="43"/>
      <c r="FL81" s="10"/>
      <c r="FM81" s="168"/>
      <c r="FN81" s="168"/>
      <c r="FO81" s="79"/>
      <c r="FP81" s="168"/>
      <c r="FQ81" s="168"/>
      <c r="FR81" s="49"/>
      <c r="FS81" s="49"/>
      <c r="FT81" s="49"/>
      <c r="FU81" s="49"/>
      <c r="FV81" s="49"/>
      <c r="FW81" s="49"/>
      <c r="FX81" s="49"/>
      <c r="FY81" s="32"/>
      <c r="FZ81" s="32"/>
      <c r="GA81" s="32"/>
      <c r="GB81" s="32"/>
      <c r="GC81" s="32"/>
      <c r="GD81" s="32"/>
      <c r="GE81" s="32"/>
      <c r="GF81" s="32"/>
      <c r="GG81" s="32"/>
      <c r="GH81" s="32"/>
      <c r="GI81" s="32"/>
      <c r="GJ81" s="32"/>
      <c r="GK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78"/>
      <c r="HO81" s="78"/>
      <c r="HP81" s="78"/>
      <c r="HQ81" s="13"/>
      <c r="HR81" s="13"/>
      <c r="HS81" s="13"/>
      <c r="HT81" s="13"/>
      <c r="HU81" s="13"/>
      <c r="HV81" s="13"/>
      <c r="HW81" s="13"/>
      <c r="HX81" s="13"/>
      <c r="HY81" s="13"/>
      <c r="HZ81" s="13"/>
      <c r="IA81" s="13"/>
    </row>
    <row r="82" spans="1:235" ht="3.75" customHeight="1">
      <c r="A82" s="1"/>
      <c r="B82" s="3"/>
      <c r="C82" s="3"/>
      <c r="D82" s="12"/>
      <c r="E82" s="12"/>
      <c r="F82" s="10"/>
      <c r="G82" s="10"/>
      <c r="H82" s="10"/>
      <c r="I82" s="10"/>
      <c r="J82" s="10"/>
      <c r="K82" s="10"/>
      <c r="L82" s="10"/>
      <c r="M82" s="10"/>
      <c r="N82" s="126"/>
      <c r="O82" s="126"/>
      <c r="P82" s="126"/>
      <c r="Q82" s="197"/>
      <c r="R82" s="197"/>
      <c r="S82" s="126"/>
      <c r="T82" s="172"/>
      <c r="U82" s="197"/>
      <c r="V82" s="126"/>
      <c r="W82" s="126"/>
      <c r="X82" s="126"/>
      <c r="Y82" s="126"/>
      <c r="Z82" s="126"/>
      <c r="AA82" s="126"/>
      <c r="AB82" s="126"/>
      <c r="AC82" s="126"/>
      <c r="AD82" s="197"/>
      <c r="AE82" s="197"/>
      <c r="AF82" s="126"/>
      <c r="AG82" s="172"/>
      <c r="AH82" s="197"/>
      <c r="AI82" s="197"/>
      <c r="AJ82" s="197"/>
      <c r="AK82" s="43"/>
      <c r="AL82" s="43"/>
      <c r="AM82" s="43"/>
      <c r="AN82" s="197"/>
      <c r="AO82" s="197"/>
      <c r="AP82" s="197"/>
      <c r="AQ82" s="197"/>
      <c r="AR82" s="197"/>
      <c r="AS82" s="197"/>
      <c r="AT82" s="197"/>
      <c r="AU82" s="197"/>
      <c r="AV82" s="197"/>
      <c r="AW82" s="197"/>
      <c r="AX82" s="197"/>
      <c r="AY82" s="197"/>
      <c r="AZ82" s="197"/>
      <c r="BA82" s="197"/>
      <c r="BB82" s="197"/>
      <c r="BC82" s="197"/>
      <c r="BD82" s="197"/>
      <c r="BE82" s="197"/>
      <c r="BF82" s="197"/>
      <c r="BG82" s="197"/>
      <c r="BH82" s="197"/>
      <c r="BI82" s="178"/>
      <c r="BJ82" s="178"/>
      <c r="BK82" s="214"/>
      <c r="BL82" s="197"/>
      <c r="BM82" s="147" t="str">
        <f t="shared" ca="1" si="44"/>
        <v/>
      </c>
      <c r="BN82" s="197"/>
      <c r="BO82" s="172"/>
      <c r="BP82" s="172"/>
      <c r="BQ82" s="126"/>
      <c r="BR82" s="126"/>
      <c r="BS82" s="43"/>
      <c r="BT82" s="43"/>
      <c r="BU82" s="43"/>
      <c r="BV82" s="43"/>
      <c r="BW82" s="43"/>
      <c r="BX82" s="43"/>
      <c r="BY82" s="43"/>
      <c r="BZ82" s="43"/>
      <c r="CA82" s="43"/>
      <c r="CB82" s="43"/>
      <c r="CC82" s="43"/>
      <c r="CD82" s="43"/>
      <c r="CE82" s="43"/>
      <c r="CF82" s="43"/>
      <c r="CG82" s="43"/>
      <c r="CH82" s="43"/>
      <c r="CI82" s="43"/>
      <c r="CJ82" s="43"/>
      <c r="CK82" s="126"/>
      <c r="CL82" s="126"/>
      <c r="CM82" s="126"/>
      <c r="CN82" s="197"/>
      <c r="CO82" s="197"/>
      <c r="CP82" s="126"/>
      <c r="CQ82" s="172"/>
      <c r="CR82" s="197"/>
      <c r="CS82" s="197"/>
      <c r="CT82" s="147" t="str">
        <f t="shared" ca="1" si="45"/>
        <v/>
      </c>
      <c r="CU82" s="43"/>
      <c r="CV82" s="43"/>
      <c r="CW82" s="43"/>
      <c r="CX82" s="43"/>
      <c r="CY82" s="43"/>
      <c r="CZ82" s="43"/>
      <c r="DA82" s="43"/>
      <c r="DB82" s="106"/>
      <c r="DC82" s="106"/>
      <c r="DD82" s="126"/>
      <c r="DE82" s="126"/>
      <c r="DF82" s="126"/>
      <c r="DG82" s="126"/>
      <c r="DH82" s="126"/>
      <c r="DI82" s="126"/>
      <c r="DJ82" s="126"/>
      <c r="DK82" s="126"/>
      <c r="DL82" s="126"/>
      <c r="DM82" s="126"/>
      <c r="DN82" s="126"/>
      <c r="DO82" s="126"/>
      <c r="DP82" s="126"/>
      <c r="DQ82" s="126"/>
      <c r="DR82" s="126"/>
      <c r="DS82" s="126"/>
      <c r="DT82" s="126"/>
      <c r="DU82" s="126"/>
      <c r="DV82" s="197"/>
      <c r="DW82" s="197"/>
      <c r="DX82" s="197"/>
      <c r="DY82" s="172"/>
      <c r="DZ82" s="172"/>
      <c r="EA82" s="126"/>
      <c r="EB82" s="126"/>
      <c r="EC82" s="214"/>
      <c r="ED82" s="214"/>
      <c r="EE82" s="214"/>
      <c r="EF82" s="214"/>
      <c r="EG82" s="214"/>
      <c r="EH82" s="214"/>
      <c r="EI82" s="214"/>
      <c r="EJ82" s="214"/>
      <c r="EK82" s="214"/>
      <c r="EL82" s="214"/>
      <c r="EM82" s="214"/>
      <c r="EN82" s="214"/>
      <c r="EO82" s="214"/>
      <c r="EP82" s="214"/>
      <c r="EQ82" s="214"/>
      <c r="ER82" s="214"/>
      <c r="ES82" s="214"/>
      <c r="ET82" s="214"/>
      <c r="EU82" s="197"/>
      <c r="EV82" s="126"/>
      <c r="EW82" s="126"/>
      <c r="EX82" s="126"/>
      <c r="EY82" s="126"/>
      <c r="EZ82" s="126"/>
      <c r="FA82" s="126"/>
      <c r="FB82" s="126"/>
      <c r="FC82" s="126"/>
      <c r="FD82" s="126"/>
      <c r="FE82" s="126"/>
      <c r="FF82" s="126"/>
      <c r="FG82" s="126"/>
      <c r="FH82" s="43"/>
      <c r="FI82" s="43"/>
      <c r="FJ82" s="43"/>
      <c r="FK82" s="43"/>
      <c r="FL82" s="10"/>
      <c r="FM82" s="168"/>
      <c r="FN82" s="168"/>
      <c r="FO82" s="79"/>
      <c r="FP82" s="168"/>
      <c r="FQ82" s="168"/>
      <c r="FR82" s="49"/>
      <c r="FS82" s="49"/>
      <c r="FT82" s="49"/>
      <c r="FU82" s="49"/>
      <c r="FV82" s="49"/>
      <c r="FW82" s="49"/>
      <c r="FX82" s="49"/>
      <c r="FY82" s="32"/>
      <c r="FZ82" s="32"/>
      <c r="GA82" s="32"/>
      <c r="GB82" s="32"/>
      <c r="GC82" s="32"/>
      <c r="GD82" s="32"/>
      <c r="GE82" s="32"/>
      <c r="GF82" s="32"/>
      <c r="GG82" s="32"/>
      <c r="GH82" s="32"/>
      <c r="GI82" s="32"/>
      <c r="GJ82" s="32"/>
      <c r="GK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78"/>
      <c r="HO82" s="78"/>
      <c r="HP82" s="78"/>
      <c r="HQ82" s="13"/>
      <c r="HR82" s="13"/>
      <c r="HS82" s="13"/>
      <c r="HT82" s="13"/>
      <c r="HU82" s="13"/>
      <c r="HV82" s="13"/>
      <c r="HW82" s="13"/>
      <c r="HX82" s="13"/>
      <c r="HY82" s="13"/>
      <c r="HZ82" s="13"/>
      <c r="IA82" s="13"/>
    </row>
    <row r="83" spans="1:235" ht="3.75" customHeight="1">
      <c r="A83" s="1"/>
      <c r="B83" s="3"/>
      <c r="C83" s="3"/>
      <c r="D83" s="12"/>
      <c r="E83" s="12"/>
      <c r="F83" s="10"/>
      <c r="G83" s="10"/>
      <c r="H83" s="10"/>
      <c r="I83" s="10"/>
      <c r="J83" s="10"/>
      <c r="K83" s="10"/>
      <c r="L83" s="10"/>
      <c r="M83" s="10"/>
      <c r="N83" s="126"/>
      <c r="O83" s="126"/>
      <c r="P83" s="126"/>
      <c r="Q83" s="197"/>
      <c r="R83" s="197"/>
      <c r="S83" s="126"/>
      <c r="T83" s="172"/>
      <c r="U83" s="197"/>
      <c r="V83" s="126"/>
      <c r="W83" s="126"/>
      <c r="X83" s="126"/>
      <c r="Y83" s="126"/>
      <c r="Z83" s="126"/>
      <c r="AA83" s="126"/>
      <c r="AB83" s="126"/>
      <c r="AC83" s="126"/>
      <c r="AD83" s="197"/>
      <c r="AE83" s="197"/>
      <c r="AF83" s="126"/>
      <c r="AG83" s="172"/>
      <c r="AH83" s="197"/>
      <c r="AI83" s="197"/>
      <c r="AJ83" s="197"/>
      <c r="AK83" s="43"/>
      <c r="AL83" s="43"/>
      <c r="AM83" s="43"/>
      <c r="AN83" s="197"/>
      <c r="AO83" s="197"/>
      <c r="AP83" s="197"/>
      <c r="AQ83" s="197"/>
      <c r="AR83" s="197"/>
      <c r="AS83" s="197"/>
      <c r="AT83" s="197"/>
      <c r="AU83" s="197"/>
      <c r="AV83" s="197"/>
      <c r="AW83" s="197"/>
      <c r="AX83" s="197"/>
      <c r="AY83" s="197"/>
      <c r="AZ83" s="197"/>
      <c r="BA83" s="197"/>
      <c r="BB83" s="197"/>
      <c r="BC83" s="197"/>
      <c r="BD83" s="197"/>
      <c r="BE83" s="197"/>
      <c r="BF83" s="197"/>
      <c r="BG83" s="197"/>
      <c r="BH83" s="197"/>
      <c r="BI83" s="178"/>
      <c r="BJ83" s="178"/>
      <c r="BK83" s="214"/>
      <c r="BL83" s="197"/>
      <c r="BM83" s="147" t="str">
        <f t="shared" ca="1" si="44"/>
        <v/>
      </c>
      <c r="BN83" s="197"/>
      <c r="BO83" s="172"/>
      <c r="BP83" s="172"/>
      <c r="BQ83" s="126"/>
      <c r="BR83" s="126"/>
      <c r="BS83" s="43"/>
      <c r="BT83" s="43"/>
      <c r="BU83" s="43"/>
      <c r="BV83" s="43"/>
      <c r="BW83" s="43"/>
      <c r="BX83" s="43"/>
      <c r="BY83" s="43"/>
      <c r="BZ83" s="43"/>
      <c r="CA83" s="43"/>
      <c r="CB83" s="43"/>
      <c r="CC83" s="43"/>
      <c r="CD83" s="43"/>
      <c r="CE83" s="43"/>
      <c r="CF83" s="43"/>
      <c r="CG83" s="43"/>
      <c r="CH83" s="43"/>
      <c r="CI83" s="43"/>
      <c r="CJ83" s="43"/>
      <c r="CK83" s="126"/>
      <c r="CL83" s="126"/>
      <c r="CM83" s="126"/>
      <c r="CN83" s="197"/>
      <c r="CO83" s="197"/>
      <c r="CP83" s="126"/>
      <c r="CQ83" s="172"/>
      <c r="CR83" s="197"/>
      <c r="CS83" s="197"/>
      <c r="CT83" s="147" t="str">
        <f t="shared" ca="1" si="45"/>
        <v/>
      </c>
      <c r="CU83" s="43"/>
      <c r="CV83" s="43"/>
      <c r="CW83" s="43"/>
      <c r="CX83" s="43"/>
      <c r="CY83" s="43"/>
      <c r="CZ83" s="43"/>
      <c r="DA83" s="43"/>
      <c r="DB83" s="106"/>
      <c r="DC83" s="106"/>
      <c r="DD83" s="126"/>
      <c r="DE83" s="126"/>
      <c r="DF83" s="126"/>
      <c r="DG83" s="126"/>
      <c r="DH83" s="126"/>
      <c r="DI83" s="126"/>
      <c r="DJ83" s="126"/>
      <c r="DK83" s="126"/>
      <c r="DL83" s="126"/>
      <c r="DM83" s="126"/>
      <c r="DN83" s="126"/>
      <c r="DO83" s="126"/>
      <c r="DP83" s="126"/>
      <c r="DQ83" s="126"/>
      <c r="DR83" s="126"/>
      <c r="DS83" s="126"/>
      <c r="DT83" s="126"/>
      <c r="DU83" s="126"/>
      <c r="DV83" s="197"/>
      <c r="DW83" s="197"/>
      <c r="DX83" s="197"/>
      <c r="DY83" s="172"/>
      <c r="DZ83" s="172"/>
      <c r="EA83" s="126"/>
      <c r="EB83" s="126"/>
      <c r="EC83" s="214"/>
      <c r="ED83" s="214"/>
      <c r="EE83" s="214"/>
      <c r="EF83" s="214"/>
      <c r="EG83" s="214"/>
      <c r="EH83" s="214"/>
      <c r="EI83" s="214"/>
      <c r="EJ83" s="214"/>
      <c r="EK83" s="214"/>
      <c r="EL83" s="214"/>
      <c r="EM83" s="214"/>
      <c r="EN83" s="214"/>
      <c r="EO83" s="214"/>
      <c r="EP83" s="214"/>
      <c r="EQ83" s="214"/>
      <c r="ER83" s="214"/>
      <c r="ES83" s="214"/>
      <c r="ET83" s="214"/>
      <c r="EU83" s="197"/>
      <c r="EV83" s="126"/>
      <c r="EW83" s="126"/>
      <c r="EX83" s="126"/>
      <c r="EY83" s="126"/>
      <c r="EZ83" s="126"/>
      <c r="FA83" s="126"/>
      <c r="FB83" s="126"/>
      <c r="FC83" s="126"/>
      <c r="FD83" s="126"/>
      <c r="FE83" s="126"/>
      <c r="FF83" s="126"/>
      <c r="FG83" s="126"/>
      <c r="FH83" s="43"/>
      <c r="FI83" s="43"/>
      <c r="FJ83" s="43"/>
      <c r="FK83" s="43"/>
      <c r="FL83" s="10"/>
      <c r="FM83" s="168"/>
      <c r="FN83" s="168"/>
      <c r="FO83" s="79"/>
      <c r="FP83" s="168"/>
      <c r="FQ83" s="168"/>
      <c r="FR83" s="49"/>
      <c r="FS83" s="49"/>
      <c r="FT83" s="49"/>
      <c r="FU83" s="49"/>
      <c r="FV83" s="49"/>
      <c r="FW83" s="49"/>
      <c r="FX83" s="49"/>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78"/>
      <c r="HO83" s="78"/>
      <c r="HP83" s="78"/>
      <c r="HQ83" s="13"/>
      <c r="HR83" s="13"/>
      <c r="HS83" s="13"/>
      <c r="HT83" s="13"/>
      <c r="HU83" s="13"/>
      <c r="HV83" s="13"/>
      <c r="HW83" s="13"/>
      <c r="HX83" s="13"/>
      <c r="HY83" s="13"/>
      <c r="HZ83" s="13"/>
      <c r="IA83" s="13"/>
    </row>
    <row r="84" spans="1:235" ht="3.75" customHeight="1">
      <c r="A84" s="1"/>
      <c r="B84" s="3"/>
      <c r="C84" s="3"/>
      <c r="D84" s="12"/>
      <c r="E84" s="12"/>
      <c r="F84" s="10"/>
      <c r="G84" s="10"/>
      <c r="H84" s="10"/>
      <c r="I84" s="10"/>
      <c r="J84" s="10"/>
      <c r="K84" s="10"/>
      <c r="L84" s="10"/>
      <c r="M84" s="10"/>
      <c r="N84" s="126"/>
      <c r="O84" s="126"/>
      <c r="P84" s="126"/>
      <c r="Q84" s="197"/>
      <c r="R84" s="197"/>
      <c r="S84" s="126"/>
      <c r="T84" s="172"/>
      <c r="U84" s="197"/>
      <c r="V84" s="126"/>
      <c r="W84" s="126"/>
      <c r="X84" s="126"/>
      <c r="Y84" s="126"/>
      <c r="Z84" s="126"/>
      <c r="AA84" s="126"/>
      <c r="AB84" s="126"/>
      <c r="AC84" s="126"/>
      <c r="AD84" s="197"/>
      <c r="AE84" s="197"/>
      <c r="AF84" s="126"/>
      <c r="AG84" s="172"/>
      <c r="AH84" s="197"/>
      <c r="AI84" s="197"/>
      <c r="AJ84" s="197"/>
      <c r="AK84" s="43"/>
      <c r="AL84" s="43"/>
      <c r="AM84" s="43"/>
      <c r="AN84" s="197"/>
      <c r="AO84" s="197"/>
      <c r="AP84" s="197"/>
      <c r="AQ84" s="197"/>
      <c r="AR84" s="197"/>
      <c r="AS84" s="197"/>
      <c r="AT84" s="197"/>
      <c r="AU84" s="197"/>
      <c r="AV84" s="197"/>
      <c r="AW84" s="197"/>
      <c r="AX84" s="197"/>
      <c r="AY84" s="197"/>
      <c r="AZ84" s="197"/>
      <c r="BA84" s="197"/>
      <c r="BB84" s="197"/>
      <c r="BC84" s="197"/>
      <c r="BD84" s="197"/>
      <c r="BE84" s="197"/>
      <c r="BF84" s="197"/>
      <c r="BG84" s="197"/>
      <c r="BH84" s="197"/>
      <c r="BI84" s="178"/>
      <c r="BJ84" s="178"/>
      <c r="BK84" s="214"/>
      <c r="BL84" s="197"/>
      <c r="BM84" s="147" t="str">
        <f t="shared" ca="1" si="44"/>
        <v/>
      </c>
      <c r="BN84" s="197"/>
      <c r="BO84" s="172"/>
      <c r="BP84" s="172"/>
      <c r="BQ84" s="126"/>
      <c r="BR84" s="126"/>
      <c r="BS84" s="43"/>
      <c r="BT84" s="43"/>
      <c r="BU84" s="43"/>
      <c r="BV84" s="43"/>
      <c r="BW84" s="43"/>
      <c r="BX84" s="43"/>
      <c r="BY84" s="43"/>
      <c r="BZ84" s="43"/>
      <c r="CA84" s="43"/>
      <c r="CB84" s="43"/>
      <c r="CC84" s="43"/>
      <c r="CD84" s="43"/>
      <c r="CE84" s="43"/>
      <c r="CF84" s="43"/>
      <c r="CG84" s="43"/>
      <c r="CH84" s="43"/>
      <c r="CI84" s="43"/>
      <c r="CJ84" s="43"/>
      <c r="CK84" s="126"/>
      <c r="CL84" s="126"/>
      <c r="CM84" s="126"/>
      <c r="CN84" s="197"/>
      <c r="CO84" s="197"/>
      <c r="CP84" s="126"/>
      <c r="CQ84" s="172"/>
      <c r="CR84" s="197"/>
      <c r="CS84" s="197"/>
      <c r="CT84" s="147" t="str">
        <f t="shared" ca="1" si="45"/>
        <v/>
      </c>
      <c r="CU84" s="43"/>
      <c r="CV84" s="43"/>
      <c r="CW84" s="43"/>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214"/>
      <c r="EJ84" s="214"/>
      <c r="EK84" s="214"/>
      <c r="EL84" s="214"/>
      <c r="EM84" s="214"/>
      <c r="EN84" s="214"/>
      <c r="EO84" s="214"/>
      <c r="EP84" s="214"/>
      <c r="EQ84" s="214"/>
      <c r="ER84" s="214"/>
      <c r="ES84" s="214"/>
      <c r="ET84" s="214"/>
      <c r="EU84" s="197"/>
      <c r="EV84" s="126"/>
      <c r="EW84" s="126"/>
      <c r="EX84" s="126"/>
      <c r="EY84" s="126"/>
      <c r="EZ84" s="126"/>
      <c r="FA84" s="126"/>
      <c r="FB84" s="126"/>
      <c r="FC84" s="126"/>
      <c r="FD84" s="126"/>
      <c r="FE84" s="126"/>
      <c r="FF84" s="126"/>
      <c r="FG84" s="126"/>
      <c r="FH84" s="43"/>
      <c r="FI84" s="43"/>
      <c r="FJ84" s="43"/>
      <c r="FK84" s="43"/>
      <c r="FL84" s="10"/>
      <c r="FM84" s="168"/>
      <c r="FN84" s="168"/>
      <c r="FO84" s="79"/>
      <c r="FP84" s="168"/>
      <c r="FQ84" s="168"/>
      <c r="FR84" s="49"/>
      <c r="FS84" s="49"/>
      <c r="FT84" s="49"/>
      <c r="FU84" s="49"/>
      <c r="FV84" s="49"/>
      <c r="FW84" s="49"/>
      <c r="FX84" s="49"/>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78"/>
      <c r="HO84" s="78"/>
      <c r="HP84" s="78"/>
      <c r="HQ84" s="13"/>
      <c r="HR84" s="13"/>
      <c r="HS84" s="13"/>
      <c r="HT84" s="13"/>
      <c r="HU84" s="13"/>
      <c r="HV84" s="13"/>
      <c r="HW84" s="13"/>
      <c r="HX84" s="13"/>
      <c r="HY84" s="13"/>
      <c r="HZ84" s="13"/>
      <c r="IA84" s="13"/>
    </row>
    <row r="85" spans="1:235" ht="15.75" customHeight="1">
      <c r="A85" s="1"/>
      <c r="B85" s="3"/>
      <c r="C85" s="3"/>
      <c r="D85" s="12"/>
      <c r="E85" s="12"/>
      <c r="F85" s="10"/>
      <c r="G85" s="10"/>
      <c r="H85" s="10"/>
      <c r="I85" s="10"/>
      <c r="J85" s="10"/>
      <c r="K85" s="10"/>
      <c r="L85" s="10"/>
      <c r="M85" s="10"/>
      <c r="N85" s="10"/>
      <c r="O85" s="10"/>
      <c r="P85" s="10"/>
      <c r="Q85" s="25"/>
      <c r="R85" s="25"/>
      <c r="S85" s="10"/>
      <c r="T85" s="171"/>
      <c r="U85" s="197"/>
      <c r="V85" s="126"/>
      <c r="W85" s="126"/>
      <c r="X85" s="126"/>
      <c r="Y85" s="126"/>
      <c r="Z85" s="126"/>
      <c r="AA85" s="126"/>
      <c r="AB85" s="126"/>
      <c r="AC85" s="126"/>
      <c r="AD85" s="197"/>
      <c r="AE85" s="197"/>
      <c r="AF85" s="126"/>
      <c r="AG85" s="172"/>
      <c r="AH85" s="197"/>
      <c r="AI85" s="197"/>
      <c r="AJ85" s="197"/>
      <c r="AK85" s="43"/>
      <c r="AL85" s="43"/>
      <c r="AM85" s="43"/>
      <c r="AN85" s="197"/>
      <c r="AO85" s="197"/>
      <c r="AP85" s="197"/>
      <c r="AQ85" s="197"/>
      <c r="AR85" s="197"/>
      <c r="AS85" s="197"/>
      <c r="AT85" s="197"/>
      <c r="AU85" s="197"/>
      <c r="AV85" s="197"/>
      <c r="AW85" s="197"/>
      <c r="AX85" s="197"/>
      <c r="AY85" s="197"/>
      <c r="AZ85" s="197"/>
      <c r="BA85" s="197"/>
      <c r="BB85" s="197"/>
      <c r="BC85" s="197"/>
      <c r="BD85" s="197"/>
      <c r="BE85" s="197"/>
      <c r="BF85" s="197"/>
      <c r="BG85" s="197"/>
      <c r="BH85" s="197"/>
      <c r="BI85" s="178"/>
      <c r="BJ85" s="178"/>
      <c r="BK85" s="214"/>
      <c r="BL85" s="197"/>
      <c r="BM85" s="150" t="str">
        <f ca="1">IF($FN$28&gt;=4,"aanbod",IF($FN$28=3,"aanbod",""))</f>
        <v/>
      </c>
      <c r="BN85" s="197"/>
      <c r="BO85" s="172"/>
      <c r="BP85" s="172"/>
      <c r="BQ85" s="126"/>
      <c r="BR85" s="126"/>
      <c r="BS85" s="43"/>
      <c r="BT85" s="43"/>
      <c r="BU85" s="43"/>
      <c r="BV85" s="43"/>
      <c r="BW85" s="43"/>
      <c r="BX85" s="43"/>
      <c r="BY85" s="43"/>
      <c r="BZ85" s="43"/>
      <c r="CA85" s="43"/>
      <c r="CB85" s="43"/>
      <c r="CC85" s="43"/>
      <c r="CD85" s="43"/>
      <c r="CE85" s="43"/>
      <c r="CF85" s="43"/>
      <c r="CG85" s="43"/>
      <c r="CH85" s="43"/>
      <c r="CI85" s="43"/>
      <c r="CJ85" s="43"/>
      <c r="CK85" s="126"/>
      <c r="CL85" s="126"/>
      <c r="CM85" s="126"/>
      <c r="CN85" s="197"/>
      <c r="CO85" s="197"/>
      <c r="CP85" s="126"/>
      <c r="CQ85" s="172"/>
      <c r="CR85" s="197"/>
      <c r="CS85" s="197"/>
      <c r="CT85" s="150" t="str">
        <f ca="1">IF($FN$28&gt;=2,"",IF($FP$1=1,"Q ev",""))</f>
        <v/>
      </c>
      <c r="CU85" s="43"/>
      <c r="CV85" s="43"/>
      <c r="CW85" s="43"/>
      <c r="CX85" s="79"/>
      <c r="CY85" s="79"/>
      <c r="CZ85" s="79"/>
      <c r="DA85" s="79"/>
      <c r="DB85" s="79"/>
      <c r="DC85" s="79"/>
      <c r="DD85" s="79"/>
      <c r="DE85" s="79"/>
      <c r="DF85" s="79"/>
      <c r="DG85" s="79"/>
      <c r="DH85" s="79"/>
      <c r="DI85" s="79"/>
      <c r="DJ85" s="79"/>
      <c r="DK85" s="79"/>
      <c r="DL85" s="79"/>
      <c r="DM85" s="79"/>
      <c r="DN85" s="79"/>
      <c r="DO85" s="79"/>
      <c r="DP85" s="79"/>
      <c r="DQ85" s="79"/>
      <c r="DR85" s="79"/>
      <c r="DS85" s="79"/>
      <c r="DT85" s="79"/>
      <c r="DU85" s="79"/>
      <c r="DV85" s="79"/>
      <c r="DW85" s="79"/>
      <c r="DX85" s="79"/>
      <c r="DY85" s="79"/>
      <c r="DZ85" s="79"/>
      <c r="EA85" s="79"/>
      <c r="EB85" s="79"/>
      <c r="EC85" s="79"/>
      <c r="ED85" s="79"/>
      <c r="EE85" s="79"/>
      <c r="EF85" s="79"/>
      <c r="EG85" s="79"/>
      <c r="EH85" s="79"/>
      <c r="EI85" s="214"/>
      <c r="EJ85" s="214"/>
      <c r="EK85" s="214"/>
      <c r="EL85" s="214"/>
      <c r="EM85" s="214"/>
      <c r="EN85" s="214"/>
      <c r="EO85" s="214"/>
      <c r="EP85" s="214"/>
      <c r="EQ85" s="214"/>
      <c r="ER85" s="214"/>
      <c r="ES85" s="214"/>
      <c r="ET85" s="214"/>
      <c r="EU85" s="197"/>
      <c r="EV85" s="126"/>
      <c r="EW85" s="126"/>
      <c r="EX85" s="126"/>
      <c r="EY85" s="126"/>
      <c r="EZ85" s="126"/>
      <c r="FA85" s="126"/>
      <c r="FB85" s="126"/>
      <c r="FC85" s="10"/>
      <c r="FD85" s="10"/>
      <c r="FE85" s="10"/>
      <c r="FF85" s="10"/>
      <c r="FG85" s="10"/>
      <c r="FH85" s="26"/>
      <c r="FI85" s="26"/>
      <c r="FJ85" s="26"/>
      <c r="FK85" s="26"/>
      <c r="FL85" s="10"/>
      <c r="FM85" s="168"/>
      <c r="FN85" s="168"/>
      <c r="FO85" s="79"/>
      <c r="FP85" s="168"/>
      <c r="FQ85" s="168"/>
      <c r="FR85" s="49"/>
      <c r="FS85" s="49"/>
      <c r="FT85" s="49"/>
      <c r="FU85" s="49"/>
      <c r="FV85" s="49"/>
      <c r="FW85" s="49"/>
      <c r="FX85" s="49"/>
      <c r="FY85" s="32"/>
      <c r="FZ85" s="32"/>
      <c r="GA85" s="32"/>
      <c r="GB85" s="32"/>
      <c r="GC85" s="32"/>
      <c r="GD85" s="32"/>
      <c r="GE85" s="32"/>
      <c r="GF85" s="32"/>
      <c r="GG85" s="32"/>
      <c r="GH85" s="32"/>
      <c r="GI85" s="32"/>
      <c r="GJ85" s="32"/>
      <c r="GK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78"/>
      <c r="HO85" s="78"/>
      <c r="HP85" s="78"/>
      <c r="HQ85" s="13"/>
      <c r="HR85" s="13"/>
      <c r="HS85" s="13"/>
      <c r="HT85" s="13"/>
      <c r="HU85" s="13"/>
      <c r="HV85" s="13"/>
      <c r="HW85" s="13"/>
      <c r="HX85" s="13"/>
      <c r="HY85" s="13"/>
      <c r="HZ85" s="13"/>
      <c r="IA85" s="13"/>
    </row>
    <row r="86" spans="1:235" ht="13.5" hidden="1" customHeight="1">
      <c r="A86" s="1"/>
      <c r="B86" s="3"/>
      <c r="C86" s="3"/>
      <c r="D86" s="12"/>
      <c r="E86" s="12"/>
      <c r="F86" s="10"/>
      <c r="G86" s="10"/>
      <c r="H86" s="10"/>
      <c r="I86" s="10"/>
      <c r="J86" s="10"/>
      <c r="K86" s="10"/>
      <c r="L86" s="10"/>
      <c r="M86" s="10"/>
      <c r="N86" s="10"/>
      <c r="O86" s="10"/>
      <c r="P86" s="10"/>
      <c r="Q86" s="25"/>
      <c r="R86" s="25"/>
      <c r="S86" s="10"/>
      <c r="T86" s="171"/>
      <c r="U86" s="197"/>
      <c r="V86" s="126"/>
      <c r="W86" s="126"/>
      <c r="X86" s="126"/>
      <c r="Y86" s="126"/>
      <c r="Z86" s="126"/>
      <c r="AA86" s="126"/>
      <c r="AB86" s="126"/>
      <c r="AC86" s="126"/>
      <c r="AD86" s="197"/>
      <c r="AE86" s="197"/>
      <c r="AF86" s="126"/>
      <c r="AG86" s="172"/>
      <c r="AH86" s="197"/>
      <c r="AI86" s="197"/>
      <c r="AJ86" s="197"/>
      <c r="AK86" s="43"/>
      <c r="AL86" s="43"/>
      <c r="AM86" s="43"/>
      <c r="AN86" s="197"/>
      <c r="AO86" s="197"/>
      <c r="AP86" s="197"/>
      <c r="AQ86" s="197"/>
      <c r="AR86" s="197"/>
      <c r="AS86" s="197"/>
      <c r="AT86" s="197"/>
      <c r="AU86" s="197"/>
      <c r="AV86" s="197"/>
      <c r="AW86" s="197"/>
      <c r="AX86" s="197"/>
      <c r="AY86" s="197"/>
      <c r="AZ86" s="197"/>
      <c r="BA86" s="197"/>
      <c r="BB86" s="197"/>
      <c r="BC86" s="197"/>
      <c r="BD86" s="197"/>
      <c r="BE86" s="197"/>
      <c r="BF86" s="197"/>
      <c r="BG86" s="197"/>
      <c r="BH86" s="197"/>
      <c r="BI86" s="178"/>
      <c r="BJ86" s="178"/>
      <c r="BK86" s="214"/>
      <c r="BL86" s="197"/>
      <c r="BM86" s="197"/>
      <c r="BN86" s="197"/>
      <c r="BO86" s="172"/>
      <c r="BP86" s="172"/>
      <c r="BQ86" s="126"/>
      <c r="BR86" s="126"/>
      <c r="BS86" s="43"/>
      <c r="BT86" s="43"/>
      <c r="BU86" s="43"/>
      <c r="BV86" s="43"/>
      <c r="BW86" s="43"/>
      <c r="BX86" s="43"/>
      <c r="BY86" s="43"/>
      <c r="BZ86" s="43"/>
      <c r="CA86" s="43"/>
      <c r="CB86" s="43"/>
      <c r="CC86" s="43"/>
      <c r="CD86" s="43"/>
      <c r="CE86" s="43"/>
      <c r="CF86" s="43"/>
      <c r="CG86" s="43"/>
      <c r="CH86" s="43"/>
      <c r="CI86" s="43"/>
      <c r="CJ86" s="43"/>
      <c r="CK86" s="126"/>
      <c r="CL86" s="126"/>
      <c r="CM86" s="126"/>
      <c r="CN86" s="197"/>
      <c r="CO86" s="197"/>
      <c r="CP86" s="126"/>
      <c r="CQ86" s="172"/>
      <c r="CR86" s="197"/>
      <c r="CS86" s="197"/>
      <c r="CT86" s="197"/>
      <c r="CU86" s="43"/>
      <c r="CV86" s="43"/>
      <c r="CW86" s="43"/>
      <c r="CX86" s="79"/>
      <c r="CY86" s="79"/>
      <c r="CZ86" s="79"/>
      <c r="DA86" s="79"/>
      <c r="DB86" s="79"/>
      <c r="DC86" s="79"/>
      <c r="DD86" s="79"/>
      <c r="DE86" s="79"/>
      <c r="DF86" s="79"/>
      <c r="DG86" s="79"/>
      <c r="DH86" s="79"/>
      <c r="DI86" s="79"/>
      <c r="DJ86" s="79"/>
      <c r="DK86" s="79"/>
      <c r="DL86" s="79"/>
      <c r="DM86" s="79"/>
      <c r="DN86" s="79"/>
      <c r="DO86" s="79"/>
      <c r="DP86" s="79"/>
      <c r="DQ86" s="79"/>
      <c r="DR86" s="79"/>
      <c r="DS86" s="79"/>
      <c r="DT86" s="79"/>
      <c r="DU86" s="79"/>
      <c r="DV86" s="79"/>
      <c r="DW86" s="79"/>
      <c r="DX86" s="79"/>
      <c r="DY86" s="79"/>
      <c r="DZ86" s="79"/>
      <c r="EA86" s="79"/>
      <c r="EB86" s="79"/>
      <c r="EC86" s="79"/>
      <c r="ED86" s="79"/>
      <c r="EE86" s="79"/>
      <c r="EF86" s="79"/>
      <c r="EG86" s="79"/>
      <c r="EH86" s="79"/>
      <c r="EI86" s="214"/>
      <c r="EJ86" s="214"/>
      <c r="EK86" s="214"/>
      <c r="EL86" s="214"/>
      <c r="EM86" s="214"/>
      <c r="EN86" s="214"/>
      <c r="EO86" s="214"/>
      <c r="EP86" s="214"/>
      <c r="EQ86" s="214"/>
      <c r="ER86" s="214"/>
      <c r="ES86" s="214"/>
      <c r="ET86" s="214"/>
      <c r="EU86" s="197"/>
      <c r="EV86" s="126"/>
      <c r="EW86" s="126"/>
      <c r="EX86" s="126"/>
      <c r="EY86" s="126"/>
      <c r="EZ86" s="126"/>
      <c r="FA86" s="126"/>
      <c r="FB86" s="126"/>
      <c r="FC86" s="10"/>
      <c r="FD86" s="10"/>
      <c r="FE86" s="10"/>
      <c r="FF86" s="10"/>
      <c r="FG86" s="10"/>
      <c r="FH86" s="26"/>
      <c r="FI86" s="26"/>
      <c r="FJ86" s="26"/>
      <c r="FK86" s="26"/>
      <c r="FL86" s="10"/>
      <c r="FM86" s="168"/>
      <c r="FN86" s="168"/>
      <c r="FO86" s="79"/>
      <c r="FP86" s="168"/>
      <c r="FQ86" s="168"/>
      <c r="FR86" s="49"/>
      <c r="FS86" s="49"/>
      <c r="FT86" s="49"/>
      <c r="FU86" s="49"/>
      <c r="FV86" s="49"/>
      <c r="FW86" s="49"/>
      <c r="FX86" s="49"/>
      <c r="FY86" s="32"/>
      <c r="FZ86" s="32"/>
      <c r="GA86" s="32"/>
      <c r="GB86" s="32"/>
      <c r="GC86" s="32"/>
      <c r="GD86" s="32"/>
      <c r="GE86" s="32"/>
      <c r="GF86" s="32"/>
      <c r="GG86" s="32"/>
      <c r="GH86" s="32"/>
      <c r="GI86" s="32"/>
      <c r="GJ86" s="32"/>
      <c r="GK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78"/>
      <c r="HO86" s="78"/>
      <c r="HP86" s="78"/>
      <c r="HQ86" s="13"/>
      <c r="HR86" s="13"/>
      <c r="HS86" s="13"/>
      <c r="HT86" s="13"/>
      <c r="HU86" s="13"/>
      <c r="HV86" s="13"/>
      <c r="HW86" s="13"/>
      <c r="HX86" s="13"/>
      <c r="HY86" s="13"/>
      <c r="HZ86" s="13"/>
      <c r="IA86" s="13"/>
    </row>
    <row r="87" spans="1:235" ht="10.5" customHeight="1">
      <c r="A87" s="1"/>
      <c r="B87" s="3"/>
      <c r="C87" s="3"/>
      <c r="D87" s="12"/>
      <c r="E87" s="12"/>
      <c r="F87" s="10"/>
      <c r="G87" s="10"/>
      <c r="H87" s="10"/>
      <c r="I87" s="10"/>
      <c r="J87" s="10"/>
      <c r="K87" s="10"/>
      <c r="L87" s="10"/>
      <c r="M87" s="10"/>
      <c r="N87" s="10"/>
      <c r="O87" s="10"/>
      <c r="P87" s="10"/>
      <c r="Q87" s="25"/>
      <c r="R87" s="25"/>
      <c r="S87" s="10"/>
      <c r="T87" s="171"/>
      <c r="U87" s="197"/>
      <c r="V87" s="126"/>
      <c r="W87" s="126"/>
      <c r="X87" s="126"/>
      <c r="Y87" s="126"/>
      <c r="Z87" s="126"/>
      <c r="AA87" s="126"/>
      <c r="AB87" s="126"/>
      <c r="AC87" s="126"/>
      <c r="AD87" s="197"/>
      <c r="AE87" s="197"/>
      <c r="AF87" s="126"/>
      <c r="AG87" s="172"/>
      <c r="AH87" s="197"/>
      <c r="AI87" s="197"/>
      <c r="AJ87" s="197"/>
      <c r="AK87" s="43"/>
      <c r="AL87" s="43"/>
      <c r="AM87" s="43"/>
      <c r="AN87" s="197"/>
      <c r="AO87" s="197"/>
      <c r="AP87" s="197"/>
      <c r="AQ87" s="197"/>
      <c r="AR87" s="197"/>
      <c r="AS87" s="197"/>
      <c r="AT87" s="197"/>
      <c r="AU87" s="197"/>
      <c r="AV87" s="197"/>
      <c r="AW87" s="197"/>
      <c r="AX87" s="197"/>
      <c r="AY87" s="197"/>
      <c r="AZ87" s="197"/>
      <c r="BA87" s="197"/>
      <c r="BB87" s="197"/>
      <c r="BC87" s="197"/>
      <c r="BD87" s="197"/>
      <c r="BE87" s="197"/>
      <c r="BF87" s="197"/>
      <c r="BG87" s="197"/>
      <c r="BH87" s="197"/>
      <c r="BI87" s="178"/>
      <c r="BJ87" s="178"/>
      <c r="BK87" s="214"/>
      <c r="BL87" s="197"/>
      <c r="BM87" s="197"/>
      <c r="BN87" s="197"/>
      <c r="BO87" s="172"/>
      <c r="BP87" s="172"/>
      <c r="BQ87" s="126"/>
      <c r="BR87" s="126"/>
      <c r="BS87" s="43"/>
      <c r="BT87" s="43"/>
      <c r="BU87" s="43"/>
      <c r="BV87" s="43"/>
      <c r="BW87" s="43"/>
      <c r="BX87" s="43"/>
      <c r="BY87" s="43"/>
      <c r="BZ87" s="43"/>
      <c r="CA87" s="43"/>
      <c r="CB87" s="43"/>
      <c r="CC87" s="43"/>
      <c r="CD87" s="43"/>
      <c r="CE87" s="43"/>
      <c r="CF87" s="43"/>
      <c r="CG87" s="43"/>
      <c r="CH87" s="43"/>
      <c r="CI87" s="43"/>
      <c r="CJ87" s="43"/>
      <c r="CK87" s="126"/>
      <c r="CL87" s="126"/>
      <c r="CM87" s="126"/>
      <c r="CN87" s="197"/>
      <c r="CO87" s="197"/>
      <c r="CP87" s="126"/>
      <c r="CQ87" s="172"/>
      <c r="CR87" s="197"/>
      <c r="CS87" s="197"/>
      <c r="CT87" s="197"/>
      <c r="CU87" s="43"/>
      <c r="CV87" s="43"/>
      <c r="CW87" s="43"/>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214"/>
      <c r="EJ87" s="214"/>
      <c r="EK87" s="214"/>
      <c r="EL87" s="214"/>
      <c r="EM87" s="214"/>
      <c r="EN87" s="214"/>
      <c r="EO87" s="214"/>
      <c r="EP87" s="214"/>
      <c r="EQ87" s="214"/>
      <c r="ER87" s="214"/>
      <c r="ES87" s="214"/>
      <c r="ET87" s="214"/>
      <c r="EU87" s="197"/>
      <c r="EV87" s="126"/>
      <c r="EW87" s="126"/>
      <c r="EX87" s="126"/>
      <c r="EY87" s="126"/>
      <c r="EZ87" s="126"/>
      <c r="FA87" s="126"/>
      <c r="FB87" s="126"/>
      <c r="FC87" s="10"/>
      <c r="FD87" s="10"/>
      <c r="FE87" s="10"/>
      <c r="FF87" s="10"/>
      <c r="FG87" s="10"/>
      <c r="FH87" s="26"/>
      <c r="FI87" s="26"/>
      <c r="FJ87" s="26"/>
      <c r="FK87" s="26"/>
      <c r="FL87" s="10"/>
      <c r="FM87" s="168"/>
      <c r="FN87" s="168"/>
      <c r="FO87" s="79"/>
      <c r="FP87" s="168"/>
      <c r="FQ87" s="168"/>
      <c r="FR87" s="49"/>
      <c r="FS87" s="49"/>
      <c r="FT87" s="49"/>
      <c r="FU87" s="49"/>
      <c r="FV87" s="49"/>
      <c r="FW87" s="49"/>
      <c r="FX87" s="49"/>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78"/>
      <c r="HO87" s="78"/>
      <c r="HP87" s="78"/>
      <c r="HQ87" s="13"/>
      <c r="HR87" s="13"/>
      <c r="HS87" s="13"/>
      <c r="HT87" s="13"/>
      <c r="HU87" s="13"/>
      <c r="HV87" s="13"/>
      <c r="HW87" s="13"/>
      <c r="HX87" s="13"/>
      <c r="HY87" s="13"/>
      <c r="HZ87" s="13"/>
      <c r="IA87" s="13"/>
    </row>
    <row r="88" spans="1:235" ht="16.95" customHeight="1">
      <c r="A88" s="1"/>
      <c r="B88" s="3"/>
      <c r="C88" s="3"/>
      <c r="D88" s="124" t="str">
        <f ca="1">IF(FO28=0,"","Krijg je de GO-, MO- en MK-functie gegeven, dan kun je uitrekenen")</f>
        <v/>
      </c>
      <c r="E88" s="373"/>
      <c r="F88" s="373"/>
      <c r="G88" s="373"/>
      <c r="H88" s="373"/>
      <c r="I88" s="373"/>
      <c r="J88" s="376"/>
      <c r="K88" s="376"/>
      <c r="L88" s="376"/>
      <c r="M88" s="376"/>
      <c r="N88" s="376"/>
      <c r="O88" s="376"/>
      <c r="P88" s="376"/>
      <c r="Q88" s="376"/>
      <c r="R88" s="376"/>
      <c r="S88" s="376"/>
      <c r="T88" s="376"/>
      <c r="U88" s="376"/>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43"/>
      <c r="CL88" s="43"/>
      <c r="CM88" s="43"/>
      <c r="CN88" s="43"/>
      <c r="CO88" s="43"/>
      <c r="CP88" s="376"/>
      <c r="CQ88" s="376"/>
      <c r="CR88" s="376"/>
      <c r="CS88" s="376"/>
      <c r="CT88" s="376"/>
      <c r="CU88" s="376"/>
      <c r="CV88" s="376"/>
      <c r="CW88" s="376"/>
      <c r="CX88" s="376"/>
      <c r="CY88" s="376"/>
      <c r="CZ88" s="376"/>
      <c r="DA88" s="376"/>
      <c r="DB88" s="376"/>
      <c r="DC88" s="376"/>
      <c r="DD88" s="376"/>
      <c r="DE88" s="376"/>
      <c r="DF88" s="376"/>
      <c r="DG88" s="376"/>
      <c r="DH88" s="376"/>
      <c r="DI88" s="376"/>
      <c r="DJ88" s="376"/>
      <c r="DK88" s="376"/>
      <c r="DL88" s="376"/>
      <c r="DM88" s="376"/>
      <c r="DN88" s="376"/>
      <c r="DO88" s="376"/>
      <c r="DP88" s="376"/>
      <c r="DQ88" s="376"/>
      <c r="DR88" s="376"/>
      <c r="DS88" s="376"/>
      <c r="DT88" s="376"/>
      <c r="DU88" s="376"/>
      <c r="DV88" s="376"/>
      <c r="DW88" s="376"/>
      <c r="DX88" s="376"/>
      <c r="DY88" s="376"/>
      <c r="DZ88" s="376"/>
      <c r="EA88" s="376"/>
      <c r="EB88" s="376"/>
      <c r="EC88" s="376"/>
      <c r="ED88" s="376"/>
      <c r="EE88" s="376"/>
      <c r="EF88" s="376"/>
      <c r="EG88" s="376"/>
      <c r="EH88" s="376"/>
      <c r="EI88" s="376"/>
      <c r="EJ88" s="376"/>
      <c r="EK88" s="376"/>
      <c r="EL88" s="376"/>
      <c r="EM88" s="376"/>
      <c r="EN88" s="376"/>
      <c r="EO88" s="376"/>
      <c r="EP88" s="376"/>
      <c r="EQ88" s="376"/>
      <c r="ER88" s="376"/>
      <c r="ES88" s="376"/>
      <c r="ET88" s="376"/>
      <c r="EU88" s="376"/>
      <c r="EV88" s="376"/>
      <c r="EW88" s="376"/>
      <c r="EX88" s="376"/>
      <c r="EY88" s="376"/>
      <c r="EZ88" s="376"/>
      <c r="FA88" s="43"/>
      <c r="FB88" s="43"/>
      <c r="FC88" s="43"/>
      <c r="FD88" s="43"/>
      <c r="FE88" s="43"/>
      <c r="FF88" s="43"/>
      <c r="FG88" s="43"/>
      <c r="FH88" s="43"/>
      <c r="FI88" s="79"/>
      <c r="FJ88" s="79"/>
      <c r="FK88" s="79"/>
      <c r="FL88" s="79"/>
      <c r="FM88" s="93"/>
      <c r="FN88" s="93"/>
      <c r="FO88" s="338"/>
      <c r="FP88" s="338"/>
      <c r="FQ88" s="338"/>
      <c r="FR88" s="338"/>
      <c r="FS88" s="338"/>
      <c r="FT88" s="338"/>
      <c r="FU88" s="338"/>
      <c r="FV88" s="338"/>
      <c r="FW88" s="338"/>
      <c r="FX88" s="338"/>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38"/>
      <c r="HO88" s="338"/>
      <c r="HP88" s="338"/>
      <c r="HQ88" s="13"/>
      <c r="HR88" s="13"/>
      <c r="HS88" s="13"/>
      <c r="HT88" s="13"/>
      <c r="HU88" s="13"/>
      <c r="HV88" s="13"/>
      <c r="HW88" s="13"/>
      <c r="HX88" s="13"/>
      <c r="HY88" s="13"/>
      <c r="HZ88" s="13"/>
      <c r="IA88" s="13"/>
    </row>
    <row r="89" spans="1:235" ht="16.95" customHeight="1">
      <c r="A89" s="1"/>
      <c r="B89" s="3"/>
      <c r="C89" s="3"/>
      <c r="D89" s="124" t="str">
        <f ca="1">IF(FO28=0,"","hoeveel de afzet is bij volkomen concurrentie en bij prijszetting. Kijk maar.")</f>
        <v/>
      </c>
      <c r="E89" s="373"/>
      <c r="F89" s="373"/>
      <c r="G89" s="373"/>
      <c r="H89" s="373"/>
      <c r="I89" s="373"/>
      <c r="J89" s="376"/>
      <c r="K89" s="376"/>
      <c r="L89" s="376"/>
      <c r="M89" s="376"/>
      <c r="N89" s="376"/>
      <c r="O89" s="376"/>
      <c r="P89" s="376"/>
      <c r="Q89" s="376"/>
      <c r="R89" s="376"/>
      <c r="S89" s="376"/>
      <c r="T89" s="376"/>
      <c r="U89" s="376"/>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43"/>
      <c r="CL89" s="43"/>
      <c r="CM89" s="43"/>
      <c r="CN89" s="43"/>
      <c r="CO89" s="43"/>
      <c r="CP89" s="376"/>
      <c r="CQ89" s="376"/>
      <c r="CR89" s="376"/>
      <c r="CS89" s="376"/>
      <c r="CT89" s="376"/>
      <c r="CU89" s="376"/>
      <c r="CV89" s="376"/>
      <c r="CW89" s="376"/>
      <c r="CX89" s="376"/>
      <c r="CY89" s="376"/>
      <c r="CZ89" s="376"/>
      <c r="DA89" s="376"/>
      <c r="DB89" s="376"/>
      <c r="DC89" s="376"/>
      <c r="DD89" s="376"/>
      <c r="DE89" s="376"/>
      <c r="DF89" s="376"/>
      <c r="DG89" s="376"/>
      <c r="DH89" s="376"/>
      <c r="DI89" s="376"/>
      <c r="DJ89" s="376"/>
      <c r="DK89" s="376"/>
      <c r="DL89" s="376"/>
      <c r="DM89" s="376"/>
      <c r="DN89" s="376"/>
      <c r="DO89" s="376"/>
      <c r="DP89" s="376"/>
      <c r="DQ89" s="376"/>
      <c r="DR89" s="376"/>
      <c r="DS89" s="376"/>
      <c r="DT89" s="376"/>
      <c r="DU89" s="376"/>
      <c r="DV89" s="376"/>
      <c r="DW89" s="376"/>
      <c r="DX89" s="376"/>
      <c r="DY89" s="376"/>
      <c r="DZ89" s="376"/>
      <c r="EA89" s="376"/>
      <c r="EB89" s="376"/>
      <c r="EC89" s="376"/>
      <c r="ED89" s="376"/>
      <c r="EE89" s="376"/>
      <c r="EF89" s="376"/>
      <c r="EG89" s="376"/>
      <c r="EH89" s="376"/>
      <c r="EI89" s="376"/>
      <c r="EJ89" s="376"/>
      <c r="EK89" s="376"/>
      <c r="EL89" s="376"/>
      <c r="EM89" s="376"/>
      <c r="EN89" s="376"/>
      <c r="EO89" s="376"/>
      <c r="EP89" s="376"/>
      <c r="EQ89" s="376"/>
      <c r="ER89" s="376"/>
      <c r="ES89" s="376"/>
      <c r="ET89" s="376"/>
      <c r="EU89" s="376"/>
      <c r="EV89" s="376"/>
      <c r="EW89" s="376"/>
      <c r="EX89" s="376"/>
      <c r="EY89" s="376"/>
      <c r="EZ89" s="376"/>
      <c r="FA89" s="43"/>
      <c r="FB89" s="43"/>
      <c r="FC89" s="43"/>
      <c r="FD89" s="43"/>
      <c r="FE89" s="43"/>
      <c r="FF89" s="43"/>
      <c r="FG89" s="43"/>
      <c r="FH89" s="43"/>
      <c r="FI89" s="79"/>
      <c r="FJ89" s="79"/>
      <c r="FK89" s="79"/>
      <c r="FL89" s="79"/>
      <c r="FM89" s="93"/>
      <c r="FN89" s="93"/>
      <c r="FO89" s="338"/>
      <c r="FP89" s="338"/>
      <c r="FQ89" s="338"/>
      <c r="FR89" s="338"/>
      <c r="FS89" s="338"/>
      <c r="FT89" s="338"/>
      <c r="FU89" s="338"/>
      <c r="FV89" s="338"/>
      <c r="FW89" s="338"/>
      <c r="FX89" s="338"/>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38"/>
      <c r="HO89" s="338"/>
      <c r="HP89" s="338"/>
      <c r="HQ89" s="13"/>
      <c r="HR89" s="13"/>
      <c r="HS89" s="13"/>
      <c r="HT89" s="13"/>
      <c r="HU89" s="13"/>
      <c r="HV89" s="13"/>
      <c r="HW89" s="13"/>
      <c r="HX89" s="13"/>
      <c r="HY89" s="13"/>
      <c r="HZ89" s="13"/>
      <c r="IA89" s="13"/>
    </row>
    <row r="90" spans="1:235" ht="9.75" customHeight="1">
      <c r="A90" s="1"/>
      <c r="B90" s="3"/>
      <c r="C90" s="3"/>
      <c r="D90" s="333"/>
      <c r="E90" s="333"/>
      <c r="F90" s="278"/>
      <c r="G90" s="278"/>
      <c r="H90" s="278"/>
      <c r="I90" s="278"/>
      <c r="J90" s="278"/>
      <c r="K90" s="278"/>
      <c r="L90" s="278"/>
      <c r="M90" s="278"/>
      <c r="N90" s="278"/>
      <c r="O90" s="278"/>
      <c r="P90" s="278"/>
      <c r="Q90" s="328"/>
      <c r="R90" s="328"/>
      <c r="S90" s="278"/>
      <c r="T90" s="172"/>
      <c r="U90" s="328"/>
      <c r="V90" s="278"/>
      <c r="W90" s="278"/>
      <c r="X90" s="278"/>
      <c r="Y90" s="278"/>
      <c r="Z90" s="278"/>
      <c r="AA90" s="278"/>
      <c r="AB90" s="278"/>
      <c r="AC90" s="278"/>
      <c r="AD90" s="328"/>
      <c r="AE90" s="328"/>
      <c r="AF90" s="278"/>
      <c r="AG90" s="172"/>
      <c r="AH90" s="328"/>
      <c r="AI90" s="328"/>
      <c r="AJ90" s="328"/>
      <c r="AK90" s="43"/>
      <c r="AL90" s="43"/>
      <c r="AM90" s="43"/>
      <c r="AN90" s="328"/>
      <c r="AO90" s="328"/>
      <c r="AP90" s="328"/>
      <c r="AQ90" s="328"/>
      <c r="AR90" s="328"/>
      <c r="AS90" s="328"/>
      <c r="AT90" s="328"/>
      <c r="AU90" s="328"/>
      <c r="AV90" s="328"/>
      <c r="AW90" s="328"/>
      <c r="AX90" s="328"/>
      <c r="AY90" s="328"/>
      <c r="AZ90" s="328"/>
      <c r="BA90" s="328"/>
      <c r="BB90" s="328"/>
      <c r="BC90" s="328"/>
      <c r="BD90" s="328"/>
      <c r="BE90" s="328"/>
      <c r="BF90" s="328"/>
      <c r="BG90" s="328"/>
      <c r="BH90" s="328"/>
      <c r="BI90" s="178"/>
      <c r="BJ90" s="178"/>
      <c r="BK90" s="337"/>
      <c r="BL90" s="328"/>
      <c r="BM90" s="328"/>
      <c r="BN90" s="328"/>
      <c r="BO90" s="172"/>
      <c r="BP90" s="172"/>
      <c r="BQ90" s="278"/>
      <c r="BR90" s="278"/>
      <c r="BS90" s="43"/>
      <c r="BT90" s="43"/>
      <c r="BU90" s="43"/>
      <c r="BV90" s="43"/>
      <c r="BW90" s="43"/>
      <c r="BX90" s="43"/>
      <c r="BY90" s="43"/>
      <c r="BZ90" s="43"/>
      <c r="CA90" s="43"/>
      <c r="CB90" s="43"/>
      <c r="CC90" s="43"/>
      <c r="CD90" s="43"/>
      <c r="CE90" s="43"/>
      <c r="CF90" s="43"/>
      <c r="CG90" s="43"/>
      <c r="CH90" s="43"/>
      <c r="CI90" s="43"/>
      <c r="CJ90" s="43"/>
      <c r="CK90" s="278"/>
      <c r="CL90" s="278"/>
      <c r="CM90" s="278"/>
      <c r="CN90" s="328"/>
      <c r="CO90" s="328"/>
      <c r="CP90" s="278"/>
      <c r="CQ90" s="172"/>
      <c r="CR90" s="328"/>
      <c r="CS90" s="328"/>
      <c r="CT90" s="328"/>
      <c r="CU90" s="43"/>
      <c r="CV90" s="43"/>
      <c r="CW90" s="43"/>
      <c r="CX90" s="43"/>
      <c r="CY90" s="43"/>
      <c r="CZ90" s="43"/>
      <c r="DA90" s="43"/>
      <c r="DB90" s="106"/>
      <c r="DC90" s="106"/>
      <c r="DD90" s="278"/>
      <c r="DE90" s="278"/>
      <c r="DF90" s="278"/>
      <c r="DG90" s="278"/>
      <c r="DH90" s="278"/>
      <c r="DI90" s="278"/>
      <c r="DJ90" s="278"/>
      <c r="DK90" s="278"/>
      <c r="DL90" s="278"/>
      <c r="DM90" s="278"/>
      <c r="DN90" s="278"/>
      <c r="DO90" s="278"/>
      <c r="DP90" s="278"/>
      <c r="DQ90" s="278"/>
      <c r="DR90" s="278"/>
      <c r="DS90" s="278"/>
      <c r="DT90" s="278"/>
      <c r="DU90" s="278"/>
      <c r="DV90" s="328"/>
      <c r="DW90" s="328"/>
      <c r="DX90" s="328"/>
      <c r="DY90" s="172"/>
      <c r="DZ90" s="172"/>
      <c r="EA90" s="278"/>
      <c r="EB90" s="278"/>
      <c r="EC90" s="337"/>
      <c r="ED90" s="337"/>
      <c r="EE90" s="337"/>
      <c r="EF90" s="337"/>
      <c r="EG90" s="337"/>
      <c r="EH90" s="337"/>
      <c r="EI90" s="337"/>
      <c r="EJ90" s="337"/>
      <c r="EK90" s="337"/>
      <c r="EL90" s="337"/>
      <c r="EM90" s="337"/>
      <c r="EN90" s="337"/>
      <c r="EO90" s="337"/>
      <c r="EP90" s="337"/>
      <c r="EQ90" s="337"/>
      <c r="ER90" s="337"/>
      <c r="ES90" s="337"/>
      <c r="ET90" s="337"/>
      <c r="EU90" s="328"/>
      <c r="EV90" s="278"/>
      <c r="EW90" s="278"/>
      <c r="EX90" s="278"/>
      <c r="EY90" s="278"/>
      <c r="EZ90" s="278"/>
      <c r="FA90" s="278"/>
      <c r="FB90" s="278"/>
      <c r="FC90" s="278"/>
      <c r="FD90" s="278"/>
      <c r="FE90" s="278"/>
      <c r="FF90" s="278"/>
      <c r="FG90" s="278"/>
      <c r="FH90" s="43"/>
      <c r="FI90" s="43"/>
      <c r="FJ90" s="43"/>
      <c r="FK90" s="43"/>
      <c r="FL90" s="278"/>
      <c r="FM90" s="183"/>
      <c r="FN90" s="183"/>
      <c r="FO90" s="185"/>
      <c r="FP90" s="183"/>
      <c r="FQ90" s="183"/>
      <c r="FR90" s="49"/>
      <c r="FS90" s="49"/>
      <c r="FT90" s="49"/>
      <c r="FU90" s="49"/>
      <c r="FV90" s="49"/>
      <c r="FW90" s="49"/>
      <c r="FX90" s="49"/>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78"/>
      <c r="HO90" s="78"/>
      <c r="HP90" s="78"/>
      <c r="HQ90" s="13"/>
      <c r="HR90" s="13"/>
      <c r="HS90" s="13"/>
      <c r="HT90" s="13"/>
      <c r="HU90" s="13"/>
      <c r="HV90" s="13"/>
      <c r="HW90" s="13"/>
      <c r="HX90" s="13"/>
      <c r="HY90" s="13"/>
      <c r="HZ90" s="13"/>
      <c r="IA90" s="13"/>
    </row>
    <row r="91" spans="1:235" ht="16.5" customHeight="1">
      <c r="A91" s="1"/>
      <c r="B91" s="3"/>
      <c r="C91" s="3"/>
      <c r="D91" s="124" t="str">
        <f ca="1">IF(FO28=0,"","De GO-functie luidt:")</f>
        <v/>
      </c>
      <c r="E91" s="333"/>
      <c r="F91" s="333"/>
      <c r="G91" s="333"/>
      <c r="H91" s="333"/>
      <c r="I91" s="333"/>
      <c r="J91" s="278"/>
      <c r="K91" s="278"/>
      <c r="L91" s="278"/>
      <c r="M91" s="278"/>
      <c r="N91" s="278"/>
      <c r="O91" s="278"/>
      <c r="P91" s="278"/>
      <c r="Q91" s="278"/>
      <c r="R91" s="278"/>
      <c r="S91" s="278"/>
      <c r="T91" s="278"/>
      <c r="U91" s="278"/>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163" t="str">
        <f ca="1">IF(FO28=0,"","GO = -"&amp;FP91&amp;"q + "&amp;FQ91&amp;"")</f>
        <v/>
      </c>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278"/>
      <c r="CQ91" s="278"/>
      <c r="CR91" s="278"/>
      <c r="CS91" s="278"/>
      <c r="CT91" s="278"/>
      <c r="CU91" s="278"/>
      <c r="CV91" s="278"/>
      <c r="CW91" s="278"/>
      <c r="CX91" s="278"/>
      <c r="CY91" s="278"/>
      <c r="CZ91" s="278"/>
      <c r="DA91" s="278"/>
      <c r="DB91" s="278"/>
      <c r="DC91" s="278"/>
      <c r="DD91" s="278"/>
      <c r="DE91" s="278"/>
      <c r="DF91" s="278"/>
      <c r="DG91" s="278"/>
      <c r="DH91" s="278"/>
      <c r="DI91" s="278"/>
      <c r="DJ91" s="278"/>
      <c r="DK91" s="278"/>
      <c r="DL91" s="278"/>
      <c r="DM91" s="278"/>
      <c r="DN91" s="278"/>
      <c r="DO91" s="278"/>
      <c r="DP91" s="278"/>
      <c r="DQ91" s="278"/>
      <c r="DR91" s="278"/>
      <c r="DS91" s="278"/>
      <c r="DT91" s="278"/>
      <c r="DU91" s="278"/>
      <c r="DV91" s="278"/>
      <c r="DW91" s="278"/>
      <c r="DX91" s="278"/>
      <c r="DY91" s="278"/>
      <c r="DZ91" s="278"/>
      <c r="EA91" s="278"/>
      <c r="EB91" s="278"/>
      <c r="EC91" s="278"/>
      <c r="ED91" s="278"/>
      <c r="EE91" s="278"/>
      <c r="EF91" s="278"/>
      <c r="EG91" s="278"/>
      <c r="EH91" s="278"/>
      <c r="EI91" s="278"/>
      <c r="EJ91" s="278"/>
      <c r="EK91" s="278"/>
      <c r="EL91" s="278"/>
      <c r="EM91" s="278"/>
      <c r="EN91" s="278"/>
      <c r="EO91" s="278"/>
      <c r="EP91" s="278"/>
      <c r="EQ91" s="278"/>
      <c r="ER91" s="278"/>
      <c r="ES91" s="278"/>
      <c r="ET91" s="278"/>
      <c r="EU91" s="278"/>
      <c r="EV91" s="278"/>
      <c r="EW91" s="278"/>
      <c r="EX91" s="278"/>
      <c r="EY91" s="278"/>
      <c r="EZ91" s="278"/>
      <c r="FA91" s="43"/>
      <c r="FB91" s="43"/>
      <c r="FC91" s="43"/>
      <c r="FD91" s="43"/>
      <c r="FE91" s="43"/>
      <c r="FF91" s="43"/>
      <c r="FG91" s="43"/>
      <c r="FH91" s="43"/>
      <c r="FI91" s="43"/>
      <c r="FJ91" s="43"/>
      <c r="FK91" s="43"/>
      <c r="FL91" s="43"/>
      <c r="FM91" s="338"/>
      <c r="FN91" s="78"/>
      <c r="FO91" s="78"/>
      <c r="FP91" s="93">
        <f ca="1">IF(FN1=17,3/Blad1!AA17,IF(1/Blad1!AA17&lt;1,4/Blad1!AA17,IF(1/Blad1!AA17&lt;2,2/Blad1!AA17,1/Blad1!AA17)))</f>
        <v>2</v>
      </c>
      <c r="FQ91" s="93">
        <f ca="1">2*FP91*Blad1!AA9</f>
        <v>1600</v>
      </c>
      <c r="FR91" s="78"/>
      <c r="FS91" s="78"/>
      <c r="FT91" s="78"/>
      <c r="FU91" s="78"/>
      <c r="FV91" s="78"/>
      <c r="FW91" s="78"/>
      <c r="FX91" s="78"/>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78"/>
      <c r="HO91" s="78"/>
      <c r="HP91" s="78"/>
      <c r="HQ91" s="13"/>
      <c r="HR91" s="13"/>
      <c r="HS91" s="13"/>
      <c r="HT91" s="13"/>
      <c r="HU91" s="13"/>
      <c r="HV91" s="13"/>
      <c r="HW91" s="13"/>
      <c r="HX91" s="13"/>
      <c r="HY91" s="13"/>
      <c r="HZ91" s="13"/>
      <c r="IA91" s="13"/>
    </row>
    <row r="92" spans="1:235" ht="10.5" customHeight="1">
      <c r="A92" s="1"/>
      <c r="B92" s="3"/>
      <c r="C92" s="3"/>
      <c r="D92" s="124"/>
      <c r="E92" s="333"/>
      <c r="F92" s="333"/>
      <c r="G92" s="333"/>
      <c r="H92" s="333"/>
      <c r="I92" s="333"/>
      <c r="J92" s="278"/>
      <c r="K92" s="278"/>
      <c r="L92" s="278"/>
      <c r="M92" s="278"/>
      <c r="N92" s="278"/>
      <c r="O92" s="278"/>
      <c r="P92" s="278"/>
      <c r="Q92" s="278"/>
      <c r="R92" s="278"/>
      <c r="S92" s="278"/>
      <c r="T92" s="278"/>
      <c r="U92" s="278"/>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278"/>
      <c r="CQ92" s="278"/>
      <c r="CR92" s="278"/>
      <c r="CS92" s="278"/>
      <c r="CT92" s="278"/>
      <c r="CU92" s="278"/>
      <c r="CV92" s="278"/>
      <c r="CW92" s="278"/>
      <c r="CX92" s="278"/>
      <c r="CY92" s="278"/>
      <c r="CZ92" s="278"/>
      <c r="DA92" s="278"/>
      <c r="DB92" s="278"/>
      <c r="DC92" s="278"/>
      <c r="DD92" s="278"/>
      <c r="DE92" s="278"/>
      <c r="DF92" s="278"/>
      <c r="DG92" s="278"/>
      <c r="DH92" s="278"/>
      <c r="DI92" s="278"/>
      <c r="DJ92" s="278"/>
      <c r="DK92" s="278"/>
      <c r="DL92" s="278"/>
      <c r="DM92" s="278"/>
      <c r="DN92" s="278"/>
      <c r="DO92" s="278"/>
      <c r="DP92" s="278"/>
      <c r="DQ92" s="278"/>
      <c r="DR92" s="278"/>
      <c r="DS92" s="278"/>
      <c r="DT92" s="278"/>
      <c r="DU92" s="278"/>
      <c r="DV92" s="278"/>
      <c r="DW92" s="278"/>
      <c r="DX92" s="278"/>
      <c r="DY92" s="278"/>
      <c r="DZ92" s="278"/>
      <c r="EA92" s="278"/>
      <c r="EB92" s="278"/>
      <c r="EC92" s="278"/>
      <c r="ED92" s="278"/>
      <c r="EE92" s="278"/>
      <c r="EF92" s="278"/>
      <c r="EG92" s="278"/>
      <c r="EH92" s="278"/>
      <c r="EI92" s="278"/>
      <c r="EJ92" s="278"/>
      <c r="EK92" s="278"/>
      <c r="EL92" s="278"/>
      <c r="EM92" s="278"/>
      <c r="EN92" s="278"/>
      <c r="EO92" s="278"/>
      <c r="EP92" s="278"/>
      <c r="EQ92" s="278"/>
      <c r="ER92" s="278"/>
      <c r="ES92" s="278"/>
      <c r="ET92" s="278"/>
      <c r="EU92" s="278"/>
      <c r="EV92" s="278"/>
      <c r="EW92" s="278"/>
      <c r="EX92" s="278"/>
      <c r="EY92" s="278"/>
      <c r="EZ92" s="278"/>
      <c r="FA92" s="43"/>
      <c r="FB92" s="43"/>
      <c r="FC92" s="43"/>
      <c r="FD92" s="43"/>
      <c r="FE92" s="43"/>
      <c r="FF92" s="43"/>
      <c r="FG92" s="43"/>
      <c r="FH92" s="43"/>
      <c r="FI92" s="43"/>
      <c r="FJ92" s="43"/>
      <c r="FK92" s="43"/>
      <c r="FL92" s="43"/>
      <c r="FM92" s="338"/>
      <c r="FN92" s="78"/>
      <c r="FO92" s="78"/>
      <c r="FP92" s="78"/>
      <c r="FQ92" s="78"/>
      <c r="FR92" s="78"/>
      <c r="FS92" s="78"/>
      <c r="FT92" s="78"/>
      <c r="FU92" s="78"/>
      <c r="FV92" s="78"/>
      <c r="FW92" s="78"/>
      <c r="FX92" s="78"/>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78"/>
      <c r="HO92" s="78"/>
      <c r="HP92" s="78"/>
      <c r="HQ92" s="13"/>
      <c r="HR92" s="13"/>
      <c r="HS92" s="13"/>
      <c r="HT92" s="13"/>
      <c r="HU92" s="13"/>
      <c r="HV92" s="13"/>
      <c r="HW92" s="13"/>
      <c r="HX92" s="13"/>
      <c r="HY92" s="13"/>
      <c r="HZ92" s="13"/>
      <c r="IA92" s="13"/>
    </row>
    <row r="93" spans="1:235" ht="16.5" customHeight="1">
      <c r="A93" s="1"/>
      <c r="B93" s="3"/>
      <c r="C93" s="3"/>
      <c r="D93" s="124" t="str">
        <f ca="1">IF(FO28=0,"","De MO-functie luidt:")</f>
        <v/>
      </c>
      <c r="E93" s="333"/>
      <c r="F93" s="333"/>
      <c r="G93" s="333"/>
      <c r="H93" s="333"/>
      <c r="I93" s="333"/>
      <c r="J93" s="278"/>
      <c r="K93" s="278"/>
      <c r="L93" s="278"/>
      <c r="M93" s="278"/>
      <c r="N93" s="278"/>
      <c r="O93" s="278"/>
      <c r="P93" s="278"/>
      <c r="Q93" s="278"/>
      <c r="R93" s="278"/>
      <c r="S93" s="278"/>
      <c r="T93" s="278"/>
      <c r="U93" s="278"/>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163" t="str">
        <f ca="1">IF(FO28=0,"","MO = -"&amp;2*FP91&amp;"q + "&amp;FQ91&amp;"")</f>
        <v/>
      </c>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278"/>
      <c r="CQ93" s="278"/>
      <c r="CR93" s="278"/>
      <c r="CS93" s="278"/>
      <c r="CT93" s="278"/>
      <c r="CU93" s="278"/>
      <c r="CV93" s="278"/>
      <c r="CW93" s="278"/>
      <c r="CX93" s="278"/>
      <c r="CY93" s="278"/>
      <c r="CZ93" s="278"/>
      <c r="DA93" s="278"/>
      <c r="DB93" s="278"/>
      <c r="DC93" s="278"/>
      <c r="DD93" s="278"/>
      <c r="DE93" s="278"/>
      <c r="DF93" s="278"/>
      <c r="DG93" s="278"/>
      <c r="DH93" s="278"/>
      <c r="DI93" s="278"/>
      <c r="DJ93" s="278"/>
      <c r="DK93" s="278"/>
      <c r="DL93" s="278"/>
      <c r="DM93" s="278"/>
      <c r="DN93" s="278"/>
      <c r="DO93" s="278"/>
      <c r="DP93" s="278"/>
      <c r="DQ93" s="278"/>
      <c r="DR93" s="278"/>
      <c r="DS93" s="278"/>
      <c r="DT93" s="278"/>
      <c r="DU93" s="278"/>
      <c r="DV93" s="278"/>
      <c r="DW93" s="278"/>
      <c r="DX93" s="278"/>
      <c r="DY93" s="278"/>
      <c r="DZ93" s="278"/>
      <c r="EA93" s="278"/>
      <c r="EB93" s="278"/>
      <c r="EC93" s="278"/>
      <c r="ED93" s="278"/>
      <c r="EE93" s="278"/>
      <c r="EF93" s="278"/>
      <c r="EG93" s="278"/>
      <c r="EH93" s="278"/>
      <c r="EI93" s="278"/>
      <c r="EJ93" s="278"/>
      <c r="EK93" s="278"/>
      <c r="EL93" s="278"/>
      <c r="EM93" s="278"/>
      <c r="EN93" s="278"/>
      <c r="EO93" s="278"/>
      <c r="EP93" s="278"/>
      <c r="EQ93" s="278"/>
      <c r="ER93" s="278"/>
      <c r="ES93" s="278"/>
      <c r="ET93" s="278"/>
      <c r="EU93" s="278"/>
      <c r="EV93" s="278"/>
      <c r="EW93" s="278"/>
      <c r="EX93" s="278"/>
      <c r="EY93" s="278"/>
      <c r="EZ93" s="278"/>
      <c r="FA93" s="43"/>
      <c r="FB93" s="43"/>
      <c r="FC93" s="43"/>
      <c r="FD93" s="43"/>
      <c r="FE93" s="43"/>
      <c r="FF93" s="43"/>
      <c r="FG93" s="43"/>
      <c r="FH93" s="43"/>
      <c r="FI93" s="43"/>
      <c r="FJ93" s="43"/>
      <c r="FK93" s="43"/>
      <c r="FL93" s="43"/>
      <c r="FM93" s="338"/>
      <c r="FN93" s="78"/>
      <c r="FO93" s="78"/>
      <c r="FP93" s="93">
        <v>0</v>
      </c>
      <c r="FQ93" s="93">
        <f ca="1">IF(FN1=5,ROUND(3*Blad1!AA1+1,0),6*ROUND(3*Blad1!AA1+1,0))</f>
        <v>36</v>
      </c>
      <c r="FR93" s="78">
        <f ca="1">Blad1!AA12</f>
        <v>200</v>
      </c>
      <c r="FS93" s="78"/>
      <c r="FT93" s="78"/>
      <c r="FU93" s="78"/>
      <c r="FV93" s="78"/>
      <c r="FW93" s="78"/>
      <c r="FX93" s="78"/>
      <c r="FY93" s="32"/>
      <c r="FZ93" s="32"/>
      <c r="GA93" s="32"/>
      <c r="GB93" s="32"/>
      <c r="GC93" s="32"/>
      <c r="GD93" s="32"/>
      <c r="GE93" s="32"/>
      <c r="GF93" s="32"/>
      <c r="GG93" s="32"/>
      <c r="GH93" s="32"/>
      <c r="GI93" s="32"/>
      <c r="GJ93" s="32"/>
      <c r="GK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78"/>
      <c r="HO93" s="78"/>
      <c r="HP93" s="78"/>
      <c r="HQ93" s="13"/>
      <c r="HR93" s="13"/>
      <c r="HS93" s="13"/>
      <c r="HT93" s="13"/>
      <c r="HU93" s="13"/>
      <c r="HV93" s="13"/>
      <c r="HW93" s="13"/>
      <c r="HX93" s="13"/>
      <c r="HY93" s="13"/>
      <c r="HZ93" s="13"/>
      <c r="IA93" s="13"/>
    </row>
    <row r="94" spans="1:235" ht="10.5" customHeight="1">
      <c r="A94" s="1"/>
      <c r="B94" s="3"/>
      <c r="C94" s="3"/>
      <c r="D94" s="124"/>
      <c r="E94" s="333"/>
      <c r="F94" s="333"/>
      <c r="G94" s="333"/>
      <c r="H94" s="333"/>
      <c r="I94" s="333"/>
      <c r="J94" s="278"/>
      <c r="K94" s="278"/>
      <c r="L94" s="278"/>
      <c r="M94" s="278"/>
      <c r="N94" s="278"/>
      <c r="O94" s="278"/>
      <c r="P94" s="278"/>
      <c r="Q94" s="278"/>
      <c r="R94" s="278"/>
      <c r="S94" s="278"/>
      <c r="T94" s="278"/>
      <c r="U94" s="278"/>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278"/>
      <c r="CQ94" s="278"/>
      <c r="CR94" s="278"/>
      <c r="CS94" s="278"/>
      <c r="CT94" s="278"/>
      <c r="CU94" s="278"/>
      <c r="CV94" s="278"/>
      <c r="CW94" s="278"/>
      <c r="CX94" s="278"/>
      <c r="CY94" s="278"/>
      <c r="CZ94" s="278"/>
      <c r="DA94" s="278"/>
      <c r="DB94" s="278"/>
      <c r="DC94" s="278"/>
      <c r="DD94" s="278"/>
      <c r="DE94" s="278"/>
      <c r="DF94" s="278"/>
      <c r="DG94" s="278"/>
      <c r="DH94" s="278"/>
      <c r="DI94" s="278"/>
      <c r="DJ94" s="278"/>
      <c r="DK94" s="278"/>
      <c r="DL94" s="278"/>
      <c r="DM94" s="278"/>
      <c r="DN94" s="278"/>
      <c r="DO94" s="278"/>
      <c r="DP94" s="278"/>
      <c r="DQ94" s="278"/>
      <c r="DR94" s="278"/>
      <c r="DS94" s="278"/>
      <c r="DT94" s="278"/>
      <c r="DU94" s="278"/>
      <c r="DV94" s="278"/>
      <c r="DW94" s="278"/>
      <c r="DX94" s="278"/>
      <c r="DY94" s="278"/>
      <c r="DZ94" s="278"/>
      <c r="EA94" s="278"/>
      <c r="EB94" s="278"/>
      <c r="EC94" s="278"/>
      <c r="ED94" s="278"/>
      <c r="EE94" s="278"/>
      <c r="EF94" s="278"/>
      <c r="EG94" s="278"/>
      <c r="EH94" s="278"/>
      <c r="EI94" s="278"/>
      <c r="EJ94" s="278"/>
      <c r="EK94" s="278"/>
      <c r="EL94" s="278"/>
      <c r="EM94" s="278"/>
      <c r="EN94" s="278"/>
      <c r="EO94" s="278"/>
      <c r="EP94" s="278"/>
      <c r="EQ94" s="278"/>
      <c r="ER94" s="278"/>
      <c r="ES94" s="278"/>
      <c r="ET94" s="278"/>
      <c r="EU94" s="278"/>
      <c r="EV94" s="278"/>
      <c r="EW94" s="278"/>
      <c r="EX94" s="278"/>
      <c r="EY94" s="278"/>
      <c r="EZ94" s="278"/>
      <c r="FA94" s="43"/>
      <c r="FB94" s="43"/>
      <c r="FC94" s="43"/>
      <c r="FD94" s="43"/>
      <c r="FE94" s="43"/>
      <c r="FF94" s="43"/>
      <c r="FG94" s="43"/>
      <c r="FH94" s="43"/>
      <c r="FI94" s="43"/>
      <c r="FJ94" s="43"/>
      <c r="FK94" s="43"/>
      <c r="FL94" s="43"/>
      <c r="FM94" s="338"/>
      <c r="FN94" s="78"/>
      <c r="FO94" s="78"/>
      <c r="FP94" s="78"/>
      <c r="FQ94" s="78"/>
      <c r="FR94" s="78"/>
      <c r="FS94" s="78"/>
      <c r="FT94" s="78"/>
      <c r="FU94" s="78"/>
      <c r="FV94" s="78"/>
      <c r="FW94" s="78"/>
      <c r="FX94" s="78"/>
      <c r="FY94" s="32"/>
      <c r="FZ94" s="32"/>
      <c r="GA94" s="32"/>
      <c r="GB94" s="32"/>
      <c r="GC94" s="32"/>
      <c r="GD94" s="32"/>
      <c r="GE94" s="32"/>
      <c r="GF94" s="32"/>
      <c r="GG94" s="32"/>
      <c r="GH94" s="32"/>
      <c r="GI94" s="32"/>
      <c r="GJ94" s="32"/>
      <c r="GK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78"/>
      <c r="HO94" s="78"/>
      <c r="HP94" s="78"/>
      <c r="HQ94" s="13"/>
      <c r="HR94" s="13"/>
      <c r="HS94" s="13"/>
      <c r="HT94" s="13"/>
      <c r="HU94" s="13"/>
      <c r="HV94" s="13"/>
      <c r="HW94" s="13"/>
      <c r="HX94" s="13"/>
      <c r="HY94" s="13"/>
      <c r="HZ94" s="13"/>
      <c r="IA94" s="13"/>
    </row>
    <row r="95" spans="1:235" ht="16.5" customHeight="1">
      <c r="A95" s="1"/>
      <c r="B95" s="3"/>
      <c r="C95" s="3"/>
      <c r="D95" s="124" t="str">
        <f ca="1">IF(FO28=0,"","De MK-functie luidt:")</f>
        <v/>
      </c>
      <c r="E95" s="333"/>
      <c r="F95" s="333"/>
      <c r="G95" s="333"/>
      <c r="H95" s="333"/>
      <c r="I95" s="333"/>
      <c r="J95" s="278"/>
      <c r="K95" s="278"/>
      <c r="L95" s="278"/>
      <c r="M95" s="278"/>
      <c r="N95" s="278"/>
      <c r="O95" s="278"/>
      <c r="P95" s="278"/>
      <c r="Q95" s="278"/>
      <c r="R95" s="278"/>
      <c r="S95" s="278"/>
      <c r="T95" s="278"/>
      <c r="U95" s="278"/>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163" t="str">
        <f ca="1">IF(FO28=0,"","MK = "&amp;FQ93&amp;"")</f>
        <v/>
      </c>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278"/>
      <c r="CQ95" s="278"/>
      <c r="CR95" s="278"/>
      <c r="CS95" s="278"/>
      <c r="CT95" s="278"/>
      <c r="CU95" s="278"/>
      <c r="CV95" s="278"/>
      <c r="CW95" s="278"/>
      <c r="CX95" s="278"/>
      <c r="CY95" s="278"/>
      <c r="CZ95" s="278"/>
      <c r="DA95" s="278"/>
      <c r="DB95" s="278"/>
      <c r="DC95" s="278"/>
      <c r="DD95" s="278"/>
      <c r="DE95" s="278"/>
      <c r="DF95" s="278"/>
      <c r="DG95" s="278"/>
      <c r="DH95" s="278"/>
      <c r="DI95" s="278"/>
      <c r="DJ95" s="278"/>
      <c r="DK95" s="278"/>
      <c r="DL95" s="278"/>
      <c r="DM95" s="278"/>
      <c r="DN95" s="278"/>
      <c r="DO95" s="278"/>
      <c r="DP95" s="278"/>
      <c r="DQ95" s="278"/>
      <c r="DR95" s="278"/>
      <c r="DS95" s="278"/>
      <c r="DT95" s="278"/>
      <c r="DU95" s="278"/>
      <c r="DV95" s="278"/>
      <c r="DW95" s="278"/>
      <c r="DX95" s="278"/>
      <c r="DY95" s="278"/>
      <c r="DZ95" s="278"/>
      <c r="EA95" s="278"/>
      <c r="EB95" s="278"/>
      <c r="EC95" s="278"/>
      <c r="ED95" s="278"/>
      <c r="EE95" s="278"/>
      <c r="EF95" s="278"/>
      <c r="EG95" s="278"/>
      <c r="EH95" s="278"/>
      <c r="EI95" s="278"/>
      <c r="EJ95" s="278"/>
      <c r="EK95" s="278"/>
      <c r="EL95" s="278"/>
      <c r="EM95" s="278"/>
      <c r="EN95" s="278"/>
      <c r="EO95" s="278"/>
      <c r="EP95" s="278"/>
      <c r="EQ95" s="278"/>
      <c r="ER95" s="278"/>
      <c r="ES95" s="278"/>
      <c r="ET95" s="278"/>
      <c r="EU95" s="278"/>
      <c r="EV95" s="278"/>
      <c r="EW95" s="278"/>
      <c r="EX95" s="278"/>
      <c r="EY95" s="278"/>
      <c r="EZ95" s="278"/>
      <c r="FA95" s="43"/>
      <c r="FB95" s="43"/>
      <c r="FC95" s="43"/>
      <c r="FD95" s="43"/>
      <c r="FE95" s="43"/>
      <c r="FF95" s="43"/>
      <c r="FG95" s="43"/>
      <c r="FH95" s="43"/>
      <c r="FI95" s="43"/>
      <c r="FJ95" s="43"/>
      <c r="FK95" s="43"/>
      <c r="FL95" s="43"/>
      <c r="FM95" s="338"/>
      <c r="FN95" s="78"/>
      <c r="FO95" s="78"/>
      <c r="FP95" s="93">
        <f ca="1">0.5*Blad1!AA20</f>
        <v>0</v>
      </c>
      <c r="FQ95" s="93">
        <f ca="1">IF(FN3=5,ROUND(3*Blad1!AA3+1,0),6*ROUND(3*Blad1!AA3+1,0))</f>
        <v>432006</v>
      </c>
      <c r="FR95" s="78">
        <f ca="1">Blad1!AA14</f>
        <v>24</v>
      </c>
      <c r="FS95" s="78"/>
      <c r="FT95" s="78"/>
      <c r="FU95" s="78"/>
      <c r="FV95" s="78"/>
      <c r="FW95" s="78"/>
      <c r="FX95" s="78"/>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78"/>
      <c r="HO95" s="78"/>
      <c r="HP95" s="78"/>
      <c r="HQ95" s="13"/>
      <c r="HR95" s="13"/>
      <c r="HS95" s="13"/>
      <c r="HT95" s="13"/>
      <c r="HU95" s="13"/>
      <c r="HV95" s="13"/>
      <c r="HW95" s="13"/>
      <c r="HX95" s="13"/>
      <c r="HY95" s="13"/>
      <c r="HZ95" s="13"/>
      <c r="IA95" s="13"/>
    </row>
    <row r="96" spans="1:235" ht="9.75" customHeight="1">
      <c r="A96" s="1"/>
      <c r="B96" s="3"/>
      <c r="C96" s="3"/>
      <c r="D96" s="333"/>
      <c r="E96" s="333"/>
      <c r="F96" s="278"/>
      <c r="G96" s="278"/>
      <c r="H96" s="278"/>
      <c r="I96" s="278"/>
      <c r="J96" s="278"/>
      <c r="K96" s="278"/>
      <c r="L96" s="278"/>
      <c r="M96" s="278"/>
      <c r="N96" s="278"/>
      <c r="O96" s="278"/>
      <c r="P96" s="278"/>
      <c r="Q96" s="328"/>
      <c r="R96" s="328"/>
      <c r="S96" s="278"/>
      <c r="T96" s="172"/>
      <c r="U96" s="328"/>
      <c r="V96" s="278"/>
      <c r="W96" s="278"/>
      <c r="X96" s="278"/>
      <c r="Y96" s="278"/>
      <c r="Z96" s="278"/>
      <c r="AA96" s="278"/>
      <c r="AB96" s="278"/>
      <c r="AC96" s="278"/>
      <c r="AD96" s="328"/>
      <c r="AE96" s="328"/>
      <c r="AF96" s="278"/>
      <c r="AG96" s="172"/>
      <c r="AH96" s="328"/>
      <c r="AI96" s="328"/>
      <c r="AJ96" s="328"/>
      <c r="AK96" s="43"/>
      <c r="AL96" s="43"/>
      <c r="AM96" s="43"/>
      <c r="AN96" s="328"/>
      <c r="AO96" s="328"/>
      <c r="AP96" s="328"/>
      <c r="AQ96" s="328"/>
      <c r="AR96" s="328"/>
      <c r="AS96" s="328"/>
      <c r="AT96" s="328"/>
      <c r="AU96" s="328"/>
      <c r="AV96" s="328"/>
      <c r="AW96" s="328"/>
      <c r="AX96" s="328"/>
      <c r="AY96" s="328"/>
      <c r="AZ96" s="328"/>
      <c r="BA96" s="328"/>
      <c r="BB96" s="328"/>
      <c r="BC96" s="328"/>
      <c r="BD96" s="328"/>
      <c r="BE96" s="328"/>
      <c r="BF96" s="328"/>
      <c r="BG96" s="328"/>
      <c r="BH96" s="328"/>
      <c r="BI96" s="178"/>
      <c r="BJ96" s="178"/>
      <c r="BK96" s="337"/>
      <c r="BL96" s="328"/>
      <c r="BM96" s="328"/>
      <c r="BN96" s="328"/>
      <c r="BO96" s="172"/>
      <c r="BP96" s="172"/>
      <c r="BQ96" s="278"/>
      <c r="BR96" s="278"/>
      <c r="BS96" s="43"/>
      <c r="BT96" s="43"/>
      <c r="BU96" s="43"/>
      <c r="BV96" s="43"/>
      <c r="BW96" s="43"/>
      <c r="BX96" s="43"/>
      <c r="BY96" s="43"/>
      <c r="BZ96" s="43"/>
      <c r="CA96" s="43"/>
      <c r="CB96" s="43"/>
      <c r="CC96" s="43"/>
      <c r="CD96" s="43"/>
      <c r="CE96" s="43"/>
      <c r="CF96" s="43"/>
      <c r="CG96" s="43"/>
      <c r="CH96" s="43"/>
      <c r="CI96" s="43"/>
      <c r="CJ96" s="43"/>
      <c r="CK96" s="278"/>
      <c r="CL96" s="278"/>
      <c r="CM96" s="278"/>
      <c r="CN96" s="328"/>
      <c r="CO96" s="328"/>
      <c r="CP96" s="278"/>
      <c r="CQ96" s="172"/>
      <c r="CR96" s="328"/>
      <c r="CS96" s="328"/>
      <c r="CT96" s="328"/>
      <c r="CU96" s="43"/>
      <c r="CV96" s="43"/>
      <c r="CW96" s="43"/>
      <c r="CX96" s="43"/>
      <c r="CY96" s="43"/>
      <c r="CZ96" s="43"/>
      <c r="DA96" s="43"/>
      <c r="DB96" s="106"/>
      <c r="DC96" s="106"/>
      <c r="DD96" s="278"/>
      <c r="DE96" s="278"/>
      <c r="DF96" s="278"/>
      <c r="DG96" s="278"/>
      <c r="DH96" s="278"/>
      <c r="DI96" s="278"/>
      <c r="DJ96" s="278"/>
      <c r="DK96" s="278"/>
      <c r="DL96" s="278"/>
      <c r="DM96" s="278"/>
      <c r="DN96" s="278"/>
      <c r="DO96" s="278"/>
      <c r="DP96" s="278"/>
      <c r="DQ96" s="278"/>
      <c r="DR96" s="278"/>
      <c r="DS96" s="278"/>
      <c r="DT96" s="278"/>
      <c r="DU96" s="278"/>
      <c r="DV96" s="328"/>
      <c r="DW96" s="328"/>
      <c r="DX96" s="328"/>
      <c r="DY96" s="172"/>
      <c r="DZ96" s="172"/>
      <c r="EA96" s="278"/>
      <c r="EB96" s="278"/>
      <c r="EC96" s="337"/>
      <c r="ED96" s="337"/>
      <c r="EE96" s="337"/>
      <c r="EF96" s="337"/>
      <c r="EG96" s="337"/>
      <c r="EH96" s="337"/>
      <c r="EI96" s="337"/>
      <c r="EJ96" s="337"/>
      <c r="EK96" s="337"/>
      <c r="EL96" s="337"/>
      <c r="EM96" s="337"/>
      <c r="EN96" s="337"/>
      <c r="EO96" s="337"/>
      <c r="EP96" s="337"/>
      <c r="EQ96" s="337"/>
      <c r="ER96" s="337"/>
      <c r="ES96" s="337"/>
      <c r="ET96" s="337"/>
      <c r="EU96" s="328"/>
      <c r="EV96" s="278"/>
      <c r="EW96" s="278"/>
      <c r="EX96" s="278"/>
      <c r="EY96" s="278"/>
      <c r="EZ96" s="278"/>
      <c r="FA96" s="278"/>
      <c r="FB96" s="278"/>
      <c r="FC96" s="278"/>
      <c r="FD96" s="278"/>
      <c r="FE96" s="278"/>
      <c r="FF96" s="278"/>
      <c r="FG96" s="278"/>
      <c r="FH96" s="43"/>
      <c r="FI96" s="43"/>
      <c r="FJ96" s="43"/>
      <c r="FK96" s="43"/>
      <c r="FL96" s="278"/>
      <c r="FM96" s="183"/>
      <c r="FN96" s="183"/>
      <c r="FO96" s="185"/>
      <c r="FP96" s="183"/>
      <c r="FQ96" s="183"/>
      <c r="FR96" s="49"/>
      <c r="FS96" s="49"/>
      <c r="FT96" s="49"/>
      <c r="FU96" s="49"/>
      <c r="FV96" s="49"/>
      <c r="FW96" s="49"/>
      <c r="FX96" s="49"/>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78"/>
      <c r="HO96" s="78"/>
      <c r="HP96" s="78"/>
      <c r="HQ96" s="13"/>
      <c r="HR96" s="13"/>
      <c r="HS96" s="13"/>
      <c r="HT96" s="13"/>
      <c r="HU96" s="13"/>
      <c r="HV96" s="13"/>
      <c r="HW96" s="13"/>
      <c r="HX96" s="13"/>
      <c r="HY96" s="13"/>
      <c r="HZ96" s="13"/>
      <c r="IA96" s="13"/>
    </row>
    <row r="97" spans="1:235" ht="16.5" customHeight="1">
      <c r="A97" s="1"/>
      <c r="B97" s="3"/>
      <c r="C97" s="3"/>
      <c r="D97" s="124" t="str">
        <f ca="1">IF(FO28=0,"","Dit zijn de stappen die je moet zetten:")</f>
        <v/>
      </c>
      <c r="E97" s="333"/>
      <c r="F97" s="333"/>
      <c r="G97" s="333"/>
      <c r="H97" s="333"/>
      <c r="I97" s="333"/>
      <c r="J97" s="278"/>
      <c r="K97" s="278"/>
      <c r="L97" s="278"/>
      <c r="M97" s="278"/>
      <c r="N97" s="278"/>
      <c r="O97" s="278"/>
      <c r="P97" s="278"/>
      <c r="Q97" s="278"/>
      <c r="R97" s="278"/>
      <c r="S97" s="278"/>
      <c r="T97" s="278"/>
      <c r="U97" s="278"/>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278"/>
      <c r="CQ97" s="278"/>
      <c r="CR97" s="278"/>
      <c r="CS97" s="278"/>
      <c r="CT97" s="278"/>
      <c r="CU97" s="278"/>
      <c r="CV97" s="278"/>
      <c r="CW97" s="278"/>
      <c r="CX97" s="278"/>
      <c r="CY97" s="278"/>
      <c r="CZ97" s="278"/>
      <c r="DA97" s="278"/>
      <c r="DB97" s="278"/>
      <c r="DC97" s="278"/>
      <c r="DD97" s="278"/>
      <c r="DE97" s="278"/>
      <c r="DF97" s="278"/>
      <c r="DG97" s="278"/>
      <c r="DH97" s="278"/>
      <c r="DI97" s="278"/>
      <c r="DJ97" s="278"/>
      <c r="DK97" s="278"/>
      <c r="DL97" s="278"/>
      <c r="DM97" s="278"/>
      <c r="DN97" s="278"/>
      <c r="DO97" s="278"/>
      <c r="DP97" s="278"/>
      <c r="DQ97" s="278"/>
      <c r="DR97" s="278"/>
      <c r="DS97" s="278"/>
      <c r="DT97" s="278"/>
      <c r="DU97" s="278"/>
      <c r="DV97" s="278"/>
      <c r="DW97" s="278"/>
      <c r="DX97" s="278"/>
      <c r="DY97" s="278"/>
      <c r="DZ97" s="278"/>
      <c r="EA97" s="278"/>
      <c r="EB97" s="278"/>
      <c r="EC97" s="278"/>
      <c r="ED97" s="278"/>
      <c r="EE97" s="278"/>
      <c r="EF97" s="278"/>
      <c r="EG97" s="278"/>
      <c r="EH97" s="278"/>
      <c r="EI97" s="278"/>
      <c r="EJ97" s="278"/>
      <c r="EK97" s="278"/>
      <c r="EL97" s="278"/>
      <c r="EM97" s="278"/>
      <c r="EN97" s="278"/>
      <c r="EO97" s="278"/>
      <c r="EP97" s="278"/>
      <c r="EQ97" s="278"/>
      <c r="ER97" s="278"/>
      <c r="ES97" s="278"/>
      <c r="ET97" s="278"/>
      <c r="EU97" s="278"/>
      <c r="EV97" s="278"/>
      <c r="EW97" s="278"/>
      <c r="EX97" s="278"/>
      <c r="EY97" s="278"/>
      <c r="EZ97" s="278"/>
      <c r="FA97" s="43"/>
      <c r="FB97" s="43"/>
      <c r="FC97" s="43"/>
      <c r="FD97" s="43"/>
      <c r="FE97" s="43"/>
      <c r="FF97" s="43"/>
      <c r="FG97" s="43"/>
      <c r="FH97" s="43"/>
      <c r="FI97" s="43"/>
      <c r="FJ97" s="43"/>
      <c r="FK97" s="43"/>
      <c r="FL97" s="43"/>
      <c r="FM97" s="338"/>
      <c r="FN97" s="78"/>
      <c r="FO97" s="78"/>
      <c r="FP97" s="78"/>
      <c r="FQ97" s="78"/>
      <c r="FR97" s="78"/>
      <c r="FS97" s="78"/>
      <c r="FT97" s="78"/>
      <c r="FU97" s="78"/>
      <c r="FV97" s="78"/>
      <c r="FW97" s="78"/>
      <c r="FX97" s="78"/>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78"/>
      <c r="HO97" s="78"/>
      <c r="HP97" s="78"/>
      <c r="HQ97" s="13"/>
      <c r="HR97" s="13"/>
      <c r="HS97" s="13"/>
      <c r="HT97" s="13"/>
      <c r="HU97" s="13"/>
      <c r="HV97" s="13"/>
      <c r="HW97" s="13"/>
      <c r="HX97" s="13"/>
      <c r="HY97" s="13"/>
      <c r="HZ97" s="13"/>
      <c r="IA97" s="13"/>
    </row>
    <row r="98" spans="1:235" ht="9.75" customHeight="1">
      <c r="A98" s="1"/>
      <c r="B98" s="3"/>
      <c r="C98" s="3"/>
      <c r="D98" s="333"/>
      <c r="E98" s="333"/>
      <c r="F98" s="278"/>
      <c r="G98" s="278"/>
      <c r="H98" s="278"/>
      <c r="I98" s="278"/>
      <c r="J98" s="278"/>
      <c r="K98" s="278"/>
      <c r="L98" s="278"/>
      <c r="M98" s="278"/>
      <c r="N98" s="278"/>
      <c r="O98" s="278"/>
      <c r="P98" s="278"/>
      <c r="Q98" s="328"/>
      <c r="R98" s="328"/>
      <c r="S98" s="278"/>
      <c r="T98" s="172"/>
      <c r="U98" s="328"/>
      <c r="V98" s="278"/>
      <c r="W98" s="278"/>
      <c r="X98" s="278"/>
      <c r="Y98" s="278"/>
      <c r="Z98" s="278"/>
      <c r="AA98" s="278"/>
      <c r="AB98" s="278"/>
      <c r="AC98" s="278"/>
      <c r="AD98" s="328"/>
      <c r="AE98" s="328"/>
      <c r="AF98" s="278"/>
      <c r="AG98" s="172"/>
      <c r="AH98" s="328"/>
      <c r="AI98" s="328"/>
      <c r="AJ98" s="328"/>
      <c r="AK98" s="43"/>
      <c r="AL98" s="43"/>
      <c r="AM98" s="43"/>
      <c r="AN98" s="328"/>
      <c r="AO98" s="328"/>
      <c r="AP98" s="328"/>
      <c r="AQ98" s="328"/>
      <c r="AR98" s="328"/>
      <c r="AS98" s="328"/>
      <c r="AT98" s="328"/>
      <c r="AU98" s="328"/>
      <c r="AV98" s="328"/>
      <c r="AW98" s="328"/>
      <c r="AX98" s="328"/>
      <c r="AY98" s="328"/>
      <c r="AZ98" s="328"/>
      <c r="BA98" s="328"/>
      <c r="BB98" s="328"/>
      <c r="BC98" s="328"/>
      <c r="BD98" s="328"/>
      <c r="BE98" s="328"/>
      <c r="BF98" s="328"/>
      <c r="BG98" s="328"/>
      <c r="BH98" s="328"/>
      <c r="BI98" s="178"/>
      <c r="BJ98" s="178"/>
      <c r="BK98" s="337"/>
      <c r="BL98" s="328"/>
      <c r="BM98" s="328"/>
      <c r="BN98" s="328"/>
      <c r="BO98" s="172"/>
      <c r="BP98" s="172"/>
      <c r="BQ98" s="278"/>
      <c r="BR98" s="278"/>
      <c r="BS98" s="43"/>
      <c r="BT98" s="43"/>
      <c r="BU98" s="43"/>
      <c r="BV98" s="43"/>
      <c r="BW98" s="43"/>
      <c r="BX98" s="43"/>
      <c r="BY98" s="43"/>
      <c r="BZ98" s="43"/>
      <c r="CA98" s="43"/>
      <c r="CB98" s="43"/>
      <c r="CC98" s="43"/>
      <c r="CD98" s="43"/>
      <c r="CE98" s="43"/>
      <c r="CF98" s="43"/>
      <c r="CG98" s="43"/>
      <c r="CH98" s="43"/>
      <c r="CI98" s="43"/>
      <c r="CJ98" s="43"/>
      <c r="CK98" s="278"/>
      <c r="CL98" s="278"/>
      <c r="CM98" s="278"/>
      <c r="CN98" s="328"/>
      <c r="CO98" s="328"/>
      <c r="CP98" s="278"/>
      <c r="CQ98" s="172"/>
      <c r="CR98" s="328"/>
      <c r="CS98" s="328"/>
      <c r="CT98" s="328"/>
      <c r="CU98" s="43"/>
      <c r="CV98" s="43"/>
      <c r="CW98" s="43"/>
      <c r="CX98" s="43"/>
      <c r="CY98" s="43"/>
      <c r="CZ98" s="43"/>
      <c r="DA98" s="43"/>
      <c r="DB98" s="106"/>
      <c r="DC98" s="106"/>
      <c r="DD98" s="278"/>
      <c r="DE98" s="278"/>
      <c r="DF98" s="278"/>
      <c r="DG98" s="278"/>
      <c r="DH98" s="278"/>
      <c r="DI98" s="278"/>
      <c r="DJ98" s="278"/>
      <c r="DK98" s="278"/>
      <c r="DL98" s="278"/>
      <c r="DM98" s="278"/>
      <c r="DN98" s="278"/>
      <c r="DO98" s="278"/>
      <c r="DP98" s="278"/>
      <c r="DQ98" s="278"/>
      <c r="DR98" s="278"/>
      <c r="DS98" s="278"/>
      <c r="DT98" s="278"/>
      <c r="DU98" s="278"/>
      <c r="DV98" s="328"/>
      <c r="DW98" s="328"/>
      <c r="DX98" s="328"/>
      <c r="DY98" s="172"/>
      <c r="DZ98" s="172"/>
      <c r="EA98" s="278"/>
      <c r="EB98" s="278"/>
      <c r="EC98" s="337"/>
      <c r="ED98" s="337"/>
      <c r="EE98" s="337"/>
      <c r="EF98" s="337"/>
      <c r="EG98" s="337"/>
      <c r="EH98" s="337"/>
      <c r="EI98" s="337"/>
      <c r="EJ98" s="337"/>
      <c r="EK98" s="337"/>
      <c r="EL98" s="337"/>
      <c r="EM98" s="337"/>
      <c r="EN98" s="337"/>
      <c r="EO98" s="337"/>
      <c r="EP98" s="337"/>
      <c r="EQ98" s="337"/>
      <c r="ER98" s="337"/>
      <c r="ES98" s="337"/>
      <c r="ET98" s="337"/>
      <c r="EU98" s="328"/>
      <c r="EV98" s="278"/>
      <c r="EW98" s="278"/>
      <c r="EX98" s="278"/>
      <c r="EY98" s="278"/>
      <c r="EZ98" s="278"/>
      <c r="FA98" s="278"/>
      <c r="FB98" s="278"/>
      <c r="FC98" s="278"/>
      <c r="FD98" s="278"/>
      <c r="FE98" s="278"/>
      <c r="FF98" s="278"/>
      <c r="FG98" s="278"/>
      <c r="FH98" s="43"/>
      <c r="FI98" s="43"/>
      <c r="FJ98" s="43"/>
      <c r="FK98" s="43"/>
      <c r="FL98" s="278"/>
      <c r="FM98" s="183"/>
      <c r="FN98" s="183"/>
      <c r="FO98" s="185"/>
      <c r="FP98" s="183"/>
      <c r="FQ98" s="183"/>
      <c r="FR98" s="49"/>
      <c r="FS98" s="49"/>
      <c r="FT98" s="49"/>
      <c r="FU98" s="49"/>
      <c r="FV98" s="49"/>
      <c r="FW98" s="49"/>
      <c r="FX98" s="49"/>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78"/>
      <c r="HO98" s="78"/>
      <c r="HP98" s="78"/>
      <c r="HQ98" s="13"/>
      <c r="HR98" s="13"/>
      <c r="HS98" s="13"/>
      <c r="HT98" s="13"/>
      <c r="HU98" s="13"/>
      <c r="HV98" s="13"/>
      <c r="HW98" s="13"/>
      <c r="HX98" s="13"/>
      <c r="HY98" s="13"/>
      <c r="HZ98" s="13"/>
      <c r="IA98" s="13"/>
    </row>
    <row r="99" spans="1:235" ht="16.5" customHeight="1">
      <c r="A99" s="1"/>
      <c r="B99" s="3"/>
      <c r="C99" s="3"/>
      <c r="D99" s="124"/>
      <c r="E99" s="333"/>
      <c r="F99" s="333"/>
      <c r="G99" s="333"/>
      <c r="H99" s="333"/>
      <c r="I99" s="333"/>
      <c r="J99" s="43"/>
      <c r="K99" s="43"/>
      <c r="L99" s="43"/>
      <c r="M99" s="43"/>
      <c r="N99" s="133" t="str">
        <f ca="1">IF(FO28=0,"","1.")</f>
        <v/>
      </c>
      <c r="O99" s="43"/>
      <c r="P99" s="335" t="str">
        <f ca="1">IF(FO28=0,"","Bij volkomen concurrentie vind je de marktprijs door te kijken naar")</f>
        <v/>
      </c>
      <c r="Q99" s="278"/>
      <c r="R99" s="278"/>
      <c r="S99" s="278"/>
      <c r="T99" s="278"/>
      <c r="U99" s="278"/>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278"/>
      <c r="CQ99" s="278"/>
      <c r="CR99" s="278"/>
      <c r="CS99" s="278"/>
      <c r="CT99" s="278"/>
      <c r="CU99" s="278"/>
      <c r="CV99" s="278"/>
      <c r="CW99" s="278"/>
      <c r="CX99" s="278"/>
      <c r="CY99" s="278"/>
      <c r="CZ99" s="278"/>
      <c r="DA99" s="278"/>
      <c r="DB99" s="278"/>
      <c r="DC99" s="278"/>
      <c r="DD99" s="278"/>
      <c r="DE99" s="278"/>
      <c r="DF99" s="278"/>
      <c r="DG99" s="278"/>
      <c r="DH99" s="278"/>
      <c r="DI99" s="278"/>
      <c r="DJ99" s="278"/>
      <c r="DK99" s="278"/>
      <c r="DL99" s="278"/>
      <c r="DM99" s="278"/>
      <c r="DN99" s="278"/>
      <c r="DO99" s="278"/>
      <c r="DP99" s="278"/>
      <c r="DQ99" s="278"/>
      <c r="DR99" s="278"/>
      <c r="DS99" s="278"/>
      <c r="DT99" s="278"/>
      <c r="DU99" s="278"/>
      <c r="DV99" s="278"/>
      <c r="DW99" s="278"/>
      <c r="DX99" s="278"/>
      <c r="DY99" s="278"/>
      <c r="DZ99" s="278"/>
      <c r="EA99" s="278"/>
      <c r="EB99" s="278"/>
      <c r="EC99" s="278"/>
      <c r="ED99" s="278"/>
      <c r="EE99" s="278"/>
      <c r="EF99" s="278"/>
      <c r="EG99" s="278"/>
      <c r="EH99" s="278"/>
      <c r="EI99" s="278"/>
      <c r="EJ99" s="278"/>
      <c r="EK99" s="278"/>
      <c r="EL99" s="278"/>
      <c r="EM99" s="278"/>
      <c r="EN99" s="278"/>
      <c r="EO99" s="278"/>
      <c r="EP99" s="278"/>
      <c r="EQ99" s="278"/>
      <c r="ER99" s="278"/>
      <c r="ES99" s="278"/>
      <c r="ET99" s="278"/>
      <c r="EU99" s="278"/>
      <c r="EV99" s="278"/>
      <c r="EW99" s="278"/>
      <c r="EX99" s="278"/>
      <c r="EY99" s="278"/>
      <c r="EZ99" s="278"/>
      <c r="FA99" s="43"/>
      <c r="FB99" s="43"/>
      <c r="FC99" s="43"/>
      <c r="FD99" s="43"/>
      <c r="FE99" s="43"/>
      <c r="FF99" s="43"/>
      <c r="FG99" s="43"/>
      <c r="FH99" s="43"/>
      <c r="FI99" s="43"/>
      <c r="FJ99" s="43"/>
      <c r="FK99" s="43"/>
      <c r="FL99" s="43"/>
      <c r="FM99" s="338"/>
      <c r="FN99" s="78"/>
      <c r="FO99" s="78"/>
      <c r="FP99" s="93"/>
      <c r="FQ99" s="93"/>
      <c r="FR99" s="78"/>
      <c r="FS99" s="78"/>
      <c r="FT99" s="78"/>
      <c r="FU99" s="78"/>
      <c r="FV99" s="78"/>
      <c r="FW99" s="78"/>
      <c r="FX99" s="78"/>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78"/>
      <c r="HO99" s="78"/>
      <c r="HP99" s="78"/>
      <c r="HQ99" s="13"/>
      <c r="HR99" s="13"/>
      <c r="HS99" s="13"/>
      <c r="HT99" s="13"/>
      <c r="HU99" s="13"/>
      <c r="HV99" s="13"/>
      <c r="HW99" s="13"/>
      <c r="HX99" s="13"/>
      <c r="HY99" s="13"/>
      <c r="HZ99" s="13"/>
      <c r="IA99" s="13"/>
    </row>
    <row r="100" spans="1:235" ht="16.5" customHeight="1">
      <c r="A100" s="1"/>
      <c r="B100" s="3"/>
      <c r="C100" s="3"/>
      <c r="D100" s="124"/>
      <c r="E100" s="333"/>
      <c r="F100" s="333"/>
      <c r="G100" s="333"/>
      <c r="H100" s="333"/>
      <c r="I100" s="333"/>
      <c r="J100" s="43"/>
      <c r="K100" s="43"/>
      <c r="L100" s="43"/>
      <c r="M100" s="43"/>
      <c r="N100" s="133"/>
      <c r="O100" s="43"/>
      <c r="P100" s="335" t="str">
        <f ca="1">IF(FO28=0,"","het snijpunt van GO en MK. Omdat MK vastligt, is de marktprijs snel")</f>
        <v/>
      </c>
      <c r="Q100" s="278"/>
      <c r="R100" s="278"/>
      <c r="S100" s="278"/>
      <c r="T100" s="278"/>
      <c r="U100" s="278"/>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278"/>
      <c r="CQ100" s="278"/>
      <c r="CR100" s="278"/>
      <c r="CS100" s="278"/>
      <c r="CT100" s="278"/>
      <c r="CU100" s="278"/>
      <c r="CV100" s="278"/>
      <c r="CW100" s="278"/>
      <c r="CX100" s="278"/>
      <c r="CY100" s="278"/>
      <c r="CZ100" s="278"/>
      <c r="DA100" s="278"/>
      <c r="DB100" s="278"/>
      <c r="DC100" s="278"/>
      <c r="DD100" s="278"/>
      <c r="DE100" s="278"/>
      <c r="DF100" s="278"/>
      <c r="DG100" s="278"/>
      <c r="DH100" s="278"/>
      <c r="DI100" s="278"/>
      <c r="DJ100" s="278"/>
      <c r="DK100" s="278"/>
      <c r="DL100" s="278"/>
      <c r="DM100" s="278"/>
      <c r="DN100" s="278"/>
      <c r="DO100" s="278"/>
      <c r="DP100" s="278"/>
      <c r="DQ100" s="278"/>
      <c r="DR100" s="278"/>
      <c r="DS100" s="278"/>
      <c r="DT100" s="278"/>
      <c r="DU100" s="278"/>
      <c r="DV100" s="278"/>
      <c r="DW100" s="278"/>
      <c r="DX100" s="278"/>
      <c r="DY100" s="278"/>
      <c r="DZ100" s="278"/>
      <c r="EA100" s="278"/>
      <c r="EB100" s="278"/>
      <c r="EC100" s="278"/>
      <c r="ED100" s="278"/>
      <c r="EE100" s="278"/>
      <c r="EF100" s="278"/>
      <c r="EG100" s="278"/>
      <c r="EH100" s="278"/>
      <c r="EI100" s="278"/>
      <c r="EJ100" s="278"/>
      <c r="EK100" s="278"/>
      <c r="EL100" s="278"/>
      <c r="EM100" s="278"/>
      <c r="EN100" s="278"/>
      <c r="EO100" s="278"/>
      <c r="EP100" s="278"/>
      <c r="EQ100" s="278"/>
      <c r="ER100" s="278"/>
      <c r="ES100" s="278"/>
      <c r="ET100" s="278"/>
      <c r="EU100" s="278"/>
      <c r="EV100" s="278"/>
      <c r="EW100" s="278"/>
      <c r="EX100" s="278"/>
      <c r="EY100" s="278"/>
      <c r="EZ100" s="278"/>
      <c r="FA100" s="43"/>
      <c r="FB100" s="43"/>
      <c r="FC100" s="43"/>
      <c r="FD100" s="43"/>
      <c r="FE100" s="43"/>
      <c r="FF100" s="43"/>
      <c r="FG100" s="43"/>
      <c r="FH100" s="43"/>
      <c r="FI100" s="43"/>
      <c r="FJ100" s="43"/>
      <c r="FK100" s="43"/>
      <c r="FL100" s="43"/>
      <c r="FM100" s="338"/>
      <c r="FN100" s="78"/>
      <c r="FO100" s="78"/>
      <c r="FP100" s="93"/>
      <c r="FQ100" s="93"/>
      <c r="FR100" s="78"/>
      <c r="FS100" s="78"/>
      <c r="FT100" s="78"/>
      <c r="FU100" s="78"/>
      <c r="FV100" s="78"/>
      <c r="FW100" s="78"/>
      <c r="FX100" s="78"/>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78"/>
      <c r="HO100" s="78"/>
      <c r="HP100" s="78"/>
      <c r="HQ100" s="13"/>
      <c r="HR100" s="13"/>
      <c r="HS100" s="13"/>
      <c r="HT100" s="13"/>
      <c r="HU100" s="13"/>
      <c r="HV100" s="13"/>
      <c r="HW100" s="13"/>
      <c r="HX100" s="13"/>
      <c r="HY100" s="13"/>
      <c r="HZ100" s="13"/>
      <c r="IA100" s="13"/>
    </row>
    <row r="101" spans="1:235" ht="16.5" customHeight="1">
      <c r="A101" s="1"/>
      <c r="B101" s="3"/>
      <c r="C101" s="3"/>
      <c r="D101" s="124"/>
      <c r="E101" s="333"/>
      <c r="F101" s="333"/>
      <c r="G101" s="333"/>
      <c r="H101" s="333"/>
      <c r="I101" s="333"/>
      <c r="J101" s="43"/>
      <c r="K101" s="43"/>
      <c r="L101" s="43"/>
      <c r="M101" s="43"/>
      <c r="N101" s="133"/>
      <c r="O101" s="43"/>
      <c r="P101" s="335" t="str">
        <f ca="1">IF(FO28=0,"","gevonden. Die is gelijk aan MK. Door de marktprijs (dus MK) in te")</f>
        <v/>
      </c>
      <c r="Q101" s="278"/>
      <c r="R101" s="278"/>
      <c r="S101" s="278"/>
      <c r="T101" s="278"/>
      <c r="U101" s="278"/>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278"/>
      <c r="CQ101" s="278"/>
      <c r="CR101" s="278"/>
      <c r="CS101" s="278"/>
      <c r="CT101" s="278"/>
      <c r="CU101" s="278"/>
      <c r="CV101" s="278"/>
      <c r="CW101" s="278"/>
      <c r="CX101" s="278"/>
      <c r="CY101" s="278"/>
      <c r="CZ101" s="278"/>
      <c r="DA101" s="278"/>
      <c r="DB101" s="278"/>
      <c r="DC101" s="278"/>
      <c r="DD101" s="278"/>
      <c r="DE101" s="278"/>
      <c r="DF101" s="278"/>
      <c r="DG101" s="278"/>
      <c r="DH101" s="278"/>
      <c r="DI101" s="278"/>
      <c r="DJ101" s="278"/>
      <c r="DK101" s="278"/>
      <c r="DL101" s="278"/>
      <c r="DM101" s="278"/>
      <c r="DN101" s="278"/>
      <c r="DO101" s="278"/>
      <c r="DP101" s="278"/>
      <c r="DQ101" s="278"/>
      <c r="DR101" s="278"/>
      <c r="DS101" s="278"/>
      <c r="DT101" s="278"/>
      <c r="DU101" s="278"/>
      <c r="DV101" s="278"/>
      <c r="DW101" s="278"/>
      <c r="DX101" s="278"/>
      <c r="DY101" s="278"/>
      <c r="DZ101" s="278"/>
      <c r="EA101" s="278"/>
      <c r="EB101" s="278"/>
      <c r="EC101" s="278"/>
      <c r="ED101" s="278"/>
      <c r="EE101" s="278"/>
      <c r="EF101" s="278"/>
      <c r="EG101" s="278"/>
      <c r="EH101" s="278"/>
      <c r="EI101" s="278"/>
      <c r="EJ101" s="278"/>
      <c r="EK101" s="278"/>
      <c r="EL101" s="278"/>
      <c r="EM101" s="278"/>
      <c r="EN101" s="278"/>
      <c r="EO101" s="278"/>
      <c r="EP101" s="278"/>
      <c r="EQ101" s="278"/>
      <c r="ER101" s="278"/>
      <c r="ES101" s="278"/>
      <c r="ET101" s="278"/>
      <c r="EU101" s="278"/>
      <c r="EV101" s="278"/>
      <c r="EW101" s="278"/>
      <c r="EX101" s="278"/>
      <c r="EY101" s="278"/>
      <c r="EZ101" s="278"/>
      <c r="FA101" s="43"/>
      <c r="FB101" s="43"/>
      <c r="FC101" s="43"/>
      <c r="FD101" s="43"/>
      <c r="FE101" s="43"/>
      <c r="FF101" s="43"/>
      <c r="FG101" s="43"/>
      <c r="FH101" s="43"/>
      <c r="FI101" s="43"/>
      <c r="FJ101" s="43"/>
      <c r="FK101" s="43"/>
      <c r="FL101" s="43"/>
      <c r="FM101" s="338"/>
      <c r="FN101" s="78"/>
      <c r="FO101" s="78"/>
      <c r="FP101" s="93"/>
      <c r="FQ101" s="93"/>
      <c r="FR101" s="78"/>
      <c r="FS101" s="78"/>
      <c r="FT101" s="78"/>
      <c r="FU101" s="78"/>
      <c r="FV101" s="78"/>
      <c r="FW101" s="78"/>
      <c r="FX101" s="78"/>
      <c r="FY101" s="32"/>
      <c r="FZ101" s="32"/>
      <c r="GA101" s="32"/>
      <c r="GB101" s="32"/>
      <c r="GC101" s="32"/>
      <c r="GD101" s="32"/>
      <c r="GE101" s="32"/>
      <c r="GF101" s="32"/>
      <c r="GG101" s="32"/>
      <c r="GH101" s="32"/>
      <c r="GI101" s="32"/>
      <c r="GJ101" s="32"/>
      <c r="GK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78"/>
      <c r="HO101" s="78"/>
      <c r="HP101" s="78"/>
      <c r="HQ101" s="13"/>
      <c r="HR101" s="13"/>
      <c r="HS101" s="13"/>
      <c r="HT101" s="13"/>
      <c r="HU101" s="13"/>
      <c r="HV101" s="13"/>
      <c r="HW101" s="13"/>
      <c r="HX101" s="13"/>
      <c r="HY101" s="13"/>
      <c r="HZ101" s="13"/>
      <c r="IA101" s="13"/>
    </row>
    <row r="102" spans="1:235" ht="16.5" customHeight="1">
      <c r="A102" s="1"/>
      <c r="B102" s="3"/>
      <c r="C102" s="3"/>
      <c r="D102" s="124"/>
      <c r="E102" s="333"/>
      <c r="F102" s="333"/>
      <c r="G102" s="333"/>
      <c r="H102" s="333"/>
      <c r="I102" s="333"/>
      <c r="J102" s="43"/>
      <c r="K102" s="43"/>
      <c r="L102" s="43" t="str">
        <f>IF(FO520=0,"","Vanuit de TO-functie bereken je de GO-functie = vraaglijn")</f>
        <v/>
      </c>
      <c r="M102" s="43"/>
      <c r="N102" s="133"/>
      <c r="O102" s="43"/>
      <c r="P102" s="335" t="str">
        <f ca="1">IF(FO28=0,"","vullen op de plek van de GO (dus niet op de plek van q!) in de")</f>
        <v/>
      </c>
      <c r="Q102" s="278"/>
      <c r="R102" s="278"/>
      <c r="S102" s="278"/>
      <c r="T102" s="278"/>
      <c r="U102" s="278"/>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278"/>
      <c r="CQ102" s="278"/>
      <c r="CR102" s="278"/>
      <c r="CS102" s="278"/>
      <c r="CT102" s="278"/>
      <c r="CU102" s="278"/>
      <c r="CV102" s="278"/>
      <c r="CW102" s="278"/>
      <c r="CX102" s="278"/>
      <c r="CY102" s="278"/>
      <c r="CZ102" s="278"/>
      <c r="DA102" s="278"/>
      <c r="DB102" s="278"/>
      <c r="DC102" s="278"/>
      <c r="DD102" s="278"/>
      <c r="DE102" s="278"/>
      <c r="DF102" s="278"/>
      <c r="DG102" s="278"/>
      <c r="DH102" s="278"/>
      <c r="DI102" s="278"/>
      <c r="DJ102" s="278"/>
      <c r="DK102" s="278"/>
      <c r="DL102" s="278"/>
      <c r="DM102" s="278"/>
      <c r="DN102" s="278"/>
      <c r="DO102" s="278"/>
      <c r="DP102" s="278"/>
      <c r="DQ102" s="278"/>
      <c r="DR102" s="278"/>
      <c r="DS102" s="278"/>
      <c r="DT102" s="278"/>
      <c r="DU102" s="278"/>
      <c r="DV102" s="278"/>
      <c r="DW102" s="278"/>
      <c r="DX102" s="278"/>
      <c r="DY102" s="278"/>
      <c r="DZ102" s="278"/>
      <c r="EA102" s="278"/>
      <c r="EB102" s="278"/>
      <c r="EC102" s="278"/>
      <c r="ED102" s="278"/>
      <c r="EE102" s="278"/>
      <c r="EF102" s="278"/>
      <c r="EG102" s="278"/>
      <c r="EH102" s="278"/>
      <c r="EI102" s="278"/>
      <c r="EJ102" s="278"/>
      <c r="EK102" s="278"/>
      <c r="EL102" s="278"/>
      <c r="EM102" s="278"/>
      <c r="EN102" s="278"/>
      <c r="EO102" s="278"/>
      <c r="EP102" s="278"/>
      <c r="EQ102" s="278"/>
      <c r="ER102" s="278"/>
      <c r="ES102" s="278"/>
      <c r="ET102" s="278"/>
      <c r="EU102" s="278"/>
      <c r="EV102" s="278"/>
      <c r="EW102" s="278"/>
      <c r="EX102" s="278"/>
      <c r="EY102" s="278"/>
      <c r="EZ102" s="278"/>
      <c r="FA102" s="43"/>
      <c r="FB102" s="43"/>
      <c r="FC102" s="43"/>
      <c r="FD102" s="43"/>
      <c r="FE102" s="43"/>
      <c r="FF102" s="43"/>
      <c r="FG102" s="43"/>
      <c r="FH102" s="43"/>
      <c r="FI102" s="43"/>
      <c r="FJ102" s="43"/>
      <c r="FK102" s="43"/>
      <c r="FL102" s="43"/>
      <c r="FM102" s="338"/>
      <c r="FN102" s="78"/>
      <c r="FO102" s="78"/>
      <c r="FP102" s="93"/>
      <c r="FQ102" s="93"/>
      <c r="FR102" s="78"/>
      <c r="FS102" s="78"/>
      <c r="FT102" s="78"/>
      <c r="FU102" s="78"/>
      <c r="FV102" s="78"/>
      <c r="FW102" s="78"/>
      <c r="FX102" s="78"/>
      <c r="FY102" s="32"/>
      <c r="FZ102" s="32"/>
      <c r="GA102" s="32"/>
      <c r="GB102" s="32"/>
      <c r="GC102" s="32"/>
      <c r="GD102" s="32"/>
      <c r="GE102" s="32"/>
      <c r="GF102" s="32"/>
      <c r="GG102" s="32"/>
      <c r="GH102" s="32"/>
      <c r="GI102" s="32"/>
      <c r="GJ102" s="32"/>
      <c r="GK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78"/>
      <c r="HO102" s="78"/>
      <c r="HP102" s="78"/>
      <c r="HQ102" s="13"/>
      <c r="HR102" s="13"/>
      <c r="HS102" s="13"/>
      <c r="HT102" s="13"/>
      <c r="HU102" s="13"/>
      <c r="HV102" s="13"/>
      <c r="HW102" s="13"/>
      <c r="HX102" s="13"/>
      <c r="HY102" s="13"/>
      <c r="HZ102" s="13"/>
      <c r="IA102" s="13"/>
    </row>
    <row r="103" spans="1:235" ht="16.5" customHeight="1">
      <c r="A103" s="1"/>
      <c r="B103" s="3"/>
      <c r="C103" s="3"/>
      <c r="D103" s="124"/>
      <c r="E103" s="333"/>
      <c r="F103" s="333"/>
      <c r="G103" s="333"/>
      <c r="H103" s="333"/>
      <c r="I103" s="333"/>
      <c r="J103" s="43"/>
      <c r="K103" s="43"/>
      <c r="L103" s="43" t="str">
        <f>IF(FO521=0,"","Vanuit de TO-functie bereken je de GO-functie = vraaglijn")</f>
        <v/>
      </c>
      <c r="M103" s="43"/>
      <c r="N103" s="133"/>
      <c r="O103" s="43"/>
      <c r="P103" s="335" t="str">
        <f ca="1">IF(FO28=0,"","GO-functie, vind je de evenwichtshoeveelheid. ")</f>
        <v/>
      </c>
      <c r="Q103" s="278"/>
      <c r="R103" s="278"/>
      <c r="S103" s="278"/>
      <c r="T103" s="278"/>
      <c r="U103" s="278"/>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278"/>
      <c r="CQ103" s="278"/>
      <c r="CR103" s="278"/>
      <c r="CS103" s="278"/>
      <c r="CT103" s="278"/>
      <c r="CU103" s="278"/>
      <c r="CV103" s="278"/>
      <c r="CW103" s="278"/>
      <c r="CX103" s="278"/>
      <c r="CY103" s="278"/>
      <c r="CZ103" s="278"/>
      <c r="DA103" s="278"/>
      <c r="DB103" s="278"/>
      <c r="DC103" s="278"/>
      <c r="DD103" s="278"/>
      <c r="DE103" s="278"/>
      <c r="DF103" s="278"/>
      <c r="DG103" s="278"/>
      <c r="DH103" s="278"/>
      <c r="DI103" s="278"/>
      <c r="DJ103" s="278"/>
      <c r="DK103" s="278"/>
      <c r="DL103" s="278"/>
      <c r="DM103" s="278"/>
      <c r="DN103" s="278"/>
      <c r="DO103" s="278"/>
      <c r="DP103" s="278"/>
      <c r="DQ103" s="278"/>
      <c r="DR103" s="278"/>
      <c r="DS103" s="278"/>
      <c r="DT103" s="278"/>
      <c r="DU103" s="278"/>
      <c r="DV103" s="278"/>
      <c r="DW103" s="278"/>
      <c r="DX103" s="278"/>
      <c r="DY103" s="278"/>
      <c r="DZ103" s="278"/>
      <c r="EA103" s="278"/>
      <c r="EB103" s="278"/>
      <c r="EC103" s="278"/>
      <c r="ED103" s="278"/>
      <c r="EE103" s="278"/>
      <c r="EF103" s="278"/>
      <c r="EG103" s="278"/>
      <c r="EH103" s="278"/>
      <c r="EI103" s="278"/>
      <c r="EJ103" s="278"/>
      <c r="EK103" s="278"/>
      <c r="EL103" s="278"/>
      <c r="EM103" s="278"/>
      <c r="EN103" s="278"/>
      <c r="EO103" s="278"/>
      <c r="EP103" s="278"/>
      <c r="EQ103" s="278"/>
      <c r="ER103" s="278"/>
      <c r="ES103" s="278"/>
      <c r="ET103" s="278"/>
      <c r="EU103" s="278"/>
      <c r="EV103" s="278"/>
      <c r="EW103" s="278"/>
      <c r="EX103" s="278"/>
      <c r="EY103" s="278"/>
      <c r="EZ103" s="278"/>
      <c r="FA103" s="43"/>
      <c r="FB103" s="43"/>
      <c r="FC103" s="43"/>
      <c r="FD103" s="43"/>
      <c r="FE103" s="43"/>
      <c r="FF103" s="43"/>
      <c r="FG103" s="43"/>
      <c r="FH103" s="43"/>
      <c r="FI103" s="43"/>
      <c r="FJ103" s="43"/>
      <c r="FK103" s="43"/>
      <c r="FL103" s="43"/>
      <c r="FM103" s="338"/>
      <c r="FN103" s="78"/>
      <c r="FO103" s="78"/>
      <c r="FP103" s="93"/>
      <c r="FQ103" s="93"/>
      <c r="FR103" s="78"/>
      <c r="FS103" s="78"/>
      <c r="FT103" s="78"/>
      <c r="FU103" s="78"/>
      <c r="FV103" s="78"/>
      <c r="FW103" s="78"/>
      <c r="FX103" s="78"/>
      <c r="FY103" s="32"/>
      <c r="FZ103" s="32"/>
      <c r="GA103" s="32"/>
      <c r="GB103" s="32"/>
      <c r="GC103" s="32"/>
      <c r="GD103" s="32"/>
      <c r="GE103" s="32"/>
      <c r="GF103" s="32"/>
      <c r="GG103" s="32"/>
      <c r="GH103" s="32"/>
      <c r="GI103" s="32"/>
      <c r="GJ103" s="32"/>
      <c r="GK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78"/>
      <c r="HO103" s="78"/>
      <c r="HP103" s="78"/>
      <c r="HQ103" s="13"/>
      <c r="HR103" s="13"/>
      <c r="HS103" s="13"/>
      <c r="HT103" s="13"/>
      <c r="HU103" s="13"/>
      <c r="HV103" s="13"/>
      <c r="HW103" s="13"/>
      <c r="HX103" s="13"/>
      <c r="HY103" s="13"/>
      <c r="HZ103" s="13"/>
      <c r="IA103" s="13"/>
    </row>
    <row r="104" spans="1:235" ht="11.25" customHeight="1">
      <c r="A104" s="1"/>
      <c r="B104" s="3"/>
      <c r="C104" s="3"/>
      <c r="D104" s="333"/>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c r="AZ104" s="278"/>
      <c r="BA104" s="278"/>
      <c r="BB104" s="278"/>
      <c r="BC104" s="278"/>
      <c r="BD104" s="278"/>
      <c r="BE104" s="278"/>
      <c r="BF104" s="278"/>
      <c r="BG104" s="278"/>
      <c r="BH104" s="278"/>
      <c r="BI104" s="278"/>
      <c r="BJ104" s="278"/>
      <c r="BK104" s="278"/>
      <c r="BL104" s="278"/>
      <c r="BM104" s="278"/>
      <c r="BN104" s="278"/>
      <c r="BO104" s="278"/>
      <c r="BP104" s="278"/>
      <c r="BQ104" s="278"/>
      <c r="BR104" s="278"/>
      <c r="BS104" s="278"/>
      <c r="BT104" s="278"/>
      <c r="BU104" s="278"/>
      <c r="BV104" s="278"/>
      <c r="BW104" s="278"/>
      <c r="BX104" s="278"/>
      <c r="BY104" s="278"/>
      <c r="BZ104" s="278"/>
      <c r="CA104" s="278"/>
      <c r="CB104" s="278"/>
      <c r="CC104" s="278"/>
      <c r="CD104" s="278"/>
      <c r="CE104" s="278"/>
      <c r="CF104" s="278"/>
      <c r="CG104" s="278"/>
      <c r="CH104" s="278"/>
      <c r="CI104" s="278"/>
      <c r="CJ104" s="278"/>
      <c r="CK104" s="278"/>
      <c r="CL104" s="278"/>
      <c r="CM104" s="278"/>
      <c r="CN104" s="278"/>
      <c r="CO104" s="278"/>
      <c r="CP104" s="278"/>
      <c r="CQ104" s="278"/>
      <c r="CR104" s="278"/>
      <c r="CS104" s="278"/>
      <c r="CT104" s="278"/>
      <c r="CU104" s="278"/>
      <c r="CV104" s="278"/>
      <c r="CW104" s="278"/>
      <c r="CX104" s="278"/>
      <c r="CY104" s="278"/>
      <c r="CZ104" s="278"/>
      <c r="DA104" s="278"/>
      <c r="DB104" s="278"/>
      <c r="DC104" s="278"/>
      <c r="DD104" s="278"/>
      <c r="DE104" s="278"/>
      <c r="DF104" s="278"/>
      <c r="DG104" s="278"/>
      <c r="DH104" s="278"/>
      <c r="DI104" s="278"/>
      <c r="DJ104" s="278"/>
      <c r="DK104" s="278"/>
      <c r="DL104" s="278"/>
      <c r="DM104" s="278"/>
      <c r="DN104" s="278"/>
      <c r="DO104" s="278"/>
      <c r="DP104" s="278"/>
      <c r="DQ104" s="278"/>
      <c r="DR104" s="278"/>
      <c r="DS104" s="278"/>
      <c r="DT104" s="278"/>
      <c r="DU104" s="278"/>
      <c r="DV104" s="278"/>
      <c r="DW104" s="278"/>
      <c r="DX104" s="278"/>
      <c r="DY104" s="278"/>
      <c r="DZ104" s="278"/>
      <c r="EA104" s="278"/>
      <c r="EB104" s="278"/>
      <c r="EC104" s="278"/>
      <c r="ED104" s="278"/>
      <c r="EE104" s="278"/>
      <c r="EF104" s="278"/>
      <c r="EG104" s="278"/>
      <c r="EH104" s="278"/>
      <c r="EI104" s="278"/>
      <c r="EJ104" s="278"/>
      <c r="EK104" s="278"/>
      <c r="EL104" s="278"/>
      <c r="EM104" s="278"/>
      <c r="EN104" s="278"/>
      <c r="EO104" s="278"/>
      <c r="EP104" s="278"/>
      <c r="EQ104" s="278"/>
      <c r="ER104" s="278"/>
      <c r="ES104" s="278"/>
      <c r="ET104" s="278"/>
      <c r="EU104" s="278"/>
      <c r="EV104" s="278"/>
      <c r="EW104" s="278"/>
      <c r="EX104" s="278"/>
      <c r="EY104" s="278"/>
      <c r="EZ104" s="278"/>
      <c r="FA104" s="278"/>
      <c r="FB104" s="278"/>
      <c r="FC104" s="278"/>
      <c r="FD104" s="278"/>
      <c r="FE104" s="278"/>
      <c r="FF104" s="278"/>
      <c r="FG104" s="278"/>
      <c r="FH104" s="278"/>
      <c r="FI104" s="278"/>
      <c r="FJ104" s="278"/>
      <c r="FK104" s="43"/>
      <c r="FL104" s="43"/>
      <c r="FM104" s="47"/>
      <c r="FN104" s="47"/>
      <c r="FO104" s="47"/>
      <c r="FP104" s="47"/>
      <c r="FQ104" s="112" t="s">
        <v>64</v>
      </c>
      <c r="FR104" s="49"/>
      <c r="FS104" s="49"/>
      <c r="FT104" s="49"/>
      <c r="FU104" s="49"/>
      <c r="FV104" s="49"/>
      <c r="FW104" s="49"/>
      <c r="FX104" s="49"/>
      <c r="FY104" s="32"/>
      <c r="FZ104" s="32"/>
      <c r="GA104" s="32"/>
      <c r="GB104" s="32"/>
      <c r="GC104" s="32"/>
      <c r="GD104" s="32"/>
      <c r="GE104" s="32"/>
      <c r="GF104" s="32"/>
      <c r="GG104" s="32"/>
      <c r="GH104" s="32"/>
      <c r="GI104" s="32"/>
      <c r="GJ104" s="32"/>
      <c r="GK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49"/>
      <c r="HO104" s="49"/>
      <c r="HP104" s="49"/>
      <c r="HQ104" s="13"/>
      <c r="HR104" s="13"/>
      <c r="HS104" s="13"/>
      <c r="HT104" s="13"/>
      <c r="HU104" s="13"/>
      <c r="HV104" s="13"/>
      <c r="HW104" s="13"/>
      <c r="HX104" s="13"/>
      <c r="HY104" s="13"/>
      <c r="HZ104" s="13"/>
      <c r="IA104" s="13"/>
    </row>
    <row r="105" spans="1:235" ht="16.5" customHeight="1">
      <c r="A105" s="1"/>
      <c r="B105" s="3"/>
      <c r="C105" s="3"/>
      <c r="D105" s="124" t="str">
        <f ca="1">IF(FO28=0,"","Hoeveel is hier de marktprijs bij volkomen concurrentie?")</f>
        <v/>
      </c>
      <c r="E105" s="333"/>
      <c r="F105" s="333"/>
      <c r="G105" s="333"/>
      <c r="H105" s="333"/>
      <c r="I105" s="333"/>
      <c r="J105" s="278"/>
      <c r="K105" s="278"/>
      <c r="L105" s="278"/>
      <c r="M105" s="278"/>
      <c r="N105" s="278"/>
      <c r="O105" s="278"/>
      <c r="P105" s="278"/>
      <c r="Q105" s="278"/>
      <c r="R105" s="278"/>
      <c r="S105" s="278"/>
      <c r="T105" s="278"/>
      <c r="U105" s="278"/>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278"/>
      <c r="CQ105" s="278"/>
      <c r="CR105" s="278"/>
      <c r="CS105" s="278"/>
      <c r="CT105" s="278"/>
      <c r="CU105" s="278"/>
      <c r="CV105" s="278"/>
      <c r="CW105" s="278"/>
      <c r="CX105" s="278"/>
      <c r="CY105" s="278"/>
      <c r="CZ105" s="278"/>
      <c r="DA105" s="278"/>
      <c r="DB105" s="278"/>
      <c r="DC105" s="278"/>
      <c r="DD105" s="278"/>
      <c r="DE105" s="278"/>
      <c r="DF105" s="278"/>
      <c r="DG105" s="278"/>
      <c r="DH105" s="278"/>
      <c r="DI105" s="278"/>
      <c r="DJ105" s="278"/>
      <c r="DK105" s="278"/>
      <c r="DL105" s="278"/>
      <c r="DM105" s="278"/>
      <c r="DN105" s="278"/>
      <c r="DO105" s="278"/>
      <c r="DP105" s="278"/>
      <c r="DQ105" s="278"/>
      <c r="DR105" s="278"/>
      <c r="DS105" s="278"/>
      <c r="DT105" s="278"/>
      <c r="DU105" s="278"/>
      <c r="DV105" s="278"/>
      <c r="DW105" s="278"/>
      <c r="DX105" s="278"/>
      <c r="DY105" s="278"/>
      <c r="DZ105" s="278"/>
      <c r="EA105" s="278"/>
      <c r="EB105" s="278"/>
      <c r="EC105" s="278"/>
      <c r="ED105" s="278"/>
      <c r="EE105" s="278"/>
      <c r="EF105" s="278"/>
      <c r="EG105" s="278"/>
      <c r="EH105" s="278"/>
      <c r="EI105" s="278"/>
      <c r="EJ105" s="278"/>
      <c r="EK105" s="278"/>
      <c r="EL105" s="278"/>
      <c r="EM105" s="278"/>
      <c r="EN105" s="278"/>
      <c r="EO105" s="278"/>
      <c r="EP105" s="278"/>
      <c r="EQ105" s="278"/>
      <c r="ER105" s="278"/>
      <c r="ES105" s="278"/>
      <c r="ET105" s="278"/>
      <c r="EU105" s="278"/>
      <c r="EV105" s="278"/>
      <c r="EW105" s="278"/>
      <c r="EX105" s="278"/>
      <c r="EY105" s="278"/>
      <c r="EZ105" s="278"/>
      <c r="FA105" s="43"/>
      <c r="FB105" s="43"/>
      <c r="FC105" s="43"/>
      <c r="FD105" s="43"/>
      <c r="FE105" s="43"/>
      <c r="FF105" s="43"/>
      <c r="FG105" s="43"/>
      <c r="FH105" s="43"/>
      <c r="FI105" s="43"/>
      <c r="FJ105" s="43"/>
      <c r="FK105" s="43"/>
      <c r="FL105" s="43"/>
      <c r="FM105" s="338"/>
      <c r="FN105" s="78"/>
      <c r="FO105" s="78"/>
      <c r="FP105" s="78"/>
      <c r="FQ105" s="78"/>
      <c r="FR105" s="78"/>
      <c r="FS105" s="78"/>
      <c r="FT105" s="78"/>
      <c r="FU105" s="78"/>
      <c r="FV105" s="78"/>
      <c r="FW105" s="78"/>
      <c r="FX105" s="78"/>
      <c r="FY105" s="32"/>
      <c r="FZ105" s="32"/>
      <c r="GA105" s="32"/>
      <c r="GB105" s="32"/>
      <c r="GC105" s="32"/>
      <c r="GD105" s="32"/>
      <c r="GE105" s="32"/>
      <c r="GF105" s="32"/>
      <c r="GG105" s="32"/>
      <c r="GH105" s="32"/>
      <c r="GI105" s="32"/>
      <c r="GJ105" s="32"/>
      <c r="GK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78"/>
      <c r="HO105" s="78"/>
      <c r="HP105" s="78"/>
      <c r="HQ105" s="13"/>
      <c r="HR105" s="13"/>
      <c r="HS105" s="13"/>
      <c r="HT105" s="13"/>
      <c r="HU105" s="13"/>
      <c r="HV105" s="13"/>
      <c r="HW105" s="13"/>
      <c r="HX105" s="13"/>
      <c r="HY105" s="13"/>
      <c r="HZ105" s="13"/>
      <c r="IA105" s="13"/>
    </row>
    <row r="106" spans="1:235" ht="7.5" customHeight="1">
      <c r="A106" s="1"/>
      <c r="B106" s="3"/>
      <c r="C106" s="3"/>
      <c r="D106" s="333"/>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c r="AZ106" s="278"/>
      <c r="BA106" s="278"/>
      <c r="BB106" s="278"/>
      <c r="BC106" s="278"/>
      <c r="BD106" s="278"/>
      <c r="BE106" s="278"/>
      <c r="BF106" s="278"/>
      <c r="BG106" s="278"/>
      <c r="BH106" s="278"/>
      <c r="BI106" s="278"/>
      <c r="BJ106" s="278"/>
      <c r="BK106" s="278"/>
      <c r="BL106" s="278"/>
      <c r="BM106" s="278"/>
      <c r="BN106" s="278"/>
      <c r="BO106" s="278"/>
      <c r="BP106" s="278"/>
      <c r="BQ106" s="278"/>
      <c r="BR106" s="278"/>
      <c r="BS106" s="278"/>
      <c r="BT106" s="278"/>
      <c r="BU106" s="278"/>
      <c r="BV106" s="278"/>
      <c r="BW106" s="278"/>
      <c r="BX106" s="278"/>
      <c r="BY106" s="278"/>
      <c r="BZ106" s="278"/>
      <c r="CA106" s="278"/>
      <c r="CB106" s="278"/>
      <c r="CC106" s="278"/>
      <c r="CD106" s="278"/>
      <c r="CE106" s="278"/>
      <c r="CF106" s="278"/>
      <c r="CG106" s="278"/>
      <c r="CH106" s="278"/>
      <c r="CI106" s="278"/>
      <c r="CJ106" s="278"/>
      <c r="CK106" s="278"/>
      <c r="CL106" s="278"/>
      <c r="CM106" s="278"/>
      <c r="CN106" s="278"/>
      <c r="CO106" s="278"/>
      <c r="CP106" s="278"/>
      <c r="CQ106" s="278"/>
      <c r="CR106" s="278"/>
      <c r="CS106" s="278"/>
      <c r="CT106" s="278"/>
      <c r="CU106" s="278"/>
      <c r="CV106" s="278"/>
      <c r="CW106" s="278"/>
      <c r="CX106" s="278"/>
      <c r="CY106" s="278"/>
      <c r="CZ106" s="278"/>
      <c r="DA106" s="278"/>
      <c r="DB106" s="278"/>
      <c r="DC106" s="278"/>
      <c r="DD106" s="278"/>
      <c r="DE106" s="278"/>
      <c r="DF106" s="278"/>
      <c r="DG106" s="278"/>
      <c r="DH106" s="278"/>
      <c r="DI106" s="278"/>
      <c r="DJ106" s="278"/>
      <c r="DK106" s="278"/>
      <c r="DL106" s="278"/>
      <c r="DM106" s="278"/>
      <c r="DN106" s="278"/>
      <c r="DO106" s="278"/>
      <c r="DP106" s="278"/>
      <c r="DQ106" s="278"/>
      <c r="DR106" s="278"/>
      <c r="DS106" s="278"/>
      <c r="DT106" s="278"/>
      <c r="DU106" s="278"/>
      <c r="DV106" s="278"/>
      <c r="DW106" s="278"/>
      <c r="DX106" s="278"/>
      <c r="DY106" s="278"/>
      <c r="DZ106" s="278"/>
      <c r="EA106" s="278"/>
      <c r="EB106" s="278"/>
      <c r="EC106" s="278"/>
      <c r="ED106" s="278"/>
      <c r="EE106" s="278"/>
      <c r="EF106" s="278"/>
      <c r="EG106" s="278"/>
      <c r="EH106" s="278"/>
      <c r="EI106" s="278"/>
      <c r="EJ106" s="278"/>
      <c r="EK106" s="278"/>
      <c r="EL106" s="278"/>
      <c r="EM106" s="278"/>
      <c r="EN106" s="278"/>
      <c r="EO106" s="278"/>
      <c r="EP106" s="278"/>
      <c r="EQ106" s="278"/>
      <c r="ER106" s="278"/>
      <c r="ES106" s="278"/>
      <c r="ET106" s="278"/>
      <c r="EU106" s="278"/>
      <c r="EV106" s="278"/>
      <c r="EW106" s="278"/>
      <c r="EX106" s="278"/>
      <c r="EY106" s="278"/>
      <c r="EZ106" s="278"/>
      <c r="FA106" s="278"/>
      <c r="FB106" s="278"/>
      <c r="FC106" s="278"/>
      <c r="FD106" s="278"/>
      <c r="FE106" s="278"/>
      <c r="FF106" s="278"/>
      <c r="FG106" s="278"/>
      <c r="FH106" s="278"/>
      <c r="FI106" s="278"/>
      <c r="FJ106" s="278"/>
      <c r="FK106" s="43"/>
      <c r="FL106" s="43"/>
      <c r="FM106" s="47"/>
      <c r="FN106" s="47"/>
      <c r="FO106" s="47"/>
      <c r="FP106" s="47"/>
      <c r="FQ106" s="47"/>
      <c r="FR106" s="49"/>
      <c r="FS106" s="49"/>
      <c r="FT106" s="49"/>
      <c r="FU106" s="49"/>
      <c r="FV106" s="49"/>
      <c r="FW106" s="49"/>
      <c r="FX106" s="49"/>
      <c r="FY106" s="32"/>
      <c r="FZ106" s="32"/>
      <c r="GA106" s="32"/>
      <c r="GB106" s="32"/>
      <c r="GC106" s="32"/>
      <c r="GD106" s="32"/>
      <c r="GE106" s="32"/>
      <c r="GF106" s="32"/>
      <c r="GG106" s="32"/>
      <c r="GH106" s="32"/>
      <c r="GI106" s="32"/>
      <c r="GJ106" s="32"/>
      <c r="GK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49"/>
      <c r="HO106" s="49"/>
      <c r="HP106" s="49"/>
      <c r="HQ106" s="13"/>
      <c r="HR106" s="13"/>
      <c r="HS106" s="13"/>
      <c r="HT106" s="13"/>
      <c r="HU106" s="13"/>
      <c r="HV106" s="13"/>
      <c r="HW106" s="13"/>
      <c r="HX106" s="13"/>
      <c r="HY106" s="13"/>
      <c r="HZ106" s="13"/>
      <c r="IA106" s="13"/>
    </row>
    <row r="107" spans="1:235" ht="3.75" customHeight="1">
      <c r="A107" s="1"/>
      <c r="B107" s="3"/>
      <c r="C107" s="3"/>
      <c r="D107" s="333"/>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78"/>
      <c r="AE107" s="278"/>
      <c r="AF107" s="278"/>
      <c r="AG107" s="278"/>
      <c r="AH107" s="278"/>
      <c r="AI107" s="43"/>
      <c r="AJ107" s="43"/>
      <c r="AK107" s="43"/>
      <c r="AL107" s="43"/>
      <c r="AM107" s="43"/>
      <c r="AN107" s="43"/>
      <c r="AO107" s="43"/>
      <c r="AP107" s="43"/>
      <c r="AQ107" s="43"/>
      <c r="AR107" s="43"/>
      <c r="AS107" s="43"/>
      <c r="AT107" s="43"/>
      <c r="AU107" s="43"/>
      <c r="AV107" s="43"/>
      <c r="AW107" s="43"/>
      <c r="AX107" s="43"/>
      <c r="AY107" s="43"/>
      <c r="AZ107" s="43"/>
      <c r="BA107" s="43"/>
      <c r="BB107" s="538" t="str">
        <f ca="1">IF(FO28=0,"",".")</f>
        <v/>
      </c>
      <c r="BC107" s="538"/>
      <c r="BD107" s="538"/>
      <c r="BE107" s="538"/>
      <c r="BF107" s="538"/>
      <c r="BG107" s="538"/>
      <c r="BH107" s="538"/>
      <c r="BI107" s="538"/>
      <c r="BJ107" s="538"/>
      <c r="BK107" s="538"/>
      <c r="BL107" s="538"/>
      <c r="BM107" s="538"/>
      <c r="BN107" s="538"/>
      <c r="BO107" s="538"/>
      <c r="BP107" s="538"/>
      <c r="BQ107" s="538"/>
      <c r="BR107" s="538"/>
      <c r="BS107" s="538"/>
      <c r="BT107" s="538"/>
      <c r="BU107" s="538"/>
      <c r="BV107" s="538"/>
      <c r="BW107" s="538"/>
      <c r="BX107" s="538"/>
      <c r="BY107" s="538"/>
      <c r="BZ107" s="538"/>
      <c r="CA107" s="538"/>
      <c r="CB107" s="538"/>
      <c r="CC107" s="538"/>
      <c r="CD107" s="538"/>
      <c r="CE107" s="538"/>
      <c r="CF107" s="278"/>
      <c r="CG107" s="55"/>
      <c r="CH107" s="55"/>
      <c r="CI107" s="55"/>
      <c r="CJ107" s="55"/>
      <c r="CK107" s="55"/>
      <c r="CL107" s="55"/>
      <c r="CM107" s="55"/>
      <c r="CN107" s="55"/>
      <c r="CO107" s="55"/>
      <c r="CP107" s="55"/>
      <c r="CQ107" s="55"/>
      <c r="CR107" s="55"/>
      <c r="CS107" s="55"/>
      <c r="CT107" s="55"/>
      <c r="CU107" s="55"/>
      <c r="CV107" s="55"/>
      <c r="CW107" s="55"/>
      <c r="CX107" s="55"/>
      <c r="CY107" s="55"/>
      <c r="CZ107" s="55"/>
      <c r="DA107" s="55"/>
      <c r="DB107" s="55"/>
      <c r="DC107" s="55"/>
      <c r="DD107" s="55"/>
      <c r="DE107" s="55"/>
      <c r="DF107" s="55"/>
      <c r="DG107" s="217"/>
      <c r="DH107" s="217"/>
      <c r="DI107" s="217"/>
      <c r="DJ107" s="217"/>
      <c r="DK107" s="217"/>
      <c r="DL107" s="217"/>
      <c r="DM107" s="217"/>
      <c r="DN107" s="217"/>
      <c r="DO107" s="217"/>
      <c r="DP107" s="217"/>
      <c r="DQ107" s="217"/>
      <c r="DR107" s="217"/>
      <c r="DS107" s="217"/>
      <c r="DT107" s="217"/>
      <c r="DU107" s="217"/>
      <c r="DV107" s="217"/>
      <c r="DW107" s="217"/>
      <c r="DX107" s="217"/>
      <c r="DY107" s="217"/>
      <c r="DZ107" s="217"/>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278"/>
      <c r="FE107" s="278"/>
      <c r="FF107" s="278"/>
      <c r="FG107" s="278"/>
      <c r="FH107" s="278"/>
      <c r="FI107" s="278"/>
      <c r="FJ107" s="278"/>
      <c r="FK107" s="43"/>
      <c r="FL107" s="43"/>
      <c r="FM107" s="47"/>
      <c r="FN107" s="47"/>
      <c r="FO107" s="47"/>
      <c r="FP107" s="47"/>
      <c r="FQ107" s="47"/>
      <c r="FR107" s="49"/>
      <c r="FS107" s="49"/>
      <c r="FT107" s="49"/>
      <c r="FU107" s="49"/>
      <c r="FV107" s="49"/>
      <c r="FW107" s="49"/>
      <c r="FX107" s="49"/>
      <c r="FY107" s="32"/>
      <c r="FZ107" s="32"/>
      <c r="GA107" s="32"/>
      <c r="GB107" s="32"/>
      <c r="GC107" s="32"/>
      <c r="GD107" s="32"/>
      <c r="GE107" s="32"/>
      <c r="GF107" s="32"/>
      <c r="GG107" s="32"/>
      <c r="GH107" s="32"/>
      <c r="GI107" s="32"/>
      <c r="GJ107" s="32"/>
      <c r="GK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49"/>
      <c r="HO107" s="49"/>
      <c r="HP107" s="49"/>
      <c r="HQ107" s="13"/>
      <c r="HR107" s="13"/>
      <c r="HS107" s="13"/>
      <c r="HT107" s="13"/>
      <c r="HU107" s="13"/>
      <c r="HV107" s="13"/>
      <c r="HW107" s="13"/>
      <c r="HX107" s="13"/>
      <c r="HY107" s="13"/>
      <c r="HZ107" s="13"/>
      <c r="IA107" s="13"/>
    </row>
    <row r="108" spans="1:235" ht="16.5" customHeight="1">
      <c r="A108" s="1"/>
      <c r="B108" s="476"/>
      <c r="C108" s="3"/>
      <c r="D108" s="43"/>
      <c r="E108" s="278"/>
      <c r="F108" s="278"/>
      <c r="G108" s="278"/>
      <c r="H108" s="278"/>
      <c r="I108" s="278"/>
      <c r="J108" s="43"/>
      <c r="K108" s="278"/>
      <c r="L108" s="278"/>
      <c r="M108" s="278"/>
      <c r="N108" s="278"/>
      <c r="O108" s="278"/>
      <c r="P108" s="278"/>
      <c r="Q108" s="278"/>
      <c r="R108" s="278"/>
      <c r="S108" s="278"/>
      <c r="T108" s="278"/>
      <c r="U108" s="278"/>
      <c r="V108" s="278"/>
      <c r="W108" s="278"/>
      <c r="X108" s="278"/>
      <c r="Y108" s="278"/>
      <c r="Z108" s="278"/>
      <c r="AA108" s="278"/>
      <c r="AB108" s="278"/>
      <c r="AC108" s="278"/>
      <c r="AD108" s="278"/>
      <c r="AE108" s="278"/>
      <c r="AF108" s="278"/>
      <c r="AG108" s="278"/>
      <c r="AH108" s="278"/>
      <c r="AI108" s="43"/>
      <c r="AJ108" s="43"/>
      <c r="AK108" s="43"/>
      <c r="AL108" s="43"/>
      <c r="AM108" s="43"/>
      <c r="AN108" s="43"/>
      <c r="AO108" s="43"/>
      <c r="AP108" s="43"/>
      <c r="AQ108" s="43"/>
      <c r="AR108" s="43"/>
      <c r="AS108" s="43"/>
      <c r="AT108" s="43"/>
      <c r="AU108" s="43"/>
      <c r="AV108" s="43"/>
      <c r="AW108" s="43"/>
      <c r="AX108" s="43"/>
      <c r="AY108" s="43"/>
      <c r="AZ108" s="184" t="str">
        <f ca="1">IF(FO28=0,"","De marktprijs is:")</f>
        <v/>
      </c>
      <c r="BA108" s="43"/>
      <c r="BB108" s="327" t="str">
        <f ca="1">IF(FO28=0,"",".")</f>
        <v/>
      </c>
      <c r="BC108" s="698"/>
      <c r="BD108" s="698"/>
      <c r="BE108" s="698"/>
      <c r="BF108" s="698"/>
      <c r="BG108" s="698"/>
      <c r="BH108" s="698"/>
      <c r="BI108" s="698"/>
      <c r="BJ108" s="698"/>
      <c r="BK108" s="698"/>
      <c r="BL108" s="698"/>
      <c r="BM108" s="698"/>
      <c r="BN108" s="698"/>
      <c r="BO108" s="698"/>
      <c r="BP108" s="698"/>
      <c r="BQ108" s="698"/>
      <c r="BR108" s="698"/>
      <c r="BS108" s="698"/>
      <c r="BT108" s="698"/>
      <c r="BU108" s="698"/>
      <c r="BV108" s="698"/>
      <c r="BW108" s="698"/>
      <c r="BX108" s="698"/>
      <c r="BY108" s="698"/>
      <c r="BZ108" s="698"/>
      <c r="CA108" s="698"/>
      <c r="CB108" s="698"/>
      <c r="CC108" s="698"/>
      <c r="CD108" s="698"/>
      <c r="CE108" s="327" t="str">
        <f ca="1">IF(FO28=0,"",".")</f>
        <v/>
      </c>
      <c r="CF108" s="278"/>
      <c r="CG108" s="186" t="str">
        <f ca="1">IF(FO28=0,"",IF(BC108="","",IF(AND(programma!$A$301="uitwerking",$B108="X"),FM108,IF(AND(BC108&gt;FP108-0.00001,BC108&lt;FP108+0.00001),"Goed!",IF(AND(BC108&gt;=FP108-0.01,BC108&lt;=FP108+0.01),"Je hebt niet goed afgerond!","Fout! Kijk en lees eens goed.")))))</f>
        <v/>
      </c>
      <c r="CH108" s="55"/>
      <c r="CI108" s="55"/>
      <c r="CJ108" s="55"/>
      <c r="CK108" s="55"/>
      <c r="CL108" s="55"/>
      <c r="CM108" s="55"/>
      <c r="CN108" s="55"/>
      <c r="CO108" s="55"/>
      <c r="CP108" s="55"/>
      <c r="CQ108" s="55"/>
      <c r="CR108" s="55"/>
      <c r="CS108" s="55"/>
      <c r="CT108" s="55"/>
      <c r="CU108" s="55"/>
      <c r="CV108" s="55"/>
      <c r="CW108" s="55"/>
      <c r="CX108" s="55"/>
      <c r="CY108" s="55"/>
      <c r="CZ108" s="55"/>
      <c r="DA108" s="55"/>
      <c r="DB108" s="55"/>
      <c r="DC108" s="55"/>
      <c r="DD108" s="55"/>
      <c r="DE108" s="55"/>
      <c r="DF108" s="55"/>
      <c r="DG108" s="217"/>
      <c r="DH108" s="217"/>
      <c r="DI108" s="217"/>
      <c r="DJ108" s="217"/>
      <c r="DK108" s="217"/>
      <c r="DL108" s="217"/>
      <c r="DM108" s="217"/>
      <c r="DN108" s="217"/>
      <c r="DO108" s="217"/>
      <c r="DP108" s="217"/>
      <c r="DQ108" s="217"/>
      <c r="DR108" s="217"/>
      <c r="DS108" s="217"/>
      <c r="DT108" s="217"/>
      <c r="DU108" s="217"/>
      <c r="DV108" s="217"/>
      <c r="DW108" s="217"/>
      <c r="DX108" s="217"/>
      <c r="DY108" s="217"/>
      <c r="DZ108" s="217"/>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278"/>
      <c r="FE108" s="278"/>
      <c r="FF108" s="278"/>
      <c r="FG108" s="278"/>
      <c r="FH108" s="278"/>
      <c r="FI108" s="278"/>
      <c r="FJ108" s="278"/>
      <c r="FK108" s="43"/>
      <c r="FL108" s="43"/>
      <c r="FM108" s="48" t="str">
        <f ca="1">"= MK dus "&amp;FQ93&amp;""</f>
        <v>= MK dus 36</v>
      </c>
      <c r="FN108" s="47"/>
      <c r="FO108" s="48">
        <f ca="1">IF(programma!B1="X",1,IF(FO28=0,0,IF(AND(BC108&gt;FP108-0.00001,BC108&lt;FP108+0.00001),1,0)))</f>
        <v>0</v>
      </c>
      <c r="FP108" s="48">
        <f ca="1">IF(FO1=0,"",FQ93)</f>
        <v>36</v>
      </c>
      <c r="FQ108" s="48">
        <f ca="1">ROUND(1/FP91,4)</f>
        <v>0.5</v>
      </c>
      <c r="FR108" s="49">
        <f ca="1">ROUND(FQ91/FP91,4)</f>
        <v>800</v>
      </c>
      <c r="FS108" s="49"/>
      <c r="FT108" s="49"/>
      <c r="FU108" s="49"/>
      <c r="FV108" s="49"/>
      <c r="FW108" s="49"/>
      <c r="FX108" s="49"/>
      <c r="FY108" s="32"/>
      <c r="FZ108" s="32"/>
      <c r="GA108" s="32"/>
      <c r="GB108" s="32"/>
      <c r="GC108" s="32"/>
      <c r="GD108" s="32"/>
      <c r="GE108" s="32"/>
      <c r="GF108" s="32"/>
      <c r="GG108" s="32"/>
      <c r="GH108" s="32"/>
      <c r="GI108" s="32"/>
      <c r="GJ108" s="32"/>
      <c r="GK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49"/>
      <c r="HO108" s="49"/>
      <c r="HP108" s="49"/>
      <c r="HQ108" s="13"/>
      <c r="HR108" s="13"/>
      <c r="HS108" s="13"/>
      <c r="HT108" s="13"/>
      <c r="HU108" s="13"/>
      <c r="HV108" s="13"/>
      <c r="HW108" s="13"/>
      <c r="HX108" s="13"/>
      <c r="HY108" s="13"/>
      <c r="HZ108" s="13"/>
      <c r="IA108" s="13"/>
    </row>
    <row r="109" spans="1:235" ht="3.75" customHeight="1">
      <c r="A109" s="1"/>
      <c r="B109" s="3"/>
      <c r="C109" s="3"/>
      <c r="D109" s="333"/>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43"/>
      <c r="AJ109" s="43"/>
      <c r="AK109" s="43"/>
      <c r="AL109" s="43"/>
      <c r="AM109" s="43"/>
      <c r="AN109" s="43"/>
      <c r="AO109" s="43"/>
      <c r="AP109" s="43"/>
      <c r="AQ109" s="43"/>
      <c r="AR109" s="43"/>
      <c r="AS109" s="43"/>
      <c r="AT109" s="43"/>
      <c r="AU109" s="43"/>
      <c r="AV109" s="43"/>
      <c r="AW109" s="43"/>
      <c r="AX109" s="43"/>
      <c r="AY109" s="43"/>
      <c r="AZ109" s="43"/>
      <c r="BA109" s="43"/>
      <c r="BB109" s="538" t="str">
        <f ca="1">IF(FO28=0,"",".")</f>
        <v/>
      </c>
      <c r="BC109" s="538"/>
      <c r="BD109" s="538"/>
      <c r="BE109" s="538"/>
      <c r="BF109" s="538"/>
      <c r="BG109" s="538"/>
      <c r="BH109" s="538"/>
      <c r="BI109" s="538"/>
      <c r="BJ109" s="538"/>
      <c r="BK109" s="538"/>
      <c r="BL109" s="538"/>
      <c r="BM109" s="538"/>
      <c r="BN109" s="538"/>
      <c r="BO109" s="538"/>
      <c r="BP109" s="538"/>
      <c r="BQ109" s="538"/>
      <c r="BR109" s="538"/>
      <c r="BS109" s="538"/>
      <c r="BT109" s="538"/>
      <c r="BU109" s="538"/>
      <c r="BV109" s="538"/>
      <c r="BW109" s="538"/>
      <c r="BX109" s="538"/>
      <c r="BY109" s="538"/>
      <c r="BZ109" s="538"/>
      <c r="CA109" s="538"/>
      <c r="CB109" s="538"/>
      <c r="CC109" s="538"/>
      <c r="CD109" s="538"/>
      <c r="CE109" s="538"/>
      <c r="CF109" s="278"/>
      <c r="CG109" s="278"/>
      <c r="CH109" s="278"/>
      <c r="CI109" s="278"/>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278"/>
      <c r="FE109" s="278"/>
      <c r="FF109" s="278"/>
      <c r="FG109" s="278"/>
      <c r="FH109" s="278"/>
      <c r="FI109" s="278"/>
      <c r="FJ109" s="278"/>
      <c r="FK109" s="43"/>
      <c r="FL109" s="43"/>
      <c r="FM109" s="47"/>
      <c r="FN109" s="47"/>
      <c r="FO109" s="47"/>
      <c r="FP109" s="47"/>
      <c r="FQ109" s="47"/>
      <c r="FR109" s="49"/>
      <c r="FS109" s="49"/>
      <c r="FT109" s="49"/>
      <c r="FU109" s="49"/>
      <c r="FV109" s="49"/>
      <c r="FW109" s="49"/>
      <c r="FX109" s="49"/>
      <c r="FY109" s="32"/>
      <c r="FZ109" s="32"/>
      <c r="GA109" s="32"/>
      <c r="GB109" s="32"/>
      <c r="GC109" s="32"/>
      <c r="GD109" s="32"/>
      <c r="GE109" s="32"/>
      <c r="GF109" s="32"/>
      <c r="GG109" s="32"/>
      <c r="GH109" s="32"/>
      <c r="GI109" s="32"/>
      <c r="GJ109" s="32"/>
      <c r="GK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49"/>
      <c r="HO109" s="49"/>
      <c r="HP109" s="49"/>
      <c r="HQ109" s="13"/>
      <c r="HR109" s="13"/>
      <c r="HS109" s="13"/>
      <c r="HT109" s="13"/>
      <c r="HU109" s="13"/>
      <c r="HV109" s="13"/>
      <c r="HW109" s="13"/>
      <c r="HX109" s="13"/>
      <c r="HY109" s="13"/>
      <c r="HZ109" s="13"/>
      <c r="IA109" s="13"/>
    </row>
    <row r="110" spans="1:235" ht="7.5" customHeight="1">
      <c r="A110" s="1"/>
      <c r="B110" s="3"/>
      <c r="C110" s="3"/>
      <c r="D110" s="333"/>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78"/>
      <c r="AE110" s="278"/>
      <c r="AF110" s="278"/>
      <c r="AG110" s="278"/>
      <c r="AH110" s="278"/>
      <c r="AI110" s="278"/>
      <c r="AJ110" s="278"/>
      <c r="AK110" s="278"/>
      <c r="AL110" s="278"/>
      <c r="AM110" s="278"/>
      <c r="AN110" s="278"/>
      <c r="AO110" s="278"/>
      <c r="AP110" s="278"/>
      <c r="AQ110" s="278"/>
      <c r="AR110" s="278"/>
      <c r="AS110" s="43"/>
      <c r="AT110" s="43"/>
      <c r="AU110" s="43"/>
      <c r="AV110" s="43"/>
      <c r="AW110" s="43"/>
      <c r="AX110" s="43"/>
      <c r="AY110" s="43"/>
      <c r="AZ110" s="278"/>
      <c r="BA110" s="278"/>
      <c r="BB110" s="278"/>
      <c r="BC110" s="278"/>
      <c r="BD110" s="278"/>
      <c r="BE110" s="278"/>
      <c r="BF110" s="278"/>
      <c r="BG110" s="278"/>
      <c r="BH110" s="278"/>
      <c r="BI110" s="278"/>
      <c r="BJ110" s="278"/>
      <c r="BK110" s="278"/>
      <c r="BL110" s="278"/>
      <c r="BM110" s="278"/>
      <c r="BN110" s="278"/>
      <c r="BO110" s="278"/>
      <c r="BP110" s="278"/>
      <c r="BQ110" s="278"/>
      <c r="BR110" s="278"/>
      <c r="BS110" s="278"/>
      <c r="BT110" s="278"/>
      <c r="BU110" s="278"/>
      <c r="BV110" s="278"/>
      <c r="BW110" s="278"/>
      <c r="BX110" s="278"/>
      <c r="BY110" s="278"/>
      <c r="BZ110" s="278"/>
      <c r="CA110" s="278"/>
      <c r="CB110" s="278"/>
      <c r="CC110" s="278"/>
      <c r="CD110" s="278"/>
      <c r="CE110" s="278"/>
      <c r="CF110" s="278"/>
      <c r="CG110" s="278"/>
      <c r="CH110" s="278"/>
      <c r="CI110" s="278"/>
      <c r="CJ110" s="278"/>
      <c r="CK110" s="278"/>
      <c r="CL110" s="278"/>
      <c r="CM110" s="278"/>
      <c r="CN110" s="278"/>
      <c r="CO110" s="278"/>
      <c r="CP110" s="278"/>
      <c r="CQ110" s="278"/>
      <c r="CR110" s="278"/>
      <c r="CS110" s="278"/>
      <c r="CT110" s="278"/>
      <c r="CU110" s="278"/>
      <c r="CV110" s="278"/>
      <c r="CW110" s="278"/>
      <c r="CX110" s="278"/>
      <c r="CY110" s="278"/>
      <c r="CZ110" s="278"/>
      <c r="DA110" s="278"/>
      <c r="DB110" s="278"/>
      <c r="DC110" s="278"/>
      <c r="DD110" s="278"/>
      <c r="DE110" s="278"/>
      <c r="DF110" s="278"/>
      <c r="DG110" s="278"/>
      <c r="DH110" s="278"/>
      <c r="DI110" s="278"/>
      <c r="DJ110" s="278"/>
      <c r="DK110" s="278"/>
      <c r="DL110" s="278"/>
      <c r="DM110" s="278"/>
      <c r="DN110" s="278"/>
      <c r="DO110" s="278"/>
      <c r="DP110" s="278"/>
      <c r="DQ110" s="278"/>
      <c r="DR110" s="278"/>
      <c r="DS110" s="278"/>
      <c r="DT110" s="278"/>
      <c r="DU110" s="278"/>
      <c r="DV110" s="278"/>
      <c r="DW110" s="278"/>
      <c r="DX110" s="278"/>
      <c r="DY110" s="278"/>
      <c r="DZ110" s="278"/>
      <c r="EA110" s="278"/>
      <c r="EB110" s="278"/>
      <c r="EC110" s="278"/>
      <c r="ED110" s="278"/>
      <c r="EE110" s="278"/>
      <c r="EF110" s="278"/>
      <c r="EG110" s="278"/>
      <c r="EH110" s="278"/>
      <c r="EI110" s="278"/>
      <c r="EJ110" s="278"/>
      <c r="EK110" s="278"/>
      <c r="EL110" s="278"/>
      <c r="EM110" s="278"/>
      <c r="EN110" s="278"/>
      <c r="EO110" s="278"/>
      <c r="EP110" s="278"/>
      <c r="EQ110" s="278"/>
      <c r="ER110" s="278"/>
      <c r="ES110" s="278"/>
      <c r="ET110" s="278"/>
      <c r="EU110" s="278"/>
      <c r="EV110" s="278"/>
      <c r="EW110" s="278"/>
      <c r="EX110" s="278"/>
      <c r="EY110" s="278"/>
      <c r="EZ110" s="278"/>
      <c r="FA110" s="278"/>
      <c r="FB110" s="278"/>
      <c r="FC110" s="278"/>
      <c r="FD110" s="278"/>
      <c r="FE110" s="278"/>
      <c r="FF110" s="278"/>
      <c r="FG110" s="278"/>
      <c r="FH110" s="278"/>
      <c r="FI110" s="278"/>
      <c r="FJ110" s="278"/>
      <c r="FK110" s="43"/>
      <c r="FL110" s="43"/>
      <c r="FM110" s="47"/>
      <c r="FN110" s="47"/>
      <c r="FO110" s="47"/>
      <c r="FP110" s="47"/>
      <c r="FQ110" s="47"/>
      <c r="FR110" s="49"/>
      <c r="FS110" s="49"/>
      <c r="FT110" s="49"/>
      <c r="FU110" s="49"/>
      <c r="FV110" s="49"/>
      <c r="FW110" s="49"/>
      <c r="FX110" s="49"/>
      <c r="FY110" s="32"/>
      <c r="FZ110" s="32"/>
      <c r="GA110" s="32"/>
      <c r="GB110" s="32"/>
      <c r="GC110" s="32"/>
      <c r="GD110" s="32"/>
      <c r="GE110" s="32"/>
      <c r="GF110" s="32"/>
      <c r="GG110" s="32"/>
      <c r="GH110" s="32"/>
      <c r="GI110" s="32"/>
      <c r="GJ110" s="32"/>
      <c r="GK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49"/>
      <c r="HO110" s="49"/>
      <c r="HP110" s="49"/>
      <c r="HQ110" s="13"/>
      <c r="HR110" s="13"/>
      <c r="HS110" s="13"/>
      <c r="HT110" s="13"/>
      <c r="HU110" s="13"/>
      <c r="HV110" s="13"/>
      <c r="HW110" s="13"/>
      <c r="HX110" s="13"/>
      <c r="HY110" s="13"/>
      <c r="HZ110" s="13"/>
      <c r="IA110" s="13"/>
    </row>
    <row r="111" spans="1:235" ht="16.5" customHeight="1">
      <c r="A111" s="1"/>
      <c r="B111" s="3"/>
      <c r="C111" s="3"/>
      <c r="D111" s="124" t="str">
        <f ca="1">IF(FO108=0,"","Hoeveel is de evenwichtshoeveelheid? Rond het antwoord af op hele stuks,")</f>
        <v/>
      </c>
      <c r="E111" s="333"/>
      <c r="F111" s="333"/>
      <c r="G111" s="333"/>
      <c r="H111" s="333"/>
      <c r="I111" s="333"/>
      <c r="J111" s="278"/>
      <c r="K111" s="278"/>
      <c r="L111" s="278"/>
      <c r="M111" s="278"/>
      <c r="N111" s="278"/>
      <c r="O111" s="278"/>
      <c r="P111" s="278"/>
      <c r="Q111" s="278"/>
      <c r="R111" s="278"/>
      <c r="S111" s="278"/>
      <c r="T111" s="278"/>
      <c r="U111" s="278"/>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278"/>
      <c r="CR111" s="278"/>
      <c r="CS111" s="278"/>
      <c r="CT111" s="278"/>
      <c r="CU111" s="278"/>
      <c r="CV111" s="278"/>
      <c r="CW111" s="278"/>
      <c r="CX111" s="278"/>
      <c r="CY111" s="278"/>
      <c r="CZ111" s="278"/>
      <c r="DA111" s="278"/>
      <c r="DB111" s="278"/>
      <c r="DC111" s="278"/>
      <c r="DD111" s="278"/>
      <c r="DE111" s="278"/>
      <c r="DF111" s="278"/>
      <c r="DG111" s="278"/>
      <c r="DH111" s="278"/>
      <c r="DI111" s="278"/>
      <c r="DJ111" s="278"/>
      <c r="DK111" s="278"/>
      <c r="DL111" s="278"/>
      <c r="DM111" s="278"/>
      <c r="DN111" s="278"/>
      <c r="DO111" s="278"/>
      <c r="DP111" s="278"/>
      <c r="DQ111" s="278"/>
      <c r="DR111" s="278"/>
      <c r="DS111" s="278"/>
      <c r="DT111" s="278"/>
      <c r="DU111" s="278"/>
      <c r="DV111" s="278"/>
      <c r="DW111" s="278"/>
      <c r="DX111" s="278"/>
      <c r="DY111" s="278"/>
      <c r="DZ111" s="278"/>
      <c r="EA111" s="278"/>
      <c r="EB111" s="278"/>
      <c r="EC111" s="278"/>
      <c r="ED111" s="278"/>
      <c r="EE111" s="278"/>
      <c r="EF111" s="278"/>
      <c r="EG111" s="278"/>
      <c r="EH111" s="278"/>
      <c r="EI111" s="278"/>
      <c r="EJ111" s="278"/>
      <c r="EK111" s="278"/>
      <c r="EL111" s="278"/>
      <c r="EM111" s="278"/>
      <c r="EN111" s="278"/>
      <c r="EO111" s="278"/>
      <c r="EP111" s="278"/>
      <c r="EQ111" s="278"/>
      <c r="ER111" s="278"/>
      <c r="ES111" s="278"/>
      <c r="ET111" s="278"/>
      <c r="EU111" s="278"/>
      <c r="EV111" s="278"/>
      <c r="EW111" s="278"/>
      <c r="EX111" s="278"/>
      <c r="EY111" s="278"/>
      <c r="EZ111" s="278"/>
      <c r="FA111" s="43"/>
      <c r="FB111" s="43"/>
      <c r="FC111" s="43"/>
      <c r="FD111" s="43"/>
      <c r="FE111" s="43"/>
      <c r="FF111" s="43"/>
      <c r="FG111" s="43"/>
      <c r="FH111" s="43"/>
      <c r="FI111" s="43"/>
      <c r="FJ111" s="43"/>
      <c r="FK111" s="43"/>
      <c r="FL111" s="43"/>
      <c r="FM111" s="338"/>
      <c r="FN111" s="78"/>
      <c r="FO111" s="78"/>
      <c r="FP111" s="47"/>
      <c r="FQ111" s="47"/>
      <c r="FR111" s="49"/>
      <c r="FS111" s="49"/>
      <c r="FT111" s="49"/>
      <c r="FU111" s="78"/>
      <c r="FV111" s="78"/>
      <c r="FW111" s="78"/>
      <c r="FX111" s="78"/>
      <c r="FY111" s="32"/>
      <c r="FZ111" s="32"/>
      <c r="GA111" s="32"/>
      <c r="GB111" s="32"/>
      <c r="GC111" s="32"/>
      <c r="GD111" s="32"/>
      <c r="GE111" s="32"/>
      <c r="GF111" s="32"/>
      <c r="GG111" s="32"/>
      <c r="GH111" s="32"/>
      <c r="GI111" s="32"/>
      <c r="GJ111" s="32"/>
      <c r="GK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49"/>
      <c r="HO111" s="49"/>
      <c r="HP111" s="49"/>
      <c r="HQ111" s="13"/>
      <c r="HR111" s="13"/>
      <c r="HS111" s="13"/>
      <c r="HT111" s="13"/>
      <c r="HU111" s="13"/>
      <c r="HV111" s="13"/>
      <c r="HW111" s="13"/>
      <c r="HX111" s="13"/>
      <c r="HY111" s="13"/>
      <c r="HZ111" s="13"/>
      <c r="IA111" s="13"/>
    </row>
    <row r="112" spans="1:235" ht="7.5" customHeight="1">
      <c r="A112" s="1"/>
      <c r="B112" s="3"/>
      <c r="C112" s="3"/>
      <c r="D112" s="333"/>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8"/>
      <c r="AL112" s="278"/>
      <c r="AM112" s="278"/>
      <c r="AN112" s="278"/>
      <c r="AO112" s="278"/>
      <c r="AP112" s="278"/>
      <c r="AQ112" s="278"/>
      <c r="AR112" s="278"/>
      <c r="AS112" s="43"/>
      <c r="AT112" s="43"/>
      <c r="AU112" s="43"/>
      <c r="AV112" s="43"/>
      <c r="AW112" s="43"/>
      <c r="AX112" s="43"/>
      <c r="AY112" s="43"/>
      <c r="AZ112" s="278"/>
      <c r="BA112" s="278"/>
      <c r="BB112" s="278"/>
      <c r="BC112" s="278"/>
      <c r="BD112" s="278"/>
      <c r="BE112" s="278"/>
      <c r="BF112" s="278"/>
      <c r="BG112" s="278"/>
      <c r="BH112" s="278"/>
      <c r="BI112" s="278"/>
      <c r="BJ112" s="278"/>
      <c r="BK112" s="278"/>
      <c r="BL112" s="278"/>
      <c r="BM112" s="278"/>
      <c r="BN112" s="278"/>
      <c r="BO112" s="278"/>
      <c r="BP112" s="278"/>
      <c r="BQ112" s="278"/>
      <c r="BR112" s="278"/>
      <c r="BS112" s="278"/>
      <c r="BT112" s="278"/>
      <c r="BU112" s="278"/>
      <c r="BV112" s="278"/>
      <c r="BW112" s="278"/>
      <c r="BX112" s="278"/>
      <c r="BY112" s="278"/>
      <c r="BZ112" s="278"/>
      <c r="CA112" s="278"/>
      <c r="CB112" s="278"/>
      <c r="CC112" s="278"/>
      <c r="CD112" s="278"/>
      <c r="CE112" s="278"/>
      <c r="CF112" s="278"/>
      <c r="CG112" s="278"/>
      <c r="CH112" s="278"/>
      <c r="CI112" s="278"/>
      <c r="CJ112" s="278"/>
      <c r="CK112" s="278"/>
      <c r="CL112" s="278"/>
      <c r="CM112" s="278"/>
      <c r="CN112" s="278"/>
      <c r="CO112" s="278"/>
      <c r="CP112" s="278"/>
      <c r="CQ112" s="278"/>
      <c r="CR112" s="278"/>
      <c r="CS112" s="278"/>
      <c r="CT112" s="278"/>
      <c r="CU112" s="278"/>
      <c r="CV112" s="278"/>
      <c r="CW112" s="278"/>
      <c r="CX112" s="278"/>
      <c r="CY112" s="278"/>
      <c r="CZ112" s="278"/>
      <c r="DA112" s="278"/>
      <c r="DB112" s="278"/>
      <c r="DC112" s="278"/>
      <c r="DD112" s="278"/>
      <c r="DE112" s="278"/>
      <c r="DF112" s="278"/>
      <c r="DG112" s="278"/>
      <c r="DH112" s="278"/>
      <c r="DI112" s="278"/>
      <c r="DJ112" s="278"/>
      <c r="DK112" s="278"/>
      <c r="DL112" s="278"/>
      <c r="DM112" s="278"/>
      <c r="DN112" s="278"/>
      <c r="DO112" s="278"/>
      <c r="DP112" s="278"/>
      <c r="DQ112" s="278"/>
      <c r="DR112" s="278"/>
      <c r="DS112" s="278"/>
      <c r="DT112" s="278"/>
      <c r="DU112" s="278"/>
      <c r="DV112" s="278"/>
      <c r="DW112" s="278"/>
      <c r="DX112" s="278"/>
      <c r="DY112" s="278"/>
      <c r="DZ112" s="278"/>
      <c r="EA112" s="278"/>
      <c r="EB112" s="278"/>
      <c r="EC112" s="278"/>
      <c r="ED112" s="278"/>
      <c r="EE112" s="278"/>
      <c r="EF112" s="278"/>
      <c r="EG112" s="278"/>
      <c r="EH112" s="278"/>
      <c r="EI112" s="278"/>
      <c r="EJ112" s="278"/>
      <c r="EK112" s="278"/>
      <c r="EL112" s="278"/>
      <c r="EM112" s="278"/>
      <c r="EN112" s="278"/>
      <c r="EO112" s="278"/>
      <c r="EP112" s="278"/>
      <c r="EQ112" s="278"/>
      <c r="ER112" s="278"/>
      <c r="ES112" s="278"/>
      <c r="ET112" s="278"/>
      <c r="EU112" s="278"/>
      <c r="EV112" s="278"/>
      <c r="EW112" s="278"/>
      <c r="EX112" s="278"/>
      <c r="EY112" s="278"/>
      <c r="EZ112" s="278"/>
      <c r="FA112" s="278"/>
      <c r="FB112" s="278"/>
      <c r="FC112" s="278"/>
      <c r="FD112" s="278"/>
      <c r="FE112" s="278"/>
      <c r="FF112" s="278"/>
      <c r="FG112" s="278"/>
      <c r="FH112" s="278"/>
      <c r="FI112" s="278"/>
      <c r="FJ112" s="278"/>
      <c r="FK112" s="43"/>
      <c r="FL112" s="43"/>
      <c r="FM112" s="47"/>
      <c r="FN112" s="47"/>
      <c r="FO112" s="47"/>
      <c r="FP112" s="47"/>
      <c r="FQ112" s="47"/>
      <c r="FR112" s="49"/>
      <c r="FS112" s="49"/>
      <c r="FT112" s="49"/>
      <c r="FU112" s="49"/>
      <c r="FV112" s="49"/>
      <c r="FW112" s="49"/>
      <c r="FX112" s="49"/>
      <c r="FY112" s="32"/>
      <c r="FZ112" s="32"/>
      <c r="GA112" s="32"/>
      <c r="GB112" s="32"/>
      <c r="GC112" s="32"/>
      <c r="GD112" s="32"/>
      <c r="GE112" s="32"/>
      <c r="GF112" s="32"/>
      <c r="GG112" s="32"/>
      <c r="GH112" s="32"/>
      <c r="GI112" s="32"/>
      <c r="GJ112" s="32"/>
      <c r="GK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49"/>
      <c r="HO112" s="49"/>
      <c r="HP112" s="49"/>
      <c r="HQ112" s="13"/>
      <c r="HR112" s="13"/>
      <c r="HS112" s="13"/>
      <c r="HT112" s="13"/>
      <c r="HU112" s="13"/>
      <c r="HV112" s="13"/>
      <c r="HW112" s="13"/>
      <c r="HX112" s="13"/>
      <c r="HY112" s="13"/>
      <c r="HZ112" s="13"/>
      <c r="IA112" s="13"/>
    </row>
    <row r="113" spans="1:237" ht="3.75" customHeight="1">
      <c r="A113" s="1"/>
      <c r="B113" s="3"/>
      <c r="C113" s="3"/>
      <c r="D113" s="333"/>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8"/>
      <c r="AD113" s="278"/>
      <c r="AE113" s="278"/>
      <c r="AF113" s="278"/>
      <c r="AG113" s="278"/>
      <c r="AH113" s="278"/>
      <c r="AI113" s="43"/>
      <c r="AJ113" s="43"/>
      <c r="AK113" s="43"/>
      <c r="AL113" s="43"/>
      <c r="AM113" s="43"/>
      <c r="AN113" s="43"/>
      <c r="AO113" s="43"/>
      <c r="AP113" s="43"/>
      <c r="AQ113" s="43"/>
      <c r="AR113" s="43"/>
      <c r="AS113" s="43"/>
      <c r="AT113" s="43"/>
      <c r="AU113" s="43"/>
      <c r="AV113" s="43"/>
      <c r="AW113" s="43"/>
      <c r="AX113" s="43"/>
      <c r="AY113" s="43"/>
      <c r="AZ113" s="43"/>
      <c r="BA113" s="43"/>
      <c r="BB113" s="538" t="str">
        <f ca="1">IF(FO108=0,"",".")</f>
        <v/>
      </c>
      <c r="BC113" s="538"/>
      <c r="BD113" s="538"/>
      <c r="BE113" s="538"/>
      <c r="BF113" s="538"/>
      <c r="BG113" s="538"/>
      <c r="BH113" s="538"/>
      <c r="BI113" s="538"/>
      <c r="BJ113" s="538"/>
      <c r="BK113" s="538"/>
      <c r="BL113" s="538"/>
      <c r="BM113" s="538"/>
      <c r="BN113" s="538"/>
      <c r="BO113" s="538"/>
      <c r="BP113" s="538"/>
      <c r="BQ113" s="538"/>
      <c r="BR113" s="538"/>
      <c r="BS113" s="538"/>
      <c r="BT113" s="538"/>
      <c r="BU113" s="538"/>
      <c r="BV113" s="538"/>
      <c r="BW113" s="538"/>
      <c r="BX113" s="538"/>
      <c r="BY113" s="538"/>
      <c r="BZ113" s="538"/>
      <c r="CA113" s="538"/>
      <c r="CB113" s="538"/>
      <c r="CC113" s="538"/>
      <c r="CD113" s="538"/>
      <c r="CE113" s="538"/>
      <c r="CF113" s="278"/>
      <c r="CG113" s="55"/>
      <c r="CH113" s="55"/>
      <c r="CI113" s="55"/>
      <c r="CJ113" s="55"/>
      <c r="CK113" s="55"/>
      <c r="CL113" s="55"/>
      <c r="CM113" s="55"/>
      <c r="CN113" s="55"/>
      <c r="CO113" s="55"/>
      <c r="CP113" s="55"/>
      <c r="CQ113" s="55"/>
      <c r="CR113" s="55"/>
      <c r="CS113" s="55"/>
      <c r="CT113" s="55"/>
      <c r="CU113" s="55"/>
      <c r="CV113" s="55"/>
      <c r="CW113" s="55"/>
      <c r="CX113" s="55"/>
      <c r="CY113" s="55"/>
      <c r="CZ113" s="55"/>
      <c r="DA113" s="55"/>
      <c r="DB113" s="55"/>
      <c r="DC113" s="55"/>
      <c r="DD113" s="55"/>
      <c r="DE113" s="55"/>
      <c r="DF113" s="55"/>
      <c r="DG113" s="217"/>
      <c r="DH113" s="217"/>
      <c r="DI113" s="217"/>
      <c r="DJ113" s="217"/>
      <c r="DK113" s="217"/>
      <c r="DL113" s="217"/>
      <c r="DM113" s="217"/>
      <c r="DN113" s="217"/>
      <c r="DO113" s="217"/>
      <c r="DP113" s="217"/>
      <c r="DQ113" s="217"/>
      <c r="DR113" s="217"/>
      <c r="DS113" s="217"/>
      <c r="DT113" s="217"/>
      <c r="DU113" s="217"/>
      <c r="DV113" s="217"/>
      <c r="DW113" s="217"/>
      <c r="DX113" s="217"/>
      <c r="DY113" s="217"/>
      <c r="DZ113" s="217"/>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278"/>
      <c r="FE113" s="278"/>
      <c r="FF113" s="278"/>
      <c r="FG113" s="278"/>
      <c r="FH113" s="278"/>
      <c r="FI113" s="278"/>
      <c r="FJ113" s="278"/>
      <c r="FK113" s="43"/>
      <c r="FL113" s="43"/>
      <c r="FM113" s="47"/>
      <c r="FN113" s="47"/>
      <c r="FO113" s="47"/>
      <c r="FP113" s="47"/>
      <c r="FQ113" s="47"/>
      <c r="FR113" s="49"/>
      <c r="FS113" s="49"/>
      <c r="FT113" s="49"/>
      <c r="FU113" s="49"/>
      <c r="FV113" s="49"/>
      <c r="FW113" s="49"/>
      <c r="FX113" s="49"/>
      <c r="FY113" s="32"/>
      <c r="FZ113" s="32"/>
      <c r="GA113" s="32"/>
      <c r="GB113" s="32"/>
      <c r="GC113" s="32"/>
      <c r="GD113" s="32"/>
      <c r="GE113" s="32"/>
      <c r="GF113" s="32"/>
      <c r="GG113" s="32"/>
      <c r="GH113" s="32"/>
      <c r="GI113" s="32"/>
      <c r="GJ113" s="32"/>
      <c r="GK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49"/>
      <c r="HO113" s="49"/>
      <c r="HP113" s="49"/>
      <c r="HQ113" s="13"/>
      <c r="HR113" s="13"/>
      <c r="HS113" s="13"/>
      <c r="HT113" s="13"/>
      <c r="HU113" s="13"/>
      <c r="HV113" s="13"/>
      <c r="HW113" s="13"/>
      <c r="HX113" s="13"/>
      <c r="HY113" s="13"/>
      <c r="HZ113" s="13"/>
      <c r="IA113" s="13"/>
    </row>
    <row r="114" spans="1:237" ht="16.5" customHeight="1">
      <c r="A114" s="1"/>
      <c r="B114" s="476"/>
      <c r="C114" s="3"/>
      <c r="D114" s="43"/>
      <c r="E114" s="278"/>
      <c r="F114" s="278"/>
      <c r="G114" s="278"/>
      <c r="H114" s="278"/>
      <c r="I114" s="278"/>
      <c r="J114" s="43"/>
      <c r="K114" s="278"/>
      <c r="L114" s="278"/>
      <c r="M114" s="278"/>
      <c r="N114" s="278"/>
      <c r="O114" s="278"/>
      <c r="P114" s="278"/>
      <c r="Q114" s="278"/>
      <c r="R114" s="278"/>
      <c r="S114" s="278"/>
      <c r="T114" s="278"/>
      <c r="U114" s="278"/>
      <c r="V114" s="278"/>
      <c r="W114" s="278"/>
      <c r="X114" s="278"/>
      <c r="Y114" s="278"/>
      <c r="Z114" s="278"/>
      <c r="AA114" s="278"/>
      <c r="AB114" s="278"/>
      <c r="AC114" s="278"/>
      <c r="AD114" s="278"/>
      <c r="AE114" s="278"/>
      <c r="AF114" s="278"/>
      <c r="AG114" s="278"/>
      <c r="AH114" s="278"/>
      <c r="AI114" s="43"/>
      <c r="AJ114" s="43"/>
      <c r="AK114" s="43"/>
      <c r="AL114" s="43"/>
      <c r="AM114" s="43"/>
      <c r="AN114" s="43"/>
      <c r="AO114" s="43"/>
      <c r="AP114" s="43"/>
      <c r="AQ114" s="43"/>
      <c r="AR114" s="43"/>
      <c r="AS114" s="43"/>
      <c r="AT114" s="43"/>
      <c r="AU114" s="43"/>
      <c r="AV114" s="43"/>
      <c r="AW114" s="43"/>
      <c r="AX114" s="43"/>
      <c r="AY114" s="43"/>
      <c r="AZ114" s="184" t="str">
        <f ca="1">IF(FO108=0,"","De evenwichtshoeveelheid is:")</f>
        <v/>
      </c>
      <c r="BA114" s="43"/>
      <c r="BB114" s="327" t="str">
        <f ca="1">IF(FO108=0,"",".")</f>
        <v/>
      </c>
      <c r="BC114" s="702"/>
      <c r="BD114" s="702"/>
      <c r="BE114" s="702"/>
      <c r="BF114" s="702"/>
      <c r="BG114" s="702"/>
      <c r="BH114" s="702"/>
      <c r="BI114" s="702"/>
      <c r="BJ114" s="702"/>
      <c r="BK114" s="702"/>
      <c r="BL114" s="702"/>
      <c r="BM114" s="702"/>
      <c r="BN114" s="702"/>
      <c r="BO114" s="702"/>
      <c r="BP114" s="702"/>
      <c r="BQ114" s="702"/>
      <c r="BR114" s="702"/>
      <c r="BS114" s="702"/>
      <c r="BT114" s="702"/>
      <c r="BU114" s="702"/>
      <c r="BV114" s="702"/>
      <c r="BW114" s="702"/>
      <c r="BX114" s="702"/>
      <c r="BY114" s="702"/>
      <c r="BZ114" s="702"/>
      <c r="CA114" s="702"/>
      <c r="CB114" s="702"/>
      <c r="CC114" s="702"/>
      <c r="CD114" s="702"/>
      <c r="CE114" s="327" t="str">
        <f ca="1">IF(FO108=0,"",".")</f>
        <v/>
      </c>
      <c r="CF114" s="278"/>
      <c r="CG114" s="186" t="str">
        <f ca="1">IF(FO108=0,"",IF(BC114="","",IF(AND(programma!$A$301="uitwerking",$B114="X"),FM114,IF(AND(BC114&gt;FP114-0.00001,BC114&lt;FP114+0.00001),"Goed!",IF(AND(BC114&gt;=FP114-0.1,BC114&lt;=FP114+0.1),"Je hebt niet goed afgerond!",IF(BC114=FQ114,"Fout! Je hebt het toch op de plek van q ingevuld!!!!","Fout! Probeer het opnieuw."))))))</f>
        <v/>
      </c>
      <c r="CH114" s="55"/>
      <c r="CI114" s="55"/>
      <c r="CJ114" s="55"/>
      <c r="CK114" s="55"/>
      <c r="CL114" s="55"/>
      <c r="CM114" s="55"/>
      <c r="CN114" s="55"/>
      <c r="CO114" s="55"/>
      <c r="CP114" s="55"/>
      <c r="CQ114" s="55"/>
      <c r="CR114" s="55"/>
      <c r="CS114" s="55"/>
      <c r="CT114" s="55"/>
      <c r="CU114" s="55"/>
      <c r="CV114" s="55"/>
      <c r="CW114" s="55"/>
      <c r="CX114" s="55"/>
      <c r="CY114" s="55"/>
      <c r="CZ114" s="55"/>
      <c r="DA114" s="55"/>
      <c r="DB114" s="55"/>
      <c r="DC114" s="55"/>
      <c r="DD114" s="55"/>
      <c r="DE114" s="55"/>
      <c r="DF114" s="55"/>
      <c r="DG114" s="217"/>
      <c r="DH114" s="217"/>
      <c r="DI114" s="217"/>
      <c r="DJ114" s="217"/>
      <c r="DK114" s="217"/>
      <c r="DL114" s="217"/>
      <c r="DM114" s="217"/>
      <c r="DN114" s="217"/>
      <c r="DO114" s="217"/>
      <c r="DP114" s="217"/>
      <c r="DQ114" s="217"/>
      <c r="DR114" s="217"/>
      <c r="DS114" s="217"/>
      <c r="DT114" s="217"/>
      <c r="DU114" s="217"/>
      <c r="DV114" s="217"/>
      <c r="DW114" s="217"/>
      <c r="DX114" s="217"/>
      <c r="DY114" s="217"/>
      <c r="DZ114" s="217"/>
      <c r="EA114" s="43"/>
      <c r="EB114" s="43"/>
      <c r="EC114" s="43"/>
      <c r="ED114" s="43"/>
      <c r="EE114" s="43"/>
      <c r="EF114" s="43"/>
      <c r="EG114" s="43"/>
      <c r="EH114" s="43"/>
      <c r="EI114" s="43"/>
      <c r="EJ114" s="43"/>
      <c r="EK114" s="43"/>
      <c r="EL114" s="43"/>
      <c r="EM114" s="43"/>
      <c r="EN114" s="43"/>
      <c r="EO114" s="43"/>
      <c r="EP114" s="43"/>
      <c r="EQ114" s="43"/>
      <c r="ER114" s="43"/>
      <c r="ES114" s="43"/>
      <c r="ET114" s="43"/>
      <c r="EU114" s="43"/>
      <c r="EV114" s="43"/>
      <c r="EW114" s="43"/>
      <c r="EX114" s="43"/>
      <c r="EY114" s="43"/>
      <c r="EZ114" s="43"/>
      <c r="FA114" s="43"/>
      <c r="FB114" s="43"/>
      <c r="FC114" s="43"/>
      <c r="FD114" s="278"/>
      <c r="FE114" s="278"/>
      <c r="FF114" s="278"/>
      <c r="FG114" s="278"/>
      <c r="FH114" s="278"/>
      <c r="FI114" s="278"/>
      <c r="FJ114" s="278"/>
      <c r="FK114" s="43"/>
      <c r="FL114" s="43"/>
      <c r="FM114" s="47" t="str">
        <f ca="1">"vraag = aanbod dus GO = MK, dus -"&amp;FP91&amp;"q + "&amp;FQ91&amp;" = "&amp;FQ93&amp;" dus q = "&amp;FQ91-FQ93&amp;" / "&amp;FP91&amp;" wordt "&amp;FP114</f>
        <v>vraag = aanbod dus GO = MK, dus -2q + 1600 = 36 dus q = 1564 / 2 wordt 782</v>
      </c>
      <c r="FN114" s="47"/>
      <c r="FO114" s="48">
        <f ca="1">IF(programma!B1="X",1,IF(FO108=0,0,IF(AND(BC114&gt;FP114-0.00001,BC114&lt;FP114+0.00001),1,0)))</f>
        <v>0</v>
      </c>
      <c r="FP114" s="48">
        <f ca="1">IF(FO1=0,"",ROUND(((FQ91-FQ93)/FP91),0))</f>
        <v>782</v>
      </c>
      <c r="FQ114" s="93">
        <f ca="1">FQ91-FP91*FP108</f>
        <v>1528</v>
      </c>
      <c r="FR114" s="49"/>
      <c r="FS114" s="49"/>
      <c r="FT114" s="49"/>
      <c r="FU114" s="49"/>
      <c r="FV114" s="49"/>
      <c r="FW114" s="49"/>
      <c r="FX114" s="49"/>
      <c r="FY114" s="32"/>
      <c r="FZ114" s="32"/>
      <c r="GA114" s="32"/>
      <c r="GB114" s="32"/>
      <c r="GC114" s="32"/>
      <c r="GD114" s="32"/>
      <c r="GE114" s="32"/>
      <c r="GF114" s="32"/>
      <c r="GG114" s="32"/>
      <c r="GH114" s="32"/>
      <c r="GI114" s="32"/>
      <c r="GJ114" s="32"/>
      <c r="GK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49"/>
      <c r="HO114" s="49"/>
      <c r="HP114" s="49"/>
      <c r="HQ114" s="13"/>
      <c r="HR114" s="13"/>
      <c r="HS114" s="13"/>
      <c r="HT114" s="13"/>
      <c r="HU114" s="13"/>
      <c r="HV114" s="13"/>
      <c r="HW114" s="13"/>
      <c r="HX114" s="13"/>
      <c r="HY114" s="13"/>
      <c r="HZ114" s="13"/>
      <c r="IA114" s="13"/>
    </row>
    <row r="115" spans="1:237" ht="3.75" customHeight="1">
      <c r="A115" s="1"/>
      <c r="B115" s="3"/>
      <c r="C115" s="3"/>
      <c r="D115" s="333"/>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78"/>
      <c r="AE115" s="278"/>
      <c r="AF115" s="278"/>
      <c r="AG115" s="278"/>
      <c r="AH115" s="278"/>
      <c r="AI115" s="43"/>
      <c r="AJ115" s="43"/>
      <c r="AK115" s="43"/>
      <c r="AL115" s="43"/>
      <c r="AM115" s="43"/>
      <c r="AN115" s="43"/>
      <c r="AO115" s="43"/>
      <c r="AP115" s="43"/>
      <c r="AQ115" s="43"/>
      <c r="AR115" s="43"/>
      <c r="AS115" s="43"/>
      <c r="AT115" s="43"/>
      <c r="AU115" s="43"/>
      <c r="AV115" s="43"/>
      <c r="AW115" s="43"/>
      <c r="AX115" s="43"/>
      <c r="AY115" s="43"/>
      <c r="AZ115" s="43"/>
      <c r="BA115" s="43"/>
      <c r="BB115" s="538" t="str">
        <f ca="1">IF(FO108=0,"",".")</f>
        <v/>
      </c>
      <c r="BC115" s="538"/>
      <c r="BD115" s="538"/>
      <c r="BE115" s="538"/>
      <c r="BF115" s="538"/>
      <c r="BG115" s="538"/>
      <c r="BH115" s="538"/>
      <c r="BI115" s="538"/>
      <c r="BJ115" s="538"/>
      <c r="BK115" s="538"/>
      <c r="BL115" s="538"/>
      <c r="BM115" s="538"/>
      <c r="BN115" s="538"/>
      <c r="BO115" s="538"/>
      <c r="BP115" s="538"/>
      <c r="BQ115" s="538"/>
      <c r="BR115" s="538"/>
      <c r="BS115" s="538"/>
      <c r="BT115" s="538"/>
      <c r="BU115" s="538"/>
      <c r="BV115" s="538"/>
      <c r="BW115" s="538"/>
      <c r="BX115" s="538"/>
      <c r="BY115" s="538"/>
      <c r="BZ115" s="538"/>
      <c r="CA115" s="538"/>
      <c r="CB115" s="538"/>
      <c r="CC115" s="538"/>
      <c r="CD115" s="538"/>
      <c r="CE115" s="538"/>
      <c r="CF115" s="278"/>
      <c r="CG115" s="278"/>
      <c r="CH115" s="278"/>
      <c r="CI115" s="278"/>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278"/>
      <c r="FE115" s="278"/>
      <c r="FF115" s="278"/>
      <c r="FG115" s="278"/>
      <c r="FH115" s="278"/>
      <c r="FI115" s="278"/>
      <c r="FJ115" s="278"/>
      <c r="FK115" s="43"/>
      <c r="FL115" s="43"/>
      <c r="FM115" s="47"/>
      <c r="FN115" s="47"/>
      <c r="FO115" s="47"/>
      <c r="FP115" s="47">
        <f ca="1">FR108-FP108*FQ108</f>
        <v>782</v>
      </c>
      <c r="FQ115" s="47"/>
      <c r="FR115" s="49"/>
      <c r="FS115" s="49"/>
      <c r="FT115" s="49"/>
      <c r="FU115" s="49"/>
      <c r="FV115" s="49"/>
      <c r="FW115" s="49"/>
      <c r="FX115" s="49"/>
      <c r="FY115" s="32"/>
      <c r="FZ115" s="32"/>
      <c r="GA115" s="32"/>
      <c r="GB115" s="32"/>
      <c r="GC115" s="32"/>
      <c r="GD115" s="32"/>
      <c r="GE115" s="32"/>
      <c r="GF115" s="32"/>
      <c r="GG115" s="32"/>
      <c r="GH115" s="32"/>
      <c r="GI115" s="32"/>
      <c r="GJ115" s="32"/>
      <c r="GK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49"/>
      <c r="HO115" s="49"/>
      <c r="HP115" s="49"/>
      <c r="HQ115" s="13"/>
      <c r="HR115" s="13"/>
      <c r="HS115" s="13"/>
      <c r="HT115" s="13"/>
      <c r="HU115" s="13"/>
      <c r="HV115" s="13"/>
      <c r="HW115" s="13"/>
      <c r="HX115" s="13"/>
      <c r="HY115" s="13"/>
      <c r="HZ115" s="13"/>
      <c r="IA115" s="13"/>
    </row>
    <row r="116" spans="1:237" ht="9.75" customHeight="1">
      <c r="A116" s="1"/>
      <c r="B116" s="3"/>
      <c r="C116" s="3"/>
      <c r="D116" s="333"/>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43"/>
      <c r="AJ116" s="43"/>
      <c r="AK116" s="43"/>
      <c r="AL116" s="43"/>
      <c r="AM116" s="43"/>
      <c r="AN116" s="43"/>
      <c r="AO116" s="43"/>
      <c r="AP116" s="43"/>
      <c r="AQ116" s="43"/>
      <c r="AR116" s="43"/>
      <c r="AS116" s="43"/>
      <c r="AT116" s="43"/>
      <c r="AU116" s="327"/>
      <c r="AV116" s="328"/>
      <c r="AW116" s="328"/>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328"/>
      <c r="BU116" s="328"/>
      <c r="BV116" s="328"/>
      <c r="BW116" s="328"/>
      <c r="BX116" s="328"/>
      <c r="BY116" s="278"/>
      <c r="BZ116" s="278"/>
      <c r="CA116" s="278"/>
      <c r="CB116" s="278"/>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278"/>
      <c r="FE116" s="278"/>
      <c r="FF116" s="278"/>
      <c r="FG116" s="278"/>
      <c r="FH116" s="278"/>
      <c r="FI116" s="278"/>
      <c r="FJ116" s="278"/>
      <c r="FK116" s="43"/>
      <c r="FL116" s="43"/>
      <c r="FM116" s="47"/>
      <c r="FN116" s="47"/>
      <c r="FO116" s="47"/>
      <c r="FP116" s="47"/>
      <c r="FQ116" s="47"/>
      <c r="FR116" s="49"/>
      <c r="FS116" s="49"/>
      <c r="FT116" s="49"/>
      <c r="FU116" s="49"/>
      <c r="FV116" s="49"/>
      <c r="FW116" s="49"/>
      <c r="FX116" s="49"/>
      <c r="FY116" s="32"/>
      <c r="FZ116" s="32"/>
      <c r="GA116" s="32"/>
      <c r="GB116" s="32"/>
      <c r="GC116" s="32"/>
      <c r="GD116" s="32"/>
      <c r="GE116" s="32"/>
      <c r="GF116" s="32"/>
      <c r="GG116" s="32"/>
      <c r="GH116" s="32"/>
      <c r="GI116" s="32"/>
      <c r="GJ116" s="32"/>
      <c r="GK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49"/>
      <c r="HO116" s="49"/>
      <c r="HP116" s="49"/>
      <c r="HQ116" s="13"/>
      <c r="HR116" s="13"/>
      <c r="HS116" s="13"/>
      <c r="HT116" s="13"/>
      <c r="HU116" s="13"/>
      <c r="HV116" s="13"/>
      <c r="HW116" s="13"/>
      <c r="HX116" s="13"/>
      <c r="HY116" s="13"/>
      <c r="HZ116" s="13"/>
      <c r="IA116" s="13"/>
    </row>
    <row r="117" spans="1:237" ht="16.95" customHeight="1">
      <c r="A117" s="1"/>
      <c r="B117" s="3"/>
      <c r="C117" s="3"/>
      <c r="D117" s="124" t="str">
        <f ca="1">IF(FO114=0,"","Aan de hand van de marktprijs en de marginale kosten kun je zien wat het")</f>
        <v/>
      </c>
      <c r="E117" s="373"/>
      <c r="F117" s="373"/>
      <c r="G117" s="373"/>
      <c r="H117" s="373"/>
      <c r="I117" s="373"/>
      <c r="J117" s="376"/>
      <c r="K117" s="376"/>
      <c r="L117" s="376"/>
      <c r="M117" s="376"/>
      <c r="N117" s="376"/>
      <c r="O117" s="376"/>
      <c r="P117" s="376"/>
      <c r="Q117" s="376"/>
      <c r="R117" s="376"/>
      <c r="S117" s="376"/>
      <c r="T117" s="376"/>
      <c r="U117" s="376"/>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43"/>
      <c r="CL117" s="43"/>
      <c r="CM117" s="43"/>
      <c r="CN117" s="43"/>
      <c r="CO117" s="43"/>
      <c r="CP117" s="376"/>
      <c r="CQ117" s="376"/>
      <c r="CR117" s="376"/>
      <c r="CS117" s="376"/>
      <c r="CT117" s="376"/>
      <c r="CU117" s="376"/>
      <c r="CV117" s="376"/>
      <c r="CW117" s="376"/>
      <c r="CX117" s="376"/>
      <c r="CY117" s="376"/>
      <c r="CZ117" s="376"/>
      <c r="DA117" s="376"/>
      <c r="DB117" s="376"/>
      <c r="DC117" s="376"/>
      <c r="DD117" s="376"/>
      <c r="DE117" s="376"/>
      <c r="DF117" s="376"/>
      <c r="DG117" s="376"/>
      <c r="DH117" s="376"/>
      <c r="DI117" s="376"/>
      <c r="DJ117" s="376"/>
      <c r="DK117" s="376"/>
      <c r="DL117" s="376"/>
      <c r="DM117" s="376"/>
      <c r="DN117" s="376"/>
      <c r="DO117" s="376"/>
      <c r="DP117" s="376"/>
      <c r="DQ117" s="376"/>
      <c r="DR117" s="376"/>
      <c r="DS117" s="376"/>
      <c r="DT117" s="376"/>
      <c r="DU117" s="376"/>
      <c r="DV117" s="376"/>
      <c r="DW117" s="376"/>
      <c r="DX117" s="376"/>
      <c r="DY117" s="376"/>
      <c r="DZ117" s="376"/>
      <c r="EA117" s="376"/>
      <c r="EB117" s="376"/>
      <c r="EC117" s="376"/>
      <c r="ED117" s="376"/>
      <c r="EE117" s="376"/>
      <c r="EF117" s="376"/>
      <c r="EG117" s="376"/>
      <c r="EH117" s="376"/>
      <c r="EI117" s="376"/>
      <c r="EJ117" s="376"/>
      <c r="EK117" s="376"/>
      <c r="EL117" s="376"/>
      <c r="EM117" s="376"/>
      <c r="EN117" s="376"/>
      <c r="EO117" s="376"/>
      <c r="EP117" s="376"/>
      <c r="EQ117" s="376"/>
      <c r="ER117" s="376"/>
      <c r="ES117" s="376"/>
      <c r="ET117" s="376"/>
      <c r="EU117" s="376"/>
      <c r="EV117" s="376"/>
      <c r="EW117" s="376"/>
      <c r="EX117" s="376"/>
      <c r="EY117" s="376"/>
      <c r="EZ117" s="376"/>
      <c r="FA117" s="43"/>
      <c r="FB117" s="43"/>
      <c r="FC117" s="43"/>
      <c r="FD117" s="43"/>
      <c r="FE117" s="43"/>
      <c r="FF117" s="43"/>
      <c r="FG117" s="43"/>
      <c r="FH117" s="43"/>
      <c r="FI117" s="79"/>
      <c r="FJ117" s="79"/>
      <c r="FK117" s="79"/>
      <c r="FL117" s="79"/>
      <c r="FM117" s="93"/>
      <c r="FN117" s="93"/>
      <c r="FO117" s="338"/>
      <c r="FP117" s="338"/>
      <c r="FQ117" s="338"/>
      <c r="FR117" s="338"/>
      <c r="FS117" s="338"/>
      <c r="FT117" s="338"/>
      <c r="FU117" s="338"/>
      <c r="FV117" s="338"/>
      <c r="FW117" s="338"/>
      <c r="FX117" s="338"/>
      <c r="FY117" s="32"/>
      <c r="FZ117" s="32"/>
      <c r="GA117" s="32"/>
      <c r="GB117" s="32"/>
      <c r="GC117" s="32"/>
      <c r="GD117" s="32"/>
      <c r="GE117" s="32"/>
      <c r="GF117" s="32"/>
      <c r="GG117" s="32"/>
      <c r="GH117" s="32"/>
      <c r="GI117" s="32"/>
      <c r="GJ117" s="32"/>
      <c r="GK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49"/>
      <c r="HO117" s="49"/>
      <c r="HP117" s="49"/>
      <c r="HQ117" s="13"/>
      <c r="HR117" s="13"/>
      <c r="HS117" s="13"/>
      <c r="HT117" s="13"/>
      <c r="HU117" s="13"/>
      <c r="HV117" s="13"/>
      <c r="HW117" s="13"/>
      <c r="HX117" s="13"/>
      <c r="HY117" s="13"/>
      <c r="HZ117" s="13"/>
      <c r="IA117" s="13"/>
    </row>
    <row r="118" spans="1:237" ht="16.95" customHeight="1">
      <c r="A118" s="1"/>
      <c r="B118" s="3"/>
      <c r="C118" s="3"/>
      <c r="D118" s="124" t="str">
        <f ca="1">IF(FO114=0,"","producentensurplus is van elke eenheid die wordt verkocht. Hoeveel is dat?")</f>
        <v/>
      </c>
      <c r="E118" s="373"/>
      <c r="F118" s="373"/>
      <c r="G118" s="373"/>
      <c r="H118" s="373"/>
      <c r="I118" s="373"/>
      <c r="J118" s="376"/>
      <c r="K118" s="376"/>
      <c r="L118" s="376"/>
      <c r="M118" s="376"/>
      <c r="N118" s="376"/>
      <c r="O118" s="376"/>
      <c r="P118" s="376"/>
      <c r="Q118" s="376"/>
      <c r="R118" s="376"/>
      <c r="S118" s="376"/>
      <c r="T118" s="376"/>
      <c r="U118" s="37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c r="CB118" s="79"/>
      <c r="CC118" s="79"/>
      <c r="CD118" s="79"/>
      <c r="CE118" s="79"/>
      <c r="CF118" s="79"/>
      <c r="CG118" s="79"/>
      <c r="CH118" s="79"/>
      <c r="CI118" s="79"/>
      <c r="CJ118" s="79"/>
      <c r="CK118" s="43"/>
      <c r="CL118" s="43"/>
      <c r="CM118" s="43"/>
      <c r="CN118" s="43"/>
      <c r="CO118" s="43"/>
      <c r="CP118" s="376"/>
      <c r="CQ118" s="376"/>
      <c r="CR118" s="376"/>
      <c r="CS118" s="376"/>
      <c r="CT118" s="376"/>
      <c r="CU118" s="376"/>
      <c r="CV118" s="376"/>
      <c r="CW118" s="376"/>
      <c r="CX118" s="376"/>
      <c r="CY118" s="376"/>
      <c r="CZ118" s="376"/>
      <c r="DA118" s="376"/>
      <c r="DB118" s="376"/>
      <c r="DC118" s="376"/>
      <c r="DD118" s="376"/>
      <c r="DE118" s="376"/>
      <c r="DF118" s="376"/>
      <c r="DG118" s="376"/>
      <c r="DH118" s="376"/>
      <c r="DI118" s="376"/>
      <c r="DJ118" s="376"/>
      <c r="DK118" s="376"/>
      <c r="DL118" s="376"/>
      <c r="DM118" s="376"/>
      <c r="DN118" s="376"/>
      <c r="DO118" s="376"/>
      <c r="DP118" s="376"/>
      <c r="DQ118" s="376"/>
      <c r="DR118" s="376"/>
      <c r="DS118" s="376"/>
      <c r="DT118" s="376"/>
      <c r="DU118" s="376"/>
      <c r="DV118" s="376"/>
      <c r="DW118" s="376"/>
      <c r="DX118" s="376"/>
      <c r="DY118" s="376"/>
      <c r="DZ118" s="376"/>
      <c r="EA118" s="376"/>
      <c r="EB118" s="376"/>
      <c r="EC118" s="376"/>
      <c r="ED118" s="376"/>
      <c r="EE118" s="376"/>
      <c r="EF118" s="376"/>
      <c r="EG118" s="376"/>
      <c r="EH118" s="376"/>
      <c r="EI118" s="376"/>
      <c r="EJ118" s="376"/>
      <c r="EK118" s="376"/>
      <c r="EL118" s="376"/>
      <c r="EM118" s="376"/>
      <c r="EN118" s="376"/>
      <c r="EO118" s="376"/>
      <c r="EP118" s="376"/>
      <c r="EQ118" s="376"/>
      <c r="ER118" s="376"/>
      <c r="ES118" s="376"/>
      <c r="ET118" s="376"/>
      <c r="EU118" s="376"/>
      <c r="EV118" s="376"/>
      <c r="EW118" s="376"/>
      <c r="EX118" s="376"/>
      <c r="EY118" s="376"/>
      <c r="EZ118" s="376"/>
      <c r="FA118" s="43"/>
      <c r="FB118" s="43"/>
      <c r="FC118" s="43"/>
      <c r="FD118" s="43"/>
      <c r="FE118" s="43"/>
      <c r="FF118" s="43"/>
      <c r="FG118" s="43"/>
      <c r="FH118" s="43"/>
      <c r="FI118" s="79"/>
      <c r="FJ118" s="79"/>
      <c r="FK118" s="79"/>
      <c r="FL118" s="79"/>
      <c r="FM118" s="93"/>
      <c r="FN118" s="93"/>
      <c r="FO118" s="338"/>
      <c r="FP118" s="338"/>
      <c r="FQ118" s="338"/>
      <c r="FR118" s="338"/>
      <c r="FS118" s="338"/>
      <c r="FT118" s="338"/>
      <c r="FU118" s="338"/>
      <c r="FV118" s="338"/>
      <c r="FW118" s="338"/>
      <c r="FX118" s="338"/>
      <c r="FY118" s="32"/>
      <c r="FZ118" s="32"/>
      <c r="GA118" s="32"/>
      <c r="GB118" s="32"/>
      <c r="GC118" s="32"/>
      <c r="GD118" s="32"/>
      <c r="GE118" s="32"/>
      <c r="GF118" s="32"/>
      <c r="GG118" s="32"/>
      <c r="GH118" s="32"/>
      <c r="GI118" s="32"/>
      <c r="GJ118" s="32"/>
      <c r="GK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49"/>
      <c r="HO118" s="49"/>
      <c r="HP118" s="49"/>
      <c r="HQ118" s="13"/>
      <c r="HR118" s="13"/>
      <c r="HS118" s="13"/>
      <c r="HT118" s="13"/>
      <c r="HU118" s="13"/>
      <c r="HV118" s="13"/>
      <c r="HW118" s="13"/>
      <c r="HX118" s="13"/>
      <c r="HY118" s="13"/>
      <c r="HZ118" s="13"/>
      <c r="IA118" s="13"/>
    </row>
    <row r="119" spans="1:237" ht="10.199999999999999" customHeight="1">
      <c r="A119" s="1"/>
      <c r="B119" s="3"/>
      <c r="C119" s="3"/>
      <c r="D119" s="333"/>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78"/>
      <c r="AE119" s="278"/>
      <c r="AF119" s="278"/>
      <c r="AG119" s="278"/>
      <c r="AH119" s="278"/>
      <c r="AI119" s="278"/>
      <c r="AJ119" s="278"/>
      <c r="AK119" s="278"/>
      <c r="AL119" s="278"/>
      <c r="AM119" s="278"/>
      <c r="AN119" s="278"/>
      <c r="AO119" s="278"/>
      <c r="AP119" s="278"/>
      <c r="AQ119" s="43"/>
      <c r="AR119" s="43"/>
      <c r="AS119" s="43"/>
      <c r="AT119" s="43"/>
      <c r="AU119" s="43"/>
      <c r="AV119" s="43"/>
      <c r="AW119" s="43"/>
      <c r="AX119" s="278"/>
      <c r="AY119" s="278"/>
      <c r="AZ119" s="278"/>
      <c r="BA119" s="278"/>
      <c r="BB119" s="278"/>
      <c r="BC119" s="278"/>
      <c r="BD119" s="278"/>
      <c r="BE119" s="278"/>
      <c r="BF119" s="278"/>
      <c r="BG119" s="278"/>
      <c r="BH119" s="278"/>
      <c r="BI119" s="278"/>
      <c r="BJ119" s="278"/>
      <c r="BK119" s="278"/>
      <c r="BL119" s="278"/>
      <c r="BM119" s="278"/>
      <c r="BN119" s="278"/>
      <c r="BO119" s="278"/>
      <c r="BP119" s="278"/>
      <c r="BQ119" s="278"/>
      <c r="BR119" s="278"/>
      <c r="BS119" s="278"/>
      <c r="BT119" s="278"/>
      <c r="BU119" s="278"/>
      <c r="BV119" s="278"/>
      <c r="BW119" s="278"/>
      <c r="BX119" s="278"/>
      <c r="BY119" s="278"/>
      <c r="BZ119" s="278"/>
      <c r="CA119" s="278"/>
      <c r="CB119" s="278"/>
      <c r="CC119" s="278"/>
      <c r="CD119" s="278"/>
      <c r="CE119" s="278"/>
      <c r="CF119" s="278"/>
      <c r="CG119" s="278"/>
      <c r="CH119" s="278"/>
      <c r="CI119" s="278"/>
      <c r="CJ119" s="278"/>
      <c r="CK119" s="278"/>
      <c r="CL119" s="278"/>
      <c r="CM119" s="278"/>
      <c r="CN119" s="278"/>
      <c r="CO119" s="278"/>
      <c r="CP119" s="278"/>
      <c r="CQ119" s="278"/>
      <c r="CR119" s="278"/>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278"/>
      <c r="EH119" s="278"/>
      <c r="EI119" s="278"/>
      <c r="EJ119" s="278"/>
      <c r="EK119" s="278"/>
      <c r="EL119" s="278"/>
      <c r="EM119" s="278"/>
      <c r="EN119" s="278"/>
      <c r="EO119" s="278"/>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7"/>
      <c r="FN119" s="47"/>
      <c r="FO119" s="47"/>
      <c r="FP119" s="47"/>
      <c r="FQ119" s="47"/>
      <c r="FR119" s="49"/>
      <c r="FS119" s="49"/>
      <c r="FT119" s="49"/>
      <c r="FU119" s="49"/>
      <c r="FV119" s="49"/>
      <c r="FW119" s="49"/>
      <c r="FX119" s="49"/>
      <c r="FY119" s="32"/>
      <c r="FZ119" s="32"/>
      <c r="GA119" s="32"/>
      <c r="GB119" s="32"/>
      <c r="GC119" s="32"/>
      <c r="GD119" s="32"/>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49"/>
      <c r="HO119" s="49"/>
      <c r="HP119" s="49"/>
      <c r="HQ119" s="13"/>
      <c r="HR119" s="13"/>
      <c r="HS119" s="13"/>
      <c r="HT119" s="13"/>
      <c r="HU119" s="13"/>
      <c r="HV119" s="13"/>
      <c r="HW119" s="13"/>
      <c r="HX119" s="13"/>
      <c r="HY119" s="13"/>
      <c r="HZ119" s="13"/>
      <c r="IA119" s="13"/>
    </row>
    <row r="120" spans="1:237" ht="3.75" customHeight="1">
      <c r="A120" s="1"/>
      <c r="B120" s="3"/>
      <c r="C120" s="3"/>
      <c r="D120" s="333"/>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278"/>
      <c r="AF120" s="278"/>
      <c r="AG120" s="278"/>
      <c r="AH120" s="278"/>
      <c r="AI120" s="43"/>
      <c r="AJ120" s="43"/>
      <c r="AK120" s="43"/>
      <c r="AL120" s="43"/>
      <c r="AM120" s="43"/>
      <c r="AN120" s="43"/>
      <c r="AO120" s="43"/>
      <c r="AP120" s="43"/>
      <c r="AQ120" s="43"/>
      <c r="AR120" s="43"/>
      <c r="AS120" s="43"/>
      <c r="AT120" s="43"/>
      <c r="AU120" s="43"/>
      <c r="AV120" s="43"/>
      <c r="AW120" s="43"/>
      <c r="AX120" s="43"/>
      <c r="AY120" s="43"/>
      <c r="AZ120" s="43"/>
      <c r="BA120" s="43"/>
      <c r="BB120" s="538" t="str">
        <f ca="1">IF(FO114=0,"",".")</f>
        <v/>
      </c>
      <c r="BC120" s="538"/>
      <c r="BD120" s="538"/>
      <c r="BE120" s="538"/>
      <c r="BF120" s="538"/>
      <c r="BG120" s="538"/>
      <c r="BH120" s="538"/>
      <c r="BI120" s="538"/>
      <c r="BJ120" s="538"/>
      <c r="BK120" s="538"/>
      <c r="BL120" s="538"/>
      <c r="BM120" s="538"/>
      <c r="BN120" s="538"/>
      <c r="BO120" s="538"/>
      <c r="BP120" s="538"/>
      <c r="BQ120" s="538"/>
      <c r="BR120" s="538"/>
      <c r="BS120" s="538"/>
      <c r="BT120" s="538"/>
      <c r="BU120" s="538"/>
      <c r="BV120" s="538"/>
      <c r="BW120" s="538"/>
      <c r="BX120" s="538"/>
      <c r="BY120" s="538"/>
      <c r="BZ120" s="538"/>
      <c r="CA120" s="538"/>
      <c r="CB120" s="538"/>
      <c r="CC120" s="538"/>
      <c r="CD120" s="538"/>
      <c r="CE120" s="538"/>
      <c r="CF120" s="278"/>
      <c r="CG120" s="55"/>
      <c r="CH120" s="55"/>
      <c r="CI120" s="55"/>
      <c r="CJ120" s="55"/>
      <c r="CK120" s="55"/>
      <c r="CL120" s="55"/>
      <c r="CM120" s="55"/>
      <c r="CN120" s="55"/>
      <c r="CO120" s="55"/>
      <c r="CP120" s="55"/>
      <c r="CQ120" s="55"/>
      <c r="CR120" s="55"/>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7"/>
      <c r="FN120" s="47"/>
      <c r="FO120" s="47"/>
      <c r="FP120" s="47"/>
      <c r="FQ120" s="47"/>
      <c r="FR120" s="49"/>
      <c r="FS120" s="49"/>
      <c r="FT120" s="49"/>
      <c r="FU120" s="49"/>
      <c r="FV120" s="49"/>
      <c r="FW120" s="49"/>
      <c r="FX120" s="49"/>
      <c r="FY120" s="32"/>
      <c r="FZ120" s="32"/>
      <c r="GA120" s="32"/>
      <c r="GB120" s="32"/>
      <c r="GC120" s="32"/>
      <c r="GD120" s="32"/>
      <c r="GE120" s="32"/>
      <c r="GF120" s="32"/>
      <c r="GG120" s="32"/>
      <c r="GH120" s="32"/>
      <c r="GI120" s="32"/>
      <c r="GJ120" s="32"/>
      <c r="GK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49"/>
      <c r="HO120" s="49"/>
      <c r="HP120" s="49"/>
      <c r="HQ120" s="13"/>
      <c r="HR120" s="13"/>
      <c r="HS120" s="13"/>
      <c r="HT120" s="13"/>
      <c r="HU120" s="13"/>
      <c r="HV120" s="13"/>
      <c r="HW120" s="13"/>
      <c r="HX120" s="13"/>
      <c r="HY120" s="13"/>
      <c r="HZ120" s="13"/>
      <c r="IA120" s="13"/>
    </row>
    <row r="121" spans="1:237" ht="16.5" customHeight="1">
      <c r="A121" s="1"/>
      <c r="B121" s="476"/>
      <c r="C121" s="3"/>
      <c r="D121" s="43"/>
      <c r="E121" s="278"/>
      <c r="F121" s="278"/>
      <c r="G121" s="278"/>
      <c r="H121" s="278"/>
      <c r="I121" s="278"/>
      <c r="J121" s="43"/>
      <c r="K121" s="278"/>
      <c r="L121" s="278"/>
      <c r="M121" s="278"/>
      <c r="N121" s="278"/>
      <c r="O121" s="278"/>
      <c r="P121" s="278"/>
      <c r="Q121" s="278"/>
      <c r="R121" s="278"/>
      <c r="S121" s="278"/>
      <c r="T121" s="278"/>
      <c r="U121" s="278"/>
      <c r="V121" s="278"/>
      <c r="W121" s="278"/>
      <c r="X121" s="278"/>
      <c r="Y121" s="278"/>
      <c r="Z121" s="278"/>
      <c r="AA121" s="278"/>
      <c r="AB121" s="278"/>
      <c r="AC121" s="278"/>
      <c r="AD121" s="278"/>
      <c r="AE121" s="278"/>
      <c r="AF121" s="278"/>
      <c r="AG121" s="278"/>
      <c r="AH121" s="278"/>
      <c r="AI121" s="43"/>
      <c r="AJ121" s="43"/>
      <c r="AK121" s="43"/>
      <c r="AL121" s="43"/>
      <c r="AM121" s="43"/>
      <c r="AN121" s="43"/>
      <c r="AO121" s="43"/>
      <c r="AP121" s="43"/>
      <c r="AQ121" s="43"/>
      <c r="AR121" s="43"/>
      <c r="AS121" s="43"/>
      <c r="AT121" s="43"/>
      <c r="AU121" s="43"/>
      <c r="AV121" s="43"/>
      <c r="AW121" s="43"/>
      <c r="AX121" s="43"/>
      <c r="AY121" s="43"/>
      <c r="AZ121" s="184" t="str">
        <f ca="1">IF(FO114=0,"","Het producentensurplus is:")</f>
        <v/>
      </c>
      <c r="BA121" s="43"/>
      <c r="BB121" s="327" t="str">
        <f ca="1">IF(FO114=0,"",".")</f>
        <v/>
      </c>
      <c r="BC121" s="698"/>
      <c r="BD121" s="698"/>
      <c r="BE121" s="698"/>
      <c r="BF121" s="698"/>
      <c r="BG121" s="698"/>
      <c r="BH121" s="698"/>
      <c r="BI121" s="698"/>
      <c r="BJ121" s="698"/>
      <c r="BK121" s="698"/>
      <c r="BL121" s="698"/>
      <c r="BM121" s="698"/>
      <c r="BN121" s="698"/>
      <c r="BO121" s="698"/>
      <c r="BP121" s="698"/>
      <c r="BQ121" s="698"/>
      <c r="BR121" s="698"/>
      <c r="BS121" s="698"/>
      <c r="BT121" s="698"/>
      <c r="BU121" s="698"/>
      <c r="BV121" s="698"/>
      <c r="BW121" s="698"/>
      <c r="BX121" s="698"/>
      <c r="BY121" s="698"/>
      <c r="BZ121" s="698"/>
      <c r="CA121" s="698"/>
      <c r="CB121" s="698"/>
      <c r="CC121" s="698"/>
      <c r="CD121" s="698"/>
      <c r="CE121" s="226" t="str">
        <f ca="1">IF(FO114=0,"",".")</f>
        <v/>
      </c>
      <c r="CF121" s="278"/>
      <c r="CG121" s="186" t="str">
        <f ca="1">IF(FO114=0,"",IF(BC121="","",IF(AND(programma!$A$301="uitwerking",$B121="X"),FM121,IF(AND(BC121&gt;FP121-0.00001,BC121&lt;FP121+0.00001),"Goed!","Fout! Bedenk: producentensurplus = q x (p - MK)."))))</f>
        <v/>
      </c>
      <c r="CH121" s="55"/>
      <c r="CI121" s="55"/>
      <c r="CJ121" s="55"/>
      <c r="CK121" s="55"/>
      <c r="CL121" s="55"/>
      <c r="CM121" s="55"/>
      <c r="CN121" s="55"/>
      <c r="CO121" s="55"/>
      <c r="CP121" s="55"/>
      <c r="CQ121" s="55"/>
      <c r="CR121" s="55"/>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8" t="str">
        <f>"producentensurplus = q x (p - MK) en hier geldt p = MK, dus 0"</f>
        <v>producentensurplus = q x (p - MK) en hier geldt p = MK, dus 0</v>
      </c>
      <c r="FN121" s="47"/>
      <c r="FO121" s="48">
        <f ca="1">IF(programma!B1="X",1,IF(FO114=0,0,IF(AND(BC121&gt;FP121-0.00001,BC121&lt;FP121+0.00001),1,0)))</f>
        <v>0</v>
      </c>
      <c r="FP121" s="48">
        <f ca="1">IF(FO1=0,"",0)</f>
        <v>0</v>
      </c>
      <c r="FQ121" s="79"/>
      <c r="FR121" s="49"/>
      <c r="FS121" s="49"/>
      <c r="FT121" s="49"/>
      <c r="FU121" s="49"/>
      <c r="FV121" s="49"/>
      <c r="FW121" s="49"/>
      <c r="FX121" s="49"/>
      <c r="FY121" s="32"/>
      <c r="FZ121" s="32"/>
      <c r="GA121" s="32"/>
      <c r="GB121" s="32"/>
      <c r="GC121" s="32"/>
      <c r="GD121" s="32"/>
      <c r="GE121" s="32"/>
      <c r="GF121" s="32"/>
      <c r="GG121" s="32"/>
      <c r="GH121" s="32"/>
      <c r="GI121" s="32"/>
      <c r="GJ121" s="32"/>
      <c r="GK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49"/>
      <c r="HO121" s="49"/>
      <c r="HP121" s="49"/>
      <c r="HQ121" s="13"/>
      <c r="HR121" s="13"/>
      <c r="HS121" s="13"/>
      <c r="HT121" s="13"/>
      <c r="HU121" s="13"/>
      <c r="HV121" s="13"/>
      <c r="HW121" s="13"/>
      <c r="HX121" s="13"/>
      <c r="HY121" s="13"/>
      <c r="HZ121" s="13"/>
      <c r="IA121" s="13"/>
    </row>
    <row r="122" spans="1:237" ht="3.75" customHeight="1">
      <c r="A122" s="1"/>
      <c r="B122" s="3"/>
      <c r="C122" s="3"/>
      <c r="D122" s="333"/>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278"/>
      <c r="AE122" s="278"/>
      <c r="AF122" s="278"/>
      <c r="AG122" s="278"/>
      <c r="AH122" s="278"/>
      <c r="AI122" s="43"/>
      <c r="AJ122" s="43"/>
      <c r="AK122" s="43"/>
      <c r="AL122" s="43"/>
      <c r="AM122" s="43"/>
      <c r="AN122" s="43"/>
      <c r="AO122" s="43"/>
      <c r="AP122" s="43"/>
      <c r="AQ122" s="43"/>
      <c r="AR122" s="43"/>
      <c r="AS122" s="43"/>
      <c r="AT122" s="43"/>
      <c r="AU122" s="43"/>
      <c r="AV122" s="43"/>
      <c r="AW122" s="43"/>
      <c r="AX122" s="43"/>
      <c r="AY122" s="43"/>
      <c r="AZ122" s="43"/>
      <c r="BA122" s="43"/>
      <c r="BB122" s="538" t="str">
        <f ca="1">IF(FO114=0,"",".")</f>
        <v/>
      </c>
      <c r="BC122" s="538"/>
      <c r="BD122" s="538"/>
      <c r="BE122" s="538"/>
      <c r="BF122" s="538"/>
      <c r="BG122" s="538"/>
      <c r="BH122" s="538"/>
      <c r="BI122" s="538"/>
      <c r="BJ122" s="538"/>
      <c r="BK122" s="538"/>
      <c r="BL122" s="538"/>
      <c r="BM122" s="538"/>
      <c r="BN122" s="538"/>
      <c r="BO122" s="538"/>
      <c r="BP122" s="538"/>
      <c r="BQ122" s="538"/>
      <c r="BR122" s="538"/>
      <c r="BS122" s="538"/>
      <c r="BT122" s="538"/>
      <c r="BU122" s="538"/>
      <c r="BV122" s="538"/>
      <c r="BW122" s="538"/>
      <c r="BX122" s="538"/>
      <c r="BY122" s="538"/>
      <c r="BZ122" s="538"/>
      <c r="CA122" s="538"/>
      <c r="CB122" s="538"/>
      <c r="CC122" s="538"/>
      <c r="CD122" s="538"/>
      <c r="CE122" s="538"/>
      <c r="CF122" s="278"/>
      <c r="CG122" s="278"/>
      <c r="CH122" s="278"/>
      <c r="CI122" s="278"/>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7"/>
      <c r="FN122" s="47"/>
      <c r="FO122" s="47"/>
      <c r="FP122" s="47"/>
      <c r="FQ122" s="47"/>
      <c r="FR122" s="49"/>
      <c r="FS122" s="49"/>
      <c r="FT122" s="49"/>
      <c r="FU122" s="49"/>
      <c r="FV122" s="49"/>
      <c r="FW122" s="49"/>
      <c r="FX122" s="49"/>
      <c r="FY122" s="32"/>
      <c r="FZ122" s="32"/>
      <c r="GA122" s="32"/>
      <c r="GB122" s="32"/>
      <c r="GC122" s="32"/>
      <c r="GD122" s="32"/>
      <c r="GE122" s="32"/>
      <c r="GF122" s="32"/>
      <c r="GG122" s="32"/>
      <c r="GH122" s="32"/>
      <c r="GI122" s="32"/>
      <c r="GJ122" s="32"/>
      <c r="GK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49"/>
      <c r="HO122" s="49"/>
      <c r="HP122" s="49"/>
      <c r="HQ122" s="13"/>
      <c r="HR122" s="13"/>
      <c r="HS122" s="13"/>
      <c r="HT122" s="13"/>
      <c r="HU122" s="13"/>
      <c r="HV122" s="13"/>
      <c r="HW122" s="13"/>
      <c r="HX122" s="13"/>
      <c r="HY122" s="13"/>
      <c r="HZ122" s="13"/>
      <c r="IA122" s="13"/>
    </row>
    <row r="123" spans="1:237" ht="15.6" customHeight="1">
      <c r="A123" s="1"/>
      <c r="B123" s="3"/>
      <c r="C123" s="3"/>
      <c r="D123" s="333"/>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8"/>
      <c r="AD123" s="278"/>
      <c r="AE123" s="278"/>
      <c r="AF123" s="278"/>
      <c r="AG123" s="278"/>
      <c r="AH123" s="278"/>
      <c r="AI123" s="43"/>
      <c r="AJ123" s="43"/>
      <c r="AK123" s="43"/>
      <c r="AL123" s="43"/>
      <c r="AM123" s="43"/>
      <c r="AN123" s="43"/>
      <c r="AO123" s="43"/>
      <c r="AP123" s="43"/>
      <c r="AQ123" s="43"/>
      <c r="AR123" s="43"/>
      <c r="AS123" s="43"/>
      <c r="AT123" s="43"/>
      <c r="AU123" s="43"/>
      <c r="AV123" s="43"/>
      <c r="AW123" s="43"/>
      <c r="AX123" s="43"/>
      <c r="AY123" s="43"/>
      <c r="AZ123" s="43"/>
      <c r="BA123" s="43"/>
      <c r="BB123" s="327"/>
      <c r="BC123" s="327"/>
      <c r="BD123" s="327"/>
      <c r="BE123" s="327"/>
      <c r="BF123" s="327"/>
      <c r="BG123" s="327"/>
      <c r="BH123" s="327"/>
      <c r="BI123" s="327"/>
      <c r="BJ123" s="327"/>
      <c r="BK123" s="327"/>
      <c r="BL123" s="327"/>
      <c r="BM123" s="327"/>
      <c r="BN123" s="327"/>
      <c r="BO123" s="327"/>
      <c r="BP123" s="327"/>
      <c r="BQ123" s="327"/>
      <c r="BR123" s="327"/>
      <c r="BS123" s="327"/>
      <c r="BT123" s="327"/>
      <c r="BU123" s="327"/>
      <c r="BV123" s="327"/>
      <c r="BW123" s="327"/>
      <c r="BX123" s="327"/>
      <c r="BY123" s="327"/>
      <c r="BZ123" s="327"/>
      <c r="CA123" s="327"/>
      <c r="CB123" s="327"/>
      <c r="CC123" s="327"/>
      <c r="CD123" s="327"/>
      <c r="CE123" s="327"/>
      <c r="CF123" s="278"/>
      <c r="CG123" s="278"/>
      <c r="CH123" s="278"/>
      <c r="CI123" s="278"/>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7"/>
      <c r="FN123" s="47"/>
      <c r="FO123" s="47"/>
      <c r="FP123" s="47"/>
      <c r="FQ123" s="47"/>
      <c r="FR123" s="49"/>
      <c r="FS123" s="49"/>
      <c r="FT123" s="49"/>
      <c r="FU123" s="49"/>
      <c r="FV123" s="49"/>
      <c r="FW123" s="49"/>
      <c r="FX123" s="49"/>
      <c r="FY123" s="32"/>
      <c r="FZ123" s="32"/>
      <c r="GA123" s="32"/>
      <c r="GB123" s="32"/>
      <c r="GC123" s="32"/>
      <c r="GD123" s="32"/>
      <c r="GE123" s="32"/>
      <c r="GF123" s="32"/>
      <c r="GG123" s="32"/>
      <c r="GH123" s="32"/>
      <c r="GI123" s="32"/>
      <c r="GJ123" s="32"/>
      <c r="GK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49"/>
      <c r="HO123" s="49"/>
      <c r="HP123" s="49"/>
      <c r="HQ123" s="13"/>
      <c r="HR123" s="13"/>
      <c r="HS123" s="13"/>
      <c r="HT123" s="13"/>
      <c r="HU123" s="13"/>
      <c r="HV123" s="13"/>
      <c r="HW123" s="13"/>
      <c r="HX123" s="13"/>
      <c r="HY123" s="13"/>
      <c r="HZ123" s="13"/>
      <c r="IA123" s="13"/>
    </row>
    <row r="124" spans="1:237" ht="16.95" customHeight="1">
      <c r="A124" s="1"/>
      <c r="B124" s="3"/>
      <c r="C124" s="3"/>
      <c r="D124" s="124" t="str">
        <f ca="1">IF(FO121=0,"","Wat kun je zeggen over het resultaat van de producenten als rekening wordt")</f>
        <v/>
      </c>
      <c r="E124" s="373"/>
      <c r="F124" s="373"/>
      <c r="G124" s="373"/>
      <c r="H124" s="373"/>
      <c r="I124" s="373"/>
      <c r="J124" s="376"/>
      <c r="K124" s="376"/>
      <c r="L124" s="376"/>
      <c r="M124" s="376"/>
      <c r="N124" s="376"/>
      <c r="O124" s="376"/>
      <c r="P124" s="376"/>
      <c r="Q124" s="376"/>
      <c r="R124" s="376"/>
      <c r="S124" s="376"/>
      <c r="T124" s="376"/>
      <c r="U124" s="376"/>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43"/>
      <c r="CL124" s="43"/>
      <c r="CM124" s="43"/>
      <c r="CN124" s="43"/>
      <c r="CO124" s="43"/>
      <c r="CP124" s="376"/>
      <c r="CQ124" s="376"/>
      <c r="CR124" s="376"/>
      <c r="CS124" s="376"/>
      <c r="CT124" s="376"/>
      <c r="CU124" s="376"/>
      <c r="CV124" s="376"/>
      <c r="CW124" s="376"/>
      <c r="CX124" s="376"/>
      <c r="CY124" s="376"/>
      <c r="CZ124" s="376"/>
      <c r="DA124" s="376"/>
      <c r="DB124" s="376"/>
      <c r="DC124" s="376"/>
      <c r="DD124" s="376"/>
      <c r="DE124" s="376"/>
      <c r="DF124" s="376"/>
      <c r="DG124" s="376"/>
      <c r="DH124" s="376"/>
      <c r="DI124" s="376"/>
      <c r="DJ124" s="376"/>
      <c r="DK124" s="376"/>
      <c r="DL124" s="376"/>
      <c r="DM124" s="376"/>
      <c r="DN124" s="376"/>
      <c r="DO124" s="376"/>
      <c r="DP124" s="376"/>
      <c r="DQ124" s="376"/>
      <c r="DR124" s="376"/>
      <c r="DS124" s="376"/>
      <c r="DT124" s="376"/>
      <c r="DU124" s="376"/>
      <c r="DV124" s="376"/>
      <c r="DW124" s="376"/>
      <c r="DX124" s="376"/>
      <c r="DY124" s="376"/>
      <c r="DZ124" s="376"/>
      <c r="EA124" s="376"/>
      <c r="EB124" s="376"/>
      <c r="EC124" s="376"/>
      <c r="ED124" s="376"/>
      <c r="EE124" s="376"/>
      <c r="EF124" s="376"/>
      <c r="EG124" s="376"/>
      <c r="EH124" s="376"/>
      <c r="EI124" s="376"/>
      <c r="EJ124" s="376"/>
      <c r="EK124" s="376"/>
      <c r="EL124" s="376"/>
      <c r="EM124" s="376"/>
      <c r="EN124" s="376"/>
      <c r="EO124" s="376"/>
      <c r="EP124" s="376"/>
      <c r="EQ124" s="376"/>
      <c r="ER124" s="376"/>
      <c r="ES124" s="376"/>
      <c r="ET124" s="376"/>
      <c r="EU124" s="376"/>
      <c r="EV124" s="376"/>
      <c r="EW124" s="376"/>
      <c r="EX124" s="376"/>
      <c r="EY124" s="376"/>
      <c r="EZ124" s="376"/>
      <c r="FA124" s="43"/>
      <c r="FB124" s="43"/>
      <c r="FC124" s="43"/>
      <c r="FD124" s="43"/>
      <c r="FE124" s="43"/>
      <c r="FF124" s="43"/>
      <c r="FG124" s="43"/>
      <c r="FH124" s="43"/>
      <c r="FI124" s="79"/>
      <c r="FJ124" s="79"/>
      <c r="FK124" s="79"/>
      <c r="FL124" s="79"/>
      <c r="FM124" s="93"/>
      <c r="FN124" s="93"/>
      <c r="FO124" s="338"/>
      <c r="FP124" s="338"/>
      <c r="FQ124" s="338"/>
      <c r="FR124" s="338"/>
      <c r="FS124" s="338"/>
      <c r="FT124" s="338"/>
      <c r="FU124" s="338"/>
      <c r="FV124" s="338"/>
      <c r="FW124" s="338"/>
      <c r="FX124" s="338"/>
      <c r="FY124" s="32"/>
      <c r="FZ124" s="32"/>
      <c r="GA124" s="32"/>
      <c r="GB124" s="32"/>
      <c r="GC124" s="32"/>
      <c r="GD124" s="32"/>
      <c r="GE124" s="32"/>
      <c r="GF124" s="32"/>
      <c r="GG124" s="32"/>
      <c r="GH124" s="32"/>
      <c r="GI124" s="32"/>
      <c r="GJ124" s="32"/>
      <c r="GK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49"/>
      <c r="HO124" s="49"/>
      <c r="HP124" s="49"/>
      <c r="HQ124" s="13"/>
      <c r="HR124" s="13"/>
      <c r="HS124" s="13"/>
      <c r="HT124" s="13"/>
      <c r="HU124" s="13"/>
      <c r="HV124" s="13"/>
      <c r="HW124" s="13"/>
      <c r="HX124" s="13"/>
      <c r="HY124" s="13"/>
      <c r="HZ124" s="13"/>
      <c r="IA124" s="13"/>
    </row>
    <row r="125" spans="1:237" ht="16.95" customHeight="1">
      <c r="A125" s="1"/>
      <c r="B125" s="3"/>
      <c r="C125" s="3"/>
      <c r="D125" s="124" t="str">
        <f ca="1">IF(FO121=0,"","gehouden met de constante kosten?")</f>
        <v/>
      </c>
      <c r="E125" s="373"/>
      <c r="F125" s="373"/>
      <c r="G125" s="373"/>
      <c r="H125" s="373"/>
      <c r="I125" s="373"/>
      <c r="J125" s="376"/>
      <c r="K125" s="376"/>
      <c r="L125" s="376"/>
      <c r="M125" s="376"/>
      <c r="N125" s="376"/>
      <c r="O125" s="376"/>
      <c r="P125" s="376"/>
      <c r="Q125" s="376"/>
      <c r="R125" s="376"/>
      <c r="S125" s="376"/>
      <c r="T125" s="376"/>
      <c r="U125" s="376"/>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c r="CJ125" s="79"/>
      <c r="CK125" s="43"/>
      <c r="CL125" s="43"/>
      <c r="CM125" s="43"/>
      <c r="CN125" s="43"/>
      <c r="CO125" s="43"/>
      <c r="CP125" s="376"/>
      <c r="CQ125" s="376"/>
      <c r="CR125" s="376"/>
      <c r="CS125" s="376"/>
      <c r="CT125" s="376"/>
      <c r="CU125" s="376"/>
      <c r="CV125" s="376"/>
      <c r="CW125" s="376"/>
      <c r="CX125" s="376"/>
      <c r="CY125" s="376"/>
      <c r="CZ125" s="376"/>
      <c r="DA125" s="376"/>
      <c r="DB125" s="376"/>
      <c r="DC125" s="376"/>
      <c r="DD125" s="376"/>
      <c r="DE125" s="376"/>
      <c r="DF125" s="376"/>
      <c r="DG125" s="376"/>
      <c r="DH125" s="376"/>
      <c r="DI125" s="376"/>
      <c r="DJ125" s="376"/>
      <c r="DK125" s="376"/>
      <c r="DL125" s="376"/>
      <c r="DM125" s="376"/>
      <c r="DN125" s="376"/>
      <c r="DO125" s="376"/>
      <c r="DP125" s="376"/>
      <c r="DQ125" s="376"/>
      <c r="DR125" s="376"/>
      <c r="DS125" s="376"/>
      <c r="DT125" s="376"/>
      <c r="DU125" s="376"/>
      <c r="DV125" s="376"/>
      <c r="DW125" s="376"/>
      <c r="DX125" s="376"/>
      <c r="DY125" s="376"/>
      <c r="DZ125" s="376"/>
      <c r="EA125" s="376"/>
      <c r="EB125" s="376"/>
      <c r="EC125" s="376"/>
      <c r="ED125" s="376"/>
      <c r="EE125" s="376"/>
      <c r="EF125" s="376"/>
      <c r="EG125" s="376"/>
      <c r="EH125" s="376"/>
      <c r="EI125" s="376"/>
      <c r="EJ125" s="376"/>
      <c r="EK125" s="376"/>
      <c r="EL125" s="376"/>
      <c r="EM125" s="376"/>
      <c r="EN125" s="376"/>
      <c r="EO125" s="376"/>
      <c r="EP125" s="376"/>
      <c r="EQ125" s="376"/>
      <c r="ER125" s="376"/>
      <c r="ES125" s="376"/>
      <c r="ET125" s="376"/>
      <c r="EU125" s="376"/>
      <c r="EV125" s="376"/>
      <c r="EW125" s="376"/>
      <c r="EX125" s="376"/>
      <c r="EY125" s="376"/>
      <c r="EZ125" s="376"/>
      <c r="FA125" s="43"/>
      <c r="FB125" s="43"/>
      <c r="FC125" s="43"/>
      <c r="FD125" s="43"/>
      <c r="FE125" s="43"/>
      <c r="FF125" s="43"/>
      <c r="FG125" s="43"/>
      <c r="FH125" s="43"/>
      <c r="FI125" s="79"/>
      <c r="FJ125" s="79"/>
      <c r="FK125" s="79"/>
      <c r="FL125" s="79"/>
      <c r="FM125" s="93"/>
      <c r="FN125" s="93"/>
      <c r="FO125" s="338"/>
      <c r="FP125" s="338"/>
      <c r="FQ125" s="338"/>
      <c r="FR125" s="338"/>
      <c r="FS125" s="338"/>
      <c r="FT125" s="338"/>
      <c r="FU125" s="338"/>
      <c r="FV125" s="338"/>
      <c r="FW125" s="338"/>
      <c r="FX125" s="338"/>
      <c r="FY125" s="32"/>
      <c r="FZ125" s="32"/>
      <c r="GA125" s="32"/>
      <c r="GB125" s="32"/>
      <c r="GC125" s="32"/>
      <c r="GD125" s="32"/>
      <c r="GE125" s="32"/>
      <c r="GF125" s="32"/>
      <c r="GG125" s="32"/>
      <c r="GH125" s="32"/>
      <c r="GI125" s="32"/>
      <c r="GJ125" s="32"/>
      <c r="GK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49"/>
      <c r="HO125" s="49"/>
      <c r="HP125" s="49"/>
      <c r="HQ125" s="13"/>
      <c r="HR125" s="13"/>
      <c r="HS125" s="13"/>
      <c r="HT125" s="13"/>
      <c r="HU125" s="13"/>
      <c r="HV125" s="13"/>
      <c r="HW125" s="13"/>
      <c r="HX125" s="13"/>
      <c r="HY125" s="13"/>
      <c r="HZ125" s="13"/>
      <c r="IA125" s="13"/>
    </row>
    <row r="126" spans="1:237" s="268" customFormat="1" ht="8.4" customHeight="1">
      <c r="A126" s="60"/>
      <c r="B126" s="69"/>
      <c r="C126" s="69"/>
      <c r="D126" s="331"/>
      <c r="E126" s="331"/>
      <c r="F126" s="331"/>
      <c r="G126" s="331"/>
      <c r="H126" s="331"/>
      <c r="I126" s="331"/>
      <c r="J126" s="331"/>
      <c r="K126" s="331"/>
      <c r="L126" s="331"/>
      <c r="M126" s="331"/>
      <c r="N126" s="331"/>
      <c r="O126" s="331"/>
      <c r="DZ126" s="141"/>
      <c r="EA126" s="141"/>
      <c r="EB126" s="141"/>
      <c r="EC126" s="141"/>
      <c r="ED126" s="141"/>
      <c r="EE126" s="141"/>
      <c r="EF126" s="141"/>
      <c r="EG126" s="141"/>
      <c r="EH126" s="141"/>
      <c r="EI126" s="141"/>
      <c r="EJ126" s="141"/>
      <c r="EK126" s="141"/>
      <c r="EL126" s="141"/>
      <c r="EM126" s="141"/>
      <c r="EN126" s="141"/>
      <c r="EO126" s="141"/>
      <c r="EP126" s="43"/>
      <c r="EQ126" s="43"/>
      <c r="ER126" s="43"/>
      <c r="ES126" s="43"/>
      <c r="ET126" s="43"/>
      <c r="EU126" s="43"/>
      <c r="EV126" s="43"/>
      <c r="EW126" s="43"/>
      <c r="EX126" s="43"/>
      <c r="EY126" s="43"/>
      <c r="EZ126" s="43"/>
      <c r="FA126" s="43"/>
      <c r="FB126" s="43"/>
      <c r="FC126" s="43"/>
      <c r="FD126" s="43"/>
      <c r="FE126" s="43"/>
      <c r="FF126" s="43"/>
      <c r="FG126" s="43"/>
      <c r="FH126" s="43"/>
      <c r="FI126" s="43"/>
      <c r="FJ126" s="43"/>
      <c r="FK126" s="43"/>
      <c r="FL126" s="43"/>
      <c r="FM126" s="257"/>
      <c r="FN126" s="257"/>
      <c r="FO126" s="257"/>
      <c r="FP126" s="257"/>
      <c r="FQ126" s="300"/>
      <c r="FR126" s="277"/>
      <c r="FS126" s="277"/>
      <c r="FT126" s="277"/>
      <c r="FU126" s="277"/>
      <c r="FV126" s="277"/>
      <c r="FW126" s="277"/>
      <c r="FX126" s="277"/>
      <c r="FY126" s="32"/>
      <c r="FZ126" s="32"/>
      <c r="GA126" s="32"/>
      <c r="GB126" s="32"/>
      <c r="GC126" s="32"/>
      <c r="GD126" s="32"/>
      <c r="GE126" s="32"/>
      <c r="GF126" s="32"/>
      <c r="GG126" s="32"/>
      <c r="GH126" s="32"/>
      <c r="GI126" s="32"/>
      <c r="GJ126" s="32"/>
      <c r="GK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49"/>
      <c r="HO126" s="49"/>
      <c r="HP126" s="49"/>
      <c r="HQ126" s="13"/>
      <c r="HR126" s="13"/>
      <c r="HS126" s="13"/>
      <c r="HT126" s="13"/>
      <c r="HU126" s="13"/>
      <c r="HV126" s="13"/>
      <c r="HW126" s="13"/>
      <c r="HX126" s="13"/>
      <c r="HY126" s="13"/>
      <c r="HZ126" s="13"/>
      <c r="IA126" s="13"/>
      <c r="IB126"/>
      <c r="IC126"/>
    </row>
    <row r="127" spans="1:237" s="268" customFormat="1" ht="3.6" customHeight="1">
      <c r="A127" s="60"/>
      <c r="B127" s="69"/>
      <c r="C127" s="69"/>
      <c r="D127" s="331"/>
      <c r="E127" s="331"/>
      <c r="F127" s="331"/>
      <c r="G127" s="331"/>
      <c r="H127" s="331"/>
      <c r="U127" s="332"/>
      <c r="V127" s="332"/>
      <c r="W127" s="332"/>
      <c r="X127" s="332"/>
      <c r="Y127" s="332"/>
      <c r="Z127" s="332"/>
      <c r="AA127" s="332"/>
      <c r="AB127" s="332"/>
      <c r="AC127" s="332"/>
      <c r="AD127" s="538" t="str">
        <f ca="1">IF(FO121=0,"",".")</f>
        <v/>
      </c>
      <c r="AE127" s="554"/>
      <c r="AF127" s="554"/>
      <c r="AG127" s="554"/>
      <c r="AH127" s="554"/>
      <c r="AI127" s="554"/>
      <c r="AJ127" s="554"/>
      <c r="AK127" s="554"/>
      <c r="AL127" s="554"/>
      <c r="AM127" s="554"/>
      <c r="AN127" s="554"/>
      <c r="AO127" s="554"/>
      <c r="AP127" s="554"/>
      <c r="AQ127" s="554"/>
      <c r="AR127" s="554"/>
      <c r="AS127" s="554"/>
      <c r="AT127" s="554"/>
      <c r="AU127" s="554"/>
      <c r="AV127" s="554"/>
      <c r="AW127" s="554"/>
      <c r="AX127" s="554"/>
      <c r="AY127" s="554"/>
      <c r="AZ127" s="554"/>
      <c r="BA127" s="554"/>
      <c r="BB127" s="554"/>
      <c r="BC127" s="554"/>
      <c r="BD127" s="554"/>
      <c r="BE127" s="554"/>
      <c r="BF127" s="554"/>
      <c r="BG127" s="554"/>
      <c r="BH127" s="554"/>
      <c r="BI127" s="554"/>
      <c r="BJ127" s="554"/>
      <c r="BK127" s="554"/>
      <c r="BL127" s="554"/>
      <c r="BM127" s="554"/>
      <c r="BN127" s="554"/>
      <c r="BO127" s="554"/>
      <c r="BP127" s="554"/>
      <c r="BQ127" s="554"/>
      <c r="BR127" s="554"/>
      <c r="BS127" s="554"/>
      <c r="BT127" s="554"/>
      <c r="BU127" s="554"/>
      <c r="BV127" s="554"/>
      <c r="BW127" s="554"/>
      <c r="BX127" s="554"/>
      <c r="BY127" s="554"/>
      <c r="BZ127" s="554"/>
      <c r="CA127" s="554"/>
      <c r="CB127" s="554"/>
      <c r="CC127" s="554"/>
      <c r="CD127" s="554"/>
      <c r="CE127" s="554"/>
      <c r="CF127" s="554"/>
      <c r="CG127" s="554"/>
      <c r="CH127" s="554"/>
      <c r="CI127" s="554"/>
      <c r="CJ127" s="554"/>
      <c r="CK127" s="554"/>
      <c r="CL127" s="554"/>
      <c r="CM127" s="554"/>
      <c r="CN127" s="554"/>
      <c r="CO127" s="554"/>
      <c r="CP127" s="554"/>
      <c r="CQ127" s="554"/>
      <c r="CR127" s="554"/>
      <c r="CS127" s="554"/>
      <c r="CT127" s="554"/>
      <c r="CU127" s="554"/>
      <c r="CV127" s="554"/>
      <c r="CW127" s="554"/>
      <c r="CX127" s="554"/>
      <c r="CY127" s="554"/>
      <c r="CZ127" s="554"/>
      <c r="DB127" s="141"/>
      <c r="DC127" s="141"/>
      <c r="DD127" s="141"/>
      <c r="EG127" s="141"/>
      <c r="EH127" s="141"/>
      <c r="EI127" s="141"/>
      <c r="EJ127" s="141"/>
      <c r="EK127" s="141"/>
      <c r="EL127" s="141"/>
      <c r="EM127" s="141"/>
      <c r="EN127" s="141"/>
      <c r="EO127" s="141"/>
      <c r="EP127" s="43"/>
      <c r="EQ127" s="43"/>
      <c r="ER127" s="43"/>
      <c r="ES127" s="43"/>
      <c r="ET127" s="43"/>
      <c r="EU127" s="43"/>
      <c r="EV127" s="43"/>
      <c r="EW127" s="43"/>
      <c r="EX127" s="43"/>
      <c r="EY127" s="43"/>
      <c r="EZ127" s="43"/>
      <c r="FA127" s="43"/>
      <c r="FB127" s="43"/>
      <c r="FC127" s="43"/>
      <c r="FD127" s="43"/>
      <c r="FE127" s="43"/>
      <c r="FF127" s="43"/>
      <c r="FG127" s="43"/>
      <c r="FH127" s="43"/>
      <c r="FI127" s="43"/>
      <c r="FJ127" s="43"/>
      <c r="FK127" s="43"/>
      <c r="FL127" s="43"/>
      <c r="FM127" s="257"/>
      <c r="FN127" s="257"/>
      <c r="FO127" s="257"/>
      <c r="FP127" s="257"/>
      <c r="FQ127" s="300"/>
      <c r="FR127" s="277"/>
      <c r="FS127" s="277"/>
      <c r="FT127" s="277"/>
      <c r="FU127" s="277"/>
      <c r="FV127" s="277"/>
      <c r="FW127" s="277"/>
      <c r="FX127" s="277"/>
      <c r="FY127" s="32"/>
      <c r="FZ127" s="32"/>
      <c r="GA127" s="32"/>
      <c r="GB127" s="32"/>
      <c r="GC127" s="32"/>
      <c r="GD127" s="32"/>
      <c r="GE127" s="32"/>
      <c r="GF127" s="32"/>
      <c r="GG127" s="32"/>
      <c r="GH127" s="32"/>
      <c r="GI127" s="32"/>
      <c r="GJ127" s="32"/>
      <c r="GK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49"/>
      <c r="HO127" s="49"/>
      <c r="HP127" s="49"/>
      <c r="HQ127" s="13"/>
      <c r="HR127" s="13"/>
      <c r="HS127" s="13"/>
      <c r="HT127" s="13"/>
      <c r="HU127" s="13"/>
      <c r="HV127" s="13"/>
      <c r="HW127" s="13"/>
      <c r="HX127" s="13"/>
      <c r="HY127" s="13"/>
      <c r="HZ127" s="13"/>
      <c r="IA127" s="13"/>
      <c r="IB127"/>
      <c r="IC127"/>
    </row>
    <row r="128" spans="1:237" s="268" customFormat="1" ht="16.5" customHeight="1">
      <c r="A128" s="60"/>
      <c r="B128" s="69"/>
      <c r="C128" s="69"/>
      <c r="AD128" s="327" t="str">
        <f ca="1">IF(FO121=0,"",".")</f>
        <v/>
      </c>
      <c r="AE128" s="549"/>
      <c r="AF128" s="555"/>
      <c r="AG128" s="555"/>
      <c r="AH128" s="555"/>
      <c r="AI128" s="555"/>
      <c r="AJ128" s="555"/>
      <c r="AK128" s="555"/>
      <c r="AL128" s="555"/>
      <c r="AM128" s="555"/>
      <c r="AN128" s="555"/>
      <c r="AO128" s="555"/>
      <c r="AP128" s="555"/>
      <c r="AQ128" s="555"/>
      <c r="AR128" s="555"/>
      <c r="AS128" s="555"/>
      <c r="AT128" s="555"/>
      <c r="AU128" s="555"/>
      <c r="AV128" s="555"/>
      <c r="AW128" s="555"/>
      <c r="AX128" s="555"/>
      <c r="AY128" s="555"/>
      <c r="AZ128" s="555"/>
      <c r="BA128" s="555"/>
      <c r="BB128" s="555"/>
      <c r="BC128" s="555"/>
      <c r="BD128" s="555"/>
      <c r="BE128" s="555"/>
      <c r="BF128" s="555"/>
      <c r="BG128" s="555"/>
      <c r="BH128" s="555"/>
      <c r="BI128" s="555"/>
      <c r="BJ128" s="555"/>
      <c r="BK128" s="555"/>
      <c r="BL128" s="555"/>
      <c r="BM128" s="555"/>
      <c r="BN128" s="555"/>
      <c r="BO128" s="555"/>
      <c r="BP128" s="555"/>
      <c r="BQ128" s="555"/>
      <c r="BR128" s="555"/>
      <c r="BS128" s="555"/>
      <c r="BT128" s="555"/>
      <c r="BU128" s="555"/>
      <c r="BV128" s="555"/>
      <c r="BW128" s="555"/>
      <c r="BX128" s="555"/>
      <c r="BY128" s="555"/>
      <c r="BZ128" s="555"/>
      <c r="CA128" s="555"/>
      <c r="CB128" s="555"/>
      <c r="CC128" s="555"/>
      <c r="CD128" s="555"/>
      <c r="CE128" s="555"/>
      <c r="CF128" s="555"/>
      <c r="CG128" s="555"/>
      <c r="CH128" s="555"/>
      <c r="CI128" s="555"/>
      <c r="CJ128" s="555"/>
      <c r="CK128" s="555"/>
      <c r="CL128" s="555"/>
      <c r="CM128" s="555"/>
      <c r="CN128" s="555"/>
      <c r="CO128" s="555"/>
      <c r="CP128" s="555"/>
      <c r="CQ128" s="555"/>
      <c r="CR128" s="555"/>
      <c r="CS128" s="555"/>
      <c r="CT128" s="555"/>
      <c r="CU128" s="555"/>
      <c r="CV128" s="555"/>
      <c r="CW128" s="555"/>
      <c r="CX128" s="555"/>
      <c r="CY128" s="555"/>
      <c r="CZ128" s="327" t="str">
        <f ca="1">IF(FO121=0,"",".")</f>
        <v/>
      </c>
      <c r="DA128" s="304" t="s">
        <v>131</v>
      </c>
      <c r="DB128" s="186" t="str">
        <f ca="1">IF(FO121=0,"",IF(AE128="","",IF(FO128=1,"Goed!","Fout! Denk eens na.")))</f>
        <v/>
      </c>
      <c r="DC128" s="298"/>
      <c r="DD128" s="141"/>
      <c r="EL128" s="141"/>
      <c r="EM128" s="141"/>
      <c r="EN128" s="141"/>
      <c r="EO128" s="141"/>
      <c r="EP128" s="43"/>
      <c r="EQ128" s="43"/>
      <c r="ER128" s="43"/>
      <c r="ES128" s="43"/>
      <c r="ET128" s="43"/>
      <c r="EU128" s="43"/>
      <c r="EV128" s="43"/>
      <c r="EW128" s="43"/>
      <c r="EX128" s="43"/>
      <c r="EY128" s="43"/>
      <c r="EZ128" s="43"/>
      <c r="FA128" s="43"/>
      <c r="FB128" s="43"/>
      <c r="FC128" s="43"/>
      <c r="FD128" s="43"/>
      <c r="FE128" s="43"/>
      <c r="FF128" s="43"/>
      <c r="FG128" s="43"/>
      <c r="FH128" s="43"/>
      <c r="FI128" s="43"/>
      <c r="FJ128" s="43"/>
      <c r="FK128" s="43"/>
      <c r="FL128" s="43"/>
      <c r="FM128" s="257"/>
      <c r="FN128" s="257"/>
      <c r="FO128" s="258">
        <f ca="1">IF(programma!B1="X",1,IF(FO121=0,0,IF(AE128=FX128,1,0)))</f>
        <v>0</v>
      </c>
      <c r="FP128" s="277" t="str">
        <f ca="1">IF(FO1=0,"",FX128)</f>
        <v>er is een verlies ter grootte van de constante kosten</v>
      </c>
      <c r="FQ128" s="300"/>
      <c r="FR128" s="277"/>
      <c r="FS128" s="277" t="s">
        <v>194</v>
      </c>
      <c r="FT128" s="277" t="s">
        <v>195</v>
      </c>
      <c r="FU128" s="277" t="s">
        <v>196</v>
      </c>
      <c r="FV128" s="277" t="s">
        <v>197</v>
      </c>
      <c r="FW128" s="277" t="s">
        <v>191</v>
      </c>
      <c r="FX128" s="277" t="s">
        <v>192</v>
      </c>
      <c r="FY128" s="32" t="s">
        <v>193</v>
      </c>
      <c r="FZ128" s="32"/>
      <c r="GA128" s="32"/>
      <c r="GB128" s="32"/>
      <c r="GC128" s="32"/>
      <c r="GD128" s="32"/>
      <c r="GE128" s="32"/>
      <c r="GF128" s="32"/>
      <c r="GG128" s="32"/>
      <c r="GH128" s="32"/>
      <c r="GI128" s="32"/>
      <c r="GJ128" s="32"/>
      <c r="GK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49"/>
      <c r="HO128" s="49"/>
      <c r="HP128" s="49"/>
      <c r="HQ128" s="13"/>
      <c r="HR128" s="13"/>
      <c r="HS128" s="13"/>
      <c r="HT128" s="13"/>
      <c r="HU128" s="13"/>
      <c r="HV128" s="13"/>
      <c r="HW128" s="13"/>
      <c r="HX128" s="13"/>
      <c r="HY128" s="13"/>
      <c r="HZ128" s="13"/>
      <c r="IA128" s="13"/>
      <c r="IB128"/>
      <c r="IC128"/>
    </row>
    <row r="129" spans="1:237" s="268" customFormat="1" ht="3.6" customHeight="1">
      <c r="A129" s="60"/>
      <c r="B129" s="69"/>
      <c r="C129" s="69"/>
      <c r="D129" s="331"/>
      <c r="E129" s="331"/>
      <c r="F129" s="331"/>
      <c r="G129" s="331"/>
      <c r="H129" s="331"/>
      <c r="AD129" s="538" t="str">
        <f ca="1">IF(FO121=0,"",".")</f>
        <v/>
      </c>
      <c r="AE129" s="554"/>
      <c r="AF129" s="554"/>
      <c r="AG129" s="554"/>
      <c r="AH129" s="554"/>
      <c r="AI129" s="554"/>
      <c r="AJ129" s="554"/>
      <c r="AK129" s="554"/>
      <c r="AL129" s="554"/>
      <c r="AM129" s="554"/>
      <c r="AN129" s="554"/>
      <c r="AO129" s="554"/>
      <c r="AP129" s="554"/>
      <c r="AQ129" s="554"/>
      <c r="AR129" s="554"/>
      <c r="AS129" s="554"/>
      <c r="AT129" s="554"/>
      <c r="AU129" s="554"/>
      <c r="AV129" s="554"/>
      <c r="AW129" s="554"/>
      <c r="AX129" s="554"/>
      <c r="AY129" s="554"/>
      <c r="AZ129" s="554"/>
      <c r="BA129" s="554"/>
      <c r="BB129" s="554"/>
      <c r="BC129" s="554"/>
      <c r="BD129" s="554"/>
      <c r="BE129" s="554"/>
      <c r="BF129" s="554"/>
      <c r="BG129" s="554"/>
      <c r="BH129" s="554"/>
      <c r="BI129" s="554"/>
      <c r="BJ129" s="554"/>
      <c r="BK129" s="554"/>
      <c r="BL129" s="554"/>
      <c r="BM129" s="554"/>
      <c r="BN129" s="554"/>
      <c r="BO129" s="554"/>
      <c r="BP129" s="554"/>
      <c r="BQ129" s="554"/>
      <c r="BR129" s="554"/>
      <c r="BS129" s="554"/>
      <c r="BT129" s="554"/>
      <c r="BU129" s="554"/>
      <c r="BV129" s="554"/>
      <c r="BW129" s="554"/>
      <c r="BX129" s="554"/>
      <c r="BY129" s="554"/>
      <c r="BZ129" s="554"/>
      <c r="CA129" s="554"/>
      <c r="CB129" s="554"/>
      <c r="CC129" s="554"/>
      <c r="CD129" s="554"/>
      <c r="CE129" s="554"/>
      <c r="CF129" s="554"/>
      <c r="CG129" s="554"/>
      <c r="CH129" s="554"/>
      <c r="CI129" s="554"/>
      <c r="CJ129" s="554"/>
      <c r="CK129" s="554"/>
      <c r="CL129" s="554"/>
      <c r="CM129" s="554"/>
      <c r="CN129" s="554"/>
      <c r="CO129" s="554"/>
      <c r="CP129" s="554"/>
      <c r="CQ129" s="554"/>
      <c r="CR129" s="554"/>
      <c r="CS129" s="554"/>
      <c r="CT129" s="554"/>
      <c r="CU129" s="554"/>
      <c r="CV129" s="554"/>
      <c r="CW129" s="554"/>
      <c r="CX129" s="554"/>
      <c r="CY129" s="554"/>
      <c r="CZ129" s="554"/>
      <c r="DB129" s="141"/>
      <c r="DC129" s="141"/>
      <c r="DD129" s="141"/>
      <c r="EG129" s="141"/>
      <c r="EH129" s="141"/>
      <c r="EI129" s="141"/>
      <c r="EJ129" s="141"/>
      <c r="EK129" s="141"/>
      <c r="EL129" s="141"/>
      <c r="EM129" s="141"/>
      <c r="EN129" s="141"/>
      <c r="EO129" s="141"/>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257"/>
      <c r="FN129" s="257"/>
      <c r="FO129" s="257"/>
      <c r="FP129" s="257"/>
      <c r="FQ129" s="300"/>
      <c r="FR129" s="277"/>
      <c r="FS129" s="277"/>
      <c r="FT129" s="277"/>
      <c r="FU129" s="277"/>
      <c r="FV129" s="277"/>
      <c r="FW129" s="277"/>
      <c r="FX129" s="277"/>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49"/>
      <c r="HO129" s="49"/>
      <c r="HP129" s="49"/>
      <c r="HQ129" s="13"/>
      <c r="HR129" s="13"/>
      <c r="HS129" s="13"/>
      <c r="HT129" s="13"/>
      <c r="HU129" s="13"/>
      <c r="HV129" s="13"/>
      <c r="HW129" s="13"/>
      <c r="HX129" s="13"/>
      <c r="HY129" s="13"/>
      <c r="HZ129" s="13"/>
      <c r="IA129" s="13"/>
      <c r="IB129"/>
      <c r="IC129"/>
    </row>
    <row r="130" spans="1:237" ht="12" customHeight="1">
      <c r="A130" s="1"/>
      <c r="B130" s="3"/>
      <c r="C130" s="3"/>
      <c r="D130" s="333"/>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78"/>
      <c r="AE130" s="278"/>
      <c r="AF130" s="278"/>
      <c r="AG130" s="278"/>
      <c r="AH130" s="278"/>
      <c r="AI130" s="43"/>
      <c r="AJ130" s="43"/>
      <c r="AK130" s="43"/>
      <c r="AL130" s="43"/>
      <c r="AM130" s="43"/>
      <c r="AN130" s="43"/>
      <c r="AO130" s="43"/>
      <c r="AP130" s="43"/>
      <c r="AQ130" s="43"/>
      <c r="AR130" s="43"/>
      <c r="AS130" s="43"/>
      <c r="AT130" s="43"/>
      <c r="AU130" s="43"/>
      <c r="AV130" s="43"/>
      <c r="AW130" s="43"/>
      <c r="AX130" s="43"/>
      <c r="AY130" s="43"/>
      <c r="AZ130" s="43"/>
      <c r="BA130" s="43"/>
      <c r="BB130" s="327"/>
      <c r="BC130" s="327"/>
      <c r="BD130" s="327"/>
      <c r="BE130" s="327"/>
      <c r="BF130" s="327"/>
      <c r="BG130" s="327"/>
      <c r="BH130" s="327"/>
      <c r="BI130" s="327"/>
      <c r="BJ130" s="327"/>
      <c r="BK130" s="327"/>
      <c r="BL130" s="327"/>
      <c r="BM130" s="327"/>
      <c r="BN130" s="327"/>
      <c r="BO130" s="327"/>
      <c r="BP130" s="327"/>
      <c r="BQ130" s="327"/>
      <c r="BR130" s="327"/>
      <c r="BS130" s="327"/>
      <c r="BT130" s="327"/>
      <c r="BU130" s="327"/>
      <c r="BV130" s="327"/>
      <c r="BW130" s="327"/>
      <c r="BX130" s="327"/>
      <c r="BY130" s="327"/>
      <c r="BZ130" s="327"/>
      <c r="CA130" s="327"/>
      <c r="CB130" s="327"/>
      <c r="CC130" s="327"/>
      <c r="CD130" s="327"/>
      <c r="CE130" s="327"/>
      <c r="CF130" s="278"/>
      <c r="CG130" s="278"/>
      <c r="CH130" s="278"/>
      <c r="CI130" s="278"/>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43"/>
      <c r="FE130" s="43"/>
      <c r="FF130" s="43"/>
      <c r="FG130" s="43"/>
      <c r="FH130" s="43"/>
      <c r="FI130" s="43"/>
      <c r="FJ130" s="43"/>
      <c r="FK130" s="43"/>
      <c r="FL130" s="43"/>
      <c r="FM130" s="47"/>
      <c r="FN130" s="47"/>
      <c r="FO130" s="47"/>
      <c r="FP130" s="47"/>
      <c r="FQ130" s="47"/>
      <c r="FR130" s="49"/>
      <c r="FS130" s="49"/>
      <c r="FT130" s="49"/>
      <c r="FU130" s="49"/>
      <c r="FV130" s="49"/>
      <c r="FW130" s="49"/>
      <c r="FX130" s="49"/>
      <c r="FY130" s="32"/>
      <c r="FZ130" s="32"/>
      <c r="GA130" s="32"/>
      <c r="GB130" s="32"/>
      <c r="GC130" s="32"/>
      <c r="GD130" s="32"/>
      <c r="GE130" s="32"/>
      <c r="GF130" s="32"/>
      <c r="GG130" s="32"/>
      <c r="GH130" s="32"/>
      <c r="GI130" s="32"/>
      <c r="GJ130" s="32"/>
      <c r="GK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49"/>
      <c r="HO130" s="49"/>
      <c r="HP130" s="49"/>
      <c r="HQ130" s="13"/>
      <c r="HR130" s="13"/>
      <c r="HS130" s="13"/>
      <c r="HT130" s="13"/>
      <c r="HU130" s="13"/>
      <c r="HV130" s="13"/>
      <c r="HW130" s="13"/>
      <c r="HX130" s="13"/>
      <c r="HY130" s="13"/>
      <c r="HZ130" s="13"/>
      <c r="IA130" s="13"/>
    </row>
    <row r="131" spans="1:237" ht="16.5" customHeight="1">
      <c r="A131" s="1"/>
      <c r="B131" s="3"/>
      <c r="C131" s="3"/>
      <c r="D131" s="124" t="str">
        <f ca="1">IF(FO128=0,"","Waneer geldt dus dat (totale) producentensurplus = totale winst?")</f>
        <v/>
      </c>
      <c r="E131" s="333"/>
      <c r="F131" s="333"/>
      <c r="G131" s="333"/>
      <c r="H131" s="333"/>
      <c r="I131" s="333"/>
      <c r="J131" s="278"/>
      <c r="K131" s="278"/>
      <c r="L131" s="278"/>
      <c r="M131" s="278"/>
      <c r="N131" s="278"/>
      <c r="O131" s="278"/>
      <c r="P131" s="278"/>
      <c r="Q131" s="278"/>
      <c r="R131" s="278"/>
      <c r="S131" s="278"/>
      <c r="T131" s="278"/>
      <c r="U131" s="278"/>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278"/>
      <c r="CR131" s="278"/>
      <c r="CS131" s="278"/>
      <c r="CT131" s="278"/>
      <c r="CU131" s="278"/>
      <c r="CV131" s="278"/>
      <c r="CW131" s="278"/>
      <c r="CX131" s="278"/>
      <c r="CY131" s="278"/>
      <c r="CZ131" s="278"/>
      <c r="DA131" s="278"/>
      <c r="DB131" s="278"/>
      <c r="DC131" s="278"/>
      <c r="DD131" s="278"/>
      <c r="DE131" s="278"/>
      <c r="DF131" s="278"/>
      <c r="DG131" s="278"/>
      <c r="DH131" s="278"/>
      <c r="DI131" s="278"/>
      <c r="DJ131" s="278"/>
      <c r="DK131" s="278"/>
      <c r="DL131" s="278"/>
      <c r="DM131" s="278"/>
      <c r="DN131" s="278"/>
      <c r="DO131" s="278"/>
      <c r="DP131" s="278"/>
      <c r="DQ131" s="278"/>
      <c r="DR131" s="278"/>
      <c r="DS131" s="278"/>
      <c r="DT131" s="278"/>
      <c r="DU131" s="278"/>
      <c r="DV131" s="278"/>
      <c r="DW131" s="278"/>
      <c r="DX131" s="278"/>
      <c r="DY131" s="278"/>
      <c r="DZ131" s="278"/>
      <c r="EA131" s="278"/>
      <c r="EB131" s="278"/>
      <c r="EC131" s="278"/>
      <c r="ED131" s="278"/>
      <c r="EE131" s="278"/>
      <c r="EF131" s="278"/>
      <c r="EG131" s="278"/>
      <c r="EH131" s="278"/>
      <c r="EI131" s="278"/>
      <c r="EJ131" s="278"/>
      <c r="EK131" s="278"/>
      <c r="EL131" s="278"/>
      <c r="EM131" s="278"/>
      <c r="EN131" s="278"/>
      <c r="EO131" s="278"/>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338"/>
      <c r="FN131" s="338"/>
      <c r="FO131" s="338"/>
      <c r="FP131" s="48"/>
      <c r="FQ131" s="48"/>
      <c r="FR131" s="49"/>
      <c r="FS131" s="49"/>
      <c r="FT131" s="49"/>
      <c r="FU131" s="338"/>
      <c r="FV131" s="338"/>
      <c r="FW131" s="338"/>
      <c r="FX131" s="338"/>
      <c r="FY131" s="32"/>
      <c r="FZ131" s="32"/>
      <c r="GA131" s="32"/>
      <c r="GB131" s="32"/>
      <c r="GC131" s="32"/>
      <c r="GD131" s="32"/>
      <c r="GE131" s="32"/>
      <c r="GF131" s="32"/>
      <c r="GG131" s="32"/>
      <c r="GH131" s="32"/>
      <c r="GI131" s="32"/>
      <c r="GJ131" s="32"/>
      <c r="GK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49"/>
      <c r="HO131" s="49"/>
      <c r="HP131" s="49"/>
      <c r="HQ131" s="13"/>
      <c r="HR131" s="13"/>
      <c r="HS131" s="13"/>
      <c r="HT131" s="13"/>
      <c r="HU131" s="13"/>
      <c r="HV131" s="13"/>
      <c r="HW131" s="13"/>
      <c r="HX131" s="13"/>
      <c r="HY131" s="13"/>
      <c r="HZ131" s="13"/>
      <c r="IA131" s="13"/>
    </row>
    <row r="132" spans="1:237" s="268" customFormat="1" ht="8.4" customHeight="1">
      <c r="A132" s="60"/>
      <c r="B132" s="69"/>
      <c r="C132" s="69"/>
      <c r="D132" s="331"/>
      <c r="E132" s="331"/>
      <c r="F132" s="331"/>
      <c r="G132" s="331"/>
      <c r="H132" s="331"/>
      <c r="I132" s="331"/>
      <c r="J132" s="331"/>
      <c r="K132" s="331"/>
      <c r="L132" s="331"/>
      <c r="M132" s="331"/>
      <c r="N132" s="331"/>
      <c r="O132" s="331"/>
      <c r="DZ132" s="141"/>
      <c r="EA132" s="141"/>
      <c r="EB132" s="141"/>
      <c r="EC132" s="141"/>
      <c r="ED132" s="141"/>
      <c r="EE132" s="141"/>
      <c r="EF132" s="141"/>
      <c r="EG132" s="141"/>
      <c r="EH132" s="141"/>
      <c r="EI132" s="141"/>
      <c r="EJ132" s="141"/>
      <c r="EK132" s="141"/>
      <c r="EL132" s="141"/>
      <c r="EM132" s="141"/>
      <c r="EN132" s="141"/>
      <c r="EO132" s="141"/>
      <c r="EP132" s="43"/>
      <c r="EQ132" s="43"/>
      <c r="ER132" s="43"/>
      <c r="ES132" s="43"/>
      <c r="ET132" s="43"/>
      <c r="EU132" s="43"/>
      <c r="EV132" s="43"/>
      <c r="EW132" s="43"/>
      <c r="EX132" s="43"/>
      <c r="EY132" s="43"/>
      <c r="EZ132" s="43"/>
      <c r="FA132" s="43"/>
      <c r="FB132" s="43"/>
      <c r="FC132" s="43"/>
      <c r="FD132" s="43"/>
      <c r="FE132" s="43"/>
      <c r="FF132" s="43"/>
      <c r="FG132" s="43"/>
      <c r="FH132" s="43"/>
      <c r="FI132" s="43"/>
      <c r="FJ132" s="43"/>
      <c r="FK132" s="43"/>
      <c r="FL132" s="43"/>
      <c r="FM132" s="257"/>
      <c r="FN132" s="257"/>
      <c r="FO132" s="257"/>
      <c r="FP132" s="257"/>
      <c r="FQ132" s="300"/>
      <c r="FR132" s="277"/>
      <c r="FS132" s="277"/>
      <c r="FT132" s="277"/>
      <c r="FU132" s="277"/>
      <c r="FV132" s="277"/>
      <c r="FW132" s="277"/>
      <c r="FX132" s="277"/>
      <c r="FY132" s="32"/>
      <c r="FZ132" s="32"/>
      <c r="GA132" s="32"/>
      <c r="GB132" s="32"/>
      <c r="GC132" s="32"/>
      <c r="GD132" s="32"/>
      <c r="GE132" s="32"/>
      <c r="GF132" s="32"/>
      <c r="GG132" s="32"/>
      <c r="GH132" s="32"/>
      <c r="GI132" s="32"/>
      <c r="GJ132" s="32"/>
      <c r="GK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49"/>
      <c r="HO132" s="49"/>
      <c r="HP132" s="49"/>
      <c r="HQ132" s="13"/>
      <c r="HR132" s="13"/>
      <c r="HS132" s="13"/>
      <c r="HT132" s="13"/>
      <c r="HU132" s="13"/>
      <c r="HV132" s="13"/>
      <c r="HW132" s="13"/>
      <c r="HX132" s="13"/>
      <c r="HY132" s="13"/>
      <c r="HZ132" s="13"/>
      <c r="IA132" s="13"/>
      <c r="IB132"/>
      <c r="IC132"/>
    </row>
    <row r="133" spans="1:237" s="268" customFormat="1" ht="3.6" customHeight="1">
      <c r="A133" s="60"/>
      <c r="B133" s="69"/>
      <c r="C133" s="69"/>
      <c r="D133" s="331"/>
      <c r="E133" s="331"/>
      <c r="F133" s="331"/>
      <c r="G133" s="331"/>
      <c r="H133" s="331"/>
      <c r="U133" s="332"/>
      <c r="V133" s="332"/>
      <c r="W133" s="332"/>
      <c r="X133" s="332"/>
      <c r="Y133" s="332"/>
      <c r="Z133" s="332"/>
      <c r="AA133" s="332"/>
      <c r="AB133" s="332"/>
      <c r="AC133" s="332"/>
      <c r="AD133" s="538" t="str">
        <f ca="1">IF(FO128=0,"",".")</f>
        <v/>
      </c>
      <c r="AE133" s="554"/>
      <c r="AF133" s="554"/>
      <c r="AG133" s="554"/>
      <c r="AH133" s="554"/>
      <c r="AI133" s="554"/>
      <c r="AJ133" s="554"/>
      <c r="AK133" s="554"/>
      <c r="AL133" s="554"/>
      <c r="AM133" s="554"/>
      <c r="AN133" s="554"/>
      <c r="AO133" s="554"/>
      <c r="AP133" s="554"/>
      <c r="AQ133" s="554"/>
      <c r="AR133" s="554"/>
      <c r="AS133" s="554"/>
      <c r="AT133" s="554"/>
      <c r="AU133" s="554"/>
      <c r="AV133" s="554"/>
      <c r="AW133" s="554"/>
      <c r="AX133" s="554"/>
      <c r="AY133" s="554"/>
      <c r="AZ133" s="554"/>
      <c r="BA133" s="554"/>
      <c r="BB133" s="554"/>
      <c r="BC133" s="554"/>
      <c r="BD133" s="554"/>
      <c r="BE133" s="554"/>
      <c r="BF133" s="554"/>
      <c r="BG133" s="554"/>
      <c r="BH133" s="554"/>
      <c r="BI133" s="554"/>
      <c r="BJ133" s="554"/>
      <c r="BK133" s="554"/>
      <c r="BL133" s="554"/>
      <c r="BM133" s="554"/>
      <c r="BN133" s="554"/>
      <c r="BO133" s="554"/>
      <c r="BP133" s="554"/>
      <c r="BQ133" s="554"/>
      <c r="BR133" s="554"/>
      <c r="BS133" s="554"/>
      <c r="BT133" s="554"/>
      <c r="BU133" s="554"/>
      <c r="BV133" s="554"/>
      <c r="BW133" s="554"/>
      <c r="BX133" s="554"/>
      <c r="BY133" s="554"/>
      <c r="BZ133" s="554"/>
      <c r="CA133" s="554"/>
      <c r="CB133" s="554"/>
      <c r="CC133" s="554"/>
      <c r="CD133" s="554"/>
      <c r="CE133" s="554"/>
      <c r="CF133" s="554"/>
      <c r="CG133" s="554"/>
      <c r="CH133" s="554"/>
      <c r="CI133" s="554"/>
      <c r="CJ133" s="554"/>
      <c r="CK133" s="554"/>
      <c r="CL133" s="554"/>
      <c r="CM133" s="554"/>
      <c r="CN133" s="554"/>
      <c r="CO133" s="554"/>
      <c r="CP133" s="554"/>
      <c r="CQ133" s="554"/>
      <c r="CR133" s="554"/>
      <c r="CS133" s="554"/>
      <c r="CT133" s="554"/>
      <c r="CU133" s="554"/>
      <c r="CV133" s="554"/>
      <c r="CW133" s="554"/>
      <c r="CX133" s="554"/>
      <c r="CY133" s="554"/>
      <c r="CZ133" s="554"/>
      <c r="DB133" s="141"/>
      <c r="DC133" s="141"/>
      <c r="DD133" s="141"/>
      <c r="EG133" s="141"/>
      <c r="EH133" s="141"/>
      <c r="EI133" s="141"/>
      <c r="EJ133" s="141"/>
      <c r="EK133" s="141"/>
      <c r="EL133" s="141"/>
      <c r="EM133" s="141"/>
      <c r="EN133" s="141"/>
      <c r="EO133" s="141"/>
      <c r="EP133" s="43"/>
      <c r="EQ133" s="43"/>
      <c r="ER133" s="43"/>
      <c r="ES133" s="43"/>
      <c r="ET133" s="43"/>
      <c r="EU133" s="43"/>
      <c r="EV133" s="43"/>
      <c r="EW133" s="43"/>
      <c r="EX133" s="43"/>
      <c r="EY133" s="43"/>
      <c r="EZ133" s="43"/>
      <c r="FA133" s="43"/>
      <c r="FB133" s="43"/>
      <c r="FC133" s="43"/>
      <c r="FD133" s="43"/>
      <c r="FE133" s="43"/>
      <c r="FF133" s="43"/>
      <c r="FG133" s="43"/>
      <c r="FH133" s="43"/>
      <c r="FI133" s="43"/>
      <c r="FJ133" s="43"/>
      <c r="FK133" s="43"/>
      <c r="FL133" s="43"/>
      <c r="FM133" s="257"/>
      <c r="FN133" s="257"/>
      <c r="FO133" s="257"/>
      <c r="FP133" s="257"/>
      <c r="FQ133" s="300"/>
      <c r="FR133" s="277"/>
      <c r="FS133" s="277"/>
      <c r="FT133" s="277"/>
      <c r="FU133" s="277"/>
      <c r="FV133" s="277"/>
      <c r="FW133" s="277"/>
      <c r="FX133" s="277"/>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49"/>
      <c r="HO133" s="49"/>
      <c r="HP133" s="49"/>
      <c r="HQ133" s="13"/>
      <c r="HR133" s="13"/>
      <c r="HS133" s="13"/>
      <c r="HT133" s="13"/>
      <c r="HU133" s="13"/>
      <c r="HV133" s="13"/>
      <c r="HW133" s="13"/>
      <c r="HX133" s="13"/>
      <c r="HY133" s="13"/>
      <c r="HZ133" s="13"/>
      <c r="IA133" s="13"/>
      <c r="IB133"/>
      <c r="IC133"/>
    </row>
    <row r="134" spans="1:237" s="268" customFormat="1" ht="16.5" customHeight="1">
      <c r="A134" s="60"/>
      <c r="B134" s="69"/>
      <c r="C134" s="69"/>
      <c r="AD134" s="327" t="str">
        <f ca="1">IF(FO128=0,"",".")</f>
        <v/>
      </c>
      <c r="AE134" s="549"/>
      <c r="AF134" s="555"/>
      <c r="AG134" s="555"/>
      <c r="AH134" s="555"/>
      <c r="AI134" s="555"/>
      <c r="AJ134" s="555"/>
      <c r="AK134" s="555"/>
      <c r="AL134" s="555"/>
      <c r="AM134" s="555"/>
      <c r="AN134" s="555"/>
      <c r="AO134" s="555"/>
      <c r="AP134" s="555"/>
      <c r="AQ134" s="555"/>
      <c r="AR134" s="555"/>
      <c r="AS134" s="555"/>
      <c r="AT134" s="555"/>
      <c r="AU134" s="555"/>
      <c r="AV134" s="555"/>
      <c r="AW134" s="555"/>
      <c r="AX134" s="555"/>
      <c r="AY134" s="555"/>
      <c r="AZ134" s="555"/>
      <c r="BA134" s="555"/>
      <c r="BB134" s="555"/>
      <c r="BC134" s="555"/>
      <c r="BD134" s="555"/>
      <c r="BE134" s="555"/>
      <c r="BF134" s="555"/>
      <c r="BG134" s="555"/>
      <c r="BH134" s="555"/>
      <c r="BI134" s="555"/>
      <c r="BJ134" s="555"/>
      <c r="BK134" s="555"/>
      <c r="BL134" s="555"/>
      <c r="BM134" s="555"/>
      <c r="BN134" s="555"/>
      <c r="BO134" s="555"/>
      <c r="BP134" s="555"/>
      <c r="BQ134" s="555"/>
      <c r="BR134" s="555"/>
      <c r="BS134" s="555"/>
      <c r="BT134" s="555"/>
      <c r="BU134" s="555"/>
      <c r="BV134" s="555"/>
      <c r="BW134" s="555"/>
      <c r="BX134" s="555"/>
      <c r="BY134" s="555"/>
      <c r="BZ134" s="555"/>
      <c r="CA134" s="555"/>
      <c r="CB134" s="555"/>
      <c r="CC134" s="555"/>
      <c r="CD134" s="555"/>
      <c r="CE134" s="555"/>
      <c r="CF134" s="555"/>
      <c r="CG134" s="555"/>
      <c r="CH134" s="555"/>
      <c r="CI134" s="555"/>
      <c r="CJ134" s="555"/>
      <c r="CK134" s="555"/>
      <c r="CL134" s="555"/>
      <c r="CM134" s="555"/>
      <c r="CN134" s="555"/>
      <c r="CO134" s="555"/>
      <c r="CP134" s="555"/>
      <c r="CQ134" s="555"/>
      <c r="CR134" s="555"/>
      <c r="CS134" s="555"/>
      <c r="CT134" s="555"/>
      <c r="CU134" s="555"/>
      <c r="CV134" s="555"/>
      <c r="CW134" s="555"/>
      <c r="CX134" s="555"/>
      <c r="CY134" s="555"/>
      <c r="CZ134" s="327" t="str">
        <f ca="1">IF(FO128=0,"",".")</f>
        <v/>
      </c>
      <c r="DA134" s="304" t="s">
        <v>131</v>
      </c>
      <c r="DB134" s="186" t="str">
        <f ca="1">IF(FO128=0,"",IF(AE134="","",IF(FO134=1,"Goed!","Fout! Denk eens na.")))</f>
        <v/>
      </c>
      <c r="DC134" s="298"/>
      <c r="DD134" s="141"/>
      <c r="EL134" s="141"/>
      <c r="EM134" s="141"/>
      <c r="EN134" s="141"/>
      <c r="EO134" s="141"/>
      <c r="EP134" s="43"/>
      <c r="EQ134" s="43"/>
      <c r="ER134" s="43"/>
      <c r="ES134" s="43"/>
      <c r="ET134" s="43"/>
      <c r="EU134" s="43"/>
      <c r="EV134" s="43"/>
      <c r="EW134" s="43"/>
      <c r="EX134" s="43"/>
      <c r="EY134" s="43"/>
      <c r="EZ134" s="43"/>
      <c r="FA134" s="43"/>
      <c r="FB134" s="43"/>
      <c r="FC134" s="43"/>
      <c r="FD134" s="43"/>
      <c r="FE134" s="43"/>
      <c r="FF134" s="43"/>
      <c r="FG134" s="43"/>
      <c r="FH134" s="43"/>
      <c r="FI134" s="43"/>
      <c r="FJ134" s="43"/>
      <c r="FK134" s="43"/>
      <c r="FL134" s="43"/>
      <c r="FM134" s="257"/>
      <c r="FN134" s="257"/>
      <c r="FO134" s="258">
        <f ca="1">IF(programma!B1="X",1,IF(FO128=0,0,IF(AE134=FS134,1,0)))</f>
        <v>0</v>
      </c>
      <c r="FP134" s="277" t="str">
        <f ca="1">IF(FO1=0,"",FS134)</f>
        <v>als de constante kosten nul zijn</v>
      </c>
      <c r="FQ134" s="300"/>
      <c r="FR134" s="277"/>
      <c r="FS134" s="277" t="s">
        <v>198</v>
      </c>
      <c r="FT134" s="277" t="s">
        <v>199</v>
      </c>
      <c r="FU134" s="277" t="s">
        <v>200</v>
      </c>
      <c r="FV134" s="277" t="s">
        <v>201</v>
      </c>
      <c r="FW134" s="277"/>
      <c r="FX134" s="277"/>
      <c r="FY134" s="32"/>
      <c r="FZ134" s="32"/>
      <c r="GA134" s="32"/>
      <c r="GB134" s="32"/>
      <c r="GC134" s="32"/>
      <c r="GD134" s="32"/>
      <c r="GE134" s="32"/>
      <c r="GF134" s="32"/>
      <c r="GG134" s="32"/>
      <c r="GH134" s="32"/>
      <c r="GI134" s="32"/>
      <c r="GJ134" s="32"/>
      <c r="GK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49"/>
      <c r="HO134" s="49"/>
      <c r="HP134" s="49"/>
      <c r="HQ134" s="13"/>
      <c r="HR134" s="13"/>
      <c r="HS134" s="13"/>
      <c r="HT134" s="13"/>
      <c r="HU134" s="13"/>
      <c r="HV134" s="13"/>
      <c r="HW134" s="13"/>
      <c r="HX134" s="13"/>
      <c r="HY134" s="13"/>
      <c r="HZ134" s="13"/>
      <c r="IA134" s="13"/>
      <c r="IB134"/>
      <c r="IC134"/>
    </row>
    <row r="135" spans="1:237" s="268" customFormat="1" ht="3.6" customHeight="1">
      <c r="A135" s="60"/>
      <c r="B135" s="69"/>
      <c r="C135" s="69"/>
      <c r="D135" s="331"/>
      <c r="E135" s="331"/>
      <c r="F135" s="331"/>
      <c r="G135" s="331"/>
      <c r="H135" s="331"/>
      <c r="AD135" s="538" t="str">
        <f ca="1">IF(FO128=0,"",".")</f>
        <v/>
      </c>
      <c r="AE135" s="554"/>
      <c r="AF135" s="554"/>
      <c r="AG135" s="554"/>
      <c r="AH135" s="554"/>
      <c r="AI135" s="554"/>
      <c r="AJ135" s="554"/>
      <c r="AK135" s="554"/>
      <c r="AL135" s="554"/>
      <c r="AM135" s="554"/>
      <c r="AN135" s="554"/>
      <c r="AO135" s="554"/>
      <c r="AP135" s="554"/>
      <c r="AQ135" s="554"/>
      <c r="AR135" s="554"/>
      <c r="AS135" s="554"/>
      <c r="AT135" s="554"/>
      <c r="AU135" s="554"/>
      <c r="AV135" s="554"/>
      <c r="AW135" s="554"/>
      <c r="AX135" s="554"/>
      <c r="AY135" s="554"/>
      <c r="AZ135" s="554"/>
      <c r="BA135" s="554"/>
      <c r="BB135" s="554"/>
      <c r="BC135" s="554"/>
      <c r="BD135" s="554"/>
      <c r="BE135" s="554"/>
      <c r="BF135" s="554"/>
      <c r="BG135" s="554"/>
      <c r="BH135" s="554"/>
      <c r="BI135" s="554"/>
      <c r="BJ135" s="554"/>
      <c r="BK135" s="554"/>
      <c r="BL135" s="554"/>
      <c r="BM135" s="554"/>
      <c r="BN135" s="554"/>
      <c r="BO135" s="554"/>
      <c r="BP135" s="554"/>
      <c r="BQ135" s="554"/>
      <c r="BR135" s="554"/>
      <c r="BS135" s="554"/>
      <c r="BT135" s="554"/>
      <c r="BU135" s="554"/>
      <c r="BV135" s="554"/>
      <c r="BW135" s="554"/>
      <c r="BX135" s="554"/>
      <c r="BY135" s="554"/>
      <c r="BZ135" s="554"/>
      <c r="CA135" s="554"/>
      <c r="CB135" s="554"/>
      <c r="CC135" s="554"/>
      <c r="CD135" s="554"/>
      <c r="CE135" s="554"/>
      <c r="CF135" s="554"/>
      <c r="CG135" s="554"/>
      <c r="CH135" s="554"/>
      <c r="CI135" s="554"/>
      <c r="CJ135" s="554"/>
      <c r="CK135" s="554"/>
      <c r="CL135" s="554"/>
      <c r="CM135" s="554"/>
      <c r="CN135" s="554"/>
      <c r="CO135" s="554"/>
      <c r="CP135" s="554"/>
      <c r="CQ135" s="554"/>
      <c r="CR135" s="554"/>
      <c r="CS135" s="554"/>
      <c r="CT135" s="554"/>
      <c r="CU135" s="554"/>
      <c r="CV135" s="554"/>
      <c r="CW135" s="554"/>
      <c r="CX135" s="554"/>
      <c r="CY135" s="554"/>
      <c r="CZ135" s="554"/>
      <c r="DB135" s="141"/>
      <c r="DC135" s="141"/>
      <c r="DD135" s="141"/>
      <c r="EG135" s="141"/>
      <c r="EH135" s="141"/>
      <c r="EI135" s="141"/>
      <c r="EJ135" s="141"/>
      <c r="EK135" s="141"/>
      <c r="EL135" s="141"/>
      <c r="EM135" s="141"/>
      <c r="EN135" s="141"/>
      <c r="EO135" s="141"/>
      <c r="EP135" s="43"/>
      <c r="EQ135" s="43"/>
      <c r="ER135" s="43"/>
      <c r="ES135" s="43"/>
      <c r="ET135" s="43"/>
      <c r="EU135" s="43"/>
      <c r="EV135" s="43"/>
      <c r="EW135" s="43"/>
      <c r="EX135" s="43"/>
      <c r="EY135" s="43"/>
      <c r="EZ135" s="43"/>
      <c r="FA135" s="43"/>
      <c r="FB135" s="43"/>
      <c r="FC135" s="43"/>
      <c r="FD135" s="43"/>
      <c r="FE135" s="43"/>
      <c r="FF135" s="43"/>
      <c r="FG135" s="43"/>
      <c r="FH135" s="43"/>
      <c r="FI135" s="43"/>
      <c r="FJ135" s="43"/>
      <c r="FK135" s="43"/>
      <c r="FL135" s="43"/>
      <c r="FM135" s="257"/>
      <c r="FN135" s="257"/>
      <c r="FO135" s="257"/>
      <c r="FP135" s="257"/>
      <c r="FQ135" s="300"/>
      <c r="FR135" s="277"/>
      <c r="FS135" s="277"/>
      <c r="FT135" s="277"/>
      <c r="FU135" s="277"/>
      <c r="FV135" s="277"/>
      <c r="FW135" s="277"/>
      <c r="FX135" s="277"/>
      <c r="FY135" s="32"/>
      <c r="FZ135" s="32"/>
      <c r="GA135" s="32"/>
      <c r="GB135" s="32"/>
      <c r="GC135" s="32"/>
      <c r="GD135" s="32"/>
      <c r="GE135" s="32"/>
      <c r="GF135" s="32"/>
      <c r="GG135" s="32"/>
      <c r="GH135" s="32"/>
      <c r="GI135" s="32"/>
      <c r="GJ135" s="32"/>
      <c r="GK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49"/>
      <c r="HO135" s="49"/>
      <c r="HP135" s="49"/>
      <c r="HQ135" s="13"/>
      <c r="HR135" s="13"/>
      <c r="HS135" s="13"/>
      <c r="HT135" s="13"/>
      <c r="HU135" s="13"/>
      <c r="HV135" s="13"/>
      <c r="HW135" s="13"/>
      <c r="HX135" s="13"/>
      <c r="HY135" s="13"/>
      <c r="HZ135" s="13"/>
      <c r="IA135" s="13"/>
      <c r="IB135"/>
      <c r="IC135"/>
    </row>
    <row r="136" spans="1:237" ht="16.5" customHeight="1">
      <c r="A136" s="1"/>
      <c r="B136" s="3"/>
      <c r="C136" s="3"/>
      <c r="D136" s="333"/>
      <c r="E136" s="333"/>
      <c r="F136" s="278"/>
      <c r="G136" s="278"/>
      <c r="H136" s="278"/>
      <c r="I136" s="278"/>
      <c r="J136" s="278"/>
      <c r="K136" s="278"/>
      <c r="L136" s="278"/>
      <c r="M136" s="278"/>
      <c r="N136" s="278"/>
      <c r="O136" s="278"/>
      <c r="P136" s="278"/>
      <c r="Q136" s="328"/>
      <c r="R136" s="328"/>
      <c r="S136" s="278"/>
      <c r="T136" s="172"/>
      <c r="U136" s="328"/>
      <c r="V136" s="278"/>
      <c r="W136" s="278"/>
      <c r="X136" s="278"/>
      <c r="Y136" s="278"/>
      <c r="Z136" s="278"/>
      <c r="AA136" s="278"/>
      <c r="AB136" s="278"/>
      <c r="AC136" s="278"/>
      <c r="AD136" s="328"/>
      <c r="AE136" s="328"/>
      <c r="AF136" s="278"/>
      <c r="AG136" s="172"/>
      <c r="AH136" s="328"/>
      <c r="AI136" s="328"/>
      <c r="AJ136" s="328"/>
      <c r="AK136" s="43"/>
      <c r="AL136" s="43"/>
      <c r="AM136" s="43"/>
      <c r="AN136" s="351"/>
      <c r="AO136" s="351"/>
      <c r="AP136" s="351"/>
      <c r="AQ136" s="351"/>
      <c r="AR136" s="351"/>
      <c r="AS136" s="351"/>
      <c r="AT136" s="351"/>
      <c r="AU136" s="351"/>
      <c r="AV136" s="351"/>
      <c r="AW136" s="351"/>
      <c r="AX136" s="351"/>
      <c r="AY136" s="351"/>
      <c r="AZ136" s="351"/>
      <c r="BA136" s="351"/>
      <c r="BB136" s="351"/>
      <c r="BC136" s="351"/>
      <c r="BD136" s="351"/>
      <c r="BE136" s="351"/>
      <c r="BF136" s="351"/>
      <c r="BG136" s="351"/>
      <c r="BH136" s="351"/>
      <c r="BI136" s="351"/>
      <c r="BJ136" s="351"/>
      <c r="BK136" s="351"/>
      <c r="BL136" s="351"/>
      <c r="BM136" s="351"/>
      <c r="BN136" s="351"/>
      <c r="BO136" s="351"/>
      <c r="BP136" s="351"/>
      <c r="BQ136" s="351"/>
      <c r="BR136" s="351"/>
      <c r="BS136" s="351"/>
      <c r="BT136" s="351"/>
      <c r="BU136" s="351"/>
      <c r="BV136" s="351"/>
      <c r="BW136" s="351"/>
      <c r="BX136" s="351"/>
      <c r="BY136" s="351"/>
      <c r="BZ136" s="351"/>
      <c r="CA136" s="351"/>
      <c r="CB136" s="351"/>
      <c r="CC136" s="351"/>
      <c r="CD136" s="351"/>
      <c r="CE136" s="351"/>
      <c r="CF136" s="351"/>
      <c r="CG136" s="351"/>
      <c r="CH136" s="351"/>
      <c r="CI136" s="351"/>
      <c r="CJ136" s="351"/>
      <c r="CK136" s="351"/>
      <c r="CL136" s="351"/>
      <c r="CM136" s="351"/>
      <c r="CN136" s="351"/>
      <c r="CO136" s="351"/>
      <c r="CP136" s="351"/>
      <c r="CQ136" s="351"/>
      <c r="CR136" s="351"/>
      <c r="CS136" s="351"/>
      <c r="CT136" s="351"/>
      <c r="CU136" s="351"/>
      <c r="CV136" s="351"/>
      <c r="CW136" s="351"/>
      <c r="CX136" s="351"/>
      <c r="CY136" s="351"/>
      <c r="CZ136" s="351"/>
      <c r="DA136" s="351"/>
      <c r="DB136" s="351"/>
      <c r="DC136" s="351"/>
      <c r="DD136" s="351"/>
      <c r="DE136" s="351"/>
      <c r="DF136" s="351"/>
      <c r="DG136" s="351"/>
      <c r="DH136" s="351"/>
      <c r="DI136" s="351"/>
      <c r="DJ136" s="351"/>
      <c r="DK136" s="351"/>
      <c r="DL136" s="351"/>
      <c r="DM136" s="351"/>
      <c r="DN136" s="351"/>
      <c r="DO136" s="278"/>
      <c r="DP136" s="278"/>
      <c r="DQ136" s="278"/>
      <c r="DR136" s="278"/>
      <c r="DS136" s="278"/>
      <c r="DT136" s="278"/>
      <c r="DU136" s="278"/>
      <c r="DV136" s="328"/>
      <c r="DW136" s="328"/>
      <c r="DX136" s="328"/>
      <c r="DY136" s="172"/>
      <c r="DZ136" s="172"/>
      <c r="EA136" s="278"/>
      <c r="EB136" s="278"/>
      <c r="EC136" s="337"/>
      <c r="ED136" s="337"/>
      <c r="EE136" s="337"/>
      <c r="EF136" s="337"/>
      <c r="EG136" s="337"/>
      <c r="EH136" s="337"/>
      <c r="EI136" s="337"/>
      <c r="EJ136" s="337"/>
      <c r="EK136" s="337"/>
      <c r="EL136" s="337"/>
      <c r="EM136" s="337"/>
      <c r="EN136" s="337"/>
      <c r="EO136" s="337"/>
      <c r="EP136" s="43"/>
      <c r="EQ136" s="43"/>
      <c r="ER136" s="43"/>
      <c r="ES136" s="43"/>
      <c r="ET136" s="43"/>
      <c r="EU136" s="43"/>
      <c r="EV136" s="43"/>
      <c r="EW136" s="43"/>
      <c r="EX136" s="43"/>
      <c r="EY136" s="43"/>
      <c r="EZ136" s="43"/>
      <c r="FA136" s="43"/>
      <c r="FB136" s="43"/>
      <c r="FC136" s="43"/>
      <c r="FD136" s="43"/>
      <c r="FE136" s="43"/>
      <c r="FF136" s="43"/>
      <c r="FG136" s="43"/>
      <c r="FH136" s="43"/>
      <c r="FI136" s="43"/>
      <c r="FJ136" s="43"/>
      <c r="FK136" s="43"/>
      <c r="FL136" s="43"/>
      <c r="FM136" s="183"/>
      <c r="FN136" s="183"/>
      <c r="FO136" s="185"/>
      <c r="FP136" s="183"/>
      <c r="FQ136" s="183"/>
      <c r="FR136" s="49"/>
      <c r="FS136" s="49"/>
      <c r="FT136" s="49"/>
      <c r="FU136" s="49"/>
      <c r="FV136" s="49"/>
      <c r="FW136" s="49"/>
      <c r="FX136" s="49"/>
      <c r="FY136" s="32"/>
      <c r="FZ136" s="32"/>
      <c r="GA136" s="32"/>
      <c r="GB136" s="32"/>
      <c r="GC136" s="32"/>
      <c r="GD136" s="32"/>
      <c r="GE136" s="32"/>
      <c r="GF136" s="32"/>
      <c r="GG136" s="32"/>
      <c r="GH136" s="32"/>
      <c r="GI136" s="32"/>
      <c r="GJ136" s="32"/>
      <c r="GK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49"/>
      <c r="HO136" s="49"/>
      <c r="HP136" s="49"/>
      <c r="HQ136" s="13"/>
      <c r="HR136" s="13"/>
      <c r="HS136" s="13"/>
      <c r="HT136" s="13"/>
      <c r="HU136" s="13"/>
      <c r="HV136" s="13"/>
      <c r="HW136" s="13"/>
      <c r="HX136" s="13"/>
      <c r="HY136" s="13"/>
      <c r="HZ136" s="13"/>
      <c r="IA136" s="13"/>
    </row>
    <row r="137" spans="1:237" ht="16.5" customHeight="1">
      <c r="A137" s="1"/>
      <c r="B137" s="3"/>
      <c r="C137" s="3"/>
      <c r="D137" s="333" t="str">
        <f ca="1">IF(FO134=0,"","We gaan nu over tot prijszetting bij een monopolie.")</f>
        <v/>
      </c>
      <c r="E137" s="333"/>
      <c r="F137" s="278"/>
      <c r="G137" s="278"/>
      <c r="H137" s="278"/>
      <c r="I137" s="278"/>
      <c r="J137" s="278"/>
      <c r="K137" s="278"/>
      <c r="L137" s="278"/>
      <c r="M137" s="278"/>
      <c r="N137" s="278"/>
      <c r="O137" s="278"/>
      <c r="P137" s="278"/>
      <c r="Q137" s="328"/>
      <c r="R137" s="328"/>
      <c r="S137" s="278"/>
      <c r="T137" s="172"/>
      <c r="U137" s="328"/>
      <c r="V137" s="278"/>
      <c r="W137" s="278"/>
      <c r="X137" s="278"/>
      <c r="Y137" s="278"/>
      <c r="Z137" s="278"/>
      <c r="AA137" s="278"/>
      <c r="AB137" s="278"/>
      <c r="AC137" s="278"/>
      <c r="AD137" s="328"/>
      <c r="AE137" s="328"/>
      <c r="AF137" s="278"/>
      <c r="AG137" s="172"/>
      <c r="AH137" s="328"/>
      <c r="AI137" s="328"/>
      <c r="AJ137" s="328"/>
      <c r="AK137" s="43"/>
      <c r="AL137" s="43"/>
      <c r="AM137" s="43"/>
      <c r="AN137" s="351"/>
      <c r="AO137" s="351"/>
      <c r="AP137" s="351"/>
      <c r="AQ137" s="351"/>
      <c r="AR137" s="351"/>
      <c r="AS137" s="351"/>
      <c r="AT137" s="351"/>
      <c r="AU137" s="351"/>
      <c r="AV137" s="351"/>
      <c r="AW137" s="351"/>
      <c r="AX137" s="351"/>
      <c r="AY137" s="351"/>
      <c r="AZ137" s="351"/>
      <c r="BA137" s="351"/>
      <c r="BB137" s="351"/>
      <c r="BC137" s="351"/>
      <c r="BD137" s="351"/>
      <c r="BE137" s="351"/>
      <c r="BF137" s="351"/>
      <c r="BG137" s="351"/>
      <c r="BH137" s="351"/>
      <c r="BI137" s="351"/>
      <c r="BJ137" s="351"/>
      <c r="BK137" s="351"/>
      <c r="BL137" s="351"/>
      <c r="BM137" s="351"/>
      <c r="BN137" s="351"/>
      <c r="BO137" s="351"/>
      <c r="BP137" s="351"/>
      <c r="BQ137" s="351"/>
      <c r="BR137" s="351"/>
      <c r="BS137" s="351"/>
      <c r="BT137" s="351"/>
      <c r="BU137" s="351"/>
      <c r="BV137" s="351"/>
      <c r="BW137" s="351"/>
      <c r="BX137" s="351"/>
      <c r="BY137" s="351"/>
      <c r="BZ137" s="351"/>
      <c r="CA137" s="351"/>
      <c r="CB137" s="351"/>
      <c r="CC137" s="351"/>
      <c r="CD137" s="351"/>
      <c r="CE137" s="351"/>
      <c r="CF137" s="351"/>
      <c r="CG137" s="351"/>
      <c r="CH137" s="351"/>
      <c r="CI137" s="351"/>
      <c r="CJ137" s="351"/>
      <c r="CK137" s="351"/>
      <c r="CL137" s="351"/>
      <c r="CM137" s="351"/>
      <c r="CN137" s="351"/>
      <c r="CO137" s="351"/>
      <c r="CP137" s="351"/>
      <c r="CQ137" s="351"/>
      <c r="CR137" s="351"/>
      <c r="CS137" s="351"/>
      <c r="CT137" s="351"/>
      <c r="CU137" s="351"/>
      <c r="CV137" s="351"/>
      <c r="CW137" s="351"/>
      <c r="CX137" s="351"/>
      <c r="CY137" s="351"/>
      <c r="CZ137" s="351"/>
      <c r="DA137" s="351"/>
      <c r="DB137" s="351"/>
      <c r="DC137" s="351"/>
      <c r="DD137" s="351"/>
      <c r="DE137" s="351"/>
      <c r="DF137" s="351"/>
      <c r="DG137" s="351"/>
      <c r="DH137" s="351"/>
      <c r="DI137" s="351"/>
      <c r="DJ137" s="351"/>
      <c r="DK137" s="351"/>
      <c r="DL137" s="351"/>
      <c r="DM137" s="351"/>
      <c r="DN137" s="351"/>
      <c r="DO137" s="278"/>
      <c r="DP137" s="278"/>
      <c r="DQ137" s="278"/>
      <c r="DR137" s="278"/>
      <c r="DS137" s="278"/>
      <c r="DT137" s="278"/>
      <c r="DU137" s="278"/>
      <c r="DV137" s="328"/>
      <c r="DW137" s="328"/>
      <c r="DX137" s="328"/>
      <c r="DY137" s="172"/>
      <c r="DZ137" s="172"/>
      <c r="EA137" s="278"/>
      <c r="EB137" s="278"/>
      <c r="EC137" s="337"/>
      <c r="ED137" s="337"/>
      <c r="EE137" s="337"/>
      <c r="EF137" s="337"/>
      <c r="EG137" s="337"/>
      <c r="EH137" s="337"/>
      <c r="EI137" s="337"/>
      <c r="EJ137" s="337"/>
      <c r="EK137" s="337"/>
      <c r="EL137" s="337"/>
      <c r="EM137" s="337"/>
      <c r="EN137" s="337"/>
      <c r="EO137" s="337"/>
      <c r="EP137" s="43"/>
      <c r="EQ137" s="43"/>
      <c r="ER137" s="43"/>
      <c r="ES137" s="43"/>
      <c r="ET137" s="43"/>
      <c r="EU137" s="43"/>
      <c r="EV137" s="43"/>
      <c r="EW137" s="43"/>
      <c r="EX137" s="43"/>
      <c r="EY137" s="43"/>
      <c r="EZ137" s="43"/>
      <c r="FA137" s="43"/>
      <c r="FB137" s="43"/>
      <c r="FC137" s="43"/>
      <c r="FD137" s="43"/>
      <c r="FE137" s="43"/>
      <c r="FF137" s="43"/>
      <c r="FG137" s="43"/>
      <c r="FH137" s="43"/>
      <c r="FI137" s="43"/>
      <c r="FJ137" s="43"/>
      <c r="FK137" s="43"/>
      <c r="FL137" s="43"/>
      <c r="FM137" s="183"/>
      <c r="FN137" s="183"/>
      <c r="FO137" s="185"/>
      <c r="FP137" s="183"/>
      <c r="FQ137" s="183"/>
      <c r="FR137" s="49"/>
      <c r="FS137" s="49"/>
      <c r="FT137" s="49"/>
      <c r="FU137" s="49"/>
      <c r="FV137" s="49"/>
      <c r="FW137" s="49"/>
      <c r="FX137" s="49"/>
      <c r="FY137" s="32"/>
      <c r="FZ137" s="32"/>
      <c r="GA137" s="32"/>
      <c r="GB137" s="32"/>
      <c r="GC137" s="32"/>
      <c r="GD137" s="32"/>
      <c r="GE137" s="32"/>
      <c r="GF137" s="32"/>
      <c r="GG137" s="32"/>
      <c r="GH137" s="32"/>
      <c r="GI137" s="32"/>
      <c r="GJ137" s="32"/>
      <c r="GK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49"/>
      <c r="HO137" s="49"/>
      <c r="HP137" s="49"/>
      <c r="HQ137" s="13"/>
      <c r="HR137" s="13"/>
      <c r="HS137" s="13"/>
      <c r="HT137" s="13"/>
      <c r="HU137" s="13"/>
      <c r="HV137" s="13"/>
      <c r="HW137" s="13"/>
      <c r="HX137" s="13"/>
      <c r="HY137" s="13"/>
      <c r="HZ137" s="13"/>
      <c r="IA137" s="13"/>
    </row>
    <row r="138" spans="1:237" ht="16.5" customHeight="1">
      <c r="A138" s="1"/>
      <c r="B138" s="3"/>
      <c r="C138" s="3"/>
      <c r="D138" s="333"/>
      <c r="E138" s="333"/>
      <c r="F138" s="278"/>
      <c r="G138" s="278"/>
      <c r="H138" s="278"/>
      <c r="I138" s="278"/>
      <c r="J138" s="278"/>
      <c r="K138" s="278"/>
      <c r="L138" s="278"/>
      <c r="M138" s="278"/>
      <c r="N138" s="278"/>
      <c r="O138" s="278"/>
      <c r="P138" s="278"/>
      <c r="Q138" s="328"/>
      <c r="R138" s="328"/>
      <c r="S138" s="278"/>
      <c r="T138" s="172"/>
      <c r="U138" s="328"/>
      <c r="V138" s="278"/>
      <c r="W138" s="278"/>
      <c r="X138" s="278"/>
      <c r="Y138" s="278"/>
      <c r="Z138" s="278"/>
      <c r="AA138" s="278"/>
      <c r="AB138" s="278"/>
      <c r="AC138" s="278"/>
      <c r="AD138" s="328"/>
      <c r="AE138" s="328"/>
      <c r="AF138" s="278"/>
      <c r="AG138" s="172"/>
      <c r="AH138" s="328"/>
      <c r="AI138" s="328"/>
      <c r="AJ138" s="328"/>
      <c r="AK138" s="43"/>
      <c r="AL138" s="43"/>
      <c r="AM138" s="43"/>
      <c r="AN138" s="351"/>
      <c r="AO138" s="351"/>
      <c r="AP138" s="351"/>
      <c r="AQ138" s="351"/>
      <c r="AR138" s="351"/>
      <c r="AS138" s="351"/>
      <c r="AT138" s="351"/>
      <c r="AU138" s="351"/>
      <c r="AV138" s="351"/>
      <c r="AW138" s="351"/>
      <c r="AX138" s="351"/>
      <c r="AY138" s="351"/>
      <c r="AZ138" s="351"/>
      <c r="BA138" s="351"/>
      <c r="BB138" s="351"/>
      <c r="BC138" s="351"/>
      <c r="BD138" s="351"/>
      <c r="BE138" s="351"/>
      <c r="BF138" s="351"/>
      <c r="BG138" s="351"/>
      <c r="BH138" s="351"/>
      <c r="BI138" s="351"/>
      <c r="BJ138" s="351"/>
      <c r="BK138" s="351"/>
      <c r="BL138" s="351"/>
      <c r="BM138" s="351"/>
      <c r="BN138" s="351"/>
      <c r="BO138" s="351"/>
      <c r="BP138" s="351"/>
      <c r="BQ138" s="351"/>
      <c r="BR138" s="351"/>
      <c r="BS138" s="351"/>
      <c r="BT138" s="351"/>
      <c r="BU138" s="351"/>
      <c r="BV138" s="351"/>
      <c r="BW138" s="351"/>
      <c r="BX138" s="351"/>
      <c r="BY138" s="351"/>
      <c r="BZ138" s="351"/>
      <c r="CA138" s="351"/>
      <c r="CB138" s="351"/>
      <c r="CC138" s="351"/>
      <c r="CD138" s="351"/>
      <c r="CE138" s="351"/>
      <c r="CF138" s="351"/>
      <c r="CG138" s="351"/>
      <c r="CH138" s="351"/>
      <c r="CI138" s="351"/>
      <c r="CJ138" s="351"/>
      <c r="CK138" s="351"/>
      <c r="CL138" s="351"/>
      <c r="CM138" s="351"/>
      <c r="CN138" s="351"/>
      <c r="CO138" s="351"/>
      <c r="CP138" s="351"/>
      <c r="CQ138" s="351"/>
      <c r="CR138" s="351"/>
      <c r="CS138" s="351"/>
      <c r="CT138" s="351"/>
      <c r="CU138" s="351"/>
      <c r="CV138" s="351"/>
      <c r="CW138" s="351"/>
      <c r="CX138" s="351"/>
      <c r="CY138" s="351"/>
      <c r="CZ138" s="351"/>
      <c r="DA138" s="351"/>
      <c r="DB138" s="351"/>
      <c r="DC138" s="351"/>
      <c r="DD138" s="351"/>
      <c r="DE138" s="351"/>
      <c r="DF138" s="351"/>
      <c r="DG138" s="351"/>
      <c r="DH138" s="351"/>
      <c r="DI138" s="351"/>
      <c r="DJ138" s="351"/>
      <c r="DK138" s="351"/>
      <c r="DL138" s="351"/>
      <c r="DM138" s="351"/>
      <c r="DN138" s="351"/>
      <c r="DO138" s="278"/>
      <c r="DP138" s="278"/>
      <c r="DQ138" s="278"/>
      <c r="DR138" s="278"/>
      <c r="DS138" s="278"/>
      <c r="DT138" s="278"/>
      <c r="DU138" s="278"/>
      <c r="DV138" s="328"/>
      <c r="DW138" s="328"/>
      <c r="DX138" s="328"/>
      <c r="DY138" s="172"/>
      <c r="DZ138" s="172"/>
      <c r="EA138" s="278"/>
      <c r="EB138" s="278"/>
      <c r="EC138" s="337"/>
      <c r="ED138" s="337"/>
      <c r="EE138" s="337"/>
      <c r="EF138" s="337"/>
      <c r="EG138" s="337"/>
      <c r="EH138" s="337"/>
      <c r="EI138" s="337"/>
      <c r="EJ138" s="337"/>
      <c r="EK138" s="337"/>
      <c r="EL138" s="337"/>
      <c r="EM138" s="337"/>
      <c r="EN138" s="337"/>
      <c r="EO138" s="337"/>
      <c r="EP138" s="43"/>
      <c r="EQ138" s="43"/>
      <c r="ER138" s="43"/>
      <c r="ES138" s="43"/>
      <c r="ET138" s="43"/>
      <c r="EU138" s="43"/>
      <c r="EV138" s="43"/>
      <c r="EW138" s="43"/>
      <c r="EX138" s="43"/>
      <c r="EY138" s="43"/>
      <c r="EZ138" s="43"/>
      <c r="FA138" s="43"/>
      <c r="FB138" s="43"/>
      <c r="FC138" s="43"/>
      <c r="FD138" s="43"/>
      <c r="FE138" s="43"/>
      <c r="FF138" s="43"/>
      <c r="FG138" s="43"/>
      <c r="FH138" s="43"/>
      <c r="FI138" s="43"/>
      <c r="FJ138" s="43"/>
      <c r="FK138" s="43"/>
      <c r="FL138" s="43"/>
      <c r="FM138" s="183"/>
      <c r="FN138" s="183"/>
      <c r="FO138" s="185"/>
      <c r="FP138" s="183"/>
      <c r="FQ138" s="183"/>
      <c r="FR138" s="49"/>
      <c r="FS138" s="49"/>
      <c r="FT138" s="49"/>
      <c r="FU138" s="49"/>
      <c r="FV138" s="49"/>
      <c r="FW138" s="49"/>
      <c r="FX138" s="49"/>
      <c r="FY138" s="32"/>
      <c r="FZ138" s="32"/>
      <c r="GA138" s="32"/>
      <c r="GB138" s="32"/>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49"/>
      <c r="HO138" s="49"/>
      <c r="HP138" s="49"/>
      <c r="HQ138" s="13"/>
      <c r="HR138" s="13"/>
      <c r="HS138" s="13"/>
      <c r="HT138" s="13"/>
      <c r="HU138" s="13"/>
      <c r="HV138" s="13"/>
      <c r="HW138" s="13"/>
      <c r="HX138" s="13"/>
      <c r="HY138" s="13"/>
      <c r="HZ138" s="13"/>
      <c r="IA138" s="13"/>
    </row>
    <row r="139" spans="1:237" ht="16.5" customHeight="1">
      <c r="A139" s="1"/>
      <c r="B139" s="3"/>
      <c r="C139" s="3"/>
      <c r="D139" s="124"/>
      <c r="E139" s="333"/>
      <c r="F139" s="333"/>
      <c r="G139" s="333"/>
      <c r="H139" s="333"/>
      <c r="I139" s="333"/>
      <c r="J139" s="43"/>
      <c r="K139" s="43"/>
      <c r="L139" s="43"/>
      <c r="M139" s="43"/>
      <c r="N139" s="133" t="str">
        <f ca="1">IF(FO134=0,"","2.")</f>
        <v/>
      </c>
      <c r="O139" s="43"/>
      <c r="P139" s="335" t="str">
        <f ca="1">IF(FO134=0,"","Om de prijs uit te rekenen bij een monopolie, moet  via MO = MK")</f>
        <v/>
      </c>
      <c r="Q139" s="278"/>
      <c r="R139" s="278"/>
      <c r="S139" s="278"/>
      <c r="T139" s="278"/>
      <c r="U139" s="278"/>
      <c r="V139" s="43"/>
      <c r="W139" s="43"/>
      <c r="X139" s="43"/>
      <c r="Y139" s="43"/>
      <c r="Z139" s="43"/>
      <c r="AA139" s="43"/>
      <c r="AB139" s="43"/>
      <c r="AC139" s="43"/>
      <c r="AD139" s="43"/>
      <c r="AE139" s="43"/>
      <c r="AF139" s="43"/>
      <c r="AG139" s="43"/>
      <c r="AH139" s="43"/>
      <c r="AI139" s="43"/>
      <c r="AJ139" s="43"/>
      <c r="AK139" s="43"/>
      <c r="AL139" s="43"/>
      <c r="AM139" s="43"/>
      <c r="AN139" s="351"/>
      <c r="AO139" s="351"/>
      <c r="AP139" s="351"/>
      <c r="AQ139" s="351"/>
      <c r="AR139" s="351"/>
      <c r="AS139" s="351"/>
      <c r="AT139" s="351"/>
      <c r="AU139" s="351"/>
      <c r="AV139" s="351"/>
      <c r="AW139" s="351"/>
      <c r="AX139" s="351"/>
      <c r="AY139" s="351"/>
      <c r="AZ139" s="351"/>
      <c r="BA139" s="351"/>
      <c r="BB139" s="351"/>
      <c r="BC139" s="351"/>
      <c r="BD139" s="351"/>
      <c r="BE139" s="351"/>
      <c r="BF139" s="351"/>
      <c r="BG139" s="351"/>
      <c r="BH139" s="351"/>
      <c r="BI139" s="351"/>
      <c r="BJ139" s="351"/>
      <c r="BK139" s="351"/>
      <c r="BL139" s="351"/>
      <c r="BM139" s="351"/>
      <c r="BN139" s="351"/>
      <c r="BO139" s="351"/>
      <c r="BP139" s="351"/>
      <c r="BQ139" s="351"/>
      <c r="BR139" s="351"/>
      <c r="BS139" s="351"/>
      <c r="BT139" s="351"/>
      <c r="BU139" s="351"/>
      <c r="BV139" s="351"/>
      <c r="BW139" s="351"/>
      <c r="BX139" s="351"/>
      <c r="BY139" s="351"/>
      <c r="BZ139" s="351"/>
      <c r="CA139" s="351"/>
      <c r="CB139" s="351"/>
      <c r="CC139" s="351"/>
      <c r="CD139" s="351"/>
      <c r="CE139" s="351"/>
      <c r="CF139" s="351"/>
      <c r="CG139" s="351"/>
      <c r="CH139" s="351"/>
      <c r="CI139" s="351"/>
      <c r="CJ139" s="351"/>
      <c r="CK139" s="351"/>
      <c r="CL139" s="351"/>
      <c r="CM139" s="351"/>
      <c r="CN139" s="351"/>
      <c r="CO139" s="351"/>
      <c r="CP139" s="351"/>
      <c r="CQ139" s="351"/>
      <c r="CR139" s="351"/>
      <c r="CS139" s="351"/>
      <c r="CT139" s="351"/>
      <c r="CU139" s="351"/>
      <c r="CV139" s="351"/>
      <c r="CW139" s="351"/>
      <c r="CX139" s="351"/>
      <c r="CY139" s="351"/>
      <c r="CZ139" s="351"/>
      <c r="DA139" s="351"/>
      <c r="DB139" s="351"/>
      <c r="DC139" s="351"/>
      <c r="DD139" s="351"/>
      <c r="DE139" s="351"/>
      <c r="DF139" s="351"/>
      <c r="DG139" s="351"/>
      <c r="DH139" s="351"/>
      <c r="DI139" s="351"/>
      <c r="DJ139" s="351"/>
      <c r="DK139" s="351"/>
      <c r="DL139" s="351"/>
      <c r="DM139" s="351"/>
      <c r="DN139" s="351"/>
      <c r="DO139" s="278"/>
      <c r="DP139" s="278"/>
      <c r="DQ139" s="278"/>
      <c r="DR139" s="278"/>
      <c r="DS139" s="278"/>
      <c r="DT139" s="278"/>
      <c r="DU139" s="278"/>
      <c r="DV139" s="278"/>
      <c r="DW139" s="278"/>
      <c r="DX139" s="278"/>
      <c r="DY139" s="278"/>
      <c r="DZ139" s="278"/>
      <c r="EA139" s="278"/>
      <c r="EB139" s="278"/>
      <c r="EC139" s="278"/>
      <c r="ED139" s="278"/>
      <c r="EE139" s="278"/>
      <c r="EF139" s="278"/>
      <c r="EG139" s="278"/>
      <c r="EH139" s="278"/>
      <c r="EI139" s="278"/>
      <c r="EJ139" s="278"/>
      <c r="EK139" s="278"/>
      <c r="EL139" s="278"/>
      <c r="EM139" s="278"/>
      <c r="EN139" s="278"/>
      <c r="EO139" s="278"/>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338"/>
      <c r="FN139" s="78"/>
      <c r="FO139" s="78"/>
      <c r="FP139" s="93"/>
      <c r="FQ139" s="93"/>
      <c r="FR139" s="78"/>
      <c r="FS139" s="78"/>
      <c r="FT139" s="78"/>
      <c r="FU139" s="78"/>
      <c r="FV139" s="78"/>
      <c r="FW139" s="78"/>
      <c r="FX139" s="78"/>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49"/>
      <c r="HO139" s="49"/>
      <c r="HP139" s="49"/>
      <c r="HQ139" s="13"/>
      <c r="HR139" s="13"/>
      <c r="HS139" s="13"/>
      <c r="HT139" s="13"/>
      <c r="HU139" s="13"/>
      <c r="HV139" s="13"/>
      <c r="HW139" s="13"/>
      <c r="HX139" s="13"/>
      <c r="HY139" s="13"/>
      <c r="HZ139" s="13"/>
      <c r="IA139" s="13"/>
    </row>
    <row r="140" spans="1:237" ht="16.5" customHeight="1">
      <c r="A140" s="1"/>
      <c r="B140" s="3"/>
      <c r="C140" s="3"/>
      <c r="D140" s="124"/>
      <c r="E140" s="333"/>
      <c r="F140" s="333"/>
      <c r="G140" s="333"/>
      <c r="H140" s="333"/>
      <c r="I140" s="333"/>
      <c r="J140" s="43"/>
      <c r="K140" s="43"/>
      <c r="L140" s="43"/>
      <c r="M140" s="43"/>
      <c r="N140" s="133"/>
      <c r="O140" s="43"/>
      <c r="P140" s="335" t="str">
        <f ca="1">IF(FO134=0,"","eerst de hoeveelheid die wordt aangeboden berekend worden. ")</f>
        <v/>
      </c>
      <c r="Q140" s="278"/>
      <c r="R140" s="278"/>
      <c r="S140" s="278"/>
      <c r="T140" s="278"/>
      <c r="U140" s="278"/>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278"/>
      <c r="CQ140" s="278"/>
      <c r="CR140" s="278"/>
      <c r="CS140" s="278"/>
      <c r="CT140" s="278"/>
      <c r="CU140" s="278"/>
      <c r="CV140" s="278"/>
      <c r="CW140" s="278"/>
      <c r="CX140" s="278"/>
      <c r="CY140" s="278"/>
      <c r="CZ140" s="278"/>
      <c r="DA140" s="278"/>
      <c r="DB140" s="278"/>
      <c r="DC140" s="278"/>
      <c r="DD140" s="278"/>
      <c r="DE140" s="278"/>
      <c r="DF140" s="278"/>
      <c r="DG140" s="278"/>
      <c r="DH140" s="278"/>
      <c r="DI140" s="278"/>
      <c r="DJ140" s="278"/>
      <c r="DK140" s="278"/>
      <c r="DL140" s="278"/>
      <c r="DM140" s="278"/>
      <c r="DN140" s="278"/>
      <c r="DO140" s="278"/>
      <c r="DP140" s="278"/>
      <c r="DQ140" s="278"/>
      <c r="DR140" s="278"/>
      <c r="DS140" s="278"/>
      <c r="DT140" s="278"/>
      <c r="DU140" s="278"/>
      <c r="DV140" s="278"/>
      <c r="DW140" s="278"/>
      <c r="DX140" s="278"/>
      <c r="DY140" s="278"/>
      <c r="DZ140" s="278"/>
      <c r="EA140" s="278"/>
      <c r="EB140" s="278"/>
      <c r="EC140" s="278"/>
      <c r="ED140" s="278"/>
      <c r="EE140" s="278"/>
      <c r="EF140" s="278"/>
      <c r="EG140" s="278"/>
      <c r="EH140" s="278"/>
      <c r="EI140" s="278"/>
      <c r="EJ140" s="278"/>
      <c r="EK140" s="278"/>
      <c r="EL140" s="278"/>
      <c r="EM140" s="278"/>
      <c r="EN140" s="278"/>
      <c r="EO140" s="278"/>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338"/>
      <c r="FN140" s="78"/>
      <c r="FO140" s="78"/>
      <c r="FP140" s="93"/>
      <c r="FQ140" s="93"/>
      <c r="FR140" s="78"/>
      <c r="FS140" s="78"/>
      <c r="FT140" s="78"/>
      <c r="FU140" s="78"/>
      <c r="FV140" s="78"/>
      <c r="FW140" s="78"/>
      <c r="FX140" s="78"/>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78"/>
      <c r="HO140" s="78"/>
      <c r="HP140" s="78"/>
      <c r="HQ140" s="13"/>
      <c r="HR140" s="13"/>
      <c r="HS140" s="13"/>
      <c r="HT140" s="13"/>
      <c r="HU140" s="13"/>
      <c r="HV140" s="13"/>
      <c r="HW140" s="13"/>
      <c r="HX140" s="13"/>
      <c r="HY140" s="13"/>
      <c r="HZ140" s="13"/>
      <c r="IA140" s="13"/>
    </row>
    <row r="141" spans="1:237" ht="9.75" customHeight="1">
      <c r="A141" s="1"/>
      <c r="B141" s="3"/>
      <c r="C141" s="3"/>
      <c r="D141" s="333"/>
      <c r="E141" s="333"/>
      <c r="F141" s="278"/>
      <c r="G141" s="278"/>
      <c r="H141" s="278"/>
      <c r="I141" s="278"/>
      <c r="J141" s="278"/>
      <c r="K141" s="278"/>
      <c r="L141" s="278"/>
      <c r="M141" s="278"/>
      <c r="N141" s="278"/>
      <c r="O141" s="278"/>
      <c r="P141" s="278"/>
      <c r="Q141" s="328"/>
      <c r="R141" s="328"/>
      <c r="S141" s="278"/>
      <c r="T141" s="172"/>
      <c r="U141" s="328"/>
      <c r="V141" s="278"/>
      <c r="W141" s="278"/>
      <c r="X141" s="278"/>
      <c r="Y141" s="278"/>
      <c r="Z141" s="278"/>
      <c r="AA141" s="278"/>
      <c r="AB141" s="278"/>
      <c r="AC141" s="278"/>
      <c r="AD141" s="328"/>
      <c r="AE141" s="328"/>
      <c r="AF141" s="278"/>
      <c r="AG141" s="172"/>
      <c r="AH141" s="328"/>
      <c r="AI141" s="328"/>
      <c r="AJ141" s="328"/>
      <c r="AK141" s="43"/>
      <c r="AL141" s="43"/>
      <c r="AM141" s="43"/>
      <c r="AN141" s="328"/>
      <c r="AO141" s="328"/>
      <c r="AP141" s="328"/>
      <c r="AQ141" s="328"/>
      <c r="AR141" s="328"/>
      <c r="AS141" s="328"/>
      <c r="AT141" s="328"/>
      <c r="AU141" s="328"/>
      <c r="AV141" s="328"/>
      <c r="AW141" s="328"/>
      <c r="AX141" s="328"/>
      <c r="AY141" s="328"/>
      <c r="AZ141" s="328"/>
      <c r="BA141" s="328"/>
      <c r="BB141" s="328"/>
      <c r="BC141" s="328"/>
      <c r="BD141" s="328"/>
      <c r="BE141" s="328"/>
      <c r="BF141" s="328"/>
      <c r="BG141" s="328"/>
      <c r="BH141" s="328"/>
      <c r="BI141" s="178"/>
      <c r="BJ141" s="178"/>
      <c r="BK141" s="337"/>
      <c r="BL141" s="328"/>
      <c r="BM141" s="328"/>
      <c r="BN141" s="328"/>
      <c r="BO141" s="172"/>
      <c r="BP141" s="172"/>
      <c r="BQ141" s="278"/>
      <c r="BR141" s="278"/>
      <c r="BS141" s="43"/>
      <c r="BT141" s="43"/>
      <c r="BU141" s="43"/>
      <c r="BV141" s="43"/>
      <c r="BW141" s="43"/>
      <c r="BX141" s="43"/>
      <c r="BY141" s="43"/>
      <c r="BZ141" s="43"/>
      <c r="CA141" s="43"/>
      <c r="CB141" s="43"/>
      <c r="CC141" s="43"/>
      <c r="CD141" s="43"/>
      <c r="CE141" s="43"/>
      <c r="CF141" s="43"/>
      <c r="CG141" s="43"/>
      <c r="CH141" s="43"/>
      <c r="CI141" s="43"/>
      <c r="CJ141" s="43"/>
      <c r="CK141" s="278"/>
      <c r="CL141" s="278"/>
      <c r="CM141" s="278"/>
      <c r="CN141" s="328"/>
      <c r="CO141" s="328"/>
      <c r="CP141" s="278"/>
      <c r="CQ141" s="172"/>
      <c r="CR141" s="328"/>
      <c r="CS141" s="328"/>
      <c r="CT141" s="328"/>
      <c r="CU141" s="43"/>
      <c r="CV141" s="43"/>
      <c r="CW141" s="43"/>
      <c r="CX141" s="43"/>
      <c r="CY141" s="43"/>
      <c r="CZ141" s="43"/>
      <c r="DA141" s="43"/>
      <c r="DB141" s="106"/>
      <c r="DC141" s="106"/>
      <c r="DD141" s="278"/>
      <c r="DE141" s="278"/>
      <c r="DF141" s="278"/>
      <c r="DG141" s="278"/>
      <c r="DH141" s="278"/>
      <c r="DI141" s="278"/>
      <c r="DJ141" s="278"/>
      <c r="DK141" s="278"/>
      <c r="DL141" s="278"/>
      <c r="DM141" s="278"/>
      <c r="DN141" s="278"/>
      <c r="DO141" s="278"/>
      <c r="DP141" s="278"/>
      <c r="DQ141" s="278"/>
      <c r="DR141" s="278"/>
      <c r="DS141" s="278"/>
      <c r="DT141" s="278"/>
      <c r="DU141" s="278"/>
      <c r="DV141" s="328"/>
      <c r="DW141" s="328"/>
      <c r="DX141" s="328"/>
      <c r="DY141" s="172"/>
      <c r="DZ141" s="172"/>
      <c r="EA141" s="278"/>
      <c r="EB141" s="278"/>
      <c r="EC141" s="337"/>
      <c r="ED141" s="337"/>
      <c r="EE141" s="337"/>
      <c r="EF141" s="337"/>
      <c r="EG141" s="337"/>
      <c r="EH141" s="337"/>
      <c r="EI141" s="337"/>
      <c r="EJ141" s="337"/>
      <c r="EK141" s="337"/>
      <c r="EL141" s="337"/>
      <c r="EM141" s="337"/>
      <c r="EN141" s="337"/>
      <c r="EO141" s="337"/>
      <c r="EP141" s="337"/>
      <c r="EQ141" s="337"/>
      <c r="ER141" s="337"/>
      <c r="ES141" s="337"/>
      <c r="ET141" s="337"/>
      <c r="EU141" s="328"/>
      <c r="EV141" s="278"/>
      <c r="EW141" s="278"/>
      <c r="EX141" s="278"/>
      <c r="EY141" s="278"/>
      <c r="EZ141" s="278"/>
      <c r="FA141" s="278"/>
      <c r="FB141" s="278"/>
      <c r="FC141" s="278"/>
      <c r="FD141" s="278"/>
      <c r="FE141" s="278"/>
      <c r="FF141" s="278"/>
      <c r="FG141" s="278"/>
      <c r="FH141" s="43"/>
      <c r="FI141" s="43"/>
      <c r="FJ141" s="43"/>
      <c r="FK141" s="43"/>
      <c r="FL141" s="278"/>
      <c r="FM141" s="183"/>
      <c r="FN141" s="183"/>
      <c r="FO141" s="185"/>
      <c r="FP141" s="183"/>
      <c r="FQ141" s="183"/>
      <c r="FR141" s="49"/>
      <c r="FS141" s="49"/>
      <c r="FT141" s="49"/>
      <c r="FU141" s="49"/>
      <c r="FV141" s="49"/>
      <c r="FW141" s="49"/>
      <c r="FX141" s="49"/>
      <c r="FY141" s="32"/>
      <c r="FZ141" s="32"/>
      <c r="GA141" s="32"/>
      <c r="GB141" s="32"/>
      <c r="GC141" s="32"/>
      <c r="GD141" s="32"/>
      <c r="GE141" s="32"/>
      <c r="GF141" s="32"/>
      <c r="GG141" s="32"/>
      <c r="GH141" s="32"/>
      <c r="GI141" s="32"/>
      <c r="GJ141" s="32"/>
      <c r="GK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78"/>
      <c r="HO141" s="78"/>
      <c r="HP141" s="78"/>
      <c r="HQ141" s="13"/>
      <c r="HR141" s="13"/>
      <c r="HS141" s="13"/>
      <c r="HT141" s="13"/>
      <c r="HU141" s="13"/>
      <c r="HV141" s="13"/>
      <c r="HW141" s="13"/>
      <c r="HX141" s="13"/>
      <c r="HY141" s="13"/>
      <c r="HZ141" s="13"/>
      <c r="IA141" s="13"/>
    </row>
    <row r="142" spans="1:237" ht="16.95" customHeight="1">
      <c r="A142" s="1"/>
      <c r="B142" s="3"/>
      <c r="C142" s="3"/>
      <c r="D142" s="124" t="str">
        <f ca="1">IF(FO134=0,"","Hoeveel zal de monopolist aanbieden als hij streeft naar maximale winst?")</f>
        <v/>
      </c>
      <c r="E142" s="373"/>
      <c r="F142" s="373"/>
      <c r="G142" s="373"/>
      <c r="H142" s="373"/>
      <c r="I142" s="373"/>
      <c r="J142" s="376"/>
      <c r="K142" s="376"/>
      <c r="L142" s="376"/>
      <c r="M142" s="376"/>
      <c r="N142" s="376"/>
      <c r="O142" s="376"/>
      <c r="P142" s="376"/>
      <c r="Q142" s="376"/>
      <c r="R142" s="376"/>
      <c r="S142" s="376"/>
      <c r="T142" s="376"/>
      <c r="U142" s="376"/>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c r="CJ142" s="79"/>
      <c r="CK142" s="43"/>
      <c r="CL142" s="43"/>
      <c r="CM142" s="43"/>
      <c r="CN142" s="43"/>
      <c r="CO142" s="43"/>
      <c r="CP142" s="376"/>
      <c r="CQ142" s="376"/>
      <c r="CR142" s="376"/>
      <c r="CS142" s="376"/>
      <c r="CT142" s="376"/>
      <c r="CU142" s="376"/>
      <c r="CV142" s="376"/>
      <c r="CW142" s="376"/>
      <c r="CX142" s="376"/>
      <c r="CY142" s="376"/>
      <c r="CZ142" s="376"/>
      <c r="DA142" s="376"/>
      <c r="DB142" s="376"/>
      <c r="DC142" s="376"/>
      <c r="DD142" s="376"/>
      <c r="DE142" s="376"/>
      <c r="DF142" s="376"/>
      <c r="DG142" s="376"/>
      <c r="DH142" s="376"/>
      <c r="DI142" s="376"/>
      <c r="DJ142" s="376"/>
      <c r="DK142" s="376"/>
      <c r="DL142" s="376"/>
      <c r="DM142" s="376"/>
      <c r="DN142" s="376"/>
      <c r="DO142" s="376"/>
      <c r="DP142" s="376"/>
      <c r="DQ142" s="376"/>
      <c r="DR142" s="376"/>
      <c r="DS142" s="376"/>
      <c r="DT142" s="376"/>
      <c r="DU142" s="376"/>
      <c r="DV142" s="376"/>
      <c r="DW142" s="376"/>
      <c r="DX142" s="376"/>
      <c r="DY142" s="376"/>
      <c r="DZ142" s="376"/>
      <c r="EA142" s="376"/>
      <c r="EB142" s="376"/>
      <c r="EC142" s="376"/>
      <c r="ED142" s="376"/>
      <c r="EE142" s="376"/>
      <c r="EF142" s="376"/>
      <c r="EG142" s="376"/>
      <c r="EH142" s="376"/>
      <c r="EI142" s="376"/>
      <c r="EJ142" s="376"/>
      <c r="EK142" s="376"/>
      <c r="EL142" s="376"/>
      <c r="EM142" s="376"/>
      <c r="EN142" s="376"/>
      <c r="EO142" s="376"/>
      <c r="EP142" s="376"/>
      <c r="EQ142" s="376"/>
      <c r="ER142" s="376"/>
      <c r="ES142" s="376"/>
      <c r="ET142" s="376"/>
      <c r="EU142" s="376"/>
      <c r="EV142" s="376"/>
      <c r="EW142" s="376"/>
      <c r="EX142" s="376"/>
      <c r="EY142" s="376"/>
      <c r="EZ142" s="376"/>
      <c r="FA142" s="43"/>
      <c r="FB142" s="43"/>
      <c r="FC142" s="43"/>
      <c r="FD142" s="43"/>
      <c r="FE142" s="43"/>
      <c r="FF142" s="43"/>
      <c r="FG142" s="43"/>
      <c r="FH142" s="43"/>
      <c r="FI142" s="79"/>
      <c r="FJ142" s="79"/>
      <c r="FK142" s="79"/>
      <c r="FL142" s="79"/>
      <c r="FM142" s="93"/>
      <c r="FN142" s="93"/>
      <c r="FO142" s="338"/>
      <c r="FP142" s="338">
        <f ca="1">2*FP91</f>
        <v>4</v>
      </c>
      <c r="FQ142" s="338">
        <f ca="1">FQ91</f>
        <v>1600</v>
      </c>
      <c r="FR142" s="338">
        <f>2*FP93</f>
        <v>0</v>
      </c>
      <c r="FS142" s="338">
        <f ca="1">FQ93</f>
        <v>36</v>
      </c>
      <c r="FT142" s="338"/>
      <c r="FU142" s="338"/>
      <c r="FV142" s="338"/>
      <c r="FW142" s="338"/>
      <c r="FX142" s="338"/>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38"/>
      <c r="HO142" s="338"/>
      <c r="HP142" s="338"/>
      <c r="HQ142" s="13"/>
      <c r="HR142" s="13"/>
      <c r="HS142" s="13"/>
      <c r="HT142" s="13"/>
      <c r="HU142" s="13"/>
      <c r="HV142" s="13"/>
      <c r="HW142" s="13"/>
      <c r="HX142" s="13"/>
      <c r="HY142" s="13"/>
      <c r="HZ142" s="13"/>
      <c r="IA142" s="13"/>
    </row>
    <row r="143" spans="1:237" ht="16.95" customHeight="1">
      <c r="A143" s="1"/>
      <c r="B143" s="3"/>
      <c r="C143" s="3"/>
      <c r="D143" s="124" t="str">
        <f ca="1">IF(FO134=0,"","Rond het antwoord af op hele stuks,")</f>
        <v/>
      </c>
      <c r="E143" s="373"/>
      <c r="F143" s="373"/>
      <c r="G143" s="373"/>
      <c r="H143" s="373"/>
      <c r="I143" s="373"/>
      <c r="J143" s="376"/>
      <c r="K143" s="376"/>
      <c r="L143" s="376"/>
      <c r="M143" s="376"/>
      <c r="N143" s="376"/>
      <c r="O143" s="376"/>
      <c r="P143" s="376"/>
      <c r="Q143" s="376"/>
      <c r="R143" s="376"/>
      <c r="S143" s="376"/>
      <c r="T143" s="376"/>
      <c r="U143" s="376"/>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c r="CJ143" s="79"/>
      <c r="CK143" s="43"/>
      <c r="CL143" s="43"/>
      <c r="CM143" s="43"/>
      <c r="CN143" s="43"/>
      <c r="CO143" s="43"/>
      <c r="CP143" s="376"/>
      <c r="CQ143" s="376"/>
      <c r="CR143" s="376"/>
      <c r="CS143" s="376"/>
      <c r="CT143" s="376"/>
      <c r="CU143" s="376"/>
      <c r="CV143" s="376"/>
      <c r="CW143" s="376"/>
      <c r="CX143" s="376"/>
      <c r="CY143" s="376"/>
      <c r="CZ143" s="376"/>
      <c r="DA143" s="376"/>
      <c r="DB143" s="376"/>
      <c r="DC143" s="376"/>
      <c r="DD143" s="376"/>
      <c r="DE143" s="376"/>
      <c r="DF143" s="376"/>
      <c r="DG143" s="376"/>
      <c r="DH143" s="376"/>
      <c r="DI143" s="376"/>
      <c r="DJ143" s="376"/>
      <c r="DK143" s="376"/>
      <c r="DL143" s="376"/>
      <c r="DM143" s="376"/>
      <c r="DN143" s="376"/>
      <c r="DO143" s="376"/>
      <c r="DP143" s="376"/>
      <c r="DQ143" s="376"/>
      <c r="DR143" s="376"/>
      <c r="DS143" s="376"/>
      <c r="DT143" s="376"/>
      <c r="DU143" s="376"/>
      <c r="DV143" s="376"/>
      <c r="DW143" s="376"/>
      <c r="DX143" s="376"/>
      <c r="DY143" s="376"/>
      <c r="DZ143" s="376"/>
      <c r="EA143" s="376"/>
      <c r="EB143" s="376"/>
      <c r="EC143" s="376"/>
      <c r="ED143" s="376"/>
      <c r="EE143" s="376"/>
      <c r="EF143" s="376"/>
      <c r="EG143" s="376"/>
      <c r="EH143" s="376"/>
      <c r="EI143" s="376"/>
      <c r="EJ143" s="376"/>
      <c r="EK143" s="376"/>
      <c r="EL143" s="376"/>
      <c r="EM143" s="376"/>
      <c r="EN143" s="376"/>
      <c r="EO143" s="376"/>
      <c r="EP143" s="376"/>
      <c r="EQ143" s="376"/>
      <c r="ER143" s="376"/>
      <c r="ES143" s="376"/>
      <c r="ET143" s="376"/>
      <c r="EU143" s="376"/>
      <c r="EV143" s="376"/>
      <c r="EW143" s="376"/>
      <c r="EX143" s="376"/>
      <c r="EY143" s="376"/>
      <c r="EZ143" s="376"/>
      <c r="FA143" s="43"/>
      <c r="FB143" s="43"/>
      <c r="FC143" s="43"/>
      <c r="FD143" s="43"/>
      <c r="FE143" s="43"/>
      <c r="FF143" s="43"/>
      <c r="FG143" s="43"/>
      <c r="FH143" s="43"/>
      <c r="FI143" s="79"/>
      <c r="FJ143" s="79"/>
      <c r="FK143" s="79"/>
      <c r="FL143" s="79"/>
      <c r="FM143" s="93"/>
      <c r="FN143" s="93"/>
      <c r="FO143" s="338"/>
      <c r="FP143" s="338"/>
      <c r="FQ143" s="338"/>
      <c r="FR143" s="338"/>
      <c r="FS143" s="338"/>
      <c r="FT143" s="338"/>
      <c r="FU143" s="338"/>
      <c r="FV143" s="338"/>
      <c r="FW143" s="338"/>
      <c r="FX143" s="338"/>
      <c r="FY143" s="32"/>
      <c r="FZ143" s="32"/>
      <c r="GA143" s="32"/>
      <c r="GB143" s="32"/>
      <c r="GC143" s="32"/>
      <c r="GD143" s="32"/>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38"/>
      <c r="HO143" s="338"/>
      <c r="HP143" s="338"/>
      <c r="HQ143" s="13"/>
      <c r="HR143" s="13"/>
      <c r="HS143" s="13"/>
      <c r="HT143" s="13"/>
      <c r="HU143" s="13"/>
      <c r="HV143" s="13"/>
      <c r="HW143" s="13"/>
      <c r="HX143" s="13"/>
      <c r="HY143" s="13"/>
      <c r="HZ143" s="13"/>
      <c r="IA143" s="13"/>
    </row>
    <row r="144" spans="1:237" ht="7.5" customHeight="1">
      <c r="A144" s="1"/>
      <c r="B144" s="3"/>
      <c r="C144" s="3"/>
      <c r="D144" s="333"/>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278"/>
      <c r="AF144" s="278"/>
      <c r="AG144" s="278"/>
      <c r="AH144" s="278"/>
      <c r="AI144" s="278"/>
      <c r="AJ144" s="278"/>
      <c r="AK144" s="278"/>
      <c r="AL144" s="278"/>
      <c r="AM144" s="278"/>
      <c r="AN144" s="278"/>
      <c r="AO144" s="278"/>
      <c r="AP144" s="278"/>
      <c r="AQ144" s="278"/>
      <c r="AR144" s="278"/>
      <c r="AS144" s="43"/>
      <c r="AT144" s="43"/>
      <c r="AU144" s="43"/>
      <c r="AV144" s="43"/>
      <c r="AW144" s="43"/>
      <c r="AX144" s="43"/>
      <c r="AY144" s="43"/>
      <c r="AZ144" s="278"/>
      <c r="BA144" s="278"/>
      <c r="BB144" s="278"/>
      <c r="BC144" s="278"/>
      <c r="BD144" s="278"/>
      <c r="BE144" s="278"/>
      <c r="BF144" s="278"/>
      <c r="BG144" s="278"/>
      <c r="BH144" s="278"/>
      <c r="BI144" s="278"/>
      <c r="BJ144" s="278"/>
      <c r="BK144" s="278"/>
      <c r="BL144" s="278"/>
      <c r="BM144" s="278"/>
      <c r="BN144" s="278"/>
      <c r="BO144" s="278"/>
      <c r="BP144" s="278"/>
      <c r="BQ144" s="278"/>
      <c r="BR144" s="278"/>
      <c r="BS144" s="278"/>
      <c r="BT144" s="278"/>
      <c r="BU144" s="278"/>
      <c r="BV144" s="278"/>
      <c r="BW144" s="278"/>
      <c r="BX144" s="278"/>
      <c r="BY144" s="278"/>
      <c r="BZ144" s="278"/>
      <c r="CA144" s="278"/>
      <c r="CB144" s="278"/>
      <c r="CC144" s="278"/>
      <c r="CD144" s="278"/>
      <c r="CE144" s="278"/>
      <c r="CF144" s="278"/>
      <c r="CG144" s="278"/>
      <c r="CH144" s="278"/>
      <c r="CI144" s="278"/>
      <c r="CJ144" s="278"/>
      <c r="CK144" s="278"/>
      <c r="CL144" s="278"/>
      <c r="CM144" s="278"/>
      <c r="CN144" s="278"/>
      <c r="CO144" s="278"/>
      <c r="CP144" s="278"/>
      <c r="CQ144" s="278"/>
      <c r="CR144" s="278"/>
      <c r="CS144" s="278"/>
      <c r="CT144" s="278"/>
      <c r="CU144" s="278"/>
      <c r="CV144" s="278"/>
      <c r="CW144" s="278"/>
      <c r="CX144" s="278"/>
      <c r="CY144" s="278"/>
      <c r="CZ144" s="278"/>
      <c r="DA144" s="278"/>
      <c r="DB144" s="278"/>
      <c r="DC144" s="278"/>
      <c r="DD144" s="278"/>
      <c r="DE144" s="278"/>
      <c r="DF144" s="278"/>
      <c r="DG144" s="278"/>
      <c r="DH144" s="278"/>
      <c r="DI144" s="278"/>
      <c r="DJ144" s="278"/>
      <c r="DK144" s="278"/>
      <c r="DL144" s="278"/>
      <c r="DM144" s="278"/>
      <c r="DN144" s="278"/>
      <c r="DO144" s="278"/>
      <c r="DP144" s="278"/>
      <c r="DQ144" s="278"/>
      <c r="DR144" s="278"/>
      <c r="DS144" s="278"/>
      <c r="DT144" s="278"/>
      <c r="DU144" s="278"/>
      <c r="DV144" s="278"/>
      <c r="DW144" s="278"/>
      <c r="DX144" s="278"/>
      <c r="DY144" s="278"/>
      <c r="DZ144" s="278"/>
      <c r="EA144" s="278"/>
      <c r="EB144" s="278"/>
      <c r="EC144" s="278"/>
      <c r="ED144" s="278"/>
      <c r="EE144" s="278"/>
      <c r="EF144" s="278"/>
      <c r="EG144" s="278"/>
      <c r="EH144" s="278"/>
      <c r="EI144" s="278"/>
      <c r="EJ144" s="278"/>
      <c r="EK144" s="278"/>
      <c r="EL144" s="278"/>
      <c r="EM144" s="278"/>
      <c r="EN144" s="278"/>
      <c r="EO144" s="278"/>
      <c r="EP144" s="278"/>
      <c r="EQ144" s="278"/>
      <c r="ER144" s="278"/>
      <c r="ES144" s="278"/>
      <c r="ET144" s="278"/>
      <c r="EU144" s="278"/>
      <c r="EV144" s="278"/>
      <c r="EW144" s="278"/>
      <c r="EX144" s="278"/>
      <c r="EY144" s="278"/>
      <c r="EZ144" s="278"/>
      <c r="FA144" s="278"/>
      <c r="FB144" s="278"/>
      <c r="FC144" s="278"/>
      <c r="FD144" s="278"/>
      <c r="FE144" s="278"/>
      <c r="FF144" s="278"/>
      <c r="FG144" s="278"/>
      <c r="FH144" s="278"/>
      <c r="FI144" s="278"/>
      <c r="FJ144" s="278"/>
      <c r="FK144" s="43"/>
      <c r="FL144" s="43"/>
      <c r="FM144" s="47"/>
      <c r="FN144" s="47"/>
      <c r="FO144" s="47"/>
      <c r="FP144" s="47"/>
      <c r="FQ144" s="47"/>
      <c r="FR144" s="49"/>
      <c r="FS144" s="49"/>
      <c r="FT144" s="49"/>
      <c r="FU144" s="49"/>
      <c r="FV144" s="49"/>
      <c r="FW144" s="49"/>
      <c r="FX144" s="49"/>
      <c r="FY144" s="32"/>
      <c r="FZ144" s="32"/>
      <c r="GA144" s="32"/>
      <c r="GB144" s="32"/>
      <c r="GC144" s="32"/>
      <c r="GD144" s="32"/>
      <c r="GE144" s="32"/>
      <c r="GF144" s="32"/>
      <c r="GG144" s="32"/>
      <c r="GH144" s="32"/>
      <c r="GI144" s="32"/>
      <c r="GJ144" s="32"/>
      <c r="GK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49"/>
      <c r="HO144" s="49"/>
      <c r="HP144" s="49"/>
      <c r="HQ144" s="13"/>
      <c r="HR144" s="13"/>
      <c r="HS144" s="13"/>
      <c r="HT144" s="13"/>
      <c r="HU144" s="13"/>
      <c r="HV144" s="13"/>
      <c r="HW144" s="13"/>
      <c r="HX144" s="13"/>
      <c r="HY144" s="13"/>
      <c r="HZ144" s="13"/>
      <c r="IA144" s="13"/>
    </row>
    <row r="145" spans="1:235" ht="3.75" customHeight="1">
      <c r="A145" s="1"/>
      <c r="B145" s="3"/>
      <c r="C145" s="3"/>
      <c r="D145" s="333"/>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78"/>
      <c r="AE145" s="278"/>
      <c r="AF145" s="278"/>
      <c r="AG145" s="278"/>
      <c r="AH145" s="278"/>
      <c r="AI145" s="43"/>
      <c r="AJ145" s="43"/>
      <c r="AK145" s="43"/>
      <c r="AL145" s="43"/>
      <c r="AM145" s="43"/>
      <c r="AN145" s="43"/>
      <c r="AO145" s="43"/>
      <c r="AP145" s="43"/>
      <c r="AQ145" s="43"/>
      <c r="AR145" s="43"/>
      <c r="AS145" s="43"/>
      <c r="AT145" s="43"/>
      <c r="AU145" s="43"/>
      <c r="AV145" s="43"/>
      <c r="AW145" s="43"/>
      <c r="AX145" s="43"/>
      <c r="AY145" s="43"/>
      <c r="AZ145" s="43"/>
      <c r="BA145" s="43"/>
      <c r="BB145" s="538" t="str">
        <f ca="1">IF(FO134=0,"",".")</f>
        <v/>
      </c>
      <c r="BC145" s="538"/>
      <c r="BD145" s="538"/>
      <c r="BE145" s="538"/>
      <c r="BF145" s="538"/>
      <c r="BG145" s="538"/>
      <c r="BH145" s="538"/>
      <c r="BI145" s="538"/>
      <c r="BJ145" s="538"/>
      <c r="BK145" s="538"/>
      <c r="BL145" s="538"/>
      <c r="BM145" s="538"/>
      <c r="BN145" s="538"/>
      <c r="BO145" s="538"/>
      <c r="BP145" s="538"/>
      <c r="BQ145" s="538"/>
      <c r="BR145" s="538"/>
      <c r="BS145" s="538"/>
      <c r="BT145" s="538"/>
      <c r="BU145" s="538"/>
      <c r="BV145" s="538"/>
      <c r="BW145" s="538"/>
      <c r="BX145" s="538"/>
      <c r="BY145" s="538"/>
      <c r="BZ145" s="538"/>
      <c r="CA145" s="538"/>
      <c r="CB145" s="538"/>
      <c r="CC145" s="538"/>
      <c r="CD145" s="538"/>
      <c r="CE145" s="538"/>
      <c r="CF145" s="278"/>
      <c r="CG145" s="55"/>
      <c r="CH145" s="55"/>
      <c r="CI145" s="55"/>
      <c r="CJ145" s="55"/>
      <c r="CK145" s="55"/>
      <c r="CL145" s="55"/>
      <c r="CM145" s="55"/>
      <c r="CN145" s="55"/>
      <c r="CO145" s="55"/>
      <c r="CP145" s="55"/>
      <c r="CQ145" s="55"/>
      <c r="CR145" s="55"/>
      <c r="CS145" s="55"/>
      <c r="CT145" s="55"/>
      <c r="CU145" s="55"/>
      <c r="CV145" s="55"/>
      <c r="CW145" s="55"/>
      <c r="CX145" s="55"/>
      <c r="CY145" s="55"/>
      <c r="CZ145" s="55"/>
      <c r="DA145" s="55"/>
      <c r="DB145" s="55"/>
      <c r="DC145" s="55"/>
      <c r="DD145" s="55"/>
      <c r="DE145" s="55"/>
      <c r="DF145" s="55"/>
      <c r="DG145" s="217"/>
      <c r="DH145" s="217"/>
      <c r="DI145" s="217"/>
      <c r="DJ145" s="217"/>
      <c r="DK145" s="217"/>
      <c r="DL145" s="217"/>
      <c r="DM145" s="217"/>
      <c r="DN145" s="217"/>
      <c r="DO145" s="217"/>
      <c r="DP145" s="217"/>
      <c r="DQ145" s="217"/>
      <c r="DR145" s="217"/>
      <c r="DS145" s="217"/>
      <c r="DT145" s="217"/>
      <c r="DU145" s="217"/>
      <c r="DV145" s="217"/>
      <c r="DW145" s="217"/>
      <c r="DX145" s="217"/>
      <c r="DY145" s="217"/>
      <c r="DZ145" s="217"/>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278"/>
      <c r="FE145" s="278"/>
      <c r="FF145" s="278"/>
      <c r="FG145" s="278"/>
      <c r="FH145" s="278"/>
      <c r="FI145" s="278"/>
      <c r="FJ145" s="278"/>
      <c r="FK145" s="43"/>
      <c r="FL145" s="43"/>
      <c r="FM145" s="47"/>
      <c r="FN145" s="47"/>
      <c r="FO145" s="47"/>
      <c r="FP145" s="47"/>
      <c r="FQ145" s="47"/>
      <c r="FR145" s="49"/>
      <c r="FS145" s="49"/>
      <c r="FT145" s="49"/>
      <c r="FU145" s="49"/>
      <c r="FV145" s="49"/>
      <c r="FW145" s="49"/>
      <c r="FX145" s="49"/>
      <c r="FY145" s="32"/>
      <c r="FZ145" s="32"/>
      <c r="GA145" s="32"/>
      <c r="GB145" s="32"/>
      <c r="GC145" s="32"/>
      <c r="GD145" s="32"/>
      <c r="GE145" s="32"/>
      <c r="GF145" s="32"/>
      <c r="GG145" s="32"/>
      <c r="GH145" s="32"/>
      <c r="GI145" s="32"/>
      <c r="GJ145" s="32"/>
      <c r="GK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49"/>
      <c r="HO145" s="49"/>
      <c r="HP145" s="49"/>
      <c r="HQ145" s="13"/>
      <c r="HR145" s="13"/>
      <c r="HS145" s="13"/>
      <c r="HT145" s="13"/>
      <c r="HU145" s="13"/>
      <c r="HV145" s="13"/>
      <c r="HW145" s="13"/>
      <c r="HX145" s="13"/>
      <c r="HY145" s="13"/>
      <c r="HZ145" s="13"/>
      <c r="IA145" s="13"/>
    </row>
    <row r="146" spans="1:235" ht="16.5" customHeight="1">
      <c r="A146" s="1"/>
      <c r="B146" s="476"/>
      <c r="C146" s="3"/>
      <c r="D146" s="43"/>
      <c r="E146" s="278"/>
      <c r="F146" s="278"/>
      <c r="G146" s="278"/>
      <c r="H146" s="278"/>
      <c r="I146" s="278"/>
      <c r="J146" s="43"/>
      <c r="K146" s="278"/>
      <c r="L146" s="278"/>
      <c r="M146" s="278"/>
      <c r="N146" s="278"/>
      <c r="O146" s="278"/>
      <c r="P146" s="278"/>
      <c r="Q146" s="278"/>
      <c r="R146" s="278"/>
      <c r="S146" s="278"/>
      <c r="T146" s="278"/>
      <c r="U146" s="278"/>
      <c r="V146" s="278"/>
      <c r="W146" s="278"/>
      <c r="X146" s="278"/>
      <c r="Y146" s="278"/>
      <c r="Z146" s="278"/>
      <c r="AA146" s="278"/>
      <c r="AB146" s="278"/>
      <c r="AC146" s="278"/>
      <c r="AD146" s="278"/>
      <c r="AE146" s="278"/>
      <c r="AF146" s="278"/>
      <c r="AG146" s="278"/>
      <c r="AH146" s="278"/>
      <c r="AI146" s="43"/>
      <c r="AJ146" s="43"/>
      <c r="AK146" s="43"/>
      <c r="AL146" s="43"/>
      <c r="AM146" s="43"/>
      <c r="AN146" s="43"/>
      <c r="AO146" s="43"/>
      <c r="AP146" s="43"/>
      <c r="AQ146" s="43"/>
      <c r="AR146" s="43"/>
      <c r="AS146" s="43"/>
      <c r="AT146" s="43"/>
      <c r="AU146" s="43"/>
      <c r="AV146" s="43"/>
      <c r="AW146" s="43"/>
      <c r="AX146" s="43"/>
      <c r="AY146" s="43"/>
      <c r="AZ146" s="184" t="str">
        <f ca="1">IF(FO134=0,"","De aangeboden hoeveelheid is:")</f>
        <v/>
      </c>
      <c r="BA146" s="43"/>
      <c r="BB146" s="327" t="str">
        <f ca="1">IF(FO134=0,"",".")</f>
        <v/>
      </c>
      <c r="BC146" s="702"/>
      <c r="BD146" s="702"/>
      <c r="BE146" s="702"/>
      <c r="BF146" s="702"/>
      <c r="BG146" s="702"/>
      <c r="BH146" s="702"/>
      <c r="BI146" s="702"/>
      <c r="BJ146" s="702"/>
      <c r="BK146" s="702"/>
      <c r="BL146" s="702"/>
      <c r="BM146" s="702"/>
      <c r="BN146" s="702"/>
      <c r="BO146" s="702"/>
      <c r="BP146" s="702"/>
      <c r="BQ146" s="702"/>
      <c r="BR146" s="702"/>
      <c r="BS146" s="702"/>
      <c r="BT146" s="702"/>
      <c r="BU146" s="702"/>
      <c r="BV146" s="702"/>
      <c r="BW146" s="702"/>
      <c r="BX146" s="702"/>
      <c r="BY146" s="702"/>
      <c r="BZ146" s="702"/>
      <c r="CA146" s="702"/>
      <c r="CB146" s="702"/>
      <c r="CC146" s="702"/>
      <c r="CD146" s="702"/>
      <c r="CE146" s="226" t="str">
        <f ca="1">IF(FO134=0,"",".")</f>
        <v/>
      </c>
      <c r="CF146" s="278"/>
      <c r="CG146" s="186" t="str">
        <f ca="1">IF(FO134=0,"",IF(BC146="","",IF(AND(programma!$A$301="uitwerking",$B146="X"),FM146,IF(AND(BC146&gt;FP146-0.00001,BC146&lt;FP146+0.00001),"Goed!",IF(AND(BC146&gt;=FP146-0.1,BC146&lt;=FP146+0.1),"Je hebt niet goed afgerond!",IF(AND(BC146&gt;=FQ146-0.1,BC146&lt;=FQ146+0.1),"Je hebt niet goed afgerond!",IF(BC146=ROUND((FQ142+FS142)/(FP142+FR142),0),"Fout! Je hebt de prijzen opgeteld in plaats van afgetrokken.","Fout! Probeer het opnieuw.")))))))</f>
        <v/>
      </c>
      <c r="CH146" s="55"/>
      <c r="CI146" s="55"/>
      <c r="CJ146" s="55"/>
      <c r="CK146" s="55"/>
      <c r="CL146" s="55"/>
      <c r="CM146" s="55"/>
      <c r="CN146" s="55"/>
      <c r="CO146" s="55"/>
      <c r="CP146" s="55"/>
      <c r="CQ146" s="55"/>
      <c r="CR146" s="55"/>
      <c r="CS146" s="55"/>
      <c r="CT146" s="55"/>
      <c r="CU146" s="55"/>
      <c r="CV146" s="55"/>
      <c r="CW146" s="55"/>
      <c r="CX146" s="55"/>
      <c r="CY146" s="55"/>
      <c r="CZ146" s="55"/>
      <c r="DA146" s="55"/>
      <c r="DB146" s="55"/>
      <c r="DC146" s="55"/>
      <c r="DD146" s="55"/>
      <c r="DE146" s="55"/>
      <c r="DF146" s="55"/>
      <c r="DG146" s="217"/>
      <c r="DH146" s="217"/>
      <c r="DI146" s="217"/>
      <c r="DJ146" s="217"/>
      <c r="DK146" s="217"/>
      <c r="DL146" s="217"/>
      <c r="DM146" s="217"/>
      <c r="DN146" s="217"/>
      <c r="DO146" s="217"/>
      <c r="DP146" s="217"/>
      <c r="DQ146" s="217"/>
      <c r="DR146" s="217"/>
      <c r="DS146" s="217"/>
      <c r="DT146" s="217"/>
      <c r="DU146" s="217"/>
      <c r="DV146" s="217"/>
      <c r="DW146" s="217"/>
      <c r="DX146" s="217"/>
      <c r="DY146" s="217"/>
      <c r="DZ146" s="217"/>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278"/>
      <c r="FE146" s="278"/>
      <c r="FF146" s="278"/>
      <c r="FG146" s="278"/>
      <c r="FH146" s="278"/>
      <c r="FI146" s="278"/>
      <c r="FJ146" s="278"/>
      <c r="FK146" s="43"/>
      <c r="FL146" s="43"/>
      <c r="FM146" s="48" t="str">
        <f ca="1">"MO = MK dus -"&amp;2*FP91&amp;"q + "&amp;FQ91&amp;" = "&amp;FQ93&amp;" dus q = "&amp;FQ91-FQ93&amp;" / "&amp;2*FP91&amp;" wordt "&amp;FP146</f>
        <v>MO = MK dus -4q + 1600 = 36 dus q = 1564 / 4 wordt 391</v>
      </c>
      <c r="FN146" s="47"/>
      <c r="FO146" s="48">
        <f ca="1">IF(programma!B1="X",1,IF(FO134=0,0,IF(AND(BC146&gt;FP146-0.00001,BC146&lt;FP146+0.00001),1,IF(AND(BC146&gt;FQ146-0.00001,BC146&lt;FQ146+0.00001),1,0))))</f>
        <v>0</v>
      </c>
      <c r="FP146" s="48">
        <f ca="1">IF(FO1=0,"",ROUND((FQ142-FS142)/(FP142+FR142),0))</f>
        <v>391</v>
      </c>
      <c r="FQ146" s="93"/>
      <c r="FR146" s="49"/>
      <c r="FS146" s="49"/>
      <c r="FT146" s="49"/>
      <c r="FU146" s="49"/>
      <c r="FV146" s="49"/>
      <c r="FW146" s="49"/>
      <c r="FX146" s="49"/>
      <c r="FY146" s="32"/>
      <c r="FZ146" s="32"/>
      <c r="GA146" s="32"/>
      <c r="GB146" s="32"/>
      <c r="GC146" s="32"/>
      <c r="GD146" s="32"/>
      <c r="GE146" s="32"/>
      <c r="GF146" s="32"/>
      <c r="GG146" s="32"/>
      <c r="GH146" s="32"/>
      <c r="GI146" s="32"/>
      <c r="GJ146" s="32"/>
      <c r="GK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49"/>
      <c r="HO146" s="49"/>
      <c r="HP146" s="49"/>
      <c r="HQ146" s="13"/>
      <c r="HR146" s="13"/>
      <c r="HS146" s="13"/>
      <c r="HT146" s="13"/>
      <c r="HU146" s="13"/>
      <c r="HV146" s="13"/>
      <c r="HW146" s="13"/>
      <c r="HX146" s="13"/>
      <c r="HY146" s="13"/>
      <c r="HZ146" s="13"/>
      <c r="IA146" s="13"/>
    </row>
    <row r="147" spans="1:235" ht="3.75" customHeight="1">
      <c r="A147" s="1"/>
      <c r="B147" s="3"/>
      <c r="C147" s="3"/>
      <c r="D147" s="333"/>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78"/>
      <c r="AE147" s="278"/>
      <c r="AF147" s="278"/>
      <c r="AG147" s="278"/>
      <c r="AH147" s="278"/>
      <c r="AI147" s="43"/>
      <c r="AJ147" s="43"/>
      <c r="AK147" s="43"/>
      <c r="AL147" s="43"/>
      <c r="AM147" s="43"/>
      <c r="AN147" s="43"/>
      <c r="AO147" s="43"/>
      <c r="AP147" s="43"/>
      <c r="AQ147" s="43"/>
      <c r="AR147" s="43"/>
      <c r="AS147" s="43"/>
      <c r="AT147" s="43"/>
      <c r="AU147" s="43"/>
      <c r="AV147" s="43"/>
      <c r="AW147" s="43"/>
      <c r="AX147" s="43"/>
      <c r="AY147" s="43"/>
      <c r="AZ147" s="43"/>
      <c r="BA147" s="43"/>
      <c r="BB147" s="538" t="str">
        <f ca="1">IF(FO134=0,"",".")</f>
        <v/>
      </c>
      <c r="BC147" s="538"/>
      <c r="BD147" s="538"/>
      <c r="BE147" s="538"/>
      <c r="BF147" s="538"/>
      <c r="BG147" s="538"/>
      <c r="BH147" s="538"/>
      <c r="BI147" s="538"/>
      <c r="BJ147" s="538"/>
      <c r="BK147" s="538"/>
      <c r="BL147" s="538"/>
      <c r="BM147" s="538"/>
      <c r="BN147" s="538"/>
      <c r="BO147" s="538"/>
      <c r="BP147" s="538"/>
      <c r="BQ147" s="538"/>
      <c r="BR147" s="538"/>
      <c r="BS147" s="538"/>
      <c r="BT147" s="538"/>
      <c r="BU147" s="538"/>
      <c r="BV147" s="538"/>
      <c r="BW147" s="538"/>
      <c r="BX147" s="538"/>
      <c r="BY147" s="538"/>
      <c r="BZ147" s="538"/>
      <c r="CA147" s="538"/>
      <c r="CB147" s="538"/>
      <c r="CC147" s="538"/>
      <c r="CD147" s="538"/>
      <c r="CE147" s="538"/>
      <c r="CF147" s="278"/>
      <c r="CG147" s="278"/>
      <c r="CH147" s="278"/>
      <c r="CI147" s="278"/>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278"/>
      <c r="FE147" s="278"/>
      <c r="FF147" s="278"/>
      <c r="FG147" s="278"/>
      <c r="FH147" s="278"/>
      <c r="FI147" s="278"/>
      <c r="FJ147" s="278"/>
      <c r="FK147" s="43"/>
      <c r="FL147" s="43"/>
      <c r="FM147" s="47"/>
      <c r="FN147" s="47"/>
      <c r="FO147" s="47"/>
      <c r="FP147" s="47">
        <f>FR139-FP139*FQ139</f>
        <v>0</v>
      </c>
      <c r="FQ147" s="47"/>
      <c r="FR147" s="49"/>
      <c r="FS147" s="49"/>
      <c r="FT147" s="49"/>
      <c r="FU147" s="49"/>
      <c r="FV147" s="49"/>
      <c r="FW147" s="49"/>
      <c r="FX147" s="49"/>
      <c r="FY147" s="32"/>
      <c r="FZ147" s="32"/>
      <c r="GA147" s="32"/>
      <c r="GB147" s="32"/>
      <c r="GC147" s="32"/>
      <c r="GD147" s="32"/>
      <c r="GE147" s="32"/>
      <c r="GF147" s="32"/>
      <c r="GG147" s="32"/>
      <c r="GH147" s="32"/>
      <c r="GI147" s="32"/>
      <c r="GJ147" s="32"/>
      <c r="GK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49"/>
      <c r="HO147" s="49"/>
      <c r="HP147" s="49"/>
      <c r="HQ147" s="13"/>
      <c r="HR147" s="13"/>
      <c r="HS147" s="13"/>
      <c r="HT147" s="13"/>
      <c r="HU147" s="13"/>
      <c r="HV147" s="13"/>
      <c r="HW147" s="13"/>
      <c r="HX147" s="13"/>
      <c r="HY147" s="13"/>
      <c r="HZ147" s="13"/>
      <c r="IA147" s="13"/>
    </row>
    <row r="148" spans="1:235" ht="9.75" customHeight="1">
      <c r="A148" s="1"/>
      <c r="B148" s="3"/>
      <c r="C148" s="3"/>
      <c r="D148" s="333"/>
      <c r="E148" s="333"/>
      <c r="F148" s="278"/>
      <c r="G148" s="278"/>
      <c r="H148" s="278"/>
      <c r="I148" s="278"/>
      <c r="J148" s="278"/>
      <c r="K148" s="278"/>
      <c r="L148" s="278"/>
      <c r="M148" s="278"/>
      <c r="N148" s="278"/>
      <c r="O148" s="278"/>
      <c r="P148" s="278"/>
      <c r="Q148" s="328"/>
      <c r="R148" s="328"/>
      <c r="S148" s="278"/>
      <c r="T148" s="172"/>
      <c r="U148" s="328"/>
      <c r="V148" s="278"/>
      <c r="W148" s="278"/>
      <c r="X148" s="278"/>
      <c r="Y148" s="278"/>
      <c r="Z148" s="278"/>
      <c r="AA148" s="278"/>
      <c r="AB148" s="278"/>
      <c r="AC148" s="278"/>
      <c r="AD148" s="328"/>
      <c r="AE148" s="328"/>
      <c r="AF148" s="278"/>
      <c r="AG148" s="172"/>
      <c r="AH148" s="328"/>
      <c r="AI148" s="328"/>
      <c r="AJ148" s="328"/>
      <c r="AK148" s="43"/>
      <c r="AL148" s="43"/>
      <c r="AM148" s="43"/>
      <c r="AN148" s="328"/>
      <c r="AO148" s="328"/>
      <c r="AP148" s="328"/>
      <c r="AQ148" s="328"/>
      <c r="AR148" s="328"/>
      <c r="AS148" s="328"/>
      <c r="AT148" s="328"/>
      <c r="AU148" s="328"/>
      <c r="AV148" s="328"/>
      <c r="AW148" s="328"/>
      <c r="AX148" s="328"/>
      <c r="AY148" s="328"/>
      <c r="AZ148" s="328"/>
      <c r="BA148" s="328"/>
      <c r="BB148" s="328"/>
      <c r="BC148" s="328"/>
      <c r="BD148" s="328"/>
      <c r="BE148" s="328"/>
      <c r="BF148" s="328"/>
      <c r="BG148" s="328"/>
      <c r="BH148" s="328"/>
      <c r="BI148" s="178"/>
      <c r="BJ148" s="178"/>
      <c r="BK148" s="337"/>
      <c r="BL148" s="328"/>
      <c r="BM148" s="328"/>
      <c r="BN148" s="328"/>
      <c r="BO148" s="172"/>
      <c r="BP148" s="172"/>
      <c r="BQ148" s="278"/>
      <c r="BR148" s="278"/>
      <c r="BS148" s="43"/>
      <c r="BT148" s="43"/>
      <c r="BU148" s="43"/>
      <c r="BV148" s="43"/>
      <c r="BW148" s="43"/>
      <c r="BX148" s="43"/>
      <c r="BY148" s="43"/>
      <c r="BZ148" s="43"/>
      <c r="CA148" s="43"/>
      <c r="CB148" s="43"/>
      <c r="CC148" s="43"/>
      <c r="CD148" s="43"/>
      <c r="CE148" s="43"/>
      <c r="CF148" s="43"/>
      <c r="CG148" s="43"/>
      <c r="CH148" s="43"/>
      <c r="CI148" s="43"/>
      <c r="CJ148" s="43"/>
      <c r="CK148" s="278"/>
      <c r="CL148" s="278"/>
      <c r="CM148" s="278"/>
      <c r="CN148" s="328"/>
      <c r="CO148" s="328"/>
      <c r="CP148" s="278"/>
      <c r="CQ148" s="172"/>
      <c r="CR148" s="328"/>
      <c r="CS148" s="328"/>
      <c r="CT148" s="328"/>
      <c r="CU148" s="43"/>
      <c r="CV148" s="43"/>
      <c r="CW148" s="43"/>
      <c r="CX148" s="43"/>
      <c r="CY148" s="43"/>
      <c r="CZ148" s="43"/>
      <c r="DA148" s="43"/>
      <c r="DB148" s="106"/>
      <c r="DC148" s="106"/>
      <c r="DD148" s="278"/>
      <c r="DE148" s="278"/>
      <c r="DF148" s="278"/>
      <c r="DG148" s="278"/>
      <c r="DH148" s="278"/>
      <c r="DI148" s="278"/>
      <c r="DJ148" s="278"/>
      <c r="DK148" s="278"/>
      <c r="DL148" s="278"/>
      <c r="DM148" s="278"/>
      <c r="DN148" s="278"/>
      <c r="DO148" s="278"/>
      <c r="DP148" s="278"/>
      <c r="DQ148" s="278"/>
      <c r="DR148" s="278"/>
      <c r="DS148" s="278"/>
      <c r="DT148" s="278"/>
      <c r="DU148" s="278"/>
      <c r="DV148" s="328"/>
      <c r="DW148" s="328"/>
      <c r="DX148" s="328"/>
      <c r="DY148" s="172"/>
      <c r="DZ148" s="172"/>
      <c r="EA148" s="278"/>
      <c r="EB148" s="278"/>
      <c r="EC148" s="337"/>
      <c r="ED148" s="337"/>
      <c r="EE148" s="337"/>
      <c r="EF148" s="337"/>
      <c r="EG148" s="337"/>
      <c r="EH148" s="337"/>
      <c r="EI148" s="337"/>
      <c r="EJ148" s="337"/>
      <c r="EK148" s="337"/>
      <c r="EL148" s="337"/>
      <c r="EM148" s="337"/>
      <c r="EN148" s="337"/>
      <c r="EO148" s="337"/>
      <c r="EP148" s="337"/>
      <c r="EQ148" s="337"/>
      <c r="ER148" s="337"/>
      <c r="ES148" s="337"/>
      <c r="ET148" s="337"/>
      <c r="EU148" s="328"/>
      <c r="EV148" s="278"/>
      <c r="EW148" s="278"/>
      <c r="EX148" s="278"/>
      <c r="EY148" s="278"/>
      <c r="EZ148" s="278"/>
      <c r="FA148" s="278"/>
      <c r="FB148" s="278"/>
      <c r="FC148" s="278"/>
      <c r="FD148" s="278"/>
      <c r="FE148" s="278"/>
      <c r="FF148" s="278"/>
      <c r="FG148" s="278"/>
      <c r="FH148" s="43"/>
      <c r="FI148" s="43"/>
      <c r="FJ148" s="43"/>
      <c r="FK148" s="43"/>
      <c r="FL148" s="278"/>
      <c r="FM148" s="183"/>
      <c r="FN148" s="183"/>
      <c r="FO148" s="185"/>
      <c r="FP148" s="183"/>
      <c r="FQ148" s="183"/>
      <c r="FR148" s="49"/>
      <c r="FS148" s="49"/>
      <c r="FT148" s="49"/>
      <c r="FU148" s="49"/>
      <c r="FV148" s="49"/>
      <c r="FW148" s="49"/>
      <c r="FX148" s="49"/>
      <c r="FY148" s="32"/>
      <c r="FZ148" s="32"/>
      <c r="GA148" s="32"/>
      <c r="GB148" s="32"/>
      <c r="GC148" s="32"/>
      <c r="GD148" s="32"/>
      <c r="GE148" s="32"/>
      <c r="GF148" s="32"/>
      <c r="GG148" s="32"/>
      <c r="GH148" s="32"/>
      <c r="GI148" s="32"/>
      <c r="GJ148" s="32"/>
      <c r="GK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78"/>
      <c r="HO148" s="78"/>
      <c r="HP148" s="78"/>
      <c r="HQ148" s="13"/>
      <c r="HR148" s="13"/>
      <c r="HS148" s="13"/>
      <c r="HT148" s="13"/>
      <c r="HU148" s="13"/>
      <c r="HV148" s="13"/>
      <c r="HW148" s="13"/>
      <c r="HX148" s="13"/>
      <c r="HY148" s="13"/>
      <c r="HZ148" s="13"/>
      <c r="IA148" s="13"/>
    </row>
    <row r="149" spans="1:235" ht="16.5" customHeight="1">
      <c r="A149" s="1"/>
      <c r="B149" s="3"/>
      <c r="C149" s="3"/>
      <c r="D149" s="124" t="str">
        <f ca="1">IF(FO146=0,"","Hoeveel is dan de prijs? Rond het antwoord af op eurocenten.")</f>
        <v/>
      </c>
      <c r="E149" s="333"/>
      <c r="F149" s="333"/>
      <c r="G149" s="333"/>
      <c r="H149" s="333"/>
      <c r="I149" s="333"/>
      <c r="J149" s="278"/>
      <c r="K149" s="278"/>
      <c r="L149" s="278"/>
      <c r="M149" s="278"/>
      <c r="N149" s="278"/>
      <c r="O149" s="278"/>
      <c r="P149" s="278"/>
      <c r="Q149" s="278"/>
      <c r="R149" s="278"/>
      <c r="S149" s="278"/>
      <c r="T149" s="278"/>
      <c r="U149" s="278"/>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278"/>
      <c r="CQ149" s="278"/>
      <c r="CR149" s="278"/>
      <c r="CS149" s="278"/>
      <c r="CT149" s="278"/>
      <c r="CU149" s="278"/>
      <c r="CV149" s="278"/>
      <c r="CW149" s="278"/>
      <c r="CX149" s="278"/>
      <c r="CY149" s="278"/>
      <c r="CZ149" s="278"/>
      <c r="DA149" s="278"/>
      <c r="DB149" s="278"/>
      <c r="DC149" s="278"/>
      <c r="DD149" s="278"/>
      <c r="DE149" s="278"/>
      <c r="DF149" s="278"/>
      <c r="DG149" s="278"/>
      <c r="DH149" s="278"/>
      <c r="DI149" s="278"/>
      <c r="DJ149" s="278"/>
      <c r="DK149" s="278"/>
      <c r="DL149" s="278"/>
      <c r="DM149" s="278"/>
      <c r="DN149" s="278"/>
      <c r="DO149" s="278"/>
      <c r="DP149" s="278"/>
      <c r="DQ149" s="278"/>
      <c r="DR149" s="278"/>
      <c r="DS149" s="278"/>
      <c r="DT149" s="278"/>
      <c r="DU149" s="278"/>
      <c r="DV149" s="278"/>
      <c r="DW149" s="278"/>
      <c r="DX149" s="278"/>
      <c r="DY149" s="278"/>
      <c r="DZ149" s="278"/>
      <c r="EA149" s="278"/>
      <c r="EB149" s="278"/>
      <c r="EC149" s="278"/>
      <c r="ED149" s="278"/>
      <c r="EE149" s="278"/>
      <c r="EF149" s="278"/>
      <c r="EG149" s="278"/>
      <c r="EH149" s="278"/>
      <c r="EI149" s="278"/>
      <c r="EJ149" s="278"/>
      <c r="EK149" s="278"/>
      <c r="EL149" s="278"/>
      <c r="EM149" s="278"/>
      <c r="EN149" s="278"/>
      <c r="EO149" s="278"/>
      <c r="EP149" s="278"/>
      <c r="EQ149" s="278"/>
      <c r="ER149" s="278"/>
      <c r="ES149" s="278"/>
      <c r="ET149" s="278"/>
      <c r="EU149" s="278"/>
      <c r="EV149" s="278"/>
      <c r="EW149" s="278"/>
      <c r="EX149" s="278"/>
      <c r="EY149" s="278"/>
      <c r="EZ149" s="278"/>
      <c r="FA149" s="43"/>
      <c r="FB149" s="43"/>
      <c r="FC149" s="43"/>
      <c r="FD149" s="43"/>
      <c r="FE149" s="43"/>
      <c r="FF149" s="43"/>
      <c r="FG149" s="43"/>
      <c r="FH149" s="43"/>
      <c r="FI149" s="43"/>
      <c r="FJ149" s="43"/>
      <c r="FK149" s="43"/>
      <c r="FL149" s="43"/>
      <c r="FM149" s="338"/>
      <c r="FN149" s="78"/>
      <c r="FO149" s="78"/>
      <c r="FP149" s="78"/>
      <c r="FQ149" s="78"/>
      <c r="FR149" s="78"/>
      <c r="FS149" s="78"/>
      <c r="FT149" s="78"/>
      <c r="FU149" s="78"/>
      <c r="FV149" s="78"/>
      <c r="FW149" s="78"/>
      <c r="FX149" s="78"/>
      <c r="FY149" s="32"/>
      <c r="FZ149" s="32"/>
      <c r="GA149" s="32"/>
      <c r="GB149" s="32"/>
      <c r="GC149" s="32"/>
      <c r="GD149" s="32"/>
      <c r="GE149" s="32"/>
      <c r="GF149" s="32"/>
      <c r="GG149" s="32"/>
      <c r="GH149" s="32"/>
      <c r="GI149" s="32"/>
      <c r="GJ149" s="32"/>
      <c r="GK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78"/>
      <c r="HO149" s="78"/>
      <c r="HP149" s="78"/>
      <c r="HQ149" s="13"/>
      <c r="HR149" s="13"/>
      <c r="HS149" s="13"/>
      <c r="HT149" s="13"/>
      <c r="HU149" s="13"/>
      <c r="HV149" s="13"/>
      <c r="HW149" s="13"/>
      <c r="HX149" s="13"/>
      <c r="HY149" s="13"/>
      <c r="HZ149" s="13"/>
      <c r="IA149" s="13"/>
    </row>
    <row r="150" spans="1:235" ht="7.5" customHeight="1">
      <c r="A150" s="1"/>
      <c r="B150" s="3"/>
      <c r="C150" s="3"/>
      <c r="D150" s="333"/>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278"/>
      <c r="AF150" s="278"/>
      <c r="AG150" s="278"/>
      <c r="AH150" s="278"/>
      <c r="AI150" s="278"/>
      <c r="AJ150" s="278"/>
      <c r="AK150" s="278"/>
      <c r="AL150" s="278"/>
      <c r="AM150" s="278"/>
      <c r="AN150" s="278"/>
      <c r="AO150" s="278"/>
      <c r="AP150" s="278"/>
      <c r="AQ150" s="278"/>
      <c r="AR150" s="278"/>
      <c r="AS150" s="278"/>
      <c r="AT150" s="278"/>
      <c r="AU150" s="278"/>
      <c r="AV150" s="278"/>
      <c r="AW150" s="278"/>
      <c r="AX150" s="278"/>
      <c r="AY150" s="278"/>
      <c r="AZ150" s="278"/>
      <c r="BA150" s="278"/>
      <c r="BB150" s="278"/>
      <c r="BC150" s="278"/>
      <c r="BD150" s="278"/>
      <c r="BE150" s="278"/>
      <c r="BF150" s="278"/>
      <c r="BG150" s="278"/>
      <c r="BH150" s="278"/>
      <c r="BI150" s="278"/>
      <c r="BJ150" s="278"/>
      <c r="BK150" s="278"/>
      <c r="BL150" s="278"/>
      <c r="BM150" s="278"/>
      <c r="BN150" s="278"/>
      <c r="BO150" s="278"/>
      <c r="BP150" s="278"/>
      <c r="BQ150" s="278"/>
      <c r="BR150" s="278"/>
      <c r="BS150" s="278"/>
      <c r="BT150" s="278"/>
      <c r="BU150" s="278"/>
      <c r="BV150" s="278"/>
      <c r="BW150" s="278"/>
      <c r="BX150" s="278"/>
      <c r="BY150" s="278"/>
      <c r="BZ150" s="278"/>
      <c r="CA150" s="278"/>
      <c r="CB150" s="278"/>
      <c r="CC150" s="278"/>
      <c r="CD150" s="278"/>
      <c r="CE150" s="278"/>
      <c r="CF150" s="278"/>
      <c r="CG150" s="278"/>
      <c r="CH150" s="278"/>
      <c r="CI150" s="278"/>
      <c r="CJ150" s="278"/>
      <c r="CK150" s="278"/>
      <c r="CL150" s="278"/>
      <c r="CM150" s="278"/>
      <c r="CN150" s="278"/>
      <c r="CO150" s="278"/>
      <c r="CP150" s="278"/>
      <c r="CQ150" s="278"/>
      <c r="CR150" s="278"/>
      <c r="CS150" s="278"/>
      <c r="CT150" s="278"/>
      <c r="CU150" s="278"/>
      <c r="CV150" s="278"/>
      <c r="CW150" s="278"/>
      <c r="CX150" s="278"/>
      <c r="CY150" s="278"/>
      <c r="CZ150" s="278"/>
      <c r="DA150" s="278"/>
      <c r="DB150" s="278"/>
      <c r="DC150" s="278"/>
      <c r="DD150" s="278"/>
      <c r="DE150" s="278"/>
      <c r="DF150" s="278"/>
      <c r="DG150" s="278"/>
      <c r="DH150" s="278"/>
      <c r="DI150" s="278"/>
      <c r="DJ150" s="278"/>
      <c r="DK150" s="278"/>
      <c r="DL150" s="278"/>
      <c r="DM150" s="278"/>
      <c r="DN150" s="278"/>
      <c r="DO150" s="278"/>
      <c r="DP150" s="278"/>
      <c r="DQ150" s="278"/>
      <c r="DR150" s="278"/>
      <c r="DS150" s="278"/>
      <c r="DT150" s="278"/>
      <c r="DU150" s="278"/>
      <c r="DV150" s="278"/>
      <c r="DW150" s="278"/>
      <c r="DX150" s="278"/>
      <c r="DY150" s="278"/>
      <c r="DZ150" s="278"/>
      <c r="EA150" s="278"/>
      <c r="EB150" s="278"/>
      <c r="EC150" s="278"/>
      <c r="ED150" s="278"/>
      <c r="EE150" s="278"/>
      <c r="EF150" s="278"/>
      <c r="EG150" s="278"/>
      <c r="EH150" s="278"/>
      <c r="EI150" s="278"/>
      <c r="EJ150" s="278"/>
      <c r="EK150" s="278"/>
      <c r="EL150" s="278"/>
      <c r="EM150" s="278"/>
      <c r="EN150" s="278"/>
      <c r="EO150" s="278"/>
      <c r="EP150" s="278"/>
      <c r="EQ150" s="278"/>
      <c r="ER150" s="278"/>
      <c r="ES150" s="278"/>
      <c r="ET150" s="278"/>
      <c r="EU150" s="278"/>
      <c r="EV150" s="278"/>
      <c r="EW150" s="278"/>
      <c r="EX150" s="278"/>
      <c r="EY150" s="278"/>
      <c r="EZ150" s="278"/>
      <c r="FA150" s="278"/>
      <c r="FB150" s="278"/>
      <c r="FC150" s="278"/>
      <c r="FD150" s="278"/>
      <c r="FE150" s="278"/>
      <c r="FF150" s="278"/>
      <c r="FG150" s="278"/>
      <c r="FH150" s="278"/>
      <c r="FI150" s="278"/>
      <c r="FJ150" s="278"/>
      <c r="FK150" s="43"/>
      <c r="FL150" s="43"/>
      <c r="FM150" s="47"/>
      <c r="FN150" s="47"/>
      <c r="FO150" s="47"/>
      <c r="FP150" s="47"/>
      <c r="FQ150" s="47"/>
      <c r="FR150" s="49"/>
      <c r="FS150" s="49"/>
      <c r="FT150" s="49"/>
      <c r="FU150" s="49"/>
      <c r="FV150" s="49"/>
      <c r="FW150" s="49"/>
      <c r="FX150" s="49"/>
      <c r="FY150" s="32"/>
      <c r="FZ150" s="32"/>
      <c r="GA150" s="32"/>
      <c r="GB150" s="32"/>
      <c r="GC150" s="32"/>
      <c r="GD150" s="32"/>
      <c r="GE150" s="32"/>
      <c r="GF150" s="32"/>
      <c r="GG150" s="32"/>
      <c r="GH150" s="32"/>
      <c r="GI150" s="32"/>
      <c r="GJ150" s="32"/>
      <c r="GK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49"/>
      <c r="HO150" s="49"/>
      <c r="HP150" s="49"/>
      <c r="HQ150" s="13"/>
      <c r="HR150" s="13"/>
      <c r="HS150" s="13"/>
      <c r="HT150" s="13"/>
      <c r="HU150" s="13"/>
      <c r="HV150" s="13"/>
      <c r="HW150" s="13"/>
      <c r="HX150" s="13"/>
      <c r="HY150" s="13"/>
      <c r="HZ150" s="13"/>
      <c r="IA150" s="13"/>
    </row>
    <row r="151" spans="1:235" ht="3.75" customHeight="1">
      <c r="A151" s="1"/>
      <c r="B151" s="3"/>
      <c r="C151" s="3"/>
      <c r="D151" s="333"/>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78"/>
      <c r="AE151" s="278"/>
      <c r="AF151" s="278"/>
      <c r="AG151" s="278"/>
      <c r="AH151" s="278"/>
      <c r="AI151" s="43"/>
      <c r="AJ151" s="43"/>
      <c r="AK151" s="43"/>
      <c r="AL151" s="43"/>
      <c r="AM151" s="43"/>
      <c r="AN151" s="43"/>
      <c r="AO151" s="43"/>
      <c r="AP151" s="43"/>
      <c r="AQ151" s="43"/>
      <c r="AR151" s="43"/>
      <c r="AS151" s="43"/>
      <c r="AT151" s="43"/>
      <c r="AU151" s="43"/>
      <c r="AV151" s="43"/>
      <c r="AW151" s="43"/>
      <c r="AX151" s="43"/>
      <c r="AY151" s="43"/>
      <c r="AZ151" s="43"/>
      <c r="BA151" s="43"/>
      <c r="BB151" s="538" t="str">
        <f ca="1">IF(FO146=0,"",".")</f>
        <v/>
      </c>
      <c r="BC151" s="538"/>
      <c r="BD151" s="538"/>
      <c r="BE151" s="538"/>
      <c r="BF151" s="538"/>
      <c r="BG151" s="538"/>
      <c r="BH151" s="538"/>
      <c r="BI151" s="538"/>
      <c r="BJ151" s="538"/>
      <c r="BK151" s="538"/>
      <c r="BL151" s="538"/>
      <c r="BM151" s="538"/>
      <c r="BN151" s="538"/>
      <c r="BO151" s="538"/>
      <c r="BP151" s="538"/>
      <c r="BQ151" s="538"/>
      <c r="BR151" s="538"/>
      <c r="BS151" s="538"/>
      <c r="BT151" s="538"/>
      <c r="BU151" s="538"/>
      <c r="BV151" s="538"/>
      <c r="BW151" s="538"/>
      <c r="BX151" s="538"/>
      <c r="BY151" s="538"/>
      <c r="BZ151" s="538"/>
      <c r="CA151" s="538"/>
      <c r="CB151" s="538"/>
      <c r="CC151" s="538"/>
      <c r="CD151" s="538"/>
      <c r="CE151" s="538"/>
      <c r="CF151" s="278"/>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217"/>
      <c r="DH151" s="217"/>
      <c r="DI151" s="217"/>
      <c r="DJ151" s="217"/>
      <c r="DK151" s="217"/>
      <c r="DL151" s="217"/>
      <c r="DM151" s="217"/>
      <c r="DN151" s="217"/>
      <c r="DO151" s="217"/>
      <c r="DP151" s="217"/>
      <c r="DQ151" s="217"/>
      <c r="DR151" s="217"/>
      <c r="DS151" s="217"/>
      <c r="DT151" s="217"/>
      <c r="DU151" s="217"/>
      <c r="DV151" s="217"/>
      <c r="DW151" s="217"/>
      <c r="DX151" s="217"/>
      <c r="DY151" s="217"/>
      <c r="DZ151" s="217"/>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278"/>
      <c r="FE151" s="278"/>
      <c r="FF151" s="278"/>
      <c r="FG151" s="278"/>
      <c r="FH151" s="278"/>
      <c r="FI151" s="278"/>
      <c r="FJ151" s="278"/>
      <c r="FK151" s="43"/>
      <c r="FL151" s="43"/>
      <c r="FM151" s="47"/>
      <c r="FN151" s="47"/>
      <c r="FO151" s="47"/>
      <c r="FP151" s="47"/>
      <c r="FQ151" s="47"/>
      <c r="FR151" s="49"/>
      <c r="FS151" s="49"/>
      <c r="FT151" s="49"/>
      <c r="FU151" s="49"/>
      <c r="FV151" s="49"/>
      <c r="FW151" s="49"/>
      <c r="FX151" s="49"/>
      <c r="FY151" s="32"/>
      <c r="FZ151" s="32"/>
      <c r="GA151" s="32"/>
      <c r="GB151" s="32"/>
      <c r="GC151" s="32"/>
      <c r="GD151" s="32"/>
      <c r="GE151" s="32"/>
      <c r="GF151" s="32"/>
      <c r="GG151" s="32"/>
      <c r="GH151" s="32"/>
      <c r="GI151" s="32"/>
      <c r="GJ151" s="32"/>
      <c r="GK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49"/>
      <c r="HO151" s="49"/>
      <c r="HP151" s="49"/>
      <c r="HQ151" s="13"/>
      <c r="HR151" s="13"/>
      <c r="HS151" s="13"/>
      <c r="HT151" s="13"/>
      <c r="HU151" s="13"/>
      <c r="HV151" s="13"/>
      <c r="HW151" s="13"/>
      <c r="HX151" s="13"/>
      <c r="HY151" s="13"/>
      <c r="HZ151" s="13"/>
      <c r="IA151" s="13"/>
    </row>
    <row r="152" spans="1:235" ht="16.5" customHeight="1">
      <c r="A152" s="1"/>
      <c r="B152" s="476"/>
      <c r="C152" s="3"/>
      <c r="D152" s="43"/>
      <c r="E152" s="278"/>
      <c r="F152" s="278"/>
      <c r="G152" s="278"/>
      <c r="H152" s="278"/>
      <c r="I152" s="278"/>
      <c r="J152" s="43"/>
      <c r="K152" s="278"/>
      <c r="L152" s="278"/>
      <c r="M152" s="278"/>
      <c r="N152" s="278"/>
      <c r="O152" s="278"/>
      <c r="P152" s="278"/>
      <c r="Q152" s="278"/>
      <c r="R152" s="278"/>
      <c r="S152" s="278"/>
      <c r="T152" s="278"/>
      <c r="U152" s="278"/>
      <c r="V152" s="278"/>
      <c r="W152" s="278"/>
      <c r="X152" s="278"/>
      <c r="Y152" s="278"/>
      <c r="Z152" s="278"/>
      <c r="AA152" s="278"/>
      <c r="AB152" s="278"/>
      <c r="AC152" s="278"/>
      <c r="AD152" s="278"/>
      <c r="AE152" s="278"/>
      <c r="AF152" s="278"/>
      <c r="AG152" s="278"/>
      <c r="AH152" s="278"/>
      <c r="AI152" s="43"/>
      <c r="AJ152" s="43"/>
      <c r="AK152" s="43"/>
      <c r="AL152" s="43"/>
      <c r="AM152" s="43"/>
      <c r="AN152" s="43"/>
      <c r="AO152" s="43"/>
      <c r="AP152" s="43"/>
      <c r="AQ152" s="43"/>
      <c r="AR152" s="43"/>
      <c r="AS152" s="43"/>
      <c r="AT152" s="43"/>
      <c r="AU152" s="43"/>
      <c r="AV152" s="43"/>
      <c r="AW152" s="43"/>
      <c r="AX152" s="43"/>
      <c r="AY152" s="43"/>
      <c r="AZ152" s="184" t="str">
        <f ca="1">IF(FO146=0,"","De prijs is:")</f>
        <v/>
      </c>
      <c r="BA152" s="43"/>
      <c r="BB152" s="327" t="str">
        <f ca="1">IF(FO146=0,"",".")</f>
        <v/>
      </c>
      <c r="BC152" s="698"/>
      <c r="BD152" s="698"/>
      <c r="BE152" s="698"/>
      <c r="BF152" s="698"/>
      <c r="BG152" s="698"/>
      <c r="BH152" s="698"/>
      <c r="BI152" s="698"/>
      <c r="BJ152" s="698"/>
      <c r="BK152" s="698"/>
      <c r="BL152" s="698"/>
      <c r="BM152" s="698"/>
      <c r="BN152" s="698"/>
      <c r="BO152" s="698"/>
      <c r="BP152" s="698"/>
      <c r="BQ152" s="698"/>
      <c r="BR152" s="698"/>
      <c r="BS152" s="698"/>
      <c r="BT152" s="698"/>
      <c r="BU152" s="698"/>
      <c r="BV152" s="698"/>
      <c r="BW152" s="698"/>
      <c r="BX152" s="698"/>
      <c r="BY152" s="698"/>
      <c r="BZ152" s="698"/>
      <c r="CA152" s="698"/>
      <c r="CB152" s="698"/>
      <c r="CC152" s="698"/>
      <c r="CD152" s="698"/>
      <c r="CE152" s="226" t="str">
        <f ca="1">IF(FO146=0,"",".")</f>
        <v/>
      </c>
      <c r="CF152" s="278"/>
      <c r="CG152" s="186" t="str">
        <f ca="1">IF(FO146=0,"",IF(BC152="","",IF(AND(programma!$A$301="uitwerking",$B152="X"),FM152,IF(AND(BC152&gt;FP152-0.00001,BC152&lt;FP152+0.00001),"Goed!",IF(AND(BC152&gt;=FP152-0.01,BC152&lt;=FP152+0.01),"Je hebt niet goed afgerond!",IF(BC152=FQ152,"Fout! Dit keer moet je het op de plek van de q invulllen.","Fout! Probeer het opnieuw."))))))</f>
        <v/>
      </c>
      <c r="CH152" s="55"/>
      <c r="CI152" s="55"/>
      <c r="CJ152" s="55"/>
      <c r="CK152" s="55"/>
      <c r="CL152" s="55"/>
      <c r="CM152" s="55"/>
      <c r="CN152" s="55"/>
      <c r="CO152" s="55"/>
      <c r="CP152" s="55"/>
      <c r="CQ152" s="55"/>
      <c r="CR152" s="55"/>
      <c r="CS152" s="55"/>
      <c r="CT152" s="55"/>
      <c r="CU152" s="55"/>
      <c r="CV152" s="55"/>
      <c r="CW152" s="55"/>
      <c r="CX152" s="55"/>
      <c r="CY152" s="55"/>
      <c r="CZ152" s="55"/>
      <c r="DA152" s="55"/>
      <c r="DB152" s="55"/>
      <c r="DC152" s="55"/>
      <c r="DD152" s="55"/>
      <c r="DE152" s="55"/>
      <c r="DF152" s="55"/>
      <c r="DG152" s="217"/>
      <c r="DH152" s="217"/>
      <c r="DI152" s="217"/>
      <c r="DJ152" s="217"/>
      <c r="DK152" s="217"/>
      <c r="DL152" s="217"/>
      <c r="DM152" s="217"/>
      <c r="DN152" s="217"/>
      <c r="DO152" s="217"/>
      <c r="DP152" s="217"/>
      <c r="DQ152" s="217"/>
      <c r="DR152" s="217"/>
      <c r="DS152" s="217"/>
      <c r="DT152" s="217"/>
      <c r="DU152" s="217"/>
      <c r="DV152" s="217"/>
      <c r="DW152" s="217"/>
      <c r="DX152" s="217"/>
      <c r="DY152" s="217"/>
      <c r="DZ152" s="217"/>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278"/>
      <c r="FE152" s="278"/>
      <c r="FF152" s="278"/>
      <c r="FG152" s="278"/>
      <c r="FH152" s="278"/>
      <c r="FI152" s="278"/>
      <c r="FJ152" s="278"/>
      <c r="FK152" s="43"/>
      <c r="FL152" s="43"/>
      <c r="FM152" s="48" t="str">
        <f ca="1">"GO = -"&amp;FP91&amp;" x "&amp;FP146&amp;" + "&amp;FQ91&amp;" = "&amp;FP152</f>
        <v>GO = -2 x 391 + 1600 = 818</v>
      </c>
      <c r="FN152" s="47"/>
      <c r="FO152" s="48">
        <f ca="1">IF(programma!B1="X",1,IF(FO146=0,0,IF(AND(BC152&gt;FP152-0.00001,BC152&lt;FP152+0.00001),1,0)))</f>
        <v>0</v>
      </c>
      <c r="FP152" s="48">
        <f ca="1">IF(FO1=0,"",ROUND((FQ91-FP146*FP91),2))</f>
        <v>818</v>
      </c>
      <c r="FQ152" s="48">
        <f ca="1">ROUND(((FQ91-FP146)/FP91),0)</f>
        <v>605</v>
      </c>
      <c r="FR152" s="49"/>
      <c r="FS152" s="49"/>
      <c r="FT152" s="49"/>
      <c r="FU152" s="49"/>
      <c r="FV152" s="49"/>
      <c r="FW152" s="49"/>
      <c r="FX152" s="49"/>
      <c r="FY152" s="32"/>
      <c r="FZ152" s="32"/>
      <c r="GA152" s="32"/>
      <c r="GB152" s="32"/>
      <c r="GC152" s="32"/>
      <c r="GD152" s="32"/>
      <c r="GE152" s="32"/>
      <c r="GF152" s="32"/>
      <c r="GG152" s="32"/>
      <c r="GH152" s="32"/>
      <c r="GI152" s="32"/>
      <c r="GJ152" s="32"/>
      <c r="GK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49"/>
      <c r="HO152" s="49"/>
      <c r="HP152" s="49"/>
      <c r="HQ152" s="13"/>
      <c r="HR152" s="13"/>
      <c r="HS152" s="13"/>
      <c r="HT152" s="13"/>
      <c r="HU152" s="13"/>
      <c r="HV152" s="13"/>
      <c r="HW152" s="13"/>
      <c r="HX152" s="13"/>
      <c r="HY152" s="13"/>
      <c r="HZ152" s="13"/>
      <c r="IA152" s="13"/>
    </row>
    <row r="153" spans="1:235" ht="3.75" customHeight="1">
      <c r="A153" s="1"/>
      <c r="B153" s="3"/>
      <c r="C153" s="3"/>
      <c r="D153" s="333"/>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278"/>
      <c r="AF153" s="278"/>
      <c r="AG153" s="278"/>
      <c r="AH153" s="278"/>
      <c r="AI153" s="43"/>
      <c r="AJ153" s="43"/>
      <c r="AK153" s="43"/>
      <c r="AL153" s="43"/>
      <c r="AM153" s="43"/>
      <c r="AN153" s="43"/>
      <c r="AO153" s="43"/>
      <c r="AP153" s="43"/>
      <c r="AQ153" s="43"/>
      <c r="AR153" s="43"/>
      <c r="AS153" s="43"/>
      <c r="AT153" s="43"/>
      <c r="AU153" s="43"/>
      <c r="AV153" s="43"/>
      <c r="AW153" s="43"/>
      <c r="AX153" s="43"/>
      <c r="AY153" s="43"/>
      <c r="AZ153" s="43"/>
      <c r="BA153" s="43"/>
      <c r="BB153" s="538" t="str">
        <f ca="1">IF(FO146=0,"",".")</f>
        <v/>
      </c>
      <c r="BC153" s="538"/>
      <c r="BD153" s="538"/>
      <c r="BE153" s="538"/>
      <c r="BF153" s="538"/>
      <c r="BG153" s="538"/>
      <c r="BH153" s="538"/>
      <c r="BI153" s="538"/>
      <c r="BJ153" s="538"/>
      <c r="BK153" s="538"/>
      <c r="BL153" s="538"/>
      <c r="BM153" s="538"/>
      <c r="BN153" s="538"/>
      <c r="BO153" s="538"/>
      <c r="BP153" s="538"/>
      <c r="BQ153" s="538"/>
      <c r="BR153" s="538"/>
      <c r="BS153" s="538"/>
      <c r="BT153" s="538"/>
      <c r="BU153" s="538"/>
      <c r="BV153" s="538"/>
      <c r="BW153" s="538"/>
      <c r="BX153" s="538"/>
      <c r="BY153" s="538"/>
      <c r="BZ153" s="538"/>
      <c r="CA153" s="538"/>
      <c r="CB153" s="538"/>
      <c r="CC153" s="538"/>
      <c r="CD153" s="538"/>
      <c r="CE153" s="538"/>
      <c r="CF153" s="278"/>
      <c r="CG153" s="278"/>
      <c r="CH153" s="278"/>
      <c r="CI153" s="278"/>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c r="EN153" s="43"/>
      <c r="EO153" s="43"/>
      <c r="EP153" s="43"/>
      <c r="EQ153" s="43"/>
      <c r="ER153" s="43"/>
      <c r="ES153" s="43"/>
      <c r="ET153" s="43"/>
      <c r="EU153" s="43"/>
      <c r="EV153" s="43"/>
      <c r="EW153" s="43"/>
      <c r="EX153" s="43"/>
      <c r="EY153" s="43"/>
      <c r="EZ153" s="43"/>
      <c r="FA153" s="43"/>
      <c r="FB153" s="43"/>
      <c r="FC153" s="43"/>
      <c r="FD153" s="278"/>
      <c r="FE153" s="278"/>
      <c r="FF153" s="278"/>
      <c r="FG153" s="278"/>
      <c r="FH153" s="278"/>
      <c r="FI153" s="278"/>
      <c r="FJ153" s="278"/>
      <c r="FK153" s="43"/>
      <c r="FL153" s="43"/>
      <c r="FM153" s="47"/>
      <c r="FN153" s="47"/>
      <c r="FO153" s="47"/>
      <c r="FP153" s="47"/>
      <c r="FQ153" s="47"/>
      <c r="FR153" s="49"/>
      <c r="FS153" s="49"/>
      <c r="FT153" s="49"/>
      <c r="FU153" s="49"/>
      <c r="FV153" s="49"/>
      <c r="FW153" s="49"/>
      <c r="FX153" s="49"/>
      <c r="FY153" s="32"/>
      <c r="FZ153" s="32"/>
      <c r="GA153" s="32"/>
      <c r="GB153" s="32"/>
      <c r="GC153" s="32"/>
      <c r="GD153" s="32"/>
      <c r="GE153" s="32"/>
      <c r="GF153" s="32"/>
      <c r="GG153" s="32"/>
      <c r="GH153" s="32"/>
      <c r="GI153" s="32"/>
      <c r="GJ153" s="32"/>
      <c r="GK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49"/>
      <c r="HO153" s="49"/>
      <c r="HP153" s="49"/>
      <c r="HQ153" s="13"/>
      <c r="HR153" s="13"/>
      <c r="HS153" s="13"/>
      <c r="HT153" s="13"/>
      <c r="HU153" s="13"/>
      <c r="HV153" s="13"/>
      <c r="HW153" s="13"/>
      <c r="HX153" s="13"/>
      <c r="HY153" s="13"/>
      <c r="HZ153" s="13"/>
      <c r="IA153" s="13"/>
    </row>
    <row r="154" spans="1:235" ht="11.25" customHeight="1">
      <c r="A154" s="1"/>
      <c r="B154" s="3"/>
      <c r="C154" s="3"/>
      <c r="D154" s="333"/>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78"/>
      <c r="AE154" s="278"/>
      <c r="AF154" s="278"/>
      <c r="AG154" s="278"/>
      <c r="AH154" s="278"/>
      <c r="AI154" s="43"/>
      <c r="AJ154" s="43"/>
      <c r="AK154" s="43"/>
      <c r="AL154" s="43"/>
      <c r="AM154" s="43"/>
      <c r="AN154" s="43"/>
      <c r="AO154" s="43"/>
      <c r="AP154" s="43"/>
      <c r="AQ154" s="43"/>
      <c r="AR154" s="43"/>
      <c r="AS154" s="43"/>
      <c r="AT154" s="43"/>
      <c r="AU154" s="43"/>
      <c r="AV154" s="43"/>
      <c r="AW154" s="43"/>
      <c r="AX154" s="43"/>
      <c r="AY154" s="43"/>
      <c r="AZ154" s="43"/>
      <c r="BA154" s="43"/>
      <c r="BB154" s="327"/>
      <c r="BC154" s="328"/>
      <c r="BD154" s="328"/>
      <c r="BE154" s="328"/>
      <c r="BF154" s="328"/>
      <c r="BG154" s="328"/>
      <c r="BH154" s="328"/>
      <c r="BI154" s="328"/>
      <c r="BJ154" s="328"/>
      <c r="BK154" s="328"/>
      <c r="BL154" s="328"/>
      <c r="BM154" s="328"/>
      <c r="BN154" s="328"/>
      <c r="BO154" s="328"/>
      <c r="BP154" s="328"/>
      <c r="BQ154" s="328"/>
      <c r="BR154" s="328"/>
      <c r="BS154" s="328"/>
      <c r="BT154" s="328"/>
      <c r="BU154" s="328"/>
      <c r="BV154" s="328"/>
      <c r="BW154" s="328"/>
      <c r="BX154" s="328"/>
      <c r="BY154" s="328"/>
      <c r="BZ154" s="328"/>
      <c r="CA154" s="328"/>
      <c r="CB154" s="328"/>
      <c r="CC154" s="328"/>
      <c r="CD154" s="328"/>
      <c r="CE154" s="328"/>
      <c r="CF154" s="278"/>
      <c r="CG154" s="278"/>
      <c r="CH154" s="278"/>
      <c r="CI154" s="278"/>
      <c r="CJ154" s="43"/>
      <c r="CK154" s="43"/>
      <c r="CL154" s="43"/>
      <c r="CM154" s="43"/>
      <c r="CN154" s="43"/>
      <c r="CO154" s="43"/>
      <c r="CP154" s="43"/>
      <c r="CQ154" s="43"/>
      <c r="CR154" s="43"/>
      <c r="CS154" s="43"/>
      <c r="CT154" s="43"/>
      <c r="CU154" s="43"/>
      <c r="CV154" s="43"/>
      <c r="CW154" s="351"/>
      <c r="CX154" s="351"/>
      <c r="CY154" s="351"/>
      <c r="CZ154" s="351"/>
      <c r="DA154" s="351"/>
      <c r="DB154" s="351"/>
      <c r="DC154" s="351"/>
      <c r="DD154" s="351"/>
      <c r="DE154" s="351"/>
      <c r="DF154" s="351"/>
      <c r="DG154" s="351"/>
      <c r="DH154" s="351"/>
      <c r="DI154" s="351"/>
      <c r="DJ154" s="351"/>
      <c r="DK154" s="351"/>
      <c r="DL154" s="351"/>
      <c r="DM154" s="351"/>
      <c r="DN154" s="351"/>
      <c r="DO154" s="351"/>
      <c r="DP154" s="351"/>
      <c r="DQ154" s="351"/>
      <c r="DR154" s="351"/>
      <c r="DS154" s="351"/>
      <c r="DT154" s="351"/>
      <c r="DU154" s="351"/>
      <c r="DV154" s="351"/>
      <c r="DW154" s="351"/>
      <c r="DX154" s="351"/>
      <c r="DY154" s="351"/>
      <c r="DZ154" s="351"/>
      <c r="EA154" s="351"/>
      <c r="EB154" s="351"/>
      <c r="EC154" s="351"/>
      <c r="ED154" s="351"/>
      <c r="EE154" s="351"/>
      <c r="EF154" s="351"/>
      <c r="EG154" s="351"/>
      <c r="EH154" s="351"/>
      <c r="EI154" s="43"/>
      <c r="EJ154" s="43"/>
      <c r="EK154" s="43"/>
      <c r="EL154" s="43"/>
      <c r="EM154" s="43"/>
      <c r="EN154" s="43"/>
      <c r="EO154" s="43"/>
      <c r="EP154" s="43"/>
      <c r="EQ154" s="43"/>
      <c r="ER154" s="43"/>
      <c r="ES154" s="43"/>
      <c r="ET154" s="43"/>
      <c r="EU154" s="43"/>
      <c r="EV154" s="43"/>
      <c r="EW154" s="43"/>
      <c r="EX154" s="43"/>
      <c r="EY154" s="43"/>
      <c r="EZ154" s="43"/>
      <c r="FA154" s="43"/>
      <c r="FB154" s="43"/>
      <c r="FC154" s="43"/>
      <c r="FD154" s="278"/>
      <c r="FE154" s="278"/>
      <c r="FF154" s="278"/>
      <c r="FG154" s="278"/>
      <c r="FH154" s="278"/>
      <c r="FI154" s="278"/>
      <c r="FJ154" s="278"/>
      <c r="FK154" s="43"/>
      <c r="FL154" s="43"/>
      <c r="FM154" s="47"/>
      <c r="FN154" s="47"/>
      <c r="FO154" s="47"/>
      <c r="FP154" s="47"/>
      <c r="FQ154" s="47"/>
      <c r="FR154" s="49"/>
      <c r="FS154" s="49"/>
      <c r="FT154" s="49"/>
      <c r="FU154" s="49"/>
      <c r="FV154" s="49"/>
      <c r="FW154" s="49"/>
      <c r="FX154" s="49"/>
      <c r="FY154" s="32"/>
      <c r="FZ154" s="32"/>
      <c r="GA154" s="32"/>
      <c r="GB154" s="32"/>
      <c r="GC154" s="32"/>
      <c r="GD154" s="32"/>
      <c r="GE154" s="32"/>
      <c r="GF154" s="32"/>
      <c r="GG154" s="32"/>
      <c r="GH154" s="32"/>
      <c r="GI154" s="32"/>
      <c r="GJ154" s="32"/>
      <c r="GK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49"/>
      <c r="HO154" s="49"/>
      <c r="HP154" s="49"/>
      <c r="HQ154" s="13"/>
      <c r="HR154" s="13"/>
      <c r="HS154" s="13"/>
      <c r="HT154" s="13"/>
      <c r="HU154" s="13"/>
      <c r="HV154" s="13"/>
      <c r="HW154" s="13"/>
      <c r="HX154" s="13"/>
      <c r="HY154" s="13"/>
      <c r="HZ154" s="13"/>
      <c r="IA154" s="13"/>
    </row>
    <row r="155" spans="1:235" ht="16.95" customHeight="1">
      <c r="A155" s="1"/>
      <c r="B155" s="3"/>
      <c r="C155" s="3"/>
      <c r="D155" s="124" t="str">
        <f ca="1">IF(FO152=0,"","Hoeveel is het producentensurplus bij elke eenheid (dus niet het totale")</f>
        <v/>
      </c>
      <c r="E155" s="373"/>
      <c r="F155" s="373"/>
      <c r="G155" s="373"/>
      <c r="H155" s="373"/>
      <c r="I155" s="373"/>
      <c r="J155" s="376"/>
      <c r="K155" s="376"/>
      <c r="L155" s="376"/>
      <c r="M155" s="376"/>
      <c r="N155" s="376"/>
      <c r="O155" s="376"/>
      <c r="P155" s="376"/>
      <c r="Q155" s="376"/>
      <c r="R155" s="376"/>
      <c r="S155" s="376"/>
      <c r="T155" s="376"/>
      <c r="U155" s="376"/>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c r="CJ155" s="79"/>
      <c r="CK155" s="43"/>
      <c r="CL155" s="43"/>
      <c r="CM155" s="43"/>
      <c r="CN155" s="43"/>
      <c r="CO155" s="43"/>
      <c r="CP155" s="376"/>
      <c r="CQ155" s="376"/>
      <c r="CR155" s="376"/>
      <c r="CS155" s="376"/>
      <c r="CT155" s="376"/>
      <c r="CU155" s="376"/>
      <c r="CV155" s="376"/>
      <c r="CW155" s="376"/>
      <c r="CX155" s="376"/>
      <c r="CY155" s="376"/>
      <c r="CZ155" s="376"/>
      <c r="DA155" s="376"/>
      <c r="DB155" s="376"/>
      <c r="DC155" s="376"/>
      <c r="DD155" s="376"/>
      <c r="DE155" s="376"/>
      <c r="DF155" s="376"/>
      <c r="DG155" s="376"/>
      <c r="DH155" s="376"/>
      <c r="DI155" s="376"/>
      <c r="DJ155" s="376"/>
      <c r="DK155" s="376"/>
      <c r="DL155" s="376"/>
      <c r="DM155" s="376"/>
      <c r="DN155" s="376"/>
      <c r="DO155" s="376"/>
      <c r="DP155" s="376"/>
      <c r="DQ155" s="376"/>
      <c r="DR155" s="376"/>
      <c r="DS155" s="376"/>
      <c r="DT155" s="376"/>
      <c r="DU155" s="376"/>
      <c r="DV155" s="376"/>
      <c r="DW155" s="376"/>
      <c r="DX155" s="376"/>
      <c r="DY155" s="376"/>
      <c r="DZ155" s="376"/>
      <c r="EA155" s="376"/>
      <c r="EB155" s="376"/>
      <c r="EC155" s="376"/>
      <c r="ED155" s="376"/>
      <c r="EE155" s="376"/>
      <c r="EF155" s="376"/>
      <c r="EG155" s="376"/>
      <c r="EH155" s="376"/>
      <c r="EI155" s="376"/>
      <c r="EJ155" s="376"/>
      <c r="EK155" s="376"/>
      <c r="EL155" s="376"/>
      <c r="EM155" s="376"/>
      <c r="EN155" s="376"/>
      <c r="EO155" s="376"/>
      <c r="EP155" s="376"/>
      <c r="EQ155" s="376"/>
      <c r="ER155" s="376"/>
      <c r="ES155" s="376"/>
      <c r="ET155" s="376"/>
      <c r="EU155" s="376"/>
      <c r="EV155" s="376"/>
      <c r="EW155" s="376"/>
      <c r="EX155" s="376"/>
      <c r="EY155" s="376"/>
      <c r="EZ155" s="376"/>
      <c r="FA155" s="43"/>
      <c r="FB155" s="43"/>
      <c r="FC155" s="43"/>
      <c r="FD155" s="43"/>
      <c r="FE155" s="43"/>
      <c r="FF155" s="43"/>
      <c r="FG155" s="43"/>
      <c r="FH155" s="43"/>
      <c r="FI155" s="79"/>
      <c r="FJ155" s="79"/>
      <c r="FK155" s="79"/>
      <c r="FL155" s="79"/>
      <c r="FM155" s="93"/>
      <c r="FN155" s="93"/>
      <c r="FO155" s="338"/>
      <c r="FP155" s="338"/>
      <c r="FQ155" s="338"/>
      <c r="FR155" s="338"/>
      <c r="FS155" s="338"/>
      <c r="FT155" s="338"/>
      <c r="FU155" s="338"/>
      <c r="FV155" s="338"/>
      <c r="FW155" s="338"/>
      <c r="FX155" s="338"/>
      <c r="FY155" s="32"/>
      <c r="FZ155" s="32"/>
      <c r="GA155" s="32"/>
      <c r="GB155" s="32"/>
      <c r="GC155" s="32"/>
      <c r="GD155" s="32"/>
      <c r="GE155" s="32"/>
      <c r="GF155" s="32"/>
      <c r="GG155" s="32"/>
      <c r="GH155" s="32"/>
      <c r="GI155" s="32"/>
      <c r="GJ155" s="32"/>
      <c r="GK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38"/>
      <c r="HO155" s="338"/>
      <c r="HP155" s="338"/>
      <c r="HQ155" s="13"/>
      <c r="HR155" s="13"/>
      <c r="HS155" s="13"/>
      <c r="HT155" s="13"/>
      <c r="HU155" s="13"/>
      <c r="HV155" s="13"/>
      <c r="HW155" s="13"/>
      <c r="HX155" s="13"/>
      <c r="HY155" s="13"/>
      <c r="HZ155" s="13"/>
      <c r="IA155" s="13"/>
    </row>
    <row r="156" spans="1:235" ht="16.95" customHeight="1">
      <c r="A156" s="1"/>
      <c r="B156" s="3"/>
      <c r="C156" s="3"/>
      <c r="D156" s="124" t="str">
        <f ca="1">IF(FO152=0,"","surplus) die tegen deze prijs verkocht wordt?")</f>
        <v/>
      </c>
      <c r="E156" s="373"/>
      <c r="F156" s="373"/>
      <c r="G156" s="373"/>
      <c r="H156" s="373"/>
      <c r="I156" s="373"/>
      <c r="J156" s="376"/>
      <c r="K156" s="376"/>
      <c r="L156" s="376"/>
      <c r="M156" s="376"/>
      <c r="N156" s="376"/>
      <c r="O156" s="376"/>
      <c r="P156" s="376"/>
      <c r="Q156" s="376"/>
      <c r="R156" s="376"/>
      <c r="S156" s="376"/>
      <c r="T156" s="376"/>
      <c r="U156" s="376"/>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79"/>
      <c r="BW156" s="79"/>
      <c r="BX156" s="79"/>
      <c r="BY156" s="79"/>
      <c r="BZ156" s="79"/>
      <c r="CA156" s="79"/>
      <c r="CB156" s="79"/>
      <c r="CC156" s="79"/>
      <c r="CD156" s="79"/>
      <c r="CE156" s="79"/>
      <c r="CF156" s="79"/>
      <c r="CG156" s="79"/>
      <c r="CH156" s="79"/>
      <c r="CI156" s="79"/>
      <c r="CJ156" s="79"/>
      <c r="CK156" s="43"/>
      <c r="CL156" s="43"/>
      <c r="CM156" s="43"/>
      <c r="CN156" s="43"/>
      <c r="CO156" s="43"/>
      <c r="CP156" s="376"/>
      <c r="CQ156" s="376"/>
      <c r="CR156" s="376"/>
      <c r="CS156" s="376"/>
      <c r="CT156" s="376"/>
      <c r="CU156" s="376"/>
      <c r="CV156" s="376"/>
      <c r="CW156" s="376"/>
      <c r="CX156" s="376"/>
      <c r="CY156" s="376"/>
      <c r="CZ156" s="376"/>
      <c r="DA156" s="376"/>
      <c r="DB156" s="376"/>
      <c r="DC156" s="376"/>
      <c r="DD156" s="376"/>
      <c r="DE156" s="376"/>
      <c r="DF156" s="376"/>
      <c r="DG156" s="376"/>
      <c r="DH156" s="376"/>
      <c r="DI156" s="376"/>
      <c r="DJ156" s="376"/>
      <c r="DK156" s="376"/>
      <c r="DL156" s="376"/>
      <c r="DM156" s="376"/>
      <c r="DN156" s="376"/>
      <c r="DO156" s="376"/>
      <c r="DP156" s="376"/>
      <c r="DQ156" s="376"/>
      <c r="DR156" s="376"/>
      <c r="DS156" s="376"/>
      <c r="DT156" s="376"/>
      <c r="DU156" s="376"/>
      <c r="DV156" s="376"/>
      <c r="DW156" s="376"/>
      <c r="DX156" s="376"/>
      <c r="DY156" s="376"/>
      <c r="DZ156" s="376"/>
      <c r="EA156" s="376"/>
      <c r="EB156" s="376"/>
      <c r="EC156" s="376"/>
      <c r="ED156" s="376"/>
      <c r="EE156" s="376"/>
      <c r="EF156" s="376"/>
      <c r="EG156" s="376"/>
      <c r="EH156" s="376"/>
      <c r="EI156" s="376"/>
      <c r="EJ156" s="376"/>
      <c r="EK156" s="376"/>
      <c r="EL156" s="376"/>
      <c r="EM156" s="376"/>
      <c r="EN156" s="376"/>
      <c r="EO156" s="376"/>
      <c r="EP156" s="376"/>
      <c r="EQ156" s="376"/>
      <c r="ER156" s="376"/>
      <c r="ES156" s="376"/>
      <c r="ET156" s="376"/>
      <c r="EU156" s="376"/>
      <c r="EV156" s="376"/>
      <c r="EW156" s="376"/>
      <c r="EX156" s="376"/>
      <c r="EY156" s="376"/>
      <c r="EZ156" s="376"/>
      <c r="FA156" s="43"/>
      <c r="FB156" s="43"/>
      <c r="FC156" s="43"/>
      <c r="FD156" s="43"/>
      <c r="FE156" s="43"/>
      <c r="FF156" s="43"/>
      <c r="FG156" s="43"/>
      <c r="FH156" s="43"/>
      <c r="FI156" s="79"/>
      <c r="FJ156" s="79"/>
      <c r="FK156" s="79"/>
      <c r="FL156" s="79"/>
      <c r="FM156" s="93"/>
      <c r="FN156" s="93"/>
      <c r="FO156" s="338"/>
      <c r="FP156" s="338"/>
      <c r="FQ156" s="338"/>
      <c r="FR156" s="338"/>
      <c r="FS156" s="338"/>
      <c r="FT156" s="338"/>
      <c r="FU156" s="338"/>
      <c r="FV156" s="338"/>
      <c r="FW156" s="338"/>
      <c r="FX156" s="338"/>
      <c r="FY156" s="32"/>
      <c r="FZ156" s="32"/>
      <c r="GA156" s="32"/>
      <c r="GB156" s="32"/>
      <c r="GC156" s="32"/>
      <c r="GD156" s="32"/>
      <c r="GE156" s="32"/>
      <c r="GF156" s="32"/>
      <c r="GG156" s="32"/>
      <c r="GH156" s="32"/>
      <c r="GI156" s="32"/>
      <c r="GJ156" s="32"/>
      <c r="GK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38"/>
      <c r="HO156" s="338"/>
      <c r="HP156" s="338"/>
      <c r="HQ156" s="13"/>
      <c r="HR156" s="13"/>
      <c r="HS156" s="13"/>
      <c r="HT156" s="13"/>
      <c r="HU156" s="13"/>
      <c r="HV156" s="13"/>
      <c r="HW156" s="13"/>
      <c r="HX156" s="13"/>
      <c r="HY156" s="13"/>
      <c r="HZ156" s="13"/>
      <c r="IA156" s="13"/>
    </row>
    <row r="157" spans="1:235" ht="9" customHeight="1">
      <c r="A157" s="1"/>
      <c r="B157" s="3"/>
      <c r="C157" s="3"/>
      <c r="D157" s="333"/>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78"/>
      <c r="AE157" s="278"/>
      <c r="AF157" s="278"/>
      <c r="AG157" s="278"/>
      <c r="AH157" s="278"/>
      <c r="AI157" s="43"/>
      <c r="AJ157" s="43"/>
      <c r="AK157" s="43"/>
      <c r="AL157" s="43"/>
      <c r="AM157" s="43"/>
      <c r="AN157" s="43"/>
      <c r="AO157" s="43"/>
      <c r="AP157" s="43"/>
      <c r="AQ157" s="43"/>
      <c r="AR157" s="43"/>
      <c r="AS157" s="43"/>
      <c r="AT157" s="43"/>
      <c r="AU157" s="43"/>
      <c r="AV157" s="43"/>
      <c r="AW157" s="43"/>
      <c r="AX157" s="43"/>
      <c r="AY157" s="43"/>
      <c r="AZ157" s="43"/>
      <c r="BA157" s="43"/>
      <c r="BB157" s="327"/>
      <c r="BC157" s="328"/>
      <c r="BD157" s="328"/>
      <c r="BE157" s="328"/>
      <c r="BF157" s="328"/>
      <c r="BG157" s="328"/>
      <c r="BH157" s="328"/>
      <c r="BI157" s="328"/>
      <c r="BJ157" s="328"/>
      <c r="BK157" s="328"/>
      <c r="BL157" s="328"/>
      <c r="BM157" s="328"/>
      <c r="BN157" s="328"/>
      <c r="BO157" s="328"/>
      <c r="BP157" s="328"/>
      <c r="BQ157" s="328"/>
      <c r="BR157" s="328"/>
      <c r="BS157" s="328"/>
      <c r="BT157" s="328"/>
      <c r="BU157" s="328"/>
      <c r="BV157" s="328"/>
      <c r="BW157" s="328"/>
      <c r="BX157" s="328"/>
      <c r="BY157" s="328"/>
      <c r="BZ157" s="328"/>
      <c r="CA157" s="328"/>
      <c r="CB157" s="328"/>
      <c r="CC157" s="328"/>
      <c r="CD157" s="328"/>
      <c r="CE157" s="328"/>
      <c r="CF157" s="278"/>
      <c r="CG157" s="278"/>
      <c r="CH157" s="278"/>
      <c r="CI157" s="278"/>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328"/>
      <c r="DO157" s="328"/>
      <c r="DP157" s="328"/>
      <c r="DQ157" s="328"/>
      <c r="DR157" s="328"/>
      <c r="DS157" s="328"/>
      <c r="DT157" s="328"/>
      <c r="DU157" s="328"/>
      <c r="DV157" s="328"/>
      <c r="DW157" s="328"/>
      <c r="DX157" s="328"/>
      <c r="DY157" s="328"/>
      <c r="DZ157" s="328"/>
      <c r="EA157" s="328"/>
      <c r="EB157" s="328"/>
      <c r="EC157" s="328"/>
      <c r="ED157" s="328"/>
      <c r="EE157" s="328"/>
      <c r="EF157" s="328"/>
      <c r="EG157" s="328"/>
      <c r="EH157" s="328"/>
      <c r="EI157" s="328"/>
      <c r="EJ157" s="328"/>
      <c r="EK157" s="328"/>
      <c r="EL157" s="328"/>
      <c r="EM157" s="328"/>
      <c r="EN157" s="328"/>
      <c r="EO157" s="328"/>
      <c r="EP157" s="328"/>
      <c r="EQ157" s="328"/>
      <c r="ER157" s="328"/>
      <c r="ES157" s="328"/>
      <c r="ET157" s="328"/>
      <c r="EU157" s="328"/>
      <c r="EV157" s="328"/>
      <c r="EW157" s="328"/>
      <c r="EX157" s="328"/>
      <c r="EY157" s="328"/>
      <c r="EZ157" s="328"/>
      <c r="FA157" s="328"/>
      <c r="FB157" s="328"/>
      <c r="FC157" s="328"/>
      <c r="FD157" s="278"/>
      <c r="FE157" s="278"/>
      <c r="FF157" s="278"/>
      <c r="FG157" s="278"/>
      <c r="FH157" s="278"/>
      <c r="FI157" s="278"/>
      <c r="FJ157" s="278"/>
      <c r="FK157" s="328"/>
      <c r="FL157" s="43"/>
      <c r="FM157" s="47"/>
      <c r="FN157" s="47"/>
      <c r="FO157" s="47"/>
      <c r="FP157" s="47"/>
      <c r="FQ157" s="47"/>
      <c r="FR157" s="49"/>
      <c r="FS157" s="49"/>
      <c r="FT157" s="49"/>
      <c r="FU157" s="49"/>
      <c r="FV157" s="49"/>
      <c r="FW157" s="49"/>
      <c r="FX157" s="49"/>
      <c r="FY157" s="32"/>
      <c r="FZ157" s="32"/>
      <c r="GA157" s="32"/>
      <c r="GB157" s="32"/>
      <c r="GC157" s="32"/>
      <c r="GD157" s="32"/>
      <c r="GE157" s="32"/>
      <c r="GF157" s="32"/>
      <c r="GG157" s="32"/>
      <c r="GH157" s="32"/>
      <c r="GI157" s="32"/>
      <c r="GJ157" s="32"/>
      <c r="GK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49"/>
      <c r="HO157" s="49"/>
      <c r="HP157" s="49"/>
      <c r="HQ157" s="13"/>
      <c r="HR157" s="13"/>
      <c r="HS157" s="13"/>
      <c r="HT157" s="13"/>
      <c r="HU157" s="13"/>
      <c r="HV157" s="13"/>
      <c r="HW157" s="13"/>
      <c r="HX157" s="13"/>
      <c r="HY157" s="13"/>
      <c r="HZ157" s="13"/>
      <c r="IA157" s="13"/>
    </row>
    <row r="158" spans="1:235" ht="3.75" customHeight="1">
      <c r="A158" s="1"/>
      <c r="B158" s="3"/>
      <c r="C158" s="3"/>
      <c r="D158" s="333"/>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278"/>
      <c r="AF158" s="278"/>
      <c r="AG158" s="278"/>
      <c r="AH158" s="278"/>
      <c r="AI158" s="43"/>
      <c r="AJ158" s="43"/>
      <c r="AK158" s="43"/>
      <c r="AL158" s="43"/>
      <c r="AM158" s="43"/>
      <c r="AN158" s="43"/>
      <c r="AO158" s="43"/>
      <c r="AP158" s="43"/>
      <c r="AQ158" s="43"/>
      <c r="AR158" s="43"/>
      <c r="AS158" s="43"/>
      <c r="AT158" s="43"/>
      <c r="AU158" s="43"/>
      <c r="AV158" s="43"/>
      <c r="AW158" s="351"/>
      <c r="AX158" s="351"/>
      <c r="AY158" s="351"/>
      <c r="AZ158" s="351"/>
      <c r="BA158" s="351"/>
      <c r="BB158" s="351"/>
      <c r="BC158" s="351"/>
      <c r="BD158" s="351"/>
      <c r="BE158" s="351"/>
      <c r="BF158" s="351"/>
      <c r="BG158" s="351"/>
      <c r="BH158" s="351"/>
      <c r="BI158" s="351"/>
      <c r="BJ158" s="351"/>
      <c r="BK158" s="351"/>
      <c r="BL158" s="351"/>
      <c r="BM158" s="351"/>
      <c r="BN158" s="351"/>
      <c r="BO158" s="351"/>
      <c r="BP158" s="351"/>
      <c r="BQ158" s="351"/>
      <c r="BR158" s="351"/>
      <c r="BS158" s="351"/>
      <c r="BT158" s="351"/>
      <c r="BU158" s="351"/>
      <c r="BV158" s="351"/>
      <c r="BW158" s="351"/>
      <c r="BX158" s="351"/>
      <c r="BY158" s="351"/>
      <c r="BZ158" s="351"/>
      <c r="CA158" s="351"/>
      <c r="CB158" s="351"/>
      <c r="CC158" s="351"/>
      <c r="CD158" s="351"/>
      <c r="CE158" s="351"/>
      <c r="CF158" s="351"/>
      <c r="CG158" s="351"/>
      <c r="CH158" s="351"/>
      <c r="CI158" s="351"/>
      <c r="CJ158" s="351"/>
      <c r="CK158" s="55"/>
      <c r="CL158" s="55"/>
      <c r="CM158" s="55"/>
      <c r="CN158" s="55"/>
      <c r="CO158" s="55"/>
      <c r="CP158" s="55"/>
      <c r="CQ158" s="351"/>
      <c r="CR158" s="351"/>
      <c r="CS158" s="351"/>
      <c r="CT158" s="351"/>
      <c r="CU158" s="351"/>
      <c r="CV158" s="351"/>
      <c r="CW158" s="351"/>
      <c r="CX158" s="43"/>
      <c r="CY158" s="43"/>
      <c r="CZ158" s="43"/>
      <c r="DA158" s="43"/>
      <c r="DB158" s="43"/>
      <c r="DC158" s="538" t="str">
        <f ca="1">IF(FO152=0,"",".")</f>
        <v/>
      </c>
      <c r="DD158" s="538"/>
      <c r="DE158" s="538"/>
      <c r="DF158" s="538"/>
      <c r="DG158" s="538"/>
      <c r="DH158" s="538"/>
      <c r="DI158" s="538"/>
      <c r="DJ158" s="538"/>
      <c r="DK158" s="538"/>
      <c r="DL158" s="538"/>
      <c r="DM158" s="538"/>
      <c r="DN158" s="538"/>
      <c r="DO158" s="538"/>
      <c r="DP158" s="538"/>
      <c r="DQ158" s="538"/>
      <c r="DR158" s="538"/>
      <c r="DS158" s="538"/>
      <c r="DT158" s="538"/>
      <c r="DU158" s="538"/>
      <c r="DV158" s="538"/>
      <c r="DW158" s="538"/>
      <c r="DX158" s="538"/>
      <c r="DY158" s="538"/>
      <c r="DZ158" s="538"/>
      <c r="EA158" s="538"/>
      <c r="EB158" s="538"/>
      <c r="EC158" s="538"/>
      <c r="ED158" s="538"/>
      <c r="EE158" s="538"/>
      <c r="EF158" s="538"/>
      <c r="EG158" s="278"/>
      <c r="EH158" s="55"/>
      <c r="EI158" s="55"/>
      <c r="EJ158" s="328"/>
      <c r="EK158" s="328"/>
      <c r="EL158" s="328"/>
      <c r="EM158" s="328"/>
      <c r="EN158" s="328"/>
      <c r="EO158" s="328"/>
      <c r="EP158" s="328"/>
      <c r="EQ158" s="328"/>
      <c r="ER158" s="328"/>
      <c r="ES158" s="328"/>
      <c r="ET158" s="328"/>
      <c r="EU158" s="328"/>
      <c r="EV158" s="328"/>
      <c r="EW158" s="328"/>
      <c r="EX158" s="328"/>
      <c r="EY158" s="328"/>
      <c r="EZ158" s="328"/>
      <c r="FA158" s="328"/>
      <c r="FB158" s="328"/>
      <c r="FC158" s="328"/>
      <c r="FD158" s="278"/>
      <c r="FE158" s="278"/>
      <c r="FF158" s="278"/>
      <c r="FG158" s="278"/>
      <c r="FH158" s="278"/>
      <c r="FI158" s="278"/>
      <c r="FJ158" s="278"/>
      <c r="FK158" s="328"/>
      <c r="FL158" s="43"/>
      <c r="FM158" s="47"/>
      <c r="FN158" s="47"/>
      <c r="FO158" s="47"/>
      <c r="FP158" s="47"/>
      <c r="FQ158" s="47"/>
      <c r="FR158" s="49"/>
      <c r="FS158" s="49"/>
      <c r="FT158" s="49"/>
      <c r="FU158" s="49"/>
      <c r="FV158" s="49"/>
      <c r="FW158" s="49"/>
      <c r="FX158" s="49"/>
      <c r="FY158" s="32"/>
      <c r="FZ158" s="32"/>
      <c r="GA158" s="32"/>
      <c r="GB158" s="32"/>
      <c r="GC158" s="32"/>
      <c r="GD158" s="32"/>
      <c r="GE158" s="32"/>
      <c r="GF158" s="32"/>
      <c r="GG158" s="32"/>
      <c r="GH158" s="32"/>
      <c r="GI158" s="32"/>
      <c r="GJ158" s="32"/>
      <c r="GK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49"/>
      <c r="HO158" s="49"/>
      <c r="HP158" s="49"/>
      <c r="HQ158" s="13"/>
      <c r="HR158" s="13"/>
      <c r="HS158" s="13"/>
      <c r="HT158" s="13"/>
      <c r="HU158" s="13"/>
      <c r="HV158" s="13"/>
      <c r="HW158" s="13"/>
      <c r="HX158" s="13"/>
      <c r="HY158" s="13"/>
      <c r="HZ158" s="13"/>
      <c r="IA158" s="13"/>
    </row>
    <row r="159" spans="1:235" ht="16.5" customHeight="1">
      <c r="A159" s="1"/>
      <c r="B159" s="476"/>
      <c r="C159" s="3"/>
      <c r="D159" s="43"/>
      <c r="E159" s="278"/>
      <c r="F159" s="278"/>
      <c r="G159" s="278"/>
      <c r="H159" s="278"/>
      <c r="I159" s="278"/>
      <c r="J159" s="43"/>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43"/>
      <c r="AJ159" s="43"/>
      <c r="AK159" s="43"/>
      <c r="AL159" s="43"/>
      <c r="AM159" s="43"/>
      <c r="AN159" s="43"/>
      <c r="AO159" s="43"/>
      <c r="AP159" s="43"/>
      <c r="AQ159" s="43"/>
      <c r="AR159" s="43"/>
      <c r="AS159" s="43"/>
      <c r="AT159" s="43"/>
      <c r="AU159" s="43"/>
      <c r="AV159" s="43"/>
      <c r="AW159" s="351"/>
      <c r="AX159" s="351"/>
      <c r="AY159" s="351"/>
      <c r="AZ159" s="351"/>
      <c r="BA159" s="351"/>
      <c r="BB159" s="351"/>
      <c r="BC159" s="351"/>
      <c r="BD159" s="351"/>
      <c r="BE159" s="351"/>
      <c r="BF159" s="351"/>
      <c r="BG159" s="351"/>
      <c r="BH159" s="351"/>
      <c r="BI159" s="351"/>
      <c r="BJ159" s="351"/>
      <c r="BK159" s="351"/>
      <c r="BL159" s="351"/>
      <c r="BM159" s="351"/>
      <c r="BN159" s="351"/>
      <c r="BO159" s="351"/>
      <c r="BP159" s="351"/>
      <c r="BQ159" s="351"/>
      <c r="BR159" s="351"/>
      <c r="BS159" s="351"/>
      <c r="BT159" s="351"/>
      <c r="BU159" s="351"/>
      <c r="BV159" s="351"/>
      <c r="BW159" s="351"/>
      <c r="BX159" s="351"/>
      <c r="BY159" s="351"/>
      <c r="BZ159" s="351"/>
      <c r="CA159" s="351"/>
      <c r="CB159" s="351"/>
      <c r="CC159" s="351"/>
      <c r="CD159" s="351"/>
      <c r="CE159" s="351"/>
      <c r="CF159" s="351"/>
      <c r="CG159" s="351"/>
      <c r="CH159" s="351"/>
      <c r="CI159" s="351"/>
      <c r="CJ159" s="351"/>
      <c r="CK159" s="55"/>
      <c r="CL159" s="55"/>
      <c r="CM159" s="55"/>
      <c r="CN159" s="55"/>
      <c r="CO159" s="55"/>
      <c r="CP159" s="55"/>
      <c r="CQ159" s="351"/>
      <c r="CR159" s="351"/>
      <c r="CS159" s="351"/>
      <c r="CT159" s="351"/>
      <c r="CU159" s="351"/>
      <c r="CV159" s="351"/>
      <c r="CW159" s="351"/>
      <c r="CX159" s="43"/>
      <c r="CY159" s="43"/>
      <c r="CZ159" s="43"/>
      <c r="DA159" s="184" t="str">
        <f ca="1">IF(FO152=0,"","Het producentensurplus van elke verkochte eenheid is bij deze prijs:")</f>
        <v/>
      </c>
      <c r="DB159" s="43"/>
      <c r="DC159" s="327" t="str">
        <f ca="1">IF(FO152=0,"",".")</f>
        <v/>
      </c>
      <c r="DD159" s="698"/>
      <c r="DE159" s="698"/>
      <c r="DF159" s="698"/>
      <c r="DG159" s="698"/>
      <c r="DH159" s="698"/>
      <c r="DI159" s="698"/>
      <c r="DJ159" s="698"/>
      <c r="DK159" s="698"/>
      <c r="DL159" s="698"/>
      <c r="DM159" s="698"/>
      <c r="DN159" s="698"/>
      <c r="DO159" s="698"/>
      <c r="DP159" s="698"/>
      <c r="DQ159" s="698"/>
      <c r="DR159" s="698"/>
      <c r="DS159" s="698"/>
      <c r="DT159" s="698"/>
      <c r="DU159" s="698"/>
      <c r="DV159" s="698"/>
      <c r="DW159" s="698"/>
      <c r="DX159" s="698"/>
      <c r="DY159" s="698"/>
      <c r="DZ159" s="698"/>
      <c r="EA159" s="698"/>
      <c r="EB159" s="698"/>
      <c r="EC159" s="698"/>
      <c r="ED159" s="698"/>
      <c r="EE159" s="698"/>
      <c r="EF159" s="226" t="str">
        <f ca="1">IF(FO152=0,"",".")</f>
        <v/>
      </c>
      <c r="EG159" s="278"/>
      <c r="EH159" s="186" t="str">
        <f ca="1">IF(FO152=0,"",IF(DD159="","",IF(AND(programma!$A$301="uitwerking",$B159="X"),FM159,IF(AND(DD159&gt;FP159-0.00001,DD159&lt;FP159+0.00001),"Goed!",IF(AND(DD159&gt;=FP159-0.01,DD159&lt;=FP159+0.01),"Je hebt niet goed afgerond!",IF(AND(DD159&gt;=0.5*FP159-0.01,DD159&lt;=0.5*FP159+0.01),"Fout! Bij een rechthoek moet je niet de helft nemen.","Fout! Probeer het opnieuw."))))))</f>
        <v/>
      </c>
      <c r="EI159" s="55"/>
      <c r="EJ159" s="352"/>
      <c r="EK159" s="352"/>
      <c r="EL159" s="352"/>
      <c r="EM159" s="352"/>
      <c r="EN159" s="352"/>
      <c r="EO159" s="352"/>
      <c r="EP159" s="352"/>
      <c r="EQ159" s="352"/>
      <c r="ER159" s="352"/>
      <c r="ES159" s="352"/>
      <c r="ET159" s="352"/>
      <c r="EU159" s="352"/>
      <c r="EV159" s="352"/>
      <c r="EW159" s="352"/>
      <c r="EX159" s="352"/>
      <c r="EY159" s="352"/>
      <c r="EZ159" s="352"/>
      <c r="FA159" s="328"/>
      <c r="FB159" s="328"/>
      <c r="FC159" s="328"/>
      <c r="FD159" s="278"/>
      <c r="FE159" s="278"/>
      <c r="FF159" s="278"/>
      <c r="FG159" s="278"/>
      <c r="FH159" s="278"/>
      <c r="FI159" s="278"/>
      <c r="FJ159" s="278"/>
      <c r="FK159" s="328"/>
      <c r="FL159" s="43"/>
      <c r="FM159" s="47" t="str">
        <f ca="1">""&amp;FP152&amp;" - "&amp;FR159&amp;" = "&amp;FP159</f>
        <v>818 - 36 = 782</v>
      </c>
      <c r="FN159" s="47"/>
      <c r="FO159" s="48">
        <f ca="1">IF(programma!B1="X",1,IF(FO152=0,0,IF(AND(DD159&gt;FP159-0.00001,DD159&lt;FP159+0.00001),1,0)))</f>
        <v>0</v>
      </c>
      <c r="FP159" s="48">
        <f ca="1">IF(FO1=0,"",ROUND((FP152-FR159),2))</f>
        <v>782</v>
      </c>
      <c r="FQ159" s="79"/>
      <c r="FR159" s="49">
        <f ca="1">ROUND(FP146*2*FP93+FQ93,2)</f>
        <v>36</v>
      </c>
      <c r="FS159" s="49"/>
      <c r="FT159" s="49"/>
      <c r="FU159" s="49"/>
      <c r="FV159" s="49"/>
      <c r="FW159" s="49"/>
      <c r="FX159" s="49"/>
      <c r="FY159" s="32"/>
      <c r="FZ159" s="32"/>
      <c r="GA159" s="32"/>
      <c r="GB159" s="32"/>
      <c r="GC159" s="32"/>
      <c r="GD159" s="32"/>
      <c r="GE159" s="32"/>
      <c r="GF159" s="32"/>
      <c r="GG159" s="32"/>
      <c r="GH159" s="32"/>
      <c r="GI159" s="32"/>
      <c r="GJ159" s="32"/>
      <c r="GK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49"/>
      <c r="HO159" s="49"/>
      <c r="HP159" s="49"/>
      <c r="HQ159" s="13"/>
      <c r="HR159" s="13"/>
      <c r="HS159" s="13"/>
      <c r="HT159" s="13"/>
      <c r="HU159" s="13"/>
      <c r="HV159" s="13"/>
      <c r="HW159" s="13"/>
      <c r="HX159" s="13"/>
      <c r="HY159" s="13"/>
      <c r="HZ159" s="13"/>
      <c r="IA159" s="13"/>
    </row>
    <row r="160" spans="1:235" ht="3.75" customHeight="1">
      <c r="A160" s="1"/>
      <c r="B160" s="3"/>
      <c r="C160" s="3"/>
      <c r="D160" s="333"/>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278"/>
      <c r="AF160" s="278"/>
      <c r="AG160" s="278"/>
      <c r="AH160" s="278"/>
      <c r="AI160" s="43"/>
      <c r="AJ160" s="43"/>
      <c r="AK160" s="43"/>
      <c r="AL160" s="43"/>
      <c r="AM160" s="43"/>
      <c r="AN160" s="43"/>
      <c r="AO160" s="43"/>
      <c r="AP160" s="43"/>
      <c r="AQ160" s="43"/>
      <c r="AR160" s="43"/>
      <c r="AS160" s="43"/>
      <c r="AT160" s="43"/>
      <c r="AU160" s="43"/>
      <c r="AV160" s="43"/>
      <c r="AW160" s="351"/>
      <c r="AX160" s="351"/>
      <c r="AY160" s="351"/>
      <c r="AZ160" s="351"/>
      <c r="BA160" s="351"/>
      <c r="BB160" s="351"/>
      <c r="BC160" s="351"/>
      <c r="BD160" s="351"/>
      <c r="BE160" s="351"/>
      <c r="BF160" s="351"/>
      <c r="BG160" s="351"/>
      <c r="BH160" s="351"/>
      <c r="BI160" s="351"/>
      <c r="BJ160" s="351"/>
      <c r="BK160" s="351"/>
      <c r="BL160" s="351"/>
      <c r="BM160" s="351"/>
      <c r="BN160" s="351"/>
      <c r="BO160" s="351"/>
      <c r="BP160" s="351"/>
      <c r="BQ160" s="351"/>
      <c r="BR160" s="351"/>
      <c r="BS160" s="351"/>
      <c r="BT160" s="351"/>
      <c r="BU160" s="351"/>
      <c r="BV160" s="351"/>
      <c r="BW160" s="351"/>
      <c r="BX160" s="351"/>
      <c r="BY160" s="351"/>
      <c r="BZ160" s="351"/>
      <c r="CA160" s="351"/>
      <c r="CB160" s="351"/>
      <c r="CC160" s="351"/>
      <c r="CD160" s="351"/>
      <c r="CE160" s="351"/>
      <c r="CF160" s="351"/>
      <c r="CG160" s="351"/>
      <c r="CH160" s="351"/>
      <c r="CI160" s="351"/>
      <c r="CJ160" s="351"/>
      <c r="CK160" s="43"/>
      <c r="CL160" s="43"/>
      <c r="CM160" s="43"/>
      <c r="CN160" s="43"/>
      <c r="CO160" s="43"/>
      <c r="CP160" s="43"/>
      <c r="CQ160" s="351"/>
      <c r="CR160" s="351"/>
      <c r="CS160" s="351"/>
      <c r="CT160" s="351"/>
      <c r="CU160" s="351"/>
      <c r="CV160" s="351"/>
      <c r="CW160" s="351"/>
      <c r="CX160" s="43"/>
      <c r="CY160" s="43"/>
      <c r="CZ160" s="43"/>
      <c r="DA160" s="43"/>
      <c r="DB160" s="43"/>
      <c r="DC160" s="538" t="str">
        <f ca="1">IF(FO152=0,"",".")</f>
        <v/>
      </c>
      <c r="DD160" s="538"/>
      <c r="DE160" s="538"/>
      <c r="DF160" s="538"/>
      <c r="DG160" s="538"/>
      <c r="DH160" s="538"/>
      <c r="DI160" s="538"/>
      <c r="DJ160" s="538"/>
      <c r="DK160" s="538"/>
      <c r="DL160" s="538"/>
      <c r="DM160" s="538"/>
      <c r="DN160" s="538"/>
      <c r="DO160" s="538"/>
      <c r="DP160" s="538"/>
      <c r="DQ160" s="538"/>
      <c r="DR160" s="538"/>
      <c r="DS160" s="538"/>
      <c r="DT160" s="538"/>
      <c r="DU160" s="538"/>
      <c r="DV160" s="538"/>
      <c r="DW160" s="538"/>
      <c r="DX160" s="538"/>
      <c r="DY160" s="538"/>
      <c r="DZ160" s="538"/>
      <c r="EA160" s="538"/>
      <c r="EB160" s="538"/>
      <c r="EC160" s="538"/>
      <c r="ED160" s="538"/>
      <c r="EE160" s="538"/>
      <c r="EF160" s="538"/>
      <c r="EG160" s="278"/>
      <c r="EH160" s="278"/>
      <c r="EI160" s="278"/>
      <c r="EJ160" s="328"/>
      <c r="EK160" s="328"/>
      <c r="EL160" s="328"/>
      <c r="EM160" s="328"/>
      <c r="EN160" s="328"/>
      <c r="EO160" s="328"/>
      <c r="EP160" s="328"/>
      <c r="EQ160" s="328"/>
      <c r="ER160" s="328"/>
      <c r="ES160" s="328"/>
      <c r="ET160" s="328"/>
      <c r="EU160" s="328"/>
      <c r="EV160" s="328"/>
      <c r="EW160" s="328"/>
      <c r="EX160" s="328"/>
      <c r="EY160" s="328"/>
      <c r="EZ160" s="328"/>
      <c r="FA160" s="328"/>
      <c r="FB160" s="328"/>
      <c r="FC160" s="328"/>
      <c r="FD160" s="278"/>
      <c r="FE160" s="278"/>
      <c r="FF160" s="278"/>
      <c r="FG160" s="278"/>
      <c r="FH160" s="278"/>
      <c r="FI160" s="278"/>
      <c r="FJ160" s="278"/>
      <c r="FK160" s="328"/>
      <c r="FL160" s="43"/>
      <c r="FM160" s="47"/>
      <c r="FN160" s="47"/>
      <c r="FO160" s="47"/>
      <c r="FP160" s="47"/>
      <c r="FQ160" s="47"/>
      <c r="FR160" s="49"/>
      <c r="FS160" s="49"/>
      <c r="FT160" s="49"/>
      <c r="FU160" s="49"/>
      <c r="FV160" s="49"/>
      <c r="FW160" s="49"/>
      <c r="FX160" s="49"/>
      <c r="FY160" s="32"/>
      <c r="FZ160" s="32"/>
      <c r="GA160" s="32"/>
      <c r="GB160" s="32"/>
      <c r="GC160" s="32"/>
      <c r="GD160" s="32"/>
      <c r="GE160" s="32"/>
      <c r="GF160" s="32"/>
      <c r="GG160" s="32"/>
      <c r="GH160" s="32"/>
      <c r="GI160" s="32"/>
      <c r="GJ160" s="32"/>
      <c r="GK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49"/>
      <c r="HO160" s="49"/>
      <c r="HP160" s="49"/>
      <c r="HQ160" s="13"/>
      <c r="HR160" s="13"/>
      <c r="HS160" s="13"/>
      <c r="HT160" s="13"/>
      <c r="HU160" s="13"/>
      <c r="HV160" s="13"/>
      <c r="HW160" s="13"/>
      <c r="HX160" s="13"/>
      <c r="HY160" s="13"/>
      <c r="HZ160" s="13"/>
      <c r="IA160" s="13"/>
    </row>
    <row r="161" spans="1:237" ht="9.75" customHeight="1">
      <c r="A161" s="1"/>
      <c r="B161" s="3"/>
      <c r="C161" s="3"/>
      <c r="D161" s="333"/>
      <c r="E161" s="333"/>
      <c r="F161" s="278"/>
      <c r="G161" s="278"/>
      <c r="H161" s="278"/>
      <c r="I161" s="278"/>
      <c r="J161" s="278"/>
      <c r="K161" s="278"/>
      <c r="L161" s="278"/>
      <c r="M161" s="278"/>
      <c r="N161" s="278"/>
      <c r="O161" s="278"/>
      <c r="P161" s="278"/>
      <c r="Q161" s="328"/>
      <c r="R161" s="328"/>
      <c r="S161" s="278"/>
      <c r="T161" s="172"/>
      <c r="U161" s="328"/>
      <c r="V161" s="278"/>
      <c r="W161" s="278"/>
      <c r="X161" s="278"/>
      <c r="Y161" s="278"/>
      <c r="Z161" s="278"/>
      <c r="AA161" s="278"/>
      <c r="AB161" s="278"/>
      <c r="AC161" s="278"/>
      <c r="AD161" s="328"/>
      <c r="AE161" s="328"/>
      <c r="AF161" s="278"/>
      <c r="AG161" s="172"/>
      <c r="AH161" s="328"/>
      <c r="AI161" s="328"/>
      <c r="AJ161" s="328"/>
      <c r="AK161" s="43"/>
      <c r="AL161" s="43"/>
      <c r="AM161" s="43"/>
      <c r="AN161" s="328"/>
      <c r="AO161" s="328"/>
      <c r="AP161" s="328"/>
      <c r="AQ161" s="328"/>
      <c r="AR161" s="328"/>
      <c r="AS161" s="328"/>
      <c r="AT161" s="328"/>
      <c r="AU161" s="328"/>
      <c r="AV161" s="328"/>
      <c r="AW161" s="328"/>
      <c r="AX161" s="328"/>
      <c r="AY161" s="328"/>
      <c r="AZ161" s="328"/>
      <c r="BA161" s="328"/>
      <c r="BB161" s="328"/>
      <c r="BC161" s="328"/>
      <c r="BD161" s="328"/>
      <c r="BE161" s="328"/>
      <c r="BF161" s="328"/>
      <c r="BG161" s="328"/>
      <c r="BH161" s="328"/>
      <c r="BI161" s="178"/>
      <c r="BJ161" s="178"/>
      <c r="BK161" s="337"/>
      <c r="BL161" s="328"/>
      <c r="BM161" s="328"/>
      <c r="BN161" s="328"/>
      <c r="BO161" s="172"/>
      <c r="BP161" s="172"/>
      <c r="BQ161" s="278"/>
      <c r="BR161" s="278"/>
      <c r="BS161" s="43"/>
      <c r="BT161" s="43"/>
      <c r="BU161" s="43"/>
      <c r="BV161" s="43"/>
      <c r="BW161" s="43"/>
      <c r="BX161" s="43"/>
      <c r="BY161" s="43"/>
      <c r="BZ161" s="43"/>
      <c r="CA161" s="43"/>
      <c r="CB161" s="43"/>
      <c r="CC161" s="43"/>
      <c r="CD161" s="43"/>
      <c r="CE161" s="43"/>
      <c r="CF161" s="43"/>
      <c r="CG161" s="43"/>
      <c r="CH161" s="43"/>
      <c r="CI161" s="43"/>
      <c r="CJ161" s="43"/>
      <c r="CK161" s="278"/>
      <c r="CL161" s="278"/>
      <c r="CM161" s="278"/>
      <c r="CN161" s="328"/>
      <c r="CO161" s="328"/>
      <c r="CP161" s="278"/>
      <c r="CQ161" s="172"/>
      <c r="CR161" s="328"/>
      <c r="CS161" s="328"/>
      <c r="CT161" s="328"/>
      <c r="CU161" s="43"/>
      <c r="CV161" s="43"/>
      <c r="CW161" s="43"/>
      <c r="CX161" s="43"/>
      <c r="CY161" s="43"/>
      <c r="CZ161" s="43"/>
      <c r="DA161" s="43"/>
      <c r="DB161" s="106"/>
      <c r="DC161" s="106"/>
      <c r="DD161" s="278"/>
      <c r="DE161" s="278"/>
      <c r="DF161" s="278"/>
      <c r="DG161" s="278"/>
      <c r="DH161" s="278"/>
      <c r="DI161" s="278"/>
      <c r="DJ161" s="278"/>
      <c r="DK161" s="278"/>
      <c r="DL161" s="278"/>
      <c r="DM161" s="278"/>
      <c r="DN161" s="278"/>
      <c r="DO161" s="278"/>
      <c r="DP161" s="278"/>
      <c r="DQ161" s="278"/>
      <c r="DR161" s="278"/>
      <c r="DS161" s="278"/>
      <c r="DT161" s="278"/>
      <c r="DU161" s="278"/>
      <c r="DV161" s="328"/>
      <c r="DW161" s="328"/>
      <c r="DX161" s="328"/>
      <c r="DY161" s="172"/>
      <c r="DZ161" s="172"/>
      <c r="EA161" s="278"/>
      <c r="EB161" s="278"/>
      <c r="EC161" s="337"/>
      <c r="ED161" s="337"/>
      <c r="EE161" s="337"/>
      <c r="EF161" s="337"/>
      <c r="EG161" s="337"/>
      <c r="EH161" s="337"/>
      <c r="EI161" s="337"/>
      <c r="EJ161" s="337"/>
      <c r="EK161" s="337"/>
      <c r="EL161" s="337"/>
      <c r="EM161" s="337"/>
      <c r="EN161" s="337"/>
      <c r="EO161" s="337"/>
      <c r="EP161" s="337"/>
      <c r="EQ161" s="337"/>
      <c r="ER161" s="337"/>
      <c r="ES161" s="337"/>
      <c r="ET161" s="337"/>
      <c r="EU161" s="328"/>
      <c r="EV161" s="278"/>
      <c r="EW161" s="278"/>
      <c r="EX161" s="278"/>
      <c r="EY161" s="278"/>
      <c r="EZ161" s="278"/>
      <c r="FA161" s="278"/>
      <c r="FB161" s="278"/>
      <c r="FC161" s="278"/>
      <c r="FD161" s="278"/>
      <c r="FE161" s="278"/>
      <c r="FF161" s="278"/>
      <c r="FG161" s="278"/>
      <c r="FH161" s="43"/>
      <c r="FI161" s="43"/>
      <c r="FJ161" s="43"/>
      <c r="FK161" s="43"/>
      <c r="FL161" s="278"/>
      <c r="FM161" s="183"/>
      <c r="FN161" s="183"/>
      <c r="FO161" s="185"/>
      <c r="FP161" s="183"/>
      <c r="FQ161" s="183"/>
      <c r="FR161" s="49"/>
      <c r="FS161" s="49"/>
      <c r="FT161" s="49"/>
      <c r="FU161" s="49"/>
      <c r="FV161" s="49"/>
      <c r="FW161" s="49"/>
      <c r="FX161" s="49"/>
      <c r="FY161" s="32"/>
      <c r="FZ161" s="32"/>
      <c r="GA161" s="32"/>
      <c r="GB161" s="32"/>
      <c r="GC161" s="32"/>
      <c r="GD161" s="32"/>
      <c r="GE161" s="32"/>
      <c r="GF161" s="32"/>
      <c r="GG161" s="32"/>
      <c r="GH161" s="32"/>
      <c r="GI161" s="32"/>
      <c r="GJ161" s="32"/>
      <c r="GK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78"/>
      <c r="HO161" s="78"/>
      <c r="HP161" s="78"/>
      <c r="HQ161" s="13"/>
      <c r="HR161" s="13"/>
      <c r="HS161" s="13"/>
      <c r="HT161" s="13"/>
      <c r="HU161" s="13"/>
      <c r="HV161" s="13"/>
      <c r="HW161" s="13"/>
      <c r="HX161" s="13"/>
      <c r="HY161" s="13"/>
      <c r="HZ161" s="13"/>
      <c r="IA161" s="13"/>
    </row>
    <row r="162" spans="1:237" ht="16.95" customHeight="1">
      <c r="A162" s="1"/>
      <c r="B162" s="3"/>
      <c r="C162" s="3"/>
      <c r="D162" s="124" t="str">
        <f ca="1">IF(FO159=0,"","Zoals je ziet is er nu sprake van een flink producentensurplus. Het consumenten-")</f>
        <v/>
      </c>
      <c r="E162" s="373"/>
      <c r="F162" s="373"/>
      <c r="G162" s="373"/>
      <c r="H162" s="373"/>
      <c r="I162" s="373"/>
      <c r="J162" s="376"/>
      <c r="K162" s="376"/>
      <c r="L162" s="376"/>
      <c r="M162" s="376"/>
      <c r="N162" s="376"/>
      <c r="O162" s="376"/>
      <c r="P162" s="376"/>
      <c r="Q162" s="376"/>
      <c r="R162" s="376"/>
      <c r="S162" s="376"/>
      <c r="T162" s="376"/>
      <c r="U162" s="376"/>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c r="BT162" s="79"/>
      <c r="BU162" s="79"/>
      <c r="BV162" s="79"/>
      <c r="BW162" s="79"/>
      <c r="BX162" s="79"/>
      <c r="BY162" s="79"/>
      <c r="BZ162" s="79"/>
      <c r="CA162" s="79"/>
      <c r="CB162" s="79"/>
      <c r="CC162" s="79"/>
      <c r="CD162" s="79"/>
      <c r="CE162" s="79"/>
      <c r="CF162" s="79"/>
      <c r="CG162" s="79"/>
      <c r="CH162" s="79"/>
      <c r="CI162" s="79"/>
      <c r="CJ162" s="79"/>
      <c r="CK162" s="43"/>
      <c r="CL162" s="43"/>
      <c r="CM162" s="43"/>
      <c r="CN162" s="43"/>
      <c r="CO162" s="43"/>
      <c r="CP162" s="376"/>
      <c r="CQ162" s="376"/>
      <c r="CR162" s="376"/>
      <c r="CS162" s="376"/>
      <c r="CT162" s="376"/>
      <c r="CU162" s="376"/>
      <c r="CV162" s="376"/>
      <c r="CW162" s="376"/>
      <c r="CX162" s="376"/>
      <c r="CY162" s="376"/>
      <c r="CZ162" s="376"/>
      <c r="DA162" s="376"/>
      <c r="DB162" s="376"/>
      <c r="DC162" s="376"/>
      <c r="DD162" s="376"/>
      <c r="DE162" s="376"/>
      <c r="DF162" s="376"/>
      <c r="DG162" s="376"/>
      <c r="DH162" s="376"/>
      <c r="DI162" s="376"/>
      <c r="DJ162" s="376"/>
      <c r="DK162" s="376"/>
      <c r="DL162" s="376"/>
      <c r="DM162" s="376"/>
      <c r="DN162" s="376"/>
      <c r="DO162" s="376"/>
      <c r="DP162" s="376"/>
      <c r="DQ162" s="376"/>
      <c r="DR162" s="376"/>
      <c r="DS162" s="376"/>
      <c r="DT162" s="376"/>
      <c r="DU162" s="376"/>
      <c r="DV162" s="376"/>
      <c r="DW162" s="376"/>
      <c r="DX162" s="376"/>
      <c r="DY162" s="376"/>
      <c r="DZ162" s="376"/>
      <c r="EA162" s="376"/>
      <c r="EB162" s="376"/>
      <c r="EC162" s="376"/>
      <c r="ED162" s="376"/>
      <c r="EE162" s="376"/>
      <c r="EF162" s="376"/>
      <c r="EG162" s="376"/>
      <c r="EH162" s="376"/>
      <c r="EI162" s="376"/>
      <c r="EJ162" s="376"/>
      <c r="EK162" s="376"/>
      <c r="EL162" s="376"/>
      <c r="EM162" s="376"/>
      <c r="EN162" s="376"/>
      <c r="EO162" s="376"/>
      <c r="EP162" s="376"/>
      <c r="EQ162" s="376"/>
      <c r="ER162" s="376"/>
      <c r="ES162" s="376"/>
      <c r="ET162" s="376"/>
      <c r="EU162" s="376"/>
      <c r="EV162" s="376"/>
      <c r="EW162" s="376"/>
      <c r="EX162" s="376"/>
      <c r="EY162" s="376"/>
      <c r="EZ162" s="376"/>
      <c r="FA162" s="43"/>
      <c r="FB162" s="43"/>
      <c r="FC162" s="43"/>
      <c r="FD162" s="43"/>
      <c r="FE162" s="43"/>
      <c r="FF162" s="43"/>
      <c r="FG162" s="43"/>
      <c r="FH162" s="43"/>
      <c r="FI162" s="79"/>
      <c r="FJ162" s="79"/>
      <c r="FK162" s="79"/>
      <c r="FL162" s="79"/>
      <c r="FM162" s="93"/>
      <c r="FN162" s="93"/>
      <c r="FO162" s="338"/>
      <c r="FP162" s="338"/>
      <c r="FQ162" s="338"/>
      <c r="FR162" s="338"/>
      <c r="FS162" s="338"/>
      <c r="FT162" s="338"/>
      <c r="FU162" s="338"/>
      <c r="FV162" s="338"/>
      <c r="FW162" s="338"/>
      <c r="FX162" s="338"/>
      <c r="FY162" s="32"/>
      <c r="FZ162" s="32"/>
      <c r="GA162" s="32"/>
      <c r="GB162" s="32"/>
      <c r="GC162" s="32"/>
      <c r="GD162" s="32"/>
      <c r="GE162" s="32"/>
      <c r="GF162" s="32"/>
      <c r="GG162" s="32"/>
      <c r="GH162" s="32"/>
      <c r="GI162" s="32"/>
      <c r="GJ162" s="32"/>
      <c r="GK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38"/>
      <c r="HO162" s="338"/>
      <c r="HP162" s="338"/>
      <c r="HQ162" s="13"/>
      <c r="HR162" s="13"/>
      <c r="HS162" s="13"/>
      <c r="HT162" s="13"/>
      <c r="HU162" s="13"/>
      <c r="HV162" s="13"/>
      <c r="HW162" s="13"/>
      <c r="HX162" s="13"/>
      <c r="HY162" s="13"/>
      <c r="HZ162" s="13"/>
      <c r="IA162" s="13"/>
    </row>
    <row r="163" spans="1:237" ht="16.95" customHeight="1">
      <c r="A163" s="1"/>
      <c r="B163" s="3"/>
      <c r="C163" s="3"/>
      <c r="D163" s="124" t="str">
        <f ca="1">IF(FO159=0,"","surplus is door de hogere verkoopprijs sterker geslonken dan het producenten-")</f>
        <v/>
      </c>
      <c r="E163" s="373"/>
      <c r="F163" s="373"/>
      <c r="G163" s="373"/>
      <c r="H163" s="373"/>
      <c r="I163" s="373"/>
      <c r="J163" s="376"/>
      <c r="K163" s="376"/>
      <c r="L163" s="376"/>
      <c r="M163" s="376"/>
      <c r="N163" s="376"/>
      <c r="O163" s="376"/>
      <c r="P163" s="376"/>
      <c r="Q163" s="376"/>
      <c r="R163" s="376"/>
      <c r="S163" s="376"/>
      <c r="T163" s="376"/>
      <c r="U163" s="376"/>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c r="BT163" s="79"/>
      <c r="BU163" s="79"/>
      <c r="BV163" s="79"/>
      <c r="BW163" s="79"/>
      <c r="BX163" s="79"/>
      <c r="BY163" s="79"/>
      <c r="BZ163" s="79"/>
      <c r="CA163" s="79"/>
      <c r="CB163" s="79"/>
      <c r="CC163" s="79"/>
      <c r="CD163" s="79"/>
      <c r="CE163" s="79"/>
      <c r="CF163" s="79"/>
      <c r="CG163" s="79"/>
      <c r="CH163" s="79"/>
      <c r="CI163" s="79"/>
      <c r="CJ163" s="79"/>
      <c r="CK163" s="43"/>
      <c r="CL163" s="43"/>
      <c r="CM163" s="43"/>
      <c r="CN163" s="43"/>
      <c r="CO163" s="43"/>
      <c r="CP163" s="376"/>
      <c r="CQ163" s="376"/>
      <c r="CR163" s="376"/>
      <c r="CS163" s="376"/>
      <c r="CT163" s="376"/>
      <c r="CU163" s="376"/>
      <c r="CV163" s="376"/>
      <c r="CW163" s="376"/>
      <c r="CX163" s="376"/>
      <c r="CY163" s="376"/>
      <c r="CZ163" s="376"/>
      <c r="DA163" s="376"/>
      <c r="DB163" s="376"/>
      <c r="DC163" s="376"/>
      <c r="DD163" s="376"/>
      <c r="DE163" s="376"/>
      <c r="DF163" s="376"/>
      <c r="DG163" s="376"/>
      <c r="DH163" s="376"/>
      <c r="DI163" s="376"/>
      <c r="DJ163" s="376"/>
      <c r="DK163" s="376"/>
      <c r="DL163" s="376"/>
      <c r="DM163" s="376"/>
      <c r="DN163" s="376"/>
      <c r="DO163" s="376"/>
      <c r="DP163" s="376"/>
      <c r="DQ163" s="376"/>
      <c r="DR163" s="376"/>
      <c r="DS163" s="376"/>
      <c r="DT163" s="376"/>
      <c r="DU163" s="376"/>
      <c r="DV163" s="376"/>
      <c r="DW163" s="376"/>
      <c r="DX163" s="376"/>
      <c r="DY163" s="376"/>
      <c r="DZ163" s="376"/>
      <c r="EA163" s="376"/>
      <c r="EB163" s="376"/>
      <c r="EC163" s="376"/>
      <c r="ED163" s="376"/>
      <c r="EE163" s="376"/>
      <c r="EF163" s="376"/>
      <c r="EG163" s="376"/>
      <c r="EH163" s="376"/>
      <c r="EI163" s="376"/>
      <c r="EJ163" s="376"/>
      <c r="EK163" s="376"/>
      <c r="EL163" s="376"/>
      <c r="EM163" s="376"/>
      <c r="EN163" s="376"/>
      <c r="EO163" s="376"/>
      <c r="EP163" s="376"/>
      <c r="EQ163" s="376"/>
      <c r="ER163" s="376"/>
      <c r="ES163" s="376"/>
      <c r="ET163" s="376"/>
      <c r="EU163" s="376"/>
      <c r="EV163" s="376"/>
      <c r="EW163" s="376"/>
      <c r="EX163" s="376"/>
      <c r="EY163" s="376"/>
      <c r="EZ163" s="376"/>
      <c r="FA163" s="43"/>
      <c r="FB163" s="43"/>
      <c r="FC163" s="43"/>
      <c r="FD163" s="43"/>
      <c r="FE163" s="43"/>
      <c r="FF163" s="43"/>
      <c r="FG163" s="43"/>
      <c r="FH163" s="43"/>
      <c r="FI163" s="79"/>
      <c r="FJ163" s="79"/>
      <c r="FK163" s="79"/>
      <c r="FL163" s="79"/>
      <c r="FM163" s="93"/>
      <c r="FN163" s="93"/>
      <c r="FO163" s="338"/>
      <c r="FP163" s="338"/>
      <c r="FQ163" s="338"/>
      <c r="FR163" s="338"/>
      <c r="FS163" s="338"/>
      <c r="FT163" s="338"/>
      <c r="FU163" s="338"/>
      <c r="FV163" s="338"/>
      <c r="FW163" s="338"/>
      <c r="FX163" s="338"/>
      <c r="FY163" s="32"/>
      <c r="FZ163" s="32"/>
      <c r="GA163" s="32"/>
      <c r="GB163" s="32"/>
      <c r="GC163" s="32"/>
      <c r="GD163" s="32"/>
      <c r="GE163" s="32"/>
      <c r="GF163" s="32"/>
      <c r="GG163" s="32"/>
      <c r="GH163" s="32"/>
      <c r="GI163" s="32"/>
      <c r="GJ163" s="32"/>
      <c r="GK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38"/>
      <c r="HO163" s="338"/>
      <c r="HP163" s="338"/>
      <c r="HQ163" s="13"/>
      <c r="HR163" s="13"/>
      <c r="HS163" s="13"/>
      <c r="HT163" s="13"/>
      <c r="HU163" s="13"/>
      <c r="HV163" s="13"/>
      <c r="HW163" s="13"/>
      <c r="HX163" s="13"/>
      <c r="HY163" s="13"/>
      <c r="HZ163" s="13"/>
      <c r="IA163" s="13"/>
    </row>
    <row r="164" spans="1:237" ht="16.95" customHeight="1">
      <c r="A164" s="1"/>
      <c r="B164" s="3"/>
      <c r="C164" s="3"/>
      <c r="D164" s="124" t="str">
        <f ca="1">IF(FO159=0,"","surplus is toegenomen en dus is de maatschappelijke welvaart (= som van alle")</f>
        <v/>
      </c>
      <c r="E164" s="373"/>
      <c r="F164" s="373"/>
      <c r="G164" s="373"/>
      <c r="H164" s="373"/>
      <c r="I164" s="373"/>
      <c r="J164" s="376"/>
      <c r="K164" s="376"/>
      <c r="L164" s="376"/>
      <c r="M164" s="376"/>
      <c r="N164" s="376"/>
      <c r="O164" s="376"/>
      <c r="P164" s="376"/>
      <c r="Q164" s="376"/>
      <c r="R164" s="376"/>
      <c r="S164" s="376"/>
      <c r="T164" s="376"/>
      <c r="U164" s="376"/>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79"/>
      <c r="BS164" s="79"/>
      <c r="BT164" s="79"/>
      <c r="BU164" s="79"/>
      <c r="BV164" s="79"/>
      <c r="BW164" s="79"/>
      <c r="BX164" s="79"/>
      <c r="BY164" s="79"/>
      <c r="BZ164" s="79"/>
      <c r="CA164" s="79"/>
      <c r="CB164" s="79"/>
      <c r="CC164" s="79"/>
      <c r="CD164" s="79"/>
      <c r="CE164" s="79"/>
      <c r="CF164" s="79"/>
      <c r="CG164" s="79"/>
      <c r="CH164" s="79"/>
      <c r="CI164" s="79"/>
      <c r="CJ164" s="79"/>
      <c r="CK164" s="43"/>
      <c r="CL164" s="43"/>
      <c r="CM164" s="43"/>
      <c r="CN164" s="43"/>
      <c r="CO164" s="43"/>
      <c r="CP164" s="376"/>
      <c r="CQ164" s="376"/>
      <c r="CR164" s="376"/>
      <c r="CS164" s="376"/>
      <c r="CT164" s="376"/>
      <c r="CU164" s="376"/>
      <c r="CV164" s="376"/>
      <c r="CW164" s="376"/>
      <c r="CX164" s="376"/>
      <c r="CY164" s="376"/>
      <c r="CZ164" s="376"/>
      <c r="DA164" s="376"/>
      <c r="DB164" s="376"/>
      <c r="DC164" s="376"/>
      <c r="DD164" s="376"/>
      <c r="DE164" s="376"/>
      <c r="DF164" s="376"/>
      <c r="DG164" s="376"/>
      <c r="DH164" s="376"/>
      <c r="DI164" s="376"/>
      <c r="DJ164" s="376"/>
      <c r="DK164" s="376"/>
      <c r="DL164" s="376"/>
      <c r="DM164" s="376"/>
      <c r="DN164" s="376"/>
      <c r="DO164" s="376"/>
      <c r="DP164" s="376"/>
      <c r="DQ164" s="376"/>
      <c r="DR164" s="376"/>
      <c r="DS164" s="376"/>
      <c r="DT164" s="376"/>
      <c r="DU164" s="376"/>
      <c r="DV164" s="376"/>
      <c r="DW164" s="376"/>
      <c r="DX164" s="376"/>
      <c r="DY164" s="376"/>
      <c r="DZ164" s="376"/>
      <c r="EA164" s="376"/>
      <c r="EB164" s="376"/>
      <c r="EC164" s="376"/>
      <c r="ED164" s="376"/>
      <c r="EE164" s="376"/>
      <c r="EF164" s="376"/>
      <c r="EG164" s="376"/>
      <c r="EH164" s="376"/>
      <c r="EI164" s="376"/>
      <c r="EJ164" s="376"/>
      <c r="EK164" s="376"/>
      <c r="EL164" s="376"/>
      <c r="EM164" s="376"/>
      <c r="EN164" s="376"/>
      <c r="EO164" s="376"/>
      <c r="EP164" s="376"/>
      <c r="EQ164" s="376"/>
      <c r="ER164" s="376"/>
      <c r="ES164" s="376"/>
      <c r="ET164" s="376"/>
      <c r="EU164" s="376"/>
      <c r="EV164" s="376"/>
      <c r="EW164" s="376"/>
      <c r="EX164" s="376"/>
      <c r="EY164" s="376"/>
      <c r="EZ164" s="376"/>
      <c r="FA164" s="43"/>
      <c r="FB164" s="43"/>
      <c r="FC164" s="43"/>
      <c r="FD164" s="43"/>
      <c r="FE164" s="43"/>
      <c r="FF164" s="43"/>
      <c r="FG164" s="43"/>
      <c r="FH164" s="43"/>
      <c r="FI164" s="79"/>
      <c r="FJ164" s="79"/>
      <c r="FK164" s="79"/>
      <c r="FL164" s="79"/>
      <c r="FM164" s="93"/>
      <c r="FN164" s="93"/>
      <c r="FO164" s="338"/>
      <c r="FP164" s="338"/>
      <c r="FQ164" s="338"/>
      <c r="FR164" s="338"/>
      <c r="FS164" s="338"/>
      <c r="FT164" s="338"/>
      <c r="FU164" s="338"/>
      <c r="FV164" s="338"/>
      <c r="FW164" s="338"/>
      <c r="FX164" s="338"/>
      <c r="FY164" s="32"/>
      <c r="FZ164" s="32"/>
      <c r="GA164" s="32"/>
      <c r="GB164" s="32"/>
      <c r="GC164" s="32"/>
      <c r="GD164" s="32"/>
      <c r="GE164" s="32"/>
      <c r="GF164" s="32"/>
      <c r="GG164" s="32"/>
      <c r="GH164" s="32"/>
      <c r="GI164" s="32"/>
      <c r="GJ164" s="32"/>
      <c r="GK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38"/>
      <c r="HO164" s="338"/>
      <c r="HP164" s="338"/>
      <c r="HQ164" s="13"/>
      <c r="HR164" s="13"/>
      <c r="HS164" s="13"/>
      <c r="HT164" s="13"/>
      <c r="HU164" s="13"/>
      <c r="HV164" s="13"/>
      <c r="HW164" s="13"/>
      <c r="HX164" s="13"/>
      <c r="HY164" s="13"/>
      <c r="HZ164" s="13"/>
      <c r="IA164" s="13"/>
    </row>
    <row r="165" spans="1:237" ht="16.95" customHeight="1">
      <c r="A165" s="1"/>
      <c r="B165" s="3"/>
      <c r="C165" s="3"/>
      <c r="D165" s="124" t="str">
        <f ca="1">IF(FO159=0,"","surplus) gedaald. Waardoor is de afname van het consumentensurplus groter")</f>
        <v/>
      </c>
      <c r="E165" s="373"/>
      <c r="F165" s="373"/>
      <c r="G165" s="373"/>
      <c r="H165" s="373"/>
      <c r="I165" s="373"/>
      <c r="J165" s="376"/>
      <c r="K165" s="376"/>
      <c r="L165" s="376"/>
      <c r="M165" s="376"/>
      <c r="N165" s="376"/>
      <c r="O165" s="376"/>
      <c r="P165" s="376"/>
      <c r="Q165" s="376"/>
      <c r="R165" s="376"/>
      <c r="S165" s="376"/>
      <c r="T165" s="376"/>
      <c r="U165" s="376"/>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c r="BI165" s="79"/>
      <c r="BJ165" s="79"/>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c r="CJ165" s="79"/>
      <c r="CK165" s="43"/>
      <c r="CL165" s="43"/>
      <c r="CM165" s="43"/>
      <c r="CN165" s="43"/>
      <c r="CO165" s="43"/>
      <c r="CP165" s="376"/>
      <c r="CQ165" s="376"/>
      <c r="CR165" s="376"/>
      <c r="CS165" s="376"/>
      <c r="CT165" s="376"/>
      <c r="CU165" s="376"/>
      <c r="CV165" s="376"/>
      <c r="CW165" s="376"/>
      <c r="CX165" s="376"/>
      <c r="CY165" s="376"/>
      <c r="CZ165" s="376"/>
      <c r="DA165" s="376"/>
      <c r="DB165" s="376"/>
      <c r="DC165" s="376"/>
      <c r="DD165" s="376"/>
      <c r="DE165" s="376"/>
      <c r="DF165" s="376"/>
      <c r="DG165" s="376"/>
      <c r="DH165" s="376"/>
      <c r="DI165" s="376"/>
      <c r="DJ165" s="376"/>
      <c r="DK165" s="376"/>
      <c r="DL165" s="376"/>
      <c r="DM165" s="376"/>
      <c r="DN165" s="376"/>
      <c r="DO165" s="376"/>
      <c r="DP165" s="376"/>
      <c r="DQ165" s="376"/>
      <c r="DR165" s="376"/>
      <c r="DS165" s="376"/>
      <c r="DT165" s="376"/>
      <c r="DU165" s="376"/>
      <c r="DV165" s="376"/>
      <c r="DW165" s="376"/>
      <c r="DX165" s="376"/>
      <c r="DY165" s="376"/>
      <c r="DZ165" s="376"/>
      <c r="EA165" s="376"/>
      <c r="EB165" s="376"/>
      <c r="EC165" s="376"/>
      <c r="ED165" s="376"/>
      <c r="EE165" s="376"/>
      <c r="EF165" s="376"/>
      <c r="EG165" s="376"/>
      <c r="EH165" s="376"/>
      <c r="EI165" s="376"/>
      <c r="EJ165" s="376"/>
      <c r="EK165" s="376"/>
      <c r="EL165" s="376"/>
      <c r="EM165" s="376"/>
      <c r="EN165" s="376"/>
      <c r="EO165" s="376"/>
      <c r="EP165" s="376"/>
      <c r="EQ165" s="376"/>
      <c r="ER165" s="376"/>
      <c r="ES165" s="376"/>
      <c r="ET165" s="376"/>
      <c r="EU165" s="376"/>
      <c r="EV165" s="376"/>
      <c r="EW165" s="376"/>
      <c r="EX165" s="376"/>
      <c r="EY165" s="376"/>
      <c r="EZ165" s="376"/>
      <c r="FA165" s="43"/>
      <c r="FB165" s="43"/>
      <c r="FC165" s="43"/>
      <c r="FD165" s="43"/>
      <c r="FE165" s="43"/>
      <c r="FF165" s="43"/>
      <c r="FG165" s="43"/>
      <c r="FH165" s="43"/>
      <c r="FI165" s="79"/>
      <c r="FJ165" s="79"/>
      <c r="FK165" s="79"/>
      <c r="FL165" s="79"/>
      <c r="FM165" s="93"/>
      <c r="FN165" s="93"/>
      <c r="FO165" s="338"/>
      <c r="FP165" s="338"/>
      <c r="FQ165" s="338"/>
      <c r="FR165" s="338"/>
      <c r="FS165" s="338"/>
      <c r="FT165" s="338"/>
      <c r="FU165" s="338"/>
      <c r="FV165" s="338"/>
      <c r="FW165" s="338"/>
      <c r="FX165" s="338"/>
      <c r="FY165" s="32"/>
      <c r="FZ165" s="32"/>
      <c r="GA165" s="32"/>
      <c r="GB165" s="32"/>
      <c r="GC165" s="32"/>
      <c r="GD165" s="32"/>
      <c r="GE165" s="32"/>
      <c r="GF165" s="32"/>
      <c r="GG165" s="32"/>
      <c r="GH165" s="32"/>
      <c r="GI165" s="32"/>
      <c r="GJ165" s="32"/>
      <c r="GK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38"/>
      <c r="HO165" s="338"/>
      <c r="HP165" s="338"/>
      <c r="HQ165" s="13"/>
      <c r="HR165" s="13"/>
      <c r="HS165" s="13"/>
      <c r="HT165" s="13"/>
      <c r="HU165" s="13"/>
      <c r="HV165" s="13"/>
      <c r="HW165" s="13"/>
      <c r="HX165" s="13"/>
      <c r="HY165" s="13"/>
      <c r="HZ165" s="13"/>
      <c r="IA165" s="13"/>
    </row>
    <row r="166" spans="1:237" ht="16.95" customHeight="1">
      <c r="A166" s="1"/>
      <c r="B166" s="3"/>
      <c r="C166" s="3"/>
      <c r="D166" s="124" t="str">
        <f ca="1">IF(FO159=0,"","dan de toename van het producentensurplus?")</f>
        <v/>
      </c>
      <c r="E166" s="373"/>
      <c r="F166" s="373"/>
      <c r="G166" s="373"/>
      <c r="H166" s="373"/>
      <c r="I166" s="373"/>
      <c r="J166" s="376"/>
      <c r="K166" s="376"/>
      <c r="L166" s="376"/>
      <c r="M166" s="376"/>
      <c r="N166" s="376"/>
      <c r="O166" s="376"/>
      <c r="P166" s="376"/>
      <c r="Q166" s="376"/>
      <c r="R166" s="376"/>
      <c r="S166" s="376"/>
      <c r="T166" s="376"/>
      <c r="U166" s="376"/>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c r="CA166" s="79"/>
      <c r="CB166" s="79"/>
      <c r="CC166" s="79"/>
      <c r="CD166" s="79"/>
      <c r="CE166" s="79"/>
      <c r="CF166" s="79"/>
      <c r="CG166" s="79"/>
      <c r="CH166" s="79"/>
      <c r="CI166" s="79"/>
      <c r="CJ166" s="79"/>
      <c r="CK166" s="43"/>
      <c r="CL166" s="43"/>
      <c r="CM166" s="43"/>
      <c r="CN166" s="43"/>
      <c r="CO166" s="43"/>
      <c r="CP166" s="376"/>
      <c r="CQ166" s="376"/>
      <c r="CR166" s="376"/>
      <c r="CS166" s="376"/>
      <c r="CT166" s="376"/>
      <c r="CU166" s="376"/>
      <c r="CV166" s="376"/>
      <c r="CW166" s="376"/>
      <c r="CX166" s="376"/>
      <c r="CY166" s="376"/>
      <c r="CZ166" s="376"/>
      <c r="DA166" s="376"/>
      <c r="DB166" s="376"/>
      <c r="DC166" s="376"/>
      <c r="DD166" s="376"/>
      <c r="DE166" s="376"/>
      <c r="DF166" s="376"/>
      <c r="DG166" s="376"/>
      <c r="DH166" s="376"/>
      <c r="DI166" s="376"/>
      <c r="DJ166" s="376"/>
      <c r="DK166" s="376"/>
      <c r="DL166" s="376"/>
      <c r="DM166" s="376"/>
      <c r="DN166" s="376"/>
      <c r="DO166" s="376"/>
      <c r="DP166" s="376"/>
      <c r="DQ166" s="376"/>
      <c r="DR166" s="376"/>
      <c r="DS166" s="376"/>
      <c r="DT166" s="376"/>
      <c r="DU166" s="376"/>
      <c r="DV166" s="376"/>
      <c r="DW166" s="376"/>
      <c r="DX166" s="376"/>
      <c r="DY166" s="376"/>
      <c r="DZ166" s="376"/>
      <c r="EA166" s="376"/>
      <c r="EB166" s="376"/>
      <c r="EC166" s="376"/>
      <c r="ED166" s="376"/>
      <c r="EE166" s="376"/>
      <c r="EF166" s="376"/>
      <c r="EG166" s="376"/>
      <c r="EH166" s="376"/>
      <c r="EI166" s="376"/>
      <c r="EJ166" s="376"/>
      <c r="EK166" s="376"/>
      <c r="EL166" s="376"/>
      <c r="EM166" s="376"/>
      <c r="EN166" s="376"/>
      <c r="EO166" s="376"/>
      <c r="EP166" s="376"/>
      <c r="EQ166" s="376"/>
      <c r="ER166" s="376"/>
      <c r="ES166" s="376"/>
      <c r="ET166" s="376"/>
      <c r="EU166" s="376"/>
      <c r="EV166" s="376"/>
      <c r="EW166" s="376"/>
      <c r="EX166" s="376"/>
      <c r="EY166" s="376"/>
      <c r="EZ166" s="376"/>
      <c r="FA166" s="43"/>
      <c r="FB166" s="43"/>
      <c r="FC166" s="43"/>
      <c r="FD166" s="43"/>
      <c r="FE166" s="43"/>
      <c r="FF166" s="43"/>
      <c r="FG166" s="43"/>
      <c r="FH166" s="43"/>
      <c r="FI166" s="79"/>
      <c r="FJ166" s="79"/>
      <c r="FK166" s="79"/>
      <c r="FL166" s="79"/>
      <c r="FM166" s="93"/>
      <c r="FN166" s="93"/>
      <c r="FO166" s="338"/>
      <c r="FP166" s="338"/>
      <c r="FQ166" s="338"/>
      <c r="FR166" s="338"/>
      <c r="FS166" s="338"/>
      <c r="FT166" s="338"/>
      <c r="FU166" s="338"/>
      <c r="FV166" s="338"/>
      <c r="FW166" s="338"/>
      <c r="FX166" s="338"/>
      <c r="FY166" s="32"/>
      <c r="FZ166" s="32"/>
      <c r="GA166" s="32"/>
      <c r="GB166" s="32"/>
      <c r="GC166" s="32"/>
      <c r="GD166" s="32"/>
      <c r="GE166" s="32"/>
      <c r="GF166" s="32"/>
      <c r="GG166" s="32"/>
      <c r="GH166" s="32"/>
      <c r="GI166" s="32"/>
      <c r="GJ166" s="32"/>
      <c r="GK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38"/>
      <c r="HO166" s="338"/>
      <c r="HP166" s="338"/>
      <c r="HQ166" s="13"/>
      <c r="HR166" s="13"/>
      <c r="HS166" s="13"/>
      <c r="HT166" s="13"/>
      <c r="HU166" s="13"/>
      <c r="HV166" s="13"/>
      <c r="HW166" s="13"/>
      <c r="HX166" s="13"/>
      <c r="HY166" s="13"/>
      <c r="HZ166" s="13"/>
      <c r="IA166" s="13"/>
    </row>
    <row r="167" spans="1:237" s="268" customFormat="1" ht="8.4" customHeight="1">
      <c r="A167" s="60"/>
      <c r="B167" s="69"/>
      <c r="C167" s="69"/>
      <c r="D167" s="331"/>
      <c r="E167" s="331"/>
      <c r="F167" s="331"/>
      <c r="G167" s="331"/>
      <c r="H167" s="331"/>
      <c r="I167" s="331"/>
      <c r="J167" s="331"/>
      <c r="K167" s="331"/>
      <c r="L167" s="331"/>
      <c r="M167" s="331"/>
      <c r="N167" s="331"/>
      <c r="O167" s="331"/>
      <c r="DE167" s="717" t="str">
        <f ca="1">IF(FO159=0,"",IF(H169="","",IF(FO169=1,"Goed! Een aantal kopers valt af, waardoor het surplus dat zij hadden gewoon verdwenen is.",IF(H169=FS169,"Fout! Dat verklaart niet waarom de afname groter is.",IF(H169=FU169,"Fout! Dat omzet is hier juist gestegen.","Fout! Die stijging komt door de constante kosten maar die doen er bij het surplus niet toe.")))))</f>
        <v/>
      </c>
      <c r="DF167" s="718"/>
      <c r="DG167" s="718"/>
      <c r="DH167" s="718"/>
      <c r="DI167" s="718"/>
      <c r="DJ167" s="718"/>
      <c r="DK167" s="718"/>
      <c r="DL167" s="718"/>
      <c r="DM167" s="718"/>
      <c r="DN167" s="718"/>
      <c r="DO167" s="718"/>
      <c r="DP167" s="718"/>
      <c r="DQ167" s="718"/>
      <c r="DR167" s="718"/>
      <c r="DS167" s="718"/>
      <c r="DT167" s="718"/>
      <c r="DU167" s="718"/>
      <c r="DV167" s="718"/>
      <c r="DW167" s="718"/>
      <c r="DX167" s="718"/>
      <c r="DY167" s="718"/>
      <c r="DZ167" s="718"/>
      <c r="EA167" s="718"/>
      <c r="EB167" s="718"/>
      <c r="EC167" s="718"/>
      <c r="ED167" s="718"/>
      <c r="EE167" s="718"/>
      <c r="EF167" s="718"/>
      <c r="EG167" s="718"/>
      <c r="EH167" s="718"/>
      <c r="EI167" s="718"/>
      <c r="EJ167" s="718"/>
      <c r="EK167" s="718"/>
      <c r="EL167" s="718"/>
      <c r="EM167" s="718"/>
      <c r="EN167" s="718"/>
      <c r="EO167" s="718"/>
      <c r="EP167" s="718"/>
      <c r="EQ167" s="718"/>
      <c r="ER167" s="718"/>
      <c r="ES167" s="718"/>
      <c r="ET167" s="718"/>
      <c r="EU167" s="718"/>
      <c r="EV167" s="718"/>
      <c r="EW167" s="718"/>
      <c r="EX167" s="718"/>
      <c r="EY167" s="718"/>
      <c r="EZ167" s="718"/>
      <c r="FA167" s="718"/>
      <c r="FB167" s="718"/>
      <c r="FC167" s="718"/>
      <c r="FD167" s="718"/>
      <c r="FE167" s="718"/>
      <c r="FF167" s="718"/>
      <c r="FG167" s="718"/>
      <c r="FH167" s="718"/>
      <c r="FI167" s="718"/>
      <c r="FJ167" s="718"/>
      <c r="FK167" s="718"/>
      <c r="FL167" s="43"/>
      <c r="FM167" s="257"/>
      <c r="FN167" s="257"/>
      <c r="FO167" s="257"/>
      <c r="FP167" s="257"/>
      <c r="FQ167" s="300"/>
      <c r="FR167" s="277"/>
      <c r="FS167" s="277"/>
      <c r="FT167" s="277"/>
      <c r="FU167" s="277"/>
      <c r="FV167" s="277"/>
      <c r="FW167" s="277"/>
      <c r="FX167" s="277"/>
      <c r="FY167" s="32"/>
      <c r="FZ167" s="32"/>
      <c r="GA167" s="32"/>
      <c r="GB167" s="32"/>
      <c r="GC167" s="32"/>
      <c r="GD167" s="32"/>
      <c r="GE167" s="32"/>
      <c r="GF167" s="32"/>
      <c r="GG167" s="32"/>
      <c r="GH167" s="32"/>
      <c r="GI167" s="32"/>
      <c r="GJ167" s="32"/>
      <c r="GK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38"/>
      <c r="HO167" s="338"/>
      <c r="HP167" s="338"/>
      <c r="HQ167" s="13"/>
      <c r="HR167" s="13"/>
      <c r="HS167" s="13"/>
      <c r="HT167" s="13"/>
      <c r="HU167" s="13"/>
      <c r="HV167" s="13"/>
      <c r="HW167" s="13"/>
      <c r="HX167" s="13"/>
      <c r="HY167" s="13"/>
      <c r="HZ167" s="13"/>
      <c r="IA167" s="13"/>
      <c r="IB167"/>
      <c r="IC167"/>
    </row>
    <row r="168" spans="1:237" s="268" customFormat="1" ht="3.6" customHeight="1">
      <c r="A168" s="60"/>
      <c r="B168" s="69"/>
      <c r="C168" s="69"/>
      <c r="D168" s="331"/>
      <c r="E168" s="331"/>
      <c r="F168" s="331"/>
      <c r="G168" s="538" t="str">
        <f ca="1">IF(FO159=0,"",".")</f>
        <v/>
      </c>
      <c r="H168" s="545"/>
      <c r="I168" s="545"/>
      <c r="J168" s="545"/>
      <c r="K168" s="545"/>
      <c r="L168" s="545"/>
      <c r="M168" s="545"/>
      <c r="N168" s="545"/>
      <c r="O168" s="545"/>
      <c r="P168" s="545"/>
      <c r="Q168" s="545"/>
      <c r="R168" s="545"/>
      <c r="S168" s="545"/>
      <c r="T168" s="545"/>
      <c r="U168" s="545"/>
      <c r="V168" s="545"/>
      <c r="W168" s="545"/>
      <c r="X168" s="545"/>
      <c r="Y168" s="545"/>
      <c r="Z168" s="545"/>
      <c r="AA168" s="545"/>
      <c r="AB168" s="545"/>
      <c r="AC168" s="545"/>
      <c r="AD168" s="545"/>
      <c r="AE168" s="545"/>
      <c r="AF168" s="545"/>
      <c r="AG168" s="545"/>
      <c r="AH168" s="545"/>
      <c r="AI168" s="545"/>
      <c r="AJ168" s="545"/>
      <c r="AK168" s="545"/>
      <c r="AL168" s="545"/>
      <c r="AM168" s="545"/>
      <c r="AN168" s="545"/>
      <c r="AO168" s="545"/>
      <c r="AP168" s="545"/>
      <c r="AQ168" s="545"/>
      <c r="AR168" s="545"/>
      <c r="AS168" s="545"/>
      <c r="AT168" s="545"/>
      <c r="AU168" s="545"/>
      <c r="AV168" s="545"/>
      <c r="AW168" s="545"/>
      <c r="AX168" s="545"/>
      <c r="AY168" s="545"/>
      <c r="AZ168" s="545"/>
      <c r="BA168" s="545"/>
      <c r="BB168" s="545"/>
      <c r="BC168" s="545"/>
      <c r="BD168" s="545"/>
      <c r="BE168" s="545"/>
      <c r="BF168" s="545"/>
      <c r="BG168" s="545"/>
      <c r="BH168" s="545"/>
      <c r="BI168" s="545"/>
      <c r="BJ168" s="545"/>
      <c r="BK168" s="545"/>
      <c r="BL168" s="545"/>
      <c r="BM168" s="545"/>
      <c r="BN168" s="545"/>
      <c r="BO168" s="545"/>
      <c r="BP168" s="545"/>
      <c r="BQ168" s="545"/>
      <c r="BR168" s="545"/>
      <c r="BS168" s="545"/>
      <c r="BT168" s="545"/>
      <c r="BU168" s="545"/>
      <c r="BV168" s="545"/>
      <c r="BW168" s="545"/>
      <c r="BX168" s="545"/>
      <c r="BY168" s="545"/>
      <c r="BZ168" s="545"/>
      <c r="CA168" s="545"/>
      <c r="CB168" s="545"/>
      <c r="CC168" s="545"/>
      <c r="CD168" s="545"/>
      <c r="CE168" s="545"/>
      <c r="CF168" s="545"/>
      <c r="CG168" s="545"/>
      <c r="CH168" s="545"/>
      <c r="CI168" s="545"/>
      <c r="CJ168" s="545"/>
      <c r="CK168" s="545"/>
      <c r="CL168" s="545"/>
      <c r="CM168" s="545"/>
      <c r="CN168" s="545"/>
      <c r="CO168" s="545"/>
      <c r="CP168" s="545"/>
      <c r="CQ168" s="545"/>
      <c r="CR168" s="545"/>
      <c r="CS168" s="545"/>
      <c r="CT168" s="545"/>
      <c r="CU168" s="545"/>
      <c r="CV168" s="545"/>
      <c r="CW168" s="545"/>
      <c r="CX168" s="545"/>
      <c r="CY168" s="545"/>
      <c r="CZ168" s="545"/>
      <c r="DA168" s="545"/>
      <c r="DB168" s="545"/>
      <c r="DC168" s="545"/>
      <c r="DD168" s="141"/>
      <c r="DE168" s="718"/>
      <c r="DF168" s="718"/>
      <c r="DG168" s="718"/>
      <c r="DH168" s="718"/>
      <c r="DI168" s="718"/>
      <c r="DJ168" s="718"/>
      <c r="DK168" s="718"/>
      <c r="DL168" s="718"/>
      <c r="DM168" s="718"/>
      <c r="DN168" s="718"/>
      <c r="DO168" s="718"/>
      <c r="DP168" s="718"/>
      <c r="DQ168" s="718"/>
      <c r="DR168" s="718"/>
      <c r="DS168" s="718"/>
      <c r="DT168" s="718"/>
      <c r="DU168" s="718"/>
      <c r="DV168" s="718"/>
      <c r="DW168" s="718"/>
      <c r="DX168" s="718"/>
      <c r="DY168" s="718"/>
      <c r="DZ168" s="718"/>
      <c r="EA168" s="718"/>
      <c r="EB168" s="718"/>
      <c r="EC168" s="718"/>
      <c r="ED168" s="718"/>
      <c r="EE168" s="718"/>
      <c r="EF168" s="718"/>
      <c r="EG168" s="718"/>
      <c r="EH168" s="718"/>
      <c r="EI168" s="718"/>
      <c r="EJ168" s="718"/>
      <c r="EK168" s="718"/>
      <c r="EL168" s="718"/>
      <c r="EM168" s="718"/>
      <c r="EN168" s="718"/>
      <c r="EO168" s="718"/>
      <c r="EP168" s="718"/>
      <c r="EQ168" s="718"/>
      <c r="ER168" s="718"/>
      <c r="ES168" s="718"/>
      <c r="ET168" s="718"/>
      <c r="EU168" s="718"/>
      <c r="EV168" s="718"/>
      <c r="EW168" s="718"/>
      <c r="EX168" s="718"/>
      <c r="EY168" s="718"/>
      <c r="EZ168" s="718"/>
      <c r="FA168" s="718"/>
      <c r="FB168" s="718"/>
      <c r="FC168" s="718"/>
      <c r="FD168" s="718"/>
      <c r="FE168" s="718"/>
      <c r="FF168" s="718"/>
      <c r="FG168" s="718"/>
      <c r="FH168" s="718"/>
      <c r="FI168" s="718"/>
      <c r="FJ168" s="718"/>
      <c r="FK168" s="718"/>
      <c r="FL168" s="43"/>
      <c r="FM168" s="257"/>
      <c r="FN168" s="257"/>
      <c r="FO168" s="257"/>
      <c r="FP168" s="257"/>
      <c r="FQ168" s="300"/>
      <c r="FR168" s="277"/>
      <c r="FS168" s="277"/>
      <c r="FT168" s="277"/>
      <c r="FU168" s="277"/>
      <c r="FV168" s="277"/>
      <c r="FW168" s="277"/>
      <c r="FX168" s="277"/>
      <c r="FY168" s="32"/>
      <c r="FZ168" s="32"/>
      <c r="GA168" s="32"/>
      <c r="GB168" s="32"/>
      <c r="GC168" s="32"/>
      <c r="GD168" s="32"/>
      <c r="GE168" s="32"/>
      <c r="GF168" s="32"/>
      <c r="GG168" s="32"/>
      <c r="GH168" s="32"/>
      <c r="GI168" s="32"/>
      <c r="GJ168" s="32"/>
      <c r="GK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38"/>
      <c r="HO168" s="338"/>
      <c r="HP168" s="338"/>
      <c r="HQ168" s="13"/>
      <c r="HR168" s="13"/>
      <c r="HS168" s="13"/>
      <c r="HT168" s="13"/>
      <c r="HU168" s="13"/>
      <c r="HV168" s="13"/>
      <c r="HW168" s="13"/>
      <c r="HX168" s="13"/>
      <c r="HY168" s="13"/>
      <c r="HZ168" s="13"/>
      <c r="IA168" s="13"/>
      <c r="IB168"/>
      <c r="IC168"/>
    </row>
    <row r="169" spans="1:237" s="268" customFormat="1" ht="16.5" customHeight="1">
      <c r="A169" s="60"/>
      <c r="B169" s="69"/>
      <c r="C169" s="69"/>
      <c r="G169" s="327" t="str">
        <f ca="1">IF(FO159=0,"",".")</f>
        <v/>
      </c>
      <c r="H169" s="549"/>
      <c r="I169" s="555"/>
      <c r="J169" s="555"/>
      <c r="K169" s="555"/>
      <c r="L169" s="555"/>
      <c r="M169" s="555"/>
      <c r="N169" s="555"/>
      <c r="O169" s="555"/>
      <c r="P169" s="555"/>
      <c r="Q169" s="555"/>
      <c r="R169" s="555"/>
      <c r="S169" s="555"/>
      <c r="T169" s="555"/>
      <c r="U169" s="555"/>
      <c r="V169" s="555"/>
      <c r="W169" s="555"/>
      <c r="X169" s="555"/>
      <c r="Y169" s="555"/>
      <c r="Z169" s="555"/>
      <c r="AA169" s="555"/>
      <c r="AB169" s="555"/>
      <c r="AC169" s="555"/>
      <c r="AD169" s="555"/>
      <c r="AE169" s="555"/>
      <c r="AF169" s="555"/>
      <c r="AG169" s="555"/>
      <c r="AH169" s="555"/>
      <c r="AI169" s="555"/>
      <c r="AJ169" s="555"/>
      <c r="AK169" s="555"/>
      <c r="AL169" s="555"/>
      <c r="AM169" s="555"/>
      <c r="AN169" s="555"/>
      <c r="AO169" s="555"/>
      <c r="AP169" s="555"/>
      <c r="AQ169" s="555"/>
      <c r="AR169" s="555"/>
      <c r="AS169" s="555"/>
      <c r="AT169" s="555"/>
      <c r="AU169" s="555"/>
      <c r="AV169" s="555"/>
      <c r="AW169" s="555"/>
      <c r="AX169" s="555"/>
      <c r="AY169" s="555"/>
      <c r="AZ169" s="555"/>
      <c r="BA169" s="555"/>
      <c r="BB169" s="555"/>
      <c r="BC169" s="555"/>
      <c r="BD169" s="555"/>
      <c r="BE169" s="555"/>
      <c r="BF169" s="555"/>
      <c r="BG169" s="555"/>
      <c r="BH169" s="555"/>
      <c r="BI169" s="555"/>
      <c r="BJ169" s="555"/>
      <c r="BK169" s="555"/>
      <c r="BL169" s="555"/>
      <c r="BM169" s="555"/>
      <c r="BN169" s="555"/>
      <c r="BO169" s="555"/>
      <c r="BP169" s="555"/>
      <c r="BQ169" s="555"/>
      <c r="BR169" s="555"/>
      <c r="BS169" s="555"/>
      <c r="BT169" s="555"/>
      <c r="BU169" s="555"/>
      <c r="BV169" s="555"/>
      <c r="BW169" s="555"/>
      <c r="BX169" s="555"/>
      <c r="BY169" s="555"/>
      <c r="BZ169" s="555"/>
      <c r="CA169" s="555"/>
      <c r="CB169" s="555"/>
      <c r="CC169" s="555"/>
      <c r="CD169" s="555"/>
      <c r="CE169" s="555"/>
      <c r="CF169" s="555"/>
      <c r="CG169" s="555"/>
      <c r="CH169" s="555"/>
      <c r="CI169" s="555"/>
      <c r="CJ169" s="555"/>
      <c r="CK169" s="555"/>
      <c r="CL169" s="555"/>
      <c r="CM169" s="555"/>
      <c r="CN169" s="555"/>
      <c r="CO169" s="555"/>
      <c r="CP169" s="555"/>
      <c r="CQ169" s="555"/>
      <c r="CR169" s="555"/>
      <c r="CS169" s="555"/>
      <c r="CT169" s="555"/>
      <c r="CU169" s="555"/>
      <c r="CV169" s="555"/>
      <c r="CW169" s="555"/>
      <c r="CX169" s="555"/>
      <c r="CY169" s="555"/>
      <c r="CZ169" s="555"/>
      <c r="DA169" s="555"/>
      <c r="DB169" s="555"/>
      <c r="DC169" s="327" t="str">
        <f ca="1">IF(FO159=0,"",".")</f>
        <v/>
      </c>
      <c r="DD169" s="304" t="s">
        <v>131</v>
      </c>
      <c r="DE169" s="718"/>
      <c r="DF169" s="718"/>
      <c r="DG169" s="718"/>
      <c r="DH169" s="718"/>
      <c r="DI169" s="718"/>
      <c r="DJ169" s="718"/>
      <c r="DK169" s="718"/>
      <c r="DL169" s="718"/>
      <c r="DM169" s="718"/>
      <c r="DN169" s="718"/>
      <c r="DO169" s="718"/>
      <c r="DP169" s="718"/>
      <c r="DQ169" s="718"/>
      <c r="DR169" s="718"/>
      <c r="DS169" s="718"/>
      <c r="DT169" s="718"/>
      <c r="DU169" s="718"/>
      <c r="DV169" s="718"/>
      <c r="DW169" s="718"/>
      <c r="DX169" s="718"/>
      <c r="DY169" s="718"/>
      <c r="DZ169" s="718"/>
      <c r="EA169" s="718"/>
      <c r="EB169" s="718"/>
      <c r="EC169" s="718"/>
      <c r="ED169" s="718"/>
      <c r="EE169" s="718"/>
      <c r="EF169" s="718"/>
      <c r="EG169" s="718"/>
      <c r="EH169" s="718"/>
      <c r="EI169" s="718"/>
      <c r="EJ169" s="718"/>
      <c r="EK169" s="718"/>
      <c r="EL169" s="718"/>
      <c r="EM169" s="718"/>
      <c r="EN169" s="718"/>
      <c r="EO169" s="718"/>
      <c r="EP169" s="718"/>
      <c r="EQ169" s="718"/>
      <c r="ER169" s="718"/>
      <c r="ES169" s="718"/>
      <c r="ET169" s="718"/>
      <c r="EU169" s="718"/>
      <c r="EV169" s="718"/>
      <c r="EW169" s="718"/>
      <c r="EX169" s="718"/>
      <c r="EY169" s="718"/>
      <c r="EZ169" s="718"/>
      <c r="FA169" s="718"/>
      <c r="FB169" s="718"/>
      <c r="FC169" s="718"/>
      <c r="FD169" s="718"/>
      <c r="FE169" s="718"/>
      <c r="FF169" s="718"/>
      <c r="FG169" s="718"/>
      <c r="FH169" s="718"/>
      <c r="FI169" s="718"/>
      <c r="FJ169" s="718"/>
      <c r="FK169" s="718"/>
      <c r="FL169" s="43"/>
      <c r="FM169" s="257"/>
      <c r="FN169" s="257"/>
      <c r="FO169" s="258">
        <f ca="1">IF(programma!B1="X",1,IF(FO159=0,0,IF(H169=FT169,1,0)))</f>
        <v>0</v>
      </c>
      <c r="FP169" s="277" t="str">
        <f ca="1">IF(FO1=0,"",FT169)</f>
        <v>doordat door de prijsverhoging de afzet gedaald is</v>
      </c>
      <c r="FQ169" s="300"/>
      <c r="FR169" s="277"/>
      <c r="FS169" s="277" t="s">
        <v>202</v>
      </c>
      <c r="FT169" s="277" t="s">
        <v>203</v>
      </c>
      <c r="FU169" s="277" t="s">
        <v>204</v>
      </c>
      <c r="FV169" s="277" t="s">
        <v>205</v>
      </c>
      <c r="FW169" s="277"/>
      <c r="FX169" s="277"/>
      <c r="FY169" s="32"/>
      <c r="FZ169" s="32"/>
      <c r="GA169" s="32"/>
      <c r="GB169" s="32"/>
      <c r="GC169" s="32"/>
      <c r="GD169" s="32"/>
      <c r="GE169" s="32"/>
      <c r="GF169" s="32"/>
      <c r="GG169" s="32"/>
      <c r="GH169" s="32"/>
      <c r="GI169" s="32"/>
      <c r="GJ169" s="32"/>
      <c r="GK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38"/>
      <c r="HO169" s="338"/>
      <c r="HP169" s="338"/>
      <c r="HQ169" s="13"/>
      <c r="HR169" s="13"/>
      <c r="HS169" s="13"/>
      <c r="HT169" s="13"/>
      <c r="HU169" s="13"/>
      <c r="HV169" s="13"/>
      <c r="HW169" s="13"/>
      <c r="HX169" s="13"/>
      <c r="HY169" s="13"/>
      <c r="HZ169" s="13"/>
      <c r="IA169" s="13"/>
      <c r="IB169"/>
      <c r="IC169"/>
    </row>
    <row r="170" spans="1:237" s="268" customFormat="1" ht="3.6" customHeight="1">
      <c r="A170" s="60"/>
      <c r="B170" s="69"/>
      <c r="C170" s="69"/>
      <c r="D170" s="331"/>
      <c r="E170" s="331"/>
      <c r="F170" s="331"/>
      <c r="G170" s="538" t="str">
        <f ca="1">IF(FO159=0,"",".")</f>
        <v/>
      </c>
      <c r="H170" s="554"/>
      <c r="I170" s="554"/>
      <c r="J170" s="554"/>
      <c r="K170" s="554"/>
      <c r="L170" s="554"/>
      <c r="M170" s="554"/>
      <c r="N170" s="554"/>
      <c r="O170" s="554"/>
      <c r="P170" s="554"/>
      <c r="Q170" s="554"/>
      <c r="R170" s="554"/>
      <c r="S170" s="554"/>
      <c r="T170" s="554"/>
      <c r="U170" s="554"/>
      <c r="V170" s="554"/>
      <c r="W170" s="554"/>
      <c r="X170" s="554"/>
      <c r="Y170" s="554"/>
      <c r="Z170" s="554"/>
      <c r="AA170" s="554"/>
      <c r="AB170" s="554"/>
      <c r="AC170" s="554"/>
      <c r="AD170" s="554"/>
      <c r="AE170" s="554"/>
      <c r="AF170" s="554"/>
      <c r="AG170" s="554"/>
      <c r="AH170" s="554"/>
      <c r="AI170" s="554"/>
      <c r="AJ170" s="554"/>
      <c r="AK170" s="554"/>
      <c r="AL170" s="554"/>
      <c r="AM170" s="554"/>
      <c r="AN170" s="554"/>
      <c r="AO170" s="554"/>
      <c r="AP170" s="554"/>
      <c r="AQ170" s="554"/>
      <c r="AR170" s="554"/>
      <c r="AS170" s="554"/>
      <c r="AT170" s="554"/>
      <c r="AU170" s="554"/>
      <c r="AV170" s="554"/>
      <c r="AW170" s="554"/>
      <c r="AX170" s="554"/>
      <c r="AY170" s="554"/>
      <c r="AZ170" s="554"/>
      <c r="BA170" s="554"/>
      <c r="BB170" s="554"/>
      <c r="BC170" s="554"/>
      <c r="BD170" s="554"/>
      <c r="BE170" s="554"/>
      <c r="BF170" s="554"/>
      <c r="BG170" s="554"/>
      <c r="BH170" s="554"/>
      <c r="BI170" s="554"/>
      <c r="BJ170" s="554"/>
      <c r="BK170" s="554"/>
      <c r="BL170" s="554"/>
      <c r="BM170" s="554"/>
      <c r="BN170" s="554"/>
      <c r="BO170" s="554"/>
      <c r="BP170" s="554"/>
      <c r="BQ170" s="554"/>
      <c r="BR170" s="554"/>
      <c r="BS170" s="554"/>
      <c r="BT170" s="554"/>
      <c r="BU170" s="554"/>
      <c r="BV170" s="554"/>
      <c r="BW170" s="554"/>
      <c r="BX170" s="554"/>
      <c r="BY170" s="554"/>
      <c r="BZ170" s="554"/>
      <c r="CA170" s="554"/>
      <c r="CB170" s="554"/>
      <c r="CC170" s="554"/>
      <c r="CD170" s="554"/>
      <c r="CE170" s="554"/>
      <c r="CF170" s="554"/>
      <c r="CG170" s="554"/>
      <c r="CH170" s="554"/>
      <c r="CI170" s="554"/>
      <c r="CJ170" s="554"/>
      <c r="CK170" s="554"/>
      <c r="CL170" s="554"/>
      <c r="CM170" s="554"/>
      <c r="CN170" s="554"/>
      <c r="CO170" s="554"/>
      <c r="CP170" s="554"/>
      <c r="CQ170" s="554"/>
      <c r="CR170" s="554"/>
      <c r="CS170" s="554"/>
      <c r="CT170" s="554"/>
      <c r="CU170" s="554"/>
      <c r="CV170" s="554"/>
      <c r="CW170" s="554"/>
      <c r="CX170" s="554"/>
      <c r="CY170" s="554"/>
      <c r="CZ170" s="554"/>
      <c r="DA170" s="554"/>
      <c r="DB170" s="554"/>
      <c r="DC170" s="554"/>
      <c r="DD170" s="141"/>
      <c r="DE170" s="718"/>
      <c r="DF170" s="718"/>
      <c r="DG170" s="718"/>
      <c r="DH170" s="718"/>
      <c r="DI170" s="718"/>
      <c r="DJ170" s="718"/>
      <c r="DK170" s="718"/>
      <c r="DL170" s="718"/>
      <c r="DM170" s="718"/>
      <c r="DN170" s="718"/>
      <c r="DO170" s="718"/>
      <c r="DP170" s="718"/>
      <c r="DQ170" s="718"/>
      <c r="DR170" s="718"/>
      <c r="DS170" s="718"/>
      <c r="DT170" s="718"/>
      <c r="DU170" s="718"/>
      <c r="DV170" s="718"/>
      <c r="DW170" s="718"/>
      <c r="DX170" s="718"/>
      <c r="DY170" s="718"/>
      <c r="DZ170" s="718"/>
      <c r="EA170" s="718"/>
      <c r="EB170" s="718"/>
      <c r="EC170" s="718"/>
      <c r="ED170" s="718"/>
      <c r="EE170" s="718"/>
      <c r="EF170" s="718"/>
      <c r="EG170" s="718"/>
      <c r="EH170" s="718"/>
      <c r="EI170" s="718"/>
      <c r="EJ170" s="718"/>
      <c r="EK170" s="718"/>
      <c r="EL170" s="718"/>
      <c r="EM170" s="718"/>
      <c r="EN170" s="718"/>
      <c r="EO170" s="718"/>
      <c r="EP170" s="718"/>
      <c r="EQ170" s="718"/>
      <c r="ER170" s="718"/>
      <c r="ES170" s="718"/>
      <c r="ET170" s="718"/>
      <c r="EU170" s="718"/>
      <c r="EV170" s="718"/>
      <c r="EW170" s="718"/>
      <c r="EX170" s="718"/>
      <c r="EY170" s="718"/>
      <c r="EZ170" s="718"/>
      <c r="FA170" s="718"/>
      <c r="FB170" s="718"/>
      <c r="FC170" s="718"/>
      <c r="FD170" s="718"/>
      <c r="FE170" s="718"/>
      <c r="FF170" s="718"/>
      <c r="FG170" s="718"/>
      <c r="FH170" s="718"/>
      <c r="FI170" s="718"/>
      <c r="FJ170" s="718"/>
      <c r="FK170" s="718"/>
      <c r="FL170" s="43"/>
      <c r="FM170" s="257"/>
      <c r="FN170" s="257"/>
      <c r="FO170" s="257"/>
      <c r="FP170" s="257"/>
      <c r="FQ170" s="300"/>
      <c r="FR170" s="277"/>
      <c r="FS170" s="277"/>
      <c r="FT170" s="277"/>
      <c r="FU170" s="277"/>
      <c r="FV170" s="277"/>
      <c r="FW170" s="277"/>
      <c r="FX170" s="277"/>
      <c r="FY170" s="32"/>
      <c r="FZ170" s="32"/>
      <c r="GA170" s="32"/>
      <c r="GB170" s="32"/>
      <c r="GC170" s="32"/>
      <c r="GD170" s="32"/>
      <c r="GE170" s="32"/>
      <c r="GF170" s="32"/>
      <c r="GG170" s="32"/>
      <c r="GH170" s="32"/>
      <c r="GI170" s="32"/>
      <c r="GJ170" s="32"/>
      <c r="GK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38"/>
      <c r="HO170" s="338"/>
      <c r="HP170" s="338"/>
      <c r="HQ170" s="13"/>
      <c r="HR170" s="13"/>
      <c r="HS170" s="13"/>
      <c r="HT170" s="13"/>
      <c r="HU170" s="13"/>
      <c r="HV170" s="13"/>
      <c r="HW170" s="13"/>
      <c r="HX170" s="13"/>
      <c r="HY170" s="13"/>
      <c r="HZ170" s="13"/>
      <c r="IA170" s="13"/>
      <c r="IB170"/>
      <c r="IC170"/>
    </row>
    <row r="171" spans="1:237" ht="9.75" customHeight="1">
      <c r="A171" s="1"/>
      <c r="B171" s="3"/>
      <c r="C171" s="3"/>
      <c r="D171" s="333"/>
      <c r="E171" s="333"/>
      <c r="F171" s="278"/>
      <c r="G171" s="278"/>
      <c r="H171" s="278"/>
      <c r="I171" s="278"/>
      <c r="J171" s="278"/>
      <c r="K171" s="278"/>
      <c r="L171" s="278"/>
      <c r="M171" s="278"/>
      <c r="N171" s="278"/>
      <c r="O171" s="278"/>
      <c r="P171" s="278"/>
      <c r="Q171" s="328"/>
      <c r="R171" s="328"/>
      <c r="S171" s="278"/>
      <c r="T171" s="172"/>
      <c r="U171" s="328"/>
      <c r="V171" s="278"/>
      <c r="W171" s="278"/>
      <c r="X171" s="278"/>
      <c r="Y171" s="278"/>
      <c r="Z171" s="278"/>
      <c r="AA171" s="278"/>
      <c r="AB171" s="278"/>
      <c r="AC171" s="278"/>
      <c r="AD171" s="328"/>
      <c r="AE171" s="328"/>
      <c r="AF171" s="278"/>
      <c r="AG171" s="172"/>
      <c r="AH171" s="328"/>
      <c r="AI171" s="328"/>
      <c r="AJ171" s="328"/>
      <c r="AK171" s="43"/>
      <c r="AL171" s="43"/>
      <c r="AM171" s="43"/>
      <c r="AN171" s="328"/>
      <c r="AO171" s="328"/>
      <c r="AP171" s="328"/>
      <c r="AQ171" s="328"/>
      <c r="AR171" s="328"/>
      <c r="AS171" s="328"/>
      <c r="AT171" s="328"/>
      <c r="AU171" s="328"/>
      <c r="AV171" s="328"/>
      <c r="AW171" s="328"/>
      <c r="AX171" s="328"/>
      <c r="AY171" s="328"/>
      <c r="AZ171" s="328"/>
      <c r="BA171" s="328"/>
      <c r="BB171" s="328"/>
      <c r="BC171" s="328"/>
      <c r="BD171" s="328"/>
      <c r="BE171" s="328"/>
      <c r="BF171" s="328"/>
      <c r="BG171" s="328"/>
      <c r="BH171" s="328"/>
      <c r="BI171" s="178"/>
      <c r="BJ171" s="178"/>
      <c r="BK171" s="337"/>
      <c r="BL171" s="328"/>
      <c r="BM171" s="328"/>
      <c r="BN171" s="328"/>
      <c r="BO171" s="172"/>
      <c r="BP171" s="172"/>
      <c r="BQ171" s="278"/>
      <c r="BR171" s="278"/>
      <c r="BS171" s="43"/>
      <c r="BT171" s="43"/>
      <c r="BU171" s="43"/>
      <c r="BV171" s="43"/>
      <c r="BW171" s="43"/>
      <c r="BX171" s="43"/>
      <c r="BY171" s="43"/>
      <c r="BZ171" s="43"/>
      <c r="CA171" s="43"/>
      <c r="CB171" s="43"/>
      <c r="CC171" s="43"/>
      <c r="CD171" s="43"/>
      <c r="CE171" s="43"/>
      <c r="CF171" s="43"/>
      <c r="CG171" s="43"/>
      <c r="CH171" s="43"/>
      <c r="CI171" s="43"/>
      <c r="CJ171" s="43"/>
      <c r="CK171" s="278"/>
      <c r="CL171" s="278"/>
      <c r="CM171" s="278"/>
      <c r="CN171" s="328"/>
      <c r="CO171" s="328"/>
      <c r="CP171" s="278"/>
      <c r="CQ171" s="172"/>
      <c r="CR171" s="328"/>
      <c r="CS171" s="328"/>
      <c r="CT171" s="328"/>
      <c r="CU171" s="43"/>
      <c r="CV171" s="43"/>
      <c r="CW171" s="43"/>
      <c r="CX171" s="43"/>
      <c r="CY171" s="43"/>
      <c r="CZ171" s="43"/>
      <c r="DA171" s="43"/>
      <c r="DB171" s="106"/>
      <c r="DC171" s="106"/>
      <c r="DD171" s="278"/>
      <c r="DE171" s="718"/>
      <c r="DF171" s="718"/>
      <c r="DG171" s="718"/>
      <c r="DH171" s="718"/>
      <c r="DI171" s="718"/>
      <c r="DJ171" s="718"/>
      <c r="DK171" s="718"/>
      <c r="DL171" s="718"/>
      <c r="DM171" s="718"/>
      <c r="DN171" s="718"/>
      <c r="DO171" s="718"/>
      <c r="DP171" s="718"/>
      <c r="DQ171" s="718"/>
      <c r="DR171" s="718"/>
      <c r="DS171" s="718"/>
      <c r="DT171" s="718"/>
      <c r="DU171" s="718"/>
      <c r="DV171" s="718"/>
      <c r="DW171" s="718"/>
      <c r="DX171" s="718"/>
      <c r="DY171" s="718"/>
      <c r="DZ171" s="718"/>
      <c r="EA171" s="718"/>
      <c r="EB171" s="718"/>
      <c r="EC171" s="718"/>
      <c r="ED171" s="718"/>
      <c r="EE171" s="718"/>
      <c r="EF171" s="718"/>
      <c r="EG171" s="718"/>
      <c r="EH171" s="718"/>
      <c r="EI171" s="718"/>
      <c r="EJ171" s="718"/>
      <c r="EK171" s="718"/>
      <c r="EL171" s="718"/>
      <c r="EM171" s="718"/>
      <c r="EN171" s="718"/>
      <c r="EO171" s="718"/>
      <c r="EP171" s="718"/>
      <c r="EQ171" s="718"/>
      <c r="ER171" s="718"/>
      <c r="ES171" s="718"/>
      <c r="ET171" s="718"/>
      <c r="EU171" s="718"/>
      <c r="EV171" s="718"/>
      <c r="EW171" s="718"/>
      <c r="EX171" s="718"/>
      <c r="EY171" s="718"/>
      <c r="EZ171" s="718"/>
      <c r="FA171" s="718"/>
      <c r="FB171" s="718"/>
      <c r="FC171" s="718"/>
      <c r="FD171" s="718"/>
      <c r="FE171" s="718"/>
      <c r="FF171" s="718"/>
      <c r="FG171" s="718"/>
      <c r="FH171" s="718"/>
      <c r="FI171" s="718"/>
      <c r="FJ171" s="718"/>
      <c r="FK171" s="718"/>
      <c r="FL171" s="278"/>
      <c r="FM171" s="183"/>
      <c r="FN171" s="183"/>
      <c r="FO171" s="185"/>
      <c r="FP171" s="183"/>
      <c r="FQ171" s="183"/>
      <c r="FR171" s="49"/>
      <c r="FS171" s="49"/>
      <c r="FT171" s="49"/>
      <c r="FU171" s="49"/>
      <c r="FV171" s="49"/>
      <c r="FW171" s="49"/>
      <c r="FX171" s="49"/>
      <c r="FY171" s="32"/>
      <c r="FZ171" s="32"/>
      <c r="GA171" s="32"/>
      <c r="GB171" s="32"/>
      <c r="GC171" s="32"/>
      <c r="GD171" s="32"/>
      <c r="GE171" s="32"/>
      <c r="GF171" s="32"/>
      <c r="GG171" s="32"/>
      <c r="GH171" s="32"/>
      <c r="GI171" s="32"/>
      <c r="GJ171" s="32"/>
      <c r="GK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38"/>
      <c r="HO171" s="338"/>
      <c r="HP171" s="338"/>
      <c r="HQ171" s="13"/>
      <c r="HR171" s="13"/>
      <c r="HS171" s="13"/>
      <c r="HT171" s="13"/>
      <c r="HU171" s="13"/>
      <c r="HV171" s="13"/>
      <c r="HW171" s="13"/>
      <c r="HX171" s="13"/>
      <c r="HY171" s="13"/>
      <c r="HZ171" s="13"/>
      <c r="IA171" s="13"/>
    </row>
    <row r="172" spans="1:237" ht="16.95" customHeight="1">
      <c r="A172" s="1"/>
      <c r="B172" s="3"/>
      <c r="C172" s="3"/>
      <c r="D172" s="124" t="str">
        <f ca="1">IF(FO169=0,"","Het is van belang dat je alles goed in een grafiek herkent. Hieronder zie je de")</f>
        <v/>
      </c>
      <c r="E172" s="373"/>
      <c r="F172" s="373"/>
      <c r="G172" s="373"/>
      <c r="H172" s="373"/>
      <c r="I172" s="373"/>
      <c r="J172" s="376"/>
      <c r="K172" s="376"/>
      <c r="L172" s="376"/>
      <c r="M172" s="376"/>
      <c r="N172" s="376"/>
      <c r="O172" s="376"/>
      <c r="P172" s="376"/>
      <c r="Q172" s="376"/>
      <c r="R172" s="376"/>
      <c r="S172" s="376"/>
      <c r="T172" s="376"/>
      <c r="U172" s="376"/>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A172" s="79"/>
      <c r="CB172" s="79"/>
      <c r="CC172" s="79"/>
      <c r="CD172" s="79"/>
      <c r="CE172" s="79"/>
      <c r="CF172" s="79"/>
      <c r="CG172" s="79"/>
      <c r="CH172" s="79"/>
      <c r="CI172" s="79"/>
      <c r="CJ172" s="79"/>
      <c r="CK172" s="43"/>
      <c r="CL172" s="43"/>
      <c r="CM172" s="43"/>
      <c r="CN172" s="43"/>
      <c r="CO172" s="43"/>
      <c r="CP172" s="376"/>
      <c r="CQ172" s="376"/>
      <c r="CR172" s="376"/>
      <c r="CS172" s="376"/>
      <c r="CT172" s="376"/>
      <c r="CU172" s="376"/>
      <c r="CV172" s="376"/>
      <c r="CW172" s="376"/>
      <c r="CX172" s="376"/>
      <c r="CY172" s="376"/>
      <c r="CZ172" s="376"/>
      <c r="DA172" s="376"/>
      <c r="DB172" s="376"/>
      <c r="DC172" s="376"/>
      <c r="DD172" s="376"/>
      <c r="DE172" s="376"/>
      <c r="DF172" s="376"/>
      <c r="DG172" s="376"/>
      <c r="DH172" s="376"/>
      <c r="DI172" s="376"/>
      <c r="DJ172" s="376"/>
      <c r="DK172" s="376"/>
      <c r="DL172" s="376"/>
      <c r="DM172" s="376"/>
      <c r="DN172" s="376"/>
      <c r="DO172" s="376"/>
      <c r="DP172" s="376"/>
      <c r="DQ172" s="376"/>
      <c r="DR172" s="376"/>
      <c r="DS172" s="376"/>
      <c r="DT172" s="376"/>
      <c r="DU172" s="376"/>
      <c r="DV172" s="376"/>
      <c r="DW172" s="376"/>
      <c r="DX172" s="376"/>
      <c r="DY172" s="376"/>
      <c r="DZ172" s="376"/>
      <c r="EA172" s="376"/>
      <c r="EB172" s="376"/>
      <c r="EC172" s="376"/>
      <c r="ED172" s="376"/>
      <c r="EE172" s="376"/>
      <c r="EF172" s="376"/>
      <c r="EG172" s="376"/>
      <c r="EH172" s="376"/>
      <c r="EI172" s="376"/>
      <c r="EJ172" s="376"/>
      <c r="EK172" s="376"/>
      <c r="EL172" s="376"/>
      <c r="EM172" s="376"/>
      <c r="EN172" s="376"/>
      <c r="EO172" s="376"/>
      <c r="EP172" s="376"/>
      <c r="EQ172" s="376"/>
      <c r="ER172" s="376"/>
      <c r="ES172" s="376"/>
      <c r="ET172" s="376"/>
      <c r="EU172" s="376"/>
      <c r="EV172" s="376"/>
      <c r="EW172" s="376"/>
      <c r="EX172" s="376"/>
      <c r="EY172" s="376"/>
      <c r="EZ172" s="376"/>
      <c r="FA172" s="43"/>
      <c r="FB172" s="43"/>
      <c r="FC172" s="43"/>
      <c r="FD172" s="43"/>
      <c r="FE172" s="43"/>
      <c r="FF172" s="43"/>
      <c r="FG172" s="43"/>
      <c r="FH172" s="43"/>
      <c r="FI172" s="79"/>
      <c r="FJ172" s="79"/>
      <c r="FK172" s="79"/>
      <c r="FL172" s="79"/>
      <c r="FM172" s="93"/>
      <c r="FN172" s="93"/>
      <c r="FO172" s="338"/>
      <c r="FP172" s="338"/>
      <c r="FQ172" s="338"/>
      <c r="FR172" s="338"/>
      <c r="FS172" s="338"/>
      <c r="FT172" s="338"/>
      <c r="FU172" s="338"/>
      <c r="FV172" s="338"/>
      <c r="FW172" s="338"/>
      <c r="FX172" s="338"/>
      <c r="FY172" s="32"/>
      <c r="FZ172" s="32"/>
      <c r="GA172" s="32"/>
      <c r="GB172" s="32"/>
      <c r="GC172" s="32"/>
      <c r="GD172" s="32"/>
      <c r="GE172" s="32"/>
      <c r="GF172" s="32"/>
      <c r="GG172" s="32"/>
      <c r="GH172" s="32"/>
      <c r="GI172" s="32"/>
      <c r="GJ172" s="32"/>
      <c r="GK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38"/>
      <c r="HO172" s="338"/>
      <c r="HP172" s="338"/>
      <c r="HQ172" s="13"/>
      <c r="HR172" s="13"/>
      <c r="HS172" s="13"/>
      <c r="HT172" s="13"/>
      <c r="HU172" s="13"/>
      <c r="HV172" s="13"/>
      <c r="HW172" s="13"/>
      <c r="HX172" s="13"/>
      <c r="HY172" s="13"/>
      <c r="HZ172" s="13"/>
      <c r="IA172" s="13"/>
    </row>
    <row r="173" spans="1:237" ht="16.95" customHeight="1">
      <c r="A173" s="1"/>
      <c r="B173" s="3"/>
      <c r="C173" s="3"/>
      <c r="D173" s="124" t="str">
        <f ca="1">IF(FO169=0,"","situatie nog eens weergegeven.")</f>
        <v/>
      </c>
      <c r="E173" s="373"/>
      <c r="F173" s="373"/>
      <c r="G173" s="373"/>
      <c r="H173" s="373"/>
      <c r="I173" s="373"/>
      <c r="J173" s="376"/>
      <c r="K173" s="376"/>
      <c r="L173" s="376"/>
      <c r="M173" s="376"/>
      <c r="N173" s="376"/>
      <c r="O173" s="376"/>
      <c r="P173" s="376"/>
      <c r="Q173" s="376"/>
      <c r="R173" s="376"/>
      <c r="S173" s="376"/>
      <c r="T173" s="376"/>
      <c r="U173" s="376"/>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c r="CJ173" s="79"/>
      <c r="CK173" s="43"/>
      <c r="CL173" s="43"/>
      <c r="CM173" s="43"/>
      <c r="CN173" s="43"/>
      <c r="CO173" s="43"/>
      <c r="CP173" s="376"/>
      <c r="CQ173" s="376"/>
      <c r="CR173" s="376"/>
      <c r="CS173" s="376"/>
      <c r="CT173" s="376"/>
      <c r="CU173" s="376"/>
      <c r="CV173" s="376"/>
      <c r="CW173" s="376"/>
      <c r="CX173" s="376"/>
      <c r="CY173" s="376"/>
      <c r="CZ173" s="376"/>
      <c r="DA173" s="376"/>
      <c r="DB173" s="376"/>
      <c r="DC173" s="376"/>
      <c r="DD173" s="376"/>
      <c r="DE173" s="376"/>
      <c r="DF173" s="376"/>
      <c r="DG173" s="376"/>
      <c r="DH173" s="376"/>
      <c r="DI173" s="376"/>
      <c r="DJ173" s="376"/>
      <c r="DK173" s="376"/>
      <c r="DL173" s="376"/>
      <c r="DM173" s="376"/>
      <c r="DN173" s="376"/>
      <c r="DO173" s="376"/>
      <c r="DP173" s="376"/>
      <c r="DQ173" s="376"/>
      <c r="DR173" s="376"/>
      <c r="DS173" s="376"/>
      <c r="DT173" s="376"/>
      <c r="DU173" s="376"/>
      <c r="DV173" s="376"/>
      <c r="DW173" s="376"/>
      <c r="DX173" s="376"/>
      <c r="DY173" s="376"/>
      <c r="DZ173" s="376"/>
      <c r="EA173" s="376"/>
      <c r="EB173" s="376"/>
      <c r="EC173" s="376"/>
      <c r="ED173" s="376"/>
      <c r="EE173" s="376"/>
      <c r="EF173" s="376"/>
      <c r="EG173" s="376"/>
      <c r="EH173" s="376"/>
      <c r="EI173" s="376"/>
      <c r="EJ173" s="376"/>
      <c r="EK173" s="376"/>
      <c r="EL173" s="376"/>
      <c r="EM173" s="376"/>
      <c r="EN173" s="376"/>
      <c r="EO173" s="376"/>
      <c r="EP173" s="376"/>
      <c r="EQ173" s="376"/>
      <c r="ER173" s="376"/>
      <c r="ES173" s="376"/>
      <c r="ET173" s="376"/>
      <c r="EU173" s="376"/>
      <c r="EV173" s="376"/>
      <c r="EW173" s="376"/>
      <c r="EX173" s="376"/>
      <c r="EY173" s="376"/>
      <c r="EZ173" s="376"/>
      <c r="FA173" s="43"/>
      <c r="FB173" s="43"/>
      <c r="FC173" s="43"/>
      <c r="FD173" s="43"/>
      <c r="FE173" s="43"/>
      <c r="FF173" s="43"/>
      <c r="FG173" s="43"/>
      <c r="FH173" s="43"/>
      <c r="FI173" s="79"/>
      <c r="FJ173" s="79"/>
      <c r="FK173" s="79"/>
      <c r="FL173" s="79"/>
      <c r="FM173" s="93"/>
      <c r="FN173" s="93"/>
      <c r="FO173" s="338"/>
      <c r="FP173" s="338"/>
      <c r="FQ173" s="338"/>
      <c r="FR173" s="338"/>
      <c r="FS173" s="338"/>
      <c r="FT173" s="338"/>
      <c r="FU173" s="338"/>
      <c r="FV173" s="338"/>
      <c r="FW173" s="338"/>
      <c r="FX173" s="338"/>
      <c r="FY173" s="32"/>
      <c r="FZ173" s="32"/>
      <c r="GA173" s="32"/>
      <c r="GB173" s="32"/>
      <c r="GC173" s="32"/>
      <c r="GD173" s="32"/>
      <c r="GE173" s="32"/>
      <c r="GF173" s="32"/>
      <c r="GG173" s="32"/>
      <c r="GH173" s="32"/>
      <c r="GI173" s="32"/>
      <c r="GJ173" s="32"/>
      <c r="GK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38"/>
      <c r="HO173" s="338"/>
      <c r="HP173" s="338"/>
      <c r="HQ173" s="13"/>
      <c r="HR173" s="13"/>
      <c r="HS173" s="13"/>
      <c r="HT173" s="13"/>
      <c r="HU173" s="13"/>
      <c r="HV173" s="13"/>
      <c r="HW173" s="13"/>
      <c r="HX173" s="13"/>
      <c r="HY173" s="13"/>
      <c r="HZ173" s="13"/>
      <c r="IA173" s="13"/>
    </row>
    <row r="174" spans="1:237" ht="11.25" customHeight="1">
      <c r="A174" s="1"/>
      <c r="B174" s="3"/>
      <c r="C174" s="3"/>
      <c r="D174" s="558" t="str">
        <f ca="1">IF(FO169=1,"","`")</f>
        <v>`</v>
      </c>
      <c r="E174" s="532"/>
      <c r="F174" s="532"/>
      <c r="G174" s="532"/>
      <c r="H174" s="532"/>
      <c r="I174" s="532"/>
      <c r="J174" s="532"/>
      <c r="K174" s="532"/>
      <c r="L174" s="532"/>
      <c r="M174" s="532"/>
      <c r="N174" s="532"/>
      <c r="O174" s="532"/>
      <c r="P174" s="532"/>
      <c r="Q174" s="532"/>
      <c r="R174" s="532"/>
      <c r="S174" s="532"/>
      <c r="T174" s="532"/>
      <c r="U174" s="532"/>
      <c r="V174" s="532"/>
      <c r="W174" s="532"/>
      <c r="X174" s="532"/>
      <c r="Y174" s="532"/>
      <c r="Z174" s="532"/>
      <c r="AA174" s="532"/>
      <c r="AB174" s="532"/>
      <c r="AC174" s="532"/>
      <c r="AD174" s="532"/>
      <c r="AE174" s="532"/>
      <c r="AF174" s="532"/>
      <c r="AG174" s="532"/>
      <c r="AH174" s="532"/>
      <c r="AI174" s="532"/>
      <c r="AJ174" s="532"/>
      <c r="AK174" s="532"/>
      <c r="AL174" s="532"/>
      <c r="AM174" s="532"/>
      <c r="AN174" s="532"/>
      <c r="AO174" s="532"/>
      <c r="AP174" s="532"/>
      <c r="AQ174" s="532"/>
      <c r="AR174" s="532"/>
      <c r="AS174" s="532"/>
      <c r="AT174" s="532"/>
      <c r="AU174" s="532"/>
      <c r="AV174" s="532"/>
      <c r="AW174" s="532"/>
      <c r="AX174" s="532"/>
      <c r="AY174" s="532"/>
      <c r="AZ174" s="532"/>
      <c r="BA174" s="532"/>
      <c r="BB174" s="532"/>
      <c r="BC174" s="532"/>
      <c r="BD174" s="532"/>
      <c r="BE174" s="532"/>
      <c r="BF174" s="532"/>
      <c r="BG174" s="532"/>
      <c r="BH174" s="532"/>
      <c r="BI174" s="532"/>
      <c r="BJ174" s="532"/>
      <c r="BK174" s="532"/>
      <c r="BL174" s="532"/>
      <c r="BM174" s="532"/>
      <c r="BN174" s="532"/>
      <c r="BO174" s="532"/>
      <c r="BP174" s="532"/>
      <c r="BQ174" s="532"/>
      <c r="BR174" s="532"/>
      <c r="BS174" s="532"/>
      <c r="BT174" s="532"/>
      <c r="BU174" s="532"/>
      <c r="BV174" s="532"/>
      <c r="BW174" s="532"/>
      <c r="BX174" s="532"/>
      <c r="BY174" s="532"/>
      <c r="BZ174" s="532"/>
      <c r="CA174" s="532"/>
      <c r="CB174" s="532"/>
      <c r="CC174" s="532"/>
      <c r="CD174" s="532"/>
      <c r="CE174" s="532"/>
      <c r="CF174" s="532"/>
      <c r="CG174" s="532"/>
      <c r="CH174" s="532"/>
      <c r="CI174" s="532"/>
      <c r="CJ174" s="532"/>
      <c r="CK174" s="532"/>
      <c r="CL174" s="532"/>
      <c r="CM174" s="532"/>
      <c r="CN174" s="532"/>
      <c r="CO174" s="532"/>
      <c r="CP174" s="532"/>
      <c r="CQ174" s="532"/>
      <c r="CR174" s="532"/>
      <c r="CS174" s="532"/>
      <c r="CT174" s="532"/>
      <c r="CU174" s="532"/>
      <c r="CV174" s="532"/>
      <c r="CW174" s="532"/>
      <c r="CX174" s="532"/>
      <c r="CY174" s="532"/>
      <c r="CZ174" s="532"/>
      <c r="DA174" s="532"/>
      <c r="DB174" s="532"/>
      <c r="DC174" s="532"/>
      <c r="DD174" s="532"/>
      <c r="DE174" s="532"/>
      <c r="DF174" s="532"/>
      <c r="DG174" s="532"/>
      <c r="DH174" s="532"/>
      <c r="DI174" s="532"/>
      <c r="DJ174" s="532"/>
      <c r="DK174" s="532"/>
      <c r="DL174" s="532"/>
      <c r="DM174" s="532"/>
      <c r="DN174" s="532"/>
      <c r="DO174" s="532"/>
      <c r="DP174" s="532"/>
      <c r="DQ174" s="532"/>
      <c r="DR174" s="532"/>
      <c r="DS174" s="532"/>
      <c r="DT174" s="532"/>
      <c r="DU174" s="532"/>
      <c r="DV174" s="532"/>
      <c r="DW174" s="532"/>
      <c r="DX174" s="532"/>
      <c r="DY174" s="532"/>
      <c r="DZ174" s="532"/>
      <c r="EA174" s="532"/>
      <c r="EB174" s="532"/>
      <c r="EC174" s="532"/>
      <c r="ED174" s="532"/>
      <c r="EE174" s="532"/>
      <c r="EF174" s="532"/>
      <c r="EG174" s="532"/>
      <c r="EH174" s="532"/>
      <c r="EI174" s="532"/>
      <c r="EJ174" s="532"/>
      <c r="EK174" s="532"/>
      <c r="EL174" s="532"/>
      <c r="EM174" s="532"/>
      <c r="EN174" s="532"/>
      <c r="EO174" s="532"/>
      <c r="EP174" s="532"/>
      <c r="EQ174" s="532"/>
      <c r="ER174" s="532"/>
      <c r="ES174" s="532"/>
      <c r="ET174" s="532"/>
      <c r="EU174" s="532"/>
      <c r="EV174" s="532"/>
      <c r="EW174" s="532"/>
      <c r="EX174" s="532"/>
      <c r="EY174" s="532"/>
      <c r="EZ174" s="532"/>
      <c r="FA174" s="532"/>
      <c r="FB174" s="532"/>
      <c r="FC174" s="532"/>
      <c r="FD174" s="532"/>
      <c r="FE174" s="532"/>
      <c r="FF174" s="532"/>
      <c r="FG174" s="532"/>
      <c r="FH174" s="532"/>
      <c r="FI174" s="532"/>
      <c r="FJ174" s="532"/>
      <c r="FK174" s="532"/>
      <c r="FL174" s="532"/>
      <c r="FM174" s="338"/>
      <c r="FN174" s="78"/>
      <c r="FO174" s="78"/>
      <c r="FP174" s="78"/>
      <c r="FQ174" s="78"/>
      <c r="FR174" s="78"/>
      <c r="FS174" s="78"/>
      <c r="FT174" s="78"/>
      <c r="FU174" s="78"/>
      <c r="FV174" s="78"/>
      <c r="FW174" s="78"/>
      <c r="FX174" s="78"/>
      <c r="FY174" s="32"/>
      <c r="FZ174" s="32"/>
      <c r="GA174" s="32"/>
      <c r="GB174" s="32"/>
      <c r="GC174" s="32"/>
      <c r="GD174" s="32"/>
      <c r="GE174" s="32"/>
      <c r="GF174" s="32"/>
      <c r="GG174" s="32"/>
      <c r="GH174" s="32"/>
      <c r="GI174" s="32"/>
      <c r="GJ174" s="32"/>
      <c r="GK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78"/>
      <c r="HO174" s="78"/>
      <c r="HP174" s="78"/>
      <c r="HQ174" s="13"/>
      <c r="HR174" s="13"/>
      <c r="HS174" s="13"/>
      <c r="HT174" s="13"/>
      <c r="HU174" s="13"/>
      <c r="HV174" s="13"/>
      <c r="HW174" s="13"/>
      <c r="HX174" s="13"/>
      <c r="HY174" s="13"/>
      <c r="HZ174" s="13"/>
      <c r="IA174" s="13"/>
    </row>
    <row r="175" spans="1:237" ht="16.5" customHeight="1">
      <c r="A175" s="1"/>
      <c r="B175" s="3"/>
      <c r="C175" s="3"/>
      <c r="D175" s="532"/>
      <c r="E175" s="532"/>
      <c r="F175" s="532"/>
      <c r="G175" s="532"/>
      <c r="H175" s="532"/>
      <c r="I175" s="532"/>
      <c r="J175" s="532"/>
      <c r="K175" s="532"/>
      <c r="L175" s="532"/>
      <c r="M175" s="532"/>
      <c r="N175" s="532"/>
      <c r="O175" s="532"/>
      <c r="P175" s="532"/>
      <c r="Q175" s="532"/>
      <c r="R175" s="532"/>
      <c r="S175" s="532"/>
      <c r="T175" s="532"/>
      <c r="U175" s="532"/>
      <c r="V175" s="532"/>
      <c r="W175" s="532"/>
      <c r="X175" s="532"/>
      <c r="Y175" s="532"/>
      <c r="Z175" s="532"/>
      <c r="AA175" s="532"/>
      <c r="AB175" s="532"/>
      <c r="AC175" s="532"/>
      <c r="AD175" s="532"/>
      <c r="AE175" s="532"/>
      <c r="AF175" s="532"/>
      <c r="AG175" s="532"/>
      <c r="AH175" s="532"/>
      <c r="AI175" s="532"/>
      <c r="AJ175" s="532"/>
      <c r="AK175" s="532"/>
      <c r="AL175" s="532"/>
      <c r="AM175" s="532"/>
      <c r="AN175" s="532"/>
      <c r="AO175" s="532"/>
      <c r="AP175" s="532"/>
      <c r="AQ175" s="532"/>
      <c r="AR175" s="532"/>
      <c r="AS175" s="532"/>
      <c r="AT175" s="532"/>
      <c r="AU175" s="532"/>
      <c r="AV175" s="532"/>
      <c r="AW175" s="532"/>
      <c r="AX175" s="532"/>
      <c r="AY175" s="532"/>
      <c r="AZ175" s="532"/>
      <c r="BA175" s="532"/>
      <c r="BB175" s="532"/>
      <c r="BC175" s="532"/>
      <c r="BD175" s="532"/>
      <c r="BE175" s="532"/>
      <c r="BF175" s="532"/>
      <c r="BG175" s="532"/>
      <c r="BH175" s="532"/>
      <c r="BI175" s="532"/>
      <c r="BJ175" s="532"/>
      <c r="BK175" s="532"/>
      <c r="BL175" s="532"/>
      <c r="BM175" s="532"/>
      <c r="BN175" s="532"/>
      <c r="BO175" s="532"/>
      <c r="BP175" s="532"/>
      <c r="BQ175" s="532"/>
      <c r="BR175" s="532"/>
      <c r="BS175" s="532"/>
      <c r="BT175" s="532"/>
      <c r="BU175" s="532"/>
      <c r="BV175" s="532"/>
      <c r="BW175" s="532"/>
      <c r="BX175" s="532"/>
      <c r="BY175" s="532"/>
      <c r="BZ175" s="532"/>
      <c r="CA175" s="532"/>
      <c r="CB175" s="532"/>
      <c r="CC175" s="532"/>
      <c r="CD175" s="532"/>
      <c r="CE175" s="532"/>
      <c r="CF175" s="532"/>
      <c r="CG175" s="532"/>
      <c r="CH175" s="532"/>
      <c r="CI175" s="532"/>
      <c r="CJ175" s="532"/>
      <c r="CK175" s="532"/>
      <c r="CL175" s="532"/>
      <c r="CM175" s="532"/>
      <c r="CN175" s="532"/>
      <c r="CO175" s="532"/>
      <c r="CP175" s="532"/>
      <c r="CQ175" s="532"/>
      <c r="CR175" s="532"/>
      <c r="CS175" s="532"/>
      <c r="CT175" s="532"/>
      <c r="CU175" s="532"/>
      <c r="CV175" s="532"/>
      <c r="CW175" s="532"/>
      <c r="CX175" s="532"/>
      <c r="CY175" s="532"/>
      <c r="CZ175" s="532"/>
      <c r="DA175" s="532"/>
      <c r="DB175" s="532"/>
      <c r="DC175" s="532"/>
      <c r="DD175" s="532"/>
      <c r="DE175" s="532"/>
      <c r="DF175" s="532"/>
      <c r="DG175" s="532"/>
      <c r="DH175" s="532"/>
      <c r="DI175" s="532"/>
      <c r="DJ175" s="532"/>
      <c r="DK175" s="532"/>
      <c r="DL175" s="532"/>
      <c r="DM175" s="532"/>
      <c r="DN175" s="532"/>
      <c r="DO175" s="532"/>
      <c r="DP175" s="532"/>
      <c r="DQ175" s="532"/>
      <c r="DR175" s="532"/>
      <c r="DS175" s="532"/>
      <c r="DT175" s="532"/>
      <c r="DU175" s="532"/>
      <c r="DV175" s="532"/>
      <c r="DW175" s="532"/>
      <c r="DX175" s="532"/>
      <c r="DY175" s="532"/>
      <c r="DZ175" s="532"/>
      <c r="EA175" s="532"/>
      <c r="EB175" s="532"/>
      <c r="EC175" s="532"/>
      <c r="ED175" s="532"/>
      <c r="EE175" s="532"/>
      <c r="EF175" s="532"/>
      <c r="EG175" s="532"/>
      <c r="EH175" s="532"/>
      <c r="EI175" s="532"/>
      <c r="EJ175" s="532"/>
      <c r="EK175" s="532"/>
      <c r="EL175" s="532"/>
      <c r="EM175" s="532"/>
      <c r="EN175" s="532"/>
      <c r="EO175" s="532"/>
      <c r="EP175" s="532"/>
      <c r="EQ175" s="532"/>
      <c r="ER175" s="532"/>
      <c r="ES175" s="532"/>
      <c r="ET175" s="532"/>
      <c r="EU175" s="532"/>
      <c r="EV175" s="532"/>
      <c r="EW175" s="532"/>
      <c r="EX175" s="532"/>
      <c r="EY175" s="532"/>
      <c r="EZ175" s="532"/>
      <c r="FA175" s="532"/>
      <c r="FB175" s="532"/>
      <c r="FC175" s="532"/>
      <c r="FD175" s="532"/>
      <c r="FE175" s="532"/>
      <c r="FF175" s="532"/>
      <c r="FG175" s="532"/>
      <c r="FH175" s="532"/>
      <c r="FI175" s="532"/>
      <c r="FJ175" s="532"/>
      <c r="FK175" s="532"/>
      <c r="FL175" s="532"/>
      <c r="FM175" s="338"/>
      <c r="FN175" s="78"/>
      <c r="FO175" s="78"/>
      <c r="FP175" s="78"/>
      <c r="FQ175" s="78"/>
      <c r="FR175" s="78"/>
      <c r="FS175" s="78"/>
      <c r="FT175" s="78"/>
      <c r="FU175" s="78"/>
      <c r="FV175" s="78"/>
      <c r="FW175" s="78"/>
      <c r="FX175" s="78"/>
      <c r="FY175" s="32"/>
      <c r="FZ175" s="32"/>
      <c r="GA175" s="32"/>
      <c r="GB175" s="32"/>
      <c r="GC175" s="32"/>
      <c r="GD175" s="32"/>
      <c r="GE175" s="32"/>
      <c r="GF175" s="32"/>
      <c r="GG175" s="32"/>
      <c r="GH175" s="32"/>
      <c r="GI175" s="32"/>
      <c r="GJ175" s="32"/>
      <c r="GK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78"/>
      <c r="HO175" s="78"/>
      <c r="HP175" s="78"/>
      <c r="HQ175" s="13"/>
      <c r="HR175" s="13"/>
      <c r="HS175" s="13"/>
      <c r="HT175" s="13"/>
      <c r="HU175" s="13"/>
      <c r="HV175" s="13"/>
      <c r="HW175" s="13"/>
      <c r="HX175" s="13"/>
      <c r="HY175" s="13"/>
      <c r="HZ175" s="13"/>
      <c r="IA175" s="13"/>
    </row>
    <row r="176" spans="1:237" ht="16.5" customHeight="1">
      <c r="A176" s="1"/>
      <c r="B176" s="3"/>
      <c r="C176" s="3"/>
      <c r="D176" s="532"/>
      <c r="E176" s="532"/>
      <c r="F176" s="532"/>
      <c r="G176" s="532"/>
      <c r="H176" s="532"/>
      <c r="I176" s="532"/>
      <c r="J176" s="532"/>
      <c r="K176" s="532"/>
      <c r="L176" s="532"/>
      <c r="M176" s="532"/>
      <c r="N176" s="532"/>
      <c r="O176" s="532"/>
      <c r="P176" s="532"/>
      <c r="Q176" s="532"/>
      <c r="R176" s="532"/>
      <c r="S176" s="532"/>
      <c r="T176" s="532"/>
      <c r="U176" s="532"/>
      <c r="V176" s="532"/>
      <c r="W176" s="532"/>
      <c r="X176" s="532"/>
      <c r="Y176" s="532"/>
      <c r="Z176" s="532"/>
      <c r="AA176" s="532"/>
      <c r="AB176" s="532"/>
      <c r="AC176" s="532"/>
      <c r="AD176" s="532"/>
      <c r="AE176" s="532"/>
      <c r="AF176" s="532"/>
      <c r="AG176" s="532"/>
      <c r="AH176" s="532"/>
      <c r="AI176" s="532"/>
      <c r="AJ176" s="532"/>
      <c r="AK176" s="532"/>
      <c r="AL176" s="532"/>
      <c r="AM176" s="532"/>
      <c r="AN176" s="532"/>
      <c r="AO176" s="532"/>
      <c r="AP176" s="532"/>
      <c r="AQ176" s="532"/>
      <c r="AR176" s="532"/>
      <c r="AS176" s="532"/>
      <c r="AT176" s="532"/>
      <c r="AU176" s="532"/>
      <c r="AV176" s="532"/>
      <c r="AW176" s="532"/>
      <c r="AX176" s="532"/>
      <c r="AY176" s="532"/>
      <c r="AZ176" s="532"/>
      <c r="BA176" s="532"/>
      <c r="BB176" s="532"/>
      <c r="BC176" s="532"/>
      <c r="BD176" s="532"/>
      <c r="BE176" s="532"/>
      <c r="BF176" s="532"/>
      <c r="BG176" s="532"/>
      <c r="BH176" s="532"/>
      <c r="BI176" s="532"/>
      <c r="BJ176" s="532"/>
      <c r="BK176" s="532"/>
      <c r="BL176" s="532"/>
      <c r="BM176" s="532"/>
      <c r="BN176" s="532"/>
      <c r="BO176" s="532"/>
      <c r="BP176" s="532"/>
      <c r="BQ176" s="532"/>
      <c r="BR176" s="532"/>
      <c r="BS176" s="532"/>
      <c r="BT176" s="532"/>
      <c r="BU176" s="532"/>
      <c r="BV176" s="532"/>
      <c r="BW176" s="532"/>
      <c r="BX176" s="532"/>
      <c r="BY176" s="532"/>
      <c r="BZ176" s="532"/>
      <c r="CA176" s="532"/>
      <c r="CB176" s="532"/>
      <c r="CC176" s="532"/>
      <c r="CD176" s="532"/>
      <c r="CE176" s="532"/>
      <c r="CF176" s="532"/>
      <c r="CG176" s="532"/>
      <c r="CH176" s="532"/>
      <c r="CI176" s="532"/>
      <c r="CJ176" s="532"/>
      <c r="CK176" s="532"/>
      <c r="CL176" s="532"/>
      <c r="CM176" s="532"/>
      <c r="CN176" s="532"/>
      <c r="CO176" s="532"/>
      <c r="CP176" s="532"/>
      <c r="CQ176" s="532"/>
      <c r="CR176" s="532"/>
      <c r="CS176" s="532"/>
      <c r="CT176" s="532"/>
      <c r="CU176" s="532"/>
      <c r="CV176" s="532"/>
      <c r="CW176" s="532"/>
      <c r="CX176" s="532"/>
      <c r="CY176" s="532"/>
      <c r="CZ176" s="532"/>
      <c r="DA176" s="532"/>
      <c r="DB176" s="532"/>
      <c r="DC176" s="532"/>
      <c r="DD176" s="532"/>
      <c r="DE176" s="532"/>
      <c r="DF176" s="532"/>
      <c r="DG176" s="532"/>
      <c r="DH176" s="532"/>
      <c r="DI176" s="532"/>
      <c r="DJ176" s="532"/>
      <c r="DK176" s="532"/>
      <c r="DL176" s="532"/>
      <c r="DM176" s="532"/>
      <c r="DN176" s="532"/>
      <c r="DO176" s="532"/>
      <c r="DP176" s="532"/>
      <c r="DQ176" s="532"/>
      <c r="DR176" s="532"/>
      <c r="DS176" s="532"/>
      <c r="DT176" s="532"/>
      <c r="DU176" s="532"/>
      <c r="DV176" s="532"/>
      <c r="DW176" s="532"/>
      <c r="DX176" s="532"/>
      <c r="DY176" s="532"/>
      <c r="DZ176" s="532"/>
      <c r="EA176" s="532"/>
      <c r="EB176" s="532"/>
      <c r="EC176" s="532"/>
      <c r="ED176" s="532"/>
      <c r="EE176" s="532"/>
      <c r="EF176" s="532"/>
      <c r="EG176" s="532"/>
      <c r="EH176" s="532"/>
      <c r="EI176" s="532"/>
      <c r="EJ176" s="532"/>
      <c r="EK176" s="532"/>
      <c r="EL176" s="532"/>
      <c r="EM176" s="532"/>
      <c r="EN176" s="532"/>
      <c r="EO176" s="532"/>
      <c r="EP176" s="532"/>
      <c r="EQ176" s="532"/>
      <c r="ER176" s="532"/>
      <c r="ES176" s="532"/>
      <c r="ET176" s="532"/>
      <c r="EU176" s="532"/>
      <c r="EV176" s="532"/>
      <c r="EW176" s="532"/>
      <c r="EX176" s="532"/>
      <c r="EY176" s="532"/>
      <c r="EZ176" s="532"/>
      <c r="FA176" s="532"/>
      <c r="FB176" s="532"/>
      <c r="FC176" s="532"/>
      <c r="FD176" s="532"/>
      <c r="FE176" s="532"/>
      <c r="FF176" s="532"/>
      <c r="FG176" s="532"/>
      <c r="FH176" s="532"/>
      <c r="FI176" s="532"/>
      <c r="FJ176" s="532"/>
      <c r="FK176" s="532"/>
      <c r="FL176" s="532"/>
      <c r="FM176" s="338"/>
      <c r="FN176" s="78"/>
      <c r="FO176" s="78"/>
      <c r="FP176" s="78"/>
      <c r="FQ176" s="78"/>
      <c r="FR176" s="78"/>
      <c r="FS176" s="78"/>
      <c r="FT176" s="78"/>
      <c r="FU176" s="78"/>
      <c r="FV176" s="78"/>
      <c r="FW176" s="78"/>
      <c r="FX176" s="78"/>
      <c r="FY176" s="32"/>
      <c r="FZ176" s="32"/>
      <c r="GA176" s="32"/>
      <c r="GB176" s="32"/>
      <c r="GC176" s="32"/>
      <c r="GD176" s="32"/>
      <c r="GE176" s="32"/>
      <c r="GF176" s="32"/>
      <c r="GG176" s="32"/>
      <c r="GH176" s="32"/>
      <c r="GI176" s="32"/>
      <c r="GJ176" s="32"/>
      <c r="GK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78"/>
      <c r="HO176" s="78"/>
      <c r="HP176" s="78"/>
      <c r="HQ176" s="13"/>
      <c r="HR176" s="13"/>
      <c r="HS176" s="13"/>
      <c r="HT176" s="13"/>
      <c r="HU176" s="13"/>
      <c r="HV176" s="13"/>
      <c r="HW176" s="13"/>
      <c r="HX176" s="13"/>
      <c r="HY176" s="13"/>
      <c r="HZ176" s="13"/>
      <c r="IA176" s="13"/>
    </row>
    <row r="177" spans="1:235" ht="16.5" customHeight="1">
      <c r="A177" s="1"/>
      <c r="B177" s="3"/>
      <c r="C177" s="3"/>
      <c r="D177" s="532"/>
      <c r="E177" s="532"/>
      <c r="F177" s="532"/>
      <c r="G177" s="532"/>
      <c r="H177" s="532"/>
      <c r="I177" s="532"/>
      <c r="J177" s="532"/>
      <c r="K177" s="532"/>
      <c r="L177" s="532"/>
      <c r="M177" s="532"/>
      <c r="N177" s="532"/>
      <c r="O177" s="532"/>
      <c r="P177" s="532"/>
      <c r="Q177" s="532"/>
      <c r="R177" s="532"/>
      <c r="S177" s="532"/>
      <c r="T177" s="532"/>
      <c r="U177" s="532"/>
      <c r="V177" s="532"/>
      <c r="W177" s="532"/>
      <c r="X177" s="532"/>
      <c r="Y177" s="532"/>
      <c r="Z177" s="532"/>
      <c r="AA177" s="532"/>
      <c r="AB177" s="532"/>
      <c r="AC177" s="532"/>
      <c r="AD177" s="532"/>
      <c r="AE177" s="532"/>
      <c r="AF177" s="532"/>
      <c r="AG177" s="532"/>
      <c r="AH177" s="532"/>
      <c r="AI177" s="532"/>
      <c r="AJ177" s="532"/>
      <c r="AK177" s="532"/>
      <c r="AL177" s="532"/>
      <c r="AM177" s="532"/>
      <c r="AN177" s="532"/>
      <c r="AO177" s="532"/>
      <c r="AP177" s="532"/>
      <c r="AQ177" s="532"/>
      <c r="AR177" s="532"/>
      <c r="AS177" s="532"/>
      <c r="AT177" s="532"/>
      <c r="AU177" s="532"/>
      <c r="AV177" s="532"/>
      <c r="AW177" s="532"/>
      <c r="AX177" s="532"/>
      <c r="AY177" s="532"/>
      <c r="AZ177" s="532"/>
      <c r="BA177" s="532"/>
      <c r="BB177" s="532"/>
      <c r="BC177" s="532"/>
      <c r="BD177" s="532"/>
      <c r="BE177" s="532"/>
      <c r="BF177" s="532"/>
      <c r="BG177" s="532"/>
      <c r="BH177" s="532"/>
      <c r="BI177" s="532"/>
      <c r="BJ177" s="532"/>
      <c r="BK177" s="532"/>
      <c r="BL177" s="532"/>
      <c r="BM177" s="532"/>
      <c r="BN177" s="532"/>
      <c r="BO177" s="532"/>
      <c r="BP177" s="532"/>
      <c r="BQ177" s="532"/>
      <c r="BR177" s="532"/>
      <c r="BS177" s="532"/>
      <c r="BT177" s="532"/>
      <c r="BU177" s="532"/>
      <c r="BV177" s="532"/>
      <c r="BW177" s="532"/>
      <c r="BX177" s="532"/>
      <c r="BY177" s="532"/>
      <c r="BZ177" s="532"/>
      <c r="CA177" s="532"/>
      <c r="CB177" s="532"/>
      <c r="CC177" s="532"/>
      <c r="CD177" s="532"/>
      <c r="CE177" s="532"/>
      <c r="CF177" s="532"/>
      <c r="CG177" s="532"/>
      <c r="CH177" s="532"/>
      <c r="CI177" s="532"/>
      <c r="CJ177" s="532"/>
      <c r="CK177" s="532"/>
      <c r="CL177" s="532"/>
      <c r="CM177" s="532"/>
      <c r="CN177" s="532"/>
      <c r="CO177" s="532"/>
      <c r="CP177" s="532"/>
      <c r="CQ177" s="532"/>
      <c r="CR177" s="532"/>
      <c r="CS177" s="532"/>
      <c r="CT177" s="532"/>
      <c r="CU177" s="532"/>
      <c r="CV177" s="532"/>
      <c r="CW177" s="532"/>
      <c r="CX177" s="532"/>
      <c r="CY177" s="532"/>
      <c r="CZ177" s="532"/>
      <c r="DA177" s="532"/>
      <c r="DB177" s="532"/>
      <c r="DC177" s="532"/>
      <c r="DD177" s="532"/>
      <c r="DE177" s="532"/>
      <c r="DF177" s="532"/>
      <c r="DG177" s="532"/>
      <c r="DH177" s="532"/>
      <c r="DI177" s="532"/>
      <c r="DJ177" s="532"/>
      <c r="DK177" s="532"/>
      <c r="DL177" s="532"/>
      <c r="DM177" s="532"/>
      <c r="DN177" s="532"/>
      <c r="DO177" s="532"/>
      <c r="DP177" s="532"/>
      <c r="DQ177" s="532"/>
      <c r="DR177" s="532"/>
      <c r="DS177" s="532"/>
      <c r="DT177" s="532"/>
      <c r="DU177" s="532"/>
      <c r="DV177" s="532"/>
      <c r="DW177" s="532"/>
      <c r="DX177" s="532"/>
      <c r="DY177" s="532"/>
      <c r="DZ177" s="532"/>
      <c r="EA177" s="532"/>
      <c r="EB177" s="532"/>
      <c r="EC177" s="532"/>
      <c r="ED177" s="532"/>
      <c r="EE177" s="532"/>
      <c r="EF177" s="532"/>
      <c r="EG177" s="532"/>
      <c r="EH177" s="532"/>
      <c r="EI177" s="532"/>
      <c r="EJ177" s="532"/>
      <c r="EK177" s="532"/>
      <c r="EL177" s="532"/>
      <c r="EM177" s="532"/>
      <c r="EN177" s="532"/>
      <c r="EO177" s="532"/>
      <c r="EP177" s="532"/>
      <c r="EQ177" s="532"/>
      <c r="ER177" s="532"/>
      <c r="ES177" s="532"/>
      <c r="ET177" s="532"/>
      <c r="EU177" s="532"/>
      <c r="EV177" s="532"/>
      <c r="EW177" s="532"/>
      <c r="EX177" s="532"/>
      <c r="EY177" s="532"/>
      <c r="EZ177" s="532"/>
      <c r="FA177" s="532"/>
      <c r="FB177" s="532"/>
      <c r="FC177" s="532"/>
      <c r="FD177" s="532"/>
      <c r="FE177" s="532"/>
      <c r="FF177" s="532"/>
      <c r="FG177" s="532"/>
      <c r="FH177" s="532"/>
      <c r="FI177" s="532"/>
      <c r="FJ177" s="532"/>
      <c r="FK177" s="532"/>
      <c r="FL177" s="532"/>
      <c r="FM177" s="338"/>
      <c r="FN177" s="78"/>
      <c r="FO177" s="78"/>
      <c r="FP177" s="78"/>
      <c r="FQ177" s="78"/>
      <c r="FR177" s="78"/>
      <c r="FS177" s="78"/>
      <c r="FT177" s="78"/>
      <c r="FU177" s="78"/>
      <c r="FV177" s="78"/>
      <c r="FW177" s="78"/>
      <c r="FX177" s="78"/>
      <c r="FY177" s="32"/>
      <c r="FZ177" s="32"/>
      <c r="GA177" s="32"/>
      <c r="GB177" s="32"/>
      <c r="GC177" s="32"/>
      <c r="GD177" s="32"/>
      <c r="GE177" s="32"/>
      <c r="GF177" s="32"/>
      <c r="GG177" s="32"/>
      <c r="GH177" s="32"/>
      <c r="GI177" s="32"/>
      <c r="GJ177" s="32"/>
      <c r="GK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78"/>
      <c r="HO177" s="78"/>
      <c r="HP177" s="78"/>
      <c r="HQ177" s="13"/>
      <c r="HR177" s="13"/>
      <c r="HS177" s="13"/>
      <c r="HT177" s="13"/>
      <c r="HU177" s="13"/>
      <c r="HV177" s="13"/>
      <c r="HW177" s="13"/>
      <c r="HX177" s="13"/>
      <c r="HY177" s="13"/>
      <c r="HZ177" s="13"/>
      <c r="IA177" s="13"/>
    </row>
    <row r="178" spans="1:235" ht="16.5" customHeight="1">
      <c r="A178" s="1"/>
      <c r="B178" s="3"/>
      <c r="C178" s="3"/>
      <c r="D178" s="532"/>
      <c r="E178" s="532"/>
      <c r="F178" s="532"/>
      <c r="G178" s="532"/>
      <c r="H178" s="532"/>
      <c r="I178" s="532"/>
      <c r="J178" s="532"/>
      <c r="K178" s="532"/>
      <c r="L178" s="532"/>
      <c r="M178" s="532"/>
      <c r="N178" s="532"/>
      <c r="O178" s="532"/>
      <c r="P178" s="532"/>
      <c r="Q178" s="532"/>
      <c r="R178" s="532"/>
      <c r="S178" s="532"/>
      <c r="T178" s="532"/>
      <c r="U178" s="532"/>
      <c r="V178" s="532"/>
      <c r="W178" s="532"/>
      <c r="X178" s="532"/>
      <c r="Y178" s="532"/>
      <c r="Z178" s="532"/>
      <c r="AA178" s="532"/>
      <c r="AB178" s="532"/>
      <c r="AC178" s="532"/>
      <c r="AD178" s="532"/>
      <c r="AE178" s="532"/>
      <c r="AF178" s="532"/>
      <c r="AG178" s="532"/>
      <c r="AH178" s="532"/>
      <c r="AI178" s="532"/>
      <c r="AJ178" s="532"/>
      <c r="AK178" s="532"/>
      <c r="AL178" s="532"/>
      <c r="AM178" s="532"/>
      <c r="AN178" s="532"/>
      <c r="AO178" s="532"/>
      <c r="AP178" s="532"/>
      <c r="AQ178" s="532"/>
      <c r="AR178" s="532"/>
      <c r="AS178" s="532"/>
      <c r="AT178" s="532"/>
      <c r="AU178" s="532"/>
      <c r="AV178" s="532"/>
      <c r="AW178" s="532"/>
      <c r="AX178" s="532"/>
      <c r="AY178" s="532"/>
      <c r="AZ178" s="532"/>
      <c r="BA178" s="532"/>
      <c r="BB178" s="532"/>
      <c r="BC178" s="532"/>
      <c r="BD178" s="532"/>
      <c r="BE178" s="532"/>
      <c r="BF178" s="532"/>
      <c r="BG178" s="532"/>
      <c r="BH178" s="532"/>
      <c r="BI178" s="532"/>
      <c r="BJ178" s="532"/>
      <c r="BK178" s="532"/>
      <c r="BL178" s="532"/>
      <c r="BM178" s="532"/>
      <c r="BN178" s="532"/>
      <c r="BO178" s="532"/>
      <c r="BP178" s="532"/>
      <c r="BQ178" s="532"/>
      <c r="BR178" s="532"/>
      <c r="BS178" s="532"/>
      <c r="BT178" s="532"/>
      <c r="BU178" s="532"/>
      <c r="BV178" s="532"/>
      <c r="BW178" s="532"/>
      <c r="BX178" s="532"/>
      <c r="BY178" s="532"/>
      <c r="BZ178" s="532"/>
      <c r="CA178" s="532"/>
      <c r="CB178" s="532"/>
      <c r="CC178" s="532"/>
      <c r="CD178" s="532"/>
      <c r="CE178" s="532"/>
      <c r="CF178" s="532"/>
      <c r="CG178" s="532"/>
      <c r="CH178" s="532"/>
      <c r="CI178" s="532"/>
      <c r="CJ178" s="532"/>
      <c r="CK178" s="532"/>
      <c r="CL178" s="532"/>
      <c r="CM178" s="532"/>
      <c r="CN178" s="532"/>
      <c r="CO178" s="532"/>
      <c r="CP178" s="532"/>
      <c r="CQ178" s="532"/>
      <c r="CR178" s="532"/>
      <c r="CS178" s="532"/>
      <c r="CT178" s="532"/>
      <c r="CU178" s="532"/>
      <c r="CV178" s="532"/>
      <c r="CW178" s="532"/>
      <c r="CX178" s="532"/>
      <c r="CY178" s="532"/>
      <c r="CZ178" s="532"/>
      <c r="DA178" s="532"/>
      <c r="DB178" s="532"/>
      <c r="DC178" s="532"/>
      <c r="DD178" s="532"/>
      <c r="DE178" s="532"/>
      <c r="DF178" s="532"/>
      <c r="DG178" s="532"/>
      <c r="DH178" s="532"/>
      <c r="DI178" s="532"/>
      <c r="DJ178" s="532"/>
      <c r="DK178" s="532"/>
      <c r="DL178" s="532"/>
      <c r="DM178" s="532"/>
      <c r="DN178" s="532"/>
      <c r="DO178" s="532"/>
      <c r="DP178" s="532"/>
      <c r="DQ178" s="532"/>
      <c r="DR178" s="532"/>
      <c r="DS178" s="532"/>
      <c r="DT178" s="532"/>
      <c r="DU178" s="532"/>
      <c r="DV178" s="532"/>
      <c r="DW178" s="532"/>
      <c r="DX178" s="532"/>
      <c r="DY178" s="532"/>
      <c r="DZ178" s="532"/>
      <c r="EA178" s="532"/>
      <c r="EB178" s="532"/>
      <c r="EC178" s="532"/>
      <c r="ED178" s="532"/>
      <c r="EE178" s="532"/>
      <c r="EF178" s="532"/>
      <c r="EG178" s="532"/>
      <c r="EH178" s="532"/>
      <c r="EI178" s="532"/>
      <c r="EJ178" s="532"/>
      <c r="EK178" s="532"/>
      <c r="EL178" s="532"/>
      <c r="EM178" s="532"/>
      <c r="EN178" s="532"/>
      <c r="EO178" s="532"/>
      <c r="EP178" s="532"/>
      <c r="EQ178" s="532"/>
      <c r="ER178" s="532"/>
      <c r="ES178" s="532"/>
      <c r="ET178" s="532"/>
      <c r="EU178" s="532"/>
      <c r="EV178" s="532"/>
      <c r="EW178" s="532"/>
      <c r="EX178" s="532"/>
      <c r="EY178" s="532"/>
      <c r="EZ178" s="532"/>
      <c r="FA178" s="532"/>
      <c r="FB178" s="532"/>
      <c r="FC178" s="532"/>
      <c r="FD178" s="532"/>
      <c r="FE178" s="532"/>
      <c r="FF178" s="532"/>
      <c r="FG178" s="532"/>
      <c r="FH178" s="532"/>
      <c r="FI178" s="532"/>
      <c r="FJ178" s="532"/>
      <c r="FK178" s="532"/>
      <c r="FL178" s="532"/>
      <c r="FM178" s="338"/>
      <c r="FN178" s="78"/>
      <c r="FO178" s="78"/>
      <c r="FP178" s="78"/>
      <c r="FQ178" s="78"/>
      <c r="FR178" s="78"/>
      <c r="FS178" s="78"/>
      <c r="FT178" s="78"/>
      <c r="FU178" s="78"/>
      <c r="FV178" s="78"/>
      <c r="FW178" s="78"/>
      <c r="FX178" s="78"/>
      <c r="FY178" s="32"/>
      <c r="FZ178" s="32"/>
      <c r="GA178" s="32"/>
      <c r="GB178" s="32"/>
      <c r="GC178" s="32"/>
      <c r="GD178" s="32"/>
      <c r="GE178" s="32"/>
      <c r="GF178" s="32"/>
      <c r="GG178" s="32"/>
      <c r="GH178" s="32"/>
      <c r="GI178" s="32"/>
      <c r="GJ178" s="32"/>
      <c r="GK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78"/>
      <c r="HO178" s="78"/>
      <c r="HP178" s="78"/>
      <c r="HQ178" s="13"/>
      <c r="HR178" s="13"/>
      <c r="HS178" s="13"/>
      <c r="HT178" s="13"/>
      <c r="HU178" s="13"/>
      <c r="HV178" s="13"/>
      <c r="HW178" s="13"/>
      <c r="HX178" s="13"/>
      <c r="HY178" s="13"/>
      <c r="HZ178" s="13"/>
      <c r="IA178" s="13"/>
    </row>
    <row r="179" spans="1:235" ht="16.5" customHeight="1">
      <c r="A179" s="1"/>
      <c r="B179" s="3"/>
      <c r="C179" s="3"/>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c r="AM179" s="532"/>
      <c r="AN179" s="532"/>
      <c r="AO179" s="532"/>
      <c r="AP179" s="532"/>
      <c r="AQ179" s="532"/>
      <c r="AR179" s="532"/>
      <c r="AS179" s="532"/>
      <c r="AT179" s="532"/>
      <c r="AU179" s="532"/>
      <c r="AV179" s="532"/>
      <c r="AW179" s="532"/>
      <c r="AX179" s="532"/>
      <c r="AY179" s="532"/>
      <c r="AZ179" s="532"/>
      <c r="BA179" s="532"/>
      <c r="BB179" s="532"/>
      <c r="BC179" s="532"/>
      <c r="BD179" s="532"/>
      <c r="BE179" s="532"/>
      <c r="BF179" s="532"/>
      <c r="BG179" s="532"/>
      <c r="BH179" s="532"/>
      <c r="BI179" s="532"/>
      <c r="BJ179" s="532"/>
      <c r="BK179" s="532"/>
      <c r="BL179" s="532"/>
      <c r="BM179" s="532"/>
      <c r="BN179" s="532"/>
      <c r="BO179" s="532"/>
      <c r="BP179" s="532"/>
      <c r="BQ179" s="532"/>
      <c r="BR179" s="532"/>
      <c r="BS179" s="532"/>
      <c r="BT179" s="532"/>
      <c r="BU179" s="532"/>
      <c r="BV179" s="532"/>
      <c r="BW179" s="532"/>
      <c r="BX179" s="532"/>
      <c r="BY179" s="532"/>
      <c r="BZ179" s="532"/>
      <c r="CA179" s="532"/>
      <c r="CB179" s="532"/>
      <c r="CC179" s="532"/>
      <c r="CD179" s="532"/>
      <c r="CE179" s="532"/>
      <c r="CF179" s="532"/>
      <c r="CG179" s="532"/>
      <c r="CH179" s="532"/>
      <c r="CI179" s="532"/>
      <c r="CJ179" s="532"/>
      <c r="CK179" s="532"/>
      <c r="CL179" s="532"/>
      <c r="CM179" s="532"/>
      <c r="CN179" s="532"/>
      <c r="CO179" s="532"/>
      <c r="CP179" s="532"/>
      <c r="CQ179" s="532"/>
      <c r="CR179" s="532"/>
      <c r="CS179" s="532"/>
      <c r="CT179" s="532"/>
      <c r="CU179" s="532"/>
      <c r="CV179" s="532"/>
      <c r="CW179" s="532"/>
      <c r="CX179" s="532"/>
      <c r="CY179" s="532"/>
      <c r="CZ179" s="532"/>
      <c r="DA179" s="532"/>
      <c r="DB179" s="532"/>
      <c r="DC179" s="532"/>
      <c r="DD179" s="532"/>
      <c r="DE179" s="532"/>
      <c r="DF179" s="532"/>
      <c r="DG179" s="532"/>
      <c r="DH179" s="532"/>
      <c r="DI179" s="532"/>
      <c r="DJ179" s="532"/>
      <c r="DK179" s="532"/>
      <c r="DL179" s="532"/>
      <c r="DM179" s="532"/>
      <c r="DN179" s="532"/>
      <c r="DO179" s="532"/>
      <c r="DP179" s="532"/>
      <c r="DQ179" s="532"/>
      <c r="DR179" s="532"/>
      <c r="DS179" s="532"/>
      <c r="DT179" s="532"/>
      <c r="DU179" s="532"/>
      <c r="DV179" s="532"/>
      <c r="DW179" s="532"/>
      <c r="DX179" s="532"/>
      <c r="DY179" s="532"/>
      <c r="DZ179" s="532"/>
      <c r="EA179" s="532"/>
      <c r="EB179" s="532"/>
      <c r="EC179" s="532"/>
      <c r="ED179" s="532"/>
      <c r="EE179" s="532"/>
      <c r="EF179" s="532"/>
      <c r="EG179" s="532"/>
      <c r="EH179" s="532"/>
      <c r="EI179" s="532"/>
      <c r="EJ179" s="532"/>
      <c r="EK179" s="532"/>
      <c r="EL179" s="532"/>
      <c r="EM179" s="532"/>
      <c r="EN179" s="532"/>
      <c r="EO179" s="532"/>
      <c r="EP179" s="532"/>
      <c r="EQ179" s="532"/>
      <c r="ER179" s="532"/>
      <c r="ES179" s="532"/>
      <c r="ET179" s="532"/>
      <c r="EU179" s="532"/>
      <c r="EV179" s="532"/>
      <c r="EW179" s="532"/>
      <c r="EX179" s="532"/>
      <c r="EY179" s="532"/>
      <c r="EZ179" s="532"/>
      <c r="FA179" s="532"/>
      <c r="FB179" s="532"/>
      <c r="FC179" s="532"/>
      <c r="FD179" s="532"/>
      <c r="FE179" s="532"/>
      <c r="FF179" s="532"/>
      <c r="FG179" s="532"/>
      <c r="FH179" s="532"/>
      <c r="FI179" s="532"/>
      <c r="FJ179" s="532"/>
      <c r="FK179" s="532"/>
      <c r="FL179" s="532"/>
      <c r="FM179" s="338"/>
      <c r="FN179" s="78"/>
      <c r="FO179" s="78"/>
      <c r="FP179" s="78"/>
      <c r="FQ179" s="78"/>
      <c r="FR179" s="78"/>
      <c r="FS179" s="78"/>
      <c r="FT179" s="78"/>
      <c r="FU179" s="78"/>
      <c r="FV179" s="78"/>
      <c r="FW179" s="78"/>
      <c r="FX179" s="78"/>
      <c r="FY179" s="32"/>
      <c r="FZ179" s="32"/>
      <c r="GA179" s="32"/>
      <c r="GB179" s="32"/>
      <c r="GC179" s="32"/>
      <c r="GD179" s="32"/>
      <c r="GE179" s="32"/>
      <c r="GF179" s="32"/>
      <c r="GG179" s="32"/>
      <c r="GH179" s="32"/>
      <c r="GI179" s="32"/>
      <c r="GJ179" s="32"/>
      <c r="GK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78"/>
      <c r="HO179" s="78"/>
      <c r="HP179" s="78"/>
      <c r="HQ179" s="13"/>
      <c r="HR179" s="13"/>
      <c r="HS179" s="13"/>
      <c r="HT179" s="13"/>
      <c r="HU179" s="13"/>
      <c r="HV179" s="13"/>
      <c r="HW179" s="13"/>
      <c r="HX179" s="13"/>
      <c r="HY179" s="13"/>
      <c r="HZ179" s="13"/>
      <c r="IA179" s="13"/>
    </row>
    <row r="180" spans="1:235" ht="16.5" customHeight="1">
      <c r="A180" s="1"/>
      <c r="B180" s="3"/>
      <c r="C180" s="3"/>
      <c r="D180" s="532"/>
      <c r="E180" s="532"/>
      <c r="F180" s="532"/>
      <c r="G180" s="532"/>
      <c r="H180" s="532"/>
      <c r="I180" s="532"/>
      <c r="J180" s="532"/>
      <c r="K180" s="532"/>
      <c r="L180" s="532"/>
      <c r="M180" s="532"/>
      <c r="N180" s="532"/>
      <c r="O180" s="532"/>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c r="AM180" s="532"/>
      <c r="AN180" s="532"/>
      <c r="AO180" s="532"/>
      <c r="AP180" s="532"/>
      <c r="AQ180" s="532"/>
      <c r="AR180" s="532"/>
      <c r="AS180" s="532"/>
      <c r="AT180" s="532"/>
      <c r="AU180" s="532"/>
      <c r="AV180" s="532"/>
      <c r="AW180" s="532"/>
      <c r="AX180" s="532"/>
      <c r="AY180" s="532"/>
      <c r="AZ180" s="532"/>
      <c r="BA180" s="532"/>
      <c r="BB180" s="532"/>
      <c r="BC180" s="532"/>
      <c r="BD180" s="532"/>
      <c r="BE180" s="532"/>
      <c r="BF180" s="532"/>
      <c r="BG180" s="532"/>
      <c r="BH180" s="532"/>
      <c r="BI180" s="532"/>
      <c r="BJ180" s="532"/>
      <c r="BK180" s="532"/>
      <c r="BL180" s="532"/>
      <c r="BM180" s="532"/>
      <c r="BN180" s="532"/>
      <c r="BO180" s="532"/>
      <c r="BP180" s="532"/>
      <c r="BQ180" s="532"/>
      <c r="BR180" s="532"/>
      <c r="BS180" s="532"/>
      <c r="BT180" s="532"/>
      <c r="BU180" s="532"/>
      <c r="BV180" s="532"/>
      <c r="BW180" s="532"/>
      <c r="BX180" s="532"/>
      <c r="BY180" s="532"/>
      <c r="BZ180" s="532"/>
      <c r="CA180" s="532"/>
      <c r="CB180" s="532"/>
      <c r="CC180" s="532"/>
      <c r="CD180" s="532"/>
      <c r="CE180" s="532"/>
      <c r="CF180" s="532"/>
      <c r="CG180" s="532"/>
      <c r="CH180" s="532"/>
      <c r="CI180" s="532"/>
      <c r="CJ180" s="532"/>
      <c r="CK180" s="532"/>
      <c r="CL180" s="532"/>
      <c r="CM180" s="532"/>
      <c r="CN180" s="532"/>
      <c r="CO180" s="532"/>
      <c r="CP180" s="532"/>
      <c r="CQ180" s="532"/>
      <c r="CR180" s="532"/>
      <c r="CS180" s="532"/>
      <c r="CT180" s="532"/>
      <c r="CU180" s="532"/>
      <c r="CV180" s="532"/>
      <c r="CW180" s="532"/>
      <c r="CX180" s="532"/>
      <c r="CY180" s="532"/>
      <c r="CZ180" s="532"/>
      <c r="DA180" s="532"/>
      <c r="DB180" s="532"/>
      <c r="DC180" s="532"/>
      <c r="DD180" s="532"/>
      <c r="DE180" s="532"/>
      <c r="DF180" s="532"/>
      <c r="DG180" s="532"/>
      <c r="DH180" s="532"/>
      <c r="DI180" s="532"/>
      <c r="DJ180" s="532"/>
      <c r="DK180" s="532"/>
      <c r="DL180" s="532"/>
      <c r="DM180" s="532"/>
      <c r="DN180" s="532"/>
      <c r="DO180" s="532"/>
      <c r="DP180" s="532"/>
      <c r="DQ180" s="532"/>
      <c r="DR180" s="532"/>
      <c r="DS180" s="532"/>
      <c r="DT180" s="532"/>
      <c r="DU180" s="532"/>
      <c r="DV180" s="532"/>
      <c r="DW180" s="532"/>
      <c r="DX180" s="532"/>
      <c r="DY180" s="532"/>
      <c r="DZ180" s="532"/>
      <c r="EA180" s="532"/>
      <c r="EB180" s="532"/>
      <c r="EC180" s="532"/>
      <c r="ED180" s="532"/>
      <c r="EE180" s="532"/>
      <c r="EF180" s="532"/>
      <c r="EG180" s="532"/>
      <c r="EH180" s="532"/>
      <c r="EI180" s="532"/>
      <c r="EJ180" s="532"/>
      <c r="EK180" s="532"/>
      <c r="EL180" s="532"/>
      <c r="EM180" s="532"/>
      <c r="EN180" s="532"/>
      <c r="EO180" s="532"/>
      <c r="EP180" s="532"/>
      <c r="EQ180" s="532"/>
      <c r="ER180" s="532"/>
      <c r="ES180" s="532"/>
      <c r="ET180" s="532"/>
      <c r="EU180" s="532"/>
      <c r="EV180" s="532"/>
      <c r="EW180" s="532"/>
      <c r="EX180" s="532"/>
      <c r="EY180" s="532"/>
      <c r="EZ180" s="532"/>
      <c r="FA180" s="532"/>
      <c r="FB180" s="532"/>
      <c r="FC180" s="532"/>
      <c r="FD180" s="532"/>
      <c r="FE180" s="532"/>
      <c r="FF180" s="532"/>
      <c r="FG180" s="532"/>
      <c r="FH180" s="532"/>
      <c r="FI180" s="532"/>
      <c r="FJ180" s="532"/>
      <c r="FK180" s="532"/>
      <c r="FL180" s="532"/>
      <c r="FM180" s="338"/>
      <c r="FN180" s="78"/>
      <c r="FO180" s="78"/>
      <c r="FP180" s="78"/>
      <c r="FQ180" s="78"/>
      <c r="FR180" s="78"/>
      <c r="FS180" s="78"/>
      <c r="FT180" s="78"/>
      <c r="FU180" s="78"/>
      <c r="FV180" s="78"/>
      <c r="FW180" s="78"/>
      <c r="FX180" s="78"/>
      <c r="FY180" s="32"/>
      <c r="FZ180" s="32"/>
      <c r="GA180" s="32"/>
      <c r="GB180" s="32"/>
      <c r="GC180" s="32"/>
      <c r="GD180" s="32"/>
      <c r="GE180" s="32"/>
      <c r="GF180" s="32"/>
      <c r="GG180" s="32"/>
      <c r="GH180" s="32"/>
      <c r="GI180" s="32"/>
      <c r="GJ180" s="32"/>
      <c r="GK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78"/>
      <c r="HO180" s="78"/>
      <c r="HP180" s="78"/>
      <c r="HQ180" s="13"/>
      <c r="HR180" s="13"/>
      <c r="HS180" s="13"/>
      <c r="HT180" s="13"/>
      <c r="HU180" s="13"/>
      <c r="HV180" s="13"/>
      <c r="HW180" s="13"/>
      <c r="HX180" s="13"/>
      <c r="HY180" s="13"/>
      <c r="HZ180" s="13"/>
      <c r="IA180" s="13"/>
    </row>
    <row r="181" spans="1:235" ht="16.5" customHeight="1">
      <c r="A181" s="1"/>
      <c r="B181" s="3"/>
      <c r="C181" s="3"/>
      <c r="D181" s="532"/>
      <c r="E181" s="532"/>
      <c r="F181" s="532"/>
      <c r="G181" s="532"/>
      <c r="H181" s="532"/>
      <c r="I181" s="532"/>
      <c r="J181" s="532"/>
      <c r="K181" s="532"/>
      <c r="L181" s="532"/>
      <c r="M181" s="532"/>
      <c r="N181" s="532"/>
      <c r="O181" s="532"/>
      <c r="P181" s="532"/>
      <c r="Q181" s="532"/>
      <c r="R181" s="532"/>
      <c r="S181" s="532"/>
      <c r="T181" s="532"/>
      <c r="U181" s="532"/>
      <c r="V181" s="532"/>
      <c r="W181" s="532"/>
      <c r="X181" s="532"/>
      <c r="Y181" s="532"/>
      <c r="Z181" s="532"/>
      <c r="AA181" s="532"/>
      <c r="AB181" s="532"/>
      <c r="AC181" s="532"/>
      <c r="AD181" s="532"/>
      <c r="AE181" s="532"/>
      <c r="AF181" s="532"/>
      <c r="AG181" s="532"/>
      <c r="AH181" s="532"/>
      <c r="AI181" s="532"/>
      <c r="AJ181" s="532"/>
      <c r="AK181" s="532"/>
      <c r="AL181" s="532"/>
      <c r="AM181" s="532"/>
      <c r="AN181" s="532"/>
      <c r="AO181" s="532"/>
      <c r="AP181" s="532"/>
      <c r="AQ181" s="532"/>
      <c r="AR181" s="532"/>
      <c r="AS181" s="532"/>
      <c r="AT181" s="532"/>
      <c r="AU181" s="532"/>
      <c r="AV181" s="532"/>
      <c r="AW181" s="532"/>
      <c r="AX181" s="532"/>
      <c r="AY181" s="532"/>
      <c r="AZ181" s="532"/>
      <c r="BA181" s="532"/>
      <c r="BB181" s="532"/>
      <c r="BC181" s="532"/>
      <c r="BD181" s="532"/>
      <c r="BE181" s="532"/>
      <c r="BF181" s="532"/>
      <c r="BG181" s="532"/>
      <c r="BH181" s="532"/>
      <c r="BI181" s="532"/>
      <c r="BJ181" s="532"/>
      <c r="BK181" s="532"/>
      <c r="BL181" s="532"/>
      <c r="BM181" s="532"/>
      <c r="BN181" s="532"/>
      <c r="BO181" s="532"/>
      <c r="BP181" s="532"/>
      <c r="BQ181" s="532"/>
      <c r="BR181" s="532"/>
      <c r="BS181" s="532"/>
      <c r="BT181" s="532"/>
      <c r="BU181" s="532"/>
      <c r="BV181" s="532"/>
      <c r="BW181" s="532"/>
      <c r="BX181" s="532"/>
      <c r="BY181" s="532"/>
      <c r="BZ181" s="532"/>
      <c r="CA181" s="532"/>
      <c r="CB181" s="532"/>
      <c r="CC181" s="532"/>
      <c r="CD181" s="532"/>
      <c r="CE181" s="532"/>
      <c r="CF181" s="532"/>
      <c r="CG181" s="532"/>
      <c r="CH181" s="532"/>
      <c r="CI181" s="532"/>
      <c r="CJ181" s="532"/>
      <c r="CK181" s="532"/>
      <c r="CL181" s="532"/>
      <c r="CM181" s="532"/>
      <c r="CN181" s="532"/>
      <c r="CO181" s="532"/>
      <c r="CP181" s="532"/>
      <c r="CQ181" s="532"/>
      <c r="CR181" s="532"/>
      <c r="CS181" s="532"/>
      <c r="CT181" s="532"/>
      <c r="CU181" s="532"/>
      <c r="CV181" s="532"/>
      <c r="CW181" s="532"/>
      <c r="CX181" s="532"/>
      <c r="CY181" s="532"/>
      <c r="CZ181" s="532"/>
      <c r="DA181" s="532"/>
      <c r="DB181" s="532"/>
      <c r="DC181" s="532"/>
      <c r="DD181" s="532"/>
      <c r="DE181" s="532"/>
      <c r="DF181" s="532"/>
      <c r="DG181" s="532"/>
      <c r="DH181" s="532"/>
      <c r="DI181" s="532"/>
      <c r="DJ181" s="532"/>
      <c r="DK181" s="532"/>
      <c r="DL181" s="532"/>
      <c r="DM181" s="532"/>
      <c r="DN181" s="532"/>
      <c r="DO181" s="532"/>
      <c r="DP181" s="532"/>
      <c r="DQ181" s="532"/>
      <c r="DR181" s="532"/>
      <c r="DS181" s="532"/>
      <c r="DT181" s="532"/>
      <c r="DU181" s="532"/>
      <c r="DV181" s="532"/>
      <c r="DW181" s="532"/>
      <c r="DX181" s="532"/>
      <c r="DY181" s="532"/>
      <c r="DZ181" s="532"/>
      <c r="EA181" s="532"/>
      <c r="EB181" s="532"/>
      <c r="EC181" s="532"/>
      <c r="ED181" s="532"/>
      <c r="EE181" s="532"/>
      <c r="EF181" s="532"/>
      <c r="EG181" s="532"/>
      <c r="EH181" s="532"/>
      <c r="EI181" s="532"/>
      <c r="EJ181" s="532"/>
      <c r="EK181" s="532"/>
      <c r="EL181" s="532"/>
      <c r="EM181" s="532"/>
      <c r="EN181" s="532"/>
      <c r="EO181" s="532"/>
      <c r="EP181" s="532"/>
      <c r="EQ181" s="532"/>
      <c r="ER181" s="532"/>
      <c r="ES181" s="532"/>
      <c r="ET181" s="532"/>
      <c r="EU181" s="532"/>
      <c r="EV181" s="532"/>
      <c r="EW181" s="532"/>
      <c r="EX181" s="532"/>
      <c r="EY181" s="532"/>
      <c r="EZ181" s="532"/>
      <c r="FA181" s="532"/>
      <c r="FB181" s="532"/>
      <c r="FC181" s="532"/>
      <c r="FD181" s="532"/>
      <c r="FE181" s="532"/>
      <c r="FF181" s="532"/>
      <c r="FG181" s="532"/>
      <c r="FH181" s="532"/>
      <c r="FI181" s="532"/>
      <c r="FJ181" s="532"/>
      <c r="FK181" s="532"/>
      <c r="FL181" s="532"/>
      <c r="FM181" s="338"/>
      <c r="FN181" s="78"/>
      <c r="FO181" s="78"/>
      <c r="FP181" s="78"/>
      <c r="FQ181" s="78"/>
      <c r="FR181" s="78"/>
      <c r="FS181" s="78"/>
      <c r="FT181" s="78"/>
      <c r="FU181" s="78"/>
      <c r="FV181" s="78"/>
      <c r="FW181" s="78"/>
      <c r="FX181" s="78"/>
      <c r="FY181" s="32"/>
      <c r="FZ181" s="32"/>
      <c r="GA181" s="32"/>
      <c r="GB181" s="32"/>
      <c r="GC181" s="32"/>
      <c r="GD181" s="32"/>
      <c r="GE181" s="32"/>
      <c r="GF181" s="32"/>
      <c r="GG181" s="32"/>
      <c r="GH181" s="32"/>
      <c r="GI181" s="32"/>
      <c r="GJ181" s="32"/>
      <c r="GK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78"/>
      <c r="HO181" s="78"/>
      <c r="HP181" s="78"/>
      <c r="HQ181" s="13"/>
      <c r="HR181" s="13"/>
      <c r="HS181" s="13"/>
      <c r="HT181" s="13"/>
      <c r="HU181" s="13"/>
      <c r="HV181" s="13"/>
      <c r="HW181" s="13"/>
      <c r="HX181" s="13"/>
      <c r="HY181" s="13"/>
      <c r="HZ181" s="13"/>
      <c r="IA181" s="13"/>
    </row>
    <row r="182" spans="1:235" ht="16.5" customHeight="1">
      <c r="A182" s="1"/>
      <c r="B182" s="3"/>
      <c r="C182" s="3"/>
      <c r="D182" s="532"/>
      <c r="E182" s="532"/>
      <c r="F182" s="532"/>
      <c r="G182" s="532"/>
      <c r="H182" s="532"/>
      <c r="I182" s="532"/>
      <c r="J182" s="532"/>
      <c r="K182" s="532"/>
      <c r="L182" s="532"/>
      <c r="M182" s="532"/>
      <c r="N182" s="532"/>
      <c r="O182" s="532"/>
      <c r="P182" s="532"/>
      <c r="Q182" s="532"/>
      <c r="R182" s="532"/>
      <c r="S182" s="532"/>
      <c r="T182" s="532"/>
      <c r="U182" s="532"/>
      <c r="V182" s="532"/>
      <c r="W182" s="532"/>
      <c r="X182" s="532"/>
      <c r="Y182" s="532"/>
      <c r="Z182" s="532"/>
      <c r="AA182" s="532"/>
      <c r="AB182" s="532"/>
      <c r="AC182" s="532"/>
      <c r="AD182" s="532"/>
      <c r="AE182" s="532"/>
      <c r="AF182" s="532"/>
      <c r="AG182" s="532"/>
      <c r="AH182" s="532"/>
      <c r="AI182" s="532"/>
      <c r="AJ182" s="532"/>
      <c r="AK182" s="532"/>
      <c r="AL182" s="532"/>
      <c r="AM182" s="532"/>
      <c r="AN182" s="532"/>
      <c r="AO182" s="532"/>
      <c r="AP182" s="532"/>
      <c r="AQ182" s="532"/>
      <c r="AR182" s="532"/>
      <c r="AS182" s="532"/>
      <c r="AT182" s="532"/>
      <c r="AU182" s="532"/>
      <c r="AV182" s="532"/>
      <c r="AW182" s="532"/>
      <c r="AX182" s="532"/>
      <c r="AY182" s="532"/>
      <c r="AZ182" s="532"/>
      <c r="BA182" s="532"/>
      <c r="BB182" s="532"/>
      <c r="BC182" s="532"/>
      <c r="BD182" s="532"/>
      <c r="BE182" s="532"/>
      <c r="BF182" s="532"/>
      <c r="BG182" s="532"/>
      <c r="BH182" s="532"/>
      <c r="BI182" s="532"/>
      <c r="BJ182" s="532"/>
      <c r="BK182" s="532"/>
      <c r="BL182" s="532"/>
      <c r="BM182" s="532"/>
      <c r="BN182" s="532"/>
      <c r="BO182" s="532"/>
      <c r="BP182" s="532"/>
      <c r="BQ182" s="532"/>
      <c r="BR182" s="532"/>
      <c r="BS182" s="532"/>
      <c r="BT182" s="532"/>
      <c r="BU182" s="532"/>
      <c r="BV182" s="532"/>
      <c r="BW182" s="532"/>
      <c r="BX182" s="532"/>
      <c r="BY182" s="532"/>
      <c r="BZ182" s="532"/>
      <c r="CA182" s="532"/>
      <c r="CB182" s="532"/>
      <c r="CC182" s="532"/>
      <c r="CD182" s="532"/>
      <c r="CE182" s="532"/>
      <c r="CF182" s="532"/>
      <c r="CG182" s="532"/>
      <c r="CH182" s="532"/>
      <c r="CI182" s="532"/>
      <c r="CJ182" s="532"/>
      <c r="CK182" s="532"/>
      <c r="CL182" s="532"/>
      <c r="CM182" s="532"/>
      <c r="CN182" s="532"/>
      <c r="CO182" s="532"/>
      <c r="CP182" s="532"/>
      <c r="CQ182" s="532"/>
      <c r="CR182" s="532"/>
      <c r="CS182" s="532"/>
      <c r="CT182" s="532"/>
      <c r="CU182" s="532"/>
      <c r="CV182" s="532"/>
      <c r="CW182" s="532"/>
      <c r="CX182" s="532"/>
      <c r="CY182" s="532"/>
      <c r="CZ182" s="532"/>
      <c r="DA182" s="532"/>
      <c r="DB182" s="532"/>
      <c r="DC182" s="532"/>
      <c r="DD182" s="532"/>
      <c r="DE182" s="532"/>
      <c r="DF182" s="532"/>
      <c r="DG182" s="532"/>
      <c r="DH182" s="532"/>
      <c r="DI182" s="532"/>
      <c r="DJ182" s="532"/>
      <c r="DK182" s="532"/>
      <c r="DL182" s="532"/>
      <c r="DM182" s="532"/>
      <c r="DN182" s="532"/>
      <c r="DO182" s="532"/>
      <c r="DP182" s="532"/>
      <c r="DQ182" s="532"/>
      <c r="DR182" s="532"/>
      <c r="DS182" s="532"/>
      <c r="DT182" s="532"/>
      <c r="DU182" s="532"/>
      <c r="DV182" s="532"/>
      <c r="DW182" s="532"/>
      <c r="DX182" s="532"/>
      <c r="DY182" s="532"/>
      <c r="DZ182" s="532"/>
      <c r="EA182" s="532"/>
      <c r="EB182" s="532"/>
      <c r="EC182" s="532"/>
      <c r="ED182" s="532"/>
      <c r="EE182" s="532"/>
      <c r="EF182" s="532"/>
      <c r="EG182" s="532"/>
      <c r="EH182" s="532"/>
      <c r="EI182" s="532"/>
      <c r="EJ182" s="532"/>
      <c r="EK182" s="532"/>
      <c r="EL182" s="532"/>
      <c r="EM182" s="532"/>
      <c r="EN182" s="532"/>
      <c r="EO182" s="532"/>
      <c r="EP182" s="532"/>
      <c r="EQ182" s="532"/>
      <c r="ER182" s="532"/>
      <c r="ES182" s="532"/>
      <c r="ET182" s="532"/>
      <c r="EU182" s="532"/>
      <c r="EV182" s="532"/>
      <c r="EW182" s="532"/>
      <c r="EX182" s="532"/>
      <c r="EY182" s="532"/>
      <c r="EZ182" s="532"/>
      <c r="FA182" s="532"/>
      <c r="FB182" s="532"/>
      <c r="FC182" s="532"/>
      <c r="FD182" s="532"/>
      <c r="FE182" s="532"/>
      <c r="FF182" s="532"/>
      <c r="FG182" s="532"/>
      <c r="FH182" s="532"/>
      <c r="FI182" s="532"/>
      <c r="FJ182" s="532"/>
      <c r="FK182" s="532"/>
      <c r="FL182" s="532"/>
      <c r="FM182" s="338"/>
      <c r="FN182" s="78"/>
      <c r="FO182" s="78"/>
      <c r="FP182" s="78"/>
      <c r="FQ182" s="78"/>
      <c r="FR182" s="78"/>
      <c r="FS182" s="78"/>
      <c r="FT182" s="78"/>
      <c r="FU182" s="78"/>
      <c r="FV182" s="78"/>
      <c r="FW182" s="78"/>
      <c r="FX182" s="78"/>
      <c r="FY182" s="32"/>
      <c r="FZ182" s="32"/>
      <c r="GA182" s="32"/>
      <c r="GB182" s="32"/>
      <c r="GC182" s="32"/>
      <c r="GD182" s="32"/>
      <c r="GE182" s="32"/>
      <c r="GF182" s="32"/>
      <c r="GG182" s="32"/>
      <c r="GH182" s="32"/>
      <c r="GI182" s="32"/>
      <c r="GJ182" s="32"/>
      <c r="GK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78"/>
      <c r="HO182" s="78"/>
      <c r="HP182" s="78"/>
      <c r="HQ182" s="13"/>
      <c r="HR182" s="13"/>
      <c r="HS182" s="13"/>
      <c r="HT182" s="13"/>
      <c r="HU182" s="13"/>
      <c r="HV182" s="13"/>
      <c r="HW182" s="13"/>
      <c r="HX182" s="13"/>
      <c r="HY182" s="13"/>
      <c r="HZ182" s="13"/>
      <c r="IA182" s="13"/>
    </row>
    <row r="183" spans="1:235" ht="16.5" customHeight="1">
      <c r="A183" s="1"/>
      <c r="B183" s="3"/>
      <c r="C183" s="3"/>
      <c r="D183" s="532"/>
      <c r="E183" s="532"/>
      <c r="F183" s="532"/>
      <c r="G183" s="532"/>
      <c r="H183" s="532"/>
      <c r="I183" s="532"/>
      <c r="J183" s="532"/>
      <c r="K183" s="532"/>
      <c r="L183" s="532"/>
      <c r="M183" s="532"/>
      <c r="N183" s="532"/>
      <c r="O183" s="532"/>
      <c r="P183" s="532"/>
      <c r="Q183" s="532"/>
      <c r="R183" s="532"/>
      <c r="S183" s="532"/>
      <c r="T183" s="532"/>
      <c r="U183" s="532"/>
      <c r="V183" s="532"/>
      <c r="W183" s="532"/>
      <c r="X183" s="532"/>
      <c r="Y183" s="532"/>
      <c r="Z183" s="532"/>
      <c r="AA183" s="532"/>
      <c r="AB183" s="532"/>
      <c r="AC183" s="532"/>
      <c r="AD183" s="532"/>
      <c r="AE183" s="532"/>
      <c r="AF183" s="532"/>
      <c r="AG183" s="532"/>
      <c r="AH183" s="532"/>
      <c r="AI183" s="532"/>
      <c r="AJ183" s="532"/>
      <c r="AK183" s="532"/>
      <c r="AL183" s="532"/>
      <c r="AM183" s="532"/>
      <c r="AN183" s="532"/>
      <c r="AO183" s="532"/>
      <c r="AP183" s="532"/>
      <c r="AQ183" s="532"/>
      <c r="AR183" s="532"/>
      <c r="AS183" s="532"/>
      <c r="AT183" s="532"/>
      <c r="AU183" s="532"/>
      <c r="AV183" s="532"/>
      <c r="AW183" s="532"/>
      <c r="AX183" s="532"/>
      <c r="AY183" s="532"/>
      <c r="AZ183" s="532"/>
      <c r="BA183" s="532"/>
      <c r="BB183" s="532"/>
      <c r="BC183" s="532"/>
      <c r="BD183" s="532"/>
      <c r="BE183" s="532"/>
      <c r="BF183" s="532"/>
      <c r="BG183" s="532"/>
      <c r="BH183" s="532"/>
      <c r="BI183" s="532"/>
      <c r="BJ183" s="532"/>
      <c r="BK183" s="532"/>
      <c r="BL183" s="532"/>
      <c r="BM183" s="532"/>
      <c r="BN183" s="532"/>
      <c r="BO183" s="532"/>
      <c r="BP183" s="532"/>
      <c r="BQ183" s="532"/>
      <c r="BR183" s="532"/>
      <c r="BS183" s="532"/>
      <c r="BT183" s="532"/>
      <c r="BU183" s="532"/>
      <c r="BV183" s="532"/>
      <c r="BW183" s="532"/>
      <c r="BX183" s="532"/>
      <c r="BY183" s="532"/>
      <c r="BZ183" s="532"/>
      <c r="CA183" s="532"/>
      <c r="CB183" s="532"/>
      <c r="CC183" s="532"/>
      <c r="CD183" s="532"/>
      <c r="CE183" s="532"/>
      <c r="CF183" s="532"/>
      <c r="CG183" s="532"/>
      <c r="CH183" s="532"/>
      <c r="CI183" s="532"/>
      <c r="CJ183" s="532"/>
      <c r="CK183" s="532"/>
      <c r="CL183" s="532"/>
      <c r="CM183" s="532"/>
      <c r="CN183" s="532"/>
      <c r="CO183" s="532"/>
      <c r="CP183" s="532"/>
      <c r="CQ183" s="532"/>
      <c r="CR183" s="532"/>
      <c r="CS183" s="532"/>
      <c r="CT183" s="532"/>
      <c r="CU183" s="532"/>
      <c r="CV183" s="532"/>
      <c r="CW183" s="532"/>
      <c r="CX183" s="532"/>
      <c r="CY183" s="532"/>
      <c r="CZ183" s="532"/>
      <c r="DA183" s="532"/>
      <c r="DB183" s="532"/>
      <c r="DC183" s="532"/>
      <c r="DD183" s="532"/>
      <c r="DE183" s="532"/>
      <c r="DF183" s="532"/>
      <c r="DG183" s="532"/>
      <c r="DH183" s="532"/>
      <c r="DI183" s="532"/>
      <c r="DJ183" s="532"/>
      <c r="DK183" s="532"/>
      <c r="DL183" s="532"/>
      <c r="DM183" s="532"/>
      <c r="DN183" s="532"/>
      <c r="DO183" s="532"/>
      <c r="DP183" s="532"/>
      <c r="DQ183" s="532"/>
      <c r="DR183" s="532"/>
      <c r="DS183" s="532"/>
      <c r="DT183" s="532"/>
      <c r="DU183" s="532"/>
      <c r="DV183" s="532"/>
      <c r="DW183" s="532"/>
      <c r="DX183" s="532"/>
      <c r="DY183" s="532"/>
      <c r="DZ183" s="532"/>
      <c r="EA183" s="532"/>
      <c r="EB183" s="532"/>
      <c r="EC183" s="532"/>
      <c r="ED183" s="532"/>
      <c r="EE183" s="532"/>
      <c r="EF183" s="532"/>
      <c r="EG183" s="532"/>
      <c r="EH183" s="532"/>
      <c r="EI183" s="532"/>
      <c r="EJ183" s="532"/>
      <c r="EK183" s="532"/>
      <c r="EL183" s="532"/>
      <c r="EM183" s="532"/>
      <c r="EN183" s="532"/>
      <c r="EO183" s="532"/>
      <c r="EP183" s="532"/>
      <c r="EQ183" s="532"/>
      <c r="ER183" s="532"/>
      <c r="ES183" s="532"/>
      <c r="ET183" s="532"/>
      <c r="EU183" s="532"/>
      <c r="EV183" s="532"/>
      <c r="EW183" s="532"/>
      <c r="EX183" s="532"/>
      <c r="EY183" s="532"/>
      <c r="EZ183" s="532"/>
      <c r="FA183" s="532"/>
      <c r="FB183" s="532"/>
      <c r="FC183" s="532"/>
      <c r="FD183" s="532"/>
      <c r="FE183" s="532"/>
      <c r="FF183" s="532"/>
      <c r="FG183" s="532"/>
      <c r="FH183" s="532"/>
      <c r="FI183" s="532"/>
      <c r="FJ183" s="532"/>
      <c r="FK183" s="532"/>
      <c r="FL183" s="532"/>
      <c r="FM183" s="338"/>
      <c r="FN183" s="78"/>
      <c r="FO183" s="78"/>
      <c r="FP183" s="78"/>
      <c r="FQ183" s="78"/>
      <c r="FR183" s="78"/>
      <c r="FS183" s="78"/>
      <c r="FT183" s="78"/>
      <c r="FU183" s="78"/>
      <c r="FV183" s="78"/>
      <c r="FW183" s="78"/>
      <c r="FX183" s="78"/>
      <c r="FY183" s="32"/>
      <c r="FZ183" s="32"/>
      <c r="GA183" s="32"/>
      <c r="GB183" s="32"/>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78"/>
      <c r="HO183" s="78"/>
      <c r="HP183" s="78"/>
      <c r="HQ183" s="13"/>
      <c r="HR183" s="13"/>
      <c r="HS183" s="13"/>
      <c r="HT183" s="13"/>
      <c r="HU183" s="13"/>
      <c r="HV183" s="13"/>
      <c r="HW183" s="13"/>
      <c r="HX183" s="13"/>
      <c r="HY183" s="13"/>
      <c r="HZ183" s="13"/>
      <c r="IA183" s="13"/>
    </row>
    <row r="184" spans="1:235" ht="16.5" customHeight="1">
      <c r="A184" s="1"/>
      <c r="B184" s="3"/>
      <c r="C184" s="3"/>
      <c r="D184" s="532"/>
      <c r="E184" s="532"/>
      <c r="F184" s="532"/>
      <c r="G184" s="532"/>
      <c r="H184" s="532"/>
      <c r="I184" s="532"/>
      <c r="J184" s="532"/>
      <c r="K184" s="532"/>
      <c r="L184" s="532"/>
      <c r="M184" s="532"/>
      <c r="N184" s="532"/>
      <c r="O184" s="532"/>
      <c r="P184" s="532"/>
      <c r="Q184" s="532"/>
      <c r="R184" s="532"/>
      <c r="S184" s="532"/>
      <c r="T184" s="532"/>
      <c r="U184" s="532"/>
      <c r="V184" s="532"/>
      <c r="W184" s="532"/>
      <c r="X184" s="532"/>
      <c r="Y184" s="532"/>
      <c r="Z184" s="532"/>
      <c r="AA184" s="532"/>
      <c r="AB184" s="532"/>
      <c r="AC184" s="532"/>
      <c r="AD184" s="532"/>
      <c r="AE184" s="532"/>
      <c r="AF184" s="532"/>
      <c r="AG184" s="532"/>
      <c r="AH184" s="532"/>
      <c r="AI184" s="532"/>
      <c r="AJ184" s="532"/>
      <c r="AK184" s="532"/>
      <c r="AL184" s="532"/>
      <c r="AM184" s="532"/>
      <c r="AN184" s="532"/>
      <c r="AO184" s="532"/>
      <c r="AP184" s="532"/>
      <c r="AQ184" s="532"/>
      <c r="AR184" s="532"/>
      <c r="AS184" s="532"/>
      <c r="AT184" s="532"/>
      <c r="AU184" s="532"/>
      <c r="AV184" s="532"/>
      <c r="AW184" s="532"/>
      <c r="AX184" s="532"/>
      <c r="AY184" s="532"/>
      <c r="AZ184" s="532"/>
      <c r="BA184" s="532"/>
      <c r="BB184" s="532"/>
      <c r="BC184" s="532"/>
      <c r="BD184" s="532"/>
      <c r="BE184" s="532"/>
      <c r="BF184" s="532"/>
      <c r="BG184" s="532"/>
      <c r="BH184" s="532"/>
      <c r="BI184" s="532"/>
      <c r="BJ184" s="532"/>
      <c r="BK184" s="532"/>
      <c r="BL184" s="532"/>
      <c r="BM184" s="532"/>
      <c r="BN184" s="532"/>
      <c r="BO184" s="532"/>
      <c r="BP184" s="532"/>
      <c r="BQ184" s="532"/>
      <c r="BR184" s="532"/>
      <c r="BS184" s="532"/>
      <c r="BT184" s="532"/>
      <c r="BU184" s="532"/>
      <c r="BV184" s="532"/>
      <c r="BW184" s="532"/>
      <c r="BX184" s="532"/>
      <c r="BY184" s="532"/>
      <c r="BZ184" s="532"/>
      <c r="CA184" s="532"/>
      <c r="CB184" s="532"/>
      <c r="CC184" s="532"/>
      <c r="CD184" s="532"/>
      <c r="CE184" s="532"/>
      <c r="CF184" s="532"/>
      <c r="CG184" s="532"/>
      <c r="CH184" s="532"/>
      <c r="CI184" s="532"/>
      <c r="CJ184" s="532"/>
      <c r="CK184" s="532"/>
      <c r="CL184" s="532"/>
      <c r="CM184" s="532"/>
      <c r="CN184" s="532"/>
      <c r="CO184" s="532"/>
      <c r="CP184" s="532"/>
      <c r="CQ184" s="532"/>
      <c r="CR184" s="532"/>
      <c r="CS184" s="532"/>
      <c r="CT184" s="532"/>
      <c r="CU184" s="532"/>
      <c r="CV184" s="532"/>
      <c r="CW184" s="532"/>
      <c r="CX184" s="532"/>
      <c r="CY184" s="532"/>
      <c r="CZ184" s="532"/>
      <c r="DA184" s="532"/>
      <c r="DB184" s="532"/>
      <c r="DC184" s="532"/>
      <c r="DD184" s="532"/>
      <c r="DE184" s="532"/>
      <c r="DF184" s="532"/>
      <c r="DG184" s="532"/>
      <c r="DH184" s="532"/>
      <c r="DI184" s="532"/>
      <c r="DJ184" s="532"/>
      <c r="DK184" s="532"/>
      <c r="DL184" s="532"/>
      <c r="DM184" s="532"/>
      <c r="DN184" s="532"/>
      <c r="DO184" s="532"/>
      <c r="DP184" s="532"/>
      <c r="DQ184" s="532"/>
      <c r="DR184" s="532"/>
      <c r="DS184" s="532"/>
      <c r="DT184" s="532"/>
      <c r="DU184" s="532"/>
      <c r="DV184" s="532"/>
      <c r="DW184" s="532"/>
      <c r="DX184" s="532"/>
      <c r="DY184" s="532"/>
      <c r="DZ184" s="532"/>
      <c r="EA184" s="532"/>
      <c r="EB184" s="532"/>
      <c r="EC184" s="532"/>
      <c r="ED184" s="532"/>
      <c r="EE184" s="532"/>
      <c r="EF184" s="532"/>
      <c r="EG184" s="532"/>
      <c r="EH184" s="532"/>
      <c r="EI184" s="532"/>
      <c r="EJ184" s="532"/>
      <c r="EK184" s="532"/>
      <c r="EL184" s="532"/>
      <c r="EM184" s="532"/>
      <c r="EN184" s="532"/>
      <c r="EO184" s="532"/>
      <c r="EP184" s="532"/>
      <c r="EQ184" s="532"/>
      <c r="ER184" s="532"/>
      <c r="ES184" s="532"/>
      <c r="ET184" s="532"/>
      <c r="EU184" s="532"/>
      <c r="EV184" s="532"/>
      <c r="EW184" s="532"/>
      <c r="EX184" s="532"/>
      <c r="EY184" s="532"/>
      <c r="EZ184" s="532"/>
      <c r="FA184" s="532"/>
      <c r="FB184" s="532"/>
      <c r="FC184" s="532"/>
      <c r="FD184" s="532"/>
      <c r="FE184" s="532"/>
      <c r="FF184" s="532"/>
      <c r="FG184" s="532"/>
      <c r="FH184" s="532"/>
      <c r="FI184" s="532"/>
      <c r="FJ184" s="532"/>
      <c r="FK184" s="532"/>
      <c r="FL184" s="532"/>
      <c r="FM184" s="338"/>
      <c r="FN184" s="78"/>
      <c r="FO184" s="78"/>
      <c r="FP184" s="78"/>
      <c r="FQ184" s="78"/>
      <c r="FR184" s="78"/>
      <c r="FS184" s="78"/>
      <c r="FT184" s="78"/>
      <c r="FU184" s="78"/>
      <c r="FV184" s="78"/>
      <c r="FW184" s="78"/>
      <c r="FX184" s="78"/>
      <c r="FY184" s="32"/>
      <c r="FZ184" s="32"/>
      <c r="GA184" s="32"/>
      <c r="GB184" s="32"/>
      <c r="GC184" s="32"/>
      <c r="GD184" s="32"/>
      <c r="GE184" s="32"/>
      <c r="GF184" s="32"/>
      <c r="GG184" s="32"/>
      <c r="GH184" s="32"/>
      <c r="GI184" s="32"/>
      <c r="GJ184" s="32"/>
      <c r="GK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78"/>
      <c r="HO184" s="78"/>
      <c r="HP184" s="78"/>
      <c r="HQ184" s="13"/>
      <c r="HR184" s="13"/>
      <c r="HS184" s="13"/>
      <c r="HT184" s="13"/>
      <c r="HU184" s="13"/>
      <c r="HV184" s="13"/>
      <c r="HW184" s="13"/>
      <c r="HX184" s="13"/>
      <c r="HY184" s="13"/>
      <c r="HZ184" s="13"/>
      <c r="IA184" s="13"/>
    </row>
    <row r="185" spans="1:235" ht="16.5" customHeight="1">
      <c r="A185" s="1"/>
      <c r="B185" s="3"/>
      <c r="C185" s="3"/>
      <c r="D185" s="532"/>
      <c r="E185" s="532"/>
      <c r="F185" s="532"/>
      <c r="G185" s="532"/>
      <c r="H185" s="532"/>
      <c r="I185" s="532"/>
      <c r="J185" s="532"/>
      <c r="K185" s="532"/>
      <c r="L185" s="532"/>
      <c r="M185" s="532"/>
      <c r="N185" s="532"/>
      <c r="O185" s="532"/>
      <c r="P185" s="532"/>
      <c r="Q185" s="532"/>
      <c r="R185" s="532"/>
      <c r="S185" s="532"/>
      <c r="T185" s="532"/>
      <c r="U185" s="532"/>
      <c r="V185" s="532"/>
      <c r="W185" s="532"/>
      <c r="X185" s="532"/>
      <c r="Y185" s="532"/>
      <c r="Z185" s="532"/>
      <c r="AA185" s="532"/>
      <c r="AB185" s="532"/>
      <c r="AC185" s="532"/>
      <c r="AD185" s="532"/>
      <c r="AE185" s="532"/>
      <c r="AF185" s="532"/>
      <c r="AG185" s="532"/>
      <c r="AH185" s="532"/>
      <c r="AI185" s="532"/>
      <c r="AJ185" s="532"/>
      <c r="AK185" s="532"/>
      <c r="AL185" s="532"/>
      <c r="AM185" s="532"/>
      <c r="AN185" s="532"/>
      <c r="AO185" s="532"/>
      <c r="AP185" s="532"/>
      <c r="AQ185" s="532"/>
      <c r="AR185" s="532"/>
      <c r="AS185" s="532"/>
      <c r="AT185" s="532"/>
      <c r="AU185" s="532"/>
      <c r="AV185" s="532"/>
      <c r="AW185" s="532"/>
      <c r="AX185" s="532"/>
      <c r="AY185" s="532"/>
      <c r="AZ185" s="532"/>
      <c r="BA185" s="532"/>
      <c r="BB185" s="532"/>
      <c r="BC185" s="532"/>
      <c r="BD185" s="532"/>
      <c r="BE185" s="532"/>
      <c r="BF185" s="532"/>
      <c r="BG185" s="532"/>
      <c r="BH185" s="532"/>
      <c r="BI185" s="532"/>
      <c r="BJ185" s="532"/>
      <c r="BK185" s="532"/>
      <c r="BL185" s="532"/>
      <c r="BM185" s="532"/>
      <c r="BN185" s="532"/>
      <c r="BO185" s="532"/>
      <c r="BP185" s="532"/>
      <c r="BQ185" s="532"/>
      <c r="BR185" s="532"/>
      <c r="BS185" s="532"/>
      <c r="BT185" s="532"/>
      <c r="BU185" s="532"/>
      <c r="BV185" s="532"/>
      <c r="BW185" s="532"/>
      <c r="BX185" s="532"/>
      <c r="BY185" s="532"/>
      <c r="BZ185" s="532"/>
      <c r="CA185" s="532"/>
      <c r="CB185" s="532"/>
      <c r="CC185" s="532"/>
      <c r="CD185" s="532"/>
      <c r="CE185" s="532"/>
      <c r="CF185" s="532"/>
      <c r="CG185" s="532"/>
      <c r="CH185" s="532"/>
      <c r="CI185" s="532"/>
      <c r="CJ185" s="532"/>
      <c r="CK185" s="532"/>
      <c r="CL185" s="532"/>
      <c r="CM185" s="532"/>
      <c r="CN185" s="532"/>
      <c r="CO185" s="532"/>
      <c r="CP185" s="532"/>
      <c r="CQ185" s="532"/>
      <c r="CR185" s="532"/>
      <c r="CS185" s="532"/>
      <c r="CT185" s="532"/>
      <c r="CU185" s="532"/>
      <c r="CV185" s="532"/>
      <c r="CW185" s="532"/>
      <c r="CX185" s="532"/>
      <c r="CY185" s="532"/>
      <c r="CZ185" s="532"/>
      <c r="DA185" s="532"/>
      <c r="DB185" s="532"/>
      <c r="DC185" s="532"/>
      <c r="DD185" s="532"/>
      <c r="DE185" s="532"/>
      <c r="DF185" s="532"/>
      <c r="DG185" s="532"/>
      <c r="DH185" s="532"/>
      <c r="DI185" s="532"/>
      <c r="DJ185" s="532"/>
      <c r="DK185" s="532"/>
      <c r="DL185" s="532"/>
      <c r="DM185" s="532"/>
      <c r="DN185" s="532"/>
      <c r="DO185" s="532"/>
      <c r="DP185" s="532"/>
      <c r="DQ185" s="532"/>
      <c r="DR185" s="532"/>
      <c r="DS185" s="532"/>
      <c r="DT185" s="532"/>
      <c r="DU185" s="532"/>
      <c r="DV185" s="532"/>
      <c r="DW185" s="532"/>
      <c r="DX185" s="532"/>
      <c r="DY185" s="532"/>
      <c r="DZ185" s="532"/>
      <c r="EA185" s="532"/>
      <c r="EB185" s="532"/>
      <c r="EC185" s="532"/>
      <c r="ED185" s="532"/>
      <c r="EE185" s="532"/>
      <c r="EF185" s="532"/>
      <c r="EG185" s="532"/>
      <c r="EH185" s="532"/>
      <c r="EI185" s="532"/>
      <c r="EJ185" s="532"/>
      <c r="EK185" s="532"/>
      <c r="EL185" s="532"/>
      <c r="EM185" s="532"/>
      <c r="EN185" s="532"/>
      <c r="EO185" s="532"/>
      <c r="EP185" s="532"/>
      <c r="EQ185" s="532"/>
      <c r="ER185" s="532"/>
      <c r="ES185" s="532"/>
      <c r="ET185" s="532"/>
      <c r="EU185" s="532"/>
      <c r="EV185" s="532"/>
      <c r="EW185" s="532"/>
      <c r="EX185" s="532"/>
      <c r="EY185" s="532"/>
      <c r="EZ185" s="532"/>
      <c r="FA185" s="532"/>
      <c r="FB185" s="532"/>
      <c r="FC185" s="532"/>
      <c r="FD185" s="532"/>
      <c r="FE185" s="532"/>
      <c r="FF185" s="532"/>
      <c r="FG185" s="532"/>
      <c r="FH185" s="532"/>
      <c r="FI185" s="532"/>
      <c r="FJ185" s="532"/>
      <c r="FK185" s="532"/>
      <c r="FL185" s="532"/>
      <c r="FM185" s="338"/>
      <c r="FN185" s="78"/>
      <c r="FO185" s="78"/>
      <c r="FP185" s="78"/>
      <c r="FQ185" s="78"/>
      <c r="FR185" s="78"/>
      <c r="FS185" s="78"/>
      <c r="FT185" s="78"/>
      <c r="FU185" s="78"/>
      <c r="FV185" s="78"/>
      <c r="FW185" s="78"/>
      <c r="FX185" s="78"/>
      <c r="FY185" s="32"/>
      <c r="FZ185" s="32"/>
      <c r="GA185" s="32"/>
      <c r="GB185" s="32"/>
      <c r="GC185" s="32"/>
      <c r="GD185" s="32"/>
      <c r="GE185" s="32"/>
      <c r="GF185" s="32"/>
      <c r="GG185" s="32"/>
      <c r="GH185" s="32"/>
      <c r="GI185" s="32"/>
      <c r="GJ185" s="32"/>
      <c r="GK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78"/>
      <c r="HO185" s="78"/>
      <c r="HP185" s="78"/>
      <c r="HQ185" s="13"/>
      <c r="HR185" s="13"/>
      <c r="HS185" s="13"/>
      <c r="HT185" s="13"/>
      <c r="HU185" s="13"/>
      <c r="HV185" s="13"/>
      <c r="HW185" s="13"/>
      <c r="HX185" s="13"/>
      <c r="HY185" s="13"/>
      <c r="HZ185" s="13"/>
      <c r="IA185" s="13"/>
    </row>
    <row r="186" spans="1:235" ht="16.5" customHeight="1">
      <c r="A186" s="1"/>
      <c r="B186" s="3"/>
      <c r="C186" s="3"/>
      <c r="D186" s="532"/>
      <c r="E186" s="532"/>
      <c r="F186" s="532"/>
      <c r="G186" s="532"/>
      <c r="H186" s="532"/>
      <c r="I186" s="532"/>
      <c r="J186" s="532"/>
      <c r="K186" s="532"/>
      <c r="L186" s="532"/>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c r="AM186" s="532"/>
      <c r="AN186" s="532"/>
      <c r="AO186" s="532"/>
      <c r="AP186" s="532"/>
      <c r="AQ186" s="532"/>
      <c r="AR186" s="532"/>
      <c r="AS186" s="532"/>
      <c r="AT186" s="532"/>
      <c r="AU186" s="532"/>
      <c r="AV186" s="532"/>
      <c r="AW186" s="532"/>
      <c r="AX186" s="532"/>
      <c r="AY186" s="532"/>
      <c r="AZ186" s="532"/>
      <c r="BA186" s="532"/>
      <c r="BB186" s="532"/>
      <c r="BC186" s="532"/>
      <c r="BD186" s="532"/>
      <c r="BE186" s="532"/>
      <c r="BF186" s="532"/>
      <c r="BG186" s="532"/>
      <c r="BH186" s="532"/>
      <c r="BI186" s="532"/>
      <c r="BJ186" s="532"/>
      <c r="BK186" s="532"/>
      <c r="BL186" s="532"/>
      <c r="BM186" s="532"/>
      <c r="BN186" s="532"/>
      <c r="BO186" s="532"/>
      <c r="BP186" s="532"/>
      <c r="BQ186" s="532"/>
      <c r="BR186" s="532"/>
      <c r="BS186" s="532"/>
      <c r="BT186" s="532"/>
      <c r="BU186" s="532"/>
      <c r="BV186" s="532"/>
      <c r="BW186" s="532"/>
      <c r="BX186" s="532"/>
      <c r="BY186" s="532"/>
      <c r="BZ186" s="532"/>
      <c r="CA186" s="532"/>
      <c r="CB186" s="532"/>
      <c r="CC186" s="532"/>
      <c r="CD186" s="532"/>
      <c r="CE186" s="532"/>
      <c r="CF186" s="532"/>
      <c r="CG186" s="532"/>
      <c r="CH186" s="532"/>
      <c r="CI186" s="532"/>
      <c r="CJ186" s="532"/>
      <c r="CK186" s="532"/>
      <c r="CL186" s="532"/>
      <c r="CM186" s="532"/>
      <c r="CN186" s="532"/>
      <c r="CO186" s="532"/>
      <c r="CP186" s="532"/>
      <c r="CQ186" s="532"/>
      <c r="CR186" s="532"/>
      <c r="CS186" s="532"/>
      <c r="CT186" s="532"/>
      <c r="CU186" s="532"/>
      <c r="CV186" s="532"/>
      <c r="CW186" s="532"/>
      <c r="CX186" s="532"/>
      <c r="CY186" s="532"/>
      <c r="CZ186" s="532"/>
      <c r="DA186" s="532"/>
      <c r="DB186" s="532"/>
      <c r="DC186" s="532"/>
      <c r="DD186" s="532"/>
      <c r="DE186" s="532"/>
      <c r="DF186" s="532"/>
      <c r="DG186" s="532"/>
      <c r="DH186" s="532"/>
      <c r="DI186" s="532"/>
      <c r="DJ186" s="532"/>
      <c r="DK186" s="532"/>
      <c r="DL186" s="532"/>
      <c r="DM186" s="532"/>
      <c r="DN186" s="532"/>
      <c r="DO186" s="532"/>
      <c r="DP186" s="532"/>
      <c r="DQ186" s="532"/>
      <c r="DR186" s="532"/>
      <c r="DS186" s="532"/>
      <c r="DT186" s="532"/>
      <c r="DU186" s="532"/>
      <c r="DV186" s="532"/>
      <c r="DW186" s="532"/>
      <c r="DX186" s="532"/>
      <c r="DY186" s="532"/>
      <c r="DZ186" s="532"/>
      <c r="EA186" s="532"/>
      <c r="EB186" s="532"/>
      <c r="EC186" s="532"/>
      <c r="ED186" s="532"/>
      <c r="EE186" s="532"/>
      <c r="EF186" s="532"/>
      <c r="EG186" s="532"/>
      <c r="EH186" s="532"/>
      <c r="EI186" s="532"/>
      <c r="EJ186" s="532"/>
      <c r="EK186" s="532"/>
      <c r="EL186" s="532"/>
      <c r="EM186" s="532"/>
      <c r="EN186" s="532"/>
      <c r="EO186" s="532"/>
      <c r="EP186" s="532"/>
      <c r="EQ186" s="532"/>
      <c r="ER186" s="532"/>
      <c r="ES186" s="532"/>
      <c r="ET186" s="532"/>
      <c r="EU186" s="532"/>
      <c r="EV186" s="532"/>
      <c r="EW186" s="532"/>
      <c r="EX186" s="532"/>
      <c r="EY186" s="532"/>
      <c r="EZ186" s="532"/>
      <c r="FA186" s="532"/>
      <c r="FB186" s="532"/>
      <c r="FC186" s="532"/>
      <c r="FD186" s="532"/>
      <c r="FE186" s="532"/>
      <c r="FF186" s="532"/>
      <c r="FG186" s="532"/>
      <c r="FH186" s="532"/>
      <c r="FI186" s="532"/>
      <c r="FJ186" s="532"/>
      <c r="FK186" s="532"/>
      <c r="FL186" s="532"/>
      <c r="FM186" s="338"/>
      <c r="FN186" s="78"/>
      <c r="FO186" s="78"/>
      <c r="FP186" s="78"/>
      <c r="FQ186" s="78"/>
      <c r="FR186" s="78"/>
      <c r="FS186" s="78"/>
      <c r="FT186" s="78"/>
      <c r="FU186" s="78"/>
      <c r="FV186" s="78"/>
      <c r="FW186" s="78"/>
      <c r="FX186" s="78"/>
      <c r="FY186" s="32"/>
      <c r="FZ186" s="32"/>
      <c r="GA186" s="32"/>
      <c r="GB186" s="32"/>
      <c r="GC186" s="32"/>
      <c r="GD186" s="32"/>
      <c r="GE186" s="32"/>
      <c r="GF186" s="32"/>
      <c r="GG186" s="32"/>
      <c r="GH186" s="32"/>
      <c r="GI186" s="32"/>
      <c r="GJ186" s="32"/>
      <c r="GK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78"/>
      <c r="HO186" s="78"/>
      <c r="HP186" s="78"/>
      <c r="HQ186" s="13"/>
      <c r="HR186" s="13"/>
      <c r="HS186" s="13"/>
      <c r="HT186" s="13"/>
      <c r="HU186" s="13"/>
      <c r="HV186" s="13"/>
      <c r="HW186" s="13"/>
      <c r="HX186" s="13"/>
      <c r="HY186" s="13"/>
      <c r="HZ186" s="13"/>
      <c r="IA186" s="13"/>
    </row>
    <row r="187" spans="1:235" ht="16.5" customHeight="1">
      <c r="A187" s="1"/>
      <c r="B187" s="3"/>
      <c r="C187" s="3"/>
      <c r="D187" s="532"/>
      <c r="E187" s="532"/>
      <c r="F187" s="532"/>
      <c r="G187" s="532"/>
      <c r="H187" s="532"/>
      <c r="I187" s="532"/>
      <c r="J187" s="532"/>
      <c r="K187" s="532"/>
      <c r="L187" s="532"/>
      <c r="M187" s="532"/>
      <c r="N187" s="532"/>
      <c r="O187" s="532"/>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c r="AM187" s="532"/>
      <c r="AN187" s="532"/>
      <c r="AO187" s="532"/>
      <c r="AP187" s="532"/>
      <c r="AQ187" s="532"/>
      <c r="AR187" s="532"/>
      <c r="AS187" s="532"/>
      <c r="AT187" s="532"/>
      <c r="AU187" s="532"/>
      <c r="AV187" s="532"/>
      <c r="AW187" s="532"/>
      <c r="AX187" s="532"/>
      <c r="AY187" s="532"/>
      <c r="AZ187" s="532"/>
      <c r="BA187" s="532"/>
      <c r="BB187" s="532"/>
      <c r="BC187" s="532"/>
      <c r="BD187" s="532"/>
      <c r="BE187" s="532"/>
      <c r="BF187" s="532"/>
      <c r="BG187" s="532"/>
      <c r="BH187" s="532"/>
      <c r="BI187" s="532"/>
      <c r="BJ187" s="532"/>
      <c r="BK187" s="532"/>
      <c r="BL187" s="532"/>
      <c r="BM187" s="532"/>
      <c r="BN187" s="532"/>
      <c r="BO187" s="532"/>
      <c r="BP187" s="532"/>
      <c r="BQ187" s="532"/>
      <c r="BR187" s="532"/>
      <c r="BS187" s="532"/>
      <c r="BT187" s="532"/>
      <c r="BU187" s="532"/>
      <c r="BV187" s="532"/>
      <c r="BW187" s="532"/>
      <c r="BX187" s="532"/>
      <c r="BY187" s="532"/>
      <c r="BZ187" s="532"/>
      <c r="CA187" s="532"/>
      <c r="CB187" s="532"/>
      <c r="CC187" s="532"/>
      <c r="CD187" s="532"/>
      <c r="CE187" s="532"/>
      <c r="CF187" s="532"/>
      <c r="CG187" s="532"/>
      <c r="CH187" s="532"/>
      <c r="CI187" s="532"/>
      <c r="CJ187" s="532"/>
      <c r="CK187" s="532"/>
      <c r="CL187" s="532"/>
      <c r="CM187" s="532"/>
      <c r="CN187" s="532"/>
      <c r="CO187" s="532"/>
      <c r="CP187" s="532"/>
      <c r="CQ187" s="532"/>
      <c r="CR187" s="532"/>
      <c r="CS187" s="532"/>
      <c r="CT187" s="532"/>
      <c r="CU187" s="532"/>
      <c r="CV187" s="532"/>
      <c r="CW187" s="532"/>
      <c r="CX187" s="532"/>
      <c r="CY187" s="532"/>
      <c r="CZ187" s="532"/>
      <c r="DA187" s="532"/>
      <c r="DB187" s="532"/>
      <c r="DC187" s="532"/>
      <c r="DD187" s="532"/>
      <c r="DE187" s="532"/>
      <c r="DF187" s="532"/>
      <c r="DG187" s="532"/>
      <c r="DH187" s="532"/>
      <c r="DI187" s="532"/>
      <c r="DJ187" s="532"/>
      <c r="DK187" s="532"/>
      <c r="DL187" s="532"/>
      <c r="DM187" s="532"/>
      <c r="DN187" s="532"/>
      <c r="DO187" s="532"/>
      <c r="DP187" s="532"/>
      <c r="DQ187" s="532"/>
      <c r="DR187" s="532"/>
      <c r="DS187" s="532"/>
      <c r="DT187" s="532"/>
      <c r="DU187" s="532"/>
      <c r="DV187" s="532"/>
      <c r="DW187" s="532"/>
      <c r="DX187" s="532"/>
      <c r="DY187" s="532"/>
      <c r="DZ187" s="532"/>
      <c r="EA187" s="532"/>
      <c r="EB187" s="532"/>
      <c r="EC187" s="532"/>
      <c r="ED187" s="532"/>
      <c r="EE187" s="532"/>
      <c r="EF187" s="532"/>
      <c r="EG187" s="532"/>
      <c r="EH187" s="532"/>
      <c r="EI187" s="532"/>
      <c r="EJ187" s="532"/>
      <c r="EK187" s="532"/>
      <c r="EL187" s="532"/>
      <c r="EM187" s="532"/>
      <c r="EN187" s="532"/>
      <c r="EO187" s="532"/>
      <c r="EP187" s="532"/>
      <c r="EQ187" s="532"/>
      <c r="ER187" s="532"/>
      <c r="ES187" s="532"/>
      <c r="ET187" s="532"/>
      <c r="EU187" s="532"/>
      <c r="EV187" s="532"/>
      <c r="EW187" s="532"/>
      <c r="EX187" s="532"/>
      <c r="EY187" s="532"/>
      <c r="EZ187" s="532"/>
      <c r="FA187" s="532"/>
      <c r="FB187" s="532"/>
      <c r="FC187" s="532"/>
      <c r="FD187" s="532"/>
      <c r="FE187" s="532"/>
      <c r="FF187" s="532"/>
      <c r="FG187" s="532"/>
      <c r="FH187" s="532"/>
      <c r="FI187" s="532"/>
      <c r="FJ187" s="532"/>
      <c r="FK187" s="532"/>
      <c r="FL187" s="532"/>
      <c r="FM187" s="338"/>
      <c r="FN187" s="78"/>
      <c r="FO187" s="78"/>
      <c r="FP187" s="78"/>
      <c r="FQ187" s="78"/>
      <c r="FR187" s="78"/>
      <c r="FS187" s="78"/>
      <c r="FT187" s="78"/>
      <c r="FU187" s="78"/>
      <c r="FV187" s="78"/>
      <c r="FW187" s="78"/>
      <c r="FX187" s="78"/>
      <c r="FY187" s="32"/>
      <c r="FZ187" s="32"/>
      <c r="GA187" s="32"/>
      <c r="GB187" s="32"/>
      <c r="GC187" s="32"/>
      <c r="GD187" s="32"/>
      <c r="GE187" s="32"/>
      <c r="GF187" s="32"/>
      <c r="GG187" s="32"/>
      <c r="GH187" s="32"/>
      <c r="GI187" s="32"/>
      <c r="GJ187" s="32"/>
      <c r="GK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78"/>
      <c r="HO187" s="78"/>
      <c r="HP187" s="78"/>
      <c r="HQ187" s="13"/>
      <c r="HR187" s="13"/>
      <c r="HS187" s="13"/>
      <c r="HT187" s="13"/>
      <c r="HU187" s="13"/>
      <c r="HV187" s="13"/>
      <c r="HW187" s="13"/>
      <c r="HX187" s="13"/>
      <c r="HY187" s="13"/>
      <c r="HZ187" s="13"/>
      <c r="IA187" s="13"/>
    </row>
    <row r="188" spans="1:235" ht="9" customHeight="1">
      <c r="A188" s="1"/>
      <c r="B188" s="3"/>
      <c r="C188" s="3"/>
      <c r="D188" s="532"/>
      <c r="E188" s="532"/>
      <c r="F188" s="532"/>
      <c r="G188" s="532"/>
      <c r="H188" s="532"/>
      <c r="I188" s="532"/>
      <c r="J188" s="532"/>
      <c r="K188" s="532"/>
      <c r="L188" s="532"/>
      <c r="M188" s="532"/>
      <c r="N188" s="532"/>
      <c r="O188" s="532"/>
      <c r="P188" s="532"/>
      <c r="Q188" s="532"/>
      <c r="R188" s="532"/>
      <c r="S188" s="532"/>
      <c r="T188" s="532"/>
      <c r="U188" s="532"/>
      <c r="V188" s="532"/>
      <c r="W188" s="532"/>
      <c r="X188" s="532"/>
      <c r="Y188" s="532"/>
      <c r="Z188" s="532"/>
      <c r="AA188" s="532"/>
      <c r="AB188" s="532"/>
      <c r="AC188" s="532"/>
      <c r="AD188" s="532"/>
      <c r="AE188" s="532"/>
      <c r="AF188" s="532"/>
      <c r="AG188" s="532"/>
      <c r="AH188" s="532"/>
      <c r="AI188" s="532"/>
      <c r="AJ188" s="532"/>
      <c r="AK188" s="532"/>
      <c r="AL188" s="532"/>
      <c r="AM188" s="532"/>
      <c r="AN188" s="532"/>
      <c r="AO188" s="532"/>
      <c r="AP188" s="532"/>
      <c r="AQ188" s="532"/>
      <c r="AR188" s="532"/>
      <c r="AS188" s="532"/>
      <c r="AT188" s="532"/>
      <c r="AU188" s="532"/>
      <c r="AV188" s="532"/>
      <c r="AW188" s="532"/>
      <c r="AX188" s="532"/>
      <c r="AY188" s="532"/>
      <c r="AZ188" s="532"/>
      <c r="BA188" s="532"/>
      <c r="BB188" s="532"/>
      <c r="BC188" s="532"/>
      <c r="BD188" s="532"/>
      <c r="BE188" s="532"/>
      <c r="BF188" s="532"/>
      <c r="BG188" s="532"/>
      <c r="BH188" s="532"/>
      <c r="BI188" s="532"/>
      <c r="BJ188" s="532"/>
      <c r="BK188" s="532"/>
      <c r="BL188" s="532"/>
      <c r="BM188" s="532"/>
      <c r="BN188" s="532"/>
      <c r="BO188" s="532"/>
      <c r="BP188" s="532"/>
      <c r="BQ188" s="532"/>
      <c r="BR188" s="532"/>
      <c r="BS188" s="532"/>
      <c r="BT188" s="532"/>
      <c r="BU188" s="532"/>
      <c r="BV188" s="532"/>
      <c r="BW188" s="532"/>
      <c r="BX188" s="532"/>
      <c r="BY188" s="532"/>
      <c r="BZ188" s="532"/>
      <c r="CA188" s="532"/>
      <c r="CB188" s="532"/>
      <c r="CC188" s="532"/>
      <c r="CD188" s="532"/>
      <c r="CE188" s="532"/>
      <c r="CF188" s="532"/>
      <c r="CG188" s="532"/>
      <c r="CH188" s="532"/>
      <c r="CI188" s="532"/>
      <c r="CJ188" s="532"/>
      <c r="CK188" s="532"/>
      <c r="CL188" s="532"/>
      <c r="CM188" s="532"/>
      <c r="CN188" s="532"/>
      <c r="CO188" s="532"/>
      <c r="CP188" s="532"/>
      <c r="CQ188" s="532"/>
      <c r="CR188" s="532"/>
      <c r="CS188" s="532"/>
      <c r="CT188" s="532"/>
      <c r="CU188" s="532"/>
      <c r="CV188" s="532"/>
      <c r="CW188" s="532"/>
      <c r="CX188" s="532"/>
      <c r="CY188" s="532"/>
      <c r="CZ188" s="532"/>
      <c r="DA188" s="532"/>
      <c r="DB188" s="532"/>
      <c r="DC188" s="532"/>
      <c r="DD188" s="532"/>
      <c r="DE188" s="532"/>
      <c r="DF188" s="532"/>
      <c r="DG188" s="532"/>
      <c r="DH188" s="532"/>
      <c r="DI188" s="532"/>
      <c r="DJ188" s="532"/>
      <c r="DK188" s="532"/>
      <c r="DL188" s="532"/>
      <c r="DM188" s="532"/>
      <c r="DN188" s="532"/>
      <c r="DO188" s="532"/>
      <c r="DP188" s="532"/>
      <c r="DQ188" s="532"/>
      <c r="DR188" s="532"/>
      <c r="DS188" s="532"/>
      <c r="DT188" s="532"/>
      <c r="DU188" s="532"/>
      <c r="DV188" s="532"/>
      <c r="DW188" s="532"/>
      <c r="DX188" s="532"/>
      <c r="DY188" s="532"/>
      <c r="DZ188" s="532"/>
      <c r="EA188" s="532"/>
      <c r="EB188" s="532"/>
      <c r="EC188" s="532"/>
      <c r="ED188" s="532"/>
      <c r="EE188" s="532"/>
      <c r="EF188" s="532"/>
      <c r="EG188" s="532"/>
      <c r="EH188" s="532"/>
      <c r="EI188" s="532"/>
      <c r="EJ188" s="532"/>
      <c r="EK188" s="532"/>
      <c r="EL188" s="532"/>
      <c r="EM188" s="532"/>
      <c r="EN188" s="532"/>
      <c r="EO188" s="532"/>
      <c r="EP188" s="532"/>
      <c r="EQ188" s="532"/>
      <c r="ER188" s="532"/>
      <c r="ES188" s="532"/>
      <c r="ET188" s="532"/>
      <c r="EU188" s="532"/>
      <c r="EV188" s="532"/>
      <c r="EW188" s="532"/>
      <c r="EX188" s="532"/>
      <c r="EY188" s="532"/>
      <c r="EZ188" s="532"/>
      <c r="FA188" s="532"/>
      <c r="FB188" s="532"/>
      <c r="FC188" s="532"/>
      <c r="FD188" s="532"/>
      <c r="FE188" s="532"/>
      <c r="FF188" s="532"/>
      <c r="FG188" s="532"/>
      <c r="FH188" s="532"/>
      <c r="FI188" s="532"/>
      <c r="FJ188" s="532"/>
      <c r="FK188" s="532"/>
      <c r="FL188" s="532"/>
      <c r="FM188" s="338"/>
      <c r="FN188" s="78"/>
      <c r="FO188" s="78"/>
      <c r="FP188" s="78"/>
      <c r="FQ188" s="78"/>
      <c r="FR188" s="78"/>
      <c r="FS188" s="78"/>
      <c r="FT188" s="78"/>
      <c r="FU188" s="78"/>
      <c r="FV188" s="78"/>
      <c r="FW188" s="78"/>
      <c r="FX188" s="78"/>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78"/>
      <c r="HO188" s="78"/>
      <c r="HP188" s="78"/>
      <c r="HQ188" s="13"/>
      <c r="HR188" s="13"/>
      <c r="HS188" s="13"/>
      <c r="HT188" s="13"/>
      <c r="HU188" s="13"/>
      <c r="HV188" s="13"/>
      <c r="HW188" s="13"/>
      <c r="HX188" s="13"/>
      <c r="HY188" s="13"/>
      <c r="HZ188" s="13"/>
      <c r="IA188" s="13"/>
    </row>
    <row r="189" spans="1:235" ht="16.95" customHeight="1">
      <c r="A189" s="1"/>
      <c r="B189" s="3"/>
      <c r="C189" s="3"/>
      <c r="D189" s="124" t="str">
        <f ca="1">IF(FO169=0,"","Geef met behulp van de letters (a t/m i) aan wat er met het surplus en dus")</f>
        <v/>
      </c>
      <c r="E189" s="373"/>
      <c r="F189" s="373"/>
      <c r="G189" s="373"/>
      <c r="H189" s="373"/>
      <c r="I189" s="373"/>
      <c r="J189" s="376"/>
      <c r="K189" s="376"/>
      <c r="L189" s="376"/>
      <c r="M189" s="376"/>
      <c r="N189" s="376"/>
      <c r="O189" s="376"/>
      <c r="P189" s="376"/>
      <c r="Q189" s="376"/>
      <c r="R189" s="376"/>
      <c r="S189" s="376"/>
      <c r="T189" s="376"/>
      <c r="U189" s="376"/>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c r="CJ189" s="79"/>
      <c r="CK189" s="43"/>
      <c r="CL189" s="43"/>
      <c r="CM189" s="43"/>
      <c r="CN189" s="43"/>
      <c r="CO189" s="43"/>
      <c r="CP189" s="376"/>
      <c r="CQ189" s="376"/>
      <c r="CR189" s="376"/>
      <c r="CS189" s="376"/>
      <c r="CT189" s="376"/>
      <c r="CU189" s="376"/>
      <c r="CV189" s="376"/>
      <c r="CW189" s="376"/>
      <c r="CX189" s="376"/>
      <c r="CY189" s="376"/>
      <c r="CZ189" s="376"/>
      <c r="DA189" s="376"/>
      <c r="DB189" s="376"/>
      <c r="DC189" s="376"/>
      <c r="DD189" s="376"/>
      <c r="DE189" s="376"/>
      <c r="DF189" s="376"/>
      <c r="DG189" s="376"/>
      <c r="DH189" s="376"/>
      <c r="DI189" s="376"/>
      <c r="DJ189" s="376"/>
      <c r="DK189" s="376"/>
      <c r="DL189" s="376"/>
      <c r="DM189" s="376"/>
      <c r="DN189" s="376"/>
      <c r="DO189" s="376"/>
      <c r="DP189" s="376"/>
      <c r="DQ189" s="376"/>
      <c r="DR189" s="376"/>
      <c r="DS189" s="376"/>
      <c r="DT189" s="376"/>
      <c r="DU189" s="376"/>
      <c r="DV189" s="376"/>
      <c r="DW189" s="376"/>
      <c r="DX189" s="376"/>
      <c r="DY189" s="376"/>
      <c r="DZ189" s="376"/>
      <c r="EA189" s="376"/>
      <c r="EB189" s="376"/>
      <c r="EC189" s="376"/>
      <c r="ED189" s="376"/>
      <c r="EE189" s="376"/>
      <c r="EF189" s="376"/>
      <c r="EG189" s="376"/>
      <c r="EH189" s="376"/>
      <c r="EI189" s="376"/>
      <c r="EJ189" s="376"/>
      <c r="EK189" s="376"/>
      <c r="EL189" s="376"/>
      <c r="EM189" s="376"/>
      <c r="EN189" s="376"/>
      <c r="EO189" s="376"/>
      <c r="EP189" s="376"/>
      <c r="EQ189" s="376"/>
      <c r="ER189" s="376"/>
      <c r="ES189" s="376"/>
      <c r="ET189" s="376"/>
      <c r="EU189" s="376"/>
      <c r="EV189" s="376"/>
      <c r="EW189" s="376"/>
      <c r="EX189" s="376"/>
      <c r="EY189" s="376"/>
      <c r="EZ189" s="376"/>
      <c r="FA189" s="43"/>
      <c r="FB189" s="43"/>
      <c r="FC189" s="43"/>
      <c r="FD189" s="43"/>
      <c r="FE189" s="43"/>
      <c r="FF189" s="43"/>
      <c r="FG189" s="43"/>
      <c r="FH189" s="43"/>
      <c r="FI189" s="79"/>
      <c r="FJ189" s="79"/>
      <c r="FK189" s="79"/>
      <c r="FL189" s="79"/>
      <c r="FM189" s="93"/>
      <c r="FN189" s="93"/>
      <c r="FO189" s="338"/>
      <c r="FP189" s="338"/>
      <c r="FQ189" s="338"/>
      <c r="FR189" s="338"/>
      <c r="FS189" s="338"/>
      <c r="FT189" s="338"/>
      <c r="FU189" s="338"/>
      <c r="FV189" s="338"/>
      <c r="FW189" s="338"/>
      <c r="FX189" s="338"/>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38"/>
      <c r="HO189" s="338"/>
      <c r="HP189" s="338"/>
      <c r="HQ189" s="13"/>
      <c r="HR189" s="13"/>
      <c r="HS189" s="13"/>
      <c r="HT189" s="13"/>
      <c r="HU189" s="13"/>
      <c r="HV189" s="13"/>
      <c r="HW189" s="13"/>
      <c r="HX189" s="13"/>
      <c r="HY189" s="13"/>
      <c r="HZ189" s="13"/>
      <c r="IA189" s="13"/>
    </row>
    <row r="190" spans="1:235" ht="16.95" customHeight="1">
      <c r="A190" s="1"/>
      <c r="B190" s="3"/>
      <c r="C190" s="3"/>
      <c r="D190" s="124" t="str">
        <f ca="1">IF(FO169=0,"","de welvaart gebeurt als de monopolist de prijs gaat zetten (in plaats van de")</f>
        <v/>
      </c>
      <c r="E190" s="373"/>
      <c r="F190" s="373"/>
      <c r="G190" s="373"/>
      <c r="H190" s="373"/>
      <c r="I190" s="373"/>
      <c r="J190" s="376"/>
      <c r="K190" s="376"/>
      <c r="L190" s="376"/>
      <c r="M190" s="376"/>
      <c r="N190" s="376"/>
      <c r="O190" s="376"/>
      <c r="P190" s="376"/>
      <c r="Q190" s="376"/>
      <c r="R190" s="376"/>
      <c r="S190" s="376"/>
      <c r="T190" s="376"/>
      <c r="U190" s="376"/>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c r="BM190" s="79"/>
      <c r="BN190" s="79"/>
      <c r="BO190" s="79"/>
      <c r="BP190" s="79"/>
      <c r="BQ190" s="79"/>
      <c r="BR190" s="79"/>
      <c r="BS190" s="79"/>
      <c r="BT190" s="79"/>
      <c r="BU190" s="79"/>
      <c r="BV190" s="79"/>
      <c r="BW190" s="79"/>
      <c r="BX190" s="79"/>
      <c r="BY190" s="79"/>
      <c r="BZ190" s="79"/>
      <c r="CA190" s="79"/>
      <c r="CB190" s="79"/>
      <c r="CC190" s="79"/>
      <c r="CD190" s="79"/>
      <c r="CE190" s="79"/>
      <c r="CF190" s="79"/>
      <c r="CG190" s="79"/>
      <c r="CH190" s="79"/>
      <c r="CI190" s="79"/>
      <c r="CJ190" s="79"/>
      <c r="CK190" s="43"/>
      <c r="CL190" s="43"/>
      <c r="CM190" s="43"/>
      <c r="CN190" s="43"/>
      <c r="CO190" s="43"/>
      <c r="CP190" s="376"/>
      <c r="CQ190" s="376"/>
      <c r="CR190" s="376"/>
      <c r="CS190" s="376"/>
      <c r="CT190" s="376"/>
      <c r="CU190" s="376"/>
      <c r="CV190" s="376"/>
      <c r="CW190" s="376"/>
      <c r="CX190" s="376"/>
      <c r="CY190" s="376"/>
      <c r="CZ190" s="376"/>
      <c r="DA190" s="376"/>
      <c r="DB190" s="376"/>
      <c r="DC190" s="376"/>
      <c r="DD190" s="376"/>
      <c r="DE190" s="376"/>
      <c r="DF190" s="376"/>
      <c r="DG190" s="376"/>
      <c r="DH190" s="376"/>
      <c r="DI190" s="376"/>
      <c r="DJ190" s="376"/>
      <c r="DK190" s="376"/>
      <c r="DL190" s="376"/>
      <c r="DM190" s="376"/>
      <c r="DN190" s="376"/>
      <c r="DO190" s="376"/>
      <c r="DP190" s="376"/>
      <c r="DQ190" s="376"/>
      <c r="DR190" s="376"/>
      <c r="DS190" s="376"/>
      <c r="DT190" s="376"/>
      <c r="DU190" s="376"/>
      <c r="DV190" s="376"/>
      <c r="DW190" s="376"/>
      <c r="DX190" s="376"/>
      <c r="DY190" s="376"/>
      <c r="DZ190" s="376"/>
      <c r="EA190" s="376"/>
      <c r="EB190" s="376"/>
      <c r="EC190" s="376"/>
      <c r="ED190" s="376"/>
      <c r="EE190" s="376"/>
      <c r="EF190" s="376"/>
      <c r="EG190" s="376"/>
      <c r="EH190" s="376"/>
      <c r="EI190" s="376"/>
      <c r="EJ190" s="376"/>
      <c r="EK190" s="376"/>
      <c r="EL190" s="376"/>
      <c r="EM190" s="376"/>
      <c r="EN190" s="376"/>
      <c r="EO190" s="376"/>
      <c r="EP190" s="376"/>
      <c r="EQ190" s="376"/>
      <c r="ER190" s="376"/>
      <c r="ES190" s="376"/>
      <c r="ET190" s="376"/>
      <c r="EU190" s="376"/>
      <c r="EV190" s="376"/>
      <c r="EW190" s="376"/>
      <c r="EX190" s="376"/>
      <c r="EY190" s="376"/>
      <c r="EZ190" s="376"/>
      <c r="FA190" s="43"/>
      <c r="FB190" s="43"/>
      <c r="FC190" s="43"/>
      <c r="FD190" s="43"/>
      <c r="FE190" s="43"/>
      <c r="FF190" s="43"/>
      <c r="FG190" s="43"/>
      <c r="FH190" s="43"/>
      <c r="FI190" s="79"/>
      <c r="FJ190" s="79"/>
      <c r="FK190" s="79"/>
      <c r="FL190" s="79"/>
      <c r="FM190" s="93"/>
      <c r="FN190" s="93"/>
      <c r="FO190" s="338"/>
      <c r="FP190" s="338"/>
      <c r="FQ190" s="93" t="str">
        <f ca="1">IF(FO1=0,"",FQ195)</f>
        <v>A</v>
      </c>
      <c r="FR190" s="93" t="str">
        <f ca="1">IF(FO1=0,"",FR195)</f>
        <v>B</v>
      </c>
      <c r="FS190" s="93" t="str">
        <f ca="1">IF(FO1=0,"",FS195)</f>
        <v>C</v>
      </c>
      <c r="FT190" s="93" t="str">
        <f ca="1">IF(FO1=0,"",FT195)</f>
        <v>D</v>
      </c>
      <c r="FU190" s="93" t="str">
        <f ca="1">IF(FO1=0,"",FU195)</f>
        <v>E</v>
      </c>
      <c r="FV190" s="93" t="str">
        <f ca="1">IF(FO1=0,"",FV195)</f>
        <v>F</v>
      </c>
      <c r="FW190" s="93" t="str">
        <f ca="1">IF(FO1=0,"",FW195)</f>
        <v>G</v>
      </c>
      <c r="FX190" s="93" t="str">
        <f ca="1">IF(FO1=0,"",FX195)</f>
        <v>H</v>
      </c>
      <c r="FY190" s="32" t="str">
        <f>IF(FO12=0,"",FY195)</f>
        <v/>
      </c>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38"/>
      <c r="HO190" s="338"/>
      <c r="HP190" s="338"/>
      <c r="HQ190" s="13"/>
      <c r="HR190" s="13"/>
      <c r="HS190" s="13"/>
      <c r="HT190" s="13"/>
      <c r="HU190" s="13"/>
      <c r="HV190" s="13"/>
      <c r="HW190" s="13"/>
      <c r="HX190" s="13"/>
      <c r="HY190" s="13"/>
      <c r="HZ190" s="13"/>
      <c r="IA190" s="13"/>
    </row>
    <row r="191" spans="1:235" ht="16.95" customHeight="1">
      <c r="A191" s="1"/>
      <c r="B191" s="3"/>
      <c r="C191" s="3"/>
      <c r="D191" s="124" t="str">
        <f ca="1">IF(FO169=0,"","markt). Als je de letters hebt ingevuld (of niets als het er niet is) moet je in")</f>
        <v/>
      </c>
      <c r="E191" s="373"/>
      <c r="F191" s="373"/>
      <c r="G191" s="373"/>
      <c r="H191" s="373"/>
      <c r="I191" s="373"/>
      <c r="J191" s="376"/>
      <c r="K191" s="376"/>
      <c r="L191" s="376"/>
      <c r="M191" s="376"/>
      <c r="N191" s="376"/>
      <c r="O191" s="376"/>
      <c r="P191" s="376"/>
      <c r="Q191" s="376"/>
      <c r="R191" s="376"/>
      <c r="S191" s="376"/>
      <c r="T191" s="376"/>
      <c r="U191" s="376"/>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c r="CJ191" s="79"/>
      <c r="CK191" s="43"/>
      <c r="CL191" s="43"/>
      <c r="CM191" s="43"/>
      <c r="CN191" s="43"/>
      <c r="CO191" s="43"/>
      <c r="CP191" s="376"/>
      <c r="CQ191" s="376"/>
      <c r="CR191" s="376"/>
      <c r="CS191" s="376"/>
      <c r="CT191" s="376"/>
      <c r="CU191" s="376"/>
      <c r="CV191" s="376"/>
      <c r="CW191" s="376"/>
      <c r="CX191" s="376"/>
      <c r="CY191" s="376"/>
      <c r="CZ191" s="376"/>
      <c r="DA191" s="376"/>
      <c r="DB191" s="376"/>
      <c r="DC191" s="376"/>
      <c r="DD191" s="376"/>
      <c r="DE191" s="376"/>
      <c r="DF191" s="376"/>
      <c r="DG191" s="376"/>
      <c r="DH191" s="376"/>
      <c r="DI191" s="376"/>
      <c r="DJ191" s="376"/>
      <c r="DK191" s="376"/>
      <c r="DL191" s="376"/>
      <c r="DM191" s="376"/>
      <c r="DN191" s="376"/>
      <c r="DO191" s="376"/>
      <c r="DP191" s="376"/>
      <c r="DQ191" s="376"/>
      <c r="DR191" s="376"/>
      <c r="DS191" s="376"/>
      <c r="DT191" s="376"/>
      <c r="DU191" s="376"/>
      <c r="DV191" s="376"/>
      <c r="DW191" s="376"/>
      <c r="DX191" s="376"/>
      <c r="DY191" s="376"/>
      <c r="DZ191" s="376"/>
      <c r="EA191" s="376"/>
      <c r="EB191" s="376"/>
      <c r="EC191" s="376"/>
      <c r="ED191" s="376"/>
      <c r="EE191" s="376"/>
      <c r="EF191" s="376"/>
      <c r="EG191" s="376"/>
      <c r="EH191" s="376"/>
      <c r="EI191" s="376"/>
      <c r="EJ191" s="376"/>
      <c r="EK191" s="376"/>
      <c r="EL191" s="376"/>
      <c r="EM191" s="376"/>
      <c r="EN191" s="376"/>
      <c r="EO191" s="376"/>
      <c r="EP191" s="376"/>
      <c r="EQ191" s="376"/>
      <c r="ER191" s="376"/>
      <c r="ES191" s="376"/>
      <c r="ET191" s="376"/>
      <c r="EU191" s="376"/>
      <c r="EV191" s="376"/>
      <c r="EW191" s="376"/>
      <c r="EX191" s="376"/>
      <c r="EY191" s="376"/>
      <c r="EZ191" s="376"/>
      <c r="FA191" s="43"/>
      <c r="FB191" s="43"/>
      <c r="FC191" s="43"/>
      <c r="FD191" s="43"/>
      <c r="FE191" s="43"/>
      <c r="FF191" s="43"/>
      <c r="FG191" s="43"/>
      <c r="FH191" s="43"/>
      <c r="FI191" s="79"/>
      <c r="FJ191" s="79"/>
      <c r="FK191" s="79"/>
      <c r="FL191" s="79"/>
      <c r="FM191" s="93"/>
      <c r="FN191" s="93"/>
      <c r="FO191" s="338" t="s">
        <v>137</v>
      </c>
      <c r="FP191" s="338"/>
      <c r="FQ191" s="338"/>
      <c r="FR191" s="338"/>
      <c r="FS191" s="338"/>
      <c r="FT191" s="338"/>
      <c r="FU191" s="338"/>
      <c r="FV191" s="338"/>
      <c r="FW191" s="338"/>
      <c r="FX191" s="338"/>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38"/>
      <c r="HO191" s="338"/>
      <c r="HP191" s="338"/>
      <c r="HQ191" s="13"/>
      <c r="HR191" s="13"/>
      <c r="HS191" s="13"/>
      <c r="HT191" s="13"/>
      <c r="HU191" s="13"/>
      <c r="HV191" s="13"/>
      <c r="HW191" s="13"/>
      <c r="HX191" s="13"/>
      <c r="HY191" s="13"/>
      <c r="HZ191" s="13"/>
      <c r="IA191" s="13"/>
    </row>
    <row r="192" spans="1:235" ht="16.95" customHeight="1">
      <c r="A192" s="1"/>
      <c r="B192" s="3"/>
      <c r="C192" s="3"/>
      <c r="D192" s="124" t="str">
        <f ca="1">IF(FO169=0,"","het zwartomrande vak voor ''klaar'' kiezen.")</f>
        <v/>
      </c>
      <c r="E192" s="373"/>
      <c r="F192" s="373"/>
      <c r="G192" s="373"/>
      <c r="H192" s="373"/>
      <c r="I192" s="373"/>
      <c r="J192" s="376"/>
      <c r="K192" s="376"/>
      <c r="L192" s="376"/>
      <c r="M192" s="376"/>
      <c r="N192" s="376"/>
      <c r="O192" s="376"/>
      <c r="P192" s="376"/>
      <c r="Q192" s="376"/>
      <c r="R192" s="376"/>
      <c r="S192" s="376"/>
      <c r="T192" s="376"/>
      <c r="U192" s="376"/>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c r="BM192" s="79"/>
      <c r="BN192" s="79"/>
      <c r="BO192" s="79"/>
      <c r="BP192" s="79"/>
      <c r="BQ192" s="79"/>
      <c r="BR192" s="79"/>
      <c r="BS192" s="79"/>
      <c r="BT192" s="79"/>
      <c r="BU192" s="79"/>
      <c r="BV192" s="79"/>
      <c r="BW192" s="79"/>
      <c r="BX192" s="79"/>
      <c r="BY192" s="79"/>
      <c r="BZ192" s="79"/>
      <c r="CA192" s="79"/>
      <c r="CB192" s="79"/>
      <c r="CC192" s="79"/>
      <c r="CD192" s="79"/>
      <c r="CE192" s="79"/>
      <c r="CF192" s="79"/>
      <c r="CG192" s="79"/>
      <c r="CH192" s="79"/>
      <c r="CI192" s="79"/>
      <c r="CJ192" s="79"/>
      <c r="CK192" s="43"/>
      <c r="CL192" s="43"/>
      <c r="CM192" s="43"/>
      <c r="CN192" s="43"/>
      <c r="CO192" s="43"/>
      <c r="CP192" s="376"/>
      <c r="CQ192" s="376"/>
      <c r="CR192" s="376"/>
      <c r="CS192" s="376"/>
      <c r="CT192" s="376"/>
      <c r="CU192" s="376"/>
      <c r="CV192" s="376"/>
      <c r="CW192" s="376"/>
      <c r="CX192" s="376"/>
      <c r="CY192" s="376"/>
      <c r="CZ192" s="376"/>
      <c r="DA192" s="376"/>
      <c r="DB192" s="376"/>
      <c r="DC192" s="376"/>
      <c r="DD192" s="376"/>
      <c r="DE192" s="376"/>
      <c r="DF192" s="376"/>
      <c r="DG192" s="376"/>
      <c r="DH192" s="376"/>
      <c r="DI192" s="376"/>
      <c r="DJ192" s="376"/>
      <c r="DK192" s="376"/>
      <c r="DL192" s="376"/>
      <c r="DM192" s="376"/>
      <c r="DN192" s="376"/>
      <c r="DO192" s="376"/>
      <c r="DP192" s="376"/>
      <c r="DQ192" s="376"/>
      <c r="DR192" s="376"/>
      <c r="DS192" s="376"/>
      <c r="DT192" s="376"/>
      <c r="DU192" s="376"/>
      <c r="DV192" s="376"/>
      <c r="DW192" s="376"/>
      <c r="DX192" s="376"/>
      <c r="DY192" s="376"/>
      <c r="DZ192" s="376"/>
      <c r="EA192" s="376"/>
      <c r="EB192" s="376"/>
      <c r="EC192" s="376"/>
      <c r="ED192" s="376"/>
      <c r="EE192" s="376"/>
      <c r="EF192" s="376"/>
      <c r="EG192" s="376"/>
      <c r="EH192" s="376"/>
      <c r="EI192" s="376"/>
      <c r="EJ192" s="376"/>
      <c r="EK192" s="376"/>
      <c r="EL192" s="376"/>
      <c r="EM192" s="376"/>
      <c r="EN192" s="376"/>
      <c r="EO192" s="376"/>
      <c r="EP192" s="376"/>
      <c r="EQ192" s="376"/>
      <c r="ER192" s="376"/>
      <c r="ES192" s="376"/>
      <c r="ET192" s="376"/>
      <c r="EU192" s="376"/>
      <c r="EV192" s="376"/>
      <c r="EW192" s="376"/>
      <c r="EX192" s="376"/>
      <c r="EY192" s="376"/>
      <c r="EZ192" s="376"/>
      <c r="FA192" s="43"/>
      <c r="FB192" s="43"/>
      <c r="FC192" s="43"/>
      <c r="FD192" s="43"/>
      <c r="FE192" s="43"/>
      <c r="FF192" s="43"/>
      <c r="FG192" s="43"/>
      <c r="FH192" s="43"/>
      <c r="FI192" s="79"/>
      <c r="FJ192" s="79"/>
      <c r="FK192" s="79"/>
      <c r="FL192" s="79"/>
      <c r="FM192" s="93"/>
      <c r="FN192" s="93"/>
      <c r="FO192" s="338"/>
      <c r="FP192" s="338"/>
      <c r="FQ192" s="338"/>
      <c r="FR192" s="338"/>
      <c r="FS192" s="338"/>
      <c r="FT192" s="338"/>
      <c r="FU192" s="338"/>
      <c r="FV192" s="338"/>
      <c r="FW192" s="338"/>
      <c r="FX192" s="338"/>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38"/>
      <c r="HO192" s="338"/>
      <c r="HP192" s="338"/>
      <c r="HQ192" s="13"/>
      <c r="HR192" s="13"/>
      <c r="HS192" s="13"/>
      <c r="HT192" s="13"/>
      <c r="HU192" s="13"/>
      <c r="HV192" s="13"/>
      <c r="HW192" s="13"/>
      <c r="HX192" s="13"/>
      <c r="HY192" s="13"/>
      <c r="HZ192" s="13"/>
      <c r="IA192" s="13"/>
    </row>
    <row r="193" spans="1:235" ht="9.75" customHeight="1">
      <c r="A193" s="1"/>
      <c r="B193" s="3"/>
      <c r="C193" s="3"/>
      <c r="D193" s="124"/>
      <c r="E193" s="333"/>
      <c r="F193" s="333"/>
      <c r="G193" s="79"/>
      <c r="H193" s="333"/>
      <c r="I193" s="333"/>
      <c r="J193" s="278"/>
      <c r="K193" s="278"/>
      <c r="L193" s="278"/>
      <c r="M193" s="278"/>
      <c r="N193" s="278"/>
      <c r="O193" s="278"/>
      <c r="P193" s="278"/>
      <c r="Q193" s="278"/>
      <c r="R193" s="278"/>
      <c r="S193" s="278"/>
      <c r="T193" s="278"/>
      <c r="U193" s="278"/>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278"/>
      <c r="CQ193" s="278"/>
      <c r="CR193" s="278"/>
      <c r="CS193" s="278"/>
      <c r="CT193" s="278"/>
      <c r="CU193" s="278"/>
      <c r="CV193" s="278"/>
      <c r="CW193" s="278"/>
      <c r="CX193" s="278"/>
      <c r="CY193" s="278"/>
      <c r="CZ193" s="278"/>
      <c r="DA193" s="278"/>
      <c r="DB193" s="278"/>
      <c r="DC193" s="278"/>
      <c r="DD193" s="278"/>
      <c r="DE193" s="278"/>
      <c r="DF193" s="278"/>
      <c r="DG193" s="278"/>
      <c r="DH193" s="278"/>
      <c r="DI193" s="278"/>
      <c r="DJ193" s="278"/>
      <c r="DK193" s="278"/>
      <c r="DL193" s="278"/>
      <c r="DM193" s="278"/>
      <c r="DN193" s="278"/>
      <c r="DO193" s="278"/>
      <c r="DP193" s="278"/>
      <c r="DQ193" s="278"/>
      <c r="DR193" s="278"/>
      <c r="DS193" s="278"/>
      <c r="DT193" s="278"/>
      <c r="DU193" s="278"/>
      <c r="DV193" s="278"/>
      <c r="DW193" s="278"/>
      <c r="DX193" s="278"/>
      <c r="DY193" s="278"/>
      <c r="DZ193" s="278"/>
      <c r="EA193" s="278"/>
      <c r="EB193" s="278"/>
      <c r="EC193" s="278"/>
      <c r="ED193" s="278"/>
      <c r="EE193" s="278"/>
      <c r="EF193" s="278"/>
      <c r="EG193" s="278"/>
      <c r="EH193" s="278"/>
      <c r="EI193" s="278"/>
      <c r="EJ193" s="278"/>
      <c r="EK193" s="278"/>
      <c r="EL193" s="278"/>
      <c r="EM193" s="278"/>
      <c r="EN193" s="278"/>
      <c r="EO193" s="278"/>
      <c r="EP193" s="278"/>
      <c r="EQ193" s="278"/>
      <c r="ER193" s="278"/>
      <c r="ES193" s="278"/>
      <c r="ET193" s="278"/>
      <c r="EU193" s="278"/>
      <c r="EV193" s="278"/>
      <c r="EW193" s="278"/>
      <c r="EX193" s="278"/>
      <c r="EY193" s="278"/>
      <c r="EZ193" s="278"/>
      <c r="FA193" s="328"/>
      <c r="FB193" s="328"/>
      <c r="FC193" s="328"/>
      <c r="FD193" s="328"/>
      <c r="FE193" s="328"/>
      <c r="FF193" s="43"/>
      <c r="FG193" s="43"/>
      <c r="FH193" s="43"/>
      <c r="FI193" s="43"/>
      <c r="FJ193" s="43"/>
      <c r="FK193" s="43"/>
      <c r="FL193" s="43"/>
      <c r="FM193" s="338"/>
      <c r="FN193" s="338"/>
      <c r="FO193" s="338"/>
      <c r="FP193" s="338"/>
      <c r="FQ193" s="338"/>
      <c r="FR193" s="338"/>
      <c r="FS193" s="338"/>
      <c r="FT193" s="338"/>
      <c r="FU193" s="338"/>
      <c r="FV193" s="338"/>
      <c r="FW193" s="338"/>
      <c r="FX193" s="338"/>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38"/>
      <c r="HO193" s="338"/>
      <c r="HP193" s="338"/>
      <c r="HQ193" s="13"/>
      <c r="HR193" s="13"/>
      <c r="HS193" s="13"/>
      <c r="HT193" s="13"/>
      <c r="HU193" s="13"/>
      <c r="HV193" s="13"/>
      <c r="HW193" s="13"/>
      <c r="HX193" s="13"/>
      <c r="HY193" s="13"/>
      <c r="HZ193" s="13"/>
      <c r="IA193" s="13"/>
    </row>
    <row r="194" spans="1:235" ht="3.75" customHeight="1">
      <c r="A194" s="1"/>
      <c r="B194" s="3"/>
      <c r="C194" s="3"/>
      <c r="D194" s="124"/>
      <c r="E194" s="333"/>
      <c r="F194" s="333"/>
      <c r="G194" s="335"/>
      <c r="H194" s="333"/>
      <c r="I194" s="333"/>
      <c r="J194" s="278"/>
      <c r="K194" s="278"/>
      <c r="L194" s="278"/>
      <c r="M194" s="278"/>
      <c r="N194" s="278"/>
      <c r="O194" s="278"/>
      <c r="P194" s="278"/>
      <c r="Q194" s="278"/>
      <c r="R194" s="278"/>
      <c r="S194" s="278"/>
      <c r="T194" s="278"/>
      <c r="U194" s="278"/>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79"/>
      <c r="BE194" s="79"/>
      <c r="BF194" s="79"/>
      <c r="BG194" s="544" t="str">
        <f ca="1">IF(FO169=0,"",".")</f>
        <v/>
      </c>
      <c r="BH194" s="545"/>
      <c r="BI194" s="545"/>
      <c r="BJ194" s="545"/>
      <c r="BK194" s="545"/>
      <c r="BL194" s="545"/>
      <c r="BM194" s="545"/>
      <c r="BN194" s="278"/>
      <c r="BO194" s="544" t="str">
        <f ca="1">IF(FO169=0,"",".")</f>
        <v/>
      </c>
      <c r="BP194" s="545"/>
      <c r="BQ194" s="545"/>
      <c r="BR194" s="545"/>
      <c r="BS194" s="545"/>
      <c r="BT194" s="545"/>
      <c r="BU194" s="545"/>
      <c r="BV194" s="278"/>
      <c r="BW194" s="544" t="str">
        <f ca="1">IF(FO169=0,"",".")</f>
        <v/>
      </c>
      <c r="BX194" s="545"/>
      <c r="BY194" s="545"/>
      <c r="BZ194" s="545"/>
      <c r="CA194" s="545"/>
      <c r="CB194" s="545"/>
      <c r="CC194" s="545"/>
      <c r="CD194" s="278"/>
      <c r="CE194" s="544" t="str">
        <f ca="1">IF(FO169=0,"",".")</f>
        <v/>
      </c>
      <c r="CF194" s="545"/>
      <c r="CG194" s="545"/>
      <c r="CH194" s="545"/>
      <c r="CI194" s="545"/>
      <c r="CJ194" s="545"/>
      <c r="CK194" s="545"/>
      <c r="CL194" s="278"/>
      <c r="CM194" s="544" t="str">
        <f ca="1">IF(FO169=0,"",".")</f>
        <v/>
      </c>
      <c r="CN194" s="545"/>
      <c r="CO194" s="545"/>
      <c r="CP194" s="545"/>
      <c r="CQ194" s="545"/>
      <c r="CR194" s="545"/>
      <c r="CS194" s="545"/>
      <c r="CT194" s="278"/>
      <c r="CU194" s="544" t="str">
        <f ca="1">IF(FO169=0,"",".")</f>
        <v/>
      </c>
      <c r="CV194" s="545"/>
      <c r="CW194" s="545"/>
      <c r="CX194" s="545"/>
      <c r="CY194" s="545"/>
      <c r="CZ194" s="545"/>
      <c r="DA194" s="545"/>
      <c r="DB194" s="278"/>
      <c r="DC194" s="544" t="str">
        <f ca="1">IF(FO169=0,"",".")</f>
        <v/>
      </c>
      <c r="DD194" s="545"/>
      <c r="DE194" s="545"/>
      <c r="DF194" s="545"/>
      <c r="DG194" s="545"/>
      <c r="DH194" s="545"/>
      <c r="DI194" s="545"/>
      <c r="DJ194" s="278"/>
      <c r="DK194" s="544" t="str">
        <f ca="1">IF(FO169=0,"",".")</f>
        <v/>
      </c>
      <c r="DL194" s="545"/>
      <c r="DM194" s="545"/>
      <c r="DN194" s="545"/>
      <c r="DO194" s="545"/>
      <c r="DP194" s="545"/>
      <c r="DQ194" s="545"/>
      <c r="DR194" s="278"/>
      <c r="DS194" s="544" t="str">
        <f ca="1">IF(FO169=0,"",".")</f>
        <v/>
      </c>
      <c r="DT194" s="545"/>
      <c r="DU194" s="545"/>
      <c r="DV194" s="545"/>
      <c r="DW194" s="545"/>
      <c r="DX194" s="545"/>
      <c r="DY194" s="545"/>
      <c r="DZ194" s="328"/>
      <c r="EA194" s="544" t="str">
        <f ca="1">IF(FO169=0,"","`")</f>
        <v/>
      </c>
      <c r="EB194" s="545"/>
      <c r="EC194" s="545"/>
      <c r="ED194" s="545"/>
      <c r="EE194" s="545"/>
      <c r="EF194" s="545"/>
      <c r="EG194" s="545"/>
      <c r="EH194" s="545"/>
      <c r="EI194" s="545"/>
      <c r="EJ194" s="545"/>
      <c r="EK194" s="43"/>
      <c r="EL194" s="43"/>
      <c r="EM194" s="328"/>
      <c r="EN194" s="79"/>
      <c r="EO194" s="79"/>
      <c r="EP194" s="79"/>
      <c r="EQ194" s="79"/>
      <c r="ER194" s="79"/>
      <c r="ES194" s="79"/>
      <c r="ET194" s="79"/>
      <c r="EU194" s="79"/>
      <c r="EV194" s="79"/>
      <c r="EW194" s="79"/>
      <c r="EX194" s="79"/>
      <c r="EY194" s="79"/>
      <c r="EZ194" s="79"/>
      <c r="FA194" s="79"/>
      <c r="FB194" s="79"/>
      <c r="FC194" s="79"/>
      <c r="FD194" s="79"/>
      <c r="FE194" s="79"/>
      <c r="FF194" s="79"/>
      <c r="FG194" s="79"/>
      <c r="FH194" s="79"/>
      <c r="FI194" s="79"/>
      <c r="FJ194" s="79"/>
      <c r="FK194" s="79"/>
      <c r="FL194" s="328"/>
      <c r="FM194" s="353"/>
      <c r="FN194" s="353"/>
      <c r="FO194" s="353"/>
      <c r="FP194" s="353"/>
      <c r="FQ194" s="353"/>
      <c r="FR194" s="354"/>
      <c r="FS194" s="353"/>
      <c r="FT194" s="353"/>
      <c r="FU194" s="47"/>
      <c r="FV194" s="47"/>
      <c r="FW194" s="47"/>
      <c r="FX194" s="47"/>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38"/>
      <c r="HO194" s="338"/>
      <c r="HP194" s="338"/>
      <c r="HQ194" s="13"/>
      <c r="HR194" s="13"/>
      <c r="HS194" s="13"/>
      <c r="HT194" s="13"/>
      <c r="HU194" s="13"/>
      <c r="HV194" s="13"/>
      <c r="HW194" s="13"/>
      <c r="HX194" s="13"/>
      <c r="HY194" s="13"/>
      <c r="HZ194" s="13"/>
      <c r="IA194" s="13"/>
    </row>
    <row r="195" spans="1:235" ht="18.75" customHeight="1">
      <c r="A195" s="1"/>
      <c r="B195" s="3"/>
      <c r="C195" s="3"/>
      <c r="D195" s="124"/>
      <c r="E195" s="333"/>
      <c r="F195" s="333"/>
      <c r="G195" s="79"/>
      <c r="H195" s="333"/>
      <c r="I195" s="333"/>
      <c r="J195" s="278"/>
      <c r="K195" s="278"/>
      <c r="L195" s="278"/>
      <c r="M195" s="278"/>
      <c r="N195" s="278"/>
      <c r="O195" s="278"/>
      <c r="P195" s="278"/>
      <c r="Q195" s="278"/>
      <c r="R195" s="278"/>
      <c r="S195" s="278"/>
      <c r="T195" s="278"/>
      <c r="U195" s="278"/>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79"/>
      <c r="BE195" s="133" t="str">
        <f ca="1">IF(FO169=0,"","Het consumentensurplus was:")</f>
        <v/>
      </c>
      <c r="BF195" s="79"/>
      <c r="BG195" s="330" t="str">
        <f ca="1">IF(FO169=0,"",".")</f>
        <v/>
      </c>
      <c r="BH195" s="543"/>
      <c r="BI195" s="543"/>
      <c r="BJ195" s="543"/>
      <c r="BK195" s="543"/>
      <c r="BL195" s="543"/>
      <c r="BM195" s="497" t="str">
        <f ca="1">IF(FO169=0,"",".")</f>
        <v/>
      </c>
      <c r="BN195" s="499"/>
      <c r="BO195" s="497" t="str">
        <f ca="1">IF(FO169=0,"",".")</f>
        <v/>
      </c>
      <c r="BP195" s="543"/>
      <c r="BQ195" s="543"/>
      <c r="BR195" s="543"/>
      <c r="BS195" s="543"/>
      <c r="BT195" s="543"/>
      <c r="BU195" s="497" t="str">
        <f ca="1">IF(FO169=0,"",".")</f>
        <v/>
      </c>
      <c r="BV195" s="499"/>
      <c r="BW195" s="497" t="str">
        <f ca="1">IF(FO169=0,"",".")</f>
        <v/>
      </c>
      <c r="BX195" s="543"/>
      <c r="BY195" s="543"/>
      <c r="BZ195" s="543"/>
      <c r="CA195" s="543"/>
      <c r="CB195" s="543"/>
      <c r="CC195" s="497" t="str">
        <f ca="1">IF(FO169=0,"",".")</f>
        <v/>
      </c>
      <c r="CD195" s="499"/>
      <c r="CE195" s="497" t="str">
        <f ca="1">IF(FO169=0,"",".")</f>
        <v/>
      </c>
      <c r="CF195" s="543"/>
      <c r="CG195" s="543"/>
      <c r="CH195" s="543"/>
      <c r="CI195" s="543"/>
      <c r="CJ195" s="543"/>
      <c r="CK195" s="497" t="str">
        <f ca="1">IF(FO169=0,"",".")</f>
        <v/>
      </c>
      <c r="CL195" s="499"/>
      <c r="CM195" s="497" t="str">
        <f ca="1">IF(FO169=0,"",".")</f>
        <v/>
      </c>
      <c r="CN195" s="543"/>
      <c r="CO195" s="543"/>
      <c r="CP195" s="543"/>
      <c r="CQ195" s="543"/>
      <c r="CR195" s="543"/>
      <c r="CS195" s="497" t="str">
        <f ca="1">IF(FO169=0,"",".")</f>
        <v/>
      </c>
      <c r="CT195" s="499"/>
      <c r="CU195" s="497" t="str">
        <f ca="1">IF(FO169=0,"",".")</f>
        <v/>
      </c>
      <c r="CV195" s="543"/>
      <c r="CW195" s="543"/>
      <c r="CX195" s="543"/>
      <c r="CY195" s="543"/>
      <c r="CZ195" s="543"/>
      <c r="DA195" s="497" t="str">
        <f ca="1">IF(FO169=0,"",".")</f>
        <v/>
      </c>
      <c r="DB195" s="499"/>
      <c r="DC195" s="497" t="str">
        <f ca="1">IF(FO169=0,"",".")</f>
        <v/>
      </c>
      <c r="DD195" s="543"/>
      <c r="DE195" s="543"/>
      <c r="DF195" s="543"/>
      <c r="DG195" s="543"/>
      <c r="DH195" s="543"/>
      <c r="DI195" s="497" t="str">
        <f ca="1">IF(FO169=0,"",".")</f>
        <v/>
      </c>
      <c r="DJ195" s="499"/>
      <c r="DK195" s="497" t="str">
        <f ca="1">IF(FO169=0,"",".")</f>
        <v/>
      </c>
      <c r="DL195" s="543"/>
      <c r="DM195" s="543"/>
      <c r="DN195" s="543"/>
      <c r="DO195" s="543"/>
      <c r="DP195" s="543"/>
      <c r="DQ195" s="497" t="str">
        <f ca="1">IF(FO169=0,"",".")</f>
        <v/>
      </c>
      <c r="DR195" s="499"/>
      <c r="DS195" s="497" t="str">
        <f ca="1">IF(FO169=0,"",".")</f>
        <v/>
      </c>
      <c r="DT195" s="543"/>
      <c r="DU195" s="543"/>
      <c r="DV195" s="543"/>
      <c r="DW195" s="543"/>
      <c r="DX195" s="543"/>
      <c r="DY195" s="497" t="str">
        <f ca="1">IF(FO169=0,"",".")</f>
        <v/>
      </c>
      <c r="DZ195" s="500"/>
      <c r="EA195" s="497" t="str">
        <f ca="1">IF(FO169=0,"","`")</f>
        <v/>
      </c>
      <c r="EB195" s="716"/>
      <c r="EC195" s="626"/>
      <c r="ED195" s="626"/>
      <c r="EE195" s="626"/>
      <c r="EF195" s="626"/>
      <c r="EG195" s="626"/>
      <c r="EH195" s="626"/>
      <c r="EI195" s="626"/>
      <c r="EJ195" s="227" t="str">
        <f ca="1">IF(FO169=0,"","`")</f>
        <v/>
      </c>
      <c r="EK195" s="43"/>
      <c r="EL195" s="44" t="str">
        <f ca="1">IF(FO169=0,"",IF(AND(EB195=FO191,FO195=1)," Goed!",IF(EB195=FO191," Fout!","")))</f>
        <v/>
      </c>
      <c r="EM195" s="43"/>
      <c r="EN195" s="79"/>
      <c r="EO195" s="79"/>
      <c r="EP195" s="79"/>
      <c r="EQ195" s="79"/>
      <c r="ER195" s="79"/>
      <c r="ES195" s="79"/>
      <c r="ET195" s="79"/>
      <c r="EU195" s="79"/>
      <c r="EV195" s="79"/>
      <c r="EW195" s="79"/>
      <c r="EX195" s="79"/>
      <c r="EY195" s="79"/>
      <c r="EZ195" s="79"/>
      <c r="FA195" s="79"/>
      <c r="FB195" s="79"/>
      <c r="FC195" s="79"/>
      <c r="FD195" s="79"/>
      <c r="FE195" s="79"/>
      <c r="FF195" s="79"/>
      <c r="FG195" s="79"/>
      <c r="FH195" s="79"/>
      <c r="FI195" s="79"/>
      <c r="FJ195" s="79"/>
      <c r="FK195" s="79"/>
      <c r="FL195" s="43"/>
      <c r="FM195" s="185"/>
      <c r="FN195" s="185"/>
      <c r="FO195" s="185">
        <f ca="1">IF(programma!B1="X",1,IF(FO169=0,0,IF(AND(EB195=FO191,FP195=0,BH195=FQ195,BP195=FR195,BX195="",CF195=FT195,CN195=FU195,CV195="",DD195=FW195,DL195="",DT195=""),1,0)))</f>
        <v>0</v>
      </c>
      <c r="FP195" s="48"/>
      <c r="FQ195" s="48" t="s">
        <v>12</v>
      </c>
      <c r="FR195" s="48" t="s">
        <v>13</v>
      </c>
      <c r="FS195" s="48" t="s">
        <v>14</v>
      </c>
      <c r="FT195" s="48" t="s">
        <v>138</v>
      </c>
      <c r="FU195" s="48" t="s">
        <v>139</v>
      </c>
      <c r="FV195" s="48" t="s">
        <v>141</v>
      </c>
      <c r="FW195" s="48" t="s">
        <v>140</v>
      </c>
      <c r="FX195" s="48" t="s">
        <v>142</v>
      </c>
      <c r="FY195" s="32" t="s">
        <v>143</v>
      </c>
      <c r="FZ195" s="32"/>
      <c r="GA195" s="32"/>
      <c r="GB195" s="32"/>
      <c r="GC195" s="32"/>
      <c r="GD195" s="32"/>
      <c r="GE195" s="32"/>
      <c r="GF195" s="32"/>
      <c r="GG195" s="32"/>
      <c r="GH195" s="32"/>
      <c r="GI195" s="32"/>
      <c r="GJ195" s="32"/>
      <c r="GK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38"/>
      <c r="HO195" s="338"/>
      <c r="HP195" s="338"/>
      <c r="HQ195" s="13"/>
      <c r="HR195" s="13"/>
      <c r="HS195" s="13"/>
      <c r="HT195" s="13"/>
      <c r="HU195" s="13"/>
      <c r="HV195" s="13"/>
      <c r="HW195" s="13"/>
      <c r="HX195" s="13"/>
      <c r="HY195" s="13"/>
      <c r="HZ195" s="13"/>
      <c r="IA195" s="13"/>
    </row>
    <row r="196" spans="1:235" ht="3.75" customHeight="1">
      <c r="A196" s="1"/>
      <c r="B196" s="3"/>
      <c r="C196" s="3"/>
      <c r="D196" s="124"/>
      <c r="E196" s="333"/>
      <c r="F196" s="333"/>
      <c r="G196" s="335"/>
      <c r="H196" s="333"/>
      <c r="I196" s="333"/>
      <c r="J196" s="278"/>
      <c r="K196" s="278"/>
      <c r="L196" s="278"/>
      <c r="M196" s="278"/>
      <c r="N196" s="278"/>
      <c r="O196" s="278"/>
      <c r="P196" s="278"/>
      <c r="Q196" s="278"/>
      <c r="R196" s="278"/>
      <c r="S196" s="278"/>
      <c r="T196" s="278"/>
      <c r="U196" s="278"/>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79"/>
      <c r="BE196" s="79"/>
      <c r="BF196" s="79"/>
      <c r="BG196" s="544" t="str">
        <f ca="1">IF(FO169=0,"",".")</f>
        <v/>
      </c>
      <c r="BH196" s="545"/>
      <c r="BI196" s="545"/>
      <c r="BJ196" s="545"/>
      <c r="BK196" s="545"/>
      <c r="BL196" s="545"/>
      <c r="BM196" s="545"/>
      <c r="BN196" s="278"/>
      <c r="BO196" s="544" t="str">
        <f ca="1">IF(FO169=0,"",".")</f>
        <v/>
      </c>
      <c r="BP196" s="545"/>
      <c r="BQ196" s="545"/>
      <c r="BR196" s="545"/>
      <c r="BS196" s="545"/>
      <c r="BT196" s="545"/>
      <c r="BU196" s="545"/>
      <c r="BV196" s="278"/>
      <c r="BW196" s="544" t="str">
        <f ca="1">IF(FO169=0,"",".")</f>
        <v/>
      </c>
      <c r="BX196" s="545"/>
      <c r="BY196" s="545"/>
      <c r="BZ196" s="545"/>
      <c r="CA196" s="545"/>
      <c r="CB196" s="545"/>
      <c r="CC196" s="545"/>
      <c r="CD196" s="278"/>
      <c r="CE196" s="544" t="str">
        <f ca="1">IF(FO169=0,"",".")</f>
        <v/>
      </c>
      <c r="CF196" s="545"/>
      <c r="CG196" s="545"/>
      <c r="CH196" s="545"/>
      <c r="CI196" s="545"/>
      <c r="CJ196" s="545"/>
      <c r="CK196" s="545"/>
      <c r="CL196" s="278"/>
      <c r="CM196" s="544" t="str">
        <f ca="1">IF(FO169=0,"",".")</f>
        <v/>
      </c>
      <c r="CN196" s="545"/>
      <c r="CO196" s="545"/>
      <c r="CP196" s="545"/>
      <c r="CQ196" s="545"/>
      <c r="CR196" s="545"/>
      <c r="CS196" s="545"/>
      <c r="CT196" s="278"/>
      <c r="CU196" s="544" t="str">
        <f ca="1">IF(FO169=0,"",".")</f>
        <v/>
      </c>
      <c r="CV196" s="545"/>
      <c r="CW196" s="545"/>
      <c r="CX196" s="545"/>
      <c r="CY196" s="545"/>
      <c r="CZ196" s="545"/>
      <c r="DA196" s="545"/>
      <c r="DB196" s="278"/>
      <c r="DC196" s="544" t="str">
        <f ca="1">IF(FO169=0,"",".")</f>
        <v/>
      </c>
      <c r="DD196" s="545"/>
      <c r="DE196" s="545"/>
      <c r="DF196" s="545"/>
      <c r="DG196" s="545"/>
      <c r="DH196" s="545"/>
      <c r="DI196" s="545"/>
      <c r="DJ196" s="278"/>
      <c r="DK196" s="544" t="str">
        <f ca="1">IF(FO169=0,"",".")</f>
        <v/>
      </c>
      <c r="DL196" s="545"/>
      <c r="DM196" s="545"/>
      <c r="DN196" s="545"/>
      <c r="DO196" s="545"/>
      <c r="DP196" s="545"/>
      <c r="DQ196" s="545"/>
      <c r="DR196" s="278"/>
      <c r="DS196" s="544" t="str">
        <f ca="1">IF(FO169=0,"",".")</f>
        <v/>
      </c>
      <c r="DT196" s="545"/>
      <c r="DU196" s="545"/>
      <c r="DV196" s="545"/>
      <c r="DW196" s="545"/>
      <c r="DX196" s="545"/>
      <c r="DY196" s="545"/>
      <c r="DZ196" s="328"/>
      <c r="EA196" s="544" t="str">
        <f ca="1">IF(FO169=0,"","`")</f>
        <v/>
      </c>
      <c r="EB196" s="545"/>
      <c r="EC196" s="545"/>
      <c r="ED196" s="545"/>
      <c r="EE196" s="545"/>
      <c r="EF196" s="545"/>
      <c r="EG196" s="545"/>
      <c r="EH196" s="545"/>
      <c r="EI196" s="545"/>
      <c r="EJ196" s="545"/>
      <c r="EK196" s="43"/>
      <c r="EL196" s="43"/>
      <c r="EM196" s="43"/>
      <c r="EN196" s="79"/>
      <c r="EO196" s="79"/>
      <c r="EP196" s="79"/>
      <c r="EQ196" s="79"/>
      <c r="ER196" s="79"/>
      <c r="ES196" s="79"/>
      <c r="ET196" s="79"/>
      <c r="EU196" s="79"/>
      <c r="EV196" s="79"/>
      <c r="EW196" s="79"/>
      <c r="EX196" s="79"/>
      <c r="EY196" s="79"/>
      <c r="EZ196" s="79"/>
      <c r="FA196" s="79"/>
      <c r="FB196" s="79"/>
      <c r="FC196" s="79"/>
      <c r="FD196" s="79"/>
      <c r="FE196" s="79"/>
      <c r="FF196" s="79"/>
      <c r="FG196" s="79"/>
      <c r="FH196" s="79"/>
      <c r="FI196" s="79"/>
      <c r="FJ196" s="79"/>
      <c r="FK196" s="79"/>
      <c r="FL196" s="43"/>
      <c r="FM196" s="354"/>
      <c r="FN196" s="354"/>
      <c r="FO196" s="354"/>
      <c r="FP196" s="354"/>
      <c r="FQ196" s="354"/>
      <c r="FR196" s="354"/>
      <c r="FS196" s="47"/>
      <c r="FT196" s="47"/>
      <c r="FU196" s="47"/>
      <c r="FV196" s="47"/>
      <c r="FW196" s="47"/>
      <c r="FX196" s="47"/>
      <c r="FY196" s="32"/>
      <c r="FZ196" s="32"/>
      <c r="GA196" s="32"/>
      <c r="GB196" s="32"/>
      <c r="GC196" s="32"/>
      <c r="GD196" s="32"/>
      <c r="GE196" s="32"/>
      <c r="GF196" s="32"/>
      <c r="GG196" s="32"/>
      <c r="GH196" s="32"/>
      <c r="GI196" s="32"/>
      <c r="GJ196" s="32"/>
      <c r="GK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38"/>
      <c r="HO196" s="338"/>
      <c r="HP196" s="338"/>
      <c r="HQ196" s="13"/>
      <c r="HR196" s="13"/>
      <c r="HS196" s="13"/>
      <c r="HT196" s="13"/>
      <c r="HU196" s="13"/>
      <c r="HV196" s="13"/>
      <c r="HW196" s="13"/>
      <c r="HX196" s="13"/>
      <c r="HY196" s="13"/>
      <c r="HZ196" s="13"/>
      <c r="IA196" s="13"/>
    </row>
    <row r="197" spans="1:235" ht="9.75" customHeight="1">
      <c r="A197" s="1"/>
      <c r="B197" s="3"/>
      <c r="C197" s="3"/>
      <c r="D197" s="124"/>
      <c r="E197" s="333"/>
      <c r="F197" s="333"/>
      <c r="G197" s="79"/>
      <c r="H197" s="333"/>
      <c r="I197" s="333"/>
      <c r="J197" s="278"/>
      <c r="K197" s="278"/>
      <c r="L197" s="278"/>
      <c r="M197" s="278"/>
      <c r="N197" s="278"/>
      <c r="O197" s="278"/>
      <c r="P197" s="278"/>
      <c r="Q197" s="278"/>
      <c r="R197" s="278"/>
      <c r="S197" s="278"/>
      <c r="T197" s="278"/>
      <c r="U197" s="278"/>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278"/>
      <c r="BS197" s="278"/>
      <c r="BT197" s="278"/>
      <c r="BU197" s="278"/>
      <c r="BV197" s="278"/>
      <c r="BW197" s="278"/>
      <c r="BX197" s="278"/>
      <c r="BY197" s="278"/>
      <c r="BZ197" s="278"/>
      <c r="CA197" s="278"/>
      <c r="CB197" s="278"/>
      <c r="CC197" s="278"/>
      <c r="CD197" s="278"/>
      <c r="CE197" s="278"/>
      <c r="CF197" s="278"/>
      <c r="CG197" s="278"/>
      <c r="CH197" s="278"/>
      <c r="CI197" s="278"/>
      <c r="CJ197" s="278"/>
      <c r="CK197" s="278"/>
      <c r="CL197" s="278"/>
      <c r="CM197" s="278"/>
      <c r="CN197" s="278"/>
      <c r="CO197" s="278"/>
      <c r="CP197" s="278"/>
      <c r="CQ197" s="278"/>
      <c r="CR197" s="278"/>
      <c r="CS197" s="278"/>
      <c r="CT197" s="278"/>
      <c r="CU197" s="278"/>
      <c r="CV197" s="278"/>
      <c r="CW197" s="278"/>
      <c r="CX197" s="278"/>
      <c r="CY197" s="278"/>
      <c r="CZ197" s="278"/>
      <c r="DA197" s="278"/>
      <c r="DB197" s="278"/>
      <c r="DC197" s="278"/>
      <c r="DD197" s="278"/>
      <c r="DE197" s="278"/>
      <c r="DF197" s="278"/>
      <c r="DG197" s="278"/>
      <c r="DH197" s="278"/>
      <c r="DI197" s="278"/>
      <c r="DJ197" s="278"/>
      <c r="DK197" s="278"/>
      <c r="DL197" s="278"/>
      <c r="DM197" s="278"/>
      <c r="DN197" s="278"/>
      <c r="DO197" s="278"/>
      <c r="DP197" s="278"/>
      <c r="DQ197" s="278"/>
      <c r="DR197" s="278"/>
      <c r="DS197" s="278"/>
      <c r="DT197" s="278"/>
      <c r="DU197" s="278"/>
      <c r="DV197" s="278"/>
      <c r="DW197" s="278"/>
      <c r="DX197" s="278"/>
      <c r="DY197" s="278"/>
      <c r="DZ197" s="278"/>
      <c r="EA197" s="278"/>
      <c r="EB197" s="278"/>
      <c r="EC197" s="328"/>
      <c r="ED197" s="328"/>
      <c r="EE197" s="328"/>
      <c r="EF197" s="328"/>
      <c r="EG197" s="328"/>
      <c r="EH197" s="43"/>
      <c r="EI197" s="43"/>
      <c r="EJ197" s="43"/>
      <c r="EK197" s="43"/>
      <c r="EL197" s="43"/>
      <c r="EM197" s="43"/>
      <c r="EN197" s="79"/>
      <c r="EO197" s="79"/>
      <c r="EP197" s="79"/>
      <c r="EQ197" s="79"/>
      <c r="ER197" s="79"/>
      <c r="ES197" s="79"/>
      <c r="ET197" s="79"/>
      <c r="EU197" s="79"/>
      <c r="EV197" s="79"/>
      <c r="EW197" s="79"/>
      <c r="EX197" s="79"/>
      <c r="EY197" s="79"/>
      <c r="EZ197" s="79"/>
      <c r="FA197" s="79"/>
      <c r="FB197" s="79"/>
      <c r="FC197" s="79"/>
      <c r="FD197" s="79"/>
      <c r="FE197" s="79"/>
      <c r="FF197" s="79"/>
      <c r="FG197" s="79"/>
      <c r="FH197" s="79"/>
      <c r="FI197" s="79"/>
      <c r="FJ197" s="79"/>
      <c r="FK197" s="79"/>
      <c r="FL197" s="43"/>
      <c r="FM197" s="338"/>
      <c r="FN197" s="338"/>
      <c r="FO197" s="338"/>
      <c r="FP197" s="338"/>
      <c r="FQ197" s="338"/>
      <c r="FR197" s="338"/>
      <c r="FS197" s="338"/>
      <c r="FT197" s="338"/>
      <c r="FU197" s="338"/>
      <c r="FV197" s="338"/>
      <c r="FW197" s="338"/>
      <c r="FX197" s="338"/>
      <c r="FY197" s="32"/>
      <c r="FZ197" s="32"/>
      <c r="GA197" s="32"/>
      <c r="GB197" s="32"/>
      <c r="GC197" s="32"/>
      <c r="GD197" s="32"/>
      <c r="GE197" s="32"/>
      <c r="GF197" s="32"/>
      <c r="GG197" s="32"/>
      <c r="GH197" s="32"/>
      <c r="GI197" s="32"/>
      <c r="GJ197" s="32"/>
      <c r="GK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38"/>
      <c r="HO197" s="338"/>
      <c r="HP197" s="338"/>
      <c r="HQ197" s="13"/>
      <c r="HR197" s="13"/>
      <c r="HS197" s="13"/>
      <c r="HT197" s="13"/>
      <c r="HU197" s="13"/>
      <c r="HV197" s="13"/>
      <c r="HW197" s="13"/>
      <c r="HX197" s="13"/>
      <c r="HY197" s="13"/>
      <c r="HZ197" s="13"/>
      <c r="IA197" s="13"/>
    </row>
    <row r="198" spans="1:235" ht="3.75" customHeight="1">
      <c r="A198" s="1"/>
      <c r="B198" s="3"/>
      <c r="C198" s="3"/>
      <c r="D198" s="124"/>
      <c r="E198" s="333"/>
      <c r="F198" s="333"/>
      <c r="G198" s="335"/>
      <c r="H198" s="333"/>
      <c r="I198" s="333"/>
      <c r="J198" s="278"/>
      <c r="K198" s="278"/>
      <c r="L198" s="278"/>
      <c r="M198" s="278"/>
      <c r="N198" s="278"/>
      <c r="O198" s="278"/>
      <c r="P198" s="278"/>
      <c r="Q198" s="278"/>
      <c r="R198" s="278"/>
      <c r="S198" s="278"/>
      <c r="T198" s="278"/>
      <c r="U198" s="278"/>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79"/>
      <c r="BE198" s="79"/>
      <c r="BF198" s="79"/>
      <c r="BG198" s="544" t="str">
        <f ca="1">IF(FO195=0,"",".")</f>
        <v/>
      </c>
      <c r="BH198" s="545"/>
      <c r="BI198" s="545"/>
      <c r="BJ198" s="545"/>
      <c r="BK198" s="545"/>
      <c r="BL198" s="545"/>
      <c r="BM198" s="545"/>
      <c r="BN198" s="278"/>
      <c r="BO198" s="544" t="str">
        <f ca="1">IF(FO195=0,"",".")</f>
        <v/>
      </c>
      <c r="BP198" s="545"/>
      <c r="BQ198" s="545"/>
      <c r="BR198" s="545"/>
      <c r="BS198" s="545"/>
      <c r="BT198" s="545"/>
      <c r="BU198" s="545"/>
      <c r="BV198" s="278"/>
      <c r="BW198" s="544" t="str">
        <f ca="1">IF(FO195=0,"",".")</f>
        <v/>
      </c>
      <c r="BX198" s="545"/>
      <c r="BY198" s="545"/>
      <c r="BZ198" s="545"/>
      <c r="CA198" s="545"/>
      <c r="CB198" s="545"/>
      <c r="CC198" s="545"/>
      <c r="CD198" s="278"/>
      <c r="CE198" s="544" t="str">
        <f ca="1">IF(FO195=0,"",".")</f>
        <v/>
      </c>
      <c r="CF198" s="545"/>
      <c r="CG198" s="545"/>
      <c r="CH198" s="545"/>
      <c r="CI198" s="545"/>
      <c r="CJ198" s="545"/>
      <c r="CK198" s="545"/>
      <c r="CL198" s="278"/>
      <c r="CM198" s="544" t="str">
        <f ca="1">IF(FO195=0,"",".")</f>
        <v/>
      </c>
      <c r="CN198" s="545"/>
      <c r="CO198" s="545"/>
      <c r="CP198" s="545"/>
      <c r="CQ198" s="545"/>
      <c r="CR198" s="545"/>
      <c r="CS198" s="545"/>
      <c r="CT198" s="278"/>
      <c r="CU198" s="544" t="str">
        <f ca="1">IF(FO195=0,"",".")</f>
        <v/>
      </c>
      <c r="CV198" s="545"/>
      <c r="CW198" s="545"/>
      <c r="CX198" s="545"/>
      <c r="CY198" s="545"/>
      <c r="CZ198" s="545"/>
      <c r="DA198" s="545"/>
      <c r="DB198" s="278"/>
      <c r="DC198" s="544" t="str">
        <f ca="1">IF(FO195=0,"",".")</f>
        <v/>
      </c>
      <c r="DD198" s="545"/>
      <c r="DE198" s="545"/>
      <c r="DF198" s="545"/>
      <c r="DG198" s="545"/>
      <c r="DH198" s="545"/>
      <c r="DI198" s="545"/>
      <c r="DJ198" s="278"/>
      <c r="DK198" s="544" t="str">
        <f ca="1">IF(FO195=0,"",".")</f>
        <v/>
      </c>
      <c r="DL198" s="545"/>
      <c r="DM198" s="545"/>
      <c r="DN198" s="545"/>
      <c r="DO198" s="545"/>
      <c r="DP198" s="545"/>
      <c r="DQ198" s="545"/>
      <c r="DR198" s="278"/>
      <c r="DS198" s="544" t="str">
        <f ca="1">IF(FO195=0,"",".")</f>
        <v/>
      </c>
      <c r="DT198" s="545"/>
      <c r="DU198" s="545"/>
      <c r="DV198" s="545"/>
      <c r="DW198" s="545"/>
      <c r="DX198" s="545"/>
      <c r="DY198" s="545"/>
      <c r="DZ198" s="328"/>
      <c r="EA198" s="544" t="str">
        <f ca="1">IF(FO195=0,"","`")</f>
        <v/>
      </c>
      <c r="EB198" s="545"/>
      <c r="EC198" s="545"/>
      <c r="ED198" s="545"/>
      <c r="EE198" s="545"/>
      <c r="EF198" s="545"/>
      <c r="EG198" s="545"/>
      <c r="EH198" s="545"/>
      <c r="EI198" s="545"/>
      <c r="EJ198" s="545"/>
      <c r="EK198" s="43"/>
      <c r="EL198" s="43"/>
      <c r="EM198" s="328"/>
      <c r="EN198" s="79"/>
      <c r="EO198" s="79"/>
      <c r="EP198" s="79"/>
      <c r="EQ198" s="79"/>
      <c r="ER198" s="79"/>
      <c r="ES198" s="79"/>
      <c r="ET198" s="79"/>
      <c r="EU198" s="79"/>
      <c r="EV198" s="79"/>
      <c r="EW198" s="79"/>
      <c r="EX198" s="79"/>
      <c r="EY198" s="79"/>
      <c r="EZ198" s="79"/>
      <c r="FA198" s="79"/>
      <c r="FB198" s="79"/>
      <c r="FC198" s="79"/>
      <c r="FD198" s="79"/>
      <c r="FE198" s="79"/>
      <c r="FF198" s="79"/>
      <c r="FG198" s="79"/>
      <c r="FH198" s="79"/>
      <c r="FI198" s="79"/>
      <c r="FJ198" s="79"/>
      <c r="FK198" s="79"/>
      <c r="FL198" s="328"/>
      <c r="FM198" s="353"/>
      <c r="FN198" s="353"/>
      <c r="FO198" s="353"/>
      <c r="FP198" s="353"/>
      <c r="FQ198" s="353"/>
      <c r="FR198" s="354"/>
      <c r="FS198" s="353"/>
      <c r="FT198" s="353"/>
      <c r="FU198" s="47"/>
      <c r="FV198" s="47"/>
      <c r="FW198" s="47"/>
      <c r="FX198" s="47"/>
      <c r="FY198" s="32"/>
      <c r="FZ198" s="32"/>
      <c r="GA198" s="32"/>
      <c r="GB198" s="32"/>
      <c r="GC198" s="32"/>
      <c r="GD198" s="32"/>
      <c r="GE198" s="32"/>
      <c r="GF198" s="32"/>
      <c r="GG198" s="32"/>
      <c r="GH198" s="32"/>
      <c r="GI198" s="32"/>
      <c r="GJ198" s="32"/>
      <c r="GK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38"/>
      <c r="HO198" s="338"/>
      <c r="HP198" s="338"/>
      <c r="HQ198" s="13"/>
      <c r="HR198" s="13"/>
      <c r="HS198" s="13"/>
      <c r="HT198" s="13"/>
      <c r="HU198" s="13"/>
      <c r="HV198" s="13"/>
      <c r="HW198" s="13"/>
      <c r="HX198" s="13"/>
      <c r="HY198" s="13"/>
      <c r="HZ198" s="13"/>
      <c r="IA198" s="13"/>
    </row>
    <row r="199" spans="1:235" ht="18.75" customHeight="1">
      <c r="A199" s="1"/>
      <c r="B199" s="3"/>
      <c r="C199" s="3"/>
      <c r="D199" s="124"/>
      <c r="E199" s="333"/>
      <c r="F199" s="333"/>
      <c r="G199" s="79"/>
      <c r="H199" s="333"/>
      <c r="I199" s="333"/>
      <c r="J199" s="278"/>
      <c r="K199" s="278"/>
      <c r="L199" s="278"/>
      <c r="M199" s="278"/>
      <c r="N199" s="278"/>
      <c r="O199" s="278"/>
      <c r="P199" s="278"/>
      <c r="Q199" s="278"/>
      <c r="R199" s="278"/>
      <c r="S199" s="278"/>
      <c r="T199" s="278"/>
      <c r="U199" s="278"/>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79"/>
      <c r="BE199" s="133" t="str">
        <f ca="1">IF(FO195=0,"","Het producentensurplus was:")</f>
        <v/>
      </c>
      <c r="BF199" s="79"/>
      <c r="BG199" s="330" t="str">
        <f ca="1">IF(FO195=0,"",".")</f>
        <v/>
      </c>
      <c r="BH199" s="543"/>
      <c r="BI199" s="543"/>
      <c r="BJ199" s="543"/>
      <c r="BK199" s="543"/>
      <c r="BL199" s="543"/>
      <c r="BM199" s="497" t="str">
        <f ca="1">IF(FO195=0,"",".")</f>
        <v/>
      </c>
      <c r="BN199" s="499"/>
      <c r="BO199" s="497" t="str">
        <f ca="1">IF(FO195=0,"",".")</f>
        <v/>
      </c>
      <c r="BP199" s="543"/>
      <c r="BQ199" s="543"/>
      <c r="BR199" s="543"/>
      <c r="BS199" s="543"/>
      <c r="BT199" s="543"/>
      <c r="BU199" s="497" t="str">
        <f ca="1">IF(FO195=0,"",".")</f>
        <v/>
      </c>
      <c r="BV199" s="499"/>
      <c r="BW199" s="497" t="str">
        <f ca="1">IF(FO195=0,"",".")</f>
        <v/>
      </c>
      <c r="BX199" s="543"/>
      <c r="BY199" s="543"/>
      <c r="BZ199" s="543"/>
      <c r="CA199" s="543"/>
      <c r="CB199" s="543"/>
      <c r="CC199" s="497" t="str">
        <f ca="1">IF(FO195=0,"",".")</f>
        <v/>
      </c>
      <c r="CD199" s="499"/>
      <c r="CE199" s="497" t="str">
        <f ca="1">IF(FO195=0,"",".")</f>
        <v/>
      </c>
      <c r="CF199" s="543"/>
      <c r="CG199" s="543"/>
      <c r="CH199" s="543"/>
      <c r="CI199" s="543"/>
      <c r="CJ199" s="543"/>
      <c r="CK199" s="497" t="str">
        <f ca="1">IF(FO195=0,"",".")</f>
        <v/>
      </c>
      <c r="CL199" s="499"/>
      <c r="CM199" s="497" t="str">
        <f ca="1">IF(FO195=0,"",".")</f>
        <v/>
      </c>
      <c r="CN199" s="543"/>
      <c r="CO199" s="543"/>
      <c r="CP199" s="543"/>
      <c r="CQ199" s="543"/>
      <c r="CR199" s="543"/>
      <c r="CS199" s="497" t="str">
        <f ca="1">IF(FO195=0,"",".")</f>
        <v/>
      </c>
      <c r="CT199" s="499"/>
      <c r="CU199" s="497" t="str">
        <f ca="1">IF(FO195=0,"",".")</f>
        <v/>
      </c>
      <c r="CV199" s="543"/>
      <c r="CW199" s="543"/>
      <c r="CX199" s="543"/>
      <c r="CY199" s="543"/>
      <c r="CZ199" s="543"/>
      <c r="DA199" s="497" t="str">
        <f ca="1">IF(FO195=0,"",".")</f>
        <v/>
      </c>
      <c r="DB199" s="499"/>
      <c r="DC199" s="497" t="str">
        <f ca="1">IF(FO195=0,"",".")</f>
        <v/>
      </c>
      <c r="DD199" s="543"/>
      <c r="DE199" s="543"/>
      <c r="DF199" s="543"/>
      <c r="DG199" s="543"/>
      <c r="DH199" s="543"/>
      <c r="DI199" s="497" t="str">
        <f ca="1">IF(FO195=0,"",".")</f>
        <v/>
      </c>
      <c r="DJ199" s="499"/>
      <c r="DK199" s="497" t="str">
        <f ca="1">IF(FO195=0,"",".")</f>
        <v/>
      </c>
      <c r="DL199" s="543"/>
      <c r="DM199" s="543"/>
      <c r="DN199" s="543"/>
      <c r="DO199" s="543"/>
      <c r="DP199" s="543"/>
      <c r="DQ199" s="497" t="str">
        <f ca="1">IF(FO195=0,"",".")</f>
        <v/>
      </c>
      <c r="DR199" s="499"/>
      <c r="DS199" s="497" t="str">
        <f ca="1">IF(FO195=0,"",".")</f>
        <v/>
      </c>
      <c r="DT199" s="543"/>
      <c r="DU199" s="543"/>
      <c r="DV199" s="543"/>
      <c r="DW199" s="543"/>
      <c r="DX199" s="543"/>
      <c r="DY199" s="497" t="str">
        <f ca="1">IF(FO195=0,"",".")</f>
        <v/>
      </c>
      <c r="DZ199" s="500"/>
      <c r="EA199" s="497" t="str">
        <f ca="1">IF(FO195=0,"","`")</f>
        <v/>
      </c>
      <c r="EB199" s="716"/>
      <c r="EC199" s="626"/>
      <c r="ED199" s="626"/>
      <c r="EE199" s="626"/>
      <c r="EF199" s="626"/>
      <c r="EG199" s="626"/>
      <c r="EH199" s="626"/>
      <c r="EI199" s="626"/>
      <c r="EJ199" s="227" t="str">
        <f ca="1">IF(FO195=0,"","`")</f>
        <v/>
      </c>
      <c r="EK199" s="43"/>
      <c r="EL199" s="44" t="str">
        <f ca="1">IF(FO195=0,"",IF(AND(EB199=FO191,FO199=1)," Goed!",IF(EB199=FO191," Fout!","")))</f>
        <v/>
      </c>
      <c r="EM199" s="43"/>
      <c r="EN199" s="79"/>
      <c r="EO199" s="79"/>
      <c r="EP199" s="79"/>
      <c r="EQ199" s="79"/>
      <c r="ER199" s="79"/>
      <c r="ES199" s="79"/>
      <c r="ET199" s="79"/>
      <c r="EU199" s="79"/>
      <c r="EV199" s="79"/>
      <c r="EW199" s="79"/>
      <c r="EX199" s="79"/>
      <c r="EY199" s="79"/>
      <c r="EZ199" s="79"/>
      <c r="FA199" s="79"/>
      <c r="FB199" s="79"/>
      <c r="FC199" s="79"/>
      <c r="FD199" s="79"/>
      <c r="FE199" s="79"/>
      <c r="FF199" s="79"/>
      <c r="FG199" s="79"/>
      <c r="FH199" s="79"/>
      <c r="FI199" s="79"/>
      <c r="FJ199" s="79"/>
      <c r="FK199" s="79"/>
      <c r="FL199" s="43"/>
      <c r="FM199" s="185"/>
      <c r="FN199" s="185"/>
      <c r="FO199" s="185">
        <f ca="1">IF(programma!B1="X",1,IF(AND(EB199=FO191,FO195=1,BH199="",BP199="",BX199="",CF199="",CN199="",CV199="",DD199="",DL199="",DT199=""),1,0))</f>
        <v>0</v>
      </c>
      <c r="FP199" s="48"/>
      <c r="FQ199" s="48"/>
      <c r="FR199" s="48"/>
      <c r="FS199" s="48"/>
      <c r="FT199" s="48"/>
      <c r="FU199" s="48"/>
      <c r="FV199" s="48"/>
      <c r="FW199" s="48"/>
      <c r="FX199" s="48"/>
      <c r="FY199" s="32"/>
      <c r="FZ199" s="32"/>
      <c r="GA199" s="32"/>
      <c r="GB199" s="32"/>
      <c r="GC199" s="32"/>
      <c r="GD199" s="32"/>
      <c r="GE199" s="32"/>
      <c r="GF199" s="32"/>
      <c r="GG199" s="32"/>
      <c r="GH199" s="32"/>
      <c r="GI199" s="32"/>
      <c r="GJ199" s="32"/>
      <c r="GK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38"/>
      <c r="HO199" s="338"/>
      <c r="HP199" s="338"/>
      <c r="HQ199" s="13"/>
      <c r="HR199" s="13"/>
      <c r="HS199" s="13"/>
      <c r="HT199" s="13"/>
      <c r="HU199" s="13"/>
      <c r="HV199" s="13"/>
      <c r="HW199" s="13"/>
      <c r="HX199" s="13"/>
      <c r="HY199" s="13"/>
      <c r="HZ199" s="13"/>
      <c r="IA199" s="13"/>
    </row>
    <row r="200" spans="1:235" ht="3.75" customHeight="1">
      <c r="A200" s="1"/>
      <c r="B200" s="3"/>
      <c r="C200" s="3"/>
      <c r="D200" s="124"/>
      <c r="E200" s="333"/>
      <c r="F200" s="333"/>
      <c r="G200" s="335"/>
      <c r="H200" s="333"/>
      <c r="I200" s="333"/>
      <c r="J200" s="278"/>
      <c r="K200" s="278"/>
      <c r="L200" s="278"/>
      <c r="M200" s="278"/>
      <c r="N200" s="278"/>
      <c r="O200" s="278"/>
      <c r="P200" s="278"/>
      <c r="Q200" s="278"/>
      <c r="R200" s="278"/>
      <c r="S200" s="278"/>
      <c r="T200" s="278"/>
      <c r="U200" s="278"/>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79"/>
      <c r="BE200" s="79"/>
      <c r="BF200" s="79"/>
      <c r="BG200" s="544" t="str">
        <f ca="1">IF(FO195=0,"",".")</f>
        <v/>
      </c>
      <c r="BH200" s="545"/>
      <c r="BI200" s="545"/>
      <c r="BJ200" s="545"/>
      <c r="BK200" s="545"/>
      <c r="BL200" s="545"/>
      <c r="BM200" s="545"/>
      <c r="BN200" s="278"/>
      <c r="BO200" s="544" t="str">
        <f ca="1">IF(FO195=0,"",".")</f>
        <v/>
      </c>
      <c r="BP200" s="545"/>
      <c r="BQ200" s="545"/>
      <c r="BR200" s="545"/>
      <c r="BS200" s="545"/>
      <c r="BT200" s="545"/>
      <c r="BU200" s="545"/>
      <c r="BV200" s="278"/>
      <c r="BW200" s="544" t="str">
        <f ca="1">IF(FO195=0,"",".")</f>
        <v/>
      </c>
      <c r="BX200" s="545"/>
      <c r="BY200" s="545"/>
      <c r="BZ200" s="545"/>
      <c r="CA200" s="545"/>
      <c r="CB200" s="545"/>
      <c r="CC200" s="545"/>
      <c r="CD200" s="278"/>
      <c r="CE200" s="544" t="str">
        <f ca="1">IF(FO195=0,"",".")</f>
        <v/>
      </c>
      <c r="CF200" s="545"/>
      <c r="CG200" s="545"/>
      <c r="CH200" s="545"/>
      <c r="CI200" s="545"/>
      <c r="CJ200" s="545"/>
      <c r="CK200" s="545"/>
      <c r="CL200" s="278"/>
      <c r="CM200" s="544" t="str">
        <f ca="1">IF(FO195=0,"",".")</f>
        <v/>
      </c>
      <c r="CN200" s="545"/>
      <c r="CO200" s="545"/>
      <c r="CP200" s="545"/>
      <c r="CQ200" s="545"/>
      <c r="CR200" s="545"/>
      <c r="CS200" s="545"/>
      <c r="CT200" s="278"/>
      <c r="CU200" s="544" t="str">
        <f ca="1">IF(FO195=0,"",".")</f>
        <v/>
      </c>
      <c r="CV200" s="545"/>
      <c r="CW200" s="545"/>
      <c r="CX200" s="545"/>
      <c r="CY200" s="545"/>
      <c r="CZ200" s="545"/>
      <c r="DA200" s="545"/>
      <c r="DB200" s="278"/>
      <c r="DC200" s="544" t="str">
        <f ca="1">IF(FO195=0,"",".")</f>
        <v/>
      </c>
      <c r="DD200" s="545"/>
      <c r="DE200" s="545"/>
      <c r="DF200" s="545"/>
      <c r="DG200" s="545"/>
      <c r="DH200" s="545"/>
      <c r="DI200" s="545"/>
      <c r="DJ200" s="278"/>
      <c r="DK200" s="544" t="str">
        <f ca="1">IF(FO195=0,"",".")</f>
        <v/>
      </c>
      <c r="DL200" s="545"/>
      <c r="DM200" s="545"/>
      <c r="DN200" s="545"/>
      <c r="DO200" s="545"/>
      <c r="DP200" s="545"/>
      <c r="DQ200" s="545"/>
      <c r="DR200" s="278"/>
      <c r="DS200" s="544" t="str">
        <f ca="1">IF(FO195=0,"",".")</f>
        <v/>
      </c>
      <c r="DT200" s="545"/>
      <c r="DU200" s="545"/>
      <c r="DV200" s="545"/>
      <c r="DW200" s="545"/>
      <c r="DX200" s="545"/>
      <c r="DY200" s="545"/>
      <c r="DZ200" s="328"/>
      <c r="EA200" s="544" t="str">
        <f ca="1">IF(FO195=0,"","`")</f>
        <v/>
      </c>
      <c r="EB200" s="545"/>
      <c r="EC200" s="545"/>
      <c r="ED200" s="545"/>
      <c r="EE200" s="545"/>
      <c r="EF200" s="545"/>
      <c r="EG200" s="545"/>
      <c r="EH200" s="545"/>
      <c r="EI200" s="545"/>
      <c r="EJ200" s="545"/>
      <c r="EK200" s="43"/>
      <c r="EL200" s="43"/>
      <c r="EM200" s="43"/>
      <c r="EN200" s="79"/>
      <c r="EO200" s="79"/>
      <c r="EP200" s="79"/>
      <c r="EQ200" s="79"/>
      <c r="ER200" s="79"/>
      <c r="ES200" s="79"/>
      <c r="ET200" s="79"/>
      <c r="EU200" s="79"/>
      <c r="EV200" s="79"/>
      <c r="EW200" s="79"/>
      <c r="EX200" s="79"/>
      <c r="EY200" s="79"/>
      <c r="EZ200" s="79"/>
      <c r="FA200" s="79"/>
      <c r="FB200" s="79"/>
      <c r="FC200" s="79"/>
      <c r="FD200" s="79"/>
      <c r="FE200" s="79"/>
      <c r="FF200" s="79"/>
      <c r="FG200" s="79"/>
      <c r="FH200" s="79"/>
      <c r="FI200" s="79"/>
      <c r="FJ200" s="79"/>
      <c r="FK200" s="79"/>
      <c r="FL200" s="43"/>
      <c r="FM200" s="354"/>
      <c r="FN200" s="354"/>
      <c r="FO200" s="354"/>
      <c r="FP200" s="354"/>
      <c r="FQ200" s="354"/>
      <c r="FR200" s="354"/>
      <c r="FS200" s="47"/>
      <c r="FT200" s="47"/>
      <c r="FU200" s="47"/>
      <c r="FV200" s="47"/>
      <c r="FW200" s="47"/>
      <c r="FX200" s="47"/>
      <c r="FY200" s="32"/>
      <c r="FZ200" s="32"/>
      <c r="GA200" s="32"/>
      <c r="GB200" s="32"/>
      <c r="GC200" s="32"/>
      <c r="GD200" s="32"/>
      <c r="GE200" s="32"/>
      <c r="GF200" s="32"/>
      <c r="GG200" s="32"/>
      <c r="GH200" s="32"/>
      <c r="GI200" s="32"/>
      <c r="GJ200" s="32"/>
      <c r="GK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38"/>
      <c r="HO200" s="338"/>
      <c r="HP200" s="338"/>
      <c r="HQ200" s="13"/>
      <c r="HR200" s="13"/>
      <c r="HS200" s="13"/>
      <c r="HT200" s="13"/>
      <c r="HU200" s="13"/>
      <c r="HV200" s="13"/>
      <c r="HW200" s="13"/>
      <c r="HX200" s="13"/>
      <c r="HY200" s="13"/>
      <c r="HZ200" s="13"/>
      <c r="IA200" s="13"/>
    </row>
    <row r="201" spans="1:235" ht="9.75" customHeight="1">
      <c r="A201" s="1"/>
      <c r="B201" s="3"/>
      <c r="C201" s="3"/>
      <c r="D201" s="124"/>
      <c r="E201" s="333"/>
      <c r="F201" s="333"/>
      <c r="G201" s="79"/>
      <c r="H201" s="333"/>
      <c r="I201" s="333"/>
      <c r="J201" s="278"/>
      <c r="K201" s="278"/>
      <c r="L201" s="278"/>
      <c r="M201" s="278"/>
      <c r="N201" s="278"/>
      <c r="O201" s="278"/>
      <c r="P201" s="278"/>
      <c r="Q201" s="278"/>
      <c r="R201" s="278"/>
      <c r="S201" s="278"/>
      <c r="T201" s="278"/>
      <c r="U201" s="278"/>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278"/>
      <c r="BS201" s="278"/>
      <c r="BT201" s="278"/>
      <c r="BU201" s="278"/>
      <c r="BV201" s="278"/>
      <c r="BW201" s="278"/>
      <c r="BX201" s="278"/>
      <c r="BY201" s="278"/>
      <c r="BZ201" s="278"/>
      <c r="CA201" s="278"/>
      <c r="CB201" s="278"/>
      <c r="CC201" s="278"/>
      <c r="CD201" s="278"/>
      <c r="CE201" s="278"/>
      <c r="CF201" s="278"/>
      <c r="CG201" s="278"/>
      <c r="CH201" s="278"/>
      <c r="CI201" s="278"/>
      <c r="CJ201" s="278"/>
      <c r="CK201" s="278"/>
      <c r="CL201" s="278"/>
      <c r="CM201" s="278"/>
      <c r="CN201" s="278"/>
      <c r="CO201" s="278"/>
      <c r="CP201" s="278"/>
      <c r="CQ201" s="278"/>
      <c r="CR201" s="278"/>
      <c r="CS201" s="278"/>
      <c r="CT201" s="278"/>
      <c r="CU201" s="278"/>
      <c r="CV201" s="278"/>
      <c r="CW201" s="278"/>
      <c r="CX201" s="278"/>
      <c r="CY201" s="278"/>
      <c r="CZ201" s="278"/>
      <c r="DA201" s="278"/>
      <c r="DB201" s="278"/>
      <c r="DC201" s="278"/>
      <c r="DD201" s="278"/>
      <c r="DE201" s="278"/>
      <c r="DF201" s="278"/>
      <c r="DG201" s="278"/>
      <c r="DH201" s="278"/>
      <c r="DI201" s="278"/>
      <c r="DJ201" s="278"/>
      <c r="DK201" s="278"/>
      <c r="DL201" s="278"/>
      <c r="DM201" s="278"/>
      <c r="DN201" s="278"/>
      <c r="DO201" s="278"/>
      <c r="DP201" s="278"/>
      <c r="DQ201" s="278"/>
      <c r="DR201" s="278"/>
      <c r="DS201" s="278"/>
      <c r="DT201" s="278"/>
      <c r="DU201" s="278"/>
      <c r="DV201" s="278"/>
      <c r="DW201" s="278"/>
      <c r="DX201" s="278"/>
      <c r="DY201" s="278"/>
      <c r="DZ201" s="278"/>
      <c r="EA201" s="278"/>
      <c r="EB201" s="278"/>
      <c r="EC201" s="328"/>
      <c r="ED201" s="328"/>
      <c r="EE201" s="328"/>
      <c r="EF201" s="328"/>
      <c r="EG201" s="328"/>
      <c r="EH201" s="43"/>
      <c r="EI201" s="43"/>
      <c r="EJ201" s="43"/>
      <c r="EK201" s="43"/>
      <c r="EL201" s="43"/>
      <c r="EM201" s="43"/>
      <c r="EN201" s="79"/>
      <c r="EO201" s="79"/>
      <c r="EP201" s="79"/>
      <c r="EQ201" s="79"/>
      <c r="ER201" s="79"/>
      <c r="ES201" s="79"/>
      <c r="ET201" s="79"/>
      <c r="EU201" s="79"/>
      <c r="EV201" s="79"/>
      <c r="EW201" s="79"/>
      <c r="EX201" s="79"/>
      <c r="EY201" s="79"/>
      <c r="EZ201" s="79"/>
      <c r="FA201" s="79"/>
      <c r="FB201" s="79"/>
      <c r="FC201" s="79"/>
      <c r="FD201" s="79"/>
      <c r="FE201" s="79"/>
      <c r="FF201" s="79"/>
      <c r="FG201" s="79"/>
      <c r="FH201" s="79"/>
      <c r="FI201" s="79"/>
      <c r="FJ201" s="79"/>
      <c r="FK201" s="79"/>
      <c r="FL201" s="43"/>
      <c r="FM201" s="338"/>
      <c r="FN201" s="338"/>
      <c r="FO201" s="338"/>
      <c r="FP201" s="338"/>
      <c r="FQ201" s="338"/>
      <c r="FR201" s="338"/>
      <c r="FS201" s="338"/>
      <c r="FT201" s="338"/>
      <c r="FU201" s="338"/>
      <c r="FV201" s="338"/>
      <c r="FW201" s="338"/>
      <c r="FX201" s="338"/>
      <c r="FY201" s="32"/>
      <c r="FZ201" s="32"/>
      <c r="GA201" s="32"/>
      <c r="GB201" s="32"/>
      <c r="GC201" s="32"/>
      <c r="GD201" s="32"/>
      <c r="GE201" s="32"/>
      <c r="GF201" s="32"/>
      <c r="GG201" s="32"/>
      <c r="GH201" s="32"/>
      <c r="GI201" s="32"/>
      <c r="GJ201" s="32"/>
      <c r="GK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38"/>
      <c r="HO201" s="338"/>
      <c r="HP201" s="338"/>
      <c r="HQ201" s="13"/>
      <c r="HR201" s="13"/>
      <c r="HS201" s="13"/>
      <c r="HT201" s="13"/>
      <c r="HU201" s="13"/>
      <c r="HV201" s="13"/>
      <c r="HW201" s="13"/>
      <c r="HX201" s="13"/>
      <c r="HY201" s="13"/>
      <c r="HZ201" s="13"/>
      <c r="IA201" s="13"/>
    </row>
    <row r="202" spans="1:235" ht="3.75" customHeight="1">
      <c r="A202" s="1"/>
      <c r="B202" s="3"/>
      <c r="C202" s="3"/>
      <c r="D202" s="124"/>
      <c r="E202" s="333"/>
      <c r="F202" s="333"/>
      <c r="G202" s="335"/>
      <c r="H202" s="333"/>
      <c r="I202" s="333"/>
      <c r="J202" s="278"/>
      <c r="K202" s="278"/>
      <c r="L202" s="278"/>
      <c r="M202" s="278"/>
      <c r="N202" s="278"/>
      <c r="O202" s="278"/>
      <c r="P202" s="278"/>
      <c r="Q202" s="278"/>
      <c r="R202" s="278"/>
      <c r="S202" s="278"/>
      <c r="T202" s="278"/>
      <c r="U202" s="278"/>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79"/>
      <c r="BE202" s="79"/>
      <c r="BF202" s="79"/>
      <c r="BG202" s="544" t="str">
        <f ca="1">IF(FO199=0,"",".")</f>
        <v/>
      </c>
      <c r="BH202" s="545"/>
      <c r="BI202" s="545"/>
      <c r="BJ202" s="545"/>
      <c r="BK202" s="545"/>
      <c r="BL202" s="545"/>
      <c r="BM202" s="545"/>
      <c r="BN202" s="278"/>
      <c r="BO202" s="544" t="str">
        <f ca="1">IF(FO199=0,"",".")</f>
        <v/>
      </c>
      <c r="BP202" s="545"/>
      <c r="BQ202" s="545"/>
      <c r="BR202" s="545"/>
      <c r="BS202" s="545"/>
      <c r="BT202" s="545"/>
      <c r="BU202" s="545"/>
      <c r="BV202" s="278"/>
      <c r="BW202" s="544" t="str">
        <f ca="1">IF(FO199=0,"",".")</f>
        <v/>
      </c>
      <c r="BX202" s="545"/>
      <c r="BY202" s="545"/>
      <c r="BZ202" s="545"/>
      <c r="CA202" s="545"/>
      <c r="CB202" s="545"/>
      <c r="CC202" s="545"/>
      <c r="CD202" s="278"/>
      <c r="CE202" s="544" t="str">
        <f ca="1">IF(FO199=0,"",".")</f>
        <v/>
      </c>
      <c r="CF202" s="545"/>
      <c r="CG202" s="545"/>
      <c r="CH202" s="545"/>
      <c r="CI202" s="545"/>
      <c r="CJ202" s="545"/>
      <c r="CK202" s="545"/>
      <c r="CL202" s="278"/>
      <c r="CM202" s="544" t="str">
        <f ca="1">IF(FO199=0,"",".")</f>
        <v/>
      </c>
      <c r="CN202" s="545"/>
      <c r="CO202" s="545"/>
      <c r="CP202" s="545"/>
      <c r="CQ202" s="545"/>
      <c r="CR202" s="545"/>
      <c r="CS202" s="545"/>
      <c r="CT202" s="278"/>
      <c r="CU202" s="544" t="str">
        <f ca="1">IF(FO199=0,"",".")</f>
        <v/>
      </c>
      <c r="CV202" s="545"/>
      <c r="CW202" s="545"/>
      <c r="CX202" s="545"/>
      <c r="CY202" s="545"/>
      <c r="CZ202" s="545"/>
      <c r="DA202" s="545"/>
      <c r="DB202" s="278"/>
      <c r="DC202" s="544" t="str">
        <f ca="1">IF(FO199=0,"",".")</f>
        <v/>
      </c>
      <c r="DD202" s="545"/>
      <c r="DE202" s="545"/>
      <c r="DF202" s="545"/>
      <c r="DG202" s="545"/>
      <c r="DH202" s="545"/>
      <c r="DI202" s="545"/>
      <c r="DJ202" s="278"/>
      <c r="DK202" s="544" t="str">
        <f ca="1">IF(FO199=0,"",".")</f>
        <v/>
      </c>
      <c r="DL202" s="545"/>
      <c r="DM202" s="545"/>
      <c r="DN202" s="545"/>
      <c r="DO202" s="545"/>
      <c r="DP202" s="545"/>
      <c r="DQ202" s="545"/>
      <c r="DR202" s="278"/>
      <c r="DS202" s="544" t="str">
        <f ca="1">IF(FO199=0,"",".")</f>
        <v/>
      </c>
      <c r="DT202" s="545"/>
      <c r="DU202" s="545"/>
      <c r="DV202" s="545"/>
      <c r="DW202" s="545"/>
      <c r="DX202" s="545"/>
      <c r="DY202" s="545"/>
      <c r="DZ202" s="328"/>
      <c r="EA202" s="544" t="str">
        <f ca="1">IF(FO199=0,"","`")</f>
        <v/>
      </c>
      <c r="EB202" s="545"/>
      <c r="EC202" s="545"/>
      <c r="ED202" s="545"/>
      <c r="EE202" s="545"/>
      <c r="EF202" s="545"/>
      <c r="EG202" s="545"/>
      <c r="EH202" s="545"/>
      <c r="EI202" s="545"/>
      <c r="EJ202" s="545"/>
      <c r="EK202" s="43"/>
      <c r="EL202" s="43"/>
      <c r="EM202" s="328"/>
      <c r="EN202" s="79"/>
      <c r="EO202" s="79"/>
      <c r="EP202" s="79"/>
      <c r="EQ202" s="79"/>
      <c r="ER202" s="79"/>
      <c r="ES202" s="79"/>
      <c r="ET202" s="79"/>
      <c r="EU202" s="79"/>
      <c r="EV202" s="79"/>
      <c r="EW202" s="79"/>
      <c r="EX202" s="79"/>
      <c r="EY202" s="79"/>
      <c r="EZ202" s="79"/>
      <c r="FA202" s="79"/>
      <c r="FB202" s="79"/>
      <c r="FC202" s="79"/>
      <c r="FD202" s="79"/>
      <c r="FE202" s="79"/>
      <c r="FF202" s="79"/>
      <c r="FG202" s="79"/>
      <c r="FH202" s="79"/>
      <c r="FI202" s="79"/>
      <c r="FJ202" s="79"/>
      <c r="FK202" s="79"/>
      <c r="FL202" s="328"/>
      <c r="FM202" s="353"/>
      <c r="FN202" s="353"/>
      <c r="FO202" s="353"/>
      <c r="FP202" s="353"/>
      <c r="FQ202" s="353"/>
      <c r="FR202" s="354"/>
      <c r="FS202" s="353"/>
      <c r="FT202" s="353"/>
      <c r="FU202" s="47"/>
      <c r="FV202" s="47"/>
      <c r="FW202" s="47"/>
      <c r="FX202" s="47"/>
      <c r="FY202" s="32"/>
      <c r="FZ202" s="32"/>
      <c r="GA202" s="32"/>
      <c r="GB202" s="32"/>
      <c r="GC202" s="32"/>
      <c r="GD202" s="32"/>
      <c r="GE202" s="32"/>
      <c r="GF202" s="32"/>
      <c r="GG202" s="32"/>
      <c r="GH202" s="32"/>
      <c r="GI202" s="32"/>
      <c r="GJ202" s="32"/>
      <c r="GK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38"/>
      <c r="HO202" s="338"/>
      <c r="HP202" s="338"/>
      <c r="HQ202" s="13"/>
      <c r="HR202" s="13"/>
      <c r="HS202" s="13"/>
      <c r="HT202" s="13"/>
      <c r="HU202" s="13"/>
      <c r="HV202" s="13"/>
      <c r="HW202" s="13"/>
      <c r="HX202" s="13"/>
      <c r="HY202" s="13"/>
      <c r="HZ202" s="13"/>
      <c r="IA202" s="13"/>
    </row>
    <row r="203" spans="1:235" ht="18.75" customHeight="1">
      <c r="A203" s="1"/>
      <c r="B203" s="3"/>
      <c r="C203" s="3"/>
      <c r="D203" s="124"/>
      <c r="E203" s="333"/>
      <c r="F203" s="333"/>
      <c r="G203" s="79"/>
      <c r="H203" s="333"/>
      <c r="I203" s="333"/>
      <c r="J203" s="278"/>
      <c r="K203" s="278"/>
      <c r="L203" s="278"/>
      <c r="M203" s="278"/>
      <c r="N203" s="278"/>
      <c r="O203" s="278"/>
      <c r="P203" s="278"/>
      <c r="Q203" s="278"/>
      <c r="R203" s="278"/>
      <c r="S203" s="278"/>
      <c r="T203" s="278"/>
      <c r="U203" s="278"/>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79"/>
      <c r="BE203" s="133" t="str">
        <f ca="1">IF(FO199=0,"","Het consumentensurplus wordt:")</f>
        <v/>
      </c>
      <c r="BF203" s="79"/>
      <c r="BG203" s="330" t="str">
        <f ca="1">IF(FO199=0,"",".")</f>
        <v/>
      </c>
      <c r="BH203" s="543"/>
      <c r="BI203" s="543"/>
      <c r="BJ203" s="543"/>
      <c r="BK203" s="543"/>
      <c r="BL203" s="543"/>
      <c r="BM203" s="497" t="str">
        <f ca="1">IF(FO199=0,"",".")</f>
        <v/>
      </c>
      <c r="BN203" s="499"/>
      <c r="BO203" s="497" t="str">
        <f ca="1">IF(FO199=0,"",".")</f>
        <v/>
      </c>
      <c r="BP203" s="543"/>
      <c r="BQ203" s="543"/>
      <c r="BR203" s="543"/>
      <c r="BS203" s="543"/>
      <c r="BT203" s="543"/>
      <c r="BU203" s="497" t="str">
        <f ca="1">IF(FO199=0,"",".")</f>
        <v/>
      </c>
      <c r="BV203" s="499"/>
      <c r="BW203" s="497" t="str">
        <f ca="1">IF(FO199=0,"",".")</f>
        <v/>
      </c>
      <c r="BX203" s="543"/>
      <c r="BY203" s="543"/>
      <c r="BZ203" s="543"/>
      <c r="CA203" s="543"/>
      <c r="CB203" s="543"/>
      <c r="CC203" s="497" t="str">
        <f ca="1">IF(FO199=0,"",".")</f>
        <v/>
      </c>
      <c r="CD203" s="499"/>
      <c r="CE203" s="497" t="str">
        <f ca="1">IF(FO199=0,"",".")</f>
        <v/>
      </c>
      <c r="CF203" s="543"/>
      <c r="CG203" s="543"/>
      <c r="CH203" s="543"/>
      <c r="CI203" s="543"/>
      <c r="CJ203" s="543"/>
      <c r="CK203" s="497" t="str">
        <f ca="1">IF(FO199=0,"",".")</f>
        <v/>
      </c>
      <c r="CL203" s="499"/>
      <c r="CM203" s="497" t="str">
        <f ca="1">IF(FO199=0,"",".")</f>
        <v/>
      </c>
      <c r="CN203" s="543"/>
      <c r="CO203" s="543"/>
      <c r="CP203" s="543"/>
      <c r="CQ203" s="543"/>
      <c r="CR203" s="543"/>
      <c r="CS203" s="497" t="str">
        <f ca="1">IF(FO199=0,"",".")</f>
        <v/>
      </c>
      <c r="CT203" s="499"/>
      <c r="CU203" s="497" t="str">
        <f ca="1">IF(FO199=0,"",".")</f>
        <v/>
      </c>
      <c r="CV203" s="543"/>
      <c r="CW203" s="543"/>
      <c r="CX203" s="543"/>
      <c r="CY203" s="543"/>
      <c r="CZ203" s="543"/>
      <c r="DA203" s="497" t="str">
        <f ca="1">IF(FO199=0,"",".")</f>
        <v/>
      </c>
      <c r="DB203" s="499"/>
      <c r="DC203" s="497" t="str">
        <f ca="1">IF(FO199=0,"",".")</f>
        <v/>
      </c>
      <c r="DD203" s="543"/>
      <c r="DE203" s="543"/>
      <c r="DF203" s="543"/>
      <c r="DG203" s="543"/>
      <c r="DH203" s="543"/>
      <c r="DI203" s="497" t="str">
        <f ca="1">IF(FO199=0,"",".")</f>
        <v/>
      </c>
      <c r="DJ203" s="499"/>
      <c r="DK203" s="497" t="str">
        <f ca="1">IF(FO199=0,"",".")</f>
        <v/>
      </c>
      <c r="DL203" s="543"/>
      <c r="DM203" s="543"/>
      <c r="DN203" s="543"/>
      <c r="DO203" s="543"/>
      <c r="DP203" s="543"/>
      <c r="DQ203" s="497" t="str">
        <f ca="1">IF(FO199=0,"",".")</f>
        <v/>
      </c>
      <c r="DR203" s="499"/>
      <c r="DS203" s="497" t="str">
        <f ca="1">IF(FO199=0,"",".")</f>
        <v/>
      </c>
      <c r="DT203" s="543"/>
      <c r="DU203" s="543"/>
      <c r="DV203" s="543"/>
      <c r="DW203" s="543"/>
      <c r="DX203" s="543"/>
      <c r="DY203" s="497" t="str">
        <f ca="1">IF(FO199=0,"",".")</f>
        <v/>
      </c>
      <c r="DZ203" s="500"/>
      <c r="EA203" s="497" t="str">
        <f ca="1">IF(FO199=0,"","`")</f>
        <v/>
      </c>
      <c r="EB203" s="716"/>
      <c r="EC203" s="626"/>
      <c r="ED203" s="626"/>
      <c r="EE203" s="626"/>
      <c r="EF203" s="626"/>
      <c r="EG203" s="626"/>
      <c r="EH203" s="626"/>
      <c r="EI203" s="626"/>
      <c r="EJ203" s="227" t="str">
        <f ca="1">IF(FO199=0,"","`")</f>
        <v/>
      </c>
      <c r="EK203" s="43"/>
      <c r="EL203" s="44" t="str">
        <f ca="1">IF(FO199=0,"",IF(AND(EB203=FO191,FO203=1)," Goed!",IF(EB203=FO191," Fout!","")))</f>
        <v/>
      </c>
      <c r="EM203" s="43"/>
      <c r="EN203" s="79"/>
      <c r="EO203" s="79"/>
      <c r="EP203" s="79"/>
      <c r="EQ203" s="79"/>
      <c r="ER203" s="79"/>
      <c r="ES203" s="79"/>
      <c r="ET203" s="79"/>
      <c r="EU203" s="79"/>
      <c r="EV203" s="79"/>
      <c r="EW203" s="79"/>
      <c r="EX203" s="79"/>
      <c r="EY203" s="79"/>
      <c r="EZ203" s="79"/>
      <c r="FA203" s="79"/>
      <c r="FB203" s="79"/>
      <c r="FC203" s="79"/>
      <c r="FD203" s="79"/>
      <c r="FE203" s="79"/>
      <c r="FF203" s="79"/>
      <c r="FG203" s="79"/>
      <c r="FH203" s="79"/>
      <c r="FI203" s="79"/>
      <c r="FJ203" s="79"/>
      <c r="FK203" s="79"/>
      <c r="FL203" s="43"/>
      <c r="FM203" s="185"/>
      <c r="FN203" s="185"/>
      <c r="FO203" s="185">
        <f ca="1">IF(programma!B1="X",1,IF(AND(EB203=FO191,FO199=1,BH203=FQ195,BP203="",BX203="",CF203=FT195,CN203="",CV203="",DD203="",DL203="",DT203=""),1,0))</f>
        <v>0</v>
      </c>
      <c r="FP203" s="48"/>
      <c r="FQ203" s="48"/>
      <c r="FR203" s="48"/>
      <c r="FS203" s="48"/>
      <c r="FT203" s="48"/>
      <c r="FU203" s="48"/>
      <c r="FV203" s="48"/>
      <c r="FW203" s="48"/>
      <c r="FX203" s="48"/>
      <c r="FY203" s="32"/>
      <c r="FZ203" s="32"/>
      <c r="GA203" s="32"/>
      <c r="GB203" s="32"/>
      <c r="GC203" s="32"/>
      <c r="GD203" s="32"/>
      <c r="GE203" s="32"/>
      <c r="GF203" s="32"/>
      <c r="GG203" s="32"/>
      <c r="GH203" s="32"/>
      <c r="GI203" s="32"/>
      <c r="GJ203" s="32"/>
      <c r="GK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38"/>
      <c r="HO203" s="338"/>
      <c r="HP203" s="338"/>
      <c r="HQ203" s="13"/>
      <c r="HR203" s="13"/>
      <c r="HS203" s="13"/>
      <c r="HT203" s="13"/>
      <c r="HU203" s="13"/>
      <c r="HV203" s="13"/>
      <c r="HW203" s="13"/>
      <c r="HX203" s="13"/>
      <c r="HY203" s="13"/>
      <c r="HZ203" s="13"/>
      <c r="IA203" s="13"/>
    </row>
    <row r="204" spans="1:235" ht="3.75" customHeight="1">
      <c r="A204" s="1"/>
      <c r="B204" s="3"/>
      <c r="C204" s="3"/>
      <c r="D204" s="124"/>
      <c r="E204" s="333"/>
      <c r="F204" s="333"/>
      <c r="G204" s="335"/>
      <c r="H204" s="333"/>
      <c r="I204" s="333"/>
      <c r="J204" s="278"/>
      <c r="K204" s="278"/>
      <c r="L204" s="278"/>
      <c r="M204" s="278"/>
      <c r="N204" s="278"/>
      <c r="O204" s="278"/>
      <c r="P204" s="278"/>
      <c r="Q204" s="278"/>
      <c r="R204" s="278"/>
      <c r="S204" s="278"/>
      <c r="T204" s="278"/>
      <c r="U204" s="278"/>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79"/>
      <c r="BE204" s="79"/>
      <c r="BF204" s="79"/>
      <c r="BG204" s="544" t="str">
        <f ca="1">IF(FO199=0,"",".")</f>
        <v/>
      </c>
      <c r="BH204" s="545"/>
      <c r="BI204" s="545"/>
      <c r="BJ204" s="545"/>
      <c r="BK204" s="545"/>
      <c r="BL204" s="545"/>
      <c r="BM204" s="545"/>
      <c r="BN204" s="278"/>
      <c r="BO204" s="544" t="str">
        <f ca="1">IF(FO199=0,"",".")</f>
        <v/>
      </c>
      <c r="BP204" s="545"/>
      <c r="BQ204" s="545"/>
      <c r="BR204" s="545"/>
      <c r="BS204" s="545"/>
      <c r="BT204" s="545"/>
      <c r="BU204" s="545"/>
      <c r="BV204" s="278"/>
      <c r="BW204" s="544" t="str">
        <f ca="1">IF(FO199=0,"",".")</f>
        <v/>
      </c>
      <c r="BX204" s="545"/>
      <c r="BY204" s="545"/>
      <c r="BZ204" s="545"/>
      <c r="CA204" s="545"/>
      <c r="CB204" s="545"/>
      <c r="CC204" s="545"/>
      <c r="CD204" s="278"/>
      <c r="CE204" s="544" t="str">
        <f ca="1">IF(FO199=0,"",".")</f>
        <v/>
      </c>
      <c r="CF204" s="545"/>
      <c r="CG204" s="545"/>
      <c r="CH204" s="545"/>
      <c r="CI204" s="545"/>
      <c r="CJ204" s="545"/>
      <c r="CK204" s="545"/>
      <c r="CL204" s="278"/>
      <c r="CM204" s="544" t="str">
        <f ca="1">IF(FO199=0,"",".")</f>
        <v/>
      </c>
      <c r="CN204" s="545"/>
      <c r="CO204" s="545"/>
      <c r="CP204" s="545"/>
      <c r="CQ204" s="545"/>
      <c r="CR204" s="545"/>
      <c r="CS204" s="545"/>
      <c r="CT204" s="278"/>
      <c r="CU204" s="544" t="str">
        <f ca="1">IF(FO199=0,"",".")</f>
        <v/>
      </c>
      <c r="CV204" s="545"/>
      <c r="CW204" s="545"/>
      <c r="CX204" s="545"/>
      <c r="CY204" s="545"/>
      <c r="CZ204" s="545"/>
      <c r="DA204" s="545"/>
      <c r="DB204" s="278"/>
      <c r="DC204" s="544" t="str">
        <f ca="1">IF(FO199=0,"",".")</f>
        <v/>
      </c>
      <c r="DD204" s="545"/>
      <c r="DE204" s="545"/>
      <c r="DF204" s="545"/>
      <c r="DG204" s="545"/>
      <c r="DH204" s="545"/>
      <c r="DI204" s="545"/>
      <c r="DJ204" s="278"/>
      <c r="DK204" s="544" t="str">
        <f ca="1">IF(FO199=0,"",".")</f>
        <v/>
      </c>
      <c r="DL204" s="545"/>
      <c r="DM204" s="545"/>
      <c r="DN204" s="545"/>
      <c r="DO204" s="545"/>
      <c r="DP204" s="545"/>
      <c r="DQ204" s="545"/>
      <c r="DR204" s="278"/>
      <c r="DS204" s="544" t="str">
        <f ca="1">IF(FO199=0,"",".")</f>
        <v/>
      </c>
      <c r="DT204" s="545"/>
      <c r="DU204" s="545"/>
      <c r="DV204" s="545"/>
      <c r="DW204" s="545"/>
      <c r="DX204" s="545"/>
      <c r="DY204" s="545"/>
      <c r="DZ204" s="328"/>
      <c r="EA204" s="544" t="str">
        <f ca="1">IF(FO199=0,"","`")</f>
        <v/>
      </c>
      <c r="EB204" s="545"/>
      <c r="EC204" s="545"/>
      <c r="ED204" s="545"/>
      <c r="EE204" s="545"/>
      <c r="EF204" s="545"/>
      <c r="EG204" s="545"/>
      <c r="EH204" s="545"/>
      <c r="EI204" s="545"/>
      <c r="EJ204" s="545"/>
      <c r="EK204" s="43"/>
      <c r="EL204" s="43"/>
      <c r="EM204" s="43"/>
      <c r="EN204" s="79"/>
      <c r="EO204" s="79"/>
      <c r="EP204" s="79"/>
      <c r="EQ204" s="79"/>
      <c r="ER204" s="79"/>
      <c r="ES204" s="79"/>
      <c r="ET204" s="79"/>
      <c r="EU204" s="79"/>
      <c r="EV204" s="79"/>
      <c r="EW204" s="79"/>
      <c r="EX204" s="79"/>
      <c r="EY204" s="79"/>
      <c r="EZ204" s="79"/>
      <c r="FA204" s="79"/>
      <c r="FB204" s="79"/>
      <c r="FC204" s="79"/>
      <c r="FD204" s="79"/>
      <c r="FE204" s="79"/>
      <c r="FF204" s="79"/>
      <c r="FG204" s="79"/>
      <c r="FH204" s="79"/>
      <c r="FI204" s="79"/>
      <c r="FJ204" s="79"/>
      <c r="FK204" s="79"/>
      <c r="FL204" s="43"/>
      <c r="FM204" s="354"/>
      <c r="FN204" s="354"/>
      <c r="FO204" s="354"/>
      <c r="FP204" s="354"/>
      <c r="FQ204" s="354"/>
      <c r="FR204" s="354"/>
      <c r="FS204" s="47"/>
      <c r="FT204" s="47"/>
      <c r="FU204" s="47"/>
      <c r="FV204" s="47"/>
      <c r="FW204" s="47"/>
      <c r="FX204" s="47"/>
      <c r="FY204" s="32"/>
      <c r="FZ204" s="32"/>
      <c r="GA204" s="32"/>
      <c r="GB204" s="32"/>
      <c r="GC204" s="32"/>
      <c r="GD204" s="32"/>
      <c r="GE204" s="32"/>
      <c r="GF204" s="32"/>
      <c r="GG204" s="32"/>
      <c r="GH204" s="32"/>
      <c r="GI204" s="32"/>
      <c r="GJ204" s="32"/>
      <c r="GK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38"/>
      <c r="HO204" s="338"/>
      <c r="HP204" s="338"/>
      <c r="HQ204" s="13"/>
      <c r="HR204" s="13"/>
      <c r="HS204" s="13"/>
      <c r="HT204" s="13"/>
      <c r="HU204" s="13"/>
      <c r="HV204" s="13"/>
      <c r="HW204" s="13"/>
      <c r="HX204" s="13"/>
      <c r="HY204" s="13"/>
      <c r="HZ204" s="13"/>
      <c r="IA204" s="13"/>
    </row>
    <row r="205" spans="1:235" ht="9.75" customHeight="1">
      <c r="A205" s="1"/>
      <c r="B205" s="3"/>
      <c r="C205" s="3"/>
      <c r="D205" s="124"/>
      <c r="E205" s="333"/>
      <c r="F205" s="333"/>
      <c r="G205" s="79"/>
      <c r="H205" s="333"/>
      <c r="I205" s="333"/>
      <c r="J205" s="278"/>
      <c r="K205" s="278"/>
      <c r="L205" s="278"/>
      <c r="M205" s="278"/>
      <c r="N205" s="278"/>
      <c r="O205" s="278"/>
      <c r="P205" s="278"/>
      <c r="Q205" s="278"/>
      <c r="R205" s="278"/>
      <c r="S205" s="278"/>
      <c r="T205" s="278"/>
      <c r="U205" s="278"/>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278"/>
      <c r="BS205" s="278"/>
      <c r="BT205" s="278"/>
      <c r="BU205" s="278"/>
      <c r="BV205" s="278"/>
      <c r="BW205" s="278"/>
      <c r="BX205" s="278"/>
      <c r="BY205" s="278"/>
      <c r="BZ205" s="278"/>
      <c r="CA205" s="278"/>
      <c r="CB205" s="278"/>
      <c r="CC205" s="278"/>
      <c r="CD205" s="278"/>
      <c r="CE205" s="278"/>
      <c r="CF205" s="278"/>
      <c r="CG205" s="278"/>
      <c r="CH205" s="278"/>
      <c r="CI205" s="278"/>
      <c r="CJ205" s="278"/>
      <c r="CK205" s="278"/>
      <c r="CL205" s="278"/>
      <c r="CM205" s="278"/>
      <c r="CN205" s="278"/>
      <c r="CO205" s="278"/>
      <c r="CP205" s="278"/>
      <c r="CQ205" s="278"/>
      <c r="CR205" s="278"/>
      <c r="CS205" s="278"/>
      <c r="CT205" s="278"/>
      <c r="CU205" s="278"/>
      <c r="CV205" s="278"/>
      <c r="CW205" s="278"/>
      <c r="CX205" s="278"/>
      <c r="CY205" s="278"/>
      <c r="CZ205" s="278"/>
      <c r="DA205" s="278"/>
      <c r="DB205" s="278"/>
      <c r="DC205" s="278"/>
      <c r="DD205" s="278"/>
      <c r="DE205" s="278"/>
      <c r="DF205" s="278"/>
      <c r="DG205" s="278"/>
      <c r="DH205" s="278"/>
      <c r="DI205" s="278"/>
      <c r="DJ205" s="278"/>
      <c r="DK205" s="278"/>
      <c r="DL205" s="278"/>
      <c r="DM205" s="278"/>
      <c r="DN205" s="278"/>
      <c r="DO205" s="278"/>
      <c r="DP205" s="278"/>
      <c r="DQ205" s="278"/>
      <c r="DR205" s="278"/>
      <c r="DS205" s="278"/>
      <c r="DT205" s="278"/>
      <c r="DU205" s="278"/>
      <c r="DV205" s="278"/>
      <c r="DW205" s="278"/>
      <c r="DX205" s="278"/>
      <c r="DY205" s="278"/>
      <c r="DZ205" s="278"/>
      <c r="EA205" s="278"/>
      <c r="EB205" s="278"/>
      <c r="EC205" s="328"/>
      <c r="ED205" s="328"/>
      <c r="EE205" s="328"/>
      <c r="EF205" s="328"/>
      <c r="EG205" s="328"/>
      <c r="EH205" s="43"/>
      <c r="EI205" s="43"/>
      <c r="EJ205" s="43"/>
      <c r="EK205" s="43"/>
      <c r="EL205" s="43"/>
      <c r="EM205" s="43"/>
      <c r="EN205" s="79"/>
      <c r="EO205" s="79"/>
      <c r="EP205" s="79"/>
      <c r="EQ205" s="79"/>
      <c r="ER205" s="79"/>
      <c r="ES205" s="79"/>
      <c r="ET205" s="79"/>
      <c r="EU205" s="79"/>
      <c r="EV205" s="79"/>
      <c r="EW205" s="79"/>
      <c r="EX205" s="79"/>
      <c r="EY205" s="79"/>
      <c r="EZ205" s="79"/>
      <c r="FA205" s="79"/>
      <c r="FB205" s="79"/>
      <c r="FC205" s="79"/>
      <c r="FD205" s="79"/>
      <c r="FE205" s="79"/>
      <c r="FF205" s="79"/>
      <c r="FG205" s="79"/>
      <c r="FH205" s="79"/>
      <c r="FI205" s="79"/>
      <c r="FJ205" s="79"/>
      <c r="FK205" s="79"/>
      <c r="FL205" s="43"/>
      <c r="FM205" s="338"/>
      <c r="FN205" s="338"/>
      <c r="FO205" s="338"/>
      <c r="FP205" s="338"/>
      <c r="FQ205" s="338"/>
      <c r="FR205" s="338"/>
      <c r="FS205" s="338"/>
      <c r="FT205" s="338"/>
      <c r="FU205" s="338"/>
      <c r="FV205" s="338"/>
      <c r="FW205" s="338"/>
      <c r="FX205" s="338"/>
      <c r="FY205" s="32"/>
      <c r="FZ205" s="32"/>
      <c r="GA205" s="32"/>
      <c r="GB205" s="32"/>
      <c r="GC205" s="32"/>
      <c r="GD205" s="32"/>
      <c r="GE205" s="32"/>
      <c r="GF205" s="32"/>
      <c r="GG205" s="32"/>
      <c r="GH205" s="32"/>
      <c r="GI205" s="32"/>
      <c r="GJ205" s="32"/>
      <c r="GK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38"/>
      <c r="HO205" s="338"/>
      <c r="HP205" s="338"/>
      <c r="HQ205" s="13"/>
      <c r="HR205" s="13"/>
      <c r="HS205" s="13"/>
      <c r="HT205" s="13"/>
      <c r="HU205" s="13"/>
      <c r="HV205" s="13"/>
      <c r="HW205" s="13"/>
      <c r="HX205" s="13"/>
      <c r="HY205" s="13"/>
      <c r="HZ205" s="13"/>
      <c r="IA205" s="13"/>
    </row>
    <row r="206" spans="1:235" ht="3.75" customHeight="1">
      <c r="A206" s="1"/>
      <c r="B206" s="3"/>
      <c r="C206" s="3"/>
      <c r="D206" s="124"/>
      <c r="E206" s="333"/>
      <c r="F206" s="333"/>
      <c r="G206" s="335"/>
      <c r="H206" s="333"/>
      <c r="I206" s="333"/>
      <c r="J206" s="278"/>
      <c r="K206" s="278"/>
      <c r="L206" s="278"/>
      <c r="M206" s="278"/>
      <c r="N206" s="278"/>
      <c r="O206" s="278"/>
      <c r="P206" s="278"/>
      <c r="Q206" s="278"/>
      <c r="R206" s="278"/>
      <c r="S206" s="278"/>
      <c r="T206" s="278"/>
      <c r="U206" s="278"/>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79"/>
      <c r="BE206" s="79"/>
      <c r="BF206" s="79"/>
      <c r="BG206" s="544" t="str">
        <f ca="1">IF(FO203=0,"",".")</f>
        <v/>
      </c>
      <c r="BH206" s="545"/>
      <c r="BI206" s="545"/>
      <c r="BJ206" s="545"/>
      <c r="BK206" s="545"/>
      <c r="BL206" s="545"/>
      <c r="BM206" s="545"/>
      <c r="BN206" s="278"/>
      <c r="BO206" s="544" t="str">
        <f ca="1">IF(FO203=0,"",".")</f>
        <v/>
      </c>
      <c r="BP206" s="545"/>
      <c r="BQ206" s="545"/>
      <c r="BR206" s="545"/>
      <c r="BS206" s="545"/>
      <c r="BT206" s="545"/>
      <c r="BU206" s="545"/>
      <c r="BV206" s="278"/>
      <c r="BW206" s="544" t="str">
        <f ca="1">IF(FO203=0,"",".")</f>
        <v/>
      </c>
      <c r="BX206" s="545"/>
      <c r="BY206" s="545"/>
      <c r="BZ206" s="545"/>
      <c r="CA206" s="545"/>
      <c r="CB206" s="545"/>
      <c r="CC206" s="545"/>
      <c r="CD206" s="278"/>
      <c r="CE206" s="544" t="str">
        <f ca="1">IF(FO203=0,"",".")</f>
        <v/>
      </c>
      <c r="CF206" s="545"/>
      <c r="CG206" s="545"/>
      <c r="CH206" s="545"/>
      <c r="CI206" s="545"/>
      <c r="CJ206" s="545"/>
      <c r="CK206" s="545"/>
      <c r="CL206" s="278"/>
      <c r="CM206" s="544" t="str">
        <f ca="1">IF(FO203=0,"",".")</f>
        <v/>
      </c>
      <c r="CN206" s="545"/>
      <c r="CO206" s="545"/>
      <c r="CP206" s="545"/>
      <c r="CQ206" s="545"/>
      <c r="CR206" s="545"/>
      <c r="CS206" s="545"/>
      <c r="CT206" s="278"/>
      <c r="CU206" s="544" t="str">
        <f ca="1">IF(FO203=0,"",".")</f>
        <v/>
      </c>
      <c r="CV206" s="545"/>
      <c r="CW206" s="545"/>
      <c r="CX206" s="545"/>
      <c r="CY206" s="545"/>
      <c r="CZ206" s="545"/>
      <c r="DA206" s="545"/>
      <c r="DB206" s="278"/>
      <c r="DC206" s="544" t="str">
        <f ca="1">IF(FO203=0,"",".")</f>
        <v/>
      </c>
      <c r="DD206" s="545"/>
      <c r="DE206" s="545"/>
      <c r="DF206" s="545"/>
      <c r="DG206" s="545"/>
      <c r="DH206" s="545"/>
      <c r="DI206" s="545"/>
      <c r="DJ206" s="278"/>
      <c r="DK206" s="544" t="str">
        <f ca="1">IF(FO203=0,"",".")</f>
        <v/>
      </c>
      <c r="DL206" s="545"/>
      <c r="DM206" s="545"/>
      <c r="DN206" s="545"/>
      <c r="DO206" s="545"/>
      <c r="DP206" s="545"/>
      <c r="DQ206" s="545"/>
      <c r="DR206" s="278"/>
      <c r="DS206" s="544" t="str">
        <f ca="1">IF(FO203=0,"",".")</f>
        <v/>
      </c>
      <c r="DT206" s="545"/>
      <c r="DU206" s="545"/>
      <c r="DV206" s="545"/>
      <c r="DW206" s="545"/>
      <c r="DX206" s="545"/>
      <c r="DY206" s="545"/>
      <c r="DZ206" s="328"/>
      <c r="EA206" s="544" t="str">
        <f ca="1">IF(FO203=0,"","`")</f>
        <v/>
      </c>
      <c r="EB206" s="545"/>
      <c r="EC206" s="545"/>
      <c r="ED206" s="545"/>
      <c r="EE206" s="545"/>
      <c r="EF206" s="545"/>
      <c r="EG206" s="545"/>
      <c r="EH206" s="545"/>
      <c r="EI206" s="545"/>
      <c r="EJ206" s="545"/>
      <c r="EK206" s="43"/>
      <c r="EL206" s="43"/>
      <c r="EM206" s="328"/>
      <c r="EN206" s="79"/>
      <c r="EO206" s="79"/>
      <c r="EP206" s="79"/>
      <c r="EQ206" s="79"/>
      <c r="ER206" s="79"/>
      <c r="ES206" s="79"/>
      <c r="ET206" s="79"/>
      <c r="EU206" s="79"/>
      <c r="EV206" s="79"/>
      <c r="EW206" s="79"/>
      <c r="EX206" s="79"/>
      <c r="EY206" s="79"/>
      <c r="EZ206" s="79"/>
      <c r="FA206" s="79"/>
      <c r="FB206" s="79"/>
      <c r="FC206" s="79"/>
      <c r="FD206" s="79"/>
      <c r="FE206" s="79"/>
      <c r="FF206" s="79"/>
      <c r="FG206" s="79"/>
      <c r="FH206" s="79"/>
      <c r="FI206" s="79"/>
      <c r="FJ206" s="79"/>
      <c r="FK206" s="79"/>
      <c r="FL206" s="328"/>
      <c r="FM206" s="353"/>
      <c r="FN206" s="353"/>
      <c r="FO206" s="353"/>
      <c r="FP206" s="353"/>
      <c r="FQ206" s="353"/>
      <c r="FR206" s="354"/>
      <c r="FS206" s="353"/>
      <c r="FT206" s="353"/>
      <c r="FU206" s="47"/>
      <c r="FV206" s="47"/>
      <c r="FW206" s="47"/>
      <c r="FX206" s="47"/>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38"/>
      <c r="HO206" s="338"/>
      <c r="HP206" s="338"/>
      <c r="HQ206" s="13"/>
      <c r="HR206" s="13"/>
      <c r="HS206" s="13"/>
      <c r="HT206" s="13"/>
      <c r="HU206" s="13"/>
      <c r="HV206" s="13"/>
      <c r="HW206" s="13"/>
      <c r="HX206" s="13"/>
      <c r="HY206" s="13"/>
      <c r="HZ206" s="13"/>
      <c r="IA206" s="13"/>
    </row>
    <row r="207" spans="1:235" ht="18.75" customHeight="1">
      <c r="A207" s="1"/>
      <c r="B207" s="3"/>
      <c r="C207" s="3"/>
      <c r="D207" s="124"/>
      <c r="E207" s="333"/>
      <c r="F207" s="333"/>
      <c r="G207" s="79"/>
      <c r="H207" s="333"/>
      <c r="I207" s="333"/>
      <c r="J207" s="278"/>
      <c r="K207" s="278"/>
      <c r="L207" s="278"/>
      <c r="M207" s="278"/>
      <c r="N207" s="278"/>
      <c r="O207" s="278"/>
      <c r="P207" s="278"/>
      <c r="Q207" s="278"/>
      <c r="R207" s="278"/>
      <c r="S207" s="278"/>
      <c r="T207" s="278"/>
      <c r="U207" s="278"/>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79"/>
      <c r="BE207" s="133" t="str">
        <f ca="1">IF(FO203=0,"","Het producentensurplus wordt:")</f>
        <v/>
      </c>
      <c r="BF207" s="79"/>
      <c r="BG207" s="497" t="str">
        <f ca="1">IF(FO203=0,"",".")</f>
        <v/>
      </c>
      <c r="BH207" s="543"/>
      <c r="BI207" s="543"/>
      <c r="BJ207" s="543"/>
      <c r="BK207" s="543"/>
      <c r="BL207" s="543"/>
      <c r="BM207" s="497" t="str">
        <f ca="1">IF(FO203=0,"",".")</f>
        <v/>
      </c>
      <c r="BN207" s="499"/>
      <c r="BO207" s="497" t="str">
        <f ca="1">IF(FO203=0,"",".")</f>
        <v/>
      </c>
      <c r="BP207" s="543"/>
      <c r="BQ207" s="543"/>
      <c r="BR207" s="543"/>
      <c r="BS207" s="543"/>
      <c r="BT207" s="543"/>
      <c r="BU207" s="497" t="str">
        <f ca="1">IF(FO203=0,"",".")</f>
        <v/>
      </c>
      <c r="BV207" s="499"/>
      <c r="BW207" s="497" t="str">
        <f ca="1">IF(FO203=0,"",".")</f>
        <v/>
      </c>
      <c r="BX207" s="543"/>
      <c r="BY207" s="543"/>
      <c r="BZ207" s="543"/>
      <c r="CA207" s="543"/>
      <c r="CB207" s="543"/>
      <c r="CC207" s="497" t="str">
        <f ca="1">IF(FO203=0,"",".")</f>
        <v/>
      </c>
      <c r="CD207" s="499"/>
      <c r="CE207" s="497" t="str">
        <f ca="1">IF(FO203=0,"",".")</f>
        <v/>
      </c>
      <c r="CF207" s="543"/>
      <c r="CG207" s="543"/>
      <c r="CH207" s="543"/>
      <c r="CI207" s="543"/>
      <c r="CJ207" s="543"/>
      <c r="CK207" s="497" t="str">
        <f ca="1">IF(FO203=0,"",".")</f>
        <v/>
      </c>
      <c r="CL207" s="499"/>
      <c r="CM207" s="497" t="str">
        <f ca="1">IF(FO203=0,"",".")</f>
        <v/>
      </c>
      <c r="CN207" s="543"/>
      <c r="CO207" s="543"/>
      <c r="CP207" s="543"/>
      <c r="CQ207" s="543"/>
      <c r="CR207" s="543"/>
      <c r="CS207" s="497" t="str">
        <f ca="1">IF(FO203=0,"",".")</f>
        <v/>
      </c>
      <c r="CT207" s="499"/>
      <c r="CU207" s="497" t="str">
        <f ca="1">IF(FO203=0,"",".")</f>
        <v/>
      </c>
      <c r="CV207" s="543"/>
      <c r="CW207" s="543"/>
      <c r="CX207" s="543"/>
      <c r="CY207" s="543"/>
      <c r="CZ207" s="543"/>
      <c r="DA207" s="497" t="str">
        <f ca="1">IF(FO203=0,"",".")</f>
        <v/>
      </c>
      <c r="DB207" s="499"/>
      <c r="DC207" s="497" t="str">
        <f ca="1">IF(FO203=0,"",".")</f>
        <v/>
      </c>
      <c r="DD207" s="543"/>
      <c r="DE207" s="543"/>
      <c r="DF207" s="543"/>
      <c r="DG207" s="543"/>
      <c r="DH207" s="543"/>
      <c r="DI207" s="497" t="str">
        <f ca="1">IF(FO203=0,"",".")</f>
        <v/>
      </c>
      <c r="DJ207" s="499"/>
      <c r="DK207" s="497" t="str">
        <f ca="1">IF(FO203=0,"",".")</f>
        <v/>
      </c>
      <c r="DL207" s="543"/>
      <c r="DM207" s="543"/>
      <c r="DN207" s="543"/>
      <c r="DO207" s="543"/>
      <c r="DP207" s="543"/>
      <c r="DQ207" s="497" t="str">
        <f ca="1">IF(FO203=0,"",".")</f>
        <v/>
      </c>
      <c r="DR207" s="499"/>
      <c r="DS207" s="497" t="str">
        <f ca="1">IF(FO203=0,"",".")</f>
        <v/>
      </c>
      <c r="DT207" s="543"/>
      <c r="DU207" s="543"/>
      <c r="DV207" s="543"/>
      <c r="DW207" s="543"/>
      <c r="DX207" s="543"/>
      <c r="DY207" s="497" t="str">
        <f ca="1">IF(FO203=0,"",".")</f>
        <v/>
      </c>
      <c r="DZ207" s="500"/>
      <c r="EA207" s="497" t="str">
        <f ca="1">IF(FO203=0,"","`")</f>
        <v/>
      </c>
      <c r="EB207" s="716"/>
      <c r="EC207" s="626"/>
      <c r="ED207" s="626"/>
      <c r="EE207" s="626"/>
      <c r="EF207" s="626"/>
      <c r="EG207" s="626"/>
      <c r="EH207" s="626"/>
      <c r="EI207" s="626"/>
      <c r="EJ207" s="227" t="str">
        <f ca="1">IF(FO203=0,"","`")</f>
        <v/>
      </c>
      <c r="EK207" s="43"/>
      <c r="EL207" s="44" t="str">
        <f ca="1">IF(FO203=0,"",IF(AND(EB207=FO191,FO207=1)," Goed!",IF(EB207=FO191," Fout!","")))</f>
        <v/>
      </c>
      <c r="EM207" s="43"/>
      <c r="EN207" s="79"/>
      <c r="EO207" s="79"/>
      <c r="EP207" s="79"/>
      <c r="EQ207" s="79"/>
      <c r="ER207" s="79"/>
      <c r="ES207" s="79"/>
      <c r="ET207" s="79"/>
      <c r="EU207" s="79"/>
      <c r="EV207" s="79"/>
      <c r="EW207" s="79"/>
      <c r="EX207" s="79"/>
      <c r="EY207" s="79"/>
      <c r="EZ207" s="79"/>
      <c r="FA207" s="79"/>
      <c r="FB207" s="79"/>
      <c r="FC207" s="79"/>
      <c r="FD207" s="79"/>
      <c r="FE207" s="79"/>
      <c r="FF207" s="79"/>
      <c r="FG207" s="79"/>
      <c r="FH207" s="79"/>
      <c r="FI207" s="79"/>
      <c r="FJ207" s="79"/>
      <c r="FK207" s="79"/>
      <c r="FL207" s="43"/>
      <c r="FM207" s="185"/>
      <c r="FN207" s="185"/>
      <c r="FO207" s="185">
        <f ca="1">IF(programma!B1="X",1,IF(AND(EB207=FO191,FO203=1,BH207="",BP207=FR195,BX207="",CF207="",CN207=FU195,CV207="",DD207="",DL207="",DT207=""),1,0))</f>
        <v>0</v>
      </c>
      <c r="FP207" s="48"/>
      <c r="FQ207" s="48"/>
      <c r="FR207" s="48"/>
      <c r="FS207" s="48"/>
      <c r="FT207" s="48"/>
      <c r="FU207" s="48"/>
      <c r="FV207" s="48"/>
      <c r="FW207" s="48"/>
      <c r="FX207" s="48"/>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38"/>
      <c r="HO207" s="338"/>
      <c r="HP207" s="338"/>
      <c r="HQ207" s="13"/>
      <c r="HR207" s="13"/>
      <c r="HS207" s="13"/>
      <c r="HT207" s="13"/>
      <c r="HU207" s="13"/>
      <c r="HV207" s="13"/>
      <c r="HW207" s="13"/>
      <c r="HX207" s="13"/>
      <c r="HY207" s="13"/>
      <c r="HZ207" s="13"/>
      <c r="IA207" s="13"/>
    </row>
    <row r="208" spans="1:235" ht="3.75" customHeight="1">
      <c r="A208" s="1"/>
      <c r="B208" s="3"/>
      <c r="C208" s="3"/>
      <c r="D208" s="124"/>
      <c r="E208" s="333"/>
      <c r="F208" s="333"/>
      <c r="G208" s="335"/>
      <c r="H208" s="333"/>
      <c r="I208" s="333"/>
      <c r="J208" s="278"/>
      <c r="K208" s="278"/>
      <c r="L208" s="278"/>
      <c r="M208" s="278"/>
      <c r="N208" s="278"/>
      <c r="O208" s="278"/>
      <c r="P208" s="278"/>
      <c r="Q208" s="278"/>
      <c r="R208" s="278"/>
      <c r="S208" s="278"/>
      <c r="T208" s="278"/>
      <c r="U208" s="278"/>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79"/>
      <c r="BE208" s="79"/>
      <c r="BF208" s="79"/>
      <c r="BG208" s="544" t="str">
        <f ca="1">IF(FO203=0,"",".")</f>
        <v/>
      </c>
      <c r="BH208" s="545"/>
      <c r="BI208" s="545"/>
      <c r="BJ208" s="545"/>
      <c r="BK208" s="545"/>
      <c r="BL208" s="545"/>
      <c r="BM208" s="545"/>
      <c r="BN208" s="278"/>
      <c r="BO208" s="544" t="str">
        <f ca="1">IF(FO203=0,"",".")</f>
        <v/>
      </c>
      <c r="BP208" s="545"/>
      <c r="BQ208" s="545"/>
      <c r="BR208" s="545"/>
      <c r="BS208" s="545"/>
      <c r="BT208" s="545"/>
      <c r="BU208" s="545"/>
      <c r="BV208" s="278"/>
      <c r="BW208" s="544" t="str">
        <f ca="1">IF(FO203=0,"",".")</f>
        <v/>
      </c>
      <c r="BX208" s="545"/>
      <c r="BY208" s="545"/>
      <c r="BZ208" s="545"/>
      <c r="CA208" s="545"/>
      <c r="CB208" s="545"/>
      <c r="CC208" s="545"/>
      <c r="CD208" s="278"/>
      <c r="CE208" s="544" t="str">
        <f ca="1">IF(FO203=0,"",".")</f>
        <v/>
      </c>
      <c r="CF208" s="545"/>
      <c r="CG208" s="545"/>
      <c r="CH208" s="545"/>
      <c r="CI208" s="545"/>
      <c r="CJ208" s="545"/>
      <c r="CK208" s="545"/>
      <c r="CL208" s="278"/>
      <c r="CM208" s="544" t="str">
        <f ca="1">IF(FO203=0,"",".")</f>
        <v/>
      </c>
      <c r="CN208" s="545"/>
      <c r="CO208" s="545"/>
      <c r="CP208" s="545"/>
      <c r="CQ208" s="545"/>
      <c r="CR208" s="545"/>
      <c r="CS208" s="545"/>
      <c r="CT208" s="278"/>
      <c r="CU208" s="544" t="str">
        <f ca="1">IF(FO203=0,"",".")</f>
        <v/>
      </c>
      <c r="CV208" s="545"/>
      <c r="CW208" s="545"/>
      <c r="CX208" s="545"/>
      <c r="CY208" s="545"/>
      <c r="CZ208" s="545"/>
      <c r="DA208" s="545"/>
      <c r="DB208" s="278"/>
      <c r="DC208" s="544" t="str">
        <f ca="1">IF(FO203=0,"",".")</f>
        <v/>
      </c>
      <c r="DD208" s="545"/>
      <c r="DE208" s="545"/>
      <c r="DF208" s="545"/>
      <c r="DG208" s="545"/>
      <c r="DH208" s="545"/>
      <c r="DI208" s="545"/>
      <c r="DJ208" s="278"/>
      <c r="DK208" s="544" t="str">
        <f ca="1">IF(FO203=0,"",".")</f>
        <v/>
      </c>
      <c r="DL208" s="545"/>
      <c r="DM208" s="545"/>
      <c r="DN208" s="545"/>
      <c r="DO208" s="545"/>
      <c r="DP208" s="545"/>
      <c r="DQ208" s="545"/>
      <c r="DR208" s="278"/>
      <c r="DS208" s="544" t="str">
        <f ca="1">IF(FO203=0,"",".")</f>
        <v/>
      </c>
      <c r="DT208" s="545"/>
      <c r="DU208" s="545"/>
      <c r="DV208" s="545"/>
      <c r="DW208" s="545"/>
      <c r="DX208" s="545"/>
      <c r="DY208" s="545"/>
      <c r="DZ208" s="328"/>
      <c r="EA208" s="544" t="str">
        <f ca="1">IF(FO203=0,"","`")</f>
        <v/>
      </c>
      <c r="EB208" s="545"/>
      <c r="EC208" s="545"/>
      <c r="ED208" s="545"/>
      <c r="EE208" s="545"/>
      <c r="EF208" s="545"/>
      <c r="EG208" s="545"/>
      <c r="EH208" s="545"/>
      <c r="EI208" s="545"/>
      <c r="EJ208" s="545"/>
      <c r="EK208" s="43"/>
      <c r="EL208" s="43"/>
      <c r="EM208" s="43"/>
      <c r="EN208" s="79"/>
      <c r="EO208" s="79"/>
      <c r="EP208" s="79"/>
      <c r="EQ208" s="79"/>
      <c r="ER208" s="79"/>
      <c r="ES208" s="79"/>
      <c r="ET208" s="79"/>
      <c r="EU208" s="79"/>
      <c r="EV208" s="79"/>
      <c r="EW208" s="79"/>
      <c r="EX208" s="79"/>
      <c r="EY208" s="79"/>
      <c r="EZ208" s="79"/>
      <c r="FA208" s="79"/>
      <c r="FB208" s="79"/>
      <c r="FC208" s="79"/>
      <c r="FD208" s="79"/>
      <c r="FE208" s="79"/>
      <c r="FF208" s="79"/>
      <c r="FG208" s="79"/>
      <c r="FH208" s="79"/>
      <c r="FI208" s="79"/>
      <c r="FJ208" s="79"/>
      <c r="FK208" s="79"/>
      <c r="FL208" s="43"/>
      <c r="FM208" s="354"/>
      <c r="FN208" s="354"/>
      <c r="FO208" s="354"/>
      <c r="FP208" s="354"/>
      <c r="FQ208" s="354"/>
      <c r="FR208" s="354"/>
      <c r="FS208" s="47"/>
      <c r="FT208" s="47"/>
      <c r="FU208" s="47"/>
      <c r="FV208" s="47"/>
      <c r="FW208" s="47"/>
      <c r="FX208" s="47"/>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38"/>
      <c r="HO208" s="338"/>
      <c r="HP208" s="338"/>
      <c r="HQ208" s="13"/>
      <c r="HR208" s="13"/>
      <c r="HS208" s="13"/>
      <c r="HT208" s="13"/>
      <c r="HU208" s="13"/>
      <c r="HV208" s="13"/>
      <c r="HW208" s="13"/>
      <c r="HX208" s="13"/>
      <c r="HY208" s="13"/>
      <c r="HZ208" s="13"/>
      <c r="IA208" s="13"/>
    </row>
    <row r="209" spans="1:235" ht="9.75" customHeight="1">
      <c r="A209" s="1"/>
      <c r="B209" s="3"/>
      <c r="C209" s="3"/>
      <c r="D209" s="124"/>
      <c r="E209" s="333"/>
      <c r="F209" s="333"/>
      <c r="G209" s="79"/>
      <c r="H209" s="333"/>
      <c r="I209" s="333"/>
      <c r="J209" s="278"/>
      <c r="K209" s="278"/>
      <c r="L209" s="278"/>
      <c r="M209" s="278"/>
      <c r="N209" s="278"/>
      <c r="O209" s="278"/>
      <c r="P209" s="278"/>
      <c r="Q209" s="278"/>
      <c r="R209" s="278"/>
      <c r="S209" s="278"/>
      <c r="T209" s="278"/>
      <c r="U209" s="278"/>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278"/>
      <c r="BS209" s="278"/>
      <c r="BT209" s="278"/>
      <c r="BU209" s="278"/>
      <c r="BV209" s="278"/>
      <c r="BW209" s="278"/>
      <c r="BX209" s="278"/>
      <c r="BY209" s="278"/>
      <c r="BZ209" s="278"/>
      <c r="CA209" s="278"/>
      <c r="CB209" s="278"/>
      <c r="CC209" s="278"/>
      <c r="CD209" s="278"/>
      <c r="CE209" s="278"/>
      <c r="CF209" s="278"/>
      <c r="CG209" s="278"/>
      <c r="CH209" s="278"/>
      <c r="CI209" s="278"/>
      <c r="CJ209" s="278"/>
      <c r="CK209" s="278"/>
      <c r="CL209" s="278"/>
      <c r="CM209" s="278"/>
      <c r="CN209" s="278"/>
      <c r="CO209" s="278"/>
      <c r="CP209" s="278"/>
      <c r="CQ209" s="278"/>
      <c r="CR209" s="278"/>
      <c r="CS209" s="278"/>
      <c r="CT209" s="278"/>
      <c r="CU209" s="278"/>
      <c r="CV209" s="278"/>
      <c r="CW209" s="278"/>
      <c r="CX209" s="278"/>
      <c r="CY209" s="278"/>
      <c r="CZ209" s="278"/>
      <c r="DA209" s="278"/>
      <c r="DB209" s="278"/>
      <c r="DC209" s="278"/>
      <c r="DD209" s="278"/>
      <c r="DE209" s="278"/>
      <c r="DF209" s="278"/>
      <c r="DG209" s="278"/>
      <c r="DH209" s="278"/>
      <c r="DI209" s="278"/>
      <c r="DJ209" s="278"/>
      <c r="DK209" s="278"/>
      <c r="DL209" s="278"/>
      <c r="DM209" s="278"/>
      <c r="DN209" s="278"/>
      <c r="DO209" s="278"/>
      <c r="DP209" s="278"/>
      <c r="DQ209" s="278"/>
      <c r="DR209" s="278"/>
      <c r="DS209" s="278"/>
      <c r="DT209" s="278"/>
      <c r="DU209" s="278"/>
      <c r="DV209" s="278"/>
      <c r="DW209" s="278"/>
      <c r="DX209" s="278"/>
      <c r="DY209" s="278"/>
      <c r="DZ209" s="278"/>
      <c r="EA209" s="278"/>
      <c r="EB209" s="278"/>
      <c r="EC209" s="328"/>
      <c r="ED209" s="328"/>
      <c r="EE209" s="328"/>
      <c r="EF209" s="328"/>
      <c r="EG209" s="328"/>
      <c r="EH209" s="43"/>
      <c r="EI209" s="43"/>
      <c r="EJ209" s="43"/>
      <c r="EK209" s="43"/>
      <c r="EL209" s="43"/>
      <c r="EM209" s="43"/>
      <c r="EN209" s="79"/>
      <c r="EO209" s="79"/>
      <c r="EP209" s="79"/>
      <c r="EQ209" s="79"/>
      <c r="ER209" s="79"/>
      <c r="ES209" s="79"/>
      <c r="ET209" s="79"/>
      <c r="EU209" s="79"/>
      <c r="EV209" s="79"/>
      <c r="EW209" s="79"/>
      <c r="EX209" s="79"/>
      <c r="EY209" s="79"/>
      <c r="EZ209" s="79"/>
      <c r="FA209" s="79"/>
      <c r="FB209" s="79"/>
      <c r="FC209" s="79"/>
      <c r="FD209" s="79"/>
      <c r="FE209" s="79"/>
      <c r="FF209" s="79"/>
      <c r="FG209" s="79"/>
      <c r="FH209" s="79"/>
      <c r="FI209" s="79"/>
      <c r="FJ209" s="79"/>
      <c r="FK209" s="79"/>
      <c r="FL209" s="43"/>
      <c r="FM209" s="338"/>
      <c r="FN209" s="338"/>
      <c r="FO209" s="338"/>
      <c r="FP209" s="338"/>
      <c r="FQ209" s="338"/>
      <c r="FR209" s="338"/>
      <c r="FS209" s="338"/>
      <c r="FT209" s="338"/>
      <c r="FU209" s="338"/>
      <c r="FV209" s="338"/>
      <c r="FW209" s="338"/>
      <c r="FX209" s="338"/>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38"/>
      <c r="HO209" s="338"/>
      <c r="HP209" s="338"/>
      <c r="HQ209" s="13"/>
      <c r="HR209" s="13"/>
      <c r="HS209" s="13"/>
      <c r="HT209" s="13"/>
      <c r="HU209" s="13"/>
      <c r="HV209" s="13"/>
      <c r="HW209" s="13"/>
      <c r="HX209" s="13"/>
      <c r="HY209" s="13"/>
      <c r="HZ209" s="13"/>
      <c r="IA209" s="13"/>
    </row>
    <row r="210" spans="1:235" ht="3.75" customHeight="1">
      <c r="A210" s="1"/>
      <c r="B210" s="3"/>
      <c r="C210" s="3"/>
      <c r="D210" s="124"/>
      <c r="E210" s="333"/>
      <c r="F210" s="333"/>
      <c r="G210" s="335"/>
      <c r="H210" s="333"/>
      <c r="I210" s="333"/>
      <c r="J210" s="278"/>
      <c r="K210" s="278"/>
      <c r="L210" s="278"/>
      <c r="M210" s="278"/>
      <c r="N210" s="278"/>
      <c r="O210" s="278"/>
      <c r="P210" s="278"/>
      <c r="Q210" s="278"/>
      <c r="R210" s="278"/>
      <c r="S210" s="278"/>
      <c r="T210" s="278"/>
      <c r="U210" s="278"/>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79"/>
      <c r="BE210" s="79"/>
      <c r="BF210" s="79"/>
      <c r="BG210" s="544" t="str">
        <f ca="1">IF(FO207=0,"",".")</f>
        <v/>
      </c>
      <c r="BH210" s="545"/>
      <c r="BI210" s="545"/>
      <c r="BJ210" s="545"/>
      <c r="BK210" s="545"/>
      <c r="BL210" s="545"/>
      <c r="BM210" s="545"/>
      <c r="BN210" s="278"/>
      <c r="BO210" s="544" t="str">
        <f ca="1">IF(FO207=0,"",".")</f>
        <v/>
      </c>
      <c r="BP210" s="545"/>
      <c r="BQ210" s="545"/>
      <c r="BR210" s="545"/>
      <c r="BS210" s="545"/>
      <c r="BT210" s="545"/>
      <c r="BU210" s="545"/>
      <c r="BV210" s="278"/>
      <c r="BW210" s="544" t="str">
        <f ca="1">IF(FO207=0,"",".")</f>
        <v/>
      </c>
      <c r="BX210" s="545"/>
      <c r="BY210" s="545"/>
      <c r="BZ210" s="545"/>
      <c r="CA210" s="545"/>
      <c r="CB210" s="545"/>
      <c r="CC210" s="545"/>
      <c r="CD210" s="278"/>
      <c r="CE210" s="544" t="str">
        <f ca="1">IF(FO207=0,"",".")</f>
        <v/>
      </c>
      <c r="CF210" s="545"/>
      <c r="CG210" s="545"/>
      <c r="CH210" s="545"/>
      <c r="CI210" s="545"/>
      <c r="CJ210" s="545"/>
      <c r="CK210" s="545"/>
      <c r="CL210" s="278"/>
      <c r="CM210" s="544" t="str">
        <f ca="1">IF(FO207=0,"",".")</f>
        <v/>
      </c>
      <c r="CN210" s="545"/>
      <c r="CO210" s="545"/>
      <c r="CP210" s="545"/>
      <c r="CQ210" s="545"/>
      <c r="CR210" s="545"/>
      <c r="CS210" s="545"/>
      <c r="CT210" s="278"/>
      <c r="CU210" s="544" t="str">
        <f ca="1">IF(FO207=0,"",".")</f>
        <v/>
      </c>
      <c r="CV210" s="545"/>
      <c r="CW210" s="545"/>
      <c r="CX210" s="545"/>
      <c r="CY210" s="545"/>
      <c r="CZ210" s="545"/>
      <c r="DA210" s="545"/>
      <c r="DB210" s="278"/>
      <c r="DC210" s="544" t="str">
        <f ca="1">IF(FO207=0,"",".")</f>
        <v/>
      </c>
      <c r="DD210" s="545"/>
      <c r="DE210" s="545"/>
      <c r="DF210" s="545"/>
      <c r="DG210" s="545"/>
      <c r="DH210" s="545"/>
      <c r="DI210" s="545"/>
      <c r="DJ210" s="278"/>
      <c r="DK210" s="544" t="str">
        <f ca="1">IF(FO207=0,"",".")</f>
        <v/>
      </c>
      <c r="DL210" s="545"/>
      <c r="DM210" s="545"/>
      <c r="DN210" s="545"/>
      <c r="DO210" s="545"/>
      <c r="DP210" s="545"/>
      <c r="DQ210" s="545"/>
      <c r="DR210" s="278"/>
      <c r="DS210" s="544" t="str">
        <f ca="1">IF(FO207=0,"",".")</f>
        <v/>
      </c>
      <c r="DT210" s="545"/>
      <c r="DU210" s="545"/>
      <c r="DV210" s="545"/>
      <c r="DW210" s="545"/>
      <c r="DX210" s="545"/>
      <c r="DY210" s="545"/>
      <c r="DZ210" s="328"/>
      <c r="EA210" s="544" t="str">
        <f ca="1">IF(FO207=0,"","`")</f>
        <v/>
      </c>
      <c r="EB210" s="545"/>
      <c r="EC210" s="545"/>
      <c r="ED210" s="545"/>
      <c r="EE210" s="545"/>
      <c r="EF210" s="545"/>
      <c r="EG210" s="545"/>
      <c r="EH210" s="545"/>
      <c r="EI210" s="545"/>
      <c r="EJ210" s="545"/>
      <c r="EK210" s="43"/>
      <c r="EL210" s="43"/>
      <c r="EM210" s="328"/>
      <c r="EN210" s="79"/>
      <c r="EO210" s="79"/>
      <c r="EP210" s="79"/>
      <c r="EQ210" s="79"/>
      <c r="ER210" s="79"/>
      <c r="ES210" s="79"/>
      <c r="ET210" s="79"/>
      <c r="EU210" s="79"/>
      <c r="EV210" s="79"/>
      <c r="EW210" s="79"/>
      <c r="EX210" s="79"/>
      <c r="EY210" s="79"/>
      <c r="EZ210" s="79"/>
      <c r="FA210" s="79"/>
      <c r="FB210" s="79"/>
      <c r="FC210" s="79"/>
      <c r="FD210" s="79"/>
      <c r="FE210" s="79"/>
      <c r="FF210" s="79"/>
      <c r="FG210" s="79"/>
      <c r="FH210" s="79"/>
      <c r="FI210" s="79"/>
      <c r="FJ210" s="79"/>
      <c r="FK210" s="79"/>
      <c r="FL210" s="328"/>
      <c r="FM210" s="353"/>
      <c r="FN210" s="353"/>
      <c r="FO210" s="353"/>
      <c r="FP210" s="353"/>
      <c r="FQ210" s="353"/>
      <c r="FR210" s="354"/>
      <c r="FS210" s="353"/>
      <c r="FT210" s="353"/>
      <c r="FU210" s="47"/>
      <c r="FV210" s="47"/>
      <c r="FW210" s="47"/>
      <c r="FX210" s="47"/>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38"/>
      <c r="HO210" s="338"/>
      <c r="HP210" s="338"/>
      <c r="HQ210" s="13"/>
      <c r="HR210" s="13"/>
      <c r="HS210" s="13"/>
      <c r="HT210" s="13"/>
      <c r="HU210" s="13"/>
      <c r="HV210" s="13"/>
      <c r="HW210" s="13"/>
      <c r="HX210" s="13"/>
      <c r="HY210" s="13"/>
      <c r="HZ210" s="13"/>
      <c r="IA210" s="13"/>
    </row>
    <row r="211" spans="1:235" ht="18.75" customHeight="1">
      <c r="A211" s="1"/>
      <c r="B211" s="3"/>
      <c r="C211" s="3"/>
      <c r="D211" s="124"/>
      <c r="E211" s="333"/>
      <c r="F211" s="333"/>
      <c r="G211" s="79"/>
      <c r="H211" s="333"/>
      <c r="I211" s="333"/>
      <c r="J211" s="278"/>
      <c r="K211" s="278"/>
      <c r="L211" s="278"/>
      <c r="M211" s="278"/>
      <c r="N211" s="278"/>
      <c r="O211" s="278"/>
      <c r="P211" s="278"/>
      <c r="Q211" s="278"/>
      <c r="R211" s="278"/>
      <c r="S211" s="278"/>
      <c r="T211" s="278"/>
      <c r="U211" s="278"/>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79"/>
      <c r="BE211" s="133" t="str">
        <f ca="1">IF(FO207=0,"","Het verlies aan welvaart is:")</f>
        <v/>
      </c>
      <c r="BF211" s="79"/>
      <c r="BG211" s="330" t="str">
        <f ca="1">IF(FO207=0,"",".")</f>
        <v/>
      </c>
      <c r="BH211" s="543"/>
      <c r="BI211" s="543"/>
      <c r="BJ211" s="543"/>
      <c r="BK211" s="543"/>
      <c r="BL211" s="543"/>
      <c r="BM211" s="497" t="str">
        <f ca="1">IF(FO207=0,"",".")</f>
        <v/>
      </c>
      <c r="BN211" s="499"/>
      <c r="BO211" s="497" t="str">
        <f ca="1">IF(FO207=0,"",".")</f>
        <v/>
      </c>
      <c r="BP211" s="543"/>
      <c r="BQ211" s="543"/>
      <c r="BR211" s="543"/>
      <c r="BS211" s="543"/>
      <c r="BT211" s="543"/>
      <c r="BU211" s="497" t="str">
        <f ca="1">IF(FO207=0,"",".")</f>
        <v/>
      </c>
      <c r="BV211" s="499"/>
      <c r="BW211" s="497" t="str">
        <f ca="1">IF(FO207=0,"",".")</f>
        <v/>
      </c>
      <c r="BX211" s="543"/>
      <c r="BY211" s="543"/>
      <c r="BZ211" s="543"/>
      <c r="CA211" s="543"/>
      <c r="CB211" s="543"/>
      <c r="CC211" s="497" t="str">
        <f ca="1">IF(FO207=0,"",".")</f>
        <v/>
      </c>
      <c r="CD211" s="499"/>
      <c r="CE211" s="497" t="str">
        <f ca="1">IF(FO207=0,"",".")</f>
        <v/>
      </c>
      <c r="CF211" s="543"/>
      <c r="CG211" s="543"/>
      <c r="CH211" s="543"/>
      <c r="CI211" s="543"/>
      <c r="CJ211" s="543"/>
      <c r="CK211" s="497" t="str">
        <f ca="1">IF(FO207=0,"",".")</f>
        <v/>
      </c>
      <c r="CL211" s="499"/>
      <c r="CM211" s="497" t="str">
        <f ca="1">IF(FO207=0,"",".")</f>
        <v/>
      </c>
      <c r="CN211" s="543"/>
      <c r="CO211" s="543"/>
      <c r="CP211" s="543"/>
      <c r="CQ211" s="543"/>
      <c r="CR211" s="543"/>
      <c r="CS211" s="497" t="str">
        <f ca="1">IF(FO207=0,"",".")</f>
        <v/>
      </c>
      <c r="CT211" s="499"/>
      <c r="CU211" s="497" t="str">
        <f ca="1">IF(FO207=0,"",".")</f>
        <v/>
      </c>
      <c r="CV211" s="543"/>
      <c r="CW211" s="543"/>
      <c r="CX211" s="543"/>
      <c r="CY211" s="543"/>
      <c r="CZ211" s="543"/>
      <c r="DA211" s="497" t="str">
        <f ca="1">IF(FO207=0,"",".")</f>
        <v/>
      </c>
      <c r="DB211" s="499"/>
      <c r="DC211" s="497" t="str">
        <f ca="1">IF(FO207=0,"",".")</f>
        <v/>
      </c>
      <c r="DD211" s="543"/>
      <c r="DE211" s="543"/>
      <c r="DF211" s="543"/>
      <c r="DG211" s="543"/>
      <c r="DH211" s="543"/>
      <c r="DI211" s="497" t="str">
        <f ca="1">IF(FO207=0,"",".")</f>
        <v/>
      </c>
      <c r="DJ211" s="499"/>
      <c r="DK211" s="497" t="str">
        <f ca="1">IF(FO207=0,"",".")</f>
        <v/>
      </c>
      <c r="DL211" s="543"/>
      <c r="DM211" s="543"/>
      <c r="DN211" s="543"/>
      <c r="DO211" s="543"/>
      <c r="DP211" s="543"/>
      <c r="DQ211" s="497" t="str">
        <f ca="1">IF(FO207=0,"",".")</f>
        <v/>
      </c>
      <c r="DR211" s="499"/>
      <c r="DS211" s="497" t="str">
        <f ca="1">IF(FO207=0,"",".")</f>
        <v/>
      </c>
      <c r="DT211" s="543"/>
      <c r="DU211" s="543"/>
      <c r="DV211" s="543"/>
      <c r="DW211" s="543"/>
      <c r="DX211" s="543"/>
      <c r="DY211" s="497" t="str">
        <f ca="1">IF(FO207=0,"",".")</f>
        <v/>
      </c>
      <c r="DZ211" s="500"/>
      <c r="EA211" s="497" t="str">
        <f ca="1">IF(FO207=0,"","`")</f>
        <v/>
      </c>
      <c r="EB211" s="716"/>
      <c r="EC211" s="626"/>
      <c r="ED211" s="626"/>
      <c r="EE211" s="626"/>
      <c r="EF211" s="626"/>
      <c r="EG211" s="626"/>
      <c r="EH211" s="626"/>
      <c r="EI211" s="626"/>
      <c r="EJ211" s="227" t="str">
        <f ca="1">IF(FO207=0,"","`")</f>
        <v/>
      </c>
      <c r="EK211" s="43"/>
      <c r="EL211" s="44" t="str">
        <f ca="1">IF(FO207=0,"",IF(AND(EB211=FO191,FO211=1)," Goed!",IF(EB211=FO191," Fout!","")))</f>
        <v/>
      </c>
      <c r="EM211" s="43"/>
      <c r="EN211" s="79"/>
      <c r="EO211" s="79"/>
      <c r="EP211" s="79"/>
      <c r="EQ211" s="79"/>
      <c r="ER211" s="79"/>
      <c r="ES211" s="79"/>
      <c r="ET211" s="79"/>
      <c r="EU211" s="79"/>
      <c r="EV211" s="79"/>
      <c r="EW211" s="79"/>
      <c r="EX211" s="79"/>
      <c r="EY211" s="79"/>
      <c r="EZ211" s="79"/>
      <c r="FA211" s="79"/>
      <c r="FB211" s="79"/>
      <c r="FC211" s="79"/>
      <c r="FD211" s="79"/>
      <c r="FE211" s="79"/>
      <c r="FF211" s="79"/>
      <c r="FG211" s="79"/>
      <c r="FH211" s="79"/>
      <c r="FI211" s="79"/>
      <c r="FJ211" s="79"/>
      <c r="FK211" s="79"/>
      <c r="FL211" s="43"/>
      <c r="FM211" s="185"/>
      <c r="FN211" s="185"/>
      <c r="FO211" s="185">
        <f ca="1">IF(programma!B1="X",1,IF(AND(EB211=FO191,FO207=1,BH211="",BP211="",BX211="",CF211="",CN211="",CV211="",DD211=FW195,DL211="",DT211=""),1,0))</f>
        <v>0</v>
      </c>
      <c r="FP211" s="48">
        <f ca="1">IF(programma!B1="X",1,IF(FO195+FO199+FO203+FO207+FO211=5,1,0))</f>
        <v>0</v>
      </c>
      <c r="FQ211" s="48"/>
      <c r="FR211" s="48"/>
      <c r="FS211" s="48"/>
      <c r="FT211" s="48"/>
      <c r="FU211" s="48"/>
      <c r="FV211" s="48"/>
      <c r="FW211" s="48"/>
      <c r="FX211" s="48"/>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38"/>
      <c r="HO211" s="338"/>
      <c r="HP211" s="338"/>
      <c r="HQ211" s="13"/>
      <c r="HR211" s="13"/>
      <c r="HS211" s="13"/>
      <c r="HT211" s="13"/>
      <c r="HU211" s="13"/>
      <c r="HV211" s="13"/>
      <c r="HW211" s="13"/>
      <c r="HX211" s="13"/>
      <c r="HY211" s="13"/>
      <c r="HZ211" s="13"/>
      <c r="IA211" s="13"/>
    </row>
    <row r="212" spans="1:235" ht="3.75" customHeight="1">
      <c r="A212" s="1"/>
      <c r="B212" s="3"/>
      <c r="C212" s="3"/>
      <c r="D212" s="124"/>
      <c r="E212" s="333"/>
      <c r="F212" s="333"/>
      <c r="G212" s="335"/>
      <c r="H212" s="333"/>
      <c r="I212" s="333"/>
      <c r="J212" s="278"/>
      <c r="K212" s="278"/>
      <c r="L212" s="278"/>
      <c r="M212" s="278"/>
      <c r="N212" s="278"/>
      <c r="O212" s="278"/>
      <c r="P212" s="278"/>
      <c r="Q212" s="278"/>
      <c r="R212" s="278"/>
      <c r="S212" s="278"/>
      <c r="T212" s="278"/>
      <c r="U212" s="278"/>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79"/>
      <c r="BE212" s="79"/>
      <c r="BF212" s="79"/>
      <c r="BG212" s="544" t="str">
        <f ca="1">IF(FO207=0,"",".")</f>
        <v/>
      </c>
      <c r="BH212" s="545"/>
      <c r="BI212" s="545"/>
      <c r="BJ212" s="545"/>
      <c r="BK212" s="545"/>
      <c r="BL212" s="545"/>
      <c r="BM212" s="545"/>
      <c r="BN212" s="278"/>
      <c r="BO212" s="544" t="str">
        <f ca="1">IF(FO207=0,"",".")</f>
        <v/>
      </c>
      <c r="BP212" s="545"/>
      <c r="BQ212" s="545"/>
      <c r="BR212" s="545"/>
      <c r="BS212" s="545"/>
      <c r="BT212" s="545"/>
      <c r="BU212" s="545"/>
      <c r="BV212" s="278"/>
      <c r="BW212" s="544" t="str">
        <f ca="1">IF(FO207=0,"",".")</f>
        <v/>
      </c>
      <c r="BX212" s="545"/>
      <c r="BY212" s="545"/>
      <c r="BZ212" s="545"/>
      <c r="CA212" s="545"/>
      <c r="CB212" s="545"/>
      <c r="CC212" s="545"/>
      <c r="CD212" s="278"/>
      <c r="CE212" s="544" t="str">
        <f ca="1">IF(FO207=0,"",".")</f>
        <v/>
      </c>
      <c r="CF212" s="545"/>
      <c r="CG212" s="545"/>
      <c r="CH212" s="545"/>
      <c r="CI212" s="545"/>
      <c r="CJ212" s="545"/>
      <c r="CK212" s="545"/>
      <c r="CL212" s="278"/>
      <c r="CM212" s="544" t="str">
        <f ca="1">IF(FO207=0,"",".")</f>
        <v/>
      </c>
      <c r="CN212" s="545"/>
      <c r="CO212" s="545"/>
      <c r="CP212" s="545"/>
      <c r="CQ212" s="545"/>
      <c r="CR212" s="545"/>
      <c r="CS212" s="545"/>
      <c r="CT212" s="278"/>
      <c r="CU212" s="544" t="str">
        <f ca="1">IF(FO207=0,"",".")</f>
        <v/>
      </c>
      <c r="CV212" s="545"/>
      <c r="CW212" s="545"/>
      <c r="CX212" s="545"/>
      <c r="CY212" s="545"/>
      <c r="CZ212" s="545"/>
      <c r="DA212" s="545"/>
      <c r="DB212" s="278"/>
      <c r="DC212" s="544" t="str">
        <f ca="1">IF(FO207=0,"",".")</f>
        <v/>
      </c>
      <c r="DD212" s="545"/>
      <c r="DE212" s="545"/>
      <c r="DF212" s="545"/>
      <c r="DG212" s="545"/>
      <c r="DH212" s="545"/>
      <c r="DI212" s="545"/>
      <c r="DJ212" s="278"/>
      <c r="DK212" s="544" t="str">
        <f ca="1">IF(FO207=0,"",".")</f>
        <v/>
      </c>
      <c r="DL212" s="545"/>
      <c r="DM212" s="545"/>
      <c r="DN212" s="545"/>
      <c r="DO212" s="545"/>
      <c r="DP212" s="545"/>
      <c r="DQ212" s="545"/>
      <c r="DR212" s="278"/>
      <c r="DS212" s="544" t="str">
        <f ca="1">IF(FO207=0,"",".")</f>
        <v/>
      </c>
      <c r="DT212" s="545"/>
      <c r="DU212" s="545"/>
      <c r="DV212" s="545"/>
      <c r="DW212" s="545"/>
      <c r="DX212" s="545"/>
      <c r="DY212" s="545"/>
      <c r="DZ212" s="328"/>
      <c r="EA212" s="544" t="str">
        <f ca="1">IF(FO207=0,"","`")</f>
        <v/>
      </c>
      <c r="EB212" s="545"/>
      <c r="EC212" s="545"/>
      <c r="ED212" s="545"/>
      <c r="EE212" s="545"/>
      <c r="EF212" s="545"/>
      <c r="EG212" s="545"/>
      <c r="EH212" s="545"/>
      <c r="EI212" s="545"/>
      <c r="EJ212" s="545"/>
      <c r="EK212" s="43"/>
      <c r="EL212" s="43"/>
      <c r="EM212" s="43"/>
      <c r="EN212" s="79"/>
      <c r="EO212" s="79"/>
      <c r="EP212" s="79"/>
      <c r="EQ212" s="79"/>
      <c r="ER212" s="79"/>
      <c r="ES212" s="79"/>
      <c r="ET212" s="79"/>
      <c r="EU212" s="79"/>
      <c r="EV212" s="79"/>
      <c r="EW212" s="79"/>
      <c r="EX212" s="79"/>
      <c r="EY212" s="79"/>
      <c r="EZ212" s="79"/>
      <c r="FA212" s="79"/>
      <c r="FB212" s="79"/>
      <c r="FC212" s="79"/>
      <c r="FD212" s="79"/>
      <c r="FE212" s="79"/>
      <c r="FF212" s="79"/>
      <c r="FG212" s="79"/>
      <c r="FH212" s="79"/>
      <c r="FI212" s="79"/>
      <c r="FJ212" s="79"/>
      <c r="FK212" s="79"/>
      <c r="FL212" s="43"/>
      <c r="FM212" s="354"/>
      <c r="FN212" s="354"/>
      <c r="FO212" s="354"/>
      <c r="FP212" s="354"/>
      <c r="FQ212" s="354"/>
      <c r="FR212" s="354"/>
      <c r="FS212" s="47"/>
      <c r="FT212" s="47"/>
      <c r="FU212" s="47"/>
      <c r="FV212" s="47"/>
      <c r="FW212" s="47"/>
      <c r="FX212" s="47"/>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38"/>
      <c r="HO212" s="338"/>
      <c r="HP212" s="338"/>
      <c r="HQ212" s="13"/>
      <c r="HR212" s="13"/>
      <c r="HS212" s="13"/>
      <c r="HT212" s="13"/>
      <c r="HU212" s="13"/>
      <c r="HV212" s="13"/>
      <c r="HW212" s="13"/>
      <c r="HX212" s="13"/>
      <c r="HY212" s="13"/>
      <c r="HZ212" s="13"/>
      <c r="IA212" s="13"/>
    </row>
    <row r="213" spans="1:235" ht="16.95" customHeight="1">
      <c r="A213" s="1"/>
      <c r="B213" s="3"/>
      <c r="C213" s="3"/>
      <c r="D213" s="124"/>
      <c r="E213" s="333"/>
      <c r="F213" s="333"/>
      <c r="G213" s="335"/>
      <c r="H213" s="333"/>
      <c r="I213" s="333"/>
      <c r="J213" s="278"/>
      <c r="K213" s="278"/>
      <c r="L213" s="278"/>
      <c r="M213" s="278"/>
      <c r="N213" s="278"/>
      <c r="O213" s="278"/>
      <c r="P213" s="278"/>
      <c r="Q213" s="278"/>
      <c r="R213" s="278"/>
      <c r="S213" s="278"/>
      <c r="T213" s="278"/>
      <c r="U213" s="278"/>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278"/>
      <c r="CQ213" s="278"/>
      <c r="CR213" s="278"/>
      <c r="CS213" s="278"/>
      <c r="CT213" s="278"/>
      <c r="CU213" s="278"/>
      <c r="CV213" s="278"/>
      <c r="CW213" s="278"/>
      <c r="CX213" s="278"/>
      <c r="CY213" s="278"/>
      <c r="CZ213" s="278"/>
      <c r="DA213" s="278"/>
      <c r="DB213" s="278"/>
      <c r="DC213" s="278"/>
      <c r="DD213" s="278"/>
      <c r="DE213" s="278"/>
      <c r="DF213" s="278"/>
      <c r="DG213" s="278"/>
      <c r="DH213" s="278"/>
      <c r="DI213" s="278"/>
      <c r="DJ213" s="278"/>
      <c r="DK213" s="278"/>
      <c r="DL213" s="278"/>
      <c r="DM213" s="278"/>
      <c r="DN213" s="278"/>
      <c r="DO213" s="278"/>
      <c r="DP213" s="278"/>
      <c r="DQ213" s="278"/>
      <c r="DR213" s="278"/>
      <c r="DS213" s="278"/>
      <c r="DT213" s="278"/>
      <c r="DU213" s="278"/>
      <c r="DV213" s="278"/>
      <c r="DW213" s="278"/>
      <c r="DX213" s="278"/>
      <c r="DY213" s="278"/>
      <c r="DZ213" s="278"/>
      <c r="EA213" s="278"/>
      <c r="EB213" s="278"/>
      <c r="EC213" s="278"/>
      <c r="ED213" s="278"/>
      <c r="EE213" s="278"/>
      <c r="EF213" s="278"/>
      <c r="EG213" s="278"/>
      <c r="EH213" s="278"/>
      <c r="EI213" s="278"/>
      <c r="EJ213" s="278"/>
      <c r="EK213" s="278"/>
      <c r="EL213" s="278"/>
      <c r="EM213" s="278"/>
      <c r="EN213" s="278"/>
      <c r="EO213" s="278"/>
      <c r="EP213" s="278"/>
      <c r="EQ213" s="278"/>
      <c r="ER213" s="278"/>
      <c r="ES213" s="278"/>
      <c r="ET213" s="278"/>
      <c r="EU213" s="278"/>
      <c r="EV213" s="278"/>
      <c r="EW213" s="278"/>
      <c r="EX213" s="278"/>
      <c r="EY213" s="278"/>
      <c r="EZ213" s="278"/>
      <c r="FA213" s="43"/>
      <c r="FB213" s="43"/>
      <c r="FC213" s="43"/>
      <c r="FD213" s="43"/>
      <c r="FE213" s="43"/>
      <c r="FF213" s="43"/>
      <c r="FG213" s="43"/>
      <c r="FH213" s="43"/>
      <c r="FI213" s="43"/>
      <c r="FJ213" s="43"/>
      <c r="FK213" s="43"/>
      <c r="FL213" s="43"/>
      <c r="FM213" s="338"/>
      <c r="FN213" s="338"/>
      <c r="FO213" s="338"/>
      <c r="FP213" s="338"/>
      <c r="FQ213" s="338"/>
      <c r="FR213" s="338"/>
      <c r="FS213" s="338"/>
      <c r="FT213" s="338"/>
      <c r="FU213" s="338"/>
      <c r="FV213" s="338"/>
      <c r="FW213" s="338"/>
      <c r="FX213" s="338"/>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38"/>
      <c r="HO213" s="338"/>
      <c r="HP213" s="338"/>
      <c r="HQ213" s="13"/>
      <c r="HR213" s="13"/>
      <c r="HS213" s="13"/>
      <c r="HT213" s="13"/>
      <c r="HU213" s="13"/>
      <c r="HV213" s="13"/>
      <c r="HW213" s="13"/>
      <c r="HX213" s="13"/>
      <c r="HY213" s="13"/>
      <c r="HZ213" s="13"/>
      <c r="IA213" s="13"/>
    </row>
    <row r="214" spans="1:235" ht="16.95" customHeight="1">
      <c r="A214" s="1"/>
      <c r="B214" s="3"/>
      <c r="C214" s="3"/>
      <c r="D214" s="124" t="str">
        <f ca="1">IF(FO211=0,"","De situatie waarbij de prijs volledig door de markt wordt bepaald en de")</f>
        <v/>
      </c>
      <c r="E214" s="402"/>
      <c r="F214" s="402"/>
      <c r="G214" s="404"/>
      <c r="H214" s="402"/>
      <c r="I214" s="402"/>
      <c r="J214" s="376"/>
      <c r="K214" s="376"/>
      <c r="L214" s="376"/>
      <c r="M214" s="376"/>
      <c r="N214" s="376"/>
      <c r="O214" s="376"/>
      <c r="P214" s="376"/>
      <c r="Q214" s="376"/>
      <c r="R214" s="376"/>
      <c r="S214" s="376"/>
      <c r="T214" s="376"/>
      <c r="U214" s="376"/>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376"/>
      <c r="CQ214" s="376"/>
      <c r="CR214" s="376"/>
      <c r="CS214" s="376"/>
      <c r="CT214" s="376"/>
      <c r="CU214" s="376"/>
      <c r="CV214" s="376"/>
      <c r="CW214" s="376"/>
      <c r="CX214" s="376"/>
      <c r="CY214" s="376"/>
      <c r="CZ214" s="376"/>
      <c r="DA214" s="376"/>
      <c r="DB214" s="376"/>
      <c r="DC214" s="376"/>
      <c r="DD214" s="376"/>
      <c r="DE214" s="376"/>
      <c r="DF214" s="376"/>
      <c r="DG214" s="376"/>
      <c r="DH214" s="376"/>
      <c r="DI214" s="376"/>
      <c r="DJ214" s="376"/>
      <c r="DK214" s="376"/>
      <c r="DL214" s="376"/>
      <c r="DM214" s="376"/>
      <c r="DN214" s="376"/>
      <c r="DO214" s="376"/>
      <c r="DP214" s="376"/>
      <c r="DQ214" s="376"/>
      <c r="DR214" s="376"/>
      <c r="DS214" s="376"/>
      <c r="DT214" s="376"/>
      <c r="DU214" s="376"/>
      <c r="DV214" s="376"/>
      <c r="DW214" s="376"/>
      <c r="DX214" s="376"/>
      <c r="DY214" s="376"/>
      <c r="DZ214" s="376"/>
      <c r="EA214" s="376"/>
      <c r="EB214" s="376"/>
      <c r="EC214" s="376"/>
      <c r="ED214" s="376"/>
      <c r="EE214" s="376"/>
      <c r="EF214" s="376"/>
      <c r="EG214" s="376"/>
      <c r="EH214" s="376"/>
      <c r="EI214" s="376"/>
      <c r="EJ214" s="376"/>
      <c r="EK214" s="376"/>
      <c r="EL214" s="376"/>
      <c r="EM214" s="376"/>
      <c r="EN214" s="376"/>
      <c r="EO214" s="376"/>
      <c r="EP214" s="376"/>
      <c r="EQ214" s="376"/>
      <c r="ER214" s="376"/>
      <c r="ES214" s="376"/>
      <c r="ET214" s="376"/>
      <c r="EU214" s="376"/>
      <c r="EV214" s="376"/>
      <c r="EW214" s="376"/>
      <c r="EX214" s="376"/>
      <c r="EY214" s="376"/>
      <c r="EZ214" s="376"/>
      <c r="FA214" s="43"/>
      <c r="FB214" s="43"/>
      <c r="FC214" s="43"/>
      <c r="FD214" s="43"/>
      <c r="FE214" s="43"/>
      <c r="FF214" s="43"/>
      <c r="FG214" s="43"/>
      <c r="FH214" s="43"/>
      <c r="FI214" s="79"/>
      <c r="FJ214" s="79"/>
      <c r="FK214" s="79"/>
      <c r="FL214" s="79"/>
      <c r="FM214" s="338"/>
      <c r="FN214" s="338"/>
      <c r="FO214" s="338"/>
      <c r="FP214" s="338"/>
      <c r="FQ214" s="338"/>
      <c r="FR214" s="338"/>
      <c r="FS214" s="338"/>
      <c r="FT214" s="338"/>
      <c r="FU214" s="338"/>
      <c r="FV214" s="338"/>
      <c r="FW214" s="338"/>
      <c r="FX214" s="338"/>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38"/>
      <c r="HO214" s="338"/>
      <c r="HP214" s="338"/>
      <c r="HQ214" s="13"/>
      <c r="HR214" s="13"/>
      <c r="HS214" s="13"/>
      <c r="HT214" s="13"/>
      <c r="HU214" s="13"/>
      <c r="HV214" s="13"/>
      <c r="HW214" s="13"/>
      <c r="HX214" s="13"/>
      <c r="HY214" s="13"/>
      <c r="HZ214" s="13"/>
      <c r="IA214" s="13"/>
    </row>
    <row r="215" spans="1:235" ht="16.95" customHeight="1">
      <c r="A215" s="1"/>
      <c r="B215" s="3"/>
      <c r="C215" s="3"/>
      <c r="D215" s="124" t="str">
        <f ca="1">IF(FO211=0,"","individuele aanbieder een hoeveelheidsaanpasser is, doet zich per definitie")</f>
        <v/>
      </c>
      <c r="E215" s="402"/>
      <c r="F215" s="402"/>
      <c r="G215" s="404"/>
      <c r="H215" s="402"/>
      <c r="I215" s="402"/>
      <c r="J215" s="376"/>
      <c r="K215" s="376"/>
      <c r="L215" s="376"/>
      <c r="M215" s="376"/>
      <c r="N215" s="376"/>
      <c r="O215" s="376"/>
      <c r="P215" s="376"/>
      <c r="Q215" s="376"/>
      <c r="R215" s="376"/>
      <c r="S215" s="376"/>
      <c r="T215" s="376"/>
      <c r="U215" s="376"/>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376"/>
      <c r="CQ215" s="376"/>
      <c r="CR215" s="376"/>
      <c r="CS215" s="376"/>
      <c r="CT215" s="376"/>
      <c r="CU215" s="376"/>
      <c r="CV215" s="376"/>
      <c r="CW215" s="376"/>
      <c r="CX215" s="376"/>
      <c r="CY215" s="376"/>
      <c r="CZ215" s="376"/>
      <c r="DA215" s="376"/>
      <c r="DB215" s="376"/>
      <c r="DC215" s="376"/>
      <c r="DD215" s="376"/>
      <c r="DE215" s="376"/>
      <c r="DF215" s="376"/>
      <c r="DG215" s="376"/>
      <c r="DH215" s="376"/>
      <c r="DI215" s="376"/>
      <c r="DJ215" s="376"/>
      <c r="DK215" s="376"/>
      <c r="DL215" s="376"/>
      <c r="DM215" s="376"/>
      <c r="DN215" s="376"/>
      <c r="DO215" s="376"/>
      <c r="DP215" s="376"/>
      <c r="DQ215" s="376"/>
      <c r="DR215" s="376"/>
      <c r="DS215" s="376"/>
      <c r="DT215" s="376"/>
      <c r="DU215" s="376"/>
      <c r="DV215" s="376"/>
      <c r="DW215" s="376"/>
      <c r="DX215" s="376"/>
      <c r="DY215" s="376"/>
      <c r="DZ215" s="376"/>
      <c r="EA215" s="376"/>
      <c r="EB215" s="376"/>
      <c r="EC215" s="376"/>
      <c r="ED215" s="376"/>
      <c r="EE215" s="376"/>
      <c r="EF215" s="376"/>
      <c r="EG215" s="376"/>
      <c r="EH215" s="376"/>
      <c r="EI215" s="376"/>
      <c r="EJ215" s="376"/>
      <c r="EK215" s="376"/>
      <c r="EL215" s="376"/>
      <c r="EM215" s="376"/>
      <c r="EN215" s="376"/>
      <c r="EO215" s="376"/>
      <c r="EP215" s="376"/>
      <c r="EQ215" s="376"/>
      <c r="ER215" s="376"/>
      <c r="ES215" s="376"/>
      <c r="ET215" s="376"/>
      <c r="EU215" s="376"/>
      <c r="EV215" s="376"/>
      <c r="EW215" s="376"/>
      <c r="EX215" s="376"/>
      <c r="EY215" s="376"/>
      <c r="EZ215" s="376"/>
      <c r="FA215" s="43"/>
      <c r="FB215" s="43"/>
      <c r="FC215" s="43"/>
      <c r="FD215" s="43"/>
      <c r="FE215" s="43"/>
      <c r="FF215" s="43"/>
      <c r="FG215" s="43"/>
      <c r="FH215" s="43"/>
      <c r="FI215" s="79"/>
      <c r="FJ215" s="79"/>
      <c r="FK215" s="79"/>
      <c r="FL215" s="79"/>
      <c r="FM215" s="338"/>
      <c r="FN215" s="338"/>
      <c r="FO215" s="338"/>
      <c r="FP215" s="338"/>
      <c r="FQ215" s="338"/>
      <c r="FR215" s="338"/>
      <c r="FS215" s="338"/>
      <c r="FT215" s="338"/>
      <c r="FU215" s="338"/>
      <c r="FV215" s="338"/>
      <c r="FW215" s="338"/>
      <c r="FX215" s="338"/>
      <c r="FY215" s="32"/>
      <c r="FZ215" s="32"/>
      <c r="GA215" s="32"/>
      <c r="GB215" s="32"/>
      <c r="GC215" s="32"/>
      <c r="GD215" s="32"/>
      <c r="GE215" s="32"/>
      <c r="GF215" s="32"/>
      <c r="GG215" s="32"/>
      <c r="GH215" s="32"/>
      <c r="GI215" s="32"/>
      <c r="GJ215" s="32"/>
      <c r="GK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38"/>
      <c r="HO215" s="338"/>
      <c r="HP215" s="338"/>
      <c r="HQ215" s="13"/>
      <c r="HR215" s="13"/>
      <c r="HS215" s="13"/>
      <c r="HT215" s="13"/>
      <c r="HU215" s="13"/>
      <c r="HV215" s="13"/>
      <c r="HW215" s="13"/>
      <c r="HX215" s="13"/>
      <c r="HY215" s="13"/>
      <c r="HZ215" s="13"/>
      <c r="IA215" s="13"/>
    </row>
    <row r="216" spans="1:235" ht="16.95" customHeight="1">
      <c r="A216" s="1"/>
      <c r="B216" s="3"/>
      <c r="C216" s="3"/>
      <c r="D216" s="124" t="str">
        <f ca="1">IF(FO211=0,"","voor bij volkomen concurrentie. Elke aanbieder heeft daar zo´n klein")</f>
        <v/>
      </c>
      <c r="E216" s="402"/>
      <c r="F216" s="402"/>
      <c r="G216" s="404"/>
      <c r="H216" s="402"/>
      <c r="I216" s="402"/>
      <c r="J216" s="376"/>
      <c r="K216" s="376"/>
      <c r="L216" s="376"/>
      <c r="M216" s="376"/>
      <c r="N216" s="376"/>
      <c r="O216" s="376"/>
      <c r="P216" s="376"/>
      <c r="Q216" s="376"/>
      <c r="R216" s="376"/>
      <c r="S216" s="376"/>
      <c r="T216" s="376"/>
      <c r="U216" s="376"/>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376"/>
      <c r="CQ216" s="376"/>
      <c r="CR216" s="376"/>
      <c r="CS216" s="376"/>
      <c r="CT216" s="376"/>
      <c r="CU216" s="376"/>
      <c r="CV216" s="376"/>
      <c r="CW216" s="376"/>
      <c r="CX216" s="376"/>
      <c r="CY216" s="376"/>
      <c r="CZ216" s="376"/>
      <c r="DA216" s="376"/>
      <c r="DB216" s="376"/>
      <c r="DC216" s="376"/>
      <c r="DD216" s="376"/>
      <c r="DE216" s="376"/>
      <c r="DF216" s="376"/>
      <c r="DG216" s="376"/>
      <c r="DH216" s="376"/>
      <c r="DI216" s="376"/>
      <c r="DJ216" s="376"/>
      <c r="DK216" s="376"/>
      <c r="DL216" s="376"/>
      <c r="DM216" s="376"/>
      <c r="DN216" s="376"/>
      <c r="DO216" s="376"/>
      <c r="DP216" s="376"/>
      <c r="DQ216" s="376"/>
      <c r="DR216" s="376"/>
      <c r="DS216" s="376"/>
      <c r="DT216" s="376"/>
      <c r="DU216" s="376"/>
      <c r="DV216" s="376"/>
      <c r="DW216" s="376"/>
      <c r="DX216" s="376"/>
      <c r="DY216" s="376"/>
      <c r="DZ216" s="376"/>
      <c r="EA216" s="376"/>
      <c r="EB216" s="376"/>
      <c r="EC216" s="376"/>
      <c r="ED216" s="376"/>
      <c r="EE216" s="376"/>
      <c r="EF216" s="376"/>
      <c r="EG216" s="376"/>
      <c r="EH216" s="376"/>
      <c r="EI216" s="376"/>
      <c r="EJ216" s="376"/>
      <c r="EK216" s="376"/>
      <c r="EL216" s="376"/>
      <c r="EM216" s="376"/>
      <c r="EN216" s="376"/>
      <c r="EO216" s="376"/>
      <c r="EP216" s="376"/>
      <c r="EQ216" s="376"/>
      <c r="ER216" s="376"/>
      <c r="ES216" s="376"/>
      <c r="ET216" s="376"/>
      <c r="EU216" s="376"/>
      <c r="EV216" s="376"/>
      <c r="EW216" s="376"/>
      <c r="EX216" s="376"/>
      <c r="EY216" s="376"/>
      <c r="EZ216" s="376"/>
      <c r="FA216" s="43"/>
      <c r="FB216" s="43"/>
      <c r="FC216" s="43"/>
      <c r="FD216" s="43"/>
      <c r="FE216" s="43"/>
      <c r="FF216" s="43"/>
      <c r="FG216" s="43"/>
      <c r="FH216" s="43"/>
      <c r="FI216" s="79"/>
      <c r="FJ216" s="79"/>
      <c r="FK216" s="79"/>
      <c r="FL216" s="79"/>
      <c r="FM216" s="338"/>
      <c r="FN216" s="338"/>
      <c r="FO216" s="338"/>
      <c r="FP216" s="338"/>
      <c r="FQ216" s="338"/>
      <c r="FR216" s="338"/>
      <c r="FS216" s="338"/>
      <c r="FT216" s="338"/>
      <c r="FU216" s="338"/>
      <c r="FV216" s="338"/>
      <c r="FW216" s="338"/>
      <c r="FX216" s="338"/>
      <c r="FY216" s="32"/>
      <c r="FZ216" s="32"/>
      <c r="GA216" s="32"/>
      <c r="GB216" s="32"/>
      <c r="GC216" s="32"/>
      <c r="GD216" s="32"/>
      <c r="GE216" s="32"/>
      <c r="GF216" s="32"/>
      <c r="GG216" s="32"/>
      <c r="GH216" s="32"/>
      <c r="GI216" s="32"/>
      <c r="GJ216" s="32"/>
      <c r="GK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38"/>
      <c r="HO216" s="338"/>
      <c r="HP216" s="338"/>
      <c r="HQ216" s="13"/>
      <c r="HR216" s="13"/>
      <c r="HS216" s="13"/>
      <c r="HT216" s="13"/>
      <c r="HU216" s="13"/>
      <c r="HV216" s="13"/>
      <c r="HW216" s="13"/>
      <c r="HX216" s="13"/>
      <c r="HY216" s="13"/>
      <c r="HZ216" s="13"/>
      <c r="IA216" s="13"/>
    </row>
    <row r="217" spans="1:235" ht="16.95" customHeight="1">
      <c r="A217" s="1"/>
      <c r="B217" s="3"/>
      <c r="C217" s="3"/>
      <c r="D217" s="124" t="str">
        <f ca="1">IF(FO211=0,"","marktaandeel, dat als deze stopt met aanbieden, het geen merkbare invloed")</f>
        <v/>
      </c>
      <c r="E217" s="402"/>
      <c r="F217" s="402"/>
      <c r="G217" s="404"/>
      <c r="H217" s="402"/>
      <c r="I217" s="402"/>
      <c r="J217" s="376"/>
      <c r="K217" s="376"/>
      <c r="L217" s="376"/>
      <c r="M217" s="376"/>
      <c r="N217" s="376"/>
      <c r="O217" s="376"/>
      <c r="P217" s="376"/>
      <c r="Q217" s="376"/>
      <c r="R217" s="376"/>
      <c r="S217" s="376"/>
      <c r="T217" s="376"/>
      <c r="U217" s="376"/>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376"/>
      <c r="CQ217" s="376"/>
      <c r="CR217" s="376"/>
      <c r="CS217" s="376"/>
      <c r="CT217" s="376"/>
      <c r="CU217" s="376"/>
      <c r="CV217" s="376"/>
      <c r="CW217" s="376"/>
      <c r="CX217" s="376"/>
      <c r="CY217" s="376"/>
      <c r="CZ217" s="376"/>
      <c r="DA217" s="376"/>
      <c r="DB217" s="376"/>
      <c r="DC217" s="376"/>
      <c r="DD217" s="376"/>
      <c r="DE217" s="376"/>
      <c r="DF217" s="376"/>
      <c r="DG217" s="376"/>
      <c r="DH217" s="376"/>
      <c r="DI217" s="376"/>
      <c r="DJ217" s="376"/>
      <c r="DK217" s="376"/>
      <c r="DL217" s="376"/>
      <c r="DM217" s="376"/>
      <c r="DN217" s="376"/>
      <c r="DO217" s="376"/>
      <c r="DP217" s="376"/>
      <c r="DQ217" s="376"/>
      <c r="DR217" s="376"/>
      <c r="DS217" s="376"/>
      <c r="DT217" s="376"/>
      <c r="DU217" s="376"/>
      <c r="DV217" s="376"/>
      <c r="DW217" s="376"/>
      <c r="DX217" s="376"/>
      <c r="DY217" s="376"/>
      <c r="DZ217" s="376"/>
      <c r="EA217" s="376"/>
      <c r="EB217" s="376"/>
      <c r="EC217" s="376"/>
      <c r="ED217" s="376"/>
      <c r="EE217" s="376"/>
      <c r="EF217" s="376"/>
      <c r="EG217" s="376"/>
      <c r="EH217" s="376"/>
      <c r="EI217" s="376"/>
      <c r="EJ217" s="376"/>
      <c r="EK217" s="376"/>
      <c r="EL217" s="376"/>
      <c r="EM217" s="376"/>
      <c r="EN217" s="376"/>
      <c r="EO217" s="376"/>
      <c r="EP217" s="376"/>
      <c r="EQ217" s="376"/>
      <c r="ER217" s="376"/>
      <c r="ES217" s="376"/>
      <c r="ET217" s="376"/>
      <c r="EU217" s="376"/>
      <c r="EV217" s="376"/>
      <c r="EW217" s="376"/>
      <c r="EX217" s="376"/>
      <c r="EY217" s="376"/>
      <c r="EZ217" s="376"/>
      <c r="FA217" s="43"/>
      <c r="FB217" s="43"/>
      <c r="FC217" s="43"/>
      <c r="FD217" s="43"/>
      <c r="FE217" s="43"/>
      <c r="FF217" s="43"/>
      <c r="FG217" s="43"/>
      <c r="FH217" s="43"/>
      <c r="FI217" s="79"/>
      <c r="FJ217" s="79"/>
      <c r="FK217" s="79"/>
      <c r="FL217" s="79"/>
      <c r="FM217" s="338"/>
      <c r="FN217" s="338"/>
      <c r="FO217" s="338"/>
      <c r="FP217" s="338"/>
      <c r="FQ217" s="338"/>
      <c r="FR217" s="338"/>
      <c r="FS217" s="338"/>
      <c r="FT217" s="338"/>
      <c r="FU217" s="338"/>
      <c r="FV217" s="338"/>
      <c r="FW217" s="338"/>
      <c r="FX217" s="338"/>
      <c r="FY217" s="32"/>
      <c r="FZ217" s="32"/>
      <c r="GA217" s="32"/>
      <c r="GB217" s="32"/>
      <c r="GC217" s="32"/>
      <c r="GD217" s="32"/>
      <c r="GE217" s="32"/>
      <c r="GF217" s="32"/>
      <c r="GG217" s="32"/>
      <c r="GH217" s="32"/>
      <c r="GI217" s="32"/>
      <c r="GJ217" s="32"/>
      <c r="GK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38"/>
      <c r="HO217" s="338"/>
      <c r="HP217" s="338"/>
      <c r="HQ217" s="13"/>
      <c r="HR217" s="13"/>
      <c r="HS217" s="13"/>
      <c r="HT217" s="13"/>
      <c r="HU217" s="13"/>
      <c r="HV217" s="13"/>
      <c r="HW217" s="13"/>
      <c r="HX217" s="13"/>
      <c r="HY217" s="13"/>
      <c r="HZ217" s="13"/>
      <c r="IA217" s="13"/>
    </row>
    <row r="218" spans="1:235" ht="16.95" customHeight="1">
      <c r="A218" s="1"/>
      <c r="B218" s="3"/>
      <c r="C218" s="3"/>
      <c r="D218" s="124" t="str">
        <f ca="1">IF(FO211=0,"","heeft op het totale aanbod. Het heeft pas effect als aanbieders massaal hetzelfde")</f>
        <v/>
      </c>
      <c r="E218" s="402"/>
      <c r="F218" s="402"/>
      <c r="G218" s="404"/>
      <c r="H218" s="402"/>
      <c r="I218" s="402"/>
      <c r="J218" s="376"/>
      <c r="K218" s="376"/>
      <c r="L218" s="376"/>
      <c r="M218" s="376"/>
      <c r="N218" s="376"/>
      <c r="O218" s="376"/>
      <c r="P218" s="376"/>
      <c r="Q218" s="376"/>
      <c r="R218" s="376"/>
      <c r="S218" s="376"/>
      <c r="T218" s="376"/>
      <c r="U218" s="376"/>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376"/>
      <c r="CQ218" s="376"/>
      <c r="CR218" s="376"/>
      <c r="CS218" s="376"/>
      <c r="CT218" s="376"/>
      <c r="CU218" s="376"/>
      <c r="CV218" s="376"/>
      <c r="CW218" s="376"/>
      <c r="CX218" s="376"/>
      <c r="CY218" s="376"/>
      <c r="CZ218" s="376"/>
      <c r="DA218" s="376"/>
      <c r="DB218" s="376"/>
      <c r="DC218" s="376"/>
      <c r="DD218" s="376"/>
      <c r="DE218" s="376"/>
      <c r="DF218" s="376"/>
      <c r="DG218" s="376"/>
      <c r="DH218" s="376"/>
      <c r="DI218" s="376"/>
      <c r="DJ218" s="376"/>
      <c r="DK218" s="376"/>
      <c r="DL218" s="376"/>
      <c r="DM218" s="376"/>
      <c r="DN218" s="376"/>
      <c r="DO218" s="376"/>
      <c r="DP218" s="376"/>
      <c r="DQ218" s="376"/>
      <c r="DR218" s="376"/>
      <c r="DS218" s="376"/>
      <c r="DT218" s="376"/>
      <c r="DU218" s="376"/>
      <c r="DV218" s="376"/>
      <c r="DW218" s="376"/>
      <c r="DX218" s="376"/>
      <c r="DY218" s="376"/>
      <c r="DZ218" s="376"/>
      <c r="EA218" s="376"/>
      <c r="EB218" s="376"/>
      <c r="EC218" s="376"/>
      <c r="ED218" s="376"/>
      <c r="EE218" s="376"/>
      <c r="EF218" s="376"/>
      <c r="EG218" s="376"/>
      <c r="EH218" s="376"/>
      <c r="EI218" s="376"/>
      <c r="EJ218" s="376"/>
      <c r="EK218" s="376"/>
      <c r="EL218" s="376"/>
      <c r="EM218" s="376"/>
      <c r="EN218" s="376"/>
      <c r="EO218" s="376"/>
      <c r="EP218" s="376"/>
      <c r="EQ218" s="376"/>
      <c r="ER218" s="376"/>
      <c r="ES218" s="376"/>
      <c r="ET218" s="376"/>
      <c r="EU218" s="376"/>
      <c r="EV218" s="376"/>
      <c r="EW218" s="376"/>
      <c r="EX218" s="376"/>
      <c r="EY218" s="376"/>
      <c r="EZ218" s="376"/>
      <c r="FA218" s="43"/>
      <c r="FB218" s="43"/>
      <c r="FC218" s="43"/>
      <c r="FD218" s="43"/>
      <c r="FE218" s="43"/>
      <c r="FF218" s="43"/>
      <c r="FG218" s="43"/>
      <c r="FH218" s="43"/>
      <c r="FI218" s="79"/>
      <c r="FJ218" s="79"/>
      <c r="FK218" s="79"/>
      <c r="FL218" s="79"/>
      <c r="FM218" s="338"/>
      <c r="FN218" s="338"/>
      <c r="FO218" s="338"/>
      <c r="FP218" s="338"/>
      <c r="FQ218" s="338"/>
      <c r="FR218" s="338"/>
      <c r="FS218" s="338"/>
      <c r="FT218" s="338"/>
      <c r="FU218" s="338"/>
      <c r="FV218" s="338"/>
      <c r="FW218" s="338"/>
      <c r="FX218" s="338"/>
      <c r="FY218" s="32"/>
      <c r="FZ218" s="32"/>
      <c r="GA218" s="32"/>
      <c r="GB218" s="32"/>
      <c r="GC218" s="32"/>
      <c r="GD218" s="32"/>
      <c r="GE218" s="32"/>
      <c r="GF218" s="32"/>
      <c r="GG218" s="32"/>
      <c r="GH218" s="32"/>
      <c r="GI218" s="32"/>
      <c r="GJ218" s="32"/>
      <c r="GK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38"/>
      <c r="HO218" s="338"/>
      <c r="HP218" s="338"/>
      <c r="HQ218" s="13"/>
      <c r="HR218" s="13"/>
      <c r="HS218" s="13"/>
      <c r="HT218" s="13"/>
      <c r="HU218" s="13"/>
      <c r="HV218" s="13"/>
      <c r="HW218" s="13"/>
      <c r="HX218" s="13"/>
      <c r="HY218" s="13"/>
      <c r="HZ218" s="13"/>
      <c r="IA218" s="13"/>
    </row>
    <row r="219" spans="1:235" ht="16.95" customHeight="1">
      <c r="A219" s="1"/>
      <c r="B219" s="3"/>
      <c r="C219" s="3"/>
      <c r="D219" s="124" t="str">
        <f ca="1">IF(FO211=0,"","gedrag vertonen. Bij de presentatie ''Marktvormen en marktimperfecties'' is")</f>
        <v/>
      </c>
      <c r="E219" s="402"/>
      <c r="F219" s="402"/>
      <c r="G219" s="404"/>
      <c r="H219" s="402"/>
      <c r="I219" s="402"/>
      <c r="J219" s="376"/>
      <c r="K219" s="376"/>
      <c r="L219" s="376"/>
      <c r="M219" s="376"/>
      <c r="N219" s="376"/>
      <c r="O219" s="376"/>
      <c r="P219" s="376"/>
      <c r="Q219" s="376"/>
      <c r="R219" s="376"/>
      <c r="S219" s="376"/>
      <c r="T219" s="376"/>
      <c r="U219" s="376"/>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376"/>
      <c r="CQ219" s="376"/>
      <c r="CR219" s="376"/>
      <c r="CS219" s="376"/>
      <c r="CT219" s="376"/>
      <c r="CU219" s="376"/>
      <c r="CV219" s="376"/>
      <c r="CW219" s="376"/>
      <c r="CX219" s="376"/>
      <c r="CY219" s="376"/>
      <c r="CZ219" s="376"/>
      <c r="DA219" s="376"/>
      <c r="DB219" s="376"/>
      <c r="DC219" s="376"/>
      <c r="DD219" s="376"/>
      <c r="DE219" s="376"/>
      <c r="DF219" s="376"/>
      <c r="DG219" s="376"/>
      <c r="DH219" s="376"/>
      <c r="DI219" s="376"/>
      <c r="DJ219" s="376"/>
      <c r="DK219" s="376"/>
      <c r="DL219" s="376"/>
      <c r="DM219" s="376"/>
      <c r="DN219" s="376"/>
      <c r="DO219" s="376"/>
      <c r="DP219" s="376"/>
      <c r="DQ219" s="376"/>
      <c r="DR219" s="376"/>
      <c r="DS219" s="376"/>
      <c r="DT219" s="376"/>
      <c r="DU219" s="376"/>
      <c r="DV219" s="376"/>
      <c r="DW219" s="376"/>
      <c r="DX219" s="376"/>
      <c r="DY219" s="376"/>
      <c r="DZ219" s="376"/>
      <c r="EA219" s="376"/>
      <c r="EB219" s="376"/>
      <c r="EC219" s="376"/>
      <c r="ED219" s="376"/>
      <c r="EE219" s="376"/>
      <c r="EF219" s="376"/>
      <c r="EG219" s="376"/>
      <c r="EH219" s="376"/>
      <c r="EI219" s="376"/>
      <c r="EJ219" s="376"/>
      <c r="EK219" s="376"/>
      <c r="EL219" s="376"/>
      <c r="EM219" s="376"/>
      <c r="EN219" s="376"/>
      <c r="EO219" s="376"/>
      <c r="EP219" s="376"/>
      <c r="EQ219" s="376"/>
      <c r="ER219" s="376"/>
      <c r="ES219" s="376"/>
      <c r="ET219" s="376"/>
      <c r="EU219" s="376"/>
      <c r="EV219" s="376"/>
      <c r="EW219" s="376"/>
      <c r="EX219" s="376"/>
      <c r="EY219" s="376"/>
      <c r="EZ219" s="376"/>
      <c r="FA219" s="43"/>
      <c r="FB219" s="43"/>
      <c r="FC219" s="43"/>
      <c r="FD219" s="43"/>
      <c r="FE219" s="43"/>
      <c r="FF219" s="43"/>
      <c r="FG219" s="43"/>
      <c r="FH219" s="43"/>
      <c r="FI219" s="79"/>
      <c r="FJ219" s="79"/>
      <c r="FK219" s="79"/>
      <c r="FL219" s="79"/>
      <c r="FM219" s="338"/>
      <c r="FN219" s="338"/>
      <c r="FO219" s="338"/>
      <c r="FP219" s="338"/>
      <c r="FQ219" s="338"/>
      <c r="FR219" s="338"/>
      <c r="FS219" s="338"/>
      <c r="FT219" s="338"/>
      <c r="FU219" s="338"/>
      <c r="FV219" s="338"/>
      <c r="FW219" s="338"/>
      <c r="FX219" s="338"/>
      <c r="FY219" s="32"/>
      <c r="FZ219" s="32"/>
      <c r="GA219" s="32"/>
      <c r="GB219" s="32"/>
      <c r="GC219" s="32"/>
      <c r="GD219" s="32"/>
      <c r="GE219" s="32"/>
      <c r="GF219" s="32"/>
      <c r="GG219" s="32"/>
      <c r="GH219" s="32"/>
      <c r="GI219" s="32"/>
      <c r="GJ219" s="32"/>
      <c r="GK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38"/>
      <c r="HO219" s="338"/>
      <c r="HP219" s="338"/>
      <c r="HQ219" s="13"/>
      <c r="HR219" s="13"/>
      <c r="HS219" s="13"/>
      <c r="HT219" s="13"/>
      <c r="HU219" s="13"/>
      <c r="HV219" s="13"/>
      <c r="HW219" s="13"/>
      <c r="HX219" s="13"/>
      <c r="HY219" s="13"/>
      <c r="HZ219" s="13"/>
      <c r="IA219" s="13"/>
    </row>
    <row r="220" spans="1:235" ht="16.95" customHeight="1">
      <c r="A220" s="1"/>
      <c r="B220" s="3"/>
      <c r="C220" s="3"/>
      <c r="D220" s="124" t="str">
        <f ca="1">IF(FO211=0,"","al aan bod gekomen dat ook bij een homogeen oligopolie hoeveelheids-")</f>
        <v/>
      </c>
      <c r="E220" s="402"/>
      <c r="F220" s="402"/>
      <c r="G220" s="404"/>
      <c r="H220" s="402"/>
      <c r="I220" s="402"/>
      <c r="J220" s="376"/>
      <c r="K220" s="376"/>
      <c r="L220" s="376"/>
      <c r="M220" s="376"/>
      <c r="N220" s="376"/>
      <c r="O220" s="376"/>
      <c r="P220" s="376"/>
      <c r="Q220" s="376"/>
      <c r="R220" s="376"/>
      <c r="S220" s="376"/>
      <c r="T220" s="376"/>
      <c r="U220" s="376"/>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376"/>
      <c r="CQ220" s="376"/>
      <c r="CR220" s="376"/>
      <c r="CS220" s="376"/>
      <c r="CT220" s="376"/>
      <c r="CU220" s="376"/>
      <c r="CV220" s="376"/>
      <c r="CW220" s="376"/>
      <c r="CX220" s="376"/>
      <c r="CY220" s="376"/>
      <c r="CZ220" s="376"/>
      <c r="DA220" s="376"/>
      <c r="DB220" s="376"/>
      <c r="DC220" s="376"/>
      <c r="DD220" s="376"/>
      <c r="DE220" s="376"/>
      <c r="DF220" s="376"/>
      <c r="DG220" s="376"/>
      <c r="DH220" s="376"/>
      <c r="DI220" s="376"/>
      <c r="DJ220" s="376"/>
      <c r="DK220" s="376"/>
      <c r="DL220" s="376"/>
      <c r="DM220" s="376"/>
      <c r="DN220" s="376"/>
      <c r="DO220" s="376"/>
      <c r="DP220" s="376"/>
      <c r="DQ220" s="376"/>
      <c r="DR220" s="376"/>
      <c r="DS220" s="376"/>
      <c r="DT220" s="376"/>
      <c r="DU220" s="376"/>
      <c r="DV220" s="376"/>
      <c r="DW220" s="376"/>
      <c r="DX220" s="376"/>
      <c r="DY220" s="376"/>
      <c r="DZ220" s="376"/>
      <c r="EA220" s="376"/>
      <c r="EB220" s="376"/>
      <c r="EC220" s="376"/>
      <c r="ED220" s="376"/>
      <c r="EE220" s="376"/>
      <c r="EF220" s="376"/>
      <c r="EG220" s="376"/>
      <c r="EH220" s="376"/>
      <c r="EI220" s="376"/>
      <c r="EJ220" s="376"/>
      <c r="EK220" s="376"/>
      <c r="EL220" s="376"/>
      <c r="EM220" s="376"/>
      <c r="EN220" s="376"/>
      <c r="EO220" s="376"/>
      <c r="EP220" s="376"/>
      <c r="EQ220" s="376"/>
      <c r="ER220" s="376"/>
      <c r="ES220" s="376"/>
      <c r="ET220" s="376"/>
      <c r="EU220" s="376"/>
      <c r="EV220" s="376"/>
      <c r="EW220" s="376"/>
      <c r="EX220" s="376"/>
      <c r="EY220" s="376"/>
      <c r="EZ220" s="376"/>
      <c r="FA220" s="43"/>
      <c r="FB220" s="43"/>
      <c r="FC220" s="43"/>
      <c r="FD220" s="43"/>
      <c r="FE220" s="43"/>
      <c r="FF220" s="43"/>
      <c r="FG220" s="43"/>
      <c r="FH220" s="43"/>
      <c r="FI220" s="79"/>
      <c r="FJ220" s="79"/>
      <c r="FK220" s="79"/>
      <c r="FL220" s="79"/>
      <c r="FM220" s="338"/>
      <c r="FN220" s="338"/>
      <c r="FO220" s="338"/>
      <c r="FP220" s="338"/>
      <c r="FQ220" s="338"/>
      <c r="FR220" s="338"/>
      <c r="FS220" s="338"/>
      <c r="FT220" s="338"/>
      <c r="FU220" s="338"/>
      <c r="FV220" s="338"/>
      <c r="FW220" s="338"/>
      <c r="FX220" s="338"/>
      <c r="FY220" s="32"/>
      <c r="FZ220" s="32"/>
      <c r="GA220" s="32"/>
      <c r="GB220" s="32"/>
      <c r="GC220" s="32"/>
      <c r="GD220" s="32"/>
      <c r="GE220" s="32"/>
      <c r="GF220" s="32"/>
      <c r="GG220" s="32"/>
      <c r="GH220" s="32"/>
      <c r="GI220" s="32"/>
      <c r="GJ220" s="32"/>
      <c r="GK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38"/>
      <c r="HO220" s="338"/>
      <c r="HP220" s="338"/>
      <c r="HQ220" s="13"/>
      <c r="HR220" s="13"/>
      <c r="HS220" s="13"/>
      <c r="HT220" s="13"/>
      <c r="HU220" s="13"/>
      <c r="HV220" s="13"/>
      <c r="HW220" s="13"/>
      <c r="HX220" s="13"/>
      <c r="HY220" s="13"/>
      <c r="HZ220" s="13"/>
      <c r="IA220" s="13"/>
    </row>
    <row r="221" spans="1:235" ht="16.95" customHeight="1">
      <c r="A221" s="1"/>
      <c r="B221" s="3"/>
      <c r="C221" s="3"/>
      <c r="D221" s="124" t="str">
        <f ca="1">IF(FO211=0,"","aanpassing kan voorkomen. Dat is om een andere reden dan bij volkomen")</f>
        <v/>
      </c>
      <c r="E221" s="402"/>
      <c r="F221" s="402"/>
      <c r="G221" s="404"/>
      <c r="H221" s="402"/>
      <c r="I221" s="402"/>
      <c r="J221" s="376"/>
      <c r="K221" s="376"/>
      <c r="L221" s="376"/>
      <c r="M221" s="376"/>
      <c r="N221" s="376"/>
      <c r="O221" s="376"/>
      <c r="P221" s="376"/>
      <c r="Q221" s="376"/>
      <c r="R221" s="376"/>
      <c r="S221" s="376"/>
      <c r="T221" s="376"/>
      <c r="U221" s="376"/>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376"/>
      <c r="CQ221" s="376"/>
      <c r="CR221" s="376"/>
      <c r="CS221" s="376"/>
      <c r="CT221" s="376"/>
      <c r="CU221" s="376"/>
      <c r="CV221" s="376"/>
      <c r="CW221" s="376"/>
      <c r="CX221" s="376"/>
      <c r="CY221" s="376"/>
      <c r="CZ221" s="376"/>
      <c r="DA221" s="376"/>
      <c r="DB221" s="376"/>
      <c r="DC221" s="376"/>
      <c r="DD221" s="376"/>
      <c r="DE221" s="376"/>
      <c r="DF221" s="376"/>
      <c r="DG221" s="376"/>
      <c r="DH221" s="376"/>
      <c r="DI221" s="376"/>
      <c r="DJ221" s="376"/>
      <c r="DK221" s="376"/>
      <c r="DL221" s="376"/>
      <c r="DM221" s="376"/>
      <c r="DN221" s="376"/>
      <c r="DO221" s="376"/>
      <c r="DP221" s="376"/>
      <c r="DQ221" s="376"/>
      <c r="DR221" s="376"/>
      <c r="DS221" s="376"/>
      <c r="DT221" s="376"/>
      <c r="DU221" s="376"/>
      <c r="DV221" s="376"/>
      <c r="DW221" s="376"/>
      <c r="DX221" s="376"/>
      <c r="DY221" s="376"/>
      <c r="DZ221" s="376"/>
      <c r="EA221" s="376"/>
      <c r="EB221" s="376"/>
      <c r="EC221" s="376"/>
      <c r="ED221" s="376"/>
      <c r="EE221" s="376"/>
      <c r="EF221" s="376"/>
      <c r="EG221" s="376"/>
      <c r="EH221" s="376"/>
      <c r="EI221" s="376"/>
      <c r="EJ221" s="376"/>
      <c r="EK221" s="376"/>
      <c r="EL221" s="376"/>
      <c r="EM221" s="376"/>
      <c r="EN221" s="376"/>
      <c r="EO221" s="376"/>
      <c r="EP221" s="376"/>
      <c r="EQ221" s="376"/>
      <c r="ER221" s="376"/>
      <c r="ES221" s="376"/>
      <c r="ET221" s="376"/>
      <c r="EU221" s="376"/>
      <c r="EV221" s="376"/>
      <c r="EW221" s="376"/>
      <c r="EX221" s="376"/>
      <c r="EY221" s="376"/>
      <c r="EZ221" s="376"/>
      <c r="FA221" s="43"/>
      <c r="FB221" s="43"/>
      <c r="FC221" s="43"/>
      <c r="FD221" s="43"/>
      <c r="FE221" s="43"/>
      <c r="FF221" s="43"/>
      <c r="FG221" s="43"/>
      <c r="FH221" s="43"/>
      <c r="FI221" s="79"/>
      <c r="FJ221" s="79"/>
      <c r="FK221" s="79"/>
      <c r="FL221" s="79"/>
      <c r="FM221" s="338"/>
      <c r="FN221" s="338"/>
      <c r="FO221" s="338"/>
      <c r="FP221" s="338"/>
      <c r="FQ221" s="338"/>
      <c r="FR221" s="338"/>
      <c r="FS221" s="338"/>
      <c r="FT221" s="338"/>
      <c r="FU221" s="338"/>
      <c r="FV221" s="338"/>
      <c r="FW221" s="338"/>
      <c r="FX221" s="338"/>
      <c r="FY221" s="32"/>
      <c r="FZ221" s="32"/>
      <c r="GA221" s="32"/>
      <c r="GB221" s="32"/>
      <c r="GC221" s="32"/>
      <c r="GD221" s="32"/>
      <c r="GE221" s="32"/>
      <c r="GF221" s="32"/>
      <c r="GG221" s="32"/>
      <c r="GH221" s="32"/>
      <c r="GI221" s="32"/>
      <c r="GJ221" s="32"/>
      <c r="GK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38"/>
      <c r="HO221" s="338"/>
      <c r="HP221" s="338"/>
      <c r="HQ221" s="13"/>
      <c r="HR221" s="13"/>
      <c r="HS221" s="13"/>
      <c r="HT221" s="13"/>
      <c r="HU221" s="13"/>
      <c r="HV221" s="13"/>
      <c r="HW221" s="13"/>
      <c r="HX221" s="13"/>
      <c r="HY221" s="13"/>
      <c r="HZ221" s="13"/>
      <c r="IA221" s="13"/>
    </row>
    <row r="222" spans="1:235" ht="16.95" customHeight="1">
      <c r="A222" s="1"/>
      <c r="B222" s="3"/>
      <c r="C222" s="3"/>
      <c r="D222" s="124" t="str">
        <f ca="1">IF(FO211=0,"","concurrentie. Bij een oligopolie is het verminderen van het aanbod door een")</f>
        <v/>
      </c>
      <c r="E222" s="402"/>
      <c r="F222" s="402"/>
      <c r="G222" s="404"/>
      <c r="H222" s="402"/>
      <c r="I222" s="402"/>
      <c r="J222" s="376"/>
      <c r="K222" s="376"/>
      <c r="L222" s="376"/>
      <c r="M222" s="376"/>
      <c r="N222" s="376"/>
      <c r="O222" s="376"/>
      <c r="P222" s="376"/>
      <c r="Q222" s="376"/>
      <c r="R222" s="376"/>
      <c r="S222" s="376"/>
      <c r="T222" s="376"/>
      <c r="U222" s="376"/>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376"/>
      <c r="CQ222" s="376"/>
      <c r="CR222" s="376"/>
      <c r="CS222" s="376"/>
      <c r="CT222" s="376"/>
      <c r="CU222" s="376"/>
      <c r="CV222" s="376"/>
      <c r="CW222" s="376"/>
      <c r="CX222" s="376"/>
      <c r="CY222" s="376"/>
      <c r="CZ222" s="376"/>
      <c r="DA222" s="376"/>
      <c r="DB222" s="376"/>
      <c r="DC222" s="376"/>
      <c r="DD222" s="376"/>
      <c r="DE222" s="376"/>
      <c r="DF222" s="376"/>
      <c r="DG222" s="376"/>
      <c r="DH222" s="376"/>
      <c r="DI222" s="376"/>
      <c r="DJ222" s="376"/>
      <c r="DK222" s="376"/>
      <c r="DL222" s="376"/>
      <c r="DM222" s="376"/>
      <c r="DN222" s="376"/>
      <c r="DO222" s="376"/>
      <c r="DP222" s="376"/>
      <c r="DQ222" s="376"/>
      <c r="DR222" s="376"/>
      <c r="DS222" s="376"/>
      <c r="DT222" s="376"/>
      <c r="DU222" s="376"/>
      <c r="DV222" s="376"/>
      <c r="DW222" s="376"/>
      <c r="DX222" s="376"/>
      <c r="DY222" s="376"/>
      <c r="DZ222" s="376"/>
      <c r="EA222" s="376"/>
      <c r="EB222" s="376"/>
      <c r="EC222" s="376"/>
      <c r="ED222" s="376"/>
      <c r="EE222" s="376"/>
      <c r="EF222" s="376"/>
      <c r="EG222" s="376"/>
      <c r="EH222" s="376"/>
      <c r="EI222" s="376"/>
      <c r="EJ222" s="376"/>
      <c r="EK222" s="376"/>
      <c r="EL222" s="376"/>
      <c r="EM222" s="376"/>
      <c r="EN222" s="376"/>
      <c r="EO222" s="376"/>
      <c r="EP222" s="376"/>
      <c r="EQ222" s="376"/>
      <c r="ER222" s="376"/>
      <c r="ES222" s="376"/>
      <c r="ET222" s="376"/>
      <c r="EU222" s="376"/>
      <c r="EV222" s="376"/>
      <c r="EW222" s="376"/>
      <c r="EX222" s="376"/>
      <c r="EY222" s="376"/>
      <c r="EZ222" s="376"/>
      <c r="FA222" s="43"/>
      <c r="FB222" s="43"/>
      <c r="FC222" s="43"/>
      <c r="FD222" s="43"/>
      <c r="FE222" s="43"/>
      <c r="FF222" s="43"/>
      <c r="FG222" s="43"/>
      <c r="FH222" s="43"/>
      <c r="FI222" s="79"/>
      <c r="FJ222" s="79"/>
      <c r="FK222" s="79"/>
      <c r="FL222" s="79"/>
      <c r="FM222" s="338"/>
      <c r="FN222" s="338"/>
      <c r="FO222" s="338"/>
      <c r="FP222" s="338"/>
      <c r="FQ222" s="338"/>
      <c r="FR222" s="338"/>
      <c r="FS222" s="338"/>
      <c r="FT222" s="338"/>
      <c r="FU222" s="338"/>
      <c r="FV222" s="338"/>
      <c r="FW222" s="338"/>
      <c r="FX222" s="338"/>
      <c r="FY222" s="32"/>
      <c r="FZ222" s="32"/>
      <c r="GA222" s="32"/>
      <c r="GB222" s="32"/>
      <c r="GC222" s="32"/>
      <c r="GD222" s="32"/>
      <c r="GE222" s="32"/>
      <c r="GF222" s="32"/>
      <c r="GG222" s="32"/>
      <c r="GH222" s="32"/>
      <c r="GI222" s="32"/>
      <c r="GJ222" s="32"/>
      <c r="GK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38"/>
      <c r="HO222" s="338"/>
      <c r="HP222" s="338"/>
      <c r="HQ222" s="13"/>
      <c r="HR222" s="13"/>
      <c r="HS222" s="13"/>
      <c r="HT222" s="13"/>
      <c r="HU222" s="13"/>
      <c r="HV222" s="13"/>
      <c r="HW222" s="13"/>
      <c r="HX222" s="13"/>
      <c r="HY222" s="13"/>
      <c r="HZ222" s="13"/>
      <c r="IA222" s="13"/>
    </row>
    <row r="223" spans="1:235" ht="16.95" customHeight="1">
      <c r="A223" s="1"/>
      <c r="B223" s="3"/>
      <c r="C223" s="3"/>
      <c r="D223" s="124" t="str">
        <f ca="1">IF(FO211=0,"","van de aanbieders wel merkbaar, maar de andere producenten hebben meestal")</f>
        <v/>
      </c>
      <c r="E223" s="402"/>
      <c r="F223" s="402"/>
      <c r="G223" s="404"/>
      <c r="H223" s="402"/>
      <c r="I223" s="402"/>
      <c r="J223" s="376"/>
      <c r="K223" s="376"/>
      <c r="L223" s="376"/>
      <c r="M223" s="376"/>
      <c r="N223" s="376"/>
      <c r="O223" s="376"/>
      <c r="P223" s="376"/>
      <c r="Q223" s="376"/>
      <c r="R223" s="376"/>
      <c r="S223" s="376"/>
      <c r="T223" s="376"/>
      <c r="U223" s="376"/>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376"/>
      <c r="CQ223" s="376"/>
      <c r="CR223" s="376"/>
      <c r="CS223" s="376"/>
      <c r="CT223" s="376"/>
      <c r="CU223" s="376"/>
      <c r="CV223" s="376"/>
      <c r="CW223" s="376"/>
      <c r="CX223" s="376"/>
      <c r="CY223" s="376"/>
      <c r="CZ223" s="376"/>
      <c r="DA223" s="376"/>
      <c r="DB223" s="376"/>
      <c r="DC223" s="376"/>
      <c r="DD223" s="376"/>
      <c r="DE223" s="376"/>
      <c r="DF223" s="376"/>
      <c r="DG223" s="376"/>
      <c r="DH223" s="376"/>
      <c r="DI223" s="376"/>
      <c r="DJ223" s="376"/>
      <c r="DK223" s="376"/>
      <c r="DL223" s="376"/>
      <c r="DM223" s="376"/>
      <c r="DN223" s="376"/>
      <c r="DO223" s="376"/>
      <c r="DP223" s="376"/>
      <c r="DQ223" s="376"/>
      <c r="DR223" s="376"/>
      <c r="DS223" s="376"/>
      <c r="DT223" s="376"/>
      <c r="DU223" s="376"/>
      <c r="DV223" s="376"/>
      <c r="DW223" s="376"/>
      <c r="DX223" s="376"/>
      <c r="DY223" s="376"/>
      <c r="DZ223" s="376"/>
      <c r="EA223" s="376"/>
      <c r="EB223" s="376"/>
      <c r="EC223" s="376"/>
      <c r="ED223" s="376"/>
      <c r="EE223" s="376"/>
      <c r="EF223" s="376"/>
      <c r="EG223" s="376"/>
      <c r="EH223" s="376"/>
      <c r="EI223" s="376"/>
      <c r="EJ223" s="376"/>
      <c r="EK223" s="376"/>
      <c r="EL223" s="376"/>
      <c r="EM223" s="376"/>
      <c r="EN223" s="376"/>
      <c r="EO223" s="376"/>
      <c r="EP223" s="376"/>
      <c r="EQ223" s="376"/>
      <c r="ER223" s="376"/>
      <c r="ES223" s="376"/>
      <c r="ET223" s="376"/>
      <c r="EU223" s="376"/>
      <c r="EV223" s="376"/>
      <c r="EW223" s="376"/>
      <c r="EX223" s="376"/>
      <c r="EY223" s="376"/>
      <c r="EZ223" s="376"/>
      <c r="FA223" s="43"/>
      <c r="FB223" s="43"/>
      <c r="FC223" s="43"/>
      <c r="FD223" s="43"/>
      <c r="FE223" s="43"/>
      <c r="FF223" s="43"/>
      <c r="FG223" s="43"/>
      <c r="FH223" s="43"/>
      <c r="FI223" s="79"/>
      <c r="FJ223" s="79"/>
      <c r="FK223" s="79"/>
      <c r="FL223" s="79"/>
      <c r="FM223" s="338"/>
      <c r="FN223" s="338"/>
      <c r="FO223" s="338"/>
      <c r="FP223" s="338"/>
      <c r="FQ223" s="338"/>
      <c r="FR223" s="338"/>
      <c r="FS223" s="338"/>
      <c r="FT223" s="338"/>
      <c r="FU223" s="338"/>
      <c r="FV223" s="338"/>
      <c r="FW223" s="338"/>
      <c r="FX223" s="338"/>
      <c r="FY223" s="32"/>
      <c r="FZ223" s="32"/>
      <c r="GA223" s="32"/>
      <c r="GB223" s="32"/>
      <c r="GC223" s="32"/>
      <c r="GD223" s="32"/>
      <c r="GE223" s="32"/>
      <c r="GF223" s="32"/>
      <c r="GG223" s="32"/>
      <c r="GH223" s="32"/>
      <c r="GI223" s="32"/>
      <c r="GJ223" s="32"/>
      <c r="GK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38"/>
      <c r="HO223" s="338"/>
      <c r="HP223" s="338"/>
      <c r="HQ223" s="13"/>
      <c r="HR223" s="13"/>
      <c r="HS223" s="13"/>
      <c r="HT223" s="13"/>
      <c r="HU223" s="13"/>
      <c r="HV223" s="13"/>
      <c r="HW223" s="13"/>
      <c r="HX223" s="13"/>
      <c r="HY223" s="13"/>
      <c r="HZ223" s="13"/>
      <c r="IA223" s="13"/>
    </row>
    <row r="224" spans="1:235" ht="16.95" customHeight="1">
      <c r="A224" s="1"/>
      <c r="B224" s="3"/>
      <c r="C224" s="3"/>
      <c r="D224" s="124" t="str">
        <f ca="1">IF(FO211=0,"","zoveel overcapaciteit dat ze het gat (tussen vraag en aanbod bij de oude")</f>
        <v/>
      </c>
      <c r="E224" s="402"/>
      <c r="F224" s="402"/>
      <c r="G224" s="404"/>
      <c r="H224" s="402"/>
      <c r="I224" s="402"/>
      <c r="J224" s="376"/>
      <c r="K224" s="376"/>
      <c r="L224" s="376"/>
      <c r="M224" s="376"/>
      <c r="N224" s="376"/>
      <c r="O224" s="376"/>
      <c r="P224" s="376"/>
      <c r="Q224" s="376"/>
      <c r="R224" s="376"/>
      <c r="S224" s="376"/>
      <c r="T224" s="376"/>
      <c r="U224" s="376"/>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376"/>
      <c r="CQ224" s="376"/>
      <c r="CR224" s="376"/>
      <c r="CS224" s="376"/>
      <c r="CT224" s="376"/>
      <c r="CU224" s="376"/>
      <c r="CV224" s="376"/>
      <c r="CW224" s="376"/>
      <c r="CX224" s="376"/>
      <c r="CY224" s="376"/>
      <c r="CZ224" s="376"/>
      <c r="DA224" s="376"/>
      <c r="DB224" s="376"/>
      <c r="DC224" s="376"/>
      <c r="DD224" s="376"/>
      <c r="DE224" s="376"/>
      <c r="DF224" s="376"/>
      <c r="DG224" s="376"/>
      <c r="DH224" s="376"/>
      <c r="DI224" s="376"/>
      <c r="DJ224" s="376"/>
      <c r="DK224" s="376"/>
      <c r="DL224" s="376"/>
      <c r="DM224" s="376"/>
      <c r="DN224" s="376"/>
      <c r="DO224" s="376"/>
      <c r="DP224" s="376"/>
      <c r="DQ224" s="376"/>
      <c r="DR224" s="376"/>
      <c r="DS224" s="376"/>
      <c r="DT224" s="376"/>
      <c r="DU224" s="376"/>
      <c r="DV224" s="376"/>
      <c r="DW224" s="376"/>
      <c r="DX224" s="376"/>
      <c r="DY224" s="376"/>
      <c r="DZ224" s="376"/>
      <c r="EA224" s="376"/>
      <c r="EB224" s="376"/>
      <c r="EC224" s="376"/>
      <c r="ED224" s="376"/>
      <c r="EE224" s="376"/>
      <c r="EF224" s="376"/>
      <c r="EG224" s="376"/>
      <c r="EH224" s="376"/>
      <c r="EI224" s="376"/>
      <c r="EJ224" s="376"/>
      <c r="EK224" s="376"/>
      <c r="EL224" s="376"/>
      <c r="EM224" s="376"/>
      <c r="EN224" s="376"/>
      <c r="EO224" s="376"/>
      <c r="EP224" s="376"/>
      <c r="EQ224" s="376"/>
      <c r="ER224" s="376"/>
      <c r="ES224" s="376"/>
      <c r="ET224" s="376"/>
      <c r="EU224" s="376"/>
      <c r="EV224" s="376"/>
      <c r="EW224" s="376"/>
      <c r="EX224" s="376"/>
      <c r="EY224" s="376"/>
      <c r="EZ224" s="376"/>
      <c r="FA224" s="43"/>
      <c r="FB224" s="43"/>
      <c r="FC224" s="43"/>
      <c r="FD224" s="43"/>
      <c r="FE224" s="43"/>
      <c r="FF224" s="43"/>
      <c r="FG224" s="43"/>
      <c r="FH224" s="43"/>
      <c r="FI224" s="79"/>
      <c r="FJ224" s="79"/>
      <c r="FK224" s="79"/>
      <c r="FL224" s="79"/>
      <c r="FM224" s="338"/>
      <c r="FN224" s="338"/>
      <c r="FO224" s="338"/>
      <c r="FP224" s="338"/>
      <c r="FQ224" s="338"/>
      <c r="FR224" s="338"/>
      <c r="FS224" s="338"/>
      <c r="FT224" s="338"/>
      <c r="FU224" s="338"/>
      <c r="FV224" s="338"/>
      <c r="FW224" s="338"/>
      <c r="FX224" s="338"/>
      <c r="FY224" s="32"/>
      <c r="FZ224" s="32"/>
      <c r="GA224" s="32"/>
      <c r="GB224" s="32"/>
      <c r="GC224" s="32"/>
      <c r="GD224" s="32"/>
      <c r="GE224" s="32"/>
      <c r="GF224" s="32"/>
      <c r="GG224" s="32"/>
      <c r="GH224" s="32"/>
      <c r="GI224" s="32"/>
      <c r="GJ224" s="32"/>
      <c r="GK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38"/>
      <c r="HO224" s="338"/>
      <c r="HP224" s="338"/>
      <c r="HQ224" s="13"/>
      <c r="HR224" s="13"/>
      <c r="HS224" s="13"/>
      <c r="HT224" s="13"/>
      <c r="HU224" s="13"/>
      <c r="HV224" s="13"/>
      <c r="HW224" s="13"/>
      <c r="HX224" s="13"/>
      <c r="HY224" s="13"/>
      <c r="HZ224" s="13"/>
      <c r="IA224" s="13"/>
    </row>
    <row r="225" spans="1:235" ht="16.95" customHeight="1">
      <c r="A225" s="1"/>
      <c r="B225" s="3"/>
      <c r="C225" s="3"/>
      <c r="D225" s="124" t="str">
        <f ca="1">IF(FO211=0,"","marktprijs) direct opvullen. Dat zorgt ervoor dat als de vraag niet verandert,")</f>
        <v/>
      </c>
      <c r="E225" s="402"/>
      <c r="F225" s="402"/>
      <c r="G225" s="402"/>
      <c r="H225" s="402"/>
      <c r="I225" s="402"/>
      <c r="J225" s="376"/>
      <c r="K225" s="376"/>
      <c r="L225" s="376"/>
      <c r="M225" s="376"/>
      <c r="N225" s="376"/>
      <c r="O225" s="376"/>
      <c r="P225" s="376"/>
      <c r="Q225" s="376"/>
      <c r="R225" s="376"/>
      <c r="S225" s="376"/>
      <c r="T225" s="376"/>
      <c r="U225" s="376"/>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376"/>
      <c r="CQ225" s="376"/>
      <c r="CR225" s="376"/>
      <c r="CS225" s="376"/>
      <c r="CT225" s="376"/>
      <c r="CU225" s="376"/>
      <c r="CV225" s="376"/>
      <c r="CW225" s="376"/>
      <c r="CX225" s="376"/>
      <c r="CY225" s="376"/>
      <c r="CZ225" s="376"/>
      <c r="DA225" s="376"/>
      <c r="DB225" s="376"/>
      <c r="DC225" s="376"/>
      <c r="DD225" s="376"/>
      <c r="DE225" s="376"/>
      <c r="DF225" s="376"/>
      <c r="DG225" s="376"/>
      <c r="DH225" s="376"/>
      <c r="DI225" s="376"/>
      <c r="DJ225" s="376"/>
      <c r="DK225" s="376"/>
      <c r="DL225" s="376"/>
      <c r="DM225" s="376"/>
      <c r="DN225" s="376"/>
      <c r="DO225" s="376"/>
      <c r="DP225" s="376"/>
      <c r="DQ225" s="376"/>
      <c r="DR225" s="376"/>
      <c r="DS225" s="376"/>
      <c r="DT225" s="376"/>
      <c r="DU225" s="376"/>
      <c r="DV225" s="376"/>
      <c r="DW225" s="376"/>
      <c r="DX225" s="376"/>
      <c r="DY225" s="376"/>
      <c r="DZ225" s="376"/>
      <c r="EA225" s="376"/>
      <c r="EB225" s="376"/>
      <c r="EC225" s="376"/>
      <c r="ED225" s="376"/>
      <c r="EE225" s="376"/>
      <c r="EF225" s="376"/>
      <c r="EG225" s="376"/>
      <c r="EH225" s="376"/>
      <c r="EI225" s="376"/>
      <c r="EJ225" s="376"/>
      <c r="EK225" s="376"/>
      <c r="EL225" s="376"/>
      <c r="EM225" s="376"/>
      <c r="EN225" s="376"/>
      <c r="EO225" s="376"/>
      <c r="EP225" s="376"/>
      <c r="EQ225" s="376"/>
      <c r="ER225" s="376"/>
      <c r="ES225" s="376"/>
      <c r="ET225" s="376"/>
      <c r="EU225" s="376"/>
      <c r="EV225" s="376"/>
      <c r="EW225" s="376"/>
      <c r="EX225" s="376"/>
      <c r="EY225" s="376"/>
      <c r="EZ225" s="376"/>
      <c r="FA225" s="43"/>
      <c r="FB225" s="43"/>
      <c r="FC225" s="43"/>
      <c r="FD225" s="43"/>
      <c r="FE225" s="43"/>
      <c r="FF225" s="43"/>
      <c r="FG225" s="43"/>
      <c r="FH225" s="43"/>
      <c r="FI225" s="79"/>
      <c r="FJ225" s="79"/>
      <c r="FK225" s="79"/>
      <c r="FL225" s="79"/>
      <c r="FM225" s="338"/>
      <c r="FN225" s="338"/>
      <c r="FO225" s="338"/>
      <c r="FP225" s="338"/>
      <c r="FQ225" s="338"/>
      <c r="FR225" s="338"/>
      <c r="FS225" s="338"/>
      <c r="FT225" s="338"/>
      <c r="FU225" s="338"/>
      <c r="FV225" s="338"/>
      <c r="FW225" s="338"/>
      <c r="FX225" s="338"/>
      <c r="FY225" s="32"/>
      <c r="FZ225" s="32"/>
      <c r="GA225" s="32"/>
      <c r="GB225" s="32"/>
      <c r="GC225" s="32"/>
      <c r="GD225" s="32"/>
      <c r="GE225" s="32"/>
      <c r="GF225" s="32"/>
      <c r="GG225" s="32"/>
      <c r="GH225" s="32"/>
      <c r="GI225" s="32"/>
      <c r="GJ225" s="32"/>
      <c r="GK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38"/>
      <c r="HO225" s="338"/>
      <c r="HP225" s="338"/>
      <c r="HQ225" s="13"/>
      <c r="HR225" s="13"/>
      <c r="HS225" s="13"/>
      <c r="HT225" s="13"/>
      <c r="HU225" s="13"/>
      <c r="HV225" s="13"/>
      <c r="HW225" s="13"/>
      <c r="HX225" s="13"/>
      <c r="HY225" s="13"/>
      <c r="HZ225" s="13"/>
      <c r="IA225" s="13"/>
    </row>
    <row r="226" spans="1:235" ht="16.95" customHeight="1">
      <c r="A226" s="1"/>
      <c r="B226" s="3"/>
      <c r="C226" s="3"/>
      <c r="D226" s="124" t="str">
        <f ca="1">IF(FO211=0,"","de prijs niet snel zal stijgen (want daarvoor moeten meerdere aanbieders")</f>
        <v/>
      </c>
      <c r="E226" s="402"/>
      <c r="F226" s="402"/>
      <c r="G226" s="402"/>
      <c r="H226" s="402"/>
      <c r="I226" s="402"/>
      <c r="J226" s="376"/>
      <c r="K226" s="376"/>
      <c r="L226" s="376"/>
      <c r="M226" s="376"/>
      <c r="N226" s="376"/>
      <c r="O226" s="376"/>
      <c r="P226" s="376"/>
      <c r="Q226" s="376"/>
      <c r="R226" s="376"/>
      <c r="S226" s="376"/>
      <c r="T226" s="376"/>
      <c r="U226" s="376"/>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376"/>
      <c r="CQ226" s="376"/>
      <c r="CR226" s="376"/>
      <c r="CS226" s="376"/>
      <c r="CT226" s="376"/>
      <c r="CU226" s="376"/>
      <c r="CV226" s="376"/>
      <c r="CW226" s="376"/>
      <c r="CX226" s="376"/>
      <c r="CY226" s="376"/>
      <c r="CZ226" s="376"/>
      <c r="DA226" s="376"/>
      <c r="DB226" s="376"/>
      <c r="DC226" s="376"/>
      <c r="DD226" s="376"/>
      <c r="DE226" s="376"/>
      <c r="DF226" s="376"/>
      <c r="DG226" s="376"/>
      <c r="DH226" s="376"/>
      <c r="DI226" s="376"/>
      <c r="DJ226" s="376"/>
      <c r="DK226" s="376"/>
      <c r="DL226" s="376"/>
      <c r="DM226" s="376"/>
      <c r="DN226" s="376"/>
      <c r="DO226" s="376"/>
      <c r="DP226" s="376"/>
      <c r="DQ226" s="376"/>
      <c r="DR226" s="376"/>
      <c r="DS226" s="376"/>
      <c r="DT226" s="376"/>
      <c r="DU226" s="376"/>
      <c r="DV226" s="376"/>
      <c r="DW226" s="376"/>
      <c r="DX226" s="376"/>
      <c r="DY226" s="376"/>
      <c r="DZ226" s="376"/>
      <c r="EA226" s="376"/>
      <c r="EB226" s="376"/>
      <c r="EC226" s="376"/>
      <c r="ED226" s="376"/>
      <c r="EE226" s="376"/>
      <c r="EF226" s="376"/>
      <c r="EG226" s="376"/>
      <c r="EH226" s="376"/>
      <c r="EI226" s="376"/>
      <c r="EJ226" s="376"/>
      <c r="EK226" s="376"/>
      <c r="EL226" s="376"/>
      <c r="EM226" s="376"/>
      <c r="EN226" s="376"/>
      <c r="EO226" s="376"/>
      <c r="EP226" s="376"/>
      <c r="EQ226" s="376"/>
      <c r="ER226" s="376"/>
      <c r="ES226" s="376"/>
      <c r="ET226" s="376"/>
      <c r="EU226" s="376"/>
      <c r="EV226" s="376"/>
      <c r="EW226" s="376"/>
      <c r="EX226" s="376"/>
      <c r="EY226" s="376"/>
      <c r="EZ226" s="376"/>
      <c r="FA226" s="43"/>
      <c r="FB226" s="43"/>
      <c r="FC226" s="43"/>
      <c r="FD226" s="43"/>
      <c r="FE226" s="43"/>
      <c r="FF226" s="43"/>
      <c r="FG226" s="43"/>
      <c r="FH226" s="43"/>
      <c r="FI226" s="79"/>
      <c r="FJ226" s="79"/>
      <c r="FK226" s="79"/>
      <c r="FL226" s="79"/>
      <c r="FM226" s="338"/>
      <c r="FN226" s="338"/>
      <c r="FO226" s="338"/>
      <c r="FP226" s="338"/>
      <c r="FQ226" s="338"/>
      <c r="FR226" s="338"/>
      <c r="FS226" s="338"/>
      <c r="FT226" s="338"/>
      <c r="FU226" s="338"/>
      <c r="FV226" s="338"/>
      <c r="FW226" s="338"/>
      <c r="FX226" s="338"/>
      <c r="FY226" s="32"/>
      <c r="FZ226" s="32"/>
      <c r="GA226" s="32"/>
      <c r="GB226" s="32"/>
      <c r="GC226" s="32"/>
      <c r="GD226" s="32"/>
      <c r="GE226" s="32"/>
      <c r="GF226" s="32"/>
      <c r="GG226" s="32"/>
      <c r="GH226" s="32"/>
      <c r="GI226" s="32"/>
      <c r="GJ226" s="32"/>
      <c r="GK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38"/>
      <c r="HO226" s="338"/>
      <c r="HP226" s="338"/>
      <c r="HQ226" s="13"/>
      <c r="HR226" s="13"/>
      <c r="HS226" s="13"/>
      <c r="HT226" s="13"/>
      <c r="HU226" s="13"/>
      <c r="HV226" s="13"/>
      <c r="HW226" s="13"/>
      <c r="HX226" s="13"/>
      <c r="HY226" s="13"/>
      <c r="HZ226" s="13"/>
      <c r="IA226" s="13"/>
    </row>
    <row r="227" spans="1:235" ht="16.95" customHeight="1">
      <c r="A227" s="1"/>
      <c r="B227" s="3"/>
      <c r="C227" s="3"/>
      <c r="D227" s="124" t="str">
        <f ca="1">IF(FO211=0,"","tegelijkertijd hun productie gaan beperken). De enige mogelijkheid om meer")</f>
        <v/>
      </c>
      <c r="E227" s="402"/>
      <c r="F227" s="402"/>
      <c r="G227" s="402"/>
      <c r="H227" s="402"/>
      <c r="I227" s="402"/>
      <c r="J227" s="376"/>
      <c r="K227" s="376"/>
      <c r="L227" s="376"/>
      <c r="M227" s="376"/>
      <c r="N227" s="376"/>
      <c r="O227" s="376"/>
      <c r="P227" s="376"/>
      <c r="Q227" s="376"/>
      <c r="R227" s="376"/>
      <c r="S227" s="376"/>
      <c r="T227" s="376"/>
      <c r="U227" s="376"/>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376"/>
      <c r="CQ227" s="376"/>
      <c r="CR227" s="376"/>
      <c r="CS227" s="376"/>
      <c r="CT227" s="376"/>
      <c r="CU227" s="376"/>
      <c r="CV227" s="376"/>
      <c r="CW227" s="376"/>
      <c r="CX227" s="376"/>
      <c r="CY227" s="376"/>
      <c r="CZ227" s="376"/>
      <c r="DA227" s="376"/>
      <c r="DB227" s="376"/>
      <c r="DC227" s="376"/>
      <c r="DD227" s="376"/>
      <c r="DE227" s="376"/>
      <c r="DF227" s="376"/>
      <c r="DG227" s="376"/>
      <c r="DH227" s="376"/>
      <c r="DI227" s="376"/>
      <c r="DJ227" s="376"/>
      <c r="DK227" s="376"/>
      <c r="DL227" s="376"/>
      <c r="DM227" s="376"/>
      <c r="DN227" s="376"/>
      <c r="DO227" s="376"/>
      <c r="DP227" s="376"/>
      <c r="DQ227" s="376"/>
      <c r="DR227" s="376"/>
      <c r="DS227" s="376"/>
      <c r="DT227" s="376"/>
      <c r="DU227" s="376"/>
      <c r="DV227" s="376"/>
      <c r="DW227" s="376"/>
      <c r="DX227" s="376"/>
      <c r="DY227" s="376"/>
      <c r="DZ227" s="376"/>
      <c r="EA227" s="376"/>
      <c r="EB227" s="376"/>
      <c r="EC227" s="376"/>
      <c r="ED227" s="376"/>
      <c r="EE227" s="376"/>
      <c r="EF227" s="376"/>
      <c r="EG227" s="376"/>
      <c r="EH227" s="376"/>
      <c r="EI227" s="376"/>
      <c r="EJ227" s="376"/>
      <c r="EK227" s="376"/>
      <c r="EL227" s="376"/>
      <c r="EM227" s="376"/>
      <c r="EN227" s="376"/>
      <c r="EO227" s="376"/>
      <c r="EP227" s="376"/>
      <c r="EQ227" s="376"/>
      <c r="ER227" s="376"/>
      <c r="ES227" s="376"/>
      <c r="ET227" s="376"/>
      <c r="EU227" s="376"/>
      <c r="EV227" s="376"/>
      <c r="EW227" s="376"/>
      <c r="EX227" s="376"/>
      <c r="EY227" s="376"/>
      <c r="EZ227" s="376"/>
      <c r="FA227" s="43"/>
      <c r="FB227" s="43"/>
      <c r="FC227" s="43"/>
      <c r="FD227" s="43"/>
      <c r="FE227" s="43"/>
      <c r="FF227" s="43"/>
      <c r="FG227" s="43"/>
      <c r="FH227" s="43"/>
      <c r="FI227" s="79"/>
      <c r="FJ227" s="79"/>
      <c r="FK227" s="79"/>
      <c r="FL227" s="79"/>
      <c r="FM227" s="338"/>
      <c r="FN227" s="338"/>
      <c r="FO227" s="338"/>
      <c r="FP227" s="338"/>
      <c r="FQ227" s="338"/>
      <c r="FR227" s="338"/>
      <c r="FS227" s="338"/>
      <c r="FT227" s="338"/>
      <c r="FU227" s="338"/>
      <c r="FV227" s="338"/>
      <c r="FW227" s="338"/>
      <c r="FX227" s="338"/>
      <c r="FY227" s="32"/>
      <c r="FZ227" s="32"/>
      <c r="GA227" s="32"/>
      <c r="GB227" s="32"/>
      <c r="GC227" s="32"/>
      <c r="GD227" s="32"/>
      <c r="GE227" s="32"/>
      <c r="GF227" s="32"/>
      <c r="GG227" s="32"/>
      <c r="GH227" s="32"/>
      <c r="GI227" s="32"/>
      <c r="GJ227" s="32"/>
      <c r="GK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38"/>
      <c r="HO227" s="338"/>
      <c r="HP227" s="338"/>
      <c r="HQ227" s="13"/>
      <c r="HR227" s="13"/>
      <c r="HS227" s="13"/>
      <c r="HT227" s="13"/>
      <c r="HU227" s="13"/>
      <c r="HV227" s="13"/>
      <c r="HW227" s="13"/>
      <c r="HX227" s="13"/>
      <c r="HY227" s="13"/>
      <c r="HZ227" s="13"/>
      <c r="IA227" s="13"/>
    </row>
    <row r="228" spans="1:235" ht="16.95" customHeight="1">
      <c r="A228" s="1"/>
      <c r="B228" s="3"/>
      <c r="C228" s="3"/>
      <c r="D228" s="124" t="str">
        <f ca="1">IF(FO211=0,"","winst te krijgen is de prijs te verlagen en zo klanten bij de andere aanbieders")</f>
        <v/>
      </c>
      <c r="E228" s="402"/>
      <c r="F228" s="402"/>
      <c r="G228" s="402"/>
      <c r="H228" s="402"/>
      <c r="I228" s="402"/>
      <c r="J228" s="376"/>
      <c r="K228" s="376"/>
      <c r="L228" s="376"/>
      <c r="M228" s="376"/>
      <c r="N228" s="376"/>
      <c r="O228" s="376"/>
      <c r="P228" s="376"/>
      <c r="Q228" s="376"/>
      <c r="R228" s="376"/>
      <c r="S228" s="376"/>
      <c r="T228" s="376"/>
      <c r="U228" s="376"/>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376"/>
      <c r="CQ228" s="376"/>
      <c r="CR228" s="376"/>
      <c r="CS228" s="376"/>
      <c r="CT228" s="376"/>
      <c r="CU228" s="376"/>
      <c r="CV228" s="376"/>
      <c r="CW228" s="376"/>
      <c r="CX228" s="376"/>
      <c r="CY228" s="376"/>
      <c r="CZ228" s="376"/>
      <c r="DA228" s="376"/>
      <c r="DB228" s="376"/>
      <c r="DC228" s="376"/>
      <c r="DD228" s="376"/>
      <c r="DE228" s="376"/>
      <c r="DF228" s="376"/>
      <c r="DG228" s="376"/>
      <c r="DH228" s="376"/>
      <c r="DI228" s="376"/>
      <c r="DJ228" s="376"/>
      <c r="DK228" s="376"/>
      <c r="DL228" s="376"/>
      <c r="DM228" s="376"/>
      <c r="DN228" s="376"/>
      <c r="DO228" s="376"/>
      <c r="DP228" s="376"/>
      <c r="DQ228" s="376"/>
      <c r="DR228" s="376"/>
      <c r="DS228" s="376"/>
      <c r="DT228" s="376"/>
      <c r="DU228" s="376"/>
      <c r="DV228" s="376"/>
      <c r="DW228" s="376"/>
      <c r="DX228" s="376"/>
      <c r="DY228" s="376"/>
      <c r="DZ228" s="376"/>
      <c r="EA228" s="376"/>
      <c r="EB228" s="376"/>
      <c r="EC228" s="376"/>
      <c r="ED228" s="376"/>
      <c r="EE228" s="376"/>
      <c r="EF228" s="376"/>
      <c r="EG228" s="376"/>
      <c r="EH228" s="376"/>
      <c r="EI228" s="376"/>
      <c r="EJ228" s="376"/>
      <c r="EK228" s="376"/>
      <c r="EL228" s="376"/>
      <c r="EM228" s="376"/>
      <c r="EN228" s="376"/>
      <c r="EO228" s="376"/>
      <c r="EP228" s="376"/>
      <c r="EQ228" s="376"/>
      <c r="ER228" s="376"/>
      <c r="ES228" s="376"/>
      <c r="ET228" s="376"/>
      <c r="EU228" s="376"/>
      <c r="EV228" s="376"/>
      <c r="EW228" s="376"/>
      <c r="EX228" s="376"/>
      <c r="EY228" s="376"/>
      <c r="EZ228" s="376"/>
      <c r="FA228" s="43"/>
      <c r="FB228" s="43"/>
      <c r="FC228" s="43"/>
      <c r="FD228" s="43"/>
      <c r="FE228" s="43"/>
      <c r="FF228" s="43"/>
      <c r="FG228" s="43"/>
      <c r="FH228" s="43"/>
      <c r="FI228" s="79"/>
      <c r="FJ228" s="79"/>
      <c r="FK228" s="79"/>
      <c r="FL228" s="79"/>
      <c r="FM228" s="338"/>
      <c r="FN228" s="338"/>
      <c r="FO228" s="338"/>
      <c r="FP228" s="338"/>
      <c r="FQ228" s="338"/>
      <c r="FR228" s="338"/>
      <c r="FS228" s="338"/>
      <c r="FT228" s="338"/>
      <c r="FU228" s="338"/>
      <c r="FV228" s="338"/>
      <c r="FW228" s="338"/>
      <c r="FX228" s="338"/>
      <c r="FY228" s="32"/>
      <c r="FZ228" s="32"/>
      <c r="GA228" s="32"/>
      <c r="GB228" s="32"/>
      <c r="GC228" s="32"/>
      <c r="GD228" s="32"/>
      <c r="GE228" s="32"/>
      <c r="GF228" s="32"/>
      <c r="GG228" s="32"/>
      <c r="GH228" s="32"/>
      <c r="GI228" s="32"/>
      <c r="GJ228" s="32"/>
      <c r="GK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38"/>
      <c r="HO228" s="338"/>
      <c r="HP228" s="338"/>
      <c r="HQ228" s="13"/>
      <c r="HR228" s="13"/>
      <c r="HS228" s="13"/>
      <c r="HT228" s="13"/>
      <c r="HU228" s="13"/>
      <c r="HV228" s="13"/>
      <c r="HW228" s="13"/>
      <c r="HX228" s="13"/>
      <c r="HY228" s="13"/>
      <c r="HZ228" s="13"/>
      <c r="IA228" s="13"/>
    </row>
    <row r="229" spans="1:235" ht="16.95" customHeight="1">
      <c r="A229" s="1"/>
      <c r="B229" s="3"/>
      <c r="C229" s="3"/>
      <c r="D229" s="124" t="str">
        <f ca="1">IF(FO211=0,"","weg te trekken en liefst op die manier te ander kapot te concurreren (waardoor")</f>
        <v/>
      </c>
      <c r="E229" s="402"/>
      <c r="F229" s="402"/>
      <c r="G229" s="402"/>
      <c r="H229" s="402"/>
      <c r="I229" s="402"/>
      <c r="J229" s="376"/>
      <c r="K229" s="376"/>
      <c r="L229" s="376"/>
      <c r="M229" s="376"/>
      <c r="N229" s="376"/>
      <c r="O229" s="376"/>
      <c r="P229" s="376"/>
      <c r="Q229" s="376"/>
      <c r="R229" s="376"/>
      <c r="S229" s="376"/>
      <c r="T229" s="376"/>
      <c r="U229" s="376"/>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376"/>
      <c r="CQ229" s="376"/>
      <c r="CR229" s="376"/>
      <c r="CS229" s="376"/>
      <c r="CT229" s="376"/>
      <c r="CU229" s="376"/>
      <c r="CV229" s="376"/>
      <c r="CW229" s="376"/>
      <c r="CX229" s="376"/>
      <c r="CY229" s="376"/>
      <c r="CZ229" s="376"/>
      <c r="DA229" s="376"/>
      <c r="DB229" s="376"/>
      <c r="DC229" s="376"/>
      <c r="DD229" s="376"/>
      <c r="DE229" s="376"/>
      <c r="DF229" s="376"/>
      <c r="DG229" s="376"/>
      <c r="DH229" s="376"/>
      <c r="DI229" s="376"/>
      <c r="DJ229" s="376"/>
      <c r="DK229" s="376"/>
      <c r="DL229" s="376"/>
      <c r="DM229" s="376"/>
      <c r="DN229" s="376"/>
      <c r="DO229" s="376"/>
      <c r="DP229" s="376"/>
      <c r="DQ229" s="376"/>
      <c r="DR229" s="376"/>
      <c r="DS229" s="376"/>
      <c r="DT229" s="376"/>
      <c r="DU229" s="376"/>
      <c r="DV229" s="376"/>
      <c r="DW229" s="376"/>
      <c r="DX229" s="376"/>
      <c r="DY229" s="376"/>
      <c r="DZ229" s="376"/>
      <c r="EA229" s="376"/>
      <c r="EB229" s="376"/>
      <c r="EC229" s="376"/>
      <c r="ED229" s="376"/>
      <c r="EE229" s="376"/>
      <c r="EF229" s="376"/>
      <c r="EG229" s="376"/>
      <c r="EH229" s="376"/>
      <c r="EI229" s="376"/>
      <c r="EJ229" s="376"/>
      <c r="EK229" s="376"/>
      <c r="EL229" s="376"/>
      <c r="EM229" s="376"/>
      <c r="EN229" s="376"/>
      <c r="EO229" s="376"/>
      <c r="EP229" s="376"/>
      <c r="EQ229" s="376"/>
      <c r="ER229" s="376"/>
      <c r="ES229" s="376"/>
      <c r="ET229" s="376"/>
      <c r="EU229" s="376"/>
      <c r="EV229" s="376"/>
      <c r="EW229" s="376"/>
      <c r="EX229" s="376"/>
      <c r="EY229" s="376"/>
      <c r="EZ229" s="376"/>
      <c r="FA229" s="43"/>
      <c r="FB229" s="43"/>
      <c r="FC229" s="43"/>
      <c r="FD229" s="43"/>
      <c r="FE229" s="43"/>
      <c r="FF229" s="43"/>
      <c r="FG229" s="43"/>
      <c r="FH229" s="43"/>
      <c r="FI229" s="79"/>
      <c r="FJ229" s="79"/>
      <c r="FK229" s="79"/>
      <c r="FL229" s="79"/>
      <c r="FM229" s="338"/>
      <c r="FN229" s="338"/>
      <c r="FO229" s="338"/>
      <c r="FP229" s="338"/>
      <c r="FQ229" s="338"/>
      <c r="FR229" s="338"/>
      <c r="FS229" s="338"/>
      <c r="FT229" s="338"/>
      <c r="FU229" s="338"/>
      <c r="FV229" s="338"/>
      <c r="FW229" s="338"/>
      <c r="FX229" s="338"/>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38"/>
      <c r="HO229" s="338"/>
      <c r="HP229" s="338"/>
      <c r="HQ229" s="13"/>
      <c r="HR229" s="13"/>
      <c r="HS229" s="13"/>
      <c r="HT229" s="13"/>
      <c r="HU229" s="13"/>
      <c r="HV229" s="13"/>
      <c r="HW229" s="13"/>
      <c r="HX229" s="13"/>
      <c r="HY229" s="13"/>
      <c r="HZ229" s="13"/>
      <c r="IA229" s="13"/>
    </row>
    <row r="230" spans="1:235" ht="16.95" customHeight="1">
      <c r="A230" s="1"/>
      <c r="B230" s="3"/>
      <c r="C230" s="3"/>
      <c r="D230" s="124" t="str">
        <f ca="1">IF(FO211=0,"","het aanbod gaat dalen en de prijs kan stijgen). Wat zullen de andere aanbieders")</f>
        <v/>
      </c>
      <c r="E230" s="402"/>
      <c r="F230" s="402"/>
      <c r="G230" s="402"/>
      <c r="H230" s="402"/>
      <c r="I230" s="402"/>
      <c r="J230" s="376"/>
      <c r="K230" s="376"/>
      <c r="L230" s="376"/>
      <c r="M230" s="376"/>
      <c r="N230" s="376"/>
      <c r="O230" s="376"/>
      <c r="P230" s="376"/>
      <c r="Q230" s="376"/>
      <c r="R230" s="376"/>
      <c r="S230" s="376"/>
      <c r="T230" s="376"/>
      <c r="U230" s="376"/>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376"/>
      <c r="CQ230" s="376"/>
      <c r="CR230" s="376"/>
      <c r="CS230" s="376"/>
      <c r="CT230" s="376"/>
      <c r="CU230" s="376"/>
      <c r="CV230" s="376"/>
      <c r="CW230" s="376"/>
      <c r="CX230" s="376"/>
      <c r="CY230" s="376"/>
      <c r="CZ230" s="376"/>
      <c r="DA230" s="376"/>
      <c r="DB230" s="376"/>
      <c r="DC230" s="376"/>
      <c r="DD230" s="376"/>
      <c r="DE230" s="376"/>
      <c r="DF230" s="376"/>
      <c r="DG230" s="376"/>
      <c r="DH230" s="376"/>
      <c r="DI230" s="376"/>
      <c r="DJ230" s="376"/>
      <c r="DK230" s="376"/>
      <c r="DL230" s="376"/>
      <c r="DM230" s="376"/>
      <c r="DN230" s="376"/>
      <c r="DO230" s="376"/>
      <c r="DP230" s="376"/>
      <c r="DQ230" s="376"/>
      <c r="DR230" s="376"/>
      <c r="DS230" s="376"/>
      <c r="DT230" s="376"/>
      <c r="DU230" s="376"/>
      <c r="DV230" s="376"/>
      <c r="DW230" s="376"/>
      <c r="DX230" s="376"/>
      <c r="DY230" s="376"/>
      <c r="DZ230" s="376"/>
      <c r="EA230" s="376"/>
      <c r="EB230" s="376"/>
      <c r="EC230" s="376"/>
      <c r="ED230" s="376"/>
      <c r="EE230" s="376"/>
      <c r="EF230" s="376"/>
      <c r="EG230" s="376"/>
      <c r="EH230" s="376"/>
      <c r="EI230" s="376"/>
      <c r="EJ230" s="376"/>
      <c r="EK230" s="376"/>
      <c r="EL230" s="376"/>
      <c r="EM230" s="376"/>
      <c r="EN230" s="376"/>
      <c r="EO230" s="376"/>
      <c r="EP230" s="376"/>
      <c r="EQ230" s="376"/>
      <c r="ER230" s="376"/>
      <c r="ES230" s="376"/>
      <c r="ET230" s="376"/>
      <c r="EU230" s="376"/>
      <c r="EV230" s="376"/>
      <c r="EW230" s="376"/>
      <c r="EX230" s="376"/>
      <c r="EY230" s="376"/>
      <c r="EZ230" s="376"/>
      <c r="FA230" s="43"/>
      <c r="FB230" s="43"/>
      <c r="FC230" s="43"/>
      <c r="FD230" s="43"/>
      <c r="FE230" s="43"/>
      <c r="FF230" s="43"/>
      <c r="FG230" s="43"/>
      <c r="FH230" s="43"/>
      <c r="FI230" s="79"/>
      <c r="FJ230" s="79"/>
      <c r="FK230" s="79"/>
      <c r="FL230" s="79"/>
      <c r="FM230" s="338"/>
      <c r="FN230" s="338"/>
      <c r="FO230" s="338"/>
      <c r="FP230" s="338"/>
      <c r="FQ230" s="338"/>
      <c r="FR230" s="338"/>
      <c r="FS230" s="338"/>
      <c r="FT230" s="338"/>
      <c r="FU230" s="338"/>
      <c r="FV230" s="338"/>
      <c r="FW230" s="338"/>
      <c r="FX230" s="338"/>
      <c r="FY230" s="32"/>
      <c r="FZ230" s="32"/>
      <c r="GA230" s="32"/>
      <c r="GB230" s="32"/>
      <c r="GC230" s="32"/>
      <c r="GD230" s="32"/>
      <c r="GE230" s="32"/>
      <c r="GF230" s="32"/>
      <c r="GG230" s="32"/>
      <c r="GH230" s="32"/>
      <c r="GI230" s="32"/>
      <c r="GJ230" s="32"/>
      <c r="GK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38"/>
      <c r="HO230" s="338"/>
      <c r="HP230" s="338"/>
      <c r="HQ230" s="13"/>
      <c r="HR230" s="13"/>
      <c r="HS230" s="13"/>
      <c r="HT230" s="13"/>
      <c r="HU230" s="13"/>
      <c r="HV230" s="13"/>
      <c r="HW230" s="13"/>
      <c r="HX230" s="13"/>
      <c r="HY230" s="13"/>
      <c r="HZ230" s="13"/>
      <c r="IA230" s="13"/>
    </row>
    <row r="231" spans="1:235" ht="16.95" customHeight="1">
      <c r="A231" s="1"/>
      <c r="B231" s="3"/>
      <c r="C231" s="3"/>
      <c r="D231" s="124" t="str">
        <f ca="1">IF(FO211=0,"","doen als één van de aanbieders zijn prijs verlaagt? ")</f>
        <v/>
      </c>
      <c r="E231" s="402"/>
      <c r="F231" s="402"/>
      <c r="G231" s="402"/>
      <c r="H231" s="402"/>
      <c r="I231" s="402"/>
      <c r="J231" s="376"/>
      <c r="K231" s="376"/>
      <c r="L231" s="376"/>
      <c r="M231" s="376"/>
      <c r="N231" s="376"/>
      <c r="O231" s="376"/>
      <c r="P231" s="376"/>
      <c r="Q231" s="376"/>
      <c r="R231" s="376"/>
      <c r="S231" s="376"/>
      <c r="T231" s="376"/>
      <c r="U231" s="376"/>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376"/>
      <c r="CQ231" s="376"/>
      <c r="CR231" s="376"/>
      <c r="CS231" s="376"/>
      <c r="CT231" s="376"/>
      <c r="CU231" s="376"/>
      <c r="CV231" s="376"/>
      <c r="CW231" s="376"/>
      <c r="CX231" s="376"/>
      <c r="CY231" s="376"/>
      <c r="CZ231" s="376"/>
      <c r="DA231" s="376"/>
      <c r="DB231" s="376"/>
      <c r="DC231" s="376"/>
      <c r="DD231" s="376"/>
      <c r="DE231" s="376"/>
      <c r="DF231" s="376"/>
      <c r="DG231" s="376"/>
      <c r="DH231" s="376"/>
      <c r="DI231" s="376"/>
      <c r="DJ231" s="376"/>
      <c r="DK231" s="376"/>
      <c r="DL231" s="376"/>
      <c r="DM231" s="376"/>
      <c r="DN231" s="376"/>
      <c r="DO231" s="376"/>
      <c r="DP231" s="376"/>
      <c r="DQ231" s="376"/>
      <c r="DR231" s="376"/>
      <c r="DS231" s="376"/>
      <c r="DT231" s="376"/>
      <c r="DU231" s="376"/>
      <c r="DV231" s="376"/>
      <c r="DW231" s="376"/>
      <c r="DX231" s="376"/>
      <c r="DY231" s="376"/>
      <c r="DZ231" s="376"/>
      <c r="EA231" s="376"/>
      <c r="EB231" s="376"/>
      <c r="EC231" s="376"/>
      <c r="ED231" s="376"/>
      <c r="EE231" s="376"/>
      <c r="EF231" s="376"/>
      <c r="EG231" s="376"/>
      <c r="EH231" s="376"/>
      <c r="EI231" s="376"/>
      <c r="EJ231" s="376"/>
      <c r="EK231" s="376"/>
      <c r="EL231" s="376"/>
      <c r="EM231" s="376"/>
      <c r="EN231" s="376"/>
      <c r="EO231" s="376"/>
      <c r="EP231" s="376"/>
      <c r="EQ231" s="376"/>
      <c r="ER231" s="376"/>
      <c r="ES231" s="376"/>
      <c r="ET231" s="376"/>
      <c r="EU231" s="376"/>
      <c r="EV231" s="376"/>
      <c r="EW231" s="376"/>
      <c r="EX231" s="376"/>
      <c r="EY231" s="376"/>
      <c r="EZ231" s="376"/>
      <c r="FA231" s="43"/>
      <c r="FB231" s="43"/>
      <c r="FC231" s="43"/>
      <c r="FD231" s="43"/>
      <c r="FE231" s="43"/>
      <c r="FF231" s="43"/>
      <c r="FG231" s="43"/>
      <c r="FH231" s="43"/>
      <c r="FI231" s="79"/>
      <c r="FJ231" s="79"/>
      <c r="FK231" s="79"/>
      <c r="FL231" s="79"/>
      <c r="FM231" s="338"/>
      <c r="FN231" s="338"/>
      <c r="FO231" s="338"/>
      <c r="FP231" s="338"/>
      <c r="FQ231" s="338"/>
      <c r="FR231" s="338"/>
      <c r="FS231" s="338"/>
      <c r="FT231" s="338"/>
      <c r="FU231" s="338"/>
      <c r="FV231" s="338"/>
      <c r="FW231" s="338"/>
      <c r="FX231" s="338"/>
      <c r="FY231" s="32"/>
      <c r="FZ231" s="32"/>
      <c r="GA231" s="32"/>
      <c r="GB231" s="32"/>
      <c r="GC231" s="32"/>
      <c r="GD231" s="32"/>
      <c r="GE231" s="32"/>
      <c r="GF231" s="32"/>
      <c r="GG231" s="32"/>
      <c r="GH231" s="32"/>
      <c r="GI231" s="32"/>
      <c r="GJ231" s="32"/>
      <c r="GK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38"/>
      <c r="HO231" s="338"/>
      <c r="HP231" s="338"/>
      <c r="HQ231" s="13"/>
      <c r="HR231" s="13"/>
      <c r="HS231" s="13"/>
      <c r="HT231" s="13"/>
      <c r="HU231" s="13"/>
      <c r="HV231" s="13"/>
      <c r="HW231" s="13"/>
      <c r="HX231" s="13"/>
      <c r="HY231" s="13"/>
      <c r="HZ231" s="13"/>
      <c r="IA231" s="13"/>
    </row>
    <row r="232" spans="1:235" ht="8.25" customHeight="1">
      <c r="A232" s="1"/>
      <c r="B232" s="3"/>
      <c r="C232" s="3"/>
      <c r="D232" s="124"/>
      <c r="E232" s="402"/>
      <c r="F232" s="402"/>
      <c r="G232" s="404"/>
      <c r="H232" s="402"/>
      <c r="I232" s="402"/>
      <c r="J232" s="376"/>
      <c r="K232" s="376"/>
      <c r="L232" s="376"/>
      <c r="M232" s="376"/>
      <c r="N232" s="376"/>
      <c r="O232" s="376"/>
      <c r="P232" s="376"/>
      <c r="Q232" s="376"/>
      <c r="R232" s="376"/>
      <c r="S232" s="376"/>
      <c r="T232" s="376"/>
      <c r="U232" s="376"/>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376"/>
      <c r="CQ232" s="376"/>
      <c r="CR232" s="376"/>
      <c r="CS232" s="376"/>
      <c r="CT232" s="376"/>
      <c r="CU232" s="376"/>
      <c r="CV232" s="376"/>
      <c r="CW232" s="376"/>
      <c r="CX232" s="376"/>
      <c r="CY232" s="376"/>
      <c r="CZ232" s="376"/>
      <c r="DA232" s="376"/>
      <c r="DB232" s="376"/>
      <c r="DC232" s="376"/>
      <c r="DD232" s="376"/>
      <c r="DE232" s="376"/>
      <c r="DF232" s="376"/>
      <c r="DG232" s="376"/>
      <c r="DH232" s="376"/>
      <c r="DI232" s="376"/>
      <c r="DJ232" s="376"/>
      <c r="DK232" s="376"/>
      <c r="DL232" s="376"/>
      <c r="DM232" s="376"/>
      <c r="DN232" s="376"/>
      <c r="DO232" s="376"/>
      <c r="DP232" s="376"/>
      <c r="DQ232" s="376"/>
      <c r="DR232" s="376"/>
      <c r="DS232" s="376"/>
      <c r="DT232" s="376"/>
      <c r="DU232" s="376"/>
      <c r="DV232" s="376"/>
      <c r="DW232" s="376"/>
      <c r="DX232" s="376"/>
      <c r="DY232" s="376"/>
      <c r="DZ232" s="376"/>
      <c r="EA232" s="376"/>
      <c r="EB232" s="376"/>
      <c r="EC232" s="376"/>
      <c r="ED232" s="376"/>
      <c r="EE232" s="376"/>
      <c r="EF232" s="376"/>
      <c r="EG232" s="376"/>
      <c r="EH232" s="376"/>
      <c r="EI232" s="376"/>
      <c r="EJ232" s="376"/>
      <c r="EK232" s="376"/>
      <c r="EL232" s="376"/>
      <c r="EM232" s="376"/>
      <c r="EN232" s="376"/>
      <c r="EO232" s="376"/>
      <c r="EP232" s="376"/>
      <c r="EQ232" s="376"/>
      <c r="ER232" s="376"/>
      <c r="ES232" s="376"/>
      <c r="ET232" s="376"/>
      <c r="EU232" s="376"/>
      <c r="EV232" s="376"/>
      <c r="EW232" s="376"/>
      <c r="EX232" s="376"/>
      <c r="EY232" s="376"/>
      <c r="EZ232" s="376"/>
      <c r="FA232" s="43"/>
      <c r="FB232" s="43"/>
      <c r="FC232" s="43"/>
      <c r="FD232" s="43"/>
      <c r="FE232" s="43"/>
      <c r="FF232" s="43"/>
      <c r="FG232" s="43"/>
      <c r="FH232" s="43"/>
      <c r="FI232" s="43"/>
      <c r="FJ232" s="43"/>
      <c r="FK232" s="79"/>
      <c r="FL232" s="79"/>
      <c r="FM232" s="338"/>
      <c r="FN232" s="338"/>
      <c r="FO232" s="338"/>
      <c r="FP232" s="338"/>
      <c r="FQ232" s="338"/>
      <c r="FR232" s="338"/>
      <c r="FS232" s="338"/>
      <c r="FT232" s="338"/>
      <c r="FU232" s="338"/>
      <c r="FV232" s="338"/>
      <c r="FW232" s="338"/>
      <c r="FX232" s="338"/>
      <c r="FY232" s="32"/>
      <c r="FZ232" s="32"/>
      <c r="GA232" s="32"/>
      <c r="GB232" s="32"/>
      <c r="GC232" s="32"/>
      <c r="GD232" s="32"/>
      <c r="GE232" s="32"/>
      <c r="GF232" s="32"/>
      <c r="GG232" s="32"/>
      <c r="GH232" s="32"/>
      <c r="GI232" s="32"/>
      <c r="GJ232" s="32"/>
      <c r="GK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99"/>
      <c r="HO232" s="399"/>
      <c r="HP232" s="399"/>
      <c r="HQ232" s="13"/>
      <c r="HR232" s="13"/>
      <c r="HS232" s="13"/>
      <c r="HT232" s="13"/>
      <c r="HU232" s="13"/>
      <c r="HV232" s="13"/>
      <c r="HW232" s="13"/>
      <c r="HX232" s="13"/>
      <c r="HY232" s="13"/>
      <c r="HZ232" s="13"/>
      <c r="IA232" s="13"/>
    </row>
    <row r="233" spans="1:235" ht="3.75" customHeight="1">
      <c r="A233" s="1"/>
      <c r="B233" s="3"/>
      <c r="C233" s="3"/>
      <c r="D233" s="402"/>
      <c r="E233" s="10"/>
      <c r="F233" s="376"/>
      <c r="G233" s="376"/>
      <c r="H233" s="376"/>
      <c r="I233" s="538" t="str">
        <f ca="1">IF(FO211=0,"",".")</f>
        <v/>
      </c>
      <c r="J233" s="554"/>
      <c r="K233" s="554"/>
      <c r="L233" s="554"/>
      <c r="M233" s="554"/>
      <c r="N233" s="554"/>
      <c r="O233" s="554"/>
      <c r="P233" s="554"/>
      <c r="Q233" s="554"/>
      <c r="R233" s="554"/>
      <c r="S233" s="554"/>
      <c r="T233" s="554"/>
      <c r="U233" s="554"/>
      <c r="V233" s="554"/>
      <c r="W233" s="554"/>
      <c r="X233" s="554"/>
      <c r="Y233" s="554"/>
      <c r="Z233" s="554"/>
      <c r="AA233" s="554"/>
      <c r="AB233" s="554"/>
      <c r="AC233" s="554"/>
      <c r="AD233" s="554"/>
      <c r="AE233" s="554"/>
      <c r="AF233" s="554"/>
      <c r="AG233" s="554"/>
      <c r="AH233" s="554"/>
      <c r="AI233" s="554"/>
      <c r="AJ233" s="554"/>
      <c r="AK233" s="554"/>
      <c r="AL233" s="554"/>
      <c r="AM233" s="554"/>
      <c r="AN233" s="554"/>
      <c r="AO233" s="554"/>
      <c r="AP233" s="554"/>
      <c r="AQ233" s="554"/>
      <c r="AR233" s="554"/>
      <c r="AS233" s="554"/>
      <c r="AT233" s="554"/>
      <c r="AU233" s="554"/>
      <c r="AV233" s="554"/>
      <c r="AW233" s="554"/>
      <c r="AX233" s="554"/>
      <c r="AY233" s="554"/>
      <c r="AZ233" s="554"/>
      <c r="BA233" s="554"/>
      <c r="BB233" s="554"/>
      <c r="BC233" s="554"/>
      <c r="BD233" s="554"/>
      <c r="BE233" s="554"/>
      <c r="BF233" s="554"/>
      <c r="BG233" s="554"/>
      <c r="BH233" s="554"/>
      <c r="BI233" s="554"/>
      <c r="BJ233" s="554"/>
      <c r="BK233" s="554"/>
      <c r="BL233" s="554"/>
      <c r="BM233" s="554"/>
      <c r="BN233" s="554"/>
      <c r="BO233" s="554"/>
      <c r="BP233" s="554"/>
      <c r="BQ233" s="554"/>
      <c r="BR233" s="554"/>
      <c r="BS233" s="554"/>
      <c r="BT233" s="554"/>
      <c r="BU233" s="554"/>
      <c r="BV233" s="554"/>
      <c r="BW233" s="554"/>
      <c r="BX233" s="554"/>
      <c r="BY233" s="554"/>
      <c r="BZ233" s="554"/>
      <c r="CA233" s="554"/>
      <c r="CB233" s="554"/>
      <c r="CC233" s="554"/>
      <c r="CD233" s="554"/>
      <c r="CE233" s="554"/>
      <c r="CF233" s="554"/>
      <c r="CG233" s="554"/>
      <c r="CH233" s="554"/>
      <c r="CI233" s="554"/>
      <c r="CJ233" s="554"/>
      <c r="CK233" s="554"/>
      <c r="CL233" s="554"/>
      <c r="CM233" s="554"/>
      <c r="CN233" s="554"/>
      <c r="CO233" s="554"/>
      <c r="CP233" s="554"/>
      <c r="CQ233" s="554"/>
      <c r="CR233" s="554"/>
      <c r="CS233" s="401"/>
      <c r="CT233" s="401"/>
      <c r="CU233" s="401"/>
      <c r="CV233" s="401"/>
      <c r="CW233" s="401"/>
      <c r="CX233" s="401"/>
      <c r="CY233" s="401"/>
      <c r="CZ233" s="401"/>
      <c r="DA233" s="401"/>
      <c r="DB233" s="401"/>
      <c r="DC233" s="401"/>
      <c r="DD233" s="401"/>
      <c r="DE233" s="401"/>
      <c r="DF233" s="401"/>
      <c r="DG233" s="401"/>
      <c r="DH233" s="401"/>
      <c r="DI233" s="401"/>
      <c r="DJ233" s="401"/>
      <c r="DK233" s="401"/>
      <c r="DL233" s="401"/>
      <c r="DM233" s="401"/>
      <c r="DN233" s="401"/>
      <c r="DO233" s="401"/>
      <c r="DP233" s="401"/>
      <c r="DQ233" s="401"/>
      <c r="DR233" s="401"/>
      <c r="DS233" s="401"/>
      <c r="DT233" s="401"/>
      <c r="DU233" s="401"/>
      <c r="DV233" s="401"/>
      <c r="DW233" s="401"/>
      <c r="DX233" s="401"/>
      <c r="DY233" s="401"/>
      <c r="DZ233" s="401"/>
      <c r="EA233" s="401"/>
      <c r="EB233" s="401"/>
      <c r="EC233" s="401"/>
      <c r="ED233" s="401"/>
      <c r="EE233" s="401"/>
      <c r="EF233" s="401"/>
      <c r="EG233" s="401"/>
      <c r="EH233" s="401"/>
      <c r="EI233" s="401"/>
      <c r="EJ233" s="401"/>
      <c r="EK233" s="401"/>
      <c r="EL233" s="401"/>
      <c r="EM233" s="401"/>
      <c r="EN233" s="401"/>
      <c r="EO233" s="401"/>
      <c r="EP233" s="401"/>
      <c r="EQ233" s="401"/>
      <c r="ER233" s="401"/>
      <c r="ES233" s="401"/>
      <c r="ET233" s="401"/>
      <c r="EU233" s="401"/>
      <c r="EV233" s="401"/>
      <c r="EW233" s="401"/>
      <c r="EX233" s="401"/>
      <c r="EY233" s="401"/>
      <c r="EZ233" s="401"/>
      <c r="FA233" s="401"/>
      <c r="FB233" s="401"/>
      <c r="FC233" s="43"/>
      <c r="FD233" s="376"/>
      <c r="FE233" s="376"/>
      <c r="FF233" s="376"/>
      <c r="FG233" s="376"/>
      <c r="FH233" s="376"/>
      <c r="FI233" s="376"/>
      <c r="FJ233" s="376"/>
      <c r="FK233" s="26"/>
      <c r="FL233" s="26"/>
      <c r="FM233" s="338"/>
      <c r="FN233" s="338"/>
      <c r="FO233" s="47"/>
      <c r="FP233" s="47"/>
      <c r="FQ233" s="47"/>
      <c r="FR233" s="48"/>
      <c r="FS233" s="48"/>
      <c r="FT233" s="48"/>
      <c r="FU233" s="49"/>
      <c r="FV233" s="49"/>
      <c r="FW233" s="49"/>
      <c r="FX233" s="49"/>
      <c r="FY233" s="32"/>
      <c r="FZ233" s="32"/>
      <c r="GA233" s="32"/>
      <c r="GB233" s="32"/>
      <c r="GC233" s="32"/>
      <c r="GD233" s="32"/>
      <c r="GE233" s="32"/>
      <c r="GF233" s="32"/>
      <c r="GG233" s="32"/>
      <c r="GH233" s="32"/>
      <c r="GI233" s="32"/>
      <c r="GJ233" s="32"/>
      <c r="GK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99"/>
      <c r="HO233" s="399"/>
      <c r="HP233" s="399"/>
      <c r="HQ233" s="13"/>
      <c r="HR233" s="13"/>
      <c r="HS233" s="13"/>
      <c r="HT233" s="13"/>
      <c r="HU233" s="13"/>
      <c r="HV233" s="13"/>
      <c r="HW233" s="13"/>
      <c r="HX233" s="13"/>
      <c r="HY233" s="13"/>
      <c r="HZ233" s="13"/>
      <c r="IA233" s="13"/>
    </row>
    <row r="234" spans="1:235" ht="16.5" customHeight="1">
      <c r="A234" s="1"/>
      <c r="B234" s="3"/>
      <c r="C234" s="3"/>
      <c r="D234" s="43"/>
      <c r="E234" s="10"/>
      <c r="F234" s="376"/>
      <c r="G234" s="376"/>
      <c r="H234" s="376"/>
      <c r="I234" s="400" t="str">
        <f ca="1">IF(FO211=0,"",".")</f>
        <v/>
      </c>
      <c r="J234" s="707"/>
      <c r="K234" s="555"/>
      <c r="L234" s="555"/>
      <c r="M234" s="555"/>
      <c r="N234" s="555"/>
      <c r="O234" s="555"/>
      <c r="P234" s="555"/>
      <c r="Q234" s="555"/>
      <c r="R234" s="555"/>
      <c r="S234" s="555"/>
      <c r="T234" s="555"/>
      <c r="U234" s="555"/>
      <c r="V234" s="555"/>
      <c r="W234" s="555"/>
      <c r="X234" s="555"/>
      <c r="Y234" s="555"/>
      <c r="Z234" s="555"/>
      <c r="AA234" s="555"/>
      <c r="AB234" s="555"/>
      <c r="AC234" s="555"/>
      <c r="AD234" s="555"/>
      <c r="AE234" s="555"/>
      <c r="AF234" s="555"/>
      <c r="AG234" s="555"/>
      <c r="AH234" s="555"/>
      <c r="AI234" s="555"/>
      <c r="AJ234" s="555"/>
      <c r="AK234" s="555"/>
      <c r="AL234" s="555"/>
      <c r="AM234" s="555"/>
      <c r="AN234" s="555"/>
      <c r="AO234" s="555"/>
      <c r="AP234" s="555"/>
      <c r="AQ234" s="555"/>
      <c r="AR234" s="555"/>
      <c r="AS234" s="555"/>
      <c r="AT234" s="555"/>
      <c r="AU234" s="555"/>
      <c r="AV234" s="555"/>
      <c r="AW234" s="555"/>
      <c r="AX234" s="555"/>
      <c r="AY234" s="555"/>
      <c r="AZ234" s="555"/>
      <c r="BA234" s="555"/>
      <c r="BB234" s="555"/>
      <c r="BC234" s="555"/>
      <c r="BD234" s="555"/>
      <c r="BE234" s="555"/>
      <c r="BF234" s="555"/>
      <c r="BG234" s="555"/>
      <c r="BH234" s="555"/>
      <c r="BI234" s="555"/>
      <c r="BJ234" s="555"/>
      <c r="BK234" s="555"/>
      <c r="BL234" s="555"/>
      <c r="BM234" s="555"/>
      <c r="BN234" s="555"/>
      <c r="BO234" s="555"/>
      <c r="BP234" s="555"/>
      <c r="BQ234" s="555"/>
      <c r="BR234" s="555"/>
      <c r="BS234" s="555"/>
      <c r="BT234" s="555"/>
      <c r="BU234" s="555"/>
      <c r="BV234" s="555"/>
      <c r="BW234" s="555"/>
      <c r="BX234" s="555"/>
      <c r="BY234" s="555"/>
      <c r="BZ234" s="555"/>
      <c r="CA234" s="555"/>
      <c r="CB234" s="555"/>
      <c r="CC234" s="555"/>
      <c r="CD234" s="555"/>
      <c r="CE234" s="555"/>
      <c r="CF234" s="555"/>
      <c r="CG234" s="555"/>
      <c r="CH234" s="555"/>
      <c r="CI234" s="555"/>
      <c r="CJ234" s="555"/>
      <c r="CK234" s="555"/>
      <c r="CL234" s="555"/>
      <c r="CM234" s="555"/>
      <c r="CN234" s="555"/>
      <c r="CO234" s="555"/>
      <c r="CP234" s="555"/>
      <c r="CQ234" s="555"/>
      <c r="CR234" s="400" t="str">
        <f ca="1">IF(FO211=0,"",".")</f>
        <v/>
      </c>
      <c r="CS234" s="384" t="s">
        <v>131</v>
      </c>
      <c r="CT234" s="403" t="str">
        <f ca="1">IF(FO211=0,"",IF(J234="","",IF(FO234=1,"Goed!",IF(J234=FR234,"Dan verliezen ze nog meer afzet, vooral als niet iedereen meedoet.","Fout! Dat vereist gezamenlijke actie en een groot vertrouwen in elkaar."))))</f>
        <v/>
      </c>
      <c r="CU234" s="376"/>
      <c r="CV234" s="401"/>
      <c r="CW234" s="401"/>
      <c r="CX234" s="401"/>
      <c r="CY234" s="401"/>
      <c r="CZ234" s="401"/>
      <c r="DA234" s="401"/>
      <c r="DB234" s="405"/>
      <c r="DC234" s="405"/>
      <c r="DD234" s="405"/>
      <c r="DE234" s="405"/>
      <c r="DF234" s="405"/>
      <c r="DG234" s="405"/>
      <c r="DH234" s="405"/>
      <c r="DI234" s="405"/>
      <c r="DJ234" s="405"/>
      <c r="DK234" s="405"/>
      <c r="DL234" s="405"/>
      <c r="DM234" s="405"/>
      <c r="DN234" s="405"/>
      <c r="DO234" s="405"/>
      <c r="DP234" s="405"/>
      <c r="DQ234" s="405"/>
      <c r="DR234" s="405"/>
      <c r="DS234" s="405"/>
      <c r="DT234" s="405"/>
      <c r="DU234" s="405"/>
      <c r="DV234" s="405"/>
      <c r="DW234" s="405"/>
      <c r="DX234" s="405"/>
      <c r="DY234" s="405"/>
      <c r="DZ234" s="405"/>
      <c r="EA234" s="405"/>
      <c r="EB234" s="405"/>
      <c r="EC234" s="405"/>
      <c r="ED234" s="405"/>
      <c r="EE234" s="405"/>
      <c r="EF234" s="405"/>
      <c r="EG234" s="405"/>
      <c r="EH234" s="401"/>
      <c r="EI234" s="401"/>
      <c r="EJ234" s="401"/>
      <c r="EK234" s="401"/>
      <c r="EL234" s="401"/>
      <c r="EM234" s="401"/>
      <c r="EN234" s="401"/>
      <c r="EO234" s="401"/>
      <c r="EP234" s="401"/>
      <c r="EQ234" s="401"/>
      <c r="ER234" s="401"/>
      <c r="ES234" s="401"/>
      <c r="ET234" s="401"/>
      <c r="EU234" s="401"/>
      <c r="EV234" s="401"/>
      <c r="EW234" s="401"/>
      <c r="EX234" s="401"/>
      <c r="EY234" s="401"/>
      <c r="EZ234" s="401"/>
      <c r="FA234" s="401"/>
      <c r="FB234" s="401"/>
      <c r="FC234" s="39"/>
      <c r="FD234" s="39"/>
      <c r="FE234" s="39"/>
      <c r="FF234" s="39"/>
      <c r="FG234" s="39"/>
      <c r="FH234" s="39"/>
      <c r="FI234" s="39"/>
      <c r="FJ234" s="39"/>
      <c r="FL234" s="79"/>
      <c r="FM234" s="338"/>
      <c r="FN234" s="338"/>
      <c r="FO234" s="48">
        <f ca="1">IF(programma!B1="X",1,IF(FO211=0,0,IF(J234=FT234,1,0)))</f>
        <v>0</v>
      </c>
      <c r="FP234" s="120" t="str">
        <f ca="1">IF(FO1=0,"",FT234)</f>
        <v>Hun eigen prijs ook verlagen om verlies van afzet te voorkomen.</v>
      </c>
      <c r="FQ234" s="185"/>
      <c r="FR234" s="48" t="s">
        <v>216</v>
      </c>
      <c r="FS234" s="48" t="s">
        <v>217</v>
      </c>
      <c r="FT234" s="48" t="s">
        <v>215</v>
      </c>
      <c r="FU234" s="48"/>
      <c r="FV234" s="48"/>
      <c r="FW234" s="48"/>
      <c r="FX234" s="48"/>
      <c r="FY234" s="32"/>
      <c r="FZ234" s="32"/>
      <c r="GA234" s="32"/>
      <c r="GB234" s="32"/>
      <c r="GC234" s="32"/>
      <c r="GD234" s="32"/>
      <c r="GE234" s="32"/>
      <c r="GF234" s="32"/>
      <c r="GG234" s="32"/>
      <c r="GH234" s="32"/>
      <c r="GI234" s="32"/>
      <c r="GJ234" s="32"/>
      <c r="GK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99"/>
      <c r="HO234" s="399"/>
      <c r="HP234" s="399"/>
      <c r="HQ234" s="13"/>
      <c r="HR234" s="13"/>
      <c r="HS234" s="13"/>
      <c r="HT234" s="13"/>
      <c r="HU234" s="13"/>
      <c r="HV234" s="13"/>
      <c r="HW234" s="13"/>
      <c r="HX234" s="13"/>
      <c r="HY234" s="13"/>
      <c r="HZ234" s="13"/>
      <c r="IA234" s="13"/>
    </row>
    <row r="235" spans="1:235" ht="3.75" customHeight="1">
      <c r="A235" s="1"/>
      <c r="B235" s="3"/>
      <c r="C235" s="3"/>
      <c r="D235" s="402"/>
      <c r="E235" s="10"/>
      <c r="F235" s="376"/>
      <c r="G235" s="376"/>
      <c r="H235" s="376"/>
      <c r="I235" s="538" t="str">
        <f ca="1">IF(FO211=0,"",".")</f>
        <v/>
      </c>
      <c r="J235" s="554"/>
      <c r="K235" s="554"/>
      <c r="L235" s="554"/>
      <c r="M235" s="554"/>
      <c r="N235" s="554"/>
      <c r="O235" s="554"/>
      <c r="P235" s="554"/>
      <c r="Q235" s="554"/>
      <c r="R235" s="554"/>
      <c r="S235" s="554"/>
      <c r="T235" s="554"/>
      <c r="U235" s="554"/>
      <c r="V235" s="554"/>
      <c r="W235" s="554"/>
      <c r="X235" s="554"/>
      <c r="Y235" s="554"/>
      <c r="Z235" s="554"/>
      <c r="AA235" s="554"/>
      <c r="AB235" s="554"/>
      <c r="AC235" s="554"/>
      <c r="AD235" s="554"/>
      <c r="AE235" s="554"/>
      <c r="AF235" s="554"/>
      <c r="AG235" s="554"/>
      <c r="AH235" s="554"/>
      <c r="AI235" s="554"/>
      <c r="AJ235" s="554"/>
      <c r="AK235" s="554"/>
      <c r="AL235" s="554"/>
      <c r="AM235" s="554"/>
      <c r="AN235" s="554"/>
      <c r="AO235" s="554"/>
      <c r="AP235" s="554"/>
      <c r="AQ235" s="554"/>
      <c r="AR235" s="554"/>
      <c r="AS235" s="554"/>
      <c r="AT235" s="554"/>
      <c r="AU235" s="554"/>
      <c r="AV235" s="554"/>
      <c r="AW235" s="554"/>
      <c r="AX235" s="554"/>
      <c r="AY235" s="554"/>
      <c r="AZ235" s="554"/>
      <c r="BA235" s="554"/>
      <c r="BB235" s="554"/>
      <c r="BC235" s="554"/>
      <c r="BD235" s="554"/>
      <c r="BE235" s="554"/>
      <c r="BF235" s="554"/>
      <c r="BG235" s="554"/>
      <c r="BH235" s="554"/>
      <c r="BI235" s="554"/>
      <c r="BJ235" s="554"/>
      <c r="BK235" s="554"/>
      <c r="BL235" s="554"/>
      <c r="BM235" s="554"/>
      <c r="BN235" s="554"/>
      <c r="BO235" s="554"/>
      <c r="BP235" s="554"/>
      <c r="BQ235" s="554"/>
      <c r="BR235" s="554"/>
      <c r="BS235" s="554"/>
      <c r="BT235" s="554"/>
      <c r="BU235" s="554"/>
      <c r="BV235" s="554"/>
      <c r="BW235" s="554"/>
      <c r="BX235" s="554"/>
      <c r="BY235" s="554"/>
      <c r="BZ235" s="554"/>
      <c r="CA235" s="554"/>
      <c r="CB235" s="554"/>
      <c r="CC235" s="554"/>
      <c r="CD235" s="554"/>
      <c r="CE235" s="554"/>
      <c r="CF235" s="554"/>
      <c r="CG235" s="554"/>
      <c r="CH235" s="554"/>
      <c r="CI235" s="554"/>
      <c r="CJ235" s="554"/>
      <c r="CK235" s="554"/>
      <c r="CL235" s="554"/>
      <c r="CM235" s="554"/>
      <c r="CN235" s="554"/>
      <c r="CO235" s="554"/>
      <c r="CP235" s="554"/>
      <c r="CQ235" s="554"/>
      <c r="CR235" s="554"/>
      <c r="CS235" s="538"/>
      <c r="CT235" s="554"/>
      <c r="CU235" s="554"/>
      <c r="CV235" s="554"/>
      <c r="CW235" s="554"/>
      <c r="CX235" s="554"/>
      <c r="CY235" s="554"/>
      <c r="CZ235" s="554"/>
      <c r="DA235" s="554"/>
      <c r="DB235" s="554"/>
      <c r="DC235" s="554"/>
      <c r="DD235" s="554"/>
      <c r="DE235" s="554"/>
      <c r="DF235" s="554"/>
      <c r="DG235" s="554"/>
      <c r="DH235" s="554"/>
      <c r="DI235" s="554"/>
      <c r="DJ235" s="554"/>
      <c r="DK235" s="554"/>
      <c r="DL235" s="554"/>
      <c r="DM235" s="554"/>
      <c r="DN235" s="554"/>
      <c r="DO235" s="554"/>
      <c r="DP235" s="554"/>
      <c r="DQ235" s="554"/>
      <c r="DR235" s="554"/>
      <c r="DS235" s="554"/>
      <c r="DT235" s="554"/>
      <c r="DU235" s="554"/>
      <c r="DV235" s="554"/>
      <c r="DW235" s="554"/>
      <c r="DX235" s="554"/>
      <c r="DY235" s="554"/>
      <c r="DZ235" s="554"/>
      <c r="EA235" s="554"/>
      <c r="EB235" s="554"/>
      <c r="EC235" s="554"/>
      <c r="ED235" s="554"/>
      <c r="EE235" s="554"/>
      <c r="EF235" s="554"/>
      <c r="EG235" s="554"/>
      <c r="EH235" s="554"/>
      <c r="EI235" s="554"/>
      <c r="EJ235" s="554"/>
      <c r="EK235" s="554"/>
      <c r="EL235" s="554"/>
      <c r="EM235" s="554"/>
      <c r="EN235" s="554"/>
      <c r="EO235" s="554"/>
      <c r="EP235" s="554"/>
      <c r="EQ235" s="554"/>
      <c r="ER235" s="554"/>
      <c r="ES235" s="554"/>
      <c r="ET235" s="554"/>
      <c r="EU235" s="554"/>
      <c r="EV235" s="554"/>
      <c r="EW235" s="554"/>
      <c r="EX235" s="554"/>
      <c r="EY235" s="554"/>
      <c r="EZ235" s="554"/>
      <c r="FA235" s="554"/>
      <c r="FB235" s="554"/>
      <c r="FC235" s="43"/>
      <c r="FD235" s="376"/>
      <c r="FE235" s="376"/>
      <c r="FF235" s="376"/>
      <c r="FG235" s="376"/>
      <c r="FH235" s="376"/>
      <c r="FI235" s="376"/>
      <c r="FJ235" s="376"/>
      <c r="FK235" s="26"/>
      <c r="FL235" s="26"/>
      <c r="FM235" s="338"/>
      <c r="FN235" s="338"/>
      <c r="FO235" s="47"/>
      <c r="FP235" s="47"/>
      <c r="FQ235" s="47"/>
      <c r="FR235" s="47"/>
      <c r="FS235" s="49"/>
      <c r="FT235" s="49"/>
      <c r="FU235" s="49"/>
      <c r="FV235" s="49"/>
      <c r="FW235" s="49"/>
      <c r="FX235" s="49"/>
      <c r="FY235" s="32"/>
      <c r="FZ235" s="32"/>
      <c r="GA235" s="32"/>
      <c r="GB235" s="32"/>
      <c r="GC235" s="32"/>
      <c r="GD235" s="32"/>
      <c r="GE235" s="32"/>
      <c r="GF235" s="32"/>
      <c r="GG235" s="32"/>
      <c r="GH235" s="32"/>
      <c r="GI235" s="32"/>
      <c r="GJ235" s="32"/>
      <c r="GK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99"/>
      <c r="HO235" s="399"/>
      <c r="HP235" s="399"/>
      <c r="HQ235" s="13"/>
      <c r="HR235" s="13"/>
      <c r="HS235" s="13"/>
      <c r="HT235" s="13"/>
      <c r="HU235" s="13"/>
      <c r="HV235" s="13"/>
      <c r="HW235" s="13"/>
      <c r="HX235" s="13"/>
      <c r="HY235" s="13"/>
      <c r="HZ235" s="13"/>
      <c r="IA235" s="13"/>
    </row>
    <row r="236" spans="1:235" ht="12.6" customHeight="1">
      <c r="A236" s="1"/>
      <c r="B236" s="3"/>
      <c r="C236" s="3"/>
      <c r="D236" s="124"/>
      <c r="E236" s="402"/>
      <c r="F236" s="402"/>
      <c r="G236" s="402"/>
      <c r="H236" s="402"/>
      <c r="I236" s="402"/>
      <c r="J236" s="376"/>
      <c r="K236" s="376"/>
      <c r="L236" s="376"/>
      <c r="M236" s="376"/>
      <c r="N236" s="376"/>
      <c r="O236" s="376"/>
      <c r="P236" s="376"/>
      <c r="Q236" s="376"/>
      <c r="R236" s="376"/>
      <c r="S236" s="376"/>
      <c r="T236" s="376"/>
      <c r="U236" s="376"/>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376"/>
      <c r="CQ236" s="376"/>
      <c r="CR236" s="376"/>
      <c r="CS236" s="376"/>
      <c r="CT236" s="376"/>
      <c r="CU236" s="376"/>
      <c r="CV236" s="376"/>
      <c r="CW236" s="376"/>
      <c r="CX236" s="376"/>
      <c r="CY236" s="376"/>
      <c r="CZ236" s="376"/>
      <c r="DA236" s="376"/>
      <c r="DB236" s="376"/>
      <c r="DC236" s="376"/>
      <c r="DD236" s="376"/>
      <c r="DE236" s="376"/>
      <c r="DF236" s="376"/>
      <c r="DG236" s="376"/>
      <c r="DH236" s="376"/>
      <c r="DI236" s="376"/>
      <c r="DJ236" s="376"/>
      <c r="DK236" s="376"/>
      <c r="DL236" s="376"/>
      <c r="DM236" s="376"/>
      <c r="DN236" s="376"/>
      <c r="DO236" s="376"/>
      <c r="DP236" s="376"/>
      <c r="DQ236" s="376"/>
      <c r="DR236" s="376"/>
      <c r="DS236" s="376"/>
      <c r="DT236" s="376"/>
      <c r="DU236" s="376"/>
      <c r="DV236" s="376"/>
      <c r="DW236" s="376"/>
      <c r="DX236" s="376"/>
      <c r="DY236" s="376"/>
      <c r="DZ236" s="376"/>
      <c r="EA236" s="376"/>
      <c r="EB236" s="376"/>
      <c r="EC236" s="376"/>
      <c r="ED236" s="376"/>
      <c r="EE236" s="376"/>
      <c r="EF236" s="376"/>
      <c r="EG236" s="376"/>
      <c r="EH236" s="376"/>
      <c r="EI236" s="376"/>
      <c r="EJ236" s="376"/>
      <c r="EK236" s="376"/>
      <c r="EL236" s="376"/>
      <c r="EM236" s="376"/>
      <c r="EN236" s="376"/>
      <c r="EO236" s="376"/>
      <c r="EP236" s="376"/>
      <c r="EQ236" s="376"/>
      <c r="ER236" s="376"/>
      <c r="ES236" s="376"/>
      <c r="ET236" s="376"/>
      <c r="EU236" s="376"/>
      <c r="EV236" s="376"/>
      <c r="EW236" s="376"/>
      <c r="EX236" s="376"/>
      <c r="EY236" s="376"/>
      <c r="EZ236" s="376"/>
      <c r="FA236" s="43"/>
      <c r="FB236" s="43"/>
      <c r="FC236" s="43"/>
      <c r="FD236" s="43"/>
      <c r="FE236" s="43"/>
      <c r="FF236" s="43"/>
      <c r="FG236" s="43"/>
      <c r="FH236" s="43"/>
      <c r="FI236" s="43"/>
      <c r="FJ236" s="43"/>
      <c r="FK236" s="79"/>
      <c r="FL236" s="79"/>
      <c r="FM236" s="338"/>
      <c r="FN236" s="338"/>
      <c r="FO236" s="338"/>
      <c r="FP236" s="338"/>
      <c r="FQ236" s="338"/>
      <c r="FR236" s="338"/>
      <c r="FS236" s="338"/>
      <c r="FT236" s="338"/>
      <c r="FU236" s="338"/>
      <c r="FV236" s="338"/>
      <c r="FW236" s="338"/>
      <c r="FX236" s="338"/>
      <c r="FY236" s="32"/>
      <c r="FZ236" s="32"/>
      <c r="GA236" s="32"/>
      <c r="GB236" s="32"/>
      <c r="GC236" s="32"/>
      <c r="GD236" s="32"/>
      <c r="GE236" s="32"/>
      <c r="GF236" s="32"/>
      <c r="GG236" s="32"/>
      <c r="GH236" s="32"/>
      <c r="GI236" s="32"/>
      <c r="GJ236" s="32"/>
      <c r="GK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38"/>
      <c r="HO236" s="338"/>
      <c r="HP236" s="338"/>
      <c r="HQ236" s="13"/>
      <c r="HR236" s="13"/>
      <c r="HS236" s="13"/>
      <c r="HT236" s="13"/>
      <c r="HU236" s="13"/>
      <c r="HV236" s="13"/>
      <c r="HW236" s="13"/>
      <c r="HX236" s="13"/>
      <c r="HY236" s="13"/>
      <c r="HZ236" s="13"/>
      <c r="IA236" s="13"/>
    </row>
    <row r="237" spans="1:235" ht="16.95" customHeight="1">
      <c r="A237" s="1"/>
      <c r="B237" s="3"/>
      <c r="C237" s="3"/>
      <c r="D237" s="124" t="str">
        <f ca="1">IF(FO234=0,"","Dit kan het begin zijn van een prijzenoorlog, waarbij de prijs zelfs tijdelijk")</f>
        <v/>
      </c>
      <c r="E237" s="402"/>
      <c r="F237" s="402"/>
      <c r="G237" s="402"/>
      <c r="H237" s="402"/>
      <c r="I237" s="402"/>
      <c r="J237" s="376"/>
      <c r="K237" s="376"/>
      <c r="L237" s="376"/>
      <c r="M237" s="376"/>
      <c r="N237" s="376"/>
      <c r="O237" s="376"/>
      <c r="P237" s="376"/>
      <c r="Q237" s="376"/>
      <c r="R237" s="376"/>
      <c r="S237" s="376"/>
      <c r="T237" s="376"/>
      <c r="U237" s="376"/>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376"/>
      <c r="CQ237" s="376"/>
      <c r="CR237" s="376"/>
      <c r="CS237" s="376"/>
      <c r="CT237" s="376"/>
      <c r="CU237" s="376"/>
      <c r="CV237" s="376"/>
      <c r="CW237" s="376"/>
      <c r="CX237" s="376"/>
      <c r="CY237" s="376"/>
      <c r="CZ237" s="376"/>
      <c r="DA237" s="376"/>
      <c r="DB237" s="376"/>
      <c r="DC237" s="376"/>
      <c r="DD237" s="376"/>
      <c r="DE237" s="376"/>
      <c r="DF237" s="376"/>
      <c r="DG237" s="376"/>
      <c r="DH237" s="376"/>
      <c r="DI237" s="376"/>
      <c r="DJ237" s="376"/>
      <c r="DK237" s="376"/>
      <c r="DL237" s="376"/>
      <c r="DM237" s="376"/>
      <c r="DN237" s="376"/>
      <c r="DO237" s="376"/>
      <c r="DP237" s="376"/>
      <c r="DQ237" s="376"/>
      <c r="DR237" s="376"/>
      <c r="DS237" s="376"/>
      <c r="DT237" s="376"/>
      <c r="DU237" s="376"/>
      <c r="DV237" s="376"/>
      <c r="DW237" s="376"/>
      <c r="DX237" s="376"/>
      <c r="DY237" s="376"/>
      <c r="DZ237" s="376"/>
      <c r="EA237" s="376"/>
      <c r="EB237" s="376"/>
      <c r="EC237" s="376"/>
      <c r="ED237" s="376"/>
      <c r="EE237" s="376"/>
      <c r="EF237" s="376"/>
      <c r="EG237" s="376"/>
      <c r="EH237" s="376"/>
      <c r="EI237" s="376"/>
      <c r="EJ237" s="376"/>
      <c r="EK237" s="376"/>
      <c r="EL237" s="376"/>
      <c r="EM237" s="376"/>
      <c r="EN237" s="376"/>
      <c r="EO237" s="376"/>
      <c r="EP237" s="376"/>
      <c r="EQ237" s="376"/>
      <c r="ER237" s="376"/>
      <c r="ES237" s="376"/>
      <c r="ET237" s="376"/>
      <c r="EU237" s="376"/>
      <c r="EV237" s="376"/>
      <c r="EW237" s="376"/>
      <c r="EX237" s="376"/>
      <c r="EY237" s="376"/>
      <c r="EZ237" s="376"/>
      <c r="FA237" s="43"/>
      <c r="FB237" s="43"/>
      <c r="FC237" s="43"/>
      <c r="FD237" s="43"/>
      <c r="FE237" s="43"/>
      <c r="FF237" s="43"/>
      <c r="FG237" s="43"/>
      <c r="FH237" s="43"/>
      <c r="FI237" s="79"/>
      <c r="FJ237" s="79"/>
      <c r="FK237" s="79"/>
      <c r="FL237" s="79"/>
      <c r="FM237" s="338"/>
      <c r="FN237" s="338"/>
      <c r="FO237" s="338"/>
      <c r="FP237" s="338"/>
      <c r="FQ237" s="338"/>
      <c r="FR237" s="338"/>
      <c r="FS237" s="338"/>
      <c r="FT237" s="338"/>
      <c r="FU237" s="338"/>
      <c r="FV237" s="338"/>
      <c r="FW237" s="338"/>
      <c r="FX237" s="338"/>
      <c r="FY237" s="32"/>
      <c r="FZ237" s="32"/>
      <c r="GA237" s="32"/>
      <c r="GB237" s="32"/>
      <c r="GC237" s="32"/>
      <c r="GD237" s="32"/>
      <c r="GE237" s="32"/>
      <c r="GF237" s="32"/>
      <c r="GG237" s="32"/>
      <c r="GH237" s="32"/>
      <c r="GI237" s="32"/>
      <c r="GJ237" s="32"/>
      <c r="GK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38"/>
      <c r="HO237" s="338"/>
      <c r="HP237" s="338"/>
      <c r="HQ237" s="13"/>
      <c r="HR237" s="13"/>
      <c r="HS237" s="13"/>
      <c r="HT237" s="13"/>
      <c r="HU237" s="13"/>
      <c r="HV237" s="13"/>
      <c r="HW237" s="13"/>
      <c r="HX237" s="13"/>
      <c r="HY237" s="13"/>
      <c r="HZ237" s="13"/>
      <c r="IA237" s="13"/>
    </row>
    <row r="238" spans="1:235" ht="16.95" customHeight="1">
      <c r="A238" s="1"/>
      <c r="B238" s="3"/>
      <c r="C238" s="3"/>
      <c r="D238" s="124" t="str">
        <f ca="1">IF(FO234=0,"","onder de kostprijs kan zakken (tijdelijk, omdat een aantal aanbieders failliet")</f>
        <v/>
      </c>
      <c r="E238" s="402"/>
      <c r="F238" s="402"/>
      <c r="G238" s="402"/>
      <c r="H238" s="402"/>
      <c r="I238" s="402"/>
      <c r="J238" s="376"/>
      <c r="K238" s="376"/>
      <c r="L238" s="376"/>
      <c r="M238" s="376"/>
      <c r="N238" s="376"/>
      <c r="O238" s="376"/>
      <c r="P238" s="376"/>
      <c r="Q238" s="376"/>
      <c r="R238" s="376"/>
      <c r="S238" s="376"/>
      <c r="T238" s="376"/>
      <c r="U238" s="376"/>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376"/>
      <c r="CQ238" s="376"/>
      <c r="CR238" s="376"/>
      <c r="CS238" s="376"/>
      <c r="CT238" s="376"/>
      <c r="CU238" s="376"/>
      <c r="CV238" s="376"/>
      <c r="CW238" s="376"/>
      <c r="CX238" s="376"/>
      <c r="CY238" s="376"/>
      <c r="CZ238" s="376"/>
      <c r="DA238" s="376"/>
      <c r="DB238" s="376"/>
      <c r="DC238" s="376"/>
      <c r="DD238" s="376"/>
      <c r="DE238" s="376"/>
      <c r="DF238" s="376"/>
      <c r="DG238" s="376"/>
      <c r="DH238" s="376"/>
      <c r="DI238" s="376"/>
      <c r="DJ238" s="376"/>
      <c r="DK238" s="376"/>
      <c r="DL238" s="376"/>
      <c r="DM238" s="376"/>
      <c r="DN238" s="376"/>
      <c r="DO238" s="376"/>
      <c r="DP238" s="376"/>
      <c r="DQ238" s="376"/>
      <c r="DR238" s="376"/>
      <c r="DS238" s="376"/>
      <c r="DT238" s="376"/>
      <c r="DU238" s="376"/>
      <c r="DV238" s="376"/>
      <c r="DW238" s="376"/>
      <c r="DX238" s="376"/>
      <c r="DY238" s="376"/>
      <c r="DZ238" s="376"/>
      <c r="EA238" s="376"/>
      <c r="EB238" s="376"/>
      <c r="EC238" s="376"/>
      <c r="ED238" s="376"/>
      <c r="EE238" s="376"/>
      <c r="EF238" s="376"/>
      <c r="EG238" s="376"/>
      <c r="EH238" s="376"/>
      <c r="EI238" s="376"/>
      <c r="EJ238" s="376"/>
      <c r="EK238" s="376"/>
      <c r="EL238" s="376"/>
      <c r="EM238" s="376"/>
      <c r="EN238" s="376"/>
      <c r="EO238" s="376"/>
      <c r="EP238" s="376"/>
      <c r="EQ238" s="376"/>
      <c r="ER238" s="376"/>
      <c r="ES238" s="376"/>
      <c r="ET238" s="376"/>
      <c r="EU238" s="376"/>
      <c r="EV238" s="376"/>
      <c r="EW238" s="376"/>
      <c r="EX238" s="376"/>
      <c r="EY238" s="376"/>
      <c r="EZ238" s="376"/>
      <c r="FA238" s="43"/>
      <c r="FB238" s="43"/>
      <c r="FC238" s="43"/>
      <c r="FD238" s="43"/>
      <c r="FE238" s="43"/>
      <c r="FF238" s="43"/>
      <c r="FG238" s="43"/>
      <c r="FH238" s="43"/>
      <c r="FI238" s="79"/>
      <c r="FJ238" s="79"/>
      <c r="FK238" s="79"/>
      <c r="FL238" s="79"/>
      <c r="FM238" s="338"/>
      <c r="FN238" s="338"/>
      <c r="FO238" s="338"/>
      <c r="FP238" s="338"/>
      <c r="FQ238" s="338"/>
      <c r="FR238" s="338"/>
      <c r="FS238" s="338"/>
      <c r="FT238" s="338"/>
      <c r="FU238" s="338"/>
      <c r="FV238" s="338"/>
      <c r="FW238" s="338"/>
      <c r="FX238" s="338"/>
      <c r="FY238" s="32"/>
      <c r="FZ238" s="32"/>
      <c r="GA238" s="32"/>
      <c r="GB238" s="32"/>
      <c r="GC238" s="32"/>
      <c r="GD238" s="32"/>
      <c r="GE238" s="32"/>
      <c r="GF238" s="32"/>
      <c r="GG238" s="32"/>
      <c r="GH238" s="32"/>
      <c r="GI238" s="32"/>
      <c r="GJ238" s="32"/>
      <c r="GK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38"/>
      <c r="HO238" s="338"/>
      <c r="HP238" s="338"/>
      <c r="HQ238" s="13"/>
      <c r="HR238" s="13"/>
      <c r="HS238" s="13"/>
      <c r="HT238" s="13"/>
      <c r="HU238" s="13"/>
      <c r="HV238" s="13"/>
      <c r="HW238" s="13"/>
      <c r="HX238" s="13"/>
      <c r="HY238" s="13"/>
      <c r="HZ238" s="13"/>
      <c r="IA238" s="13"/>
    </row>
    <row r="239" spans="1:235" ht="16.95" customHeight="1">
      <c r="A239" s="1"/>
      <c r="B239" s="3"/>
      <c r="C239" s="3"/>
      <c r="D239" s="124" t="str">
        <f ca="1">IF(FO234=0,"","zal gaan, waardoor het aanbod daalt en de prijs weer zal stijgen).")</f>
        <v/>
      </c>
      <c r="E239" s="402"/>
      <c r="F239" s="402"/>
      <c r="G239" s="402"/>
      <c r="H239" s="402"/>
      <c r="I239" s="402"/>
      <c r="J239" s="376"/>
      <c r="K239" s="376"/>
      <c r="L239" s="376"/>
      <c r="M239" s="376"/>
      <c r="N239" s="376"/>
      <c r="O239" s="376"/>
      <c r="P239" s="376"/>
      <c r="Q239" s="376"/>
      <c r="R239" s="376"/>
      <c r="S239" s="376"/>
      <c r="T239" s="376"/>
      <c r="U239" s="376"/>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376"/>
      <c r="CQ239" s="376"/>
      <c r="CR239" s="376"/>
      <c r="CS239" s="376"/>
      <c r="CT239" s="376"/>
      <c r="CU239" s="376"/>
      <c r="CV239" s="376"/>
      <c r="CW239" s="376"/>
      <c r="CX239" s="376"/>
      <c r="CY239" s="376"/>
      <c r="CZ239" s="376"/>
      <c r="DA239" s="376"/>
      <c r="DB239" s="376"/>
      <c r="DC239" s="376"/>
      <c r="DD239" s="376"/>
      <c r="DE239" s="376"/>
      <c r="DF239" s="376"/>
      <c r="DG239" s="376"/>
      <c r="DH239" s="376"/>
      <c r="DI239" s="376"/>
      <c r="DJ239" s="376"/>
      <c r="DK239" s="376"/>
      <c r="DL239" s="376"/>
      <c r="DM239" s="376"/>
      <c r="DN239" s="376"/>
      <c r="DO239" s="376"/>
      <c r="DP239" s="376"/>
      <c r="DQ239" s="376"/>
      <c r="DR239" s="376"/>
      <c r="DS239" s="376"/>
      <c r="DT239" s="376"/>
      <c r="DU239" s="376"/>
      <c r="DV239" s="376"/>
      <c r="DW239" s="376"/>
      <c r="DX239" s="376"/>
      <c r="DY239" s="376"/>
      <c r="DZ239" s="376"/>
      <c r="EA239" s="376"/>
      <c r="EB239" s="376"/>
      <c r="EC239" s="376"/>
      <c r="ED239" s="376"/>
      <c r="EE239" s="376"/>
      <c r="EF239" s="376"/>
      <c r="EG239" s="376"/>
      <c r="EH239" s="376"/>
      <c r="EI239" s="376"/>
      <c r="EJ239" s="376"/>
      <c r="EK239" s="376"/>
      <c r="EL239" s="376"/>
      <c r="EM239" s="376"/>
      <c r="EN239" s="376"/>
      <c r="EO239" s="376"/>
      <c r="EP239" s="376"/>
      <c r="EQ239" s="376"/>
      <c r="ER239" s="376"/>
      <c r="ES239" s="376"/>
      <c r="ET239" s="376"/>
      <c r="EU239" s="376"/>
      <c r="EV239" s="376"/>
      <c r="EW239" s="376"/>
      <c r="EX239" s="376"/>
      <c r="EY239" s="376"/>
      <c r="EZ239" s="376"/>
      <c r="FA239" s="43"/>
      <c r="FB239" s="43"/>
      <c r="FC239" s="43"/>
      <c r="FD239" s="43"/>
      <c r="FE239" s="43"/>
      <c r="FF239" s="43"/>
      <c r="FG239" s="43"/>
      <c r="FH239" s="43"/>
      <c r="FI239" s="79"/>
      <c r="FJ239" s="79"/>
      <c r="FK239" s="79"/>
      <c r="FL239" s="79"/>
      <c r="FM239" s="338"/>
      <c r="FN239" s="338"/>
      <c r="FO239" s="338"/>
      <c r="FP239" s="338"/>
      <c r="FQ239" s="338"/>
      <c r="FR239" s="338"/>
      <c r="FS239" s="338"/>
      <c r="FT239" s="338"/>
      <c r="FU239" s="338"/>
      <c r="FV239" s="338"/>
      <c r="FW239" s="338"/>
      <c r="FX239" s="338"/>
      <c r="FY239" s="32"/>
      <c r="FZ239" s="32"/>
      <c r="GA239" s="32"/>
      <c r="GB239" s="32"/>
      <c r="GC239" s="32"/>
      <c r="GD239" s="32"/>
      <c r="GE239" s="32"/>
      <c r="GF239" s="32"/>
      <c r="GG239" s="32"/>
      <c r="GH239" s="32"/>
      <c r="GI239" s="32"/>
      <c r="GJ239" s="32"/>
      <c r="GK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38"/>
      <c r="HO239" s="338"/>
      <c r="HP239" s="338"/>
      <c r="HQ239" s="13"/>
      <c r="HR239" s="13"/>
      <c r="HS239" s="13"/>
      <c r="HT239" s="13"/>
      <c r="HU239" s="13"/>
      <c r="HV239" s="13"/>
      <c r="HW239" s="13"/>
      <c r="HX239" s="13"/>
      <c r="HY239" s="13"/>
      <c r="HZ239" s="13"/>
      <c r="IA239" s="13"/>
    </row>
    <row r="240" spans="1:235" ht="16.95" customHeight="1">
      <c r="A240" s="1"/>
      <c r="B240" s="3"/>
      <c r="C240" s="3"/>
      <c r="D240" s="124"/>
      <c r="E240" s="402"/>
      <c r="F240" s="402"/>
      <c r="G240" s="402"/>
      <c r="H240" s="402"/>
      <c r="I240" s="402"/>
      <c r="J240" s="376"/>
      <c r="K240" s="376"/>
      <c r="L240" s="376"/>
      <c r="M240" s="376"/>
      <c r="N240" s="376"/>
      <c r="O240" s="376"/>
      <c r="P240" s="376"/>
      <c r="Q240" s="376"/>
      <c r="R240" s="376"/>
      <c r="S240" s="376"/>
      <c r="T240" s="376"/>
      <c r="U240" s="376"/>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376"/>
      <c r="CQ240" s="376"/>
      <c r="CR240" s="376"/>
      <c r="CS240" s="376"/>
      <c r="CT240" s="376"/>
      <c r="CU240" s="376"/>
      <c r="CV240" s="376"/>
      <c r="CW240" s="376"/>
      <c r="CX240" s="376"/>
      <c r="CY240" s="376"/>
      <c r="CZ240" s="376"/>
      <c r="DA240" s="376"/>
      <c r="DB240" s="376"/>
      <c r="DC240" s="376"/>
      <c r="DD240" s="376"/>
      <c r="DE240" s="376"/>
      <c r="DF240" s="376"/>
      <c r="DG240" s="376"/>
      <c r="DH240" s="376"/>
      <c r="DI240" s="376"/>
      <c r="DJ240" s="376"/>
      <c r="DK240" s="376"/>
      <c r="DL240" s="376"/>
      <c r="DM240" s="376"/>
      <c r="DN240" s="376"/>
      <c r="DO240" s="376"/>
      <c r="DP240" s="376"/>
      <c r="DQ240" s="376"/>
      <c r="DR240" s="376"/>
      <c r="DS240" s="376"/>
      <c r="DT240" s="376"/>
      <c r="DU240" s="376"/>
      <c r="DV240" s="376"/>
      <c r="DW240" s="376"/>
      <c r="DX240" s="376"/>
      <c r="DY240" s="376"/>
      <c r="DZ240" s="376"/>
      <c r="EA240" s="376"/>
      <c r="EB240" s="376"/>
      <c r="EC240" s="376"/>
      <c r="ED240" s="376"/>
      <c r="EE240" s="376"/>
      <c r="EF240" s="376"/>
      <c r="EG240" s="376"/>
      <c r="EH240" s="376"/>
      <c r="EI240" s="376"/>
      <c r="EJ240" s="376"/>
      <c r="EK240" s="376"/>
      <c r="EL240" s="376"/>
      <c r="EM240" s="376"/>
      <c r="EN240" s="376"/>
      <c r="EO240" s="376"/>
      <c r="EP240" s="376"/>
      <c r="EQ240" s="376"/>
      <c r="ER240" s="376"/>
      <c r="ES240" s="376"/>
      <c r="ET240" s="376"/>
      <c r="EU240" s="376"/>
      <c r="EV240" s="376"/>
      <c r="EW240" s="376"/>
      <c r="EX240" s="376"/>
      <c r="EY240" s="376"/>
      <c r="EZ240" s="376"/>
      <c r="FA240" s="43"/>
      <c r="FB240" s="43"/>
      <c r="FC240" s="43"/>
      <c r="FD240" s="43"/>
      <c r="FE240" s="43"/>
      <c r="FF240" s="43"/>
      <c r="FG240" s="43"/>
      <c r="FH240" s="43"/>
      <c r="FI240" s="79"/>
      <c r="FJ240" s="79"/>
      <c r="FK240" s="79"/>
      <c r="FL240" s="79"/>
      <c r="FM240" s="338"/>
      <c r="FN240" s="338"/>
      <c r="FO240" s="338"/>
      <c r="FP240" s="338"/>
      <c r="FQ240" s="338"/>
      <c r="FR240" s="338"/>
      <c r="FS240" s="338"/>
      <c r="FT240" s="338"/>
      <c r="FU240" s="338"/>
      <c r="FV240" s="338"/>
      <c r="FW240" s="338"/>
      <c r="FX240" s="338"/>
      <c r="FY240" s="32"/>
      <c r="FZ240" s="32"/>
      <c r="GA240" s="32"/>
      <c r="GB240" s="32"/>
      <c r="GC240" s="32"/>
      <c r="GD240" s="32"/>
      <c r="GE240" s="32"/>
      <c r="GF240" s="32"/>
      <c r="GG240" s="32"/>
      <c r="GH240" s="32"/>
      <c r="GI240" s="32"/>
      <c r="GJ240" s="32"/>
      <c r="GK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38"/>
      <c r="HO240" s="338"/>
      <c r="HP240" s="338"/>
      <c r="HQ240" s="13"/>
      <c r="HR240" s="13"/>
      <c r="HS240" s="13"/>
      <c r="HT240" s="13"/>
      <c r="HU240" s="13"/>
      <c r="HV240" s="13"/>
      <c r="HW240" s="13"/>
      <c r="HX240" s="13"/>
      <c r="HY240" s="13"/>
      <c r="HZ240" s="13"/>
      <c r="IA240" s="13"/>
    </row>
    <row r="241" spans="1:235" ht="16.95" customHeight="1">
      <c r="A241" s="1"/>
      <c r="B241" s="3"/>
      <c r="C241" s="3"/>
      <c r="D241" s="124" t="str">
        <f ca="1">IF(FO234=0,"","Omdat elke aanbieder weet dat als hij eenzijdig de prijs verlaagt, dit tot een")</f>
        <v/>
      </c>
      <c r="E241" s="402"/>
      <c r="F241" s="402"/>
      <c r="G241" s="402"/>
      <c r="H241" s="402"/>
      <c r="I241" s="402"/>
      <c r="J241" s="376"/>
      <c r="K241" s="376"/>
      <c r="L241" s="376"/>
      <c r="M241" s="376"/>
      <c r="N241" s="376"/>
      <c r="O241" s="376"/>
      <c r="P241" s="376"/>
      <c r="Q241" s="376"/>
      <c r="R241" s="376"/>
      <c r="S241" s="376"/>
      <c r="T241" s="376"/>
      <c r="U241" s="376"/>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376"/>
      <c r="CQ241" s="376"/>
      <c r="CR241" s="376"/>
      <c r="CS241" s="376"/>
      <c r="CT241" s="376"/>
      <c r="CU241" s="376"/>
      <c r="CV241" s="376"/>
      <c r="CW241" s="376"/>
      <c r="CX241" s="376"/>
      <c r="CY241" s="376"/>
      <c r="CZ241" s="376"/>
      <c r="DA241" s="376"/>
      <c r="DB241" s="376"/>
      <c r="DC241" s="376"/>
      <c r="DD241" s="376"/>
      <c r="DE241" s="376"/>
      <c r="DF241" s="376"/>
      <c r="DG241" s="376"/>
      <c r="DH241" s="376"/>
      <c r="DI241" s="376"/>
      <c r="DJ241" s="376"/>
      <c r="DK241" s="376"/>
      <c r="DL241" s="376"/>
      <c r="DM241" s="376"/>
      <c r="DN241" s="376"/>
      <c r="DO241" s="376"/>
      <c r="DP241" s="376"/>
      <c r="DQ241" s="376"/>
      <c r="DR241" s="376"/>
      <c r="DS241" s="376"/>
      <c r="DT241" s="376"/>
      <c r="DU241" s="376"/>
      <c r="DV241" s="376"/>
      <c r="DW241" s="376"/>
      <c r="DX241" s="376"/>
      <c r="DY241" s="376"/>
      <c r="DZ241" s="376"/>
      <c r="EA241" s="376"/>
      <c r="EB241" s="376"/>
      <c r="EC241" s="376"/>
      <c r="ED241" s="376"/>
      <c r="EE241" s="376"/>
      <c r="EF241" s="376"/>
      <c r="EG241" s="376"/>
      <c r="EH241" s="376"/>
      <c r="EI241" s="376"/>
      <c r="EJ241" s="376"/>
      <c r="EK241" s="376"/>
      <c r="EL241" s="376"/>
      <c r="EM241" s="376"/>
      <c r="EN241" s="376"/>
      <c r="EO241" s="376"/>
      <c r="EP241" s="376"/>
      <c r="EQ241" s="376"/>
      <c r="ER241" s="376"/>
      <c r="ES241" s="376"/>
      <c r="ET241" s="376"/>
      <c r="EU241" s="376"/>
      <c r="EV241" s="376"/>
      <c r="EW241" s="376"/>
      <c r="EX241" s="376"/>
      <c r="EY241" s="376"/>
      <c r="EZ241" s="376"/>
      <c r="FA241" s="43"/>
      <c r="FB241" s="43"/>
      <c r="FC241" s="43"/>
      <c r="FD241" s="43"/>
      <c r="FE241" s="43"/>
      <c r="FF241" s="43"/>
      <c r="FG241" s="43"/>
      <c r="FH241" s="43"/>
      <c r="FI241" s="79"/>
      <c r="FJ241" s="79"/>
      <c r="FK241" s="79"/>
      <c r="FL241" s="79"/>
      <c r="FM241" s="338"/>
      <c r="FN241" s="338"/>
      <c r="FO241" s="338"/>
      <c r="FP241" s="338"/>
      <c r="FQ241" s="338"/>
      <c r="FR241" s="338"/>
      <c r="FS241" s="338"/>
      <c r="FT241" s="338"/>
      <c r="FU241" s="338"/>
      <c r="FV241" s="338"/>
      <c r="FW241" s="338"/>
      <c r="FX241" s="338"/>
      <c r="FY241" s="32"/>
      <c r="FZ241" s="32"/>
      <c r="GA241" s="32"/>
      <c r="GB241" s="32"/>
      <c r="GC241" s="32"/>
      <c r="GD241" s="32"/>
      <c r="GE241" s="32"/>
      <c r="GF241" s="32"/>
      <c r="GG241" s="32"/>
      <c r="GH241" s="32"/>
      <c r="GI241" s="32"/>
      <c r="GJ241" s="32"/>
      <c r="GK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38"/>
      <c r="HO241" s="338"/>
      <c r="HP241" s="338"/>
      <c r="HQ241" s="13"/>
      <c r="HR241" s="13"/>
      <c r="HS241" s="13"/>
      <c r="HT241" s="13"/>
      <c r="HU241" s="13"/>
      <c r="HV241" s="13"/>
      <c r="HW241" s="13"/>
      <c r="HX241" s="13"/>
      <c r="HY241" s="13"/>
      <c r="HZ241" s="13"/>
      <c r="IA241" s="13"/>
    </row>
    <row r="242" spans="1:235" ht="16.95" customHeight="1">
      <c r="A242" s="1"/>
      <c r="B242" s="3"/>
      <c r="C242" s="3"/>
      <c r="D242" s="124" t="str">
        <f ca="1">IF(FO234=0,"","prijzenoorlog kan leiden, en men de prijs dus niet snel zal verhogen, houdt")</f>
        <v/>
      </c>
      <c r="E242" s="402"/>
      <c r="F242" s="402"/>
      <c r="G242" s="402"/>
      <c r="H242" s="402"/>
      <c r="I242" s="402"/>
      <c r="J242" s="376"/>
      <c r="K242" s="376"/>
      <c r="L242" s="376"/>
      <c r="M242" s="376"/>
      <c r="N242" s="376"/>
      <c r="O242" s="376"/>
      <c r="P242" s="376"/>
      <c r="Q242" s="376"/>
      <c r="R242" s="376"/>
      <c r="S242" s="376"/>
      <c r="T242" s="376"/>
      <c r="U242" s="376"/>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376"/>
      <c r="CQ242" s="376"/>
      <c r="CR242" s="376"/>
      <c r="CS242" s="376"/>
      <c r="CT242" s="376"/>
      <c r="CU242" s="376"/>
      <c r="CV242" s="376"/>
      <c r="CW242" s="376"/>
      <c r="CX242" s="376"/>
      <c r="CY242" s="376"/>
      <c r="CZ242" s="376"/>
      <c r="DA242" s="376"/>
      <c r="DB242" s="376"/>
      <c r="DC242" s="376"/>
      <c r="DD242" s="376"/>
      <c r="DE242" s="376"/>
      <c r="DF242" s="376"/>
      <c r="DG242" s="376"/>
      <c r="DH242" s="376"/>
      <c r="DI242" s="376"/>
      <c r="DJ242" s="376"/>
      <c r="DK242" s="376"/>
      <c r="DL242" s="376"/>
      <c r="DM242" s="376"/>
      <c r="DN242" s="376"/>
      <c r="DO242" s="376"/>
      <c r="DP242" s="376"/>
      <c r="DQ242" s="376"/>
      <c r="DR242" s="376"/>
      <c r="DS242" s="376"/>
      <c r="DT242" s="376"/>
      <c r="DU242" s="376"/>
      <c r="DV242" s="376"/>
      <c r="DW242" s="376"/>
      <c r="DX242" s="376"/>
      <c r="DY242" s="376"/>
      <c r="DZ242" s="376"/>
      <c r="EA242" s="376"/>
      <c r="EB242" s="376"/>
      <c r="EC242" s="376"/>
      <c r="ED242" s="376"/>
      <c r="EE242" s="376"/>
      <c r="EF242" s="376"/>
      <c r="EG242" s="376"/>
      <c r="EH242" s="376"/>
      <c r="EI242" s="376"/>
      <c r="EJ242" s="376"/>
      <c r="EK242" s="376"/>
      <c r="EL242" s="376"/>
      <c r="EM242" s="376"/>
      <c r="EN242" s="376"/>
      <c r="EO242" s="376"/>
      <c r="EP242" s="376"/>
      <c r="EQ242" s="376"/>
      <c r="ER242" s="376"/>
      <c r="ES242" s="376"/>
      <c r="ET242" s="376"/>
      <c r="EU242" s="376"/>
      <c r="EV242" s="376"/>
      <c r="EW242" s="376"/>
      <c r="EX242" s="376"/>
      <c r="EY242" s="376"/>
      <c r="EZ242" s="376"/>
      <c r="FA242" s="43"/>
      <c r="FB242" s="43"/>
      <c r="FC242" s="43"/>
      <c r="FD242" s="43"/>
      <c r="FE242" s="43"/>
      <c r="FF242" s="43"/>
      <c r="FG242" s="43"/>
      <c r="FH242" s="43"/>
      <c r="FI242" s="79"/>
      <c r="FJ242" s="79"/>
      <c r="FK242" s="79"/>
      <c r="FL242" s="79"/>
      <c r="FM242" s="338"/>
      <c r="FN242" s="338"/>
      <c r="FO242" s="338"/>
      <c r="FP242" s="338"/>
      <c r="FQ242" s="338"/>
      <c r="FR242" s="338"/>
      <c r="FS242" s="338"/>
      <c r="FT242" s="338"/>
      <c r="FU242" s="338"/>
      <c r="FV242" s="338"/>
      <c r="FW242" s="338"/>
      <c r="FX242" s="338"/>
      <c r="FY242" s="32"/>
      <c r="FZ242" s="32"/>
      <c r="GA242" s="32"/>
      <c r="GB242" s="32"/>
      <c r="GC242" s="32"/>
      <c r="GD242" s="32"/>
      <c r="GE242" s="32"/>
      <c r="GF242" s="32"/>
      <c r="GG242" s="32"/>
      <c r="GH242" s="32"/>
      <c r="GI242" s="32"/>
      <c r="GJ242" s="32"/>
      <c r="GK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38"/>
      <c r="HO242" s="338"/>
      <c r="HP242" s="338"/>
      <c r="HQ242" s="13"/>
      <c r="HR242" s="13"/>
      <c r="HS242" s="13"/>
      <c r="HT242" s="13"/>
      <c r="HU242" s="13"/>
      <c r="HV242" s="13"/>
      <c r="HW242" s="13"/>
      <c r="HX242" s="13"/>
      <c r="HY242" s="13"/>
      <c r="HZ242" s="13"/>
      <c r="IA242" s="13"/>
    </row>
    <row r="243" spans="1:235" ht="16.95" customHeight="1">
      <c r="A243" s="1"/>
      <c r="B243" s="3"/>
      <c r="C243" s="3"/>
      <c r="D243" s="124" t="str">
        <f ca="1">IF(FO234=0,"","men vast aan de oude prijs en past de aanbieder zijn hoeveelheid hierop aan.")</f>
        <v/>
      </c>
      <c r="E243" s="402"/>
      <c r="F243" s="402"/>
      <c r="G243" s="402"/>
      <c r="H243" s="402"/>
      <c r="I243" s="402"/>
      <c r="J243" s="376"/>
      <c r="K243" s="376"/>
      <c r="L243" s="376"/>
      <c r="M243" s="376"/>
      <c r="N243" s="376"/>
      <c r="O243" s="376"/>
      <c r="P243" s="376"/>
      <c r="Q243" s="376"/>
      <c r="R243" s="376"/>
      <c r="S243" s="376"/>
      <c r="T243" s="376"/>
      <c r="U243" s="376"/>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376"/>
      <c r="CQ243" s="376"/>
      <c r="CR243" s="376"/>
      <c r="CS243" s="376"/>
      <c r="CT243" s="376"/>
      <c r="CU243" s="376"/>
      <c r="CV243" s="376"/>
      <c r="CW243" s="376"/>
      <c r="CX243" s="376"/>
      <c r="CY243" s="376"/>
      <c r="CZ243" s="376"/>
      <c r="DA243" s="376"/>
      <c r="DB243" s="376"/>
      <c r="DC243" s="376"/>
      <c r="DD243" s="376"/>
      <c r="DE243" s="376"/>
      <c r="DF243" s="376"/>
      <c r="DG243" s="376"/>
      <c r="DH243" s="376"/>
      <c r="DI243" s="376"/>
      <c r="DJ243" s="376"/>
      <c r="DK243" s="376"/>
      <c r="DL243" s="376"/>
      <c r="DM243" s="376"/>
      <c r="DN243" s="376"/>
      <c r="DO243" s="376"/>
      <c r="DP243" s="376"/>
      <c r="DQ243" s="376"/>
      <c r="DR243" s="376"/>
      <c r="DS243" s="376"/>
      <c r="DT243" s="376"/>
      <c r="DU243" s="376"/>
      <c r="DV243" s="376"/>
      <c r="DW243" s="376"/>
      <c r="DX243" s="376"/>
      <c r="DY243" s="376"/>
      <c r="DZ243" s="376"/>
      <c r="EA243" s="376"/>
      <c r="EB243" s="376"/>
      <c r="EC243" s="376"/>
      <c r="ED243" s="376"/>
      <c r="EE243" s="376"/>
      <c r="EF243" s="376"/>
      <c r="EG243" s="376"/>
      <c r="EH243" s="376"/>
      <c r="EI243" s="376"/>
      <c r="EJ243" s="376"/>
      <c r="EK243" s="376"/>
      <c r="EL243" s="376"/>
      <c r="EM243" s="376"/>
      <c r="EN243" s="376"/>
      <c r="EO243" s="376"/>
      <c r="EP243" s="376"/>
      <c r="EQ243" s="376"/>
      <c r="ER243" s="376"/>
      <c r="ES243" s="376"/>
      <c r="ET243" s="376"/>
      <c r="EU243" s="376"/>
      <c r="EV243" s="376"/>
      <c r="EW243" s="376"/>
      <c r="EX243" s="376"/>
      <c r="EY243" s="376"/>
      <c r="EZ243" s="376"/>
      <c r="FA243" s="43"/>
      <c r="FB243" s="43"/>
      <c r="FC243" s="43"/>
      <c r="FD243" s="43"/>
      <c r="FE243" s="43"/>
      <c r="FF243" s="43"/>
      <c r="FG243" s="43"/>
      <c r="FH243" s="43"/>
      <c r="FI243" s="79"/>
      <c r="FJ243" s="79"/>
      <c r="FK243" s="79"/>
      <c r="FL243" s="79"/>
      <c r="FM243" s="338"/>
      <c r="FN243" s="338"/>
      <c r="FO243" s="338"/>
      <c r="FP243" s="338"/>
      <c r="FQ243" s="338"/>
      <c r="FR243" s="338"/>
      <c r="FS243" s="338"/>
      <c r="FT243" s="338"/>
      <c r="FU243" s="338"/>
      <c r="FV243" s="338"/>
      <c r="FW243" s="338"/>
      <c r="FX243" s="338"/>
      <c r="FY243" s="32"/>
      <c r="FZ243" s="32"/>
      <c r="GA243" s="32"/>
      <c r="GB243" s="32"/>
      <c r="GC243" s="32"/>
      <c r="GD243" s="32"/>
      <c r="GE243" s="32"/>
      <c r="GF243" s="32"/>
      <c r="GG243" s="32"/>
      <c r="GH243" s="32"/>
      <c r="GI243" s="32"/>
      <c r="GJ243" s="32"/>
      <c r="GK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38"/>
      <c r="HO243" s="338"/>
      <c r="HP243" s="338"/>
      <c r="HQ243" s="13"/>
      <c r="HR243" s="13"/>
      <c r="HS243" s="13"/>
      <c r="HT243" s="13"/>
      <c r="HU243" s="13"/>
      <c r="HV243" s="13"/>
      <c r="HW243" s="13"/>
      <c r="HX243" s="13"/>
      <c r="HY243" s="13"/>
      <c r="HZ243" s="13"/>
      <c r="IA243" s="13"/>
    </row>
    <row r="244" spans="1:235" ht="16.95" customHeight="1">
      <c r="A244" s="1"/>
      <c r="B244" s="3"/>
      <c r="C244" s="3"/>
      <c r="D244" s="124" t="str">
        <f ca="1">IF(FO234=0,"","Hoe hoog die prijs is, ligt aan de vorige periode(n). Heeft men in het verleden")</f>
        <v/>
      </c>
      <c r="E244" s="402"/>
      <c r="F244" s="402"/>
      <c r="G244" s="402"/>
      <c r="H244" s="402"/>
      <c r="I244" s="402"/>
      <c r="J244" s="376"/>
      <c r="K244" s="376"/>
      <c r="L244" s="376"/>
      <c r="M244" s="376"/>
      <c r="N244" s="376"/>
      <c r="O244" s="376"/>
      <c r="P244" s="376"/>
      <c r="Q244" s="376"/>
      <c r="R244" s="376"/>
      <c r="S244" s="376"/>
      <c r="T244" s="376"/>
      <c r="U244" s="376"/>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376"/>
      <c r="CQ244" s="376"/>
      <c r="CR244" s="376"/>
      <c r="CS244" s="376"/>
      <c r="CT244" s="376"/>
      <c r="CU244" s="376"/>
      <c r="CV244" s="376"/>
      <c r="CW244" s="376"/>
      <c r="CX244" s="376"/>
      <c r="CY244" s="376"/>
      <c r="CZ244" s="376"/>
      <c r="DA244" s="376"/>
      <c r="DB244" s="376"/>
      <c r="DC244" s="376"/>
      <c r="DD244" s="376"/>
      <c r="DE244" s="376"/>
      <c r="DF244" s="376"/>
      <c r="DG244" s="376"/>
      <c r="DH244" s="376"/>
      <c r="DI244" s="376"/>
      <c r="DJ244" s="376"/>
      <c r="DK244" s="376"/>
      <c r="DL244" s="376"/>
      <c r="DM244" s="376"/>
      <c r="DN244" s="376"/>
      <c r="DO244" s="376"/>
      <c r="DP244" s="376"/>
      <c r="DQ244" s="376"/>
      <c r="DR244" s="376"/>
      <c r="DS244" s="376"/>
      <c r="DT244" s="376"/>
      <c r="DU244" s="376"/>
      <c r="DV244" s="376"/>
      <c r="DW244" s="376"/>
      <c r="DX244" s="376"/>
      <c r="DY244" s="376"/>
      <c r="DZ244" s="376"/>
      <c r="EA244" s="376"/>
      <c r="EB244" s="376"/>
      <c r="EC244" s="376"/>
      <c r="ED244" s="376"/>
      <c r="EE244" s="376"/>
      <c r="EF244" s="376"/>
      <c r="EG244" s="376"/>
      <c r="EH244" s="376"/>
      <c r="EI244" s="376"/>
      <c r="EJ244" s="376"/>
      <c r="EK244" s="376"/>
      <c r="EL244" s="376"/>
      <c r="EM244" s="376"/>
      <c r="EN244" s="376"/>
      <c r="EO244" s="376"/>
      <c r="EP244" s="376"/>
      <c r="EQ244" s="376"/>
      <c r="ER244" s="376"/>
      <c r="ES244" s="376"/>
      <c r="ET244" s="376"/>
      <c r="EU244" s="376"/>
      <c r="EV244" s="376"/>
      <c r="EW244" s="376"/>
      <c r="EX244" s="376"/>
      <c r="EY244" s="376"/>
      <c r="EZ244" s="376"/>
      <c r="FA244" s="43"/>
      <c r="FB244" s="43"/>
      <c r="FC244" s="43"/>
      <c r="FD244" s="43"/>
      <c r="FE244" s="43"/>
      <c r="FF244" s="43"/>
      <c r="FG244" s="43"/>
      <c r="FH244" s="43"/>
      <c r="FI244" s="79"/>
      <c r="FJ244" s="79"/>
      <c r="FK244" s="79"/>
      <c r="FL244" s="79"/>
      <c r="FM244" s="338"/>
      <c r="FN244" s="338"/>
      <c r="FO244" s="338"/>
      <c r="FP244" s="338"/>
      <c r="FQ244" s="338"/>
      <c r="FR244" s="338"/>
      <c r="FS244" s="338"/>
      <c r="FT244" s="338"/>
      <c r="FU244" s="338"/>
      <c r="FV244" s="338"/>
      <c r="FW244" s="338"/>
      <c r="FX244" s="338"/>
      <c r="FY244" s="32"/>
      <c r="FZ244" s="32"/>
      <c r="GA244" s="32"/>
      <c r="GB244" s="32"/>
      <c r="GC244" s="32"/>
      <c r="GD244" s="32"/>
      <c r="GE244" s="32"/>
      <c r="GF244" s="32"/>
      <c r="GG244" s="32"/>
      <c r="GH244" s="32"/>
      <c r="GI244" s="32"/>
      <c r="GJ244" s="32"/>
      <c r="GK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38"/>
      <c r="HO244" s="338"/>
      <c r="HP244" s="338"/>
      <c r="HQ244" s="13"/>
      <c r="HR244" s="13"/>
      <c r="HS244" s="13"/>
      <c r="HT244" s="13"/>
      <c r="HU244" s="13"/>
      <c r="HV244" s="13"/>
      <c r="HW244" s="13"/>
      <c r="HX244" s="13"/>
      <c r="HY244" s="13"/>
      <c r="HZ244" s="13"/>
      <c r="IA244" s="13"/>
    </row>
    <row r="245" spans="1:235" ht="16.95" customHeight="1">
      <c r="A245" s="1"/>
      <c r="B245" s="3"/>
      <c r="C245" s="3"/>
      <c r="D245" s="124" t="str">
        <f ca="1">IF(FO234=0,"","elkaar fel beconcurreert op de prijs, dan is dat een prijs die op het niveau")</f>
        <v/>
      </c>
      <c r="E245" s="402"/>
      <c r="F245" s="402"/>
      <c r="G245" s="402"/>
      <c r="H245" s="402"/>
      <c r="I245" s="402"/>
      <c r="J245" s="376"/>
      <c r="K245" s="376"/>
      <c r="L245" s="376"/>
      <c r="M245" s="376"/>
      <c r="N245" s="376"/>
      <c r="O245" s="376"/>
      <c r="P245" s="376"/>
      <c r="Q245" s="376"/>
      <c r="R245" s="376"/>
      <c r="S245" s="376"/>
      <c r="T245" s="376"/>
      <c r="U245" s="376"/>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376"/>
      <c r="CQ245" s="376"/>
      <c r="CR245" s="376"/>
      <c r="CS245" s="376"/>
      <c r="CT245" s="376"/>
      <c r="CU245" s="376"/>
      <c r="CV245" s="376"/>
      <c r="CW245" s="376"/>
      <c r="CX245" s="376"/>
      <c r="CY245" s="376"/>
      <c r="CZ245" s="376"/>
      <c r="DA245" s="376"/>
      <c r="DB245" s="376"/>
      <c r="DC245" s="376"/>
      <c r="DD245" s="376"/>
      <c r="DE245" s="376"/>
      <c r="DF245" s="376"/>
      <c r="DG245" s="376"/>
      <c r="DH245" s="376"/>
      <c r="DI245" s="376"/>
      <c r="DJ245" s="376"/>
      <c r="DK245" s="376"/>
      <c r="DL245" s="376"/>
      <c r="DM245" s="376"/>
      <c r="DN245" s="376"/>
      <c r="DO245" s="376"/>
      <c r="DP245" s="376"/>
      <c r="DQ245" s="376"/>
      <c r="DR245" s="376"/>
      <c r="DS245" s="376"/>
      <c r="DT245" s="376"/>
      <c r="DU245" s="376"/>
      <c r="DV245" s="376"/>
      <c r="DW245" s="376"/>
      <c r="DX245" s="376"/>
      <c r="DY245" s="376"/>
      <c r="DZ245" s="376"/>
      <c r="EA245" s="376"/>
      <c r="EB245" s="376"/>
      <c r="EC245" s="376"/>
      <c r="ED245" s="376"/>
      <c r="EE245" s="376"/>
      <c r="EF245" s="376"/>
      <c r="EG245" s="376"/>
      <c r="EH245" s="376"/>
      <c r="EI245" s="376"/>
      <c r="EJ245" s="376"/>
      <c r="EK245" s="376"/>
      <c r="EL245" s="376"/>
      <c r="EM245" s="376"/>
      <c r="EN245" s="376"/>
      <c r="EO245" s="376"/>
      <c r="EP245" s="376"/>
      <c r="EQ245" s="376"/>
      <c r="ER245" s="376"/>
      <c r="ES245" s="376"/>
      <c r="ET245" s="376"/>
      <c r="EU245" s="376"/>
      <c r="EV245" s="376"/>
      <c r="EW245" s="376"/>
      <c r="EX245" s="376"/>
      <c r="EY245" s="376"/>
      <c r="EZ245" s="376"/>
      <c r="FA245" s="43"/>
      <c r="FB245" s="43"/>
      <c r="FC245" s="43"/>
      <c r="FD245" s="43"/>
      <c r="FE245" s="43"/>
      <c r="FF245" s="43"/>
      <c r="FG245" s="43"/>
      <c r="FH245" s="43"/>
      <c r="FI245" s="79"/>
      <c r="FJ245" s="79"/>
      <c r="FK245" s="79"/>
      <c r="FL245" s="79"/>
      <c r="FM245" s="338"/>
      <c r="FN245" s="338"/>
      <c r="FO245" s="338"/>
      <c r="FP245" s="338"/>
      <c r="FQ245" s="338"/>
      <c r="FR245" s="338"/>
      <c r="FS245" s="338"/>
      <c r="FT245" s="338"/>
      <c r="FU245" s="338"/>
      <c r="FV245" s="338"/>
      <c r="FW245" s="338"/>
      <c r="FX245" s="338"/>
      <c r="FY245" s="32"/>
      <c r="FZ245" s="32"/>
      <c r="GA245" s="32"/>
      <c r="GB245" s="32"/>
      <c r="GC245" s="32"/>
      <c r="GD245" s="32"/>
      <c r="GE245" s="32"/>
      <c r="GF245" s="32"/>
      <c r="GG245" s="32"/>
      <c r="GH245" s="32"/>
      <c r="GI245" s="32"/>
      <c r="GJ245" s="32"/>
      <c r="GK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38"/>
      <c r="HO245" s="338"/>
      <c r="HP245" s="338"/>
      <c r="HQ245" s="13"/>
      <c r="HR245" s="13"/>
      <c r="HS245" s="13"/>
      <c r="HT245" s="13"/>
      <c r="HU245" s="13"/>
      <c r="HV245" s="13"/>
      <c r="HW245" s="13"/>
      <c r="HX245" s="13"/>
      <c r="HY245" s="13"/>
      <c r="HZ245" s="13"/>
      <c r="IA245" s="13"/>
    </row>
    <row r="246" spans="1:235" ht="16.95" customHeight="1">
      <c r="A246" s="1"/>
      <c r="B246" s="3"/>
      <c r="C246" s="3"/>
      <c r="D246" s="124" t="str">
        <f ca="1">IF(FO234=0,"","van die bij volkomen concurrentie zal liggen. Net als bij deze marktvorm")</f>
        <v/>
      </c>
      <c r="E246" s="402"/>
      <c r="F246" s="402"/>
      <c r="G246" s="402"/>
      <c r="H246" s="402"/>
      <c r="I246" s="402"/>
      <c r="J246" s="376"/>
      <c r="K246" s="376"/>
      <c r="L246" s="376"/>
      <c r="M246" s="376"/>
      <c r="N246" s="376"/>
      <c r="O246" s="376"/>
      <c r="P246" s="376"/>
      <c r="Q246" s="376"/>
      <c r="R246" s="376"/>
      <c r="S246" s="376"/>
      <c r="T246" s="376"/>
      <c r="U246" s="376"/>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376"/>
      <c r="CQ246" s="376"/>
      <c r="CR246" s="376"/>
      <c r="CS246" s="376"/>
      <c r="CT246" s="376"/>
      <c r="CU246" s="376"/>
      <c r="CV246" s="376"/>
      <c r="CW246" s="376"/>
      <c r="CX246" s="376"/>
      <c r="CY246" s="376"/>
      <c r="CZ246" s="376"/>
      <c r="DA246" s="376"/>
      <c r="DB246" s="376"/>
      <c r="DC246" s="376"/>
      <c r="DD246" s="376"/>
      <c r="DE246" s="376"/>
      <c r="DF246" s="376"/>
      <c r="DG246" s="376"/>
      <c r="DH246" s="376"/>
      <c r="DI246" s="376"/>
      <c r="DJ246" s="376"/>
      <c r="DK246" s="376"/>
      <c r="DL246" s="376"/>
      <c r="DM246" s="376"/>
      <c r="DN246" s="376"/>
      <c r="DO246" s="376"/>
      <c r="DP246" s="376"/>
      <c r="DQ246" s="376"/>
      <c r="DR246" s="376"/>
      <c r="DS246" s="376"/>
      <c r="DT246" s="376"/>
      <c r="DU246" s="376"/>
      <c r="DV246" s="376"/>
      <c r="DW246" s="376"/>
      <c r="DX246" s="376"/>
      <c r="DY246" s="376"/>
      <c r="DZ246" s="376"/>
      <c r="EA246" s="376"/>
      <c r="EB246" s="376"/>
      <c r="EC246" s="376"/>
      <c r="ED246" s="376"/>
      <c r="EE246" s="376"/>
      <c r="EF246" s="376"/>
      <c r="EG246" s="376"/>
      <c r="EH246" s="376"/>
      <c r="EI246" s="376"/>
      <c r="EJ246" s="376"/>
      <c r="EK246" s="376"/>
      <c r="EL246" s="376"/>
      <c r="EM246" s="376"/>
      <c r="EN246" s="376"/>
      <c r="EO246" s="376"/>
      <c r="EP246" s="376"/>
      <c r="EQ246" s="376"/>
      <c r="ER246" s="376"/>
      <c r="ES246" s="376"/>
      <c r="ET246" s="376"/>
      <c r="EU246" s="376"/>
      <c r="EV246" s="376"/>
      <c r="EW246" s="376"/>
      <c r="EX246" s="376"/>
      <c r="EY246" s="376"/>
      <c r="EZ246" s="376"/>
      <c r="FA246" s="43"/>
      <c r="FB246" s="43"/>
      <c r="FC246" s="43"/>
      <c r="FD246" s="43"/>
      <c r="FE246" s="43"/>
      <c r="FF246" s="43"/>
      <c r="FG246" s="43"/>
      <c r="FH246" s="43"/>
      <c r="FI246" s="79"/>
      <c r="FJ246" s="79"/>
      <c r="FK246" s="79"/>
      <c r="FL246" s="79"/>
      <c r="FM246" s="338"/>
      <c r="FN246" s="338"/>
      <c r="FO246" s="338"/>
      <c r="FP246" s="338"/>
      <c r="FQ246" s="338"/>
      <c r="FR246" s="338"/>
      <c r="FS246" s="338"/>
      <c r="FT246" s="338"/>
      <c r="FU246" s="338"/>
      <c r="FV246" s="338"/>
      <c r="FW246" s="338"/>
      <c r="FX246" s="338"/>
      <c r="FY246" s="32"/>
      <c r="FZ246" s="32"/>
      <c r="GA246" s="32"/>
      <c r="GB246" s="32"/>
      <c r="GC246" s="32"/>
      <c r="GD246" s="32"/>
      <c r="GE246" s="32"/>
      <c r="GF246" s="32"/>
      <c r="GG246" s="32"/>
      <c r="GH246" s="32"/>
      <c r="GI246" s="32"/>
      <c r="GJ246" s="32"/>
      <c r="GK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38"/>
      <c r="HO246" s="338"/>
      <c r="HP246" s="338"/>
      <c r="HQ246" s="13"/>
      <c r="HR246" s="13"/>
      <c r="HS246" s="13"/>
      <c r="HT246" s="13"/>
      <c r="HU246" s="13"/>
      <c r="HV246" s="13"/>
      <c r="HW246" s="13"/>
      <c r="HX246" s="13"/>
      <c r="HY246" s="13"/>
      <c r="HZ246" s="13"/>
      <c r="IA246" s="13"/>
    </row>
    <row r="247" spans="1:235" ht="16.95" customHeight="1">
      <c r="A247" s="1"/>
      <c r="B247" s="3"/>
      <c r="C247" s="3"/>
      <c r="D247" s="124" t="str">
        <f ca="1">IF(FO234=0,"","hebben de aanbieders los van elkaar bepaald hoeveel ze zullen aanbieden bij")</f>
        <v/>
      </c>
      <c r="E247" s="402"/>
      <c r="F247" s="402"/>
      <c r="G247" s="402"/>
      <c r="H247" s="402"/>
      <c r="I247" s="402"/>
      <c r="J247" s="376"/>
      <c r="K247" s="376"/>
      <c r="L247" s="376"/>
      <c r="M247" s="376"/>
      <c r="N247" s="376"/>
      <c r="O247" s="376"/>
      <c r="P247" s="376"/>
      <c r="Q247" s="376"/>
      <c r="R247" s="376"/>
      <c r="S247" s="376"/>
      <c r="T247" s="376"/>
      <c r="U247" s="376"/>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376"/>
      <c r="CQ247" s="376"/>
      <c r="CR247" s="376"/>
      <c r="CS247" s="376"/>
      <c r="CT247" s="376"/>
      <c r="CU247" s="376"/>
      <c r="CV247" s="376"/>
      <c r="CW247" s="376"/>
      <c r="CX247" s="376"/>
      <c r="CY247" s="376"/>
      <c r="CZ247" s="376"/>
      <c r="DA247" s="376"/>
      <c r="DB247" s="376"/>
      <c r="DC247" s="376"/>
      <c r="DD247" s="376"/>
      <c r="DE247" s="376"/>
      <c r="DF247" s="376"/>
      <c r="DG247" s="376"/>
      <c r="DH247" s="376"/>
      <c r="DI247" s="376"/>
      <c r="DJ247" s="376"/>
      <c r="DK247" s="376"/>
      <c r="DL247" s="376"/>
      <c r="DM247" s="376"/>
      <c r="DN247" s="376"/>
      <c r="DO247" s="376"/>
      <c r="DP247" s="376"/>
      <c r="DQ247" s="376"/>
      <c r="DR247" s="376"/>
      <c r="DS247" s="376"/>
      <c r="DT247" s="376"/>
      <c r="DU247" s="376"/>
      <c r="DV247" s="376"/>
      <c r="DW247" s="376"/>
      <c r="DX247" s="376"/>
      <c r="DY247" s="376"/>
      <c r="DZ247" s="376"/>
      <c r="EA247" s="376"/>
      <c r="EB247" s="376"/>
      <c r="EC247" s="376"/>
      <c r="ED247" s="376"/>
      <c r="EE247" s="376"/>
      <c r="EF247" s="376"/>
      <c r="EG247" s="376"/>
      <c r="EH247" s="376"/>
      <c r="EI247" s="376"/>
      <c r="EJ247" s="376"/>
      <c r="EK247" s="376"/>
      <c r="EL247" s="376"/>
      <c r="EM247" s="376"/>
      <c r="EN247" s="376"/>
      <c r="EO247" s="376"/>
      <c r="EP247" s="376"/>
      <c r="EQ247" s="376"/>
      <c r="ER247" s="376"/>
      <c r="ES247" s="376"/>
      <c r="ET247" s="376"/>
      <c r="EU247" s="376"/>
      <c r="EV247" s="376"/>
      <c r="EW247" s="376"/>
      <c r="EX247" s="376"/>
      <c r="EY247" s="376"/>
      <c r="EZ247" s="376"/>
      <c r="FA247" s="43"/>
      <c r="FB247" s="43"/>
      <c r="FC247" s="43"/>
      <c r="FD247" s="43"/>
      <c r="FE247" s="43"/>
      <c r="FF247" s="43"/>
      <c r="FG247" s="43"/>
      <c r="FH247" s="43"/>
      <c r="FI247" s="79"/>
      <c r="FJ247" s="79"/>
      <c r="FK247" s="79"/>
      <c r="FL247" s="79"/>
      <c r="FM247" s="338"/>
      <c r="FN247" s="338"/>
      <c r="FO247" s="338"/>
      <c r="FP247" s="338"/>
      <c r="FQ247" s="338"/>
      <c r="FR247" s="338"/>
      <c r="FS247" s="338"/>
      <c r="FT247" s="338"/>
      <c r="FU247" s="338"/>
      <c r="FV247" s="338"/>
      <c r="FW247" s="338"/>
      <c r="FX247" s="338"/>
      <c r="FY247" s="32"/>
      <c r="FZ247" s="32"/>
      <c r="GA247" s="32"/>
      <c r="GB247" s="32"/>
      <c r="GC247" s="32"/>
      <c r="GD247" s="32"/>
      <c r="GE247" s="32"/>
      <c r="GF247" s="32"/>
      <c r="GG247" s="32"/>
      <c r="GH247" s="32"/>
      <c r="GI247" s="32"/>
      <c r="GJ247" s="32"/>
      <c r="GK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38"/>
      <c r="HO247" s="338"/>
      <c r="HP247" s="338"/>
      <c r="HQ247" s="13"/>
      <c r="HR247" s="13"/>
      <c r="HS247" s="13"/>
      <c r="HT247" s="13"/>
      <c r="HU247" s="13"/>
      <c r="HV247" s="13"/>
      <c r="HW247" s="13"/>
      <c r="HX247" s="13"/>
      <c r="HY247" s="13"/>
      <c r="HZ247" s="13"/>
      <c r="IA247" s="13"/>
    </row>
    <row r="248" spans="1:235" ht="16.95" customHeight="1">
      <c r="A248" s="1"/>
      <c r="B248" s="3"/>
      <c r="C248" s="3"/>
      <c r="D248" s="124" t="str">
        <f ca="1">IF(FO234=0,"","uiteenlopende prijzen en het aan de markt hebben overgelaten welke prijs tot")</f>
        <v/>
      </c>
      <c r="E248" s="402"/>
      <c r="F248" s="402"/>
      <c r="G248" s="402"/>
      <c r="H248" s="402"/>
      <c r="I248" s="402"/>
      <c r="J248" s="376"/>
      <c r="K248" s="376"/>
      <c r="L248" s="376"/>
      <c r="M248" s="376"/>
      <c r="N248" s="376"/>
      <c r="O248" s="376"/>
      <c r="P248" s="376"/>
      <c r="Q248" s="376"/>
      <c r="R248" s="376"/>
      <c r="S248" s="376"/>
      <c r="T248" s="376"/>
      <c r="U248" s="376"/>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376"/>
      <c r="CQ248" s="376"/>
      <c r="CR248" s="376"/>
      <c r="CS248" s="376"/>
      <c r="CT248" s="376"/>
      <c r="CU248" s="376"/>
      <c r="CV248" s="376"/>
      <c r="CW248" s="376"/>
      <c r="CX248" s="376"/>
      <c r="CY248" s="376"/>
      <c r="CZ248" s="376"/>
      <c r="DA248" s="376"/>
      <c r="DB248" s="376"/>
      <c r="DC248" s="376"/>
      <c r="DD248" s="376"/>
      <c r="DE248" s="376"/>
      <c r="DF248" s="376"/>
      <c r="DG248" s="376"/>
      <c r="DH248" s="376"/>
      <c r="DI248" s="376"/>
      <c r="DJ248" s="376"/>
      <c r="DK248" s="376"/>
      <c r="DL248" s="376"/>
      <c r="DM248" s="376"/>
      <c r="DN248" s="376"/>
      <c r="DO248" s="376"/>
      <c r="DP248" s="376"/>
      <c r="DQ248" s="376"/>
      <c r="DR248" s="376"/>
      <c r="DS248" s="376"/>
      <c r="DT248" s="376"/>
      <c r="DU248" s="376"/>
      <c r="DV248" s="376"/>
      <c r="DW248" s="376"/>
      <c r="DX248" s="376"/>
      <c r="DY248" s="376"/>
      <c r="DZ248" s="376"/>
      <c r="EA248" s="376"/>
      <c r="EB248" s="376"/>
      <c r="EC248" s="376"/>
      <c r="ED248" s="376"/>
      <c r="EE248" s="376"/>
      <c r="EF248" s="376"/>
      <c r="EG248" s="376"/>
      <c r="EH248" s="376"/>
      <c r="EI248" s="376"/>
      <c r="EJ248" s="376"/>
      <c r="EK248" s="376"/>
      <c r="EL248" s="376"/>
      <c r="EM248" s="376"/>
      <c r="EN248" s="376"/>
      <c r="EO248" s="376"/>
      <c r="EP248" s="376"/>
      <c r="EQ248" s="376"/>
      <c r="ER248" s="376"/>
      <c r="ES248" s="376"/>
      <c r="ET248" s="376"/>
      <c r="EU248" s="376"/>
      <c r="EV248" s="376"/>
      <c r="EW248" s="376"/>
      <c r="EX248" s="376"/>
      <c r="EY248" s="376"/>
      <c r="EZ248" s="376"/>
      <c r="FA248" s="43"/>
      <c r="FB248" s="43"/>
      <c r="FC248" s="43"/>
      <c r="FD248" s="43"/>
      <c r="FE248" s="43"/>
      <c r="FF248" s="43"/>
      <c r="FG248" s="43"/>
      <c r="FH248" s="43"/>
      <c r="FI248" s="79"/>
      <c r="FJ248" s="79"/>
      <c r="FK248" s="79"/>
      <c r="FL248" s="79"/>
      <c r="FM248" s="338"/>
      <c r="FN248" s="338"/>
      <c r="FO248" s="338"/>
      <c r="FP248" s="338"/>
      <c r="FQ248" s="338"/>
      <c r="FR248" s="338"/>
      <c r="FS248" s="338"/>
      <c r="FT248" s="338"/>
      <c r="FU248" s="338"/>
      <c r="FV248" s="338"/>
      <c r="FW248" s="338"/>
      <c r="FX248" s="338"/>
      <c r="FY248" s="32"/>
      <c r="FZ248" s="32"/>
      <c r="GA248" s="32"/>
      <c r="GB248" s="32"/>
      <c r="GC248" s="32"/>
      <c r="GD248" s="32"/>
      <c r="GE248" s="32"/>
      <c r="GF248" s="32"/>
      <c r="GG248" s="32"/>
      <c r="GH248" s="32"/>
      <c r="GI248" s="32"/>
      <c r="GJ248" s="32"/>
      <c r="GK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38"/>
      <c r="HO248" s="338"/>
      <c r="HP248" s="338"/>
      <c r="HQ248" s="13"/>
      <c r="HR248" s="13"/>
      <c r="HS248" s="13"/>
      <c r="HT248" s="13"/>
      <c r="HU248" s="13"/>
      <c r="HV248" s="13"/>
      <c r="HW248" s="13"/>
      <c r="HX248" s="13"/>
      <c r="HY248" s="13"/>
      <c r="HZ248" s="13"/>
      <c r="IA248" s="13"/>
    </row>
    <row r="249" spans="1:235" ht="16.95" customHeight="1">
      <c r="A249" s="1"/>
      <c r="B249" s="3"/>
      <c r="C249" s="3"/>
      <c r="D249" s="124" t="str">
        <f ca="1">IF(FO234=0,"","stand kwam. Blijkt de vraag inmiddels te zijn gestegen, dan merken ze dat")</f>
        <v/>
      </c>
      <c r="E249" s="402"/>
      <c r="F249" s="402"/>
      <c r="G249" s="402"/>
      <c r="H249" s="402"/>
      <c r="I249" s="402"/>
      <c r="J249" s="376"/>
      <c r="K249" s="376"/>
      <c r="L249" s="376"/>
      <c r="M249" s="376"/>
      <c r="N249" s="376"/>
      <c r="O249" s="376"/>
      <c r="P249" s="376"/>
      <c r="Q249" s="376"/>
      <c r="R249" s="376"/>
      <c r="S249" s="376"/>
      <c r="T249" s="376"/>
      <c r="U249" s="376"/>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376"/>
      <c r="CQ249" s="376"/>
      <c r="CR249" s="376"/>
      <c r="CS249" s="376"/>
      <c r="CT249" s="376"/>
      <c r="CU249" s="376"/>
      <c r="CV249" s="376"/>
      <c r="CW249" s="376"/>
      <c r="CX249" s="376"/>
      <c r="CY249" s="376"/>
      <c r="CZ249" s="376"/>
      <c r="DA249" s="376"/>
      <c r="DB249" s="376"/>
      <c r="DC249" s="376"/>
      <c r="DD249" s="376"/>
      <c r="DE249" s="376"/>
      <c r="DF249" s="376"/>
      <c r="DG249" s="376"/>
      <c r="DH249" s="376"/>
      <c r="DI249" s="376"/>
      <c r="DJ249" s="376"/>
      <c r="DK249" s="376"/>
      <c r="DL249" s="376"/>
      <c r="DM249" s="376"/>
      <c r="DN249" s="376"/>
      <c r="DO249" s="376"/>
      <c r="DP249" s="376"/>
      <c r="DQ249" s="376"/>
      <c r="DR249" s="376"/>
      <c r="DS249" s="376"/>
      <c r="DT249" s="376"/>
      <c r="DU249" s="376"/>
      <c r="DV249" s="376"/>
      <c r="DW249" s="376"/>
      <c r="DX249" s="376"/>
      <c r="DY249" s="376"/>
      <c r="DZ249" s="376"/>
      <c r="EA249" s="376"/>
      <c r="EB249" s="376"/>
      <c r="EC249" s="376"/>
      <c r="ED249" s="376"/>
      <c r="EE249" s="376"/>
      <c r="EF249" s="376"/>
      <c r="EG249" s="376"/>
      <c r="EH249" s="376"/>
      <c r="EI249" s="376"/>
      <c r="EJ249" s="376"/>
      <c r="EK249" s="376"/>
      <c r="EL249" s="376"/>
      <c r="EM249" s="376"/>
      <c r="EN249" s="376"/>
      <c r="EO249" s="376"/>
      <c r="EP249" s="376"/>
      <c r="EQ249" s="376"/>
      <c r="ER249" s="376"/>
      <c r="ES249" s="376"/>
      <c r="ET249" s="376"/>
      <c r="EU249" s="376"/>
      <c r="EV249" s="376"/>
      <c r="EW249" s="376"/>
      <c r="EX249" s="376"/>
      <c r="EY249" s="376"/>
      <c r="EZ249" s="376"/>
      <c r="FA249" s="43"/>
      <c r="FB249" s="43"/>
      <c r="FC249" s="43"/>
      <c r="FD249" s="43"/>
      <c r="FE249" s="43"/>
      <c r="FF249" s="43"/>
      <c r="FG249" s="43"/>
      <c r="FH249" s="43"/>
      <c r="FI249" s="79"/>
      <c r="FJ249" s="79"/>
      <c r="FK249" s="79"/>
      <c r="FL249" s="79"/>
      <c r="FM249" s="338"/>
      <c r="FN249" s="338"/>
      <c r="FO249" s="338"/>
      <c r="FP249" s="338"/>
      <c r="FQ249" s="338"/>
      <c r="FR249" s="338"/>
      <c r="FS249" s="338"/>
      <c r="FT249" s="338"/>
      <c r="FU249" s="338"/>
      <c r="FV249" s="338"/>
      <c r="FW249" s="338"/>
      <c r="FX249" s="338"/>
      <c r="FY249" s="32"/>
      <c r="FZ249" s="32"/>
      <c r="GA249" s="32"/>
      <c r="GB249" s="32"/>
      <c r="GC249" s="32"/>
      <c r="GD249" s="32"/>
      <c r="GE249" s="32"/>
      <c r="GF249" s="32"/>
      <c r="GG249" s="32"/>
      <c r="GH249" s="32"/>
      <c r="GI249" s="32"/>
      <c r="GJ249" s="32"/>
      <c r="GK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38"/>
      <c r="HO249" s="338"/>
      <c r="HP249" s="338"/>
      <c r="HQ249" s="13"/>
      <c r="HR249" s="13"/>
      <c r="HS249" s="13"/>
      <c r="HT249" s="13"/>
      <c r="HU249" s="13"/>
      <c r="HV249" s="13"/>
      <c r="HW249" s="13"/>
      <c r="HX249" s="13"/>
      <c r="HY249" s="13"/>
      <c r="HZ249" s="13"/>
      <c r="IA249" s="13"/>
    </row>
    <row r="250" spans="1:235" ht="16.95" customHeight="1">
      <c r="A250" s="1"/>
      <c r="B250" s="3"/>
      <c r="C250" s="3"/>
      <c r="D250" s="124" t="str">
        <f ca="1">IF(FO234=0,"","ze snel uitverkocht zijn en kunnen ze allemaal de prijs verhogen. Blijkt de")</f>
        <v/>
      </c>
      <c r="E250" s="402"/>
      <c r="F250" s="402"/>
      <c r="G250" s="402"/>
      <c r="H250" s="402"/>
      <c r="I250" s="402"/>
      <c r="J250" s="376"/>
      <c r="K250" s="376"/>
      <c r="L250" s="376"/>
      <c r="M250" s="376"/>
      <c r="N250" s="376"/>
      <c r="O250" s="376"/>
      <c r="P250" s="376"/>
      <c r="Q250" s="376"/>
      <c r="R250" s="376"/>
      <c r="S250" s="376"/>
      <c r="T250" s="376"/>
      <c r="U250" s="376"/>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376"/>
      <c r="CQ250" s="376"/>
      <c r="CR250" s="376"/>
      <c r="CS250" s="376"/>
      <c r="CT250" s="376"/>
      <c r="CU250" s="376"/>
      <c r="CV250" s="376"/>
      <c r="CW250" s="376"/>
      <c r="CX250" s="376"/>
      <c r="CY250" s="376"/>
      <c r="CZ250" s="376"/>
      <c r="DA250" s="376"/>
      <c r="DB250" s="376"/>
      <c r="DC250" s="376"/>
      <c r="DD250" s="376"/>
      <c r="DE250" s="376"/>
      <c r="DF250" s="376"/>
      <c r="DG250" s="376"/>
      <c r="DH250" s="376"/>
      <c r="DI250" s="376"/>
      <c r="DJ250" s="376"/>
      <c r="DK250" s="376"/>
      <c r="DL250" s="376"/>
      <c r="DM250" s="376"/>
      <c r="DN250" s="376"/>
      <c r="DO250" s="376"/>
      <c r="DP250" s="376"/>
      <c r="DQ250" s="376"/>
      <c r="DR250" s="376"/>
      <c r="DS250" s="376"/>
      <c r="DT250" s="376"/>
      <c r="DU250" s="376"/>
      <c r="DV250" s="376"/>
      <c r="DW250" s="376"/>
      <c r="DX250" s="376"/>
      <c r="DY250" s="376"/>
      <c r="DZ250" s="376"/>
      <c r="EA250" s="376"/>
      <c r="EB250" s="376"/>
      <c r="EC250" s="376"/>
      <c r="ED250" s="376"/>
      <c r="EE250" s="376"/>
      <c r="EF250" s="376"/>
      <c r="EG250" s="376"/>
      <c r="EH250" s="376"/>
      <c r="EI250" s="376"/>
      <c r="EJ250" s="376"/>
      <c r="EK250" s="376"/>
      <c r="EL250" s="376"/>
      <c r="EM250" s="376"/>
      <c r="EN250" s="376"/>
      <c r="EO250" s="376"/>
      <c r="EP250" s="376"/>
      <c r="EQ250" s="376"/>
      <c r="ER250" s="376"/>
      <c r="ES250" s="376"/>
      <c r="ET250" s="376"/>
      <c r="EU250" s="376"/>
      <c r="EV250" s="376"/>
      <c r="EW250" s="376"/>
      <c r="EX250" s="376"/>
      <c r="EY250" s="376"/>
      <c r="EZ250" s="376"/>
      <c r="FA250" s="43"/>
      <c r="FB250" s="43"/>
      <c r="FC250" s="43"/>
      <c r="FD250" s="43"/>
      <c r="FE250" s="43"/>
      <c r="FF250" s="43"/>
      <c r="FG250" s="43"/>
      <c r="FH250" s="43"/>
      <c r="FI250" s="79"/>
      <c r="FJ250" s="79"/>
      <c r="FK250" s="79"/>
      <c r="FL250" s="79"/>
      <c r="FM250" s="338"/>
      <c r="FN250" s="338"/>
      <c r="FO250" s="338"/>
      <c r="FP250" s="338"/>
      <c r="FQ250" s="338"/>
      <c r="FR250" s="338"/>
      <c r="FS250" s="338"/>
      <c r="FT250" s="338"/>
      <c r="FU250" s="338"/>
      <c r="FV250" s="338"/>
      <c r="FW250" s="338"/>
      <c r="FX250" s="338"/>
      <c r="FY250" s="32"/>
      <c r="FZ250" s="32"/>
      <c r="GA250" s="32"/>
      <c r="GB250" s="32"/>
      <c r="GC250" s="32"/>
      <c r="GD250" s="32"/>
      <c r="GE250" s="32"/>
      <c r="GF250" s="32"/>
      <c r="GG250" s="32"/>
      <c r="GH250" s="32"/>
      <c r="GI250" s="32"/>
      <c r="GJ250" s="32"/>
      <c r="GK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38"/>
      <c r="HO250" s="338"/>
      <c r="HP250" s="338"/>
      <c r="HQ250" s="13"/>
      <c r="HR250" s="13"/>
      <c r="HS250" s="13"/>
      <c r="HT250" s="13"/>
      <c r="HU250" s="13"/>
      <c r="HV250" s="13"/>
      <c r="HW250" s="13"/>
      <c r="HX250" s="13"/>
      <c r="HY250" s="13"/>
      <c r="HZ250" s="13"/>
      <c r="IA250" s="13"/>
    </row>
    <row r="251" spans="1:235" ht="16.95" customHeight="1">
      <c r="A251" s="1"/>
      <c r="B251" s="3"/>
      <c r="C251" s="3"/>
      <c r="D251" s="124" t="str">
        <f ca="1">IF(FO234=0,"","vraag te zijn gedaald en zitten ze met overschotten, dan zullen ze niet zo snel")</f>
        <v/>
      </c>
      <c r="E251" s="402"/>
      <c r="F251" s="402"/>
      <c r="G251" s="402"/>
      <c r="H251" s="402"/>
      <c r="I251" s="402"/>
      <c r="J251" s="376"/>
      <c r="K251" s="376"/>
      <c r="L251" s="376"/>
      <c r="M251" s="376"/>
      <c r="N251" s="376"/>
      <c r="O251" s="376"/>
      <c r="P251" s="376"/>
      <c r="Q251" s="376"/>
      <c r="R251" s="376"/>
      <c r="S251" s="376"/>
      <c r="T251" s="376"/>
      <c r="U251" s="376"/>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376"/>
      <c r="CQ251" s="376"/>
      <c r="CR251" s="376"/>
      <c r="CS251" s="376"/>
      <c r="CT251" s="376"/>
      <c r="CU251" s="376"/>
      <c r="CV251" s="376"/>
      <c r="CW251" s="376"/>
      <c r="CX251" s="376"/>
      <c r="CY251" s="376"/>
      <c r="CZ251" s="376"/>
      <c r="DA251" s="376"/>
      <c r="DB251" s="376"/>
      <c r="DC251" s="376"/>
      <c r="DD251" s="376"/>
      <c r="DE251" s="376"/>
      <c r="DF251" s="376"/>
      <c r="DG251" s="376"/>
      <c r="DH251" s="376"/>
      <c r="DI251" s="376"/>
      <c r="DJ251" s="376"/>
      <c r="DK251" s="376"/>
      <c r="DL251" s="376"/>
      <c r="DM251" s="376"/>
      <c r="DN251" s="376"/>
      <c r="DO251" s="376"/>
      <c r="DP251" s="376"/>
      <c r="DQ251" s="376"/>
      <c r="DR251" s="376"/>
      <c r="DS251" s="376"/>
      <c r="DT251" s="376"/>
      <c r="DU251" s="376"/>
      <c r="DV251" s="376"/>
      <c r="DW251" s="376"/>
      <c r="DX251" s="376"/>
      <c r="DY251" s="376"/>
      <c r="DZ251" s="376"/>
      <c r="EA251" s="376"/>
      <c r="EB251" s="376"/>
      <c r="EC251" s="376"/>
      <c r="ED251" s="376"/>
      <c r="EE251" s="376"/>
      <c r="EF251" s="376"/>
      <c r="EG251" s="376"/>
      <c r="EH251" s="376"/>
      <c r="EI251" s="376"/>
      <c r="EJ251" s="376"/>
      <c r="EK251" s="376"/>
      <c r="EL251" s="376"/>
      <c r="EM251" s="376"/>
      <c r="EN251" s="376"/>
      <c r="EO251" s="376"/>
      <c r="EP251" s="376"/>
      <c r="EQ251" s="376"/>
      <c r="ER251" s="376"/>
      <c r="ES251" s="376"/>
      <c r="ET251" s="376"/>
      <c r="EU251" s="376"/>
      <c r="EV251" s="376"/>
      <c r="EW251" s="376"/>
      <c r="EX251" s="376"/>
      <c r="EY251" s="376"/>
      <c r="EZ251" s="376"/>
      <c r="FA251" s="43"/>
      <c r="FB251" s="43"/>
      <c r="FC251" s="43"/>
      <c r="FD251" s="43"/>
      <c r="FE251" s="43"/>
      <c r="FF251" s="43"/>
      <c r="FG251" s="43"/>
      <c r="FH251" s="43"/>
      <c r="FI251" s="79"/>
      <c r="FJ251" s="79"/>
      <c r="FK251" s="79"/>
      <c r="FL251" s="79"/>
      <c r="FM251" s="338"/>
      <c r="FN251" s="338"/>
      <c r="FO251" s="338"/>
      <c r="FP251" s="338"/>
      <c r="FQ251" s="338"/>
      <c r="FR251" s="338"/>
      <c r="FS251" s="338"/>
      <c r="FT251" s="338"/>
      <c r="FU251" s="338"/>
      <c r="FV251" s="338"/>
      <c r="FW251" s="338"/>
      <c r="FX251" s="338"/>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38"/>
      <c r="HO251" s="338"/>
      <c r="HP251" s="338"/>
      <c r="HQ251" s="13"/>
      <c r="HR251" s="13"/>
      <c r="HS251" s="13"/>
      <c r="HT251" s="13"/>
      <c r="HU251" s="13"/>
      <c r="HV251" s="13"/>
      <c r="HW251" s="13"/>
      <c r="HX251" s="13"/>
      <c r="HY251" s="13"/>
      <c r="HZ251" s="13"/>
      <c r="IA251" s="13"/>
    </row>
    <row r="252" spans="1:235" ht="16.95" customHeight="1">
      <c r="A252" s="1"/>
      <c r="B252" s="3"/>
      <c r="C252" s="3"/>
      <c r="D252" s="124" t="str">
        <f ca="1">IF(FO234=0,"","de prijs verlagen, maar eerder de productie terugschroeven. Zo komt het")</f>
        <v/>
      </c>
      <c r="E252" s="402"/>
      <c r="F252" s="402"/>
      <c r="G252" s="402"/>
      <c r="H252" s="402"/>
      <c r="I252" s="402"/>
      <c r="J252" s="376"/>
      <c r="K252" s="376"/>
      <c r="L252" s="376"/>
      <c r="M252" s="376"/>
      <c r="N252" s="376"/>
      <c r="O252" s="376"/>
      <c r="P252" s="376"/>
      <c r="Q252" s="376"/>
      <c r="R252" s="376"/>
      <c r="S252" s="376"/>
      <c r="T252" s="376"/>
      <c r="U252" s="376"/>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376"/>
      <c r="CQ252" s="376"/>
      <c r="CR252" s="376"/>
      <c r="CS252" s="376"/>
      <c r="CT252" s="376"/>
      <c r="CU252" s="376"/>
      <c r="CV252" s="376"/>
      <c r="CW252" s="376"/>
      <c r="CX252" s="376"/>
      <c r="CY252" s="376"/>
      <c r="CZ252" s="376"/>
      <c r="DA252" s="376"/>
      <c r="DB252" s="376"/>
      <c r="DC252" s="376"/>
      <c r="DD252" s="376"/>
      <c r="DE252" s="376"/>
      <c r="DF252" s="376"/>
      <c r="DG252" s="376"/>
      <c r="DH252" s="376"/>
      <c r="DI252" s="376"/>
      <c r="DJ252" s="376"/>
      <c r="DK252" s="376"/>
      <c r="DL252" s="376"/>
      <c r="DM252" s="376"/>
      <c r="DN252" s="376"/>
      <c r="DO252" s="376"/>
      <c r="DP252" s="376"/>
      <c r="DQ252" s="376"/>
      <c r="DR252" s="376"/>
      <c r="DS252" s="376"/>
      <c r="DT252" s="376"/>
      <c r="DU252" s="376"/>
      <c r="DV252" s="376"/>
      <c r="DW252" s="376"/>
      <c r="DX252" s="376"/>
      <c r="DY252" s="376"/>
      <c r="DZ252" s="376"/>
      <c r="EA252" s="376"/>
      <c r="EB252" s="376"/>
      <c r="EC252" s="376"/>
      <c r="ED252" s="376"/>
      <c r="EE252" s="376"/>
      <c r="EF252" s="376"/>
      <c r="EG252" s="376"/>
      <c r="EH252" s="376"/>
      <c r="EI252" s="376"/>
      <c r="EJ252" s="376"/>
      <c r="EK252" s="376"/>
      <c r="EL252" s="376"/>
      <c r="EM252" s="376"/>
      <c r="EN252" s="376"/>
      <c r="EO252" s="376"/>
      <c r="EP252" s="376"/>
      <c r="EQ252" s="376"/>
      <c r="ER252" s="376"/>
      <c r="ES252" s="376"/>
      <c r="ET252" s="376"/>
      <c r="EU252" s="376"/>
      <c r="EV252" s="376"/>
      <c r="EW252" s="376"/>
      <c r="EX252" s="376"/>
      <c r="EY252" s="376"/>
      <c r="EZ252" s="376"/>
      <c r="FA252" s="43"/>
      <c r="FB252" s="43"/>
      <c r="FC252" s="43"/>
      <c r="FD252" s="43"/>
      <c r="FE252" s="43"/>
      <c r="FF252" s="43"/>
      <c r="FG252" s="43"/>
      <c r="FH252" s="43"/>
      <c r="FI252" s="79"/>
      <c r="FJ252" s="79"/>
      <c r="FK252" s="79"/>
      <c r="FL252" s="79"/>
      <c r="FM252" s="338"/>
      <c r="FN252" s="338"/>
      <c r="FO252" s="338"/>
      <c r="FP252" s="338"/>
      <c r="FQ252" s="338"/>
      <c r="FR252" s="338"/>
      <c r="FS252" s="338"/>
      <c r="FT252" s="338"/>
      <c r="FU252" s="338"/>
      <c r="FV252" s="338"/>
      <c r="FW252" s="338"/>
      <c r="FX252" s="338"/>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38"/>
      <c r="HO252" s="338"/>
      <c r="HP252" s="338"/>
      <c r="HQ252" s="13"/>
      <c r="HR252" s="13"/>
      <c r="HS252" s="13"/>
      <c r="HT252" s="13"/>
      <c r="HU252" s="13"/>
      <c r="HV252" s="13"/>
      <c r="HW252" s="13"/>
      <c r="HX252" s="13"/>
      <c r="HY252" s="13"/>
      <c r="HZ252" s="13"/>
      <c r="IA252" s="13"/>
    </row>
    <row r="253" spans="1:235" ht="16.95" customHeight="1">
      <c r="A253" s="1"/>
      <c r="B253" s="3"/>
      <c r="C253" s="3"/>
      <c r="D253" s="124" t="str">
        <f ca="1">IF(FO234=0,"","dat de prijs bij een homogeen oligopolie kan lopen van de maximale prijs bij")</f>
        <v/>
      </c>
      <c r="E253" s="402"/>
      <c r="F253" s="402"/>
      <c r="G253" s="402"/>
      <c r="H253" s="402"/>
      <c r="I253" s="402"/>
      <c r="J253" s="376"/>
      <c r="K253" s="376"/>
      <c r="L253" s="376"/>
      <c r="M253" s="376"/>
      <c r="N253" s="376"/>
      <c r="O253" s="376"/>
      <c r="P253" s="376"/>
      <c r="Q253" s="376"/>
      <c r="R253" s="376"/>
      <c r="S253" s="376"/>
      <c r="T253" s="376"/>
      <c r="U253" s="376"/>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376"/>
      <c r="CQ253" s="376"/>
      <c r="CR253" s="376"/>
      <c r="CS253" s="376"/>
      <c r="CT253" s="376"/>
      <c r="CU253" s="376"/>
      <c r="CV253" s="376"/>
      <c r="CW253" s="376"/>
      <c r="CX253" s="376"/>
      <c r="CY253" s="376"/>
      <c r="CZ253" s="376"/>
      <c r="DA253" s="376"/>
      <c r="DB253" s="376"/>
      <c r="DC253" s="376"/>
      <c r="DD253" s="376"/>
      <c r="DE253" s="376"/>
      <c r="DF253" s="376"/>
      <c r="DG253" s="376"/>
      <c r="DH253" s="376"/>
      <c r="DI253" s="376"/>
      <c r="DJ253" s="376"/>
      <c r="DK253" s="376"/>
      <c r="DL253" s="376"/>
      <c r="DM253" s="376"/>
      <c r="DN253" s="376"/>
      <c r="DO253" s="376"/>
      <c r="DP253" s="376"/>
      <c r="DQ253" s="376"/>
      <c r="DR253" s="376"/>
      <c r="DS253" s="376"/>
      <c r="DT253" s="376"/>
      <c r="DU253" s="376"/>
      <c r="DV253" s="376"/>
      <c r="DW253" s="376"/>
      <c r="DX253" s="376"/>
      <c r="DY253" s="376"/>
      <c r="DZ253" s="376"/>
      <c r="EA253" s="376"/>
      <c r="EB253" s="376"/>
      <c r="EC253" s="376"/>
      <c r="ED253" s="376"/>
      <c r="EE253" s="376"/>
      <c r="EF253" s="376"/>
      <c r="EG253" s="376"/>
      <c r="EH253" s="376"/>
      <c r="EI253" s="376"/>
      <c r="EJ253" s="376"/>
      <c r="EK253" s="376"/>
      <c r="EL253" s="376"/>
      <c r="EM253" s="376"/>
      <c r="EN253" s="376"/>
      <c r="EO253" s="376"/>
      <c r="EP253" s="376"/>
      <c r="EQ253" s="376"/>
      <c r="ER253" s="376"/>
      <c r="ES253" s="376"/>
      <c r="ET253" s="376"/>
      <c r="EU253" s="376"/>
      <c r="EV253" s="376"/>
      <c r="EW253" s="376"/>
      <c r="EX253" s="376"/>
      <c r="EY253" s="376"/>
      <c r="EZ253" s="376"/>
      <c r="FA253" s="43"/>
      <c r="FB253" s="43"/>
      <c r="FC253" s="43"/>
      <c r="FD253" s="43"/>
      <c r="FE253" s="43"/>
      <c r="FF253" s="43"/>
      <c r="FG253" s="43"/>
      <c r="FH253" s="43"/>
      <c r="FI253" s="79"/>
      <c r="FJ253" s="79"/>
      <c r="FK253" s="79"/>
      <c r="FL253" s="79"/>
      <c r="FM253" s="338"/>
      <c r="FN253" s="338"/>
      <c r="FO253" s="338"/>
      <c r="FP253" s="338"/>
      <c r="FQ253" s="338"/>
      <c r="FR253" s="338"/>
      <c r="FS253" s="338"/>
      <c r="FT253" s="338"/>
      <c r="FU253" s="338"/>
      <c r="FV253" s="338"/>
      <c r="FW253" s="338"/>
      <c r="FX253" s="338"/>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38"/>
      <c r="HO253" s="338"/>
      <c r="HP253" s="338"/>
      <c r="HQ253" s="13"/>
      <c r="HR253" s="13"/>
      <c r="HS253" s="13"/>
      <c r="HT253" s="13"/>
      <c r="HU253" s="13"/>
      <c r="HV253" s="13"/>
      <c r="HW253" s="13"/>
      <c r="HX253" s="13"/>
      <c r="HY253" s="13"/>
      <c r="HZ253" s="13"/>
      <c r="IA253" s="13"/>
    </row>
    <row r="254" spans="1:235" ht="16.95" customHeight="1">
      <c r="A254" s="1"/>
      <c r="B254" s="3"/>
      <c r="C254" s="3"/>
      <c r="D254" s="124" t="str">
        <f ca="1">IF(FO234=0,"","een monopolie (als sprake is van kartelvorming of prijsleiderschap) en de")</f>
        <v/>
      </c>
      <c r="E254" s="402"/>
      <c r="F254" s="402"/>
      <c r="G254" s="402"/>
      <c r="H254" s="402"/>
      <c r="I254" s="402"/>
      <c r="J254" s="376"/>
      <c r="K254" s="376"/>
      <c r="L254" s="376"/>
      <c r="M254" s="376"/>
      <c r="N254" s="376"/>
      <c r="O254" s="376"/>
      <c r="P254" s="376"/>
      <c r="Q254" s="376"/>
      <c r="R254" s="376"/>
      <c r="S254" s="376"/>
      <c r="T254" s="376"/>
      <c r="U254" s="376"/>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376"/>
      <c r="CQ254" s="376"/>
      <c r="CR254" s="376"/>
      <c r="CS254" s="376"/>
      <c r="CT254" s="376"/>
      <c r="CU254" s="376"/>
      <c r="CV254" s="376"/>
      <c r="CW254" s="376"/>
      <c r="CX254" s="376"/>
      <c r="CY254" s="376"/>
      <c r="CZ254" s="376"/>
      <c r="DA254" s="376"/>
      <c r="DB254" s="376"/>
      <c r="DC254" s="376"/>
      <c r="DD254" s="376"/>
      <c r="DE254" s="376"/>
      <c r="DF254" s="376"/>
      <c r="DG254" s="376"/>
      <c r="DH254" s="376"/>
      <c r="DI254" s="376"/>
      <c r="DJ254" s="376"/>
      <c r="DK254" s="376"/>
      <c r="DL254" s="376"/>
      <c r="DM254" s="376"/>
      <c r="DN254" s="376"/>
      <c r="DO254" s="376"/>
      <c r="DP254" s="376"/>
      <c r="DQ254" s="376"/>
      <c r="DR254" s="376"/>
      <c r="DS254" s="376"/>
      <c r="DT254" s="376"/>
      <c r="DU254" s="376"/>
      <c r="DV254" s="376"/>
      <c r="DW254" s="376"/>
      <c r="DX254" s="376"/>
      <c r="DY254" s="376"/>
      <c r="DZ254" s="376"/>
      <c r="EA254" s="376"/>
      <c r="EB254" s="376"/>
      <c r="EC254" s="376"/>
      <c r="ED254" s="376"/>
      <c r="EE254" s="376"/>
      <c r="EF254" s="376"/>
      <c r="EG254" s="376"/>
      <c r="EH254" s="376"/>
      <c r="EI254" s="376"/>
      <c r="EJ254" s="376"/>
      <c r="EK254" s="376"/>
      <c r="EL254" s="376"/>
      <c r="EM254" s="376"/>
      <c r="EN254" s="376"/>
      <c r="EO254" s="376"/>
      <c r="EP254" s="376"/>
      <c r="EQ254" s="376"/>
      <c r="ER254" s="376"/>
      <c r="ES254" s="376"/>
      <c r="ET254" s="376"/>
      <c r="EU254" s="376"/>
      <c r="EV254" s="376"/>
      <c r="EW254" s="376"/>
      <c r="EX254" s="376"/>
      <c r="EY254" s="376"/>
      <c r="EZ254" s="376"/>
      <c r="FA254" s="43"/>
      <c r="FB254" s="43"/>
      <c r="FC254" s="43"/>
      <c r="FD254" s="43"/>
      <c r="FE254" s="43"/>
      <c r="FF254" s="43"/>
      <c r="FG254" s="43"/>
      <c r="FH254" s="43"/>
      <c r="FI254" s="79"/>
      <c r="FJ254" s="79"/>
      <c r="FK254" s="79"/>
      <c r="FL254" s="79"/>
      <c r="FM254" s="338"/>
      <c r="FN254" s="338"/>
      <c r="FO254" s="338"/>
      <c r="FP254" s="338"/>
      <c r="FQ254" s="338"/>
      <c r="FR254" s="338"/>
      <c r="FS254" s="338"/>
      <c r="FT254" s="338"/>
      <c r="FU254" s="338"/>
      <c r="FV254" s="338"/>
      <c r="FW254" s="338"/>
      <c r="FX254" s="338"/>
      <c r="FY254" s="32"/>
      <c r="FZ254" s="32"/>
      <c r="GA254" s="32"/>
      <c r="GB254" s="32"/>
      <c r="GC254" s="32"/>
      <c r="GD254" s="32"/>
      <c r="GE254" s="32"/>
      <c r="GF254" s="32"/>
      <c r="GG254" s="32"/>
      <c r="GH254" s="32"/>
      <c r="GI254" s="32"/>
      <c r="GJ254" s="32"/>
      <c r="GK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38"/>
      <c r="HO254" s="338"/>
      <c r="HP254" s="338"/>
      <c r="HQ254" s="13"/>
      <c r="HR254" s="13"/>
      <c r="HS254" s="13"/>
      <c r="HT254" s="13"/>
      <c r="HU254" s="13"/>
      <c r="HV254" s="13"/>
      <c r="HW254" s="13"/>
      <c r="HX254" s="13"/>
      <c r="HY254" s="13"/>
      <c r="HZ254" s="13"/>
      <c r="IA254" s="13"/>
    </row>
    <row r="255" spans="1:235" ht="16.95" customHeight="1">
      <c r="A255" s="1"/>
      <c r="B255" s="3"/>
      <c r="C255" s="3"/>
      <c r="D255" s="124" t="str">
        <f ca="1">IF(FO234=0,"","prijs bij volkomen concurrentie (als er felle prijsconcurrentie is). Dat geeft je")</f>
        <v/>
      </c>
      <c r="E255" s="402"/>
      <c r="F255" s="402"/>
      <c r="G255" s="402"/>
      <c r="H255" s="402"/>
      <c r="I255" s="402"/>
      <c r="J255" s="376"/>
      <c r="K255" s="376"/>
      <c r="L255" s="376"/>
      <c r="M255" s="376"/>
      <c r="N255" s="376"/>
      <c r="O255" s="376"/>
      <c r="P255" s="376"/>
      <c r="Q255" s="376"/>
      <c r="R255" s="376"/>
      <c r="S255" s="376"/>
      <c r="T255" s="376"/>
      <c r="U255" s="376"/>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376"/>
      <c r="CQ255" s="376"/>
      <c r="CR255" s="376"/>
      <c r="CS255" s="376"/>
      <c r="CT255" s="376"/>
      <c r="CU255" s="376"/>
      <c r="CV255" s="376"/>
      <c r="CW255" s="376"/>
      <c r="CX255" s="376"/>
      <c r="CY255" s="376"/>
      <c r="CZ255" s="376"/>
      <c r="DA255" s="376"/>
      <c r="DB255" s="376"/>
      <c r="DC255" s="376"/>
      <c r="DD255" s="376"/>
      <c r="DE255" s="376"/>
      <c r="DF255" s="376"/>
      <c r="DG255" s="376"/>
      <c r="DH255" s="376"/>
      <c r="DI255" s="376"/>
      <c r="DJ255" s="376"/>
      <c r="DK255" s="376"/>
      <c r="DL255" s="376"/>
      <c r="DM255" s="376"/>
      <c r="DN255" s="376"/>
      <c r="DO255" s="376"/>
      <c r="DP255" s="376"/>
      <c r="DQ255" s="376"/>
      <c r="DR255" s="376"/>
      <c r="DS255" s="376"/>
      <c r="DT255" s="376"/>
      <c r="DU255" s="376"/>
      <c r="DV255" s="376"/>
      <c r="DW255" s="376"/>
      <c r="DX255" s="376"/>
      <c r="DY255" s="376"/>
      <c r="DZ255" s="376"/>
      <c r="EA255" s="376"/>
      <c r="EB255" s="376"/>
      <c r="EC255" s="376"/>
      <c r="ED255" s="376"/>
      <c r="EE255" s="376"/>
      <c r="EF255" s="376"/>
      <c r="EG255" s="376"/>
      <c r="EH255" s="376"/>
      <c r="EI255" s="376"/>
      <c r="EJ255" s="376"/>
      <c r="EK255" s="376"/>
      <c r="EL255" s="376"/>
      <c r="EM255" s="376"/>
      <c r="EN255" s="376"/>
      <c r="EO255" s="376"/>
      <c r="EP255" s="376"/>
      <c r="EQ255" s="376"/>
      <c r="ER255" s="376"/>
      <c r="ES255" s="376"/>
      <c r="ET255" s="376"/>
      <c r="EU255" s="376"/>
      <c r="EV255" s="376"/>
      <c r="EW255" s="376"/>
      <c r="EX255" s="376"/>
      <c r="EY255" s="376"/>
      <c r="EZ255" s="376"/>
      <c r="FA255" s="43"/>
      <c r="FB255" s="43"/>
      <c r="FC255" s="43"/>
      <c r="FD255" s="43"/>
      <c r="FE255" s="43"/>
      <c r="FF255" s="43"/>
      <c r="FG255" s="43"/>
      <c r="FH255" s="43"/>
      <c r="FI255" s="79"/>
      <c r="FJ255" s="79"/>
      <c r="FK255" s="79"/>
      <c r="FL255" s="79"/>
      <c r="FM255" s="338"/>
      <c r="FN255" s="338"/>
      <c r="FO255" s="338"/>
      <c r="FP255" s="338"/>
      <c r="FQ255" s="338"/>
      <c r="FR255" s="338"/>
      <c r="FS255" s="338"/>
      <c r="FT255" s="338"/>
      <c r="FU255" s="338"/>
      <c r="FV255" s="338"/>
      <c r="FW255" s="338"/>
      <c r="FX255" s="338"/>
      <c r="FY255" s="32"/>
      <c r="FZ255" s="32"/>
      <c r="GA255" s="32"/>
      <c r="GB255" s="32"/>
      <c r="GC255" s="32"/>
      <c r="GD255" s="32"/>
      <c r="GE255" s="32"/>
      <c r="GF255" s="32"/>
      <c r="GG255" s="32"/>
      <c r="GH255" s="32"/>
      <c r="GI255" s="32"/>
      <c r="GJ255" s="32"/>
      <c r="GK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38"/>
      <c r="HO255" s="338"/>
      <c r="HP255" s="338"/>
      <c r="HQ255" s="13"/>
      <c r="HR255" s="13"/>
      <c r="HS255" s="13"/>
      <c r="HT255" s="13"/>
      <c r="HU255" s="13"/>
      <c r="HV255" s="13"/>
      <c r="HW255" s="13"/>
      <c r="HX255" s="13"/>
      <c r="HY255" s="13"/>
      <c r="HZ255" s="13"/>
      <c r="IA255" s="13"/>
    </row>
    <row r="256" spans="1:235" ht="16.95" customHeight="1">
      <c r="A256" s="1"/>
      <c r="B256" s="3"/>
      <c r="C256" s="3"/>
      <c r="D256" s="124" t="str">
        <f ca="1">IF(FO234=0,"","de mogelijkheid om de prijsvorming bij de marktvormen monopolie,")</f>
        <v/>
      </c>
      <c r="E256" s="402"/>
      <c r="F256" s="402"/>
      <c r="G256" s="402"/>
      <c r="H256" s="402"/>
      <c r="I256" s="402"/>
      <c r="J256" s="376"/>
      <c r="K256" s="376"/>
      <c r="L256" s="376"/>
      <c r="M256" s="376"/>
      <c r="N256" s="376"/>
      <c r="O256" s="376"/>
      <c r="P256" s="376"/>
      <c r="Q256" s="376"/>
      <c r="R256" s="376"/>
      <c r="S256" s="376"/>
      <c r="T256" s="376"/>
      <c r="U256" s="376"/>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376"/>
      <c r="CQ256" s="376"/>
      <c r="CR256" s="376"/>
      <c r="CS256" s="376"/>
      <c r="CT256" s="376"/>
      <c r="CU256" s="376"/>
      <c r="CV256" s="376"/>
      <c r="CW256" s="376"/>
      <c r="CX256" s="376"/>
      <c r="CY256" s="376"/>
      <c r="CZ256" s="376"/>
      <c r="DA256" s="376"/>
      <c r="DB256" s="376"/>
      <c r="DC256" s="376"/>
      <c r="DD256" s="376"/>
      <c r="DE256" s="376"/>
      <c r="DF256" s="376"/>
      <c r="DG256" s="376"/>
      <c r="DH256" s="376"/>
      <c r="DI256" s="376"/>
      <c r="DJ256" s="376"/>
      <c r="DK256" s="376"/>
      <c r="DL256" s="376"/>
      <c r="DM256" s="376"/>
      <c r="DN256" s="376"/>
      <c r="DO256" s="376"/>
      <c r="DP256" s="376"/>
      <c r="DQ256" s="376"/>
      <c r="DR256" s="376"/>
      <c r="DS256" s="376"/>
      <c r="DT256" s="376"/>
      <c r="DU256" s="376"/>
      <c r="DV256" s="376"/>
      <c r="DW256" s="376"/>
      <c r="DX256" s="376"/>
      <c r="DY256" s="376"/>
      <c r="DZ256" s="376"/>
      <c r="EA256" s="376"/>
      <c r="EB256" s="376"/>
      <c r="EC256" s="376"/>
      <c r="ED256" s="376"/>
      <c r="EE256" s="376"/>
      <c r="EF256" s="376"/>
      <c r="EG256" s="376"/>
      <c r="EH256" s="376"/>
      <c r="EI256" s="376"/>
      <c r="EJ256" s="376"/>
      <c r="EK256" s="376"/>
      <c r="EL256" s="376"/>
      <c r="EM256" s="376"/>
      <c r="EN256" s="376"/>
      <c r="EO256" s="376"/>
      <c r="EP256" s="376"/>
      <c r="EQ256" s="376"/>
      <c r="ER256" s="376"/>
      <c r="ES256" s="376"/>
      <c r="ET256" s="376"/>
      <c r="EU256" s="376"/>
      <c r="EV256" s="376"/>
      <c r="EW256" s="376"/>
      <c r="EX256" s="376"/>
      <c r="EY256" s="376"/>
      <c r="EZ256" s="376"/>
      <c r="FA256" s="43"/>
      <c r="FB256" s="43"/>
      <c r="FC256" s="43"/>
      <c r="FD256" s="43"/>
      <c r="FE256" s="43"/>
      <c r="FF256" s="43"/>
      <c r="FG256" s="43"/>
      <c r="FH256" s="43"/>
      <c r="FI256" s="79"/>
      <c r="FJ256" s="79"/>
      <c r="FK256" s="79"/>
      <c r="FL256" s="79"/>
      <c r="FM256" s="338"/>
      <c r="FN256" s="338"/>
      <c r="FO256" s="338"/>
      <c r="FP256" s="338"/>
      <c r="FQ256" s="338"/>
      <c r="FR256" s="338"/>
      <c r="FS256" s="338"/>
      <c r="FT256" s="338"/>
      <c r="FU256" s="338"/>
      <c r="FV256" s="338"/>
      <c r="FW256" s="338"/>
      <c r="FX256" s="338"/>
      <c r="FY256" s="32"/>
      <c r="FZ256" s="32"/>
      <c r="GA256" s="32"/>
      <c r="GB256" s="32"/>
      <c r="GC256" s="32"/>
      <c r="GD256" s="32"/>
      <c r="GE256" s="32"/>
      <c r="GF256" s="32"/>
      <c r="GG256" s="32"/>
      <c r="GH256" s="32"/>
      <c r="GI256" s="32"/>
      <c r="GJ256" s="32"/>
      <c r="GK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38"/>
      <c r="HO256" s="338"/>
      <c r="HP256" s="338"/>
      <c r="HQ256" s="13"/>
      <c r="HR256" s="13"/>
      <c r="HS256" s="13"/>
      <c r="HT256" s="13"/>
      <c r="HU256" s="13"/>
      <c r="HV256" s="13"/>
      <c r="HW256" s="13"/>
      <c r="HX256" s="13"/>
      <c r="HY256" s="13"/>
      <c r="HZ256" s="13"/>
      <c r="IA256" s="13"/>
    </row>
    <row r="257" spans="1:235" ht="16.95" customHeight="1">
      <c r="A257" s="1"/>
      <c r="B257" s="3"/>
      <c r="C257" s="3"/>
      <c r="D257" s="124" t="str">
        <f ca="1">IF(FO234=0,"","homogeen oligopolie en volkomen concurrentie in één grafiek bij elkaar te")</f>
        <v/>
      </c>
      <c r="E257" s="402"/>
      <c r="F257" s="402"/>
      <c r="G257" s="402"/>
      <c r="H257" s="402"/>
      <c r="I257" s="402"/>
      <c r="J257" s="376"/>
      <c r="K257" s="376"/>
      <c r="L257" s="376"/>
      <c r="M257" s="376"/>
      <c r="N257" s="376"/>
      <c r="O257" s="376"/>
      <c r="P257" s="376"/>
      <c r="Q257" s="376"/>
      <c r="R257" s="376"/>
      <c r="S257" s="376"/>
      <c r="T257" s="376"/>
      <c r="U257" s="376"/>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376"/>
      <c r="CQ257" s="376"/>
      <c r="CR257" s="376"/>
      <c r="CS257" s="376"/>
      <c r="CT257" s="376"/>
      <c r="CU257" s="376"/>
      <c r="CV257" s="376"/>
      <c r="CW257" s="376"/>
      <c r="CX257" s="376"/>
      <c r="CY257" s="376"/>
      <c r="CZ257" s="376"/>
      <c r="DA257" s="376"/>
      <c r="DB257" s="376"/>
      <c r="DC257" s="376"/>
      <c r="DD257" s="376"/>
      <c r="DE257" s="376"/>
      <c r="DF257" s="376"/>
      <c r="DG257" s="376"/>
      <c r="DH257" s="376"/>
      <c r="DI257" s="376"/>
      <c r="DJ257" s="376"/>
      <c r="DK257" s="376"/>
      <c r="DL257" s="376"/>
      <c r="DM257" s="376"/>
      <c r="DN257" s="376"/>
      <c r="DO257" s="376"/>
      <c r="DP257" s="376"/>
      <c r="DQ257" s="376"/>
      <c r="DR257" s="376"/>
      <c r="DS257" s="376"/>
      <c r="DT257" s="376"/>
      <c r="DU257" s="376"/>
      <c r="DV257" s="376"/>
      <c r="DW257" s="376"/>
      <c r="DX257" s="376"/>
      <c r="DY257" s="376"/>
      <c r="DZ257" s="376"/>
      <c r="EA257" s="376"/>
      <c r="EB257" s="376"/>
      <c r="EC257" s="376"/>
      <c r="ED257" s="376"/>
      <c r="EE257" s="376"/>
      <c r="EF257" s="376"/>
      <c r="EG257" s="376"/>
      <c r="EH257" s="376"/>
      <c r="EI257" s="376"/>
      <c r="EJ257" s="376"/>
      <c r="EK257" s="376"/>
      <c r="EL257" s="376"/>
      <c r="EM257" s="376"/>
      <c r="EN257" s="376"/>
      <c r="EO257" s="376"/>
      <c r="EP257" s="376"/>
      <c r="EQ257" s="376"/>
      <c r="ER257" s="376"/>
      <c r="ES257" s="376"/>
      <c r="ET257" s="376"/>
      <c r="EU257" s="376"/>
      <c r="EV257" s="376"/>
      <c r="EW257" s="376"/>
      <c r="EX257" s="376"/>
      <c r="EY257" s="376"/>
      <c r="EZ257" s="376"/>
      <c r="FA257" s="43"/>
      <c r="FB257" s="43"/>
      <c r="FC257" s="43"/>
      <c r="FD257" s="43"/>
      <c r="FE257" s="43"/>
      <c r="FF257" s="43"/>
      <c r="FG257" s="43"/>
      <c r="FH257" s="43"/>
      <c r="FI257" s="79"/>
      <c r="FJ257" s="79"/>
      <c r="FK257" s="79"/>
      <c r="FL257" s="79"/>
      <c r="FM257" s="338"/>
      <c r="FN257" s="338"/>
      <c r="FO257" s="338"/>
      <c r="FP257" s="338"/>
      <c r="FQ257" s="338"/>
      <c r="FR257" s="338"/>
      <c r="FS257" s="338"/>
      <c r="FT257" s="338"/>
      <c r="FU257" s="338"/>
      <c r="FV257" s="338"/>
      <c r="FW257" s="338"/>
      <c r="FX257" s="338"/>
      <c r="FY257" s="32"/>
      <c r="FZ257" s="32"/>
      <c r="GA257" s="32"/>
      <c r="GB257" s="32"/>
      <c r="GC257" s="32"/>
      <c r="GD257" s="32"/>
      <c r="GE257" s="32"/>
      <c r="GF257" s="32"/>
      <c r="GG257" s="32"/>
      <c r="GH257" s="32"/>
      <c r="GI257" s="32"/>
      <c r="GJ257" s="32"/>
      <c r="GK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38"/>
      <c r="HO257" s="338"/>
      <c r="HP257" s="338"/>
      <c r="HQ257" s="13"/>
      <c r="HR257" s="13"/>
      <c r="HS257" s="13"/>
      <c r="HT257" s="13"/>
      <c r="HU257" s="13"/>
      <c r="HV257" s="13"/>
      <c r="HW257" s="13"/>
      <c r="HX257" s="13"/>
      <c r="HY257" s="13"/>
      <c r="HZ257" s="13"/>
      <c r="IA257" s="13"/>
    </row>
    <row r="258" spans="1:235" ht="16.95" customHeight="1">
      <c r="A258" s="1"/>
      <c r="B258" s="3"/>
      <c r="C258" s="3"/>
      <c r="D258" s="124" t="str">
        <f ca="1">IF(FO234=0,"","brengen, waarbij voor het gemak ervan wordt uitgegaan dat elke aanbieder")</f>
        <v/>
      </c>
      <c r="E258" s="402"/>
      <c r="F258" s="402"/>
      <c r="G258" s="402"/>
      <c r="H258" s="402"/>
      <c r="I258" s="402"/>
      <c r="J258" s="376"/>
      <c r="K258" s="376"/>
      <c r="L258" s="376"/>
      <c r="M258" s="376"/>
      <c r="N258" s="376"/>
      <c r="O258" s="376"/>
      <c r="P258" s="376"/>
      <c r="Q258" s="376"/>
      <c r="R258" s="376"/>
      <c r="S258" s="376"/>
      <c r="T258" s="376"/>
      <c r="U258" s="376"/>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376"/>
      <c r="CQ258" s="376"/>
      <c r="CR258" s="376"/>
      <c r="CS258" s="376"/>
      <c r="CT258" s="376"/>
      <c r="CU258" s="376"/>
      <c r="CV258" s="376"/>
      <c r="CW258" s="376"/>
      <c r="CX258" s="376"/>
      <c r="CY258" s="376"/>
      <c r="CZ258" s="376"/>
      <c r="DA258" s="376"/>
      <c r="DB258" s="376"/>
      <c r="DC258" s="376"/>
      <c r="DD258" s="376"/>
      <c r="DE258" s="376"/>
      <c r="DF258" s="376"/>
      <c r="DG258" s="376"/>
      <c r="DH258" s="376"/>
      <c r="DI258" s="376"/>
      <c r="DJ258" s="376"/>
      <c r="DK258" s="376"/>
      <c r="DL258" s="376"/>
      <c r="DM258" s="376"/>
      <c r="DN258" s="376"/>
      <c r="DO258" s="376"/>
      <c r="DP258" s="376"/>
      <c r="DQ258" s="376"/>
      <c r="DR258" s="376"/>
      <c r="DS258" s="376"/>
      <c r="DT258" s="376"/>
      <c r="DU258" s="376"/>
      <c r="DV258" s="376"/>
      <c r="DW258" s="376"/>
      <c r="DX258" s="376"/>
      <c r="DY258" s="376"/>
      <c r="DZ258" s="376"/>
      <c r="EA258" s="376"/>
      <c r="EB258" s="376"/>
      <c r="EC258" s="376"/>
      <c r="ED258" s="376"/>
      <c r="EE258" s="376"/>
      <c r="EF258" s="376"/>
      <c r="EG258" s="376"/>
      <c r="EH258" s="376"/>
      <c r="EI258" s="376"/>
      <c r="EJ258" s="376"/>
      <c r="EK258" s="376"/>
      <c r="EL258" s="376"/>
      <c r="EM258" s="376"/>
      <c r="EN258" s="376"/>
      <c r="EO258" s="376"/>
      <c r="EP258" s="376"/>
      <c r="EQ258" s="376"/>
      <c r="ER258" s="376"/>
      <c r="ES258" s="376"/>
      <c r="ET258" s="376"/>
      <c r="EU258" s="376"/>
      <c r="EV258" s="376"/>
      <c r="EW258" s="376"/>
      <c r="EX258" s="376"/>
      <c r="EY258" s="376"/>
      <c r="EZ258" s="376"/>
      <c r="FA258" s="43"/>
      <c r="FB258" s="43"/>
      <c r="FC258" s="43"/>
      <c r="FD258" s="43"/>
      <c r="FE258" s="43"/>
      <c r="FF258" s="43"/>
      <c r="FG258" s="43"/>
      <c r="FH258" s="43"/>
      <c r="FI258" s="79"/>
      <c r="FJ258" s="79"/>
      <c r="FK258" s="79"/>
      <c r="FL258" s="79"/>
      <c r="FM258" s="338"/>
      <c r="FN258" s="338"/>
      <c r="FO258" s="338"/>
      <c r="FP258" s="338"/>
      <c r="FQ258" s="338"/>
      <c r="FR258" s="338"/>
      <c r="FS258" s="338"/>
      <c r="FT258" s="338"/>
      <c r="FU258" s="338"/>
      <c r="FV258" s="338"/>
      <c r="FW258" s="338"/>
      <c r="FX258" s="338"/>
      <c r="FY258" s="32"/>
      <c r="FZ258" s="32"/>
      <c r="GA258" s="32"/>
      <c r="GB258" s="32"/>
      <c r="GC258" s="32"/>
      <c r="GD258" s="32"/>
      <c r="GE258" s="32"/>
      <c r="GF258" s="32"/>
      <c r="GG258" s="32"/>
      <c r="GH258" s="32"/>
      <c r="GI258" s="32"/>
      <c r="GJ258" s="32"/>
      <c r="GK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38"/>
      <c r="HO258" s="338"/>
      <c r="HP258" s="338"/>
      <c r="HQ258" s="13"/>
      <c r="HR258" s="13"/>
      <c r="HS258" s="13"/>
      <c r="HT258" s="13"/>
      <c r="HU258" s="13"/>
      <c r="HV258" s="13"/>
      <c r="HW258" s="13"/>
      <c r="HX258" s="13"/>
      <c r="HY258" s="13"/>
      <c r="HZ258" s="13"/>
      <c r="IA258" s="13"/>
    </row>
    <row r="259" spans="1:235" ht="16.95" customHeight="1">
      <c r="A259" s="1"/>
      <c r="B259" s="3"/>
      <c r="C259" s="3"/>
      <c r="D259" s="124" t="str">
        <f ca="1">IF(FO234=0,"","dezelfde proportioneel variabele kosten heeft. Dat ziet er zo uit:")</f>
        <v/>
      </c>
      <c r="E259" s="402"/>
      <c r="F259" s="402"/>
      <c r="G259" s="402"/>
      <c r="H259" s="402"/>
      <c r="I259" s="402"/>
      <c r="J259" s="376"/>
      <c r="K259" s="376"/>
      <c r="L259" s="376"/>
      <c r="M259" s="376"/>
      <c r="N259" s="376"/>
      <c r="O259" s="376"/>
      <c r="P259" s="376"/>
      <c r="Q259" s="376"/>
      <c r="R259" s="376"/>
      <c r="S259" s="376"/>
      <c r="T259" s="376"/>
      <c r="U259" s="376"/>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376"/>
      <c r="CQ259" s="376"/>
      <c r="CR259" s="376"/>
      <c r="CS259" s="376"/>
      <c r="CT259" s="376"/>
      <c r="CU259" s="376"/>
      <c r="CV259" s="376"/>
      <c r="CW259" s="376"/>
      <c r="CX259" s="376"/>
      <c r="CY259" s="376"/>
      <c r="CZ259" s="376"/>
      <c r="DA259" s="376"/>
      <c r="DB259" s="376"/>
      <c r="DC259" s="376"/>
      <c r="DD259" s="376"/>
      <c r="DE259" s="376"/>
      <c r="DF259" s="376"/>
      <c r="DG259" s="376"/>
      <c r="DH259" s="376"/>
      <c r="DI259" s="376"/>
      <c r="DJ259" s="376"/>
      <c r="DK259" s="376"/>
      <c r="DL259" s="376"/>
      <c r="DM259" s="376"/>
      <c r="DN259" s="376"/>
      <c r="DO259" s="376"/>
      <c r="DP259" s="376"/>
      <c r="DQ259" s="376"/>
      <c r="DR259" s="376"/>
      <c r="DS259" s="376"/>
      <c r="DT259" s="376"/>
      <c r="DU259" s="376"/>
      <c r="DV259" s="376"/>
      <c r="DW259" s="376"/>
      <c r="DX259" s="376"/>
      <c r="DY259" s="376"/>
      <c r="DZ259" s="376"/>
      <c r="EA259" s="376"/>
      <c r="EB259" s="376"/>
      <c r="EC259" s="376"/>
      <c r="ED259" s="376"/>
      <c r="EE259" s="376"/>
      <c r="EF259" s="376"/>
      <c r="EG259" s="376"/>
      <c r="EH259" s="376"/>
      <c r="EI259" s="376"/>
      <c r="EJ259" s="376"/>
      <c r="EK259" s="376"/>
      <c r="EL259" s="376"/>
      <c r="EM259" s="376"/>
      <c r="EN259" s="376"/>
      <c r="EO259" s="376"/>
      <c r="EP259" s="376"/>
      <c r="EQ259" s="376"/>
      <c r="ER259" s="376"/>
      <c r="ES259" s="376"/>
      <c r="ET259" s="376"/>
      <c r="EU259" s="376"/>
      <c r="EV259" s="376"/>
      <c r="EW259" s="376"/>
      <c r="EX259" s="376"/>
      <c r="EY259" s="376"/>
      <c r="EZ259" s="376"/>
      <c r="FA259" s="43"/>
      <c r="FB259" s="43"/>
      <c r="FC259" s="43"/>
      <c r="FD259" s="43"/>
      <c r="FE259" s="43"/>
      <c r="FF259" s="43"/>
      <c r="FG259" s="43"/>
      <c r="FH259" s="43"/>
      <c r="FI259" s="79"/>
      <c r="FJ259" s="79"/>
      <c r="FK259" s="79"/>
      <c r="FL259" s="79"/>
      <c r="FM259" s="338"/>
      <c r="FN259" s="338"/>
      <c r="FO259" s="338"/>
      <c r="FP259" s="338"/>
      <c r="FQ259" s="338"/>
      <c r="FR259" s="338"/>
      <c r="FS259" s="338"/>
      <c r="FT259" s="338"/>
      <c r="FU259" s="338"/>
      <c r="FV259" s="338"/>
      <c r="FW259" s="338"/>
      <c r="FX259" s="338"/>
      <c r="FY259" s="32"/>
      <c r="FZ259" s="32"/>
      <c r="GA259" s="32"/>
      <c r="GB259" s="32"/>
      <c r="GC259" s="32"/>
      <c r="GD259" s="32"/>
      <c r="GE259" s="32"/>
      <c r="GF259" s="32"/>
      <c r="GG259" s="32"/>
      <c r="GH259" s="32"/>
      <c r="GI259" s="32"/>
      <c r="GJ259" s="32"/>
      <c r="GK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38"/>
      <c r="HO259" s="338"/>
      <c r="HP259" s="338"/>
      <c r="HQ259" s="13"/>
      <c r="HR259" s="13"/>
      <c r="HS259" s="13"/>
      <c r="HT259" s="13"/>
      <c r="HU259" s="13"/>
      <c r="HV259" s="13"/>
      <c r="HW259" s="13"/>
      <c r="HX259" s="13"/>
      <c r="HY259" s="13"/>
      <c r="HZ259" s="13"/>
      <c r="IA259" s="13"/>
    </row>
    <row r="260" spans="1:235" ht="16.5" customHeight="1">
      <c r="A260" s="1"/>
      <c r="B260" s="3"/>
      <c r="C260" s="3"/>
      <c r="D260" s="330" t="str">
        <f t="shared" ref="D260:D277" ca="1" si="46">IF($FO$195=0,"`","")</f>
        <v>`</v>
      </c>
      <c r="E260" s="545" t="str">
        <f ca="1">IF(FO234=0,"`","")</f>
        <v>`</v>
      </c>
      <c r="F260" s="545"/>
      <c r="G260" s="545"/>
      <c r="H260" s="545"/>
      <c r="I260" s="545"/>
      <c r="J260" s="545"/>
      <c r="K260" s="545"/>
      <c r="L260" s="545"/>
      <c r="M260" s="545"/>
      <c r="N260" s="545"/>
      <c r="O260" s="545"/>
      <c r="P260" s="545"/>
      <c r="Q260" s="545"/>
      <c r="R260" s="545"/>
      <c r="S260" s="545"/>
      <c r="T260" s="545"/>
      <c r="U260" s="545"/>
      <c r="V260" s="545"/>
      <c r="W260" s="545"/>
      <c r="X260" s="545"/>
      <c r="Y260" s="545"/>
      <c r="Z260" s="545"/>
      <c r="AA260" s="545"/>
      <c r="AB260" s="545"/>
      <c r="AC260" s="545"/>
      <c r="AD260" s="545"/>
      <c r="AE260" s="545"/>
      <c r="AF260" s="545"/>
      <c r="AG260" s="545"/>
      <c r="AH260" s="545"/>
      <c r="AI260" s="545"/>
      <c r="AJ260" s="545"/>
      <c r="AK260" s="545"/>
      <c r="AL260" s="545"/>
      <c r="AM260" s="545"/>
      <c r="AN260" s="545"/>
      <c r="AO260" s="545"/>
      <c r="AP260" s="545"/>
      <c r="AQ260" s="545"/>
      <c r="AR260" s="545"/>
      <c r="AS260" s="545"/>
      <c r="AT260" s="545"/>
      <c r="AU260" s="545"/>
      <c r="AV260" s="545"/>
      <c r="AW260" s="545"/>
      <c r="AX260" s="545"/>
      <c r="AY260" s="545"/>
      <c r="AZ260" s="545"/>
      <c r="BA260" s="545"/>
      <c r="BB260" s="545"/>
      <c r="BC260" s="545"/>
      <c r="BD260" s="545"/>
      <c r="BE260" s="545"/>
      <c r="BF260" s="545"/>
      <c r="BG260" s="545"/>
      <c r="BH260" s="545"/>
      <c r="BI260" s="545"/>
      <c r="BJ260" s="545"/>
      <c r="BK260" s="545"/>
      <c r="BL260" s="545"/>
      <c r="BM260" s="545"/>
      <c r="BN260" s="545"/>
      <c r="BO260" s="545"/>
      <c r="BP260" s="545"/>
      <c r="BQ260" s="545"/>
      <c r="BR260" s="545"/>
      <c r="BS260" s="545"/>
      <c r="BT260" s="545"/>
      <c r="BU260" s="545"/>
      <c r="BV260" s="545"/>
      <c r="BW260" s="545"/>
      <c r="BX260" s="545"/>
      <c r="BY260" s="545"/>
      <c r="BZ260" s="545"/>
      <c r="CA260" s="545"/>
      <c r="CB260" s="545"/>
      <c r="CC260" s="545"/>
      <c r="CD260" s="545"/>
      <c r="CE260" s="545"/>
      <c r="CF260" s="545"/>
      <c r="CG260" s="545"/>
      <c r="CH260" s="545"/>
      <c r="CI260" s="545"/>
      <c r="CJ260" s="545"/>
      <c r="CK260" s="545"/>
      <c r="CL260" s="545"/>
      <c r="CM260" s="545"/>
      <c r="CN260" s="545"/>
      <c r="CO260" s="545"/>
      <c r="CP260" s="545"/>
      <c r="CQ260" s="545"/>
      <c r="CR260" s="545"/>
      <c r="CS260" s="545"/>
      <c r="CT260" s="545"/>
      <c r="CU260" s="545"/>
      <c r="CV260" s="545"/>
      <c r="CW260" s="545"/>
      <c r="CX260" s="545"/>
      <c r="CY260" s="545"/>
      <c r="CZ260" s="545"/>
      <c r="DA260" s="545"/>
      <c r="DB260" s="545"/>
      <c r="DC260" s="545"/>
      <c r="DD260" s="545"/>
      <c r="DE260" s="545"/>
      <c r="DF260" s="545"/>
      <c r="DG260" s="545"/>
      <c r="DH260" s="545"/>
      <c r="DI260" s="545"/>
      <c r="DJ260" s="545"/>
      <c r="DK260" s="545"/>
      <c r="DL260" s="545"/>
      <c r="DM260" s="545"/>
      <c r="DN260" s="545"/>
      <c r="DO260" s="545"/>
      <c r="DP260" s="545"/>
      <c r="DQ260" s="545"/>
      <c r="DR260" s="545"/>
      <c r="DS260" s="545"/>
      <c r="DT260" s="545"/>
      <c r="DU260" s="545"/>
      <c r="DV260" s="545"/>
      <c r="DW260" s="545"/>
      <c r="DX260" s="545"/>
      <c r="DY260" s="545"/>
      <c r="DZ260" s="545"/>
      <c r="EA260" s="545"/>
      <c r="EB260" s="545"/>
      <c r="EC260" s="545"/>
      <c r="ED260" s="545"/>
      <c r="EE260" s="545"/>
      <c r="EF260" s="545"/>
      <c r="EG260" s="545"/>
      <c r="EH260" s="545"/>
      <c r="EI260" s="545"/>
      <c r="EJ260" s="545"/>
      <c r="EK260" s="545"/>
      <c r="EL260" s="545"/>
      <c r="EM260" s="545"/>
      <c r="EN260" s="545"/>
      <c r="EO260" s="545"/>
      <c r="EP260" s="545"/>
      <c r="EQ260" s="545"/>
      <c r="ER260" s="545"/>
      <c r="ES260" s="545"/>
      <c r="ET260" s="545"/>
      <c r="EU260" s="545"/>
      <c r="EV260" s="545"/>
      <c r="EW260" s="545"/>
      <c r="EX260" s="545"/>
      <c r="EY260" s="545"/>
      <c r="EZ260" s="545"/>
      <c r="FA260" s="545"/>
      <c r="FB260" s="545"/>
      <c r="FC260" s="545"/>
      <c r="FD260" s="545"/>
      <c r="FE260" s="545"/>
      <c r="FF260" s="545"/>
      <c r="FG260" s="545"/>
      <c r="FH260" s="545"/>
      <c r="FI260" s="545"/>
      <c r="FJ260" s="545"/>
      <c r="FK260" s="545"/>
      <c r="FL260" s="545"/>
      <c r="FM260" s="338"/>
      <c r="FN260" s="78"/>
      <c r="FO260" s="78"/>
      <c r="FP260" s="78"/>
      <c r="FQ260" s="78"/>
      <c r="FR260" s="78"/>
      <c r="FS260" s="78"/>
      <c r="FT260" s="78"/>
      <c r="FU260" s="78"/>
      <c r="FV260" s="78"/>
      <c r="FW260" s="78"/>
      <c r="FX260" s="78"/>
      <c r="FY260" s="32"/>
      <c r="FZ260" s="32"/>
      <c r="GA260" s="32"/>
      <c r="GB260" s="32"/>
      <c r="GC260" s="32"/>
      <c r="GD260" s="32"/>
      <c r="GE260" s="32"/>
      <c r="GF260" s="32"/>
      <c r="GG260" s="32"/>
      <c r="GH260" s="32"/>
      <c r="GI260" s="32"/>
      <c r="GJ260" s="32"/>
      <c r="GK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78"/>
      <c r="HO260" s="78"/>
      <c r="HP260" s="78"/>
      <c r="HQ260" s="13"/>
      <c r="HR260" s="13"/>
      <c r="HS260" s="13"/>
      <c r="HT260" s="13"/>
      <c r="HU260" s="13"/>
      <c r="HV260" s="13"/>
      <c r="HW260" s="13"/>
      <c r="HX260" s="13"/>
      <c r="HY260" s="13"/>
      <c r="HZ260" s="13"/>
      <c r="IA260" s="13"/>
    </row>
    <row r="261" spans="1:235" ht="16.5" customHeight="1">
      <c r="A261" s="1"/>
      <c r="B261" s="3"/>
      <c r="C261" s="3"/>
      <c r="D261" s="330" t="str">
        <f t="shared" ca="1" si="46"/>
        <v>`</v>
      </c>
      <c r="E261" s="545"/>
      <c r="F261" s="545"/>
      <c r="G261" s="545"/>
      <c r="H261" s="545"/>
      <c r="I261" s="545"/>
      <c r="J261" s="545"/>
      <c r="K261" s="545"/>
      <c r="L261" s="545"/>
      <c r="M261" s="545"/>
      <c r="N261" s="545"/>
      <c r="O261" s="545"/>
      <c r="P261" s="545"/>
      <c r="Q261" s="545"/>
      <c r="R261" s="545"/>
      <c r="S261" s="545"/>
      <c r="T261" s="545"/>
      <c r="U261" s="545"/>
      <c r="V261" s="545"/>
      <c r="W261" s="545"/>
      <c r="X261" s="545"/>
      <c r="Y261" s="545"/>
      <c r="Z261" s="545"/>
      <c r="AA261" s="545"/>
      <c r="AB261" s="545"/>
      <c r="AC261" s="545"/>
      <c r="AD261" s="545"/>
      <c r="AE261" s="545"/>
      <c r="AF261" s="545"/>
      <c r="AG261" s="545"/>
      <c r="AH261" s="545"/>
      <c r="AI261" s="545"/>
      <c r="AJ261" s="545"/>
      <c r="AK261" s="545"/>
      <c r="AL261" s="545"/>
      <c r="AM261" s="545"/>
      <c r="AN261" s="545"/>
      <c r="AO261" s="545"/>
      <c r="AP261" s="545"/>
      <c r="AQ261" s="545"/>
      <c r="AR261" s="545"/>
      <c r="AS261" s="545"/>
      <c r="AT261" s="545"/>
      <c r="AU261" s="545"/>
      <c r="AV261" s="545"/>
      <c r="AW261" s="545"/>
      <c r="AX261" s="545"/>
      <c r="AY261" s="545"/>
      <c r="AZ261" s="545"/>
      <c r="BA261" s="545"/>
      <c r="BB261" s="545"/>
      <c r="BC261" s="545"/>
      <c r="BD261" s="545"/>
      <c r="BE261" s="545"/>
      <c r="BF261" s="545"/>
      <c r="BG261" s="545"/>
      <c r="BH261" s="545"/>
      <c r="BI261" s="545"/>
      <c r="BJ261" s="545"/>
      <c r="BK261" s="545"/>
      <c r="BL261" s="545"/>
      <c r="BM261" s="545"/>
      <c r="BN261" s="545"/>
      <c r="BO261" s="545"/>
      <c r="BP261" s="545"/>
      <c r="BQ261" s="545"/>
      <c r="BR261" s="545"/>
      <c r="BS261" s="545"/>
      <c r="BT261" s="545"/>
      <c r="BU261" s="545"/>
      <c r="BV261" s="545"/>
      <c r="BW261" s="545"/>
      <c r="BX261" s="545"/>
      <c r="BY261" s="545"/>
      <c r="BZ261" s="545"/>
      <c r="CA261" s="545"/>
      <c r="CB261" s="545"/>
      <c r="CC261" s="545"/>
      <c r="CD261" s="545"/>
      <c r="CE261" s="545"/>
      <c r="CF261" s="545"/>
      <c r="CG261" s="545"/>
      <c r="CH261" s="545"/>
      <c r="CI261" s="545"/>
      <c r="CJ261" s="545"/>
      <c r="CK261" s="545"/>
      <c r="CL261" s="545"/>
      <c r="CM261" s="545"/>
      <c r="CN261" s="545"/>
      <c r="CO261" s="545"/>
      <c r="CP261" s="545"/>
      <c r="CQ261" s="545"/>
      <c r="CR261" s="545"/>
      <c r="CS261" s="545"/>
      <c r="CT261" s="545"/>
      <c r="CU261" s="545"/>
      <c r="CV261" s="545"/>
      <c r="CW261" s="545"/>
      <c r="CX261" s="545"/>
      <c r="CY261" s="545"/>
      <c r="CZ261" s="545"/>
      <c r="DA261" s="545"/>
      <c r="DB261" s="545"/>
      <c r="DC261" s="545"/>
      <c r="DD261" s="545"/>
      <c r="DE261" s="545"/>
      <c r="DF261" s="545"/>
      <c r="DG261" s="545"/>
      <c r="DH261" s="545"/>
      <c r="DI261" s="545"/>
      <c r="DJ261" s="545"/>
      <c r="DK261" s="545"/>
      <c r="DL261" s="545"/>
      <c r="DM261" s="545"/>
      <c r="DN261" s="545"/>
      <c r="DO261" s="545"/>
      <c r="DP261" s="545"/>
      <c r="DQ261" s="545"/>
      <c r="DR261" s="545"/>
      <c r="DS261" s="545"/>
      <c r="DT261" s="545"/>
      <c r="DU261" s="545"/>
      <c r="DV261" s="545"/>
      <c r="DW261" s="545"/>
      <c r="DX261" s="545"/>
      <c r="DY261" s="545"/>
      <c r="DZ261" s="545"/>
      <c r="EA261" s="545"/>
      <c r="EB261" s="545"/>
      <c r="EC261" s="545"/>
      <c r="ED261" s="545"/>
      <c r="EE261" s="545"/>
      <c r="EF261" s="545"/>
      <c r="EG261" s="545"/>
      <c r="EH261" s="545"/>
      <c r="EI261" s="545"/>
      <c r="EJ261" s="545"/>
      <c r="EK261" s="545"/>
      <c r="EL261" s="545"/>
      <c r="EM261" s="545"/>
      <c r="EN261" s="545"/>
      <c r="EO261" s="545"/>
      <c r="EP261" s="545"/>
      <c r="EQ261" s="545"/>
      <c r="ER261" s="545"/>
      <c r="ES261" s="545"/>
      <c r="ET261" s="545"/>
      <c r="EU261" s="545"/>
      <c r="EV261" s="545"/>
      <c r="EW261" s="545"/>
      <c r="EX261" s="545"/>
      <c r="EY261" s="545"/>
      <c r="EZ261" s="545"/>
      <c r="FA261" s="545"/>
      <c r="FB261" s="545"/>
      <c r="FC261" s="545"/>
      <c r="FD261" s="545"/>
      <c r="FE261" s="545"/>
      <c r="FF261" s="545"/>
      <c r="FG261" s="545"/>
      <c r="FH261" s="545"/>
      <c r="FI261" s="545"/>
      <c r="FJ261" s="545"/>
      <c r="FK261" s="545"/>
      <c r="FL261" s="545"/>
      <c r="FM261" s="338"/>
      <c r="FN261" s="78"/>
      <c r="FO261" s="78"/>
      <c r="FP261" s="78"/>
      <c r="FQ261" s="78"/>
      <c r="FR261" s="78"/>
      <c r="FS261" s="78"/>
      <c r="FT261" s="78"/>
      <c r="FU261" s="78"/>
      <c r="FV261" s="78"/>
      <c r="FW261" s="78"/>
      <c r="FX261" s="78"/>
      <c r="FY261" s="32"/>
      <c r="FZ261" s="32"/>
      <c r="GA261" s="32"/>
      <c r="GB261" s="32"/>
      <c r="GC261" s="32"/>
      <c r="GD261" s="32"/>
      <c r="GE261" s="32"/>
      <c r="GF261" s="32"/>
      <c r="GG261" s="32"/>
      <c r="GH261" s="32"/>
      <c r="GI261" s="32"/>
      <c r="GJ261" s="32"/>
      <c r="GK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78"/>
      <c r="HO261" s="78"/>
      <c r="HP261" s="78"/>
      <c r="HQ261" s="13"/>
      <c r="HR261" s="13"/>
      <c r="HS261" s="13"/>
      <c r="HT261" s="13"/>
      <c r="HU261" s="13"/>
      <c r="HV261" s="13"/>
      <c r="HW261" s="13"/>
      <c r="HX261" s="13"/>
      <c r="HY261" s="13"/>
      <c r="HZ261" s="13"/>
      <c r="IA261" s="13"/>
    </row>
    <row r="262" spans="1:235" ht="16.5" customHeight="1">
      <c r="A262" s="1"/>
      <c r="B262" s="3"/>
      <c r="C262" s="3"/>
      <c r="D262" s="330" t="str">
        <f t="shared" ca="1" si="46"/>
        <v>`</v>
      </c>
      <c r="E262" s="545"/>
      <c r="F262" s="545"/>
      <c r="G262" s="545"/>
      <c r="H262" s="545"/>
      <c r="I262" s="545"/>
      <c r="J262" s="545"/>
      <c r="K262" s="545"/>
      <c r="L262" s="545"/>
      <c r="M262" s="545"/>
      <c r="N262" s="545"/>
      <c r="O262" s="545"/>
      <c r="P262" s="545"/>
      <c r="Q262" s="545"/>
      <c r="R262" s="545"/>
      <c r="S262" s="545"/>
      <c r="T262" s="545"/>
      <c r="U262" s="545"/>
      <c r="V262" s="545"/>
      <c r="W262" s="545"/>
      <c r="X262" s="545"/>
      <c r="Y262" s="545"/>
      <c r="Z262" s="545"/>
      <c r="AA262" s="545"/>
      <c r="AB262" s="545"/>
      <c r="AC262" s="545"/>
      <c r="AD262" s="545"/>
      <c r="AE262" s="545"/>
      <c r="AF262" s="545"/>
      <c r="AG262" s="545"/>
      <c r="AH262" s="545"/>
      <c r="AI262" s="545"/>
      <c r="AJ262" s="545"/>
      <c r="AK262" s="545"/>
      <c r="AL262" s="545"/>
      <c r="AM262" s="545"/>
      <c r="AN262" s="545"/>
      <c r="AO262" s="545"/>
      <c r="AP262" s="545"/>
      <c r="AQ262" s="545"/>
      <c r="AR262" s="545"/>
      <c r="AS262" s="545"/>
      <c r="AT262" s="545"/>
      <c r="AU262" s="545"/>
      <c r="AV262" s="545"/>
      <c r="AW262" s="545"/>
      <c r="AX262" s="545"/>
      <c r="AY262" s="545"/>
      <c r="AZ262" s="545"/>
      <c r="BA262" s="545"/>
      <c r="BB262" s="545"/>
      <c r="BC262" s="545"/>
      <c r="BD262" s="545"/>
      <c r="BE262" s="545"/>
      <c r="BF262" s="545"/>
      <c r="BG262" s="545"/>
      <c r="BH262" s="545"/>
      <c r="BI262" s="545"/>
      <c r="BJ262" s="545"/>
      <c r="BK262" s="545"/>
      <c r="BL262" s="545"/>
      <c r="BM262" s="545"/>
      <c r="BN262" s="545"/>
      <c r="BO262" s="545"/>
      <c r="BP262" s="545"/>
      <c r="BQ262" s="545"/>
      <c r="BR262" s="545"/>
      <c r="BS262" s="545"/>
      <c r="BT262" s="545"/>
      <c r="BU262" s="545"/>
      <c r="BV262" s="545"/>
      <c r="BW262" s="545"/>
      <c r="BX262" s="545"/>
      <c r="BY262" s="545"/>
      <c r="BZ262" s="545"/>
      <c r="CA262" s="545"/>
      <c r="CB262" s="545"/>
      <c r="CC262" s="545"/>
      <c r="CD262" s="545"/>
      <c r="CE262" s="545"/>
      <c r="CF262" s="545"/>
      <c r="CG262" s="545"/>
      <c r="CH262" s="545"/>
      <c r="CI262" s="545"/>
      <c r="CJ262" s="545"/>
      <c r="CK262" s="545"/>
      <c r="CL262" s="545"/>
      <c r="CM262" s="545"/>
      <c r="CN262" s="545"/>
      <c r="CO262" s="545"/>
      <c r="CP262" s="545"/>
      <c r="CQ262" s="545"/>
      <c r="CR262" s="545"/>
      <c r="CS262" s="545"/>
      <c r="CT262" s="545"/>
      <c r="CU262" s="545"/>
      <c r="CV262" s="545"/>
      <c r="CW262" s="545"/>
      <c r="CX262" s="545"/>
      <c r="CY262" s="545"/>
      <c r="CZ262" s="545"/>
      <c r="DA262" s="545"/>
      <c r="DB262" s="545"/>
      <c r="DC262" s="545"/>
      <c r="DD262" s="545"/>
      <c r="DE262" s="545"/>
      <c r="DF262" s="545"/>
      <c r="DG262" s="545"/>
      <c r="DH262" s="545"/>
      <c r="DI262" s="545"/>
      <c r="DJ262" s="545"/>
      <c r="DK262" s="545"/>
      <c r="DL262" s="545"/>
      <c r="DM262" s="545"/>
      <c r="DN262" s="545"/>
      <c r="DO262" s="545"/>
      <c r="DP262" s="545"/>
      <c r="DQ262" s="545"/>
      <c r="DR262" s="545"/>
      <c r="DS262" s="545"/>
      <c r="DT262" s="545"/>
      <c r="DU262" s="545"/>
      <c r="DV262" s="545"/>
      <c r="DW262" s="545"/>
      <c r="DX262" s="545"/>
      <c r="DY262" s="545"/>
      <c r="DZ262" s="545"/>
      <c r="EA262" s="545"/>
      <c r="EB262" s="545"/>
      <c r="EC262" s="545"/>
      <c r="ED262" s="545"/>
      <c r="EE262" s="545"/>
      <c r="EF262" s="545"/>
      <c r="EG262" s="545"/>
      <c r="EH262" s="545"/>
      <c r="EI262" s="545"/>
      <c r="EJ262" s="545"/>
      <c r="EK262" s="545"/>
      <c r="EL262" s="545"/>
      <c r="EM262" s="545"/>
      <c r="EN262" s="545"/>
      <c r="EO262" s="545"/>
      <c r="EP262" s="545"/>
      <c r="EQ262" s="545"/>
      <c r="ER262" s="545"/>
      <c r="ES262" s="545"/>
      <c r="ET262" s="545"/>
      <c r="EU262" s="545"/>
      <c r="EV262" s="545"/>
      <c r="EW262" s="545"/>
      <c r="EX262" s="545"/>
      <c r="EY262" s="545"/>
      <c r="EZ262" s="545"/>
      <c r="FA262" s="545"/>
      <c r="FB262" s="545"/>
      <c r="FC262" s="545"/>
      <c r="FD262" s="545"/>
      <c r="FE262" s="545"/>
      <c r="FF262" s="545"/>
      <c r="FG262" s="545"/>
      <c r="FH262" s="545"/>
      <c r="FI262" s="545"/>
      <c r="FJ262" s="545"/>
      <c r="FK262" s="545"/>
      <c r="FL262" s="545"/>
      <c r="FM262" s="338"/>
      <c r="FN262" s="78"/>
      <c r="FO262" s="78"/>
      <c r="FP262" s="78"/>
      <c r="FQ262" s="78"/>
      <c r="FR262" s="78"/>
      <c r="FS262" s="78"/>
      <c r="FT262" s="78"/>
      <c r="FU262" s="78"/>
      <c r="FV262" s="78"/>
      <c r="FW262" s="78"/>
      <c r="FX262" s="78"/>
      <c r="FY262" s="32"/>
      <c r="FZ262" s="32"/>
      <c r="GA262" s="32"/>
      <c r="GB262" s="32"/>
      <c r="GC262" s="32"/>
      <c r="GD262" s="32"/>
      <c r="GE262" s="32"/>
      <c r="GF262" s="32"/>
      <c r="GG262" s="32"/>
      <c r="GH262" s="32"/>
      <c r="GI262" s="32"/>
      <c r="GJ262" s="32"/>
      <c r="GK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78"/>
      <c r="HO262" s="78"/>
      <c r="HP262" s="78"/>
      <c r="HQ262" s="13"/>
      <c r="HR262" s="13"/>
      <c r="HS262" s="13"/>
      <c r="HT262" s="13"/>
      <c r="HU262" s="13"/>
      <c r="HV262" s="13"/>
      <c r="HW262" s="13"/>
      <c r="HX262" s="13"/>
      <c r="HY262" s="13"/>
      <c r="HZ262" s="13"/>
      <c r="IA262" s="13"/>
    </row>
    <row r="263" spans="1:235" ht="16.5" customHeight="1">
      <c r="A263" s="1"/>
      <c r="B263" s="3"/>
      <c r="C263" s="3"/>
      <c r="D263" s="330" t="str">
        <f t="shared" ca="1" si="46"/>
        <v>`</v>
      </c>
      <c r="E263" s="545"/>
      <c r="F263" s="545"/>
      <c r="G263" s="545"/>
      <c r="H263" s="545"/>
      <c r="I263" s="545"/>
      <c r="J263" s="545"/>
      <c r="K263" s="545"/>
      <c r="L263" s="545"/>
      <c r="M263" s="545"/>
      <c r="N263" s="545"/>
      <c r="O263" s="545"/>
      <c r="P263" s="545"/>
      <c r="Q263" s="545"/>
      <c r="R263" s="545"/>
      <c r="S263" s="545"/>
      <c r="T263" s="545"/>
      <c r="U263" s="545"/>
      <c r="V263" s="545"/>
      <c r="W263" s="545"/>
      <c r="X263" s="545"/>
      <c r="Y263" s="545"/>
      <c r="Z263" s="545"/>
      <c r="AA263" s="545"/>
      <c r="AB263" s="545"/>
      <c r="AC263" s="545"/>
      <c r="AD263" s="545"/>
      <c r="AE263" s="545"/>
      <c r="AF263" s="545"/>
      <c r="AG263" s="545"/>
      <c r="AH263" s="545"/>
      <c r="AI263" s="545"/>
      <c r="AJ263" s="545"/>
      <c r="AK263" s="545"/>
      <c r="AL263" s="545"/>
      <c r="AM263" s="545"/>
      <c r="AN263" s="545"/>
      <c r="AO263" s="545"/>
      <c r="AP263" s="545"/>
      <c r="AQ263" s="545"/>
      <c r="AR263" s="545"/>
      <c r="AS263" s="545"/>
      <c r="AT263" s="545"/>
      <c r="AU263" s="545"/>
      <c r="AV263" s="545"/>
      <c r="AW263" s="545"/>
      <c r="AX263" s="545"/>
      <c r="AY263" s="545"/>
      <c r="AZ263" s="545"/>
      <c r="BA263" s="545"/>
      <c r="BB263" s="545"/>
      <c r="BC263" s="545"/>
      <c r="BD263" s="545"/>
      <c r="BE263" s="545"/>
      <c r="BF263" s="545"/>
      <c r="BG263" s="545"/>
      <c r="BH263" s="545"/>
      <c r="BI263" s="545"/>
      <c r="BJ263" s="545"/>
      <c r="BK263" s="545"/>
      <c r="BL263" s="545"/>
      <c r="BM263" s="545"/>
      <c r="BN263" s="545"/>
      <c r="BO263" s="545"/>
      <c r="BP263" s="545"/>
      <c r="BQ263" s="545"/>
      <c r="BR263" s="545"/>
      <c r="BS263" s="545"/>
      <c r="BT263" s="545"/>
      <c r="BU263" s="545"/>
      <c r="BV263" s="545"/>
      <c r="BW263" s="545"/>
      <c r="BX263" s="545"/>
      <c r="BY263" s="545"/>
      <c r="BZ263" s="545"/>
      <c r="CA263" s="545"/>
      <c r="CB263" s="545"/>
      <c r="CC263" s="545"/>
      <c r="CD263" s="545"/>
      <c r="CE263" s="545"/>
      <c r="CF263" s="545"/>
      <c r="CG263" s="545"/>
      <c r="CH263" s="545"/>
      <c r="CI263" s="545"/>
      <c r="CJ263" s="545"/>
      <c r="CK263" s="545"/>
      <c r="CL263" s="545"/>
      <c r="CM263" s="545"/>
      <c r="CN263" s="545"/>
      <c r="CO263" s="545"/>
      <c r="CP263" s="545"/>
      <c r="CQ263" s="545"/>
      <c r="CR263" s="545"/>
      <c r="CS263" s="545"/>
      <c r="CT263" s="545"/>
      <c r="CU263" s="545"/>
      <c r="CV263" s="545"/>
      <c r="CW263" s="545"/>
      <c r="CX263" s="545"/>
      <c r="CY263" s="545"/>
      <c r="CZ263" s="545"/>
      <c r="DA263" s="545"/>
      <c r="DB263" s="545"/>
      <c r="DC263" s="545"/>
      <c r="DD263" s="545"/>
      <c r="DE263" s="545"/>
      <c r="DF263" s="545"/>
      <c r="DG263" s="545"/>
      <c r="DH263" s="545"/>
      <c r="DI263" s="545"/>
      <c r="DJ263" s="545"/>
      <c r="DK263" s="545"/>
      <c r="DL263" s="545"/>
      <c r="DM263" s="545"/>
      <c r="DN263" s="545"/>
      <c r="DO263" s="545"/>
      <c r="DP263" s="545"/>
      <c r="DQ263" s="545"/>
      <c r="DR263" s="545"/>
      <c r="DS263" s="545"/>
      <c r="DT263" s="545"/>
      <c r="DU263" s="545"/>
      <c r="DV263" s="545"/>
      <c r="DW263" s="545"/>
      <c r="DX263" s="545"/>
      <c r="DY263" s="545"/>
      <c r="DZ263" s="545"/>
      <c r="EA263" s="545"/>
      <c r="EB263" s="545"/>
      <c r="EC263" s="545"/>
      <c r="ED263" s="545"/>
      <c r="EE263" s="545"/>
      <c r="EF263" s="545"/>
      <c r="EG263" s="545"/>
      <c r="EH263" s="545"/>
      <c r="EI263" s="545"/>
      <c r="EJ263" s="545"/>
      <c r="EK263" s="545"/>
      <c r="EL263" s="545"/>
      <c r="EM263" s="545"/>
      <c r="EN263" s="545"/>
      <c r="EO263" s="545"/>
      <c r="EP263" s="545"/>
      <c r="EQ263" s="545"/>
      <c r="ER263" s="545"/>
      <c r="ES263" s="545"/>
      <c r="ET263" s="545"/>
      <c r="EU263" s="545"/>
      <c r="EV263" s="545"/>
      <c r="EW263" s="545"/>
      <c r="EX263" s="545"/>
      <c r="EY263" s="545"/>
      <c r="EZ263" s="545"/>
      <c r="FA263" s="545"/>
      <c r="FB263" s="545"/>
      <c r="FC263" s="545"/>
      <c r="FD263" s="545"/>
      <c r="FE263" s="545"/>
      <c r="FF263" s="545"/>
      <c r="FG263" s="545"/>
      <c r="FH263" s="545"/>
      <c r="FI263" s="545"/>
      <c r="FJ263" s="545"/>
      <c r="FK263" s="545"/>
      <c r="FL263" s="545"/>
      <c r="FM263" s="338"/>
      <c r="FN263" s="78"/>
      <c r="FO263" s="78"/>
      <c r="FP263" s="78"/>
      <c r="FQ263" s="78"/>
      <c r="FR263" s="78"/>
      <c r="FS263" s="78"/>
      <c r="FT263" s="78"/>
      <c r="FU263" s="78"/>
      <c r="FV263" s="78"/>
      <c r="FW263" s="78"/>
      <c r="FX263" s="78"/>
      <c r="FY263" s="32"/>
      <c r="FZ263" s="32"/>
      <c r="GA263" s="32"/>
      <c r="GB263" s="32"/>
      <c r="GC263" s="32"/>
      <c r="GD263" s="32"/>
      <c r="GE263" s="32"/>
      <c r="GF263" s="32"/>
      <c r="GG263" s="32"/>
      <c r="GH263" s="32"/>
      <c r="GI263" s="32"/>
      <c r="GJ263" s="32"/>
      <c r="GK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78"/>
      <c r="HO263" s="78"/>
      <c r="HP263" s="78"/>
      <c r="HQ263" s="13"/>
      <c r="HR263" s="13"/>
      <c r="HS263" s="13"/>
      <c r="HT263" s="13"/>
      <c r="HU263" s="13"/>
      <c r="HV263" s="13"/>
      <c r="HW263" s="13"/>
      <c r="HX263" s="13"/>
      <c r="HY263" s="13"/>
      <c r="HZ263" s="13"/>
      <c r="IA263" s="13"/>
    </row>
    <row r="264" spans="1:235" ht="16.5" customHeight="1">
      <c r="A264" s="1"/>
      <c r="B264" s="3"/>
      <c r="C264" s="3"/>
      <c r="D264" s="330" t="str">
        <f t="shared" ca="1" si="46"/>
        <v>`</v>
      </c>
      <c r="E264" s="545"/>
      <c r="F264" s="545"/>
      <c r="G264" s="545"/>
      <c r="H264" s="545"/>
      <c r="I264" s="545"/>
      <c r="J264" s="545"/>
      <c r="K264" s="545"/>
      <c r="L264" s="545"/>
      <c r="M264" s="545"/>
      <c r="N264" s="545"/>
      <c r="O264" s="545"/>
      <c r="P264" s="545"/>
      <c r="Q264" s="545"/>
      <c r="R264" s="545"/>
      <c r="S264" s="545"/>
      <c r="T264" s="545"/>
      <c r="U264" s="545"/>
      <c r="V264" s="545"/>
      <c r="W264" s="545"/>
      <c r="X264" s="545"/>
      <c r="Y264" s="545"/>
      <c r="Z264" s="545"/>
      <c r="AA264" s="545"/>
      <c r="AB264" s="545"/>
      <c r="AC264" s="545"/>
      <c r="AD264" s="545"/>
      <c r="AE264" s="545"/>
      <c r="AF264" s="545"/>
      <c r="AG264" s="545"/>
      <c r="AH264" s="545"/>
      <c r="AI264" s="545"/>
      <c r="AJ264" s="545"/>
      <c r="AK264" s="545"/>
      <c r="AL264" s="545"/>
      <c r="AM264" s="545"/>
      <c r="AN264" s="545"/>
      <c r="AO264" s="545"/>
      <c r="AP264" s="545"/>
      <c r="AQ264" s="545"/>
      <c r="AR264" s="545"/>
      <c r="AS264" s="545"/>
      <c r="AT264" s="545"/>
      <c r="AU264" s="545"/>
      <c r="AV264" s="545"/>
      <c r="AW264" s="545"/>
      <c r="AX264" s="545"/>
      <c r="AY264" s="545"/>
      <c r="AZ264" s="545"/>
      <c r="BA264" s="545"/>
      <c r="BB264" s="545"/>
      <c r="BC264" s="545"/>
      <c r="BD264" s="545"/>
      <c r="BE264" s="545"/>
      <c r="BF264" s="545"/>
      <c r="BG264" s="545"/>
      <c r="BH264" s="545"/>
      <c r="BI264" s="545"/>
      <c r="BJ264" s="545"/>
      <c r="BK264" s="545"/>
      <c r="BL264" s="545"/>
      <c r="BM264" s="545"/>
      <c r="BN264" s="545"/>
      <c r="BO264" s="545"/>
      <c r="BP264" s="545"/>
      <c r="BQ264" s="545"/>
      <c r="BR264" s="545"/>
      <c r="BS264" s="545"/>
      <c r="BT264" s="545"/>
      <c r="BU264" s="545"/>
      <c r="BV264" s="545"/>
      <c r="BW264" s="545"/>
      <c r="BX264" s="545"/>
      <c r="BY264" s="545"/>
      <c r="BZ264" s="545"/>
      <c r="CA264" s="545"/>
      <c r="CB264" s="545"/>
      <c r="CC264" s="545"/>
      <c r="CD264" s="545"/>
      <c r="CE264" s="545"/>
      <c r="CF264" s="545"/>
      <c r="CG264" s="545"/>
      <c r="CH264" s="545"/>
      <c r="CI264" s="545"/>
      <c r="CJ264" s="545"/>
      <c r="CK264" s="545"/>
      <c r="CL264" s="545"/>
      <c r="CM264" s="545"/>
      <c r="CN264" s="545"/>
      <c r="CO264" s="545"/>
      <c r="CP264" s="545"/>
      <c r="CQ264" s="545"/>
      <c r="CR264" s="545"/>
      <c r="CS264" s="545"/>
      <c r="CT264" s="545"/>
      <c r="CU264" s="545"/>
      <c r="CV264" s="545"/>
      <c r="CW264" s="545"/>
      <c r="CX264" s="545"/>
      <c r="CY264" s="545"/>
      <c r="CZ264" s="545"/>
      <c r="DA264" s="545"/>
      <c r="DB264" s="545"/>
      <c r="DC264" s="545"/>
      <c r="DD264" s="545"/>
      <c r="DE264" s="545"/>
      <c r="DF264" s="545"/>
      <c r="DG264" s="545"/>
      <c r="DH264" s="545"/>
      <c r="DI264" s="545"/>
      <c r="DJ264" s="545"/>
      <c r="DK264" s="545"/>
      <c r="DL264" s="545"/>
      <c r="DM264" s="545"/>
      <c r="DN264" s="545"/>
      <c r="DO264" s="545"/>
      <c r="DP264" s="545"/>
      <c r="DQ264" s="545"/>
      <c r="DR264" s="545"/>
      <c r="DS264" s="545"/>
      <c r="DT264" s="545"/>
      <c r="DU264" s="545"/>
      <c r="DV264" s="545"/>
      <c r="DW264" s="545"/>
      <c r="DX264" s="545"/>
      <c r="DY264" s="545"/>
      <c r="DZ264" s="545"/>
      <c r="EA264" s="545"/>
      <c r="EB264" s="545"/>
      <c r="EC264" s="545"/>
      <c r="ED264" s="545"/>
      <c r="EE264" s="545"/>
      <c r="EF264" s="545"/>
      <c r="EG264" s="545"/>
      <c r="EH264" s="545"/>
      <c r="EI264" s="545"/>
      <c r="EJ264" s="545"/>
      <c r="EK264" s="545"/>
      <c r="EL264" s="545"/>
      <c r="EM264" s="545"/>
      <c r="EN264" s="545"/>
      <c r="EO264" s="545"/>
      <c r="EP264" s="545"/>
      <c r="EQ264" s="545"/>
      <c r="ER264" s="545"/>
      <c r="ES264" s="545"/>
      <c r="ET264" s="545"/>
      <c r="EU264" s="545"/>
      <c r="EV264" s="545"/>
      <c r="EW264" s="545"/>
      <c r="EX264" s="545"/>
      <c r="EY264" s="545"/>
      <c r="EZ264" s="545"/>
      <c r="FA264" s="545"/>
      <c r="FB264" s="545"/>
      <c r="FC264" s="545"/>
      <c r="FD264" s="545"/>
      <c r="FE264" s="545"/>
      <c r="FF264" s="545"/>
      <c r="FG264" s="545"/>
      <c r="FH264" s="545"/>
      <c r="FI264" s="545"/>
      <c r="FJ264" s="545"/>
      <c r="FK264" s="545"/>
      <c r="FL264" s="545"/>
      <c r="FM264" s="338"/>
      <c r="FN264" s="78"/>
      <c r="FO264" s="78"/>
      <c r="FP264" s="78"/>
      <c r="FQ264" s="78"/>
      <c r="FR264" s="78"/>
      <c r="FS264" s="78"/>
      <c r="FT264" s="78"/>
      <c r="FU264" s="78"/>
      <c r="FV264" s="78"/>
      <c r="FW264" s="78"/>
      <c r="FX264" s="78"/>
      <c r="FY264" s="32"/>
      <c r="FZ264" s="32"/>
      <c r="GA264" s="32"/>
      <c r="GB264" s="32"/>
      <c r="GC264" s="32"/>
      <c r="GD264" s="32"/>
      <c r="GE264" s="32"/>
      <c r="GF264" s="32"/>
      <c r="GG264" s="32"/>
      <c r="GH264" s="32"/>
      <c r="GI264" s="32"/>
      <c r="GJ264" s="32"/>
      <c r="GK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78"/>
      <c r="HO264" s="78"/>
      <c r="HP264" s="78"/>
      <c r="HQ264" s="13"/>
      <c r="HR264" s="13"/>
      <c r="HS264" s="13"/>
      <c r="HT264" s="13"/>
      <c r="HU264" s="13"/>
      <c r="HV264" s="13"/>
      <c r="HW264" s="13"/>
      <c r="HX264" s="13"/>
      <c r="HY264" s="13"/>
      <c r="HZ264" s="13"/>
      <c r="IA264" s="13"/>
    </row>
    <row r="265" spans="1:235" ht="16.5" customHeight="1">
      <c r="A265" s="1"/>
      <c r="B265" s="3"/>
      <c r="C265" s="3"/>
      <c r="D265" s="330" t="str">
        <f t="shared" ca="1" si="46"/>
        <v>`</v>
      </c>
      <c r="E265" s="545"/>
      <c r="F265" s="545"/>
      <c r="G265" s="545"/>
      <c r="H265" s="545"/>
      <c r="I265" s="545"/>
      <c r="J265" s="545"/>
      <c r="K265" s="545"/>
      <c r="L265" s="545"/>
      <c r="M265" s="545"/>
      <c r="N265" s="545"/>
      <c r="O265" s="545"/>
      <c r="P265" s="545"/>
      <c r="Q265" s="545"/>
      <c r="R265" s="545"/>
      <c r="S265" s="545"/>
      <c r="T265" s="545"/>
      <c r="U265" s="545"/>
      <c r="V265" s="545"/>
      <c r="W265" s="545"/>
      <c r="X265" s="545"/>
      <c r="Y265" s="545"/>
      <c r="Z265" s="545"/>
      <c r="AA265" s="545"/>
      <c r="AB265" s="545"/>
      <c r="AC265" s="545"/>
      <c r="AD265" s="545"/>
      <c r="AE265" s="545"/>
      <c r="AF265" s="545"/>
      <c r="AG265" s="545"/>
      <c r="AH265" s="545"/>
      <c r="AI265" s="545"/>
      <c r="AJ265" s="545"/>
      <c r="AK265" s="545"/>
      <c r="AL265" s="545"/>
      <c r="AM265" s="545"/>
      <c r="AN265" s="545"/>
      <c r="AO265" s="545"/>
      <c r="AP265" s="545"/>
      <c r="AQ265" s="545"/>
      <c r="AR265" s="545"/>
      <c r="AS265" s="545"/>
      <c r="AT265" s="545"/>
      <c r="AU265" s="545"/>
      <c r="AV265" s="545"/>
      <c r="AW265" s="545"/>
      <c r="AX265" s="545"/>
      <c r="AY265" s="545"/>
      <c r="AZ265" s="545"/>
      <c r="BA265" s="545"/>
      <c r="BB265" s="545"/>
      <c r="BC265" s="545"/>
      <c r="BD265" s="545"/>
      <c r="BE265" s="545"/>
      <c r="BF265" s="545"/>
      <c r="BG265" s="545"/>
      <c r="BH265" s="545"/>
      <c r="BI265" s="545"/>
      <c r="BJ265" s="545"/>
      <c r="BK265" s="545"/>
      <c r="BL265" s="545"/>
      <c r="BM265" s="545"/>
      <c r="BN265" s="545"/>
      <c r="BO265" s="545"/>
      <c r="BP265" s="545"/>
      <c r="BQ265" s="545"/>
      <c r="BR265" s="545"/>
      <c r="BS265" s="545"/>
      <c r="BT265" s="545"/>
      <c r="BU265" s="545"/>
      <c r="BV265" s="545"/>
      <c r="BW265" s="545"/>
      <c r="BX265" s="545"/>
      <c r="BY265" s="545"/>
      <c r="BZ265" s="545"/>
      <c r="CA265" s="545"/>
      <c r="CB265" s="545"/>
      <c r="CC265" s="545"/>
      <c r="CD265" s="545"/>
      <c r="CE265" s="545"/>
      <c r="CF265" s="545"/>
      <c r="CG265" s="545"/>
      <c r="CH265" s="545"/>
      <c r="CI265" s="545"/>
      <c r="CJ265" s="545"/>
      <c r="CK265" s="545"/>
      <c r="CL265" s="545"/>
      <c r="CM265" s="545"/>
      <c r="CN265" s="545"/>
      <c r="CO265" s="545"/>
      <c r="CP265" s="545"/>
      <c r="CQ265" s="545"/>
      <c r="CR265" s="545"/>
      <c r="CS265" s="545"/>
      <c r="CT265" s="545"/>
      <c r="CU265" s="545"/>
      <c r="CV265" s="545"/>
      <c r="CW265" s="545"/>
      <c r="CX265" s="545"/>
      <c r="CY265" s="545"/>
      <c r="CZ265" s="545"/>
      <c r="DA265" s="545"/>
      <c r="DB265" s="545"/>
      <c r="DC265" s="545"/>
      <c r="DD265" s="545"/>
      <c r="DE265" s="545"/>
      <c r="DF265" s="545"/>
      <c r="DG265" s="545"/>
      <c r="DH265" s="545"/>
      <c r="DI265" s="545"/>
      <c r="DJ265" s="545"/>
      <c r="DK265" s="545"/>
      <c r="DL265" s="545"/>
      <c r="DM265" s="545"/>
      <c r="DN265" s="545"/>
      <c r="DO265" s="545"/>
      <c r="DP265" s="545"/>
      <c r="DQ265" s="545"/>
      <c r="DR265" s="545"/>
      <c r="DS265" s="545"/>
      <c r="DT265" s="545"/>
      <c r="DU265" s="545"/>
      <c r="DV265" s="545"/>
      <c r="DW265" s="545"/>
      <c r="DX265" s="545"/>
      <c r="DY265" s="545"/>
      <c r="DZ265" s="545"/>
      <c r="EA265" s="545"/>
      <c r="EB265" s="545"/>
      <c r="EC265" s="545"/>
      <c r="ED265" s="545"/>
      <c r="EE265" s="545"/>
      <c r="EF265" s="545"/>
      <c r="EG265" s="545"/>
      <c r="EH265" s="545"/>
      <c r="EI265" s="545"/>
      <c r="EJ265" s="545"/>
      <c r="EK265" s="545"/>
      <c r="EL265" s="545"/>
      <c r="EM265" s="545"/>
      <c r="EN265" s="545"/>
      <c r="EO265" s="545"/>
      <c r="EP265" s="545"/>
      <c r="EQ265" s="545"/>
      <c r="ER265" s="545"/>
      <c r="ES265" s="545"/>
      <c r="ET265" s="545"/>
      <c r="EU265" s="545"/>
      <c r="EV265" s="545"/>
      <c r="EW265" s="545"/>
      <c r="EX265" s="545"/>
      <c r="EY265" s="545"/>
      <c r="EZ265" s="545"/>
      <c r="FA265" s="545"/>
      <c r="FB265" s="545"/>
      <c r="FC265" s="545"/>
      <c r="FD265" s="545"/>
      <c r="FE265" s="545"/>
      <c r="FF265" s="545"/>
      <c r="FG265" s="545"/>
      <c r="FH265" s="545"/>
      <c r="FI265" s="545"/>
      <c r="FJ265" s="545"/>
      <c r="FK265" s="545"/>
      <c r="FL265" s="545"/>
      <c r="FM265" s="338"/>
      <c r="FN265" s="78"/>
      <c r="FO265" s="78"/>
      <c r="FP265" s="78"/>
      <c r="FQ265" s="78"/>
      <c r="FR265" s="78"/>
      <c r="FS265" s="78"/>
      <c r="FT265" s="78"/>
      <c r="FU265" s="78"/>
      <c r="FV265" s="78"/>
      <c r="FW265" s="78"/>
      <c r="FX265" s="78"/>
      <c r="FY265" s="32"/>
      <c r="FZ265" s="32"/>
      <c r="GA265" s="32"/>
      <c r="GB265" s="32"/>
      <c r="GC265" s="32"/>
      <c r="GD265" s="32"/>
      <c r="GE265" s="32"/>
      <c r="GF265" s="32"/>
      <c r="GG265" s="32"/>
      <c r="GH265" s="32"/>
      <c r="GI265" s="32"/>
      <c r="GJ265" s="32"/>
      <c r="GK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78"/>
      <c r="HO265" s="78"/>
      <c r="HP265" s="78"/>
      <c r="HQ265" s="13"/>
      <c r="HR265" s="13"/>
      <c r="HS265" s="13"/>
      <c r="HT265" s="13"/>
      <c r="HU265" s="13"/>
      <c r="HV265" s="13"/>
      <c r="HW265" s="13"/>
      <c r="HX265" s="13"/>
      <c r="HY265" s="13"/>
      <c r="HZ265" s="13"/>
      <c r="IA265" s="13"/>
    </row>
    <row r="266" spans="1:235" ht="16.5" customHeight="1">
      <c r="A266" s="1"/>
      <c r="B266" s="3"/>
      <c r="C266" s="3"/>
      <c r="D266" s="330" t="str">
        <f t="shared" ca="1" si="46"/>
        <v>`</v>
      </c>
      <c r="E266" s="545"/>
      <c r="F266" s="545"/>
      <c r="G266" s="545"/>
      <c r="H266" s="545"/>
      <c r="I266" s="545"/>
      <c r="J266" s="545"/>
      <c r="K266" s="545"/>
      <c r="L266" s="545"/>
      <c r="M266" s="545"/>
      <c r="N266" s="545"/>
      <c r="O266" s="545"/>
      <c r="P266" s="545"/>
      <c r="Q266" s="545"/>
      <c r="R266" s="545"/>
      <c r="S266" s="545"/>
      <c r="T266" s="545"/>
      <c r="U266" s="545"/>
      <c r="V266" s="545"/>
      <c r="W266" s="545"/>
      <c r="X266" s="545"/>
      <c r="Y266" s="545"/>
      <c r="Z266" s="545"/>
      <c r="AA266" s="545"/>
      <c r="AB266" s="545"/>
      <c r="AC266" s="545"/>
      <c r="AD266" s="545"/>
      <c r="AE266" s="545"/>
      <c r="AF266" s="545"/>
      <c r="AG266" s="545"/>
      <c r="AH266" s="545"/>
      <c r="AI266" s="545"/>
      <c r="AJ266" s="545"/>
      <c r="AK266" s="545"/>
      <c r="AL266" s="545"/>
      <c r="AM266" s="545"/>
      <c r="AN266" s="545"/>
      <c r="AO266" s="545"/>
      <c r="AP266" s="545"/>
      <c r="AQ266" s="545"/>
      <c r="AR266" s="545"/>
      <c r="AS266" s="545"/>
      <c r="AT266" s="545"/>
      <c r="AU266" s="545"/>
      <c r="AV266" s="545"/>
      <c r="AW266" s="545"/>
      <c r="AX266" s="545"/>
      <c r="AY266" s="545"/>
      <c r="AZ266" s="545"/>
      <c r="BA266" s="545"/>
      <c r="BB266" s="545"/>
      <c r="BC266" s="545"/>
      <c r="BD266" s="545"/>
      <c r="BE266" s="545"/>
      <c r="BF266" s="545"/>
      <c r="BG266" s="545"/>
      <c r="BH266" s="545"/>
      <c r="BI266" s="545"/>
      <c r="BJ266" s="545"/>
      <c r="BK266" s="545"/>
      <c r="BL266" s="545"/>
      <c r="BM266" s="545"/>
      <c r="BN266" s="545"/>
      <c r="BO266" s="545"/>
      <c r="BP266" s="545"/>
      <c r="BQ266" s="545"/>
      <c r="BR266" s="545"/>
      <c r="BS266" s="545"/>
      <c r="BT266" s="545"/>
      <c r="BU266" s="545"/>
      <c r="BV266" s="545"/>
      <c r="BW266" s="545"/>
      <c r="BX266" s="545"/>
      <c r="BY266" s="545"/>
      <c r="BZ266" s="545"/>
      <c r="CA266" s="545"/>
      <c r="CB266" s="545"/>
      <c r="CC266" s="545"/>
      <c r="CD266" s="545"/>
      <c r="CE266" s="545"/>
      <c r="CF266" s="545"/>
      <c r="CG266" s="545"/>
      <c r="CH266" s="545"/>
      <c r="CI266" s="545"/>
      <c r="CJ266" s="545"/>
      <c r="CK266" s="545"/>
      <c r="CL266" s="545"/>
      <c r="CM266" s="545"/>
      <c r="CN266" s="545"/>
      <c r="CO266" s="545"/>
      <c r="CP266" s="545"/>
      <c r="CQ266" s="545"/>
      <c r="CR266" s="545"/>
      <c r="CS266" s="545"/>
      <c r="CT266" s="545"/>
      <c r="CU266" s="545"/>
      <c r="CV266" s="545"/>
      <c r="CW266" s="545"/>
      <c r="CX266" s="545"/>
      <c r="CY266" s="545"/>
      <c r="CZ266" s="545"/>
      <c r="DA266" s="545"/>
      <c r="DB266" s="545"/>
      <c r="DC266" s="545"/>
      <c r="DD266" s="545"/>
      <c r="DE266" s="545"/>
      <c r="DF266" s="545"/>
      <c r="DG266" s="545"/>
      <c r="DH266" s="545"/>
      <c r="DI266" s="545"/>
      <c r="DJ266" s="545"/>
      <c r="DK266" s="545"/>
      <c r="DL266" s="545"/>
      <c r="DM266" s="545"/>
      <c r="DN266" s="545"/>
      <c r="DO266" s="545"/>
      <c r="DP266" s="545"/>
      <c r="DQ266" s="545"/>
      <c r="DR266" s="545"/>
      <c r="DS266" s="545"/>
      <c r="DT266" s="545"/>
      <c r="DU266" s="545"/>
      <c r="DV266" s="545"/>
      <c r="DW266" s="545"/>
      <c r="DX266" s="545"/>
      <c r="DY266" s="545"/>
      <c r="DZ266" s="545"/>
      <c r="EA266" s="545"/>
      <c r="EB266" s="545"/>
      <c r="EC266" s="545"/>
      <c r="ED266" s="545"/>
      <c r="EE266" s="545"/>
      <c r="EF266" s="545"/>
      <c r="EG266" s="545"/>
      <c r="EH266" s="545"/>
      <c r="EI266" s="545"/>
      <c r="EJ266" s="545"/>
      <c r="EK266" s="545"/>
      <c r="EL266" s="545"/>
      <c r="EM266" s="545"/>
      <c r="EN266" s="545"/>
      <c r="EO266" s="545"/>
      <c r="EP266" s="545"/>
      <c r="EQ266" s="545"/>
      <c r="ER266" s="545"/>
      <c r="ES266" s="545"/>
      <c r="ET266" s="545"/>
      <c r="EU266" s="545"/>
      <c r="EV266" s="545"/>
      <c r="EW266" s="545"/>
      <c r="EX266" s="545"/>
      <c r="EY266" s="545"/>
      <c r="EZ266" s="545"/>
      <c r="FA266" s="545"/>
      <c r="FB266" s="545"/>
      <c r="FC266" s="545"/>
      <c r="FD266" s="545"/>
      <c r="FE266" s="545"/>
      <c r="FF266" s="545"/>
      <c r="FG266" s="545"/>
      <c r="FH266" s="545"/>
      <c r="FI266" s="545"/>
      <c r="FJ266" s="545"/>
      <c r="FK266" s="545"/>
      <c r="FL266" s="545"/>
      <c r="FM266" s="338"/>
      <c r="FN266" s="78"/>
      <c r="FO266" s="78"/>
      <c r="FP266" s="78"/>
      <c r="FQ266" s="78"/>
      <c r="FR266" s="78"/>
      <c r="FS266" s="78"/>
      <c r="FT266" s="78"/>
      <c r="FU266" s="78"/>
      <c r="FV266" s="78"/>
      <c r="FW266" s="78"/>
      <c r="FX266" s="78"/>
      <c r="FY266" s="32"/>
      <c r="FZ266" s="32"/>
      <c r="GA266" s="32"/>
      <c r="GB266" s="32"/>
      <c r="GC266" s="32"/>
      <c r="GD266" s="32"/>
      <c r="GE266" s="32"/>
      <c r="GF266" s="32"/>
      <c r="GG266" s="32"/>
      <c r="GH266" s="32"/>
      <c r="GI266" s="32"/>
      <c r="GJ266" s="32"/>
      <c r="GK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78"/>
      <c r="HO266" s="78"/>
      <c r="HP266" s="78"/>
      <c r="HQ266" s="13"/>
      <c r="HR266" s="13"/>
      <c r="HS266" s="13"/>
      <c r="HT266" s="13"/>
      <c r="HU266" s="13"/>
      <c r="HV266" s="13"/>
      <c r="HW266" s="13"/>
      <c r="HX266" s="13"/>
      <c r="HY266" s="13"/>
      <c r="HZ266" s="13"/>
      <c r="IA266" s="13"/>
    </row>
    <row r="267" spans="1:235" ht="16.5" customHeight="1">
      <c r="A267" s="1"/>
      <c r="B267" s="3"/>
      <c r="C267" s="3"/>
      <c r="D267" s="330" t="str">
        <f t="shared" ca="1" si="46"/>
        <v>`</v>
      </c>
      <c r="E267" s="545"/>
      <c r="F267" s="545"/>
      <c r="G267" s="545"/>
      <c r="H267" s="545"/>
      <c r="I267" s="545"/>
      <c r="J267" s="545"/>
      <c r="K267" s="545"/>
      <c r="L267" s="545"/>
      <c r="M267" s="545"/>
      <c r="N267" s="545"/>
      <c r="O267" s="545"/>
      <c r="P267" s="545"/>
      <c r="Q267" s="545"/>
      <c r="R267" s="545"/>
      <c r="S267" s="545"/>
      <c r="T267" s="545"/>
      <c r="U267" s="545"/>
      <c r="V267" s="545"/>
      <c r="W267" s="545"/>
      <c r="X267" s="545"/>
      <c r="Y267" s="545"/>
      <c r="Z267" s="545"/>
      <c r="AA267" s="545"/>
      <c r="AB267" s="545"/>
      <c r="AC267" s="545"/>
      <c r="AD267" s="545"/>
      <c r="AE267" s="545"/>
      <c r="AF267" s="545"/>
      <c r="AG267" s="545"/>
      <c r="AH267" s="545"/>
      <c r="AI267" s="545"/>
      <c r="AJ267" s="545"/>
      <c r="AK267" s="545"/>
      <c r="AL267" s="545"/>
      <c r="AM267" s="545"/>
      <c r="AN267" s="545"/>
      <c r="AO267" s="545"/>
      <c r="AP267" s="545"/>
      <c r="AQ267" s="545"/>
      <c r="AR267" s="545"/>
      <c r="AS267" s="545"/>
      <c r="AT267" s="545"/>
      <c r="AU267" s="545"/>
      <c r="AV267" s="545"/>
      <c r="AW267" s="545"/>
      <c r="AX267" s="545"/>
      <c r="AY267" s="545"/>
      <c r="AZ267" s="545"/>
      <c r="BA267" s="545"/>
      <c r="BB267" s="545"/>
      <c r="BC267" s="545"/>
      <c r="BD267" s="545"/>
      <c r="BE267" s="545"/>
      <c r="BF267" s="545"/>
      <c r="BG267" s="545"/>
      <c r="BH267" s="545"/>
      <c r="BI267" s="545"/>
      <c r="BJ267" s="545"/>
      <c r="BK267" s="545"/>
      <c r="BL267" s="545"/>
      <c r="BM267" s="545"/>
      <c r="BN267" s="545"/>
      <c r="BO267" s="545"/>
      <c r="BP267" s="545"/>
      <c r="BQ267" s="545"/>
      <c r="BR267" s="545"/>
      <c r="BS267" s="545"/>
      <c r="BT267" s="545"/>
      <c r="BU267" s="545"/>
      <c r="BV267" s="545"/>
      <c r="BW267" s="545"/>
      <c r="BX267" s="545"/>
      <c r="BY267" s="545"/>
      <c r="BZ267" s="545"/>
      <c r="CA267" s="545"/>
      <c r="CB267" s="545"/>
      <c r="CC267" s="545"/>
      <c r="CD267" s="545"/>
      <c r="CE267" s="545"/>
      <c r="CF267" s="545"/>
      <c r="CG267" s="545"/>
      <c r="CH267" s="545"/>
      <c r="CI267" s="545"/>
      <c r="CJ267" s="545"/>
      <c r="CK267" s="545"/>
      <c r="CL267" s="545"/>
      <c r="CM267" s="545"/>
      <c r="CN267" s="545"/>
      <c r="CO267" s="545"/>
      <c r="CP267" s="545"/>
      <c r="CQ267" s="545"/>
      <c r="CR267" s="545"/>
      <c r="CS267" s="545"/>
      <c r="CT267" s="545"/>
      <c r="CU267" s="545"/>
      <c r="CV267" s="545"/>
      <c r="CW267" s="545"/>
      <c r="CX267" s="545"/>
      <c r="CY267" s="545"/>
      <c r="CZ267" s="545"/>
      <c r="DA267" s="545"/>
      <c r="DB267" s="545"/>
      <c r="DC267" s="545"/>
      <c r="DD267" s="545"/>
      <c r="DE267" s="545"/>
      <c r="DF267" s="545"/>
      <c r="DG267" s="545"/>
      <c r="DH267" s="545"/>
      <c r="DI267" s="545"/>
      <c r="DJ267" s="545"/>
      <c r="DK267" s="545"/>
      <c r="DL267" s="545"/>
      <c r="DM267" s="545"/>
      <c r="DN267" s="545"/>
      <c r="DO267" s="545"/>
      <c r="DP267" s="545"/>
      <c r="DQ267" s="545"/>
      <c r="DR267" s="545"/>
      <c r="DS267" s="545"/>
      <c r="DT267" s="545"/>
      <c r="DU267" s="545"/>
      <c r="DV267" s="545"/>
      <c r="DW267" s="545"/>
      <c r="DX267" s="545"/>
      <c r="DY267" s="545"/>
      <c r="DZ267" s="545"/>
      <c r="EA267" s="545"/>
      <c r="EB267" s="545"/>
      <c r="EC267" s="545"/>
      <c r="ED267" s="545"/>
      <c r="EE267" s="545"/>
      <c r="EF267" s="545"/>
      <c r="EG267" s="545"/>
      <c r="EH267" s="545"/>
      <c r="EI267" s="545"/>
      <c r="EJ267" s="545"/>
      <c r="EK267" s="545"/>
      <c r="EL267" s="545"/>
      <c r="EM267" s="545"/>
      <c r="EN267" s="545"/>
      <c r="EO267" s="545"/>
      <c r="EP267" s="545"/>
      <c r="EQ267" s="545"/>
      <c r="ER267" s="545"/>
      <c r="ES267" s="545"/>
      <c r="ET267" s="545"/>
      <c r="EU267" s="545"/>
      <c r="EV267" s="545"/>
      <c r="EW267" s="545"/>
      <c r="EX267" s="545"/>
      <c r="EY267" s="545"/>
      <c r="EZ267" s="545"/>
      <c r="FA267" s="545"/>
      <c r="FB267" s="545"/>
      <c r="FC267" s="545"/>
      <c r="FD267" s="545"/>
      <c r="FE267" s="545"/>
      <c r="FF267" s="545"/>
      <c r="FG267" s="545"/>
      <c r="FH267" s="545"/>
      <c r="FI267" s="545"/>
      <c r="FJ267" s="545"/>
      <c r="FK267" s="545"/>
      <c r="FL267" s="545"/>
      <c r="FM267" s="338"/>
      <c r="FN267" s="78"/>
      <c r="FO267" s="78"/>
      <c r="FP267" s="78"/>
      <c r="FQ267" s="78"/>
      <c r="FR267" s="78"/>
      <c r="FS267" s="78"/>
      <c r="FT267" s="78"/>
      <c r="FU267" s="78"/>
      <c r="FV267" s="78"/>
      <c r="FW267" s="78"/>
      <c r="FX267" s="78"/>
      <c r="FY267" s="32"/>
      <c r="FZ267" s="32"/>
      <c r="GA267" s="32"/>
      <c r="GB267" s="32"/>
      <c r="GC267" s="32"/>
      <c r="GD267" s="32"/>
      <c r="GE267" s="32"/>
      <c r="GF267" s="32"/>
      <c r="GG267" s="32"/>
      <c r="GH267" s="32"/>
      <c r="GI267" s="32"/>
      <c r="GJ267" s="32"/>
      <c r="GK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78"/>
      <c r="HO267" s="78"/>
      <c r="HP267" s="78"/>
      <c r="HQ267" s="13"/>
      <c r="HR267" s="13"/>
      <c r="HS267" s="13"/>
      <c r="HT267" s="13"/>
      <c r="HU267" s="13"/>
      <c r="HV267" s="13"/>
      <c r="HW267" s="13"/>
      <c r="HX267" s="13"/>
      <c r="HY267" s="13"/>
      <c r="HZ267" s="13"/>
      <c r="IA267" s="13"/>
    </row>
    <row r="268" spans="1:235" ht="16.5" customHeight="1">
      <c r="A268" s="1"/>
      <c r="B268" s="3"/>
      <c r="C268" s="3"/>
      <c r="D268" s="330" t="str">
        <f t="shared" ca="1" si="46"/>
        <v>`</v>
      </c>
      <c r="E268" s="545"/>
      <c r="F268" s="545"/>
      <c r="G268" s="545"/>
      <c r="H268" s="545"/>
      <c r="I268" s="545"/>
      <c r="J268" s="545"/>
      <c r="K268" s="545"/>
      <c r="L268" s="545"/>
      <c r="M268" s="545"/>
      <c r="N268" s="545"/>
      <c r="O268" s="545"/>
      <c r="P268" s="545"/>
      <c r="Q268" s="545"/>
      <c r="R268" s="545"/>
      <c r="S268" s="545"/>
      <c r="T268" s="545"/>
      <c r="U268" s="545"/>
      <c r="V268" s="545"/>
      <c r="W268" s="545"/>
      <c r="X268" s="545"/>
      <c r="Y268" s="545"/>
      <c r="Z268" s="545"/>
      <c r="AA268" s="545"/>
      <c r="AB268" s="545"/>
      <c r="AC268" s="545"/>
      <c r="AD268" s="545"/>
      <c r="AE268" s="545"/>
      <c r="AF268" s="545"/>
      <c r="AG268" s="545"/>
      <c r="AH268" s="545"/>
      <c r="AI268" s="545"/>
      <c r="AJ268" s="545"/>
      <c r="AK268" s="545"/>
      <c r="AL268" s="545"/>
      <c r="AM268" s="545"/>
      <c r="AN268" s="545"/>
      <c r="AO268" s="545"/>
      <c r="AP268" s="545"/>
      <c r="AQ268" s="545"/>
      <c r="AR268" s="545"/>
      <c r="AS268" s="545"/>
      <c r="AT268" s="545"/>
      <c r="AU268" s="545"/>
      <c r="AV268" s="545"/>
      <c r="AW268" s="545"/>
      <c r="AX268" s="545"/>
      <c r="AY268" s="545"/>
      <c r="AZ268" s="545"/>
      <c r="BA268" s="545"/>
      <c r="BB268" s="545"/>
      <c r="BC268" s="545"/>
      <c r="BD268" s="545"/>
      <c r="BE268" s="545"/>
      <c r="BF268" s="545"/>
      <c r="BG268" s="545"/>
      <c r="BH268" s="545"/>
      <c r="BI268" s="545"/>
      <c r="BJ268" s="545"/>
      <c r="BK268" s="545"/>
      <c r="BL268" s="545"/>
      <c r="BM268" s="545"/>
      <c r="BN268" s="545"/>
      <c r="BO268" s="545"/>
      <c r="BP268" s="545"/>
      <c r="BQ268" s="545"/>
      <c r="BR268" s="545"/>
      <c r="BS268" s="545"/>
      <c r="BT268" s="545"/>
      <c r="BU268" s="545"/>
      <c r="BV268" s="545"/>
      <c r="BW268" s="545"/>
      <c r="BX268" s="545"/>
      <c r="BY268" s="545"/>
      <c r="BZ268" s="545"/>
      <c r="CA268" s="545"/>
      <c r="CB268" s="545"/>
      <c r="CC268" s="545"/>
      <c r="CD268" s="545"/>
      <c r="CE268" s="545"/>
      <c r="CF268" s="545"/>
      <c r="CG268" s="545"/>
      <c r="CH268" s="545"/>
      <c r="CI268" s="545"/>
      <c r="CJ268" s="545"/>
      <c r="CK268" s="545"/>
      <c r="CL268" s="545"/>
      <c r="CM268" s="545"/>
      <c r="CN268" s="545"/>
      <c r="CO268" s="545"/>
      <c r="CP268" s="545"/>
      <c r="CQ268" s="545"/>
      <c r="CR268" s="545"/>
      <c r="CS268" s="545"/>
      <c r="CT268" s="545"/>
      <c r="CU268" s="545"/>
      <c r="CV268" s="545"/>
      <c r="CW268" s="545"/>
      <c r="CX268" s="545"/>
      <c r="CY268" s="545"/>
      <c r="CZ268" s="545"/>
      <c r="DA268" s="545"/>
      <c r="DB268" s="545"/>
      <c r="DC268" s="545"/>
      <c r="DD268" s="545"/>
      <c r="DE268" s="545"/>
      <c r="DF268" s="545"/>
      <c r="DG268" s="545"/>
      <c r="DH268" s="545"/>
      <c r="DI268" s="545"/>
      <c r="DJ268" s="545"/>
      <c r="DK268" s="545"/>
      <c r="DL268" s="545"/>
      <c r="DM268" s="545"/>
      <c r="DN268" s="545"/>
      <c r="DO268" s="545"/>
      <c r="DP268" s="545"/>
      <c r="DQ268" s="545"/>
      <c r="DR268" s="545"/>
      <c r="DS268" s="545"/>
      <c r="DT268" s="545"/>
      <c r="DU268" s="545"/>
      <c r="DV268" s="545"/>
      <c r="DW268" s="545"/>
      <c r="DX268" s="545"/>
      <c r="DY268" s="545"/>
      <c r="DZ268" s="545"/>
      <c r="EA268" s="545"/>
      <c r="EB268" s="545"/>
      <c r="EC268" s="545"/>
      <c r="ED268" s="545"/>
      <c r="EE268" s="545"/>
      <c r="EF268" s="545"/>
      <c r="EG268" s="545"/>
      <c r="EH268" s="545"/>
      <c r="EI268" s="545"/>
      <c r="EJ268" s="545"/>
      <c r="EK268" s="545"/>
      <c r="EL268" s="545"/>
      <c r="EM268" s="545"/>
      <c r="EN268" s="545"/>
      <c r="EO268" s="545"/>
      <c r="EP268" s="545"/>
      <c r="EQ268" s="545"/>
      <c r="ER268" s="545"/>
      <c r="ES268" s="545"/>
      <c r="ET268" s="545"/>
      <c r="EU268" s="545"/>
      <c r="EV268" s="545"/>
      <c r="EW268" s="545"/>
      <c r="EX268" s="545"/>
      <c r="EY268" s="545"/>
      <c r="EZ268" s="545"/>
      <c r="FA268" s="545"/>
      <c r="FB268" s="545"/>
      <c r="FC268" s="545"/>
      <c r="FD268" s="545"/>
      <c r="FE268" s="545"/>
      <c r="FF268" s="545"/>
      <c r="FG268" s="545"/>
      <c r="FH268" s="545"/>
      <c r="FI268" s="545"/>
      <c r="FJ268" s="545"/>
      <c r="FK268" s="545"/>
      <c r="FL268" s="545"/>
      <c r="FM268" s="338"/>
      <c r="FN268" s="78"/>
      <c r="FO268" s="78"/>
      <c r="FP268" s="78"/>
      <c r="FQ268" s="78"/>
      <c r="FR268" s="78"/>
      <c r="FS268" s="78"/>
      <c r="FT268" s="78"/>
      <c r="FU268" s="78"/>
      <c r="FV268" s="78"/>
      <c r="FW268" s="78"/>
      <c r="FX268" s="78"/>
      <c r="FY268" s="32"/>
      <c r="FZ268" s="32"/>
      <c r="GA268" s="32"/>
      <c r="GB268" s="32"/>
      <c r="GC268" s="32"/>
      <c r="GD268" s="32"/>
      <c r="GE268" s="32"/>
      <c r="GF268" s="32"/>
      <c r="GG268" s="32"/>
      <c r="GH268" s="32"/>
      <c r="GI268" s="32"/>
      <c r="GJ268" s="32"/>
      <c r="GK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78"/>
      <c r="HO268" s="78"/>
      <c r="HP268" s="78"/>
      <c r="HQ268" s="13"/>
      <c r="HR268" s="13"/>
      <c r="HS268" s="13"/>
      <c r="HT268" s="13"/>
      <c r="HU268" s="13"/>
      <c r="HV268" s="13"/>
      <c r="HW268" s="13"/>
      <c r="HX268" s="13"/>
      <c r="HY268" s="13"/>
      <c r="HZ268" s="13"/>
      <c r="IA268" s="13"/>
    </row>
    <row r="269" spans="1:235" ht="9.75" customHeight="1">
      <c r="A269" s="1"/>
      <c r="B269" s="3"/>
      <c r="C269" s="3"/>
      <c r="D269" s="330" t="str">
        <f t="shared" ca="1" si="46"/>
        <v>`</v>
      </c>
      <c r="E269" s="545"/>
      <c r="F269" s="545"/>
      <c r="G269" s="545"/>
      <c r="H269" s="545"/>
      <c r="I269" s="545"/>
      <c r="J269" s="545"/>
      <c r="K269" s="545"/>
      <c r="L269" s="545"/>
      <c r="M269" s="545"/>
      <c r="N269" s="545"/>
      <c r="O269" s="545"/>
      <c r="P269" s="545"/>
      <c r="Q269" s="545"/>
      <c r="R269" s="545"/>
      <c r="S269" s="545"/>
      <c r="T269" s="545"/>
      <c r="U269" s="545"/>
      <c r="V269" s="545"/>
      <c r="W269" s="545"/>
      <c r="X269" s="545"/>
      <c r="Y269" s="545"/>
      <c r="Z269" s="545"/>
      <c r="AA269" s="545"/>
      <c r="AB269" s="545"/>
      <c r="AC269" s="545"/>
      <c r="AD269" s="545"/>
      <c r="AE269" s="545"/>
      <c r="AF269" s="545"/>
      <c r="AG269" s="545"/>
      <c r="AH269" s="545"/>
      <c r="AI269" s="545"/>
      <c r="AJ269" s="545"/>
      <c r="AK269" s="545"/>
      <c r="AL269" s="545"/>
      <c r="AM269" s="545"/>
      <c r="AN269" s="545"/>
      <c r="AO269" s="545"/>
      <c r="AP269" s="545"/>
      <c r="AQ269" s="545"/>
      <c r="AR269" s="545"/>
      <c r="AS269" s="545"/>
      <c r="AT269" s="545"/>
      <c r="AU269" s="545"/>
      <c r="AV269" s="545"/>
      <c r="AW269" s="545"/>
      <c r="AX269" s="545"/>
      <c r="AY269" s="545"/>
      <c r="AZ269" s="545"/>
      <c r="BA269" s="545"/>
      <c r="BB269" s="545"/>
      <c r="BC269" s="545"/>
      <c r="BD269" s="545"/>
      <c r="BE269" s="545"/>
      <c r="BF269" s="545"/>
      <c r="BG269" s="545"/>
      <c r="BH269" s="545"/>
      <c r="BI269" s="545"/>
      <c r="BJ269" s="545"/>
      <c r="BK269" s="545"/>
      <c r="BL269" s="545"/>
      <c r="BM269" s="545"/>
      <c r="BN269" s="545"/>
      <c r="BO269" s="545"/>
      <c r="BP269" s="545"/>
      <c r="BQ269" s="545"/>
      <c r="BR269" s="545"/>
      <c r="BS269" s="545"/>
      <c r="BT269" s="545"/>
      <c r="BU269" s="545"/>
      <c r="BV269" s="545"/>
      <c r="BW269" s="545"/>
      <c r="BX269" s="545"/>
      <c r="BY269" s="545"/>
      <c r="BZ269" s="545"/>
      <c r="CA269" s="545"/>
      <c r="CB269" s="545"/>
      <c r="CC269" s="545"/>
      <c r="CD269" s="545"/>
      <c r="CE269" s="545"/>
      <c r="CF269" s="545"/>
      <c r="CG269" s="545"/>
      <c r="CH269" s="545"/>
      <c r="CI269" s="545"/>
      <c r="CJ269" s="545"/>
      <c r="CK269" s="545"/>
      <c r="CL269" s="545"/>
      <c r="CM269" s="545"/>
      <c r="CN269" s="545"/>
      <c r="CO269" s="545"/>
      <c r="CP269" s="545"/>
      <c r="CQ269" s="545"/>
      <c r="CR269" s="545"/>
      <c r="CS269" s="545"/>
      <c r="CT269" s="545"/>
      <c r="CU269" s="545"/>
      <c r="CV269" s="545"/>
      <c r="CW269" s="545"/>
      <c r="CX269" s="545"/>
      <c r="CY269" s="545"/>
      <c r="CZ269" s="545"/>
      <c r="DA269" s="545"/>
      <c r="DB269" s="545"/>
      <c r="DC269" s="545"/>
      <c r="DD269" s="545"/>
      <c r="DE269" s="545"/>
      <c r="DF269" s="545"/>
      <c r="DG269" s="545"/>
      <c r="DH269" s="545"/>
      <c r="DI269" s="545"/>
      <c r="DJ269" s="545"/>
      <c r="DK269" s="545"/>
      <c r="DL269" s="545"/>
      <c r="DM269" s="545"/>
      <c r="DN269" s="545"/>
      <c r="DO269" s="545"/>
      <c r="DP269" s="545"/>
      <c r="DQ269" s="545"/>
      <c r="DR269" s="545"/>
      <c r="DS269" s="545"/>
      <c r="DT269" s="545"/>
      <c r="DU269" s="545"/>
      <c r="DV269" s="545"/>
      <c r="DW269" s="545"/>
      <c r="DX269" s="545"/>
      <c r="DY269" s="545"/>
      <c r="DZ269" s="545"/>
      <c r="EA269" s="545"/>
      <c r="EB269" s="545"/>
      <c r="EC269" s="545"/>
      <c r="ED269" s="545"/>
      <c r="EE269" s="545"/>
      <c r="EF269" s="545"/>
      <c r="EG269" s="545"/>
      <c r="EH269" s="545"/>
      <c r="EI269" s="545"/>
      <c r="EJ269" s="545"/>
      <c r="EK269" s="545"/>
      <c r="EL269" s="545"/>
      <c r="EM269" s="545"/>
      <c r="EN269" s="545"/>
      <c r="EO269" s="545"/>
      <c r="EP269" s="545"/>
      <c r="EQ269" s="545"/>
      <c r="ER269" s="545"/>
      <c r="ES269" s="545"/>
      <c r="ET269" s="545"/>
      <c r="EU269" s="545"/>
      <c r="EV269" s="545"/>
      <c r="EW269" s="545"/>
      <c r="EX269" s="545"/>
      <c r="EY269" s="545"/>
      <c r="EZ269" s="545"/>
      <c r="FA269" s="545"/>
      <c r="FB269" s="545"/>
      <c r="FC269" s="545"/>
      <c r="FD269" s="545"/>
      <c r="FE269" s="545"/>
      <c r="FF269" s="545"/>
      <c r="FG269" s="545"/>
      <c r="FH269" s="545"/>
      <c r="FI269" s="545"/>
      <c r="FJ269" s="545"/>
      <c r="FK269" s="545"/>
      <c r="FL269" s="545"/>
      <c r="FM269" s="338"/>
      <c r="FN269" s="78"/>
      <c r="FO269" s="78"/>
      <c r="FP269" s="78"/>
      <c r="FQ269" s="78"/>
      <c r="FR269" s="78"/>
      <c r="FS269" s="78"/>
      <c r="FT269" s="78"/>
      <c r="FU269" s="78"/>
      <c r="FV269" s="78"/>
      <c r="FW269" s="78"/>
      <c r="FX269" s="78"/>
      <c r="FY269" s="32"/>
      <c r="FZ269" s="32"/>
      <c r="GA269" s="32"/>
      <c r="GB269" s="32"/>
      <c r="GC269" s="32"/>
      <c r="GD269" s="32"/>
      <c r="GE269" s="32"/>
      <c r="GF269" s="32"/>
      <c r="GG269" s="32"/>
      <c r="GH269" s="32"/>
      <c r="GI269" s="32"/>
      <c r="GJ269" s="32"/>
      <c r="GK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78"/>
      <c r="HO269" s="78"/>
      <c r="HP269" s="78"/>
      <c r="HQ269" s="13"/>
      <c r="HR269" s="13"/>
      <c r="HS269" s="13"/>
      <c r="HT269" s="13"/>
      <c r="HU269" s="13"/>
      <c r="HV269" s="13"/>
      <c r="HW269" s="13"/>
      <c r="HX269" s="13"/>
      <c r="HY269" s="13"/>
      <c r="HZ269" s="13"/>
      <c r="IA269" s="13"/>
    </row>
    <row r="270" spans="1:235" ht="9.75" customHeight="1">
      <c r="A270" s="1"/>
      <c r="B270" s="3"/>
      <c r="C270" s="3"/>
      <c r="D270" s="330" t="str">
        <f t="shared" ca="1" si="46"/>
        <v>`</v>
      </c>
      <c r="E270" s="545"/>
      <c r="F270" s="545"/>
      <c r="G270" s="545"/>
      <c r="H270" s="545"/>
      <c r="I270" s="545"/>
      <c r="J270" s="545"/>
      <c r="K270" s="545"/>
      <c r="L270" s="545"/>
      <c r="M270" s="545"/>
      <c r="N270" s="545"/>
      <c r="O270" s="545"/>
      <c r="P270" s="545"/>
      <c r="Q270" s="545"/>
      <c r="R270" s="545"/>
      <c r="S270" s="545"/>
      <c r="T270" s="545"/>
      <c r="U270" s="545"/>
      <c r="V270" s="545"/>
      <c r="W270" s="545"/>
      <c r="X270" s="545"/>
      <c r="Y270" s="545"/>
      <c r="Z270" s="545"/>
      <c r="AA270" s="545"/>
      <c r="AB270" s="545"/>
      <c r="AC270" s="545"/>
      <c r="AD270" s="545"/>
      <c r="AE270" s="545"/>
      <c r="AF270" s="545"/>
      <c r="AG270" s="545"/>
      <c r="AH270" s="545"/>
      <c r="AI270" s="545"/>
      <c r="AJ270" s="545"/>
      <c r="AK270" s="545"/>
      <c r="AL270" s="545"/>
      <c r="AM270" s="545"/>
      <c r="AN270" s="545"/>
      <c r="AO270" s="545"/>
      <c r="AP270" s="545"/>
      <c r="AQ270" s="545"/>
      <c r="AR270" s="545"/>
      <c r="AS270" s="545"/>
      <c r="AT270" s="545"/>
      <c r="AU270" s="545"/>
      <c r="AV270" s="545"/>
      <c r="AW270" s="545"/>
      <c r="AX270" s="545"/>
      <c r="AY270" s="545"/>
      <c r="AZ270" s="545"/>
      <c r="BA270" s="545"/>
      <c r="BB270" s="545"/>
      <c r="BC270" s="545"/>
      <c r="BD270" s="545"/>
      <c r="BE270" s="545"/>
      <c r="BF270" s="545"/>
      <c r="BG270" s="545"/>
      <c r="BH270" s="545"/>
      <c r="BI270" s="545"/>
      <c r="BJ270" s="545"/>
      <c r="BK270" s="545"/>
      <c r="BL270" s="545"/>
      <c r="BM270" s="545"/>
      <c r="BN270" s="545"/>
      <c r="BO270" s="545"/>
      <c r="BP270" s="545"/>
      <c r="BQ270" s="545"/>
      <c r="BR270" s="545"/>
      <c r="BS270" s="545"/>
      <c r="BT270" s="545"/>
      <c r="BU270" s="545"/>
      <c r="BV270" s="545"/>
      <c r="BW270" s="545"/>
      <c r="BX270" s="545"/>
      <c r="BY270" s="545"/>
      <c r="BZ270" s="545"/>
      <c r="CA270" s="545"/>
      <c r="CB270" s="545"/>
      <c r="CC270" s="545"/>
      <c r="CD270" s="545"/>
      <c r="CE270" s="545"/>
      <c r="CF270" s="545"/>
      <c r="CG270" s="545"/>
      <c r="CH270" s="545"/>
      <c r="CI270" s="545"/>
      <c r="CJ270" s="545"/>
      <c r="CK270" s="545"/>
      <c r="CL270" s="545"/>
      <c r="CM270" s="545"/>
      <c r="CN270" s="545"/>
      <c r="CO270" s="545"/>
      <c r="CP270" s="545"/>
      <c r="CQ270" s="545"/>
      <c r="CR270" s="545"/>
      <c r="CS270" s="545"/>
      <c r="CT270" s="545"/>
      <c r="CU270" s="545"/>
      <c r="CV270" s="545"/>
      <c r="CW270" s="545"/>
      <c r="CX270" s="545"/>
      <c r="CY270" s="545"/>
      <c r="CZ270" s="545"/>
      <c r="DA270" s="545"/>
      <c r="DB270" s="545"/>
      <c r="DC270" s="545"/>
      <c r="DD270" s="545"/>
      <c r="DE270" s="545"/>
      <c r="DF270" s="545"/>
      <c r="DG270" s="545"/>
      <c r="DH270" s="545"/>
      <c r="DI270" s="545"/>
      <c r="DJ270" s="545"/>
      <c r="DK270" s="545"/>
      <c r="DL270" s="545"/>
      <c r="DM270" s="545"/>
      <c r="DN270" s="545"/>
      <c r="DO270" s="545"/>
      <c r="DP270" s="545"/>
      <c r="DQ270" s="545"/>
      <c r="DR270" s="545"/>
      <c r="DS270" s="545"/>
      <c r="DT270" s="545"/>
      <c r="DU270" s="545"/>
      <c r="DV270" s="545"/>
      <c r="DW270" s="545"/>
      <c r="DX270" s="545"/>
      <c r="DY270" s="545"/>
      <c r="DZ270" s="545"/>
      <c r="EA270" s="545"/>
      <c r="EB270" s="545"/>
      <c r="EC270" s="545"/>
      <c r="ED270" s="545"/>
      <c r="EE270" s="545"/>
      <c r="EF270" s="545"/>
      <c r="EG270" s="545"/>
      <c r="EH270" s="545"/>
      <c r="EI270" s="545"/>
      <c r="EJ270" s="545"/>
      <c r="EK270" s="545"/>
      <c r="EL270" s="545"/>
      <c r="EM270" s="545"/>
      <c r="EN270" s="545"/>
      <c r="EO270" s="545"/>
      <c r="EP270" s="545"/>
      <c r="EQ270" s="545"/>
      <c r="ER270" s="545"/>
      <c r="ES270" s="545"/>
      <c r="ET270" s="545"/>
      <c r="EU270" s="545"/>
      <c r="EV270" s="545"/>
      <c r="EW270" s="545"/>
      <c r="EX270" s="545"/>
      <c r="EY270" s="545"/>
      <c r="EZ270" s="545"/>
      <c r="FA270" s="545"/>
      <c r="FB270" s="545"/>
      <c r="FC270" s="545"/>
      <c r="FD270" s="545"/>
      <c r="FE270" s="545"/>
      <c r="FF270" s="545"/>
      <c r="FG270" s="545"/>
      <c r="FH270" s="545"/>
      <c r="FI270" s="545"/>
      <c r="FJ270" s="545"/>
      <c r="FK270" s="545"/>
      <c r="FL270" s="545"/>
      <c r="FM270" s="338"/>
      <c r="FN270" s="78"/>
      <c r="FO270" s="78"/>
      <c r="FP270" s="78"/>
      <c r="FQ270" s="78"/>
      <c r="FR270" s="78"/>
      <c r="FS270" s="78"/>
      <c r="FT270" s="78"/>
      <c r="FU270" s="78"/>
      <c r="FV270" s="78"/>
      <c r="FW270" s="78"/>
      <c r="FX270" s="78"/>
      <c r="FY270" s="32"/>
      <c r="FZ270" s="32"/>
      <c r="GA270" s="32"/>
      <c r="GB270" s="32"/>
      <c r="GC270" s="32"/>
      <c r="GD270" s="32"/>
      <c r="GE270" s="32"/>
      <c r="GF270" s="32"/>
      <c r="GG270" s="32"/>
      <c r="GH270" s="32"/>
      <c r="GI270" s="32"/>
      <c r="GJ270" s="32"/>
      <c r="GK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78"/>
      <c r="HO270" s="78"/>
      <c r="HP270" s="78"/>
      <c r="HQ270" s="13"/>
      <c r="HR270" s="13"/>
      <c r="HS270" s="13"/>
      <c r="HT270" s="13"/>
      <c r="HU270" s="13"/>
      <c r="HV270" s="13"/>
      <c r="HW270" s="13"/>
      <c r="HX270" s="13"/>
      <c r="HY270" s="13"/>
      <c r="HZ270" s="13"/>
      <c r="IA270" s="13"/>
    </row>
    <row r="271" spans="1:235" ht="9.75" customHeight="1">
      <c r="A271" s="1"/>
      <c r="B271" s="3"/>
      <c r="C271" s="3"/>
      <c r="D271" s="330" t="str">
        <f t="shared" ca="1" si="46"/>
        <v>`</v>
      </c>
      <c r="E271" s="545"/>
      <c r="F271" s="545"/>
      <c r="G271" s="545"/>
      <c r="H271" s="545"/>
      <c r="I271" s="545"/>
      <c r="J271" s="545"/>
      <c r="K271" s="545"/>
      <c r="L271" s="545"/>
      <c r="M271" s="545"/>
      <c r="N271" s="545"/>
      <c r="O271" s="545"/>
      <c r="P271" s="545"/>
      <c r="Q271" s="545"/>
      <c r="R271" s="545"/>
      <c r="S271" s="545"/>
      <c r="T271" s="545"/>
      <c r="U271" s="545"/>
      <c r="V271" s="545"/>
      <c r="W271" s="545"/>
      <c r="X271" s="545"/>
      <c r="Y271" s="545"/>
      <c r="Z271" s="545"/>
      <c r="AA271" s="545"/>
      <c r="AB271" s="545"/>
      <c r="AC271" s="545"/>
      <c r="AD271" s="545"/>
      <c r="AE271" s="545"/>
      <c r="AF271" s="545"/>
      <c r="AG271" s="545"/>
      <c r="AH271" s="545"/>
      <c r="AI271" s="545"/>
      <c r="AJ271" s="545"/>
      <c r="AK271" s="545"/>
      <c r="AL271" s="545"/>
      <c r="AM271" s="545"/>
      <c r="AN271" s="545"/>
      <c r="AO271" s="545"/>
      <c r="AP271" s="545"/>
      <c r="AQ271" s="545"/>
      <c r="AR271" s="545"/>
      <c r="AS271" s="545"/>
      <c r="AT271" s="545"/>
      <c r="AU271" s="545"/>
      <c r="AV271" s="545"/>
      <c r="AW271" s="545"/>
      <c r="AX271" s="545"/>
      <c r="AY271" s="545"/>
      <c r="AZ271" s="545"/>
      <c r="BA271" s="545"/>
      <c r="BB271" s="545"/>
      <c r="BC271" s="545"/>
      <c r="BD271" s="545"/>
      <c r="BE271" s="545"/>
      <c r="BF271" s="545"/>
      <c r="BG271" s="545"/>
      <c r="BH271" s="545"/>
      <c r="BI271" s="545"/>
      <c r="BJ271" s="545"/>
      <c r="BK271" s="545"/>
      <c r="BL271" s="545"/>
      <c r="BM271" s="545"/>
      <c r="BN271" s="545"/>
      <c r="BO271" s="545"/>
      <c r="BP271" s="545"/>
      <c r="BQ271" s="545"/>
      <c r="BR271" s="545"/>
      <c r="BS271" s="545"/>
      <c r="BT271" s="545"/>
      <c r="BU271" s="545"/>
      <c r="BV271" s="545"/>
      <c r="BW271" s="545"/>
      <c r="BX271" s="545"/>
      <c r="BY271" s="545"/>
      <c r="BZ271" s="545"/>
      <c r="CA271" s="545"/>
      <c r="CB271" s="545"/>
      <c r="CC271" s="545"/>
      <c r="CD271" s="545"/>
      <c r="CE271" s="545"/>
      <c r="CF271" s="545"/>
      <c r="CG271" s="545"/>
      <c r="CH271" s="545"/>
      <c r="CI271" s="545"/>
      <c r="CJ271" s="545"/>
      <c r="CK271" s="545"/>
      <c r="CL271" s="545"/>
      <c r="CM271" s="545"/>
      <c r="CN271" s="545"/>
      <c r="CO271" s="545"/>
      <c r="CP271" s="545"/>
      <c r="CQ271" s="545"/>
      <c r="CR271" s="545"/>
      <c r="CS271" s="545"/>
      <c r="CT271" s="545"/>
      <c r="CU271" s="545"/>
      <c r="CV271" s="545"/>
      <c r="CW271" s="545"/>
      <c r="CX271" s="545"/>
      <c r="CY271" s="545"/>
      <c r="CZ271" s="545"/>
      <c r="DA271" s="545"/>
      <c r="DB271" s="545"/>
      <c r="DC271" s="545"/>
      <c r="DD271" s="545"/>
      <c r="DE271" s="545"/>
      <c r="DF271" s="545"/>
      <c r="DG271" s="545"/>
      <c r="DH271" s="545"/>
      <c r="DI271" s="545"/>
      <c r="DJ271" s="545"/>
      <c r="DK271" s="545"/>
      <c r="DL271" s="545"/>
      <c r="DM271" s="545"/>
      <c r="DN271" s="545"/>
      <c r="DO271" s="545"/>
      <c r="DP271" s="545"/>
      <c r="DQ271" s="545"/>
      <c r="DR271" s="545"/>
      <c r="DS271" s="545"/>
      <c r="DT271" s="545"/>
      <c r="DU271" s="545"/>
      <c r="DV271" s="545"/>
      <c r="DW271" s="545"/>
      <c r="DX271" s="545"/>
      <c r="DY271" s="545"/>
      <c r="DZ271" s="545"/>
      <c r="EA271" s="545"/>
      <c r="EB271" s="545"/>
      <c r="EC271" s="545"/>
      <c r="ED271" s="545"/>
      <c r="EE271" s="545"/>
      <c r="EF271" s="545"/>
      <c r="EG271" s="545"/>
      <c r="EH271" s="545"/>
      <c r="EI271" s="545"/>
      <c r="EJ271" s="545"/>
      <c r="EK271" s="545"/>
      <c r="EL271" s="545"/>
      <c r="EM271" s="545"/>
      <c r="EN271" s="545"/>
      <c r="EO271" s="545"/>
      <c r="EP271" s="545"/>
      <c r="EQ271" s="545"/>
      <c r="ER271" s="545"/>
      <c r="ES271" s="545"/>
      <c r="ET271" s="545"/>
      <c r="EU271" s="545"/>
      <c r="EV271" s="545"/>
      <c r="EW271" s="545"/>
      <c r="EX271" s="545"/>
      <c r="EY271" s="545"/>
      <c r="EZ271" s="545"/>
      <c r="FA271" s="545"/>
      <c r="FB271" s="545"/>
      <c r="FC271" s="545"/>
      <c r="FD271" s="545"/>
      <c r="FE271" s="545"/>
      <c r="FF271" s="545"/>
      <c r="FG271" s="545"/>
      <c r="FH271" s="545"/>
      <c r="FI271" s="545"/>
      <c r="FJ271" s="545"/>
      <c r="FK271" s="545"/>
      <c r="FL271" s="545"/>
      <c r="FM271" s="338"/>
      <c r="FN271" s="78"/>
      <c r="FO271" s="78"/>
      <c r="FP271" s="78"/>
      <c r="FQ271" s="78"/>
      <c r="FR271" s="78"/>
      <c r="FS271" s="78"/>
      <c r="FT271" s="78"/>
      <c r="FU271" s="78"/>
      <c r="FV271" s="78"/>
      <c r="FW271" s="78"/>
      <c r="FX271" s="78"/>
      <c r="FY271" s="32"/>
      <c r="FZ271" s="32"/>
      <c r="GA271" s="32"/>
      <c r="GB271" s="32"/>
      <c r="GC271" s="32"/>
      <c r="GD271" s="32"/>
      <c r="GE271" s="32"/>
      <c r="GF271" s="32"/>
      <c r="GG271" s="32"/>
      <c r="GH271" s="32"/>
      <c r="GI271" s="32"/>
      <c r="GJ271" s="32"/>
      <c r="GK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78"/>
      <c r="HO271" s="78"/>
      <c r="HP271" s="78"/>
      <c r="HQ271" s="13"/>
      <c r="HR271" s="13"/>
      <c r="HS271" s="13"/>
      <c r="HT271" s="13"/>
      <c r="HU271" s="13"/>
      <c r="HV271" s="13"/>
      <c r="HW271" s="13"/>
      <c r="HX271" s="13"/>
      <c r="HY271" s="13"/>
      <c r="HZ271" s="13"/>
      <c r="IA271" s="13"/>
    </row>
    <row r="272" spans="1:235" ht="9.75" customHeight="1">
      <c r="A272" s="1"/>
      <c r="B272" s="3"/>
      <c r="C272" s="3"/>
      <c r="D272" s="330" t="str">
        <f t="shared" ca="1" si="46"/>
        <v>`</v>
      </c>
      <c r="E272" s="545"/>
      <c r="F272" s="545"/>
      <c r="G272" s="545"/>
      <c r="H272" s="545"/>
      <c r="I272" s="545"/>
      <c r="J272" s="545"/>
      <c r="K272" s="545"/>
      <c r="L272" s="545"/>
      <c r="M272" s="545"/>
      <c r="N272" s="545"/>
      <c r="O272" s="545"/>
      <c r="P272" s="545"/>
      <c r="Q272" s="545"/>
      <c r="R272" s="545"/>
      <c r="S272" s="545"/>
      <c r="T272" s="545"/>
      <c r="U272" s="545"/>
      <c r="V272" s="545"/>
      <c r="W272" s="545"/>
      <c r="X272" s="545"/>
      <c r="Y272" s="545"/>
      <c r="Z272" s="545"/>
      <c r="AA272" s="545"/>
      <c r="AB272" s="545"/>
      <c r="AC272" s="545"/>
      <c r="AD272" s="545"/>
      <c r="AE272" s="545"/>
      <c r="AF272" s="545"/>
      <c r="AG272" s="545"/>
      <c r="AH272" s="545"/>
      <c r="AI272" s="545"/>
      <c r="AJ272" s="545"/>
      <c r="AK272" s="545"/>
      <c r="AL272" s="545"/>
      <c r="AM272" s="545"/>
      <c r="AN272" s="545"/>
      <c r="AO272" s="545"/>
      <c r="AP272" s="545"/>
      <c r="AQ272" s="545"/>
      <c r="AR272" s="545"/>
      <c r="AS272" s="545"/>
      <c r="AT272" s="545"/>
      <c r="AU272" s="545"/>
      <c r="AV272" s="545"/>
      <c r="AW272" s="545"/>
      <c r="AX272" s="545"/>
      <c r="AY272" s="545"/>
      <c r="AZ272" s="545"/>
      <c r="BA272" s="545"/>
      <c r="BB272" s="545"/>
      <c r="BC272" s="545"/>
      <c r="BD272" s="545"/>
      <c r="BE272" s="545"/>
      <c r="BF272" s="545"/>
      <c r="BG272" s="545"/>
      <c r="BH272" s="545"/>
      <c r="BI272" s="545"/>
      <c r="BJ272" s="545"/>
      <c r="BK272" s="545"/>
      <c r="BL272" s="545"/>
      <c r="BM272" s="545"/>
      <c r="BN272" s="545"/>
      <c r="BO272" s="545"/>
      <c r="BP272" s="545"/>
      <c r="BQ272" s="545"/>
      <c r="BR272" s="545"/>
      <c r="BS272" s="545"/>
      <c r="BT272" s="545"/>
      <c r="BU272" s="545"/>
      <c r="BV272" s="545"/>
      <c r="BW272" s="545"/>
      <c r="BX272" s="545"/>
      <c r="BY272" s="545"/>
      <c r="BZ272" s="545"/>
      <c r="CA272" s="545"/>
      <c r="CB272" s="545"/>
      <c r="CC272" s="545"/>
      <c r="CD272" s="545"/>
      <c r="CE272" s="545"/>
      <c r="CF272" s="545"/>
      <c r="CG272" s="545"/>
      <c r="CH272" s="545"/>
      <c r="CI272" s="545"/>
      <c r="CJ272" s="545"/>
      <c r="CK272" s="545"/>
      <c r="CL272" s="545"/>
      <c r="CM272" s="545"/>
      <c r="CN272" s="545"/>
      <c r="CO272" s="545"/>
      <c r="CP272" s="545"/>
      <c r="CQ272" s="545"/>
      <c r="CR272" s="545"/>
      <c r="CS272" s="545"/>
      <c r="CT272" s="545"/>
      <c r="CU272" s="545"/>
      <c r="CV272" s="545"/>
      <c r="CW272" s="545"/>
      <c r="CX272" s="545"/>
      <c r="CY272" s="545"/>
      <c r="CZ272" s="545"/>
      <c r="DA272" s="545"/>
      <c r="DB272" s="545"/>
      <c r="DC272" s="545"/>
      <c r="DD272" s="545"/>
      <c r="DE272" s="545"/>
      <c r="DF272" s="545"/>
      <c r="DG272" s="545"/>
      <c r="DH272" s="545"/>
      <c r="DI272" s="545"/>
      <c r="DJ272" s="545"/>
      <c r="DK272" s="545"/>
      <c r="DL272" s="545"/>
      <c r="DM272" s="545"/>
      <c r="DN272" s="545"/>
      <c r="DO272" s="545"/>
      <c r="DP272" s="545"/>
      <c r="DQ272" s="545"/>
      <c r="DR272" s="545"/>
      <c r="DS272" s="545"/>
      <c r="DT272" s="545"/>
      <c r="DU272" s="545"/>
      <c r="DV272" s="545"/>
      <c r="DW272" s="545"/>
      <c r="DX272" s="545"/>
      <c r="DY272" s="545"/>
      <c r="DZ272" s="545"/>
      <c r="EA272" s="545"/>
      <c r="EB272" s="545"/>
      <c r="EC272" s="545"/>
      <c r="ED272" s="545"/>
      <c r="EE272" s="545"/>
      <c r="EF272" s="545"/>
      <c r="EG272" s="545"/>
      <c r="EH272" s="545"/>
      <c r="EI272" s="545"/>
      <c r="EJ272" s="545"/>
      <c r="EK272" s="545"/>
      <c r="EL272" s="545"/>
      <c r="EM272" s="545"/>
      <c r="EN272" s="545"/>
      <c r="EO272" s="545"/>
      <c r="EP272" s="545"/>
      <c r="EQ272" s="545"/>
      <c r="ER272" s="545"/>
      <c r="ES272" s="545"/>
      <c r="ET272" s="545"/>
      <c r="EU272" s="545"/>
      <c r="EV272" s="545"/>
      <c r="EW272" s="545"/>
      <c r="EX272" s="545"/>
      <c r="EY272" s="545"/>
      <c r="EZ272" s="545"/>
      <c r="FA272" s="545"/>
      <c r="FB272" s="545"/>
      <c r="FC272" s="545"/>
      <c r="FD272" s="545"/>
      <c r="FE272" s="545"/>
      <c r="FF272" s="545"/>
      <c r="FG272" s="545"/>
      <c r="FH272" s="545"/>
      <c r="FI272" s="545"/>
      <c r="FJ272" s="545"/>
      <c r="FK272" s="545"/>
      <c r="FL272" s="545"/>
      <c r="FM272" s="338"/>
      <c r="FN272" s="78"/>
      <c r="FO272" s="78"/>
      <c r="FP272" s="78"/>
      <c r="FQ272" s="78"/>
      <c r="FR272" s="78"/>
      <c r="FS272" s="78"/>
      <c r="FT272" s="78"/>
      <c r="FU272" s="78"/>
      <c r="FV272" s="78"/>
      <c r="FW272" s="78"/>
      <c r="FX272" s="78"/>
      <c r="FY272" s="32"/>
      <c r="FZ272" s="32"/>
      <c r="GA272" s="32"/>
      <c r="GB272" s="32"/>
      <c r="GC272" s="32"/>
      <c r="GD272" s="32"/>
      <c r="GE272" s="32"/>
      <c r="GF272" s="32"/>
      <c r="GG272" s="32"/>
      <c r="GH272" s="32"/>
      <c r="GI272" s="32"/>
      <c r="GJ272" s="32"/>
      <c r="GK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78"/>
      <c r="HO272" s="78"/>
      <c r="HP272" s="78"/>
      <c r="HQ272" s="13"/>
      <c r="HR272" s="13"/>
      <c r="HS272" s="13"/>
      <c r="HT272" s="13"/>
      <c r="HU272" s="13"/>
      <c r="HV272" s="13"/>
      <c r="HW272" s="13"/>
      <c r="HX272" s="13"/>
      <c r="HY272" s="13"/>
      <c r="HZ272" s="13"/>
      <c r="IA272" s="13"/>
    </row>
    <row r="273" spans="1:235" ht="9.75" customHeight="1">
      <c r="A273" s="1"/>
      <c r="B273" s="3"/>
      <c r="C273" s="3"/>
      <c r="D273" s="330" t="str">
        <f t="shared" ca="1" si="46"/>
        <v>`</v>
      </c>
      <c r="E273" s="545"/>
      <c r="F273" s="545"/>
      <c r="G273" s="545"/>
      <c r="H273" s="545"/>
      <c r="I273" s="545"/>
      <c r="J273" s="545"/>
      <c r="K273" s="545"/>
      <c r="L273" s="545"/>
      <c r="M273" s="545"/>
      <c r="N273" s="545"/>
      <c r="O273" s="545"/>
      <c r="P273" s="545"/>
      <c r="Q273" s="545"/>
      <c r="R273" s="545"/>
      <c r="S273" s="545"/>
      <c r="T273" s="545"/>
      <c r="U273" s="545"/>
      <c r="V273" s="545"/>
      <c r="W273" s="545"/>
      <c r="X273" s="545"/>
      <c r="Y273" s="545"/>
      <c r="Z273" s="545"/>
      <c r="AA273" s="545"/>
      <c r="AB273" s="545"/>
      <c r="AC273" s="545"/>
      <c r="AD273" s="545"/>
      <c r="AE273" s="545"/>
      <c r="AF273" s="545"/>
      <c r="AG273" s="545"/>
      <c r="AH273" s="545"/>
      <c r="AI273" s="545"/>
      <c r="AJ273" s="545"/>
      <c r="AK273" s="545"/>
      <c r="AL273" s="545"/>
      <c r="AM273" s="545"/>
      <c r="AN273" s="545"/>
      <c r="AO273" s="545"/>
      <c r="AP273" s="545"/>
      <c r="AQ273" s="545"/>
      <c r="AR273" s="545"/>
      <c r="AS273" s="545"/>
      <c r="AT273" s="545"/>
      <c r="AU273" s="545"/>
      <c r="AV273" s="545"/>
      <c r="AW273" s="545"/>
      <c r="AX273" s="545"/>
      <c r="AY273" s="545"/>
      <c r="AZ273" s="545"/>
      <c r="BA273" s="545"/>
      <c r="BB273" s="545"/>
      <c r="BC273" s="545"/>
      <c r="BD273" s="545"/>
      <c r="BE273" s="545"/>
      <c r="BF273" s="545"/>
      <c r="BG273" s="545"/>
      <c r="BH273" s="545"/>
      <c r="BI273" s="545"/>
      <c r="BJ273" s="545"/>
      <c r="BK273" s="545"/>
      <c r="BL273" s="545"/>
      <c r="BM273" s="545"/>
      <c r="BN273" s="545"/>
      <c r="BO273" s="545"/>
      <c r="BP273" s="545"/>
      <c r="BQ273" s="545"/>
      <c r="BR273" s="545"/>
      <c r="BS273" s="545"/>
      <c r="BT273" s="545"/>
      <c r="BU273" s="545"/>
      <c r="BV273" s="545"/>
      <c r="BW273" s="545"/>
      <c r="BX273" s="545"/>
      <c r="BY273" s="545"/>
      <c r="BZ273" s="545"/>
      <c r="CA273" s="545"/>
      <c r="CB273" s="545"/>
      <c r="CC273" s="545"/>
      <c r="CD273" s="545"/>
      <c r="CE273" s="545"/>
      <c r="CF273" s="545"/>
      <c r="CG273" s="545"/>
      <c r="CH273" s="545"/>
      <c r="CI273" s="545"/>
      <c r="CJ273" s="545"/>
      <c r="CK273" s="545"/>
      <c r="CL273" s="545"/>
      <c r="CM273" s="545"/>
      <c r="CN273" s="545"/>
      <c r="CO273" s="545"/>
      <c r="CP273" s="545"/>
      <c r="CQ273" s="545"/>
      <c r="CR273" s="545"/>
      <c r="CS273" s="545"/>
      <c r="CT273" s="545"/>
      <c r="CU273" s="545"/>
      <c r="CV273" s="545"/>
      <c r="CW273" s="545"/>
      <c r="CX273" s="545"/>
      <c r="CY273" s="545"/>
      <c r="CZ273" s="545"/>
      <c r="DA273" s="545"/>
      <c r="DB273" s="545"/>
      <c r="DC273" s="545"/>
      <c r="DD273" s="545"/>
      <c r="DE273" s="545"/>
      <c r="DF273" s="545"/>
      <c r="DG273" s="545"/>
      <c r="DH273" s="545"/>
      <c r="DI273" s="545"/>
      <c r="DJ273" s="545"/>
      <c r="DK273" s="545"/>
      <c r="DL273" s="545"/>
      <c r="DM273" s="545"/>
      <c r="DN273" s="545"/>
      <c r="DO273" s="545"/>
      <c r="DP273" s="545"/>
      <c r="DQ273" s="545"/>
      <c r="DR273" s="545"/>
      <c r="DS273" s="545"/>
      <c r="DT273" s="545"/>
      <c r="DU273" s="545"/>
      <c r="DV273" s="545"/>
      <c r="DW273" s="545"/>
      <c r="DX273" s="545"/>
      <c r="DY273" s="545"/>
      <c r="DZ273" s="545"/>
      <c r="EA273" s="545"/>
      <c r="EB273" s="545"/>
      <c r="EC273" s="545"/>
      <c r="ED273" s="545"/>
      <c r="EE273" s="545"/>
      <c r="EF273" s="545"/>
      <c r="EG273" s="545"/>
      <c r="EH273" s="545"/>
      <c r="EI273" s="545"/>
      <c r="EJ273" s="545"/>
      <c r="EK273" s="545"/>
      <c r="EL273" s="545"/>
      <c r="EM273" s="545"/>
      <c r="EN273" s="545"/>
      <c r="EO273" s="545"/>
      <c r="EP273" s="545"/>
      <c r="EQ273" s="545"/>
      <c r="ER273" s="545"/>
      <c r="ES273" s="545"/>
      <c r="ET273" s="545"/>
      <c r="EU273" s="545"/>
      <c r="EV273" s="545"/>
      <c r="EW273" s="545"/>
      <c r="EX273" s="545"/>
      <c r="EY273" s="545"/>
      <c r="EZ273" s="545"/>
      <c r="FA273" s="545"/>
      <c r="FB273" s="545"/>
      <c r="FC273" s="545"/>
      <c r="FD273" s="545"/>
      <c r="FE273" s="545"/>
      <c r="FF273" s="545"/>
      <c r="FG273" s="545"/>
      <c r="FH273" s="545"/>
      <c r="FI273" s="545"/>
      <c r="FJ273" s="545"/>
      <c r="FK273" s="545"/>
      <c r="FL273" s="545"/>
      <c r="FM273" s="338"/>
      <c r="FN273" s="78"/>
      <c r="FO273" s="78"/>
      <c r="FP273" s="78"/>
      <c r="FQ273" s="78"/>
      <c r="FR273" s="78"/>
      <c r="FS273" s="78"/>
      <c r="FT273" s="78"/>
      <c r="FU273" s="78"/>
      <c r="FV273" s="78"/>
      <c r="FW273" s="78"/>
      <c r="FX273" s="78"/>
      <c r="FY273" s="32"/>
      <c r="FZ273" s="32"/>
      <c r="GA273" s="32"/>
      <c r="GB273" s="32"/>
      <c r="GC273" s="32"/>
      <c r="GD273" s="32"/>
      <c r="GE273" s="32"/>
      <c r="GF273" s="32"/>
      <c r="GG273" s="32"/>
      <c r="GH273" s="32"/>
      <c r="GI273" s="32"/>
      <c r="GJ273" s="32"/>
      <c r="GK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78"/>
      <c r="HO273" s="78"/>
      <c r="HP273" s="78"/>
      <c r="HQ273" s="13"/>
      <c r="HR273" s="13"/>
      <c r="HS273" s="13"/>
      <c r="HT273" s="13"/>
      <c r="HU273" s="13"/>
      <c r="HV273" s="13"/>
      <c r="HW273" s="13"/>
      <c r="HX273" s="13"/>
      <c r="HY273" s="13"/>
      <c r="HZ273" s="13"/>
      <c r="IA273" s="13"/>
    </row>
    <row r="274" spans="1:235" ht="9.75" customHeight="1">
      <c r="A274" s="1"/>
      <c r="B274" s="3"/>
      <c r="C274" s="3"/>
      <c r="D274" s="330" t="str">
        <f t="shared" ca="1" si="46"/>
        <v>`</v>
      </c>
      <c r="E274" s="545"/>
      <c r="F274" s="545"/>
      <c r="G274" s="545"/>
      <c r="H274" s="545"/>
      <c r="I274" s="545"/>
      <c r="J274" s="545"/>
      <c r="K274" s="545"/>
      <c r="L274" s="545"/>
      <c r="M274" s="545"/>
      <c r="N274" s="545"/>
      <c r="O274" s="545"/>
      <c r="P274" s="545"/>
      <c r="Q274" s="545"/>
      <c r="R274" s="545"/>
      <c r="S274" s="545"/>
      <c r="T274" s="545"/>
      <c r="U274" s="545"/>
      <c r="V274" s="545"/>
      <c r="W274" s="545"/>
      <c r="X274" s="545"/>
      <c r="Y274" s="545"/>
      <c r="Z274" s="545"/>
      <c r="AA274" s="545"/>
      <c r="AB274" s="545"/>
      <c r="AC274" s="545"/>
      <c r="AD274" s="545"/>
      <c r="AE274" s="545"/>
      <c r="AF274" s="545"/>
      <c r="AG274" s="545"/>
      <c r="AH274" s="545"/>
      <c r="AI274" s="545"/>
      <c r="AJ274" s="545"/>
      <c r="AK274" s="545"/>
      <c r="AL274" s="545"/>
      <c r="AM274" s="545"/>
      <c r="AN274" s="545"/>
      <c r="AO274" s="545"/>
      <c r="AP274" s="545"/>
      <c r="AQ274" s="545"/>
      <c r="AR274" s="545"/>
      <c r="AS274" s="545"/>
      <c r="AT274" s="545"/>
      <c r="AU274" s="545"/>
      <c r="AV274" s="545"/>
      <c r="AW274" s="545"/>
      <c r="AX274" s="545"/>
      <c r="AY274" s="545"/>
      <c r="AZ274" s="545"/>
      <c r="BA274" s="545"/>
      <c r="BB274" s="545"/>
      <c r="BC274" s="545"/>
      <c r="BD274" s="545"/>
      <c r="BE274" s="545"/>
      <c r="BF274" s="545"/>
      <c r="BG274" s="545"/>
      <c r="BH274" s="545"/>
      <c r="BI274" s="545"/>
      <c r="BJ274" s="545"/>
      <c r="BK274" s="545"/>
      <c r="BL274" s="545"/>
      <c r="BM274" s="545"/>
      <c r="BN274" s="545"/>
      <c r="BO274" s="545"/>
      <c r="BP274" s="545"/>
      <c r="BQ274" s="545"/>
      <c r="BR274" s="545"/>
      <c r="BS274" s="545"/>
      <c r="BT274" s="545"/>
      <c r="BU274" s="545"/>
      <c r="BV274" s="545"/>
      <c r="BW274" s="545"/>
      <c r="BX274" s="545"/>
      <c r="BY274" s="545"/>
      <c r="BZ274" s="545"/>
      <c r="CA274" s="545"/>
      <c r="CB274" s="545"/>
      <c r="CC274" s="545"/>
      <c r="CD274" s="545"/>
      <c r="CE274" s="545"/>
      <c r="CF274" s="545"/>
      <c r="CG274" s="545"/>
      <c r="CH274" s="545"/>
      <c r="CI274" s="545"/>
      <c r="CJ274" s="545"/>
      <c r="CK274" s="545"/>
      <c r="CL274" s="545"/>
      <c r="CM274" s="545"/>
      <c r="CN274" s="545"/>
      <c r="CO274" s="545"/>
      <c r="CP274" s="545"/>
      <c r="CQ274" s="545"/>
      <c r="CR274" s="545"/>
      <c r="CS274" s="545"/>
      <c r="CT274" s="545"/>
      <c r="CU274" s="545"/>
      <c r="CV274" s="545"/>
      <c r="CW274" s="545"/>
      <c r="CX274" s="545"/>
      <c r="CY274" s="545"/>
      <c r="CZ274" s="545"/>
      <c r="DA274" s="545"/>
      <c r="DB274" s="545"/>
      <c r="DC274" s="545"/>
      <c r="DD274" s="545"/>
      <c r="DE274" s="545"/>
      <c r="DF274" s="545"/>
      <c r="DG274" s="545"/>
      <c r="DH274" s="545"/>
      <c r="DI274" s="545"/>
      <c r="DJ274" s="545"/>
      <c r="DK274" s="545"/>
      <c r="DL274" s="545"/>
      <c r="DM274" s="545"/>
      <c r="DN274" s="545"/>
      <c r="DO274" s="545"/>
      <c r="DP274" s="545"/>
      <c r="DQ274" s="545"/>
      <c r="DR274" s="545"/>
      <c r="DS274" s="545"/>
      <c r="DT274" s="545"/>
      <c r="DU274" s="545"/>
      <c r="DV274" s="545"/>
      <c r="DW274" s="545"/>
      <c r="DX274" s="545"/>
      <c r="DY274" s="545"/>
      <c r="DZ274" s="545"/>
      <c r="EA274" s="545"/>
      <c r="EB274" s="545"/>
      <c r="EC274" s="545"/>
      <c r="ED274" s="545"/>
      <c r="EE274" s="545"/>
      <c r="EF274" s="545"/>
      <c r="EG274" s="545"/>
      <c r="EH274" s="545"/>
      <c r="EI274" s="545"/>
      <c r="EJ274" s="545"/>
      <c r="EK274" s="545"/>
      <c r="EL274" s="545"/>
      <c r="EM274" s="545"/>
      <c r="EN274" s="545"/>
      <c r="EO274" s="545"/>
      <c r="EP274" s="545"/>
      <c r="EQ274" s="545"/>
      <c r="ER274" s="545"/>
      <c r="ES274" s="545"/>
      <c r="ET274" s="545"/>
      <c r="EU274" s="545"/>
      <c r="EV274" s="545"/>
      <c r="EW274" s="545"/>
      <c r="EX274" s="545"/>
      <c r="EY274" s="545"/>
      <c r="EZ274" s="545"/>
      <c r="FA274" s="545"/>
      <c r="FB274" s="545"/>
      <c r="FC274" s="545"/>
      <c r="FD274" s="545"/>
      <c r="FE274" s="545"/>
      <c r="FF274" s="545"/>
      <c r="FG274" s="545"/>
      <c r="FH274" s="545"/>
      <c r="FI274" s="545"/>
      <c r="FJ274" s="545"/>
      <c r="FK274" s="545"/>
      <c r="FL274" s="545"/>
      <c r="FM274" s="338"/>
      <c r="FN274" s="78"/>
      <c r="FO274" s="78"/>
      <c r="FP274" s="78"/>
      <c r="FQ274" s="78"/>
      <c r="FR274" s="78"/>
      <c r="FS274" s="78"/>
      <c r="FT274" s="78"/>
      <c r="FU274" s="78"/>
      <c r="FV274" s="78"/>
      <c r="FW274" s="78"/>
      <c r="FX274" s="78"/>
      <c r="FY274" s="32"/>
      <c r="FZ274" s="32"/>
      <c r="GA274" s="32"/>
      <c r="GB274" s="32"/>
      <c r="GC274" s="32"/>
      <c r="GD274" s="32"/>
      <c r="GE274" s="32"/>
      <c r="GF274" s="32"/>
      <c r="GG274" s="32"/>
      <c r="GH274" s="32"/>
      <c r="GI274" s="32"/>
      <c r="GJ274" s="32"/>
      <c r="GK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78"/>
      <c r="HO274" s="78"/>
      <c r="HP274" s="78"/>
      <c r="HQ274" s="13"/>
      <c r="HR274" s="13"/>
      <c r="HS274" s="13"/>
      <c r="HT274" s="13"/>
      <c r="HU274" s="13"/>
      <c r="HV274" s="13"/>
      <c r="HW274" s="13"/>
      <c r="HX274" s="13"/>
      <c r="HY274" s="13"/>
      <c r="HZ274" s="13"/>
      <c r="IA274" s="13"/>
    </row>
    <row r="275" spans="1:235" ht="9.75" customHeight="1">
      <c r="A275" s="1"/>
      <c r="B275" s="3"/>
      <c r="C275" s="3"/>
      <c r="D275" s="330" t="str">
        <f t="shared" ca="1" si="46"/>
        <v>`</v>
      </c>
      <c r="E275" s="545"/>
      <c r="F275" s="545"/>
      <c r="G275" s="545"/>
      <c r="H275" s="545"/>
      <c r="I275" s="545"/>
      <c r="J275" s="545"/>
      <c r="K275" s="545"/>
      <c r="L275" s="545"/>
      <c r="M275" s="545"/>
      <c r="N275" s="545"/>
      <c r="O275" s="545"/>
      <c r="P275" s="545"/>
      <c r="Q275" s="545"/>
      <c r="R275" s="545"/>
      <c r="S275" s="545"/>
      <c r="T275" s="545"/>
      <c r="U275" s="545"/>
      <c r="V275" s="545"/>
      <c r="W275" s="545"/>
      <c r="X275" s="545"/>
      <c r="Y275" s="545"/>
      <c r="Z275" s="545"/>
      <c r="AA275" s="545"/>
      <c r="AB275" s="545"/>
      <c r="AC275" s="545"/>
      <c r="AD275" s="545"/>
      <c r="AE275" s="545"/>
      <c r="AF275" s="545"/>
      <c r="AG275" s="545"/>
      <c r="AH275" s="545"/>
      <c r="AI275" s="545"/>
      <c r="AJ275" s="545"/>
      <c r="AK275" s="545"/>
      <c r="AL275" s="545"/>
      <c r="AM275" s="545"/>
      <c r="AN275" s="545"/>
      <c r="AO275" s="545"/>
      <c r="AP275" s="545"/>
      <c r="AQ275" s="545"/>
      <c r="AR275" s="545"/>
      <c r="AS275" s="545"/>
      <c r="AT275" s="545"/>
      <c r="AU275" s="545"/>
      <c r="AV275" s="545"/>
      <c r="AW275" s="545"/>
      <c r="AX275" s="545"/>
      <c r="AY275" s="545"/>
      <c r="AZ275" s="545"/>
      <c r="BA275" s="545"/>
      <c r="BB275" s="545"/>
      <c r="BC275" s="545"/>
      <c r="BD275" s="545"/>
      <c r="BE275" s="545"/>
      <c r="BF275" s="545"/>
      <c r="BG275" s="545"/>
      <c r="BH275" s="545"/>
      <c r="BI275" s="545"/>
      <c r="BJ275" s="545"/>
      <c r="BK275" s="545"/>
      <c r="BL275" s="545"/>
      <c r="BM275" s="545"/>
      <c r="BN275" s="545"/>
      <c r="BO275" s="545"/>
      <c r="BP275" s="545"/>
      <c r="BQ275" s="545"/>
      <c r="BR275" s="545"/>
      <c r="BS275" s="545"/>
      <c r="BT275" s="545"/>
      <c r="BU275" s="545"/>
      <c r="BV275" s="545"/>
      <c r="BW275" s="545"/>
      <c r="BX275" s="545"/>
      <c r="BY275" s="545"/>
      <c r="BZ275" s="545"/>
      <c r="CA275" s="545"/>
      <c r="CB275" s="545"/>
      <c r="CC275" s="545"/>
      <c r="CD275" s="545"/>
      <c r="CE275" s="545"/>
      <c r="CF275" s="545"/>
      <c r="CG275" s="545"/>
      <c r="CH275" s="545"/>
      <c r="CI275" s="545"/>
      <c r="CJ275" s="545"/>
      <c r="CK275" s="545"/>
      <c r="CL275" s="545"/>
      <c r="CM275" s="545"/>
      <c r="CN275" s="545"/>
      <c r="CO275" s="545"/>
      <c r="CP275" s="545"/>
      <c r="CQ275" s="545"/>
      <c r="CR275" s="545"/>
      <c r="CS275" s="545"/>
      <c r="CT275" s="545"/>
      <c r="CU275" s="545"/>
      <c r="CV275" s="545"/>
      <c r="CW275" s="545"/>
      <c r="CX275" s="545"/>
      <c r="CY275" s="545"/>
      <c r="CZ275" s="545"/>
      <c r="DA275" s="545"/>
      <c r="DB275" s="545"/>
      <c r="DC275" s="545"/>
      <c r="DD275" s="545"/>
      <c r="DE275" s="545"/>
      <c r="DF275" s="545"/>
      <c r="DG275" s="545"/>
      <c r="DH275" s="545"/>
      <c r="DI275" s="545"/>
      <c r="DJ275" s="545"/>
      <c r="DK275" s="545"/>
      <c r="DL275" s="545"/>
      <c r="DM275" s="545"/>
      <c r="DN275" s="545"/>
      <c r="DO275" s="545"/>
      <c r="DP275" s="545"/>
      <c r="DQ275" s="545"/>
      <c r="DR275" s="545"/>
      <c r="DS275" s="545"/>
      <c r="DT275" s="545"/>
      <c r="DU275" s="545"/>
      <c r="DV275" s="545"/>
      <c r="DW275" s="545"/>
      <c r="DX275" s="545"/>
      <c r="DY275" s="545"/>
      <c r="DZ275" s="545"/>
      <c r="EA275" s="545"/>
      <c r="EB275" s="545"/>
      <c r="EC275" s="545"/>
      <c r="ED275" s="545"/>
      <c r="EE275" s="545"/>
      <c r="EF275" s="545"/>
      <c r="EG275" s="545"/>
      <c r="EH275" s="545"/>
      <c r="EI275" s="545"/>
      <c r="EJ275" s="545"/>
      <c r="EK275" s="545"/>
      <c r="EL275" s="545"/>
      <c r="EM275" s="545"/>
      <c r="EN275" s="545"/>
      <c r="EO275" s="545"/>
      <c r="EP275" s="545"/>
      <c r="EQ275" s="545"/>
      <c r="ER275" s="545"/>
      <c r="ES275" s="545"/>
      <c r="ET275" s="545"/>
      <c r="EU275" s="545"/>
      <c r="EV275" s="545"/>
      <c r="EW275" s="545"/>
      <c r="EX275" s="545"/>
      <c r="EY275" s="545"/>
      <c r="EZ275" s="545"/>
      <c r="FA275" s="545"/>
      <c r="FB275" s="545"/>
      <c r="FC275" s="545"/>
      <c r="FD275" s="545"/>
      <c r="FE275" s="545"/>
      <c r="FF275" s="545"/>
      <c r="FG275" s="545"/>
      <c r="FH275" s="545"/>
      <c r="FI275" s="545"/>
      <c r="FJ275" s="545"/>
      <c r="FK275" s="545"/>
      <c r="FL275" s="545"/>
      <c r="FM275" s="338"/>
      <c r="FN275" s="78"/>
      <c r="FO275" s="78"/>
      <c r="FP275" s="78"/>
      <c r="FQ275" s="78"/>
      <c r="FR275" s="78"/>
      <c r="FS275" s="78"/>
      <c r="FT275" s="78"/>
      <c r="FU275" s="78"/>
      <c r="FV275" s="78"/>
      <c r="FW275" s="78"/>
      <c r="FX275" s="78"/>
      <c r="FY275" s="32"/>
      <c r="FZ275" s="32"/>
      <c r="GA275" s="32"/>
      <c r="GB275" s="32"/>
      <c r="GC275" s="32"/>
      <c r="GD275" s="32"/>
      <c r="GE275" s="32"/>
      <c r="GF275" s="32"/>
      <c r="GG275" s="32"/>
      <c r="GH275" s="32"/>
      <c r="GI275" s="32"/>
      <c r="GJ275" s="32"/>
      <c r="GK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78"/>
      <c r="HO275" s="78"/>
      <c r="HP275" s="78"/>
      <c r="HQ275" s="13"/>
      <c r="HR275" s="13"/>
      <c r="HS275" s="13"/>
      <c r="HT275" s="13"/>
      <c r="HU275" s="13"/>
      <c r="HV275" s="13"/>
      <c r="HW275" s="13"/>
      <c r="HX275" s="13"/>
      <c r="HY275" s="13"/>
      <c r="HZ275" s="13"/>
      <c r="IA275" s="13"/>
    </row>
    <row r="276" spans="1:235" ht="9.75" customHeight="1">
      <c r="A276" s="1"/>
      <c r="B276" s="3"/>
      <c r="C276" s="3"/>
      <c r="D276" s="330" t="str">
        <f t="shared" ca="1" si="46"/>
        <v>`</v>
      </c>
      <c r="E276" s="545"/>
      <c r="F276" s="545"/>
      <c r="G276" s="545"/>
      <c r="H276" s="545"/>
      <c r="I276" s="545"/>
      <c r="J276" s="545"/>
      <c r="K276" s="545"/>
      <c r="L276" s="545"/>
      <c r="M276" s="545"/>
      <c r="N276" s="545"/>
      <c r="O276" s="545"/>
      <c r="P276" s="545"/>
      <c r="Q276" s="545"/>
      <c r="R276" s="545"/>
      <c r="S276" s="545"/>
      <c r="T276" s="545"/>
      <c r="U276" s="545"/>
      <c r="V276" s="545"/>
      <c r="W276" s="545"/>
      <c r="X276" s="545"/>
      <c r="Y276" s="545"/>
      <c r="Z276" s="545"/>
      <c r="AA276" s="545"/>
      <c r="AB276" s="545"/>
      <c r="AC276" s="545"/>
      <c r="AD276" s="545"/>
      <c r="AE276" s="545"/>
      <c r="AF276" s="545"/>
      <c r="AG276" s="545"/>
      <c r="AH276" s="545"/>
      <c r="AI276" s="545"/>
      <c r="AJ276" s="545"/>
      <c r="AK276" s="545"/>
      <c r="AL276" s="545"/>
      <c r="AM276" s="545"/>
      <c r="AN276" s="545"/>
      <c r="AO276" s="545"/>
      <c r="AP276" s="545"/>
      <c r="AQ276" s="545"/>
      <c r="AR276" s="545"/>
      <c r="AS276" s="545"/>
      <c r="AT276" s="545"/>
      <c r="AU276" s="545"/>
      <c r="AV276" s="545"/>
      <c r="AW276" s="545"/>
      <c r="AX276" s="545"/>
      <c r="AY276" s="545"/>
      <c r="AZ276" s="545"/>
      <c r="BA276" s="545"/>
      <c r="BB276" s="545"/>
      <c r="BC276" s="545"/>
      <c r="BD276" s="545"/>
      <c r="BE276" s="545"/>
      <c r="BF276" s="545"/>
      <c r="BG276" s="545"/>
      <c r="BH276" s="545"/>
      <c r="BI276" s="545"/>
      <c r="BJ276" s="545"/>
      <c r="BK276" s="545"/>
      <c r="BL276" s="545"/>
      <c r="BM276" s="545"/>
      <c r="BN276" s="545"/>
      <c r="BO276" s="545"/>
      <c r="BP276" s="545"/>
      <c r="BQ276" s="545"/>
      <c r="BR276" s="545"/>
      <c r="BS276" s="545"/>
      <c r="BT276" s="545"/>
      <c r="BU276" s="545"/>
      <c r="BV276" s="545"/>
      <c r="BW276" s="545"/>
      <c r="BX276" s="545"/>
      <c r="BY276" s="545"/>
      <c r="BZ276" s="545"/>
      <c r="CA276" s="545"/>
      <c r="CB276" s="545"/>
      <c r="CC276" s="545"/>
      <c r="CD276" s="545"/>
      <c r="CE276" s="545"/>
      <c r="CF276" s="545"/>
      <c r="CG276" s="545"/>
      <c r="CH276" s="545"/>
      <c r="CI276" s="545"/>
      <c r="CJ276" s="545"/>
      <c r="CK276" s="545"/>
      <c r="CL276" s="545"/>
      <c r="CM276" s="545"/>
      <c r="CN276" s="545"/>
      <c r="CO276" s="545"/>
      <c r="CP276" s="545"/>
      <c r="CQ276" s="545"/>
      <c r="CR276" s="545"/>
      <c r="CS276" s="545"/>
      <c r="CT276" s="545"/>
      <c r="CU276" s="545"/>
      <c r="CV276" s="545"/>
      <c r="CW276" s="545"/>
      <c r="CX276" s="545"/>
      <c r="CY276" s="545"/>
      <c r="CZ276" s="545"/>
      <c r="DA276" s="545"/>
      <c r="DB276" s="545"/>
      <c r="DC276" s="545"/>
      <c r="DD276" s="545"/>
      <c r="DE276" s="545"/>
      <c r="DF276" s="545"/>
      <c r="DG276" s="545"/>
      <c r="DH276" s="545"/>
      <c r="DI276" s="545"/>
      <c r="DJ276" s="545"/>
      <c r="DK276" s="545"/>
      <c r="DL276" s="545"/>
      <c r="DM276" s="545"/>
      <c r="DN276" s="545"/>
      <c r="DO276" s="545"/>
      <c r="DP276" s="545"/>
      <c r="DQ276" s="545"/>
      <c r="DR276" s="545"/>
      <c r="DS276" s="545"/>
      <c r="DT276" s="545"/>
      <c r="DU276" s="545"/>
      <c r="DV276" s="545"/>
      <c r="DW276" s="545"/>
      <c r="DX276" s="545"/>
      <c r="DY276" s="545"/>
      <c r="DZ276" s="545"/>
      <c r="EA276" s="545"/>
      <c r="EB276" s="545"/>
      <c r="EC276" s="545"/>
      <c r="ED276" s="545"/>
      <c r="EE276" s="545"/>
      <c r="EF276" s="545"/>
      <c r="EG276" s="545"/>
      <c r="EH276" s="545"/>
      <c r="EI276" s="545"/>
      <c r="EJ276" s="545"/>
      <c r="EK276" s="545"/>
      <c r="EL276" s="545"/>
      <c r="EM276" s="545"/>
      <c r="EN276" s="545"/>
      <c r="EO276" s="545"/>
      <c r="EP276" s="545"/>
      <c r="EQ276" s="545"/>
      <c r="ER276" s="545"/>
      <c r="ES276" s="545"/>
      <c r="ET276" s="545"/>
      <c r="EU276" s="545"/>
      <c r="EV276" s="545"/>
      <c r="EW276" s="545"/>
      <c r="EX276" s="545"/>
      <c r="EY276" s="545"/>
      <c r="EZ276" s="545"/>
      <c r="FA276" s="545"/>
      <c r="FB276" s="545"/>
      <c r="FC276" s="545"/>
      <c r="FD276" s="545"/>
      <c r="FE276" s="545"/>
      <c r="FF276" s="545"/>
      <c r="FG276" s="545"/>
      <c r="FH276" s="545"/>
      <c r="FI276" s="545"/>
      <c r="FJ276" s="545"/>
      <c r="FK276" s="545"/>
      <c r="FL276" s="545"/>
      <c r="FM276" s="338"/>
      <c r="FN276" s="78"/>
      <c r="FO276" s="78"/>
      <c r="FP276" s="78"/>
      <c r="FQ276" s="78"/>
      <c r="FR276" s="78"/>
      <c r="FS276" s="78"/>
      <c r="FT276" s="78"/>
      <c r="FU276" s="78"/>
      <c r="FV276" s="78"/>
      <c r="FW276" s="78"/>
      <c r="FX276" s="78"/>
      <c r="FY276" s="32"/>
      <c r="FZ276" s="32"/>
      <c r="GA276" s="32"/>
      <c r="GB276" s="32"/>
      <c r="GC276" s="32"/>
      <c r="GD276" s="32"/>
      <c r="GE276" s="32"/>
      <c r="GF276" s="32"/>
      <c r="GG276" s="32"/>
      <c r="GH276" s="32"/>
      <c r="GI276" s="32"/>
      <c r="GJ276" s="32"/>
      <c r="GK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78"/>
      <c r="HO276" s="78"/>
      <c r="HP276" s="78"/>
      <c r="HQ276" s="13"/>
      <c r="HR276" s="13"/>
      <c r="HS276" s="13"/>
      <c r="HT276" s="13"/>
      <c r="HU276" s="13"/>
      <c r="HV276" s="13"/>
      <c r="HW276" s="13"/>
      <c r="HX276" s="13"/>
      <c r="HY276" s="13"/>
      <c r="HZ276" s="13"/>
      <c r="IA276" s="13"/>
    </row>
    <row r="277" spans="1:235" ht="9.75" customHeight="1">
      <c r="A277" s="1"/>
      <c r="B277" s="3"/>
      <c r="C277" s="3"/>
      <c r="D277" s="330" t="str">
        <f t="shared" ca="1" si="46"/>
        <v>`</v>
      </c>
      <c r="E277" s="545"/>
      <c r="F277" s="545"/>
      <c r="G277" s="545"/>
      <c r="H277" s="545"/>
      <c r="I277" s="545"/>
      <c r="J277" s="545"/>
      <c r="K277" s="545"/>
      <c r="L277" s="545"/>
      <c r="M277" s="545"/>
      <c r="N277" s="545"/>
      <c r="O277" s="545"/>
      <c r="P277" s="545"/>
      <c r="Q277" s="545"/>
      <c r="R277" s="545"/>
      <c r="S277" s="545"/>
      <c r="T277" s="545"/>
      <c r="U277" s="545"/>
      <c r="V277" s="545"/>
      <c r="W277" s="545"/>
      <c r="X277" s="545"/>
      <c r="Y277" s="545"/>
      <c r="Z277" s="545"/>
      <c r="AA277" s="545"/>
      <c r="AB277" s="545"/>
      <c r="AC277" s="545"/>
      <c r="AD277" s="545"/>
      <c r="AE277" s="545"/>
      <c r="AF277" s="545"/>
      <c r="AG277" s="545"/>
      <c r="AH277" s="545"/>
      <c r="AI277" s="545"/>
      <c r="AJ277" s="545"/>
      <c r="AK277" s="545"/>
      <c r="AL277" s="545"/>
      <c r="AM277" s="545"/>
      <c r="AN277" s="545"/>
      <c r="AO277" s="545"/>
      <c r="AP277" s="545"/>
      <c r="AQ277" s="545"/>
      <c r="AR277" s="545"/>
      <c r="AS277" s="545"/>
      <c r="AT277" s="545"/>
      <c r="AU277" s="545"/>
      <c r="AV277" s="545"/>
      <c r="AW277" s="545"/>
      <c r="AX277" s="545"/>
      <c r="AY277" s="545"/>
      <c r="AZ277" s="545"/>
      <c r="BA277" s="545"/>
      <c r="BB277" s="545"/>
      <c r="BC277" s="545"/>
      <c r="BD277" s="545"/>
      <c r="BE277" s="545"/>
      <c r="BF277" s="545"/>
      <c r="BG277" s="545"/>
      <c r="BH277" s="545"/>
      <c r="BI277" s="545"/>
      <c r="BJ277" s="545"/>
      <c r="BK277" s="545"/>
      <c r="BL277" s="545"/>
      <c r="BM277" s="545"/>
      <c r="BN277" s="545"/>
      <c r="BO277" s="545"/>
      <c r="BP277" s="545"/>
      <c r="BQ277" s="545"/>
      <c r="BR277" s="545"/>
      <c r="BS277" s="545"/>
      <c r="BT277" s="545"/>
      <c r="BU277" s="545"/>
      <c r="BV277" s="545"/>
      <c r="BW277" s="545"/>
      <c r="BX277" s="545"/>
      <c r="BY277" s="545"/>
      <c r="BZ277" s="545"/>
      <c r="CA277" s="545"/>
      <c r="CB277" s="545"/>
      <c r="CC277" s="545"/>
      <c r="CD277" s="545"/>
      <c r="CE277" s="545"/>
      <c r="CF277" s="545"/>
      <c r="CG277" s="545"/>
      <c r="CH277" s="545"/>
      <c r="CI277" s="545"/>
      <c r="CJ277" s="545"/>
      <c r="CK277" s="545"/>
      <c r="CL277" s="545"/>
      <c r="CM277" s="545"/>
      <c r="CN277" s="545"/>
      <c r="CO277" s="545"/>
      <c r="CP277" s="545"/>
      <c r="CQ277" s="545"/>
      <c r="CR277" s="545"/>
      <c r="CS277" s="545"/>
      <c r="CT277" s="545"/>
      <c r="CU277" s="545"/>
      <c r="CV277" s="545"/>
      <c r="CW277" s="545"/>
      <c r="CX277" s="545"/>
      <c r="CY277" s="545"/>
      <c r="CZ277" s="545"/>
      <c r="DA277" s="545"/>
      <c r="DB277" s="545"/>
      <c r="DC277" s="545"/>
      <c r="DD277" s="545"/>
      <c r="DE277" s="545"/>
      <c r="DF277" s="545"/>
      <c r="DG277" s="545"/>
      <c r="DH277" s="545"/>
      <c r="DI277" s="545"/>
      <c r="DJ277" s="545"/>
      <c r="DK277" s="545"/>
      <c r="DL277" s="545"/>
      <c r="DM277" s="545"/>
      <c r="DN277" s="545"/>
      <c r="DO277" s="545"/>
      <c r="DP277" s="545"/>
      <c r="DQ277" s="545"/>
      <c r="DR277" s="545"/>
      <c r="DS277" s="545"/>
      <c r="DT277" s="545"/>
      <c r="DU277" s="545"/>
      <c r="DV277" s="545"/>
      <c r="DW277" s="545"/>
      <c r="DX277" s="545"/>
      <c r="DY277" s="545"/>
      <c r="DZ277" s="545"/>
      <c r="EA277" s="545"/>
      <c r="EB277" s="545"/>
      <c r="EC277" s="545"/>
      <c r="ED277" s="545"/>
      <c r="EE277" s="545"/>
      <c r="EF277" s="545"/>
      <c r="EG277" s="545"/>
      <c r="EH277" s="545"/>
      <c r="EI277" s="545"/>
      <c r="EJ277" s="545"/>
      <c r="EK277" s="545"/>
      <c r="EL277" s="545"/>
      <c r="EM277" s="545"/>
      <c r="EN277" s="545"/>
      <c r="EO277" s="545"/>
      <c r="EP277" s="545"/>
      <c r="EQ277" s="545"/>
      <c r="ER277" s="545"/>
      <c r="ES277" s="545"/>
      <c r="ET277" s="545"/>
      <c r="EU277" s="545"/>
      <c r="EV277" s="545"/>
      <c r="EW277" s="545"/>
      <c r="EX277" s="545"/>
      <c r="EY277" s="545"/>
      <c r="EZ277" s="545"/>
      <c r="FA277" s="545"/>
      <c r="FB277" s="545"/>
      <c r="FC277" s="545"/>
      <c r="FD277" s="545"/>
      <c r="FE277" s="545"/>
      <c r="FF277" s="545"/>
      <c r="FG277" s="545"/>
      <c r="FH277" s="545"/>
      <c r="FI277" s="545"/>
      <c r="FJ277" s="545"/>
      <c r="FK277" s="545"/>
      <c r="FL277" s="545"/>
      <c r="FM277" s="338"/>
      <c r="FN277" s="78"/>
      <c r="FO277" s="78"/>
      <c r="FP277" s="78"/>
      <c r="FQ277" s="78"/>
      <c r="FR277" s="78"/>
      <c r="FS277" s="78"/>
      <c r="FT277" s="78"/>
      <c r="FU277" s="78"/>
      <c r="FV277" s="78"/>
      <c r="FW277" s="78"/>
      <c r="FX277" s="78"/>
      <c r="FY277" s="32"/>
      <c r="FZ277" s="32"/>
      <c r="GA277" s="32"/>
      <c r="GB277" s="32"/>
      <c r="GC277" s="32"/>
      <c r="GD277" s="32"/>
      <c r="GE277" s="32"/>
      <c r="GF277" s="32"/>
      <c r="GG277" s="32"/>
      <c r="GH277" s="32"/>
      <c r="GI277" s="32"/>
      <c r="GJ277" s="32"/>
      <c r="GK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78"/>
      <c r="HO277" s="78"/>
      <c r="HP277" s="78"/>
      <c r="HQ277" s="13"/>
      <c r="HR277" s="13"/>
      <c r="HS277" s="13"/>
      <c r="HT277" s="13"/>
      <c r="HU277" s="13"/>
      <c r="HV277" s="13"/>
      <c r="HW277" s="13"/>
      <c r="HX277" s="13"/>
      <c r="HY277" s="13"/>
      <c r="HZ277" s="13"/>
      <c r="IA277" s="13"/>
    </row>
    <row r="278" spans="1:235" ht="16.95" customHeight="1">
      <c r="A278" s="1"/>
      <c r="B278" s="3"/>
      <c r="C278" s="3"/>
      <c r="D278" s="124" t="str">
        <f ca="1">IF(FO234=0,"","Waarom kun je niet ook het heterogeen oligopolie en monopolistische")</f>
        <v/>
      </c>
      <c r="E278" s="373"/>
      <c r="F278" s="373"/>
      <c r="G278" s="373"/>
      <c r="H278" s="373"/>
      <c r="I278" s="373"/>
      <c r="J278" s="376"/>
      <c r="K278" s="376"/>
      <c r="L278" s="376"/>
      <c r="M278" s="376"/>
      <c r="N278" s="376"/>
      <c r="O278" s="376"/>
      <c r="P278" s="376"/>
      <c r="Q278" s="376"/>
      <c r="R278" s="376"/>
      <c r="S278" s="376"/>
      <c r="T278" s="376"/>
      <c r="U278" s="376"/>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79"/>
      <c r="BF278" s="79"/>
      <c r="BG278" s="79"/>
      <c r="BH278" s="79"/>
      <c r="BI278" s="79"/>
      <c r="BJ278" s="79"/>
      <c r="BK278" s="79"/>
      <c r="BL278" s="79"/>
      <c r="BM278" s="79"/>
      <c r="BN278" s="79"/>
      <c r="BO278" s="79"/>
      <c r="BP278" s="79"/>
      <c r="BQ278" s="79"/>
      <c r="BR278" s="79"/>
      <c r="BS278" s="79"/>
      <c r="BT278" s="79"/>
      <c r="BU278" s="79"/>
      <c r="BV278" s="79"/>
      <c r="BW278" s="79"/>
      <c r="BX278" s="79"/>
      <c r="BY278" s="79"/>
      <c r="BZ278" s="79"/>
      <c r="CA278" s="79"/>
      <c r="CB278" s="79"/>
      <c r="CC278" s="79"/>
      <c r="CD278" s="79"/>
      <c r="CE278" s="79"/>
      <c r="CF278" s="79"/>
      <c r="CG278" s="79"/>
      <c r="CH278" s="79"/>
      <c r="CI278" s="79"/>
      <c r="CJ278" s="79"/>
      <c r="CK278" s="43"/>
      <c r="CL278" s="43"/>
      <c r="CM278" s="43"/>
      <c r="CN278" s="43"/>
      <c r="CO278" s="43"/>
      <c r="CP278" s="376"/>
      <c r="CQ278" s="376"/>
      <c r="CR278" s="376"/>
      <c r="CS278" s="376"/>
      <c r="CT278" s="376"/>
      <c r="CU278" s="376"/>
      <c r="CV278" s="376"/>
      <c r="CW278" s="376"/>
      <c r="CX278" s="376"/>
      <c r="CY278" s="376"/>
      <c r="CZ278" s="376"/>
      <c r="DA278" s="376"/>
      <c r="DB278" s="376"/>
      <c r="DC278" s="376"/>
      <c r="DD278" s="376"/>
      <c r="DE278" s="376"/>
      <c r="DF278" s="376"/>
      <c r="DG278" s="376"/>
      <c r="DH278" s="376"/>
      <c r="DI278" s="376"/>
      <c r="DJ278" s="376"/>
      <c r="DK278" s="376"/>
      <c r="DL278" s="376"/>
      <c r="DM278" s="376"/>
      <c r="DN278" s="376"/>
      <c r="DO278" s="376"/>
      <c r="DP278" s="376"/>
      <c r="DQ278" s="376"/>
      <c r="DR278" s="376"/>
      <c r="DS278" s="376"/>
      <c r="DT278" s="376"/>
      <c r="DU278" s="376"/>
      <c r="DV278" s="376"/>
      <c r="DW278" s="376"/>
      <c r="DX278" s="376"/>
      <c r="DY278" s="376"/>
      <c r="DZ278" s="376"/>
      <c r="EA278" s="376"/>
      <c r="EB278" s="376"/>
      <c r="EC278" s="376"/>
      <c r="ED278" s="376"/>
      <c r="EE278" s="376"/>
      <c r="EF278" s="376"/>
      <c r="EG278" s="376"/>
      <c r="EH278" s="376"/>
      <c r="EI278" s="376"/>
      <c r="EJ278" s="376"/>
      <c r="EK278" s="376"/>
      <c r="EL278" s="376"/>
      <c r="EM278" s="376"/>
      <c r="EN278" s="376"/>
      <c r="EO278" s="376"/>
      <c r="EP278" s="376"/>
      <c r="EQ278" s="376"/>
      <c r="ER278" s="376"/>
      <c r="ES278" s="376"/>
      <c r="ET278" s="376"/>
      <c r="EU278" s="376"/>
      <c r="EV278" s="376"/>
      <c r="EW278" s="376"/>
      <c r="EX278" s="376"/>
      <c r="EY278" s="376"/>
      <c r="EZ278" s="376"/>
      <c r="FA278" s="43"/>
      <c r="FB278" s="43"/>
      <c r="FC278" s="43"/>
      <c r="FD278" s="43"/>
      <c r="FE278" s="43"/>
      <c r="FF278" s="43"/>
      <c r="FG278" s="43"/>
      <c r="FH278" s="43"/>
      <c r="FI278" s="79"/>
      <c r="FJ278" s="79"/>
      <c r="FK278" s="79"/>
      <c r="FL278" s="79"/>
      <c r="FM278" s="93"/>
      <c r="FN278" s="93"/>
      <c r="FO278" s="338"/>
      <c r="FP278" s="338"/>
      <c r="FQ278" s="338"/>
      <c r="FR278" s="338"/>
      <c r="FS278" s="338"/>
      <c r="FT278" s="338"/>
      <c r="FU278" s="338"/>
      <c r="FV278" s="338"/>
      <c r="FW278" s="338"/>
      <c r="FX278" s="338"/>
      <c r="FY278" s="32"/>
      <c r="FZ278" s="32"/>
      <c r="GA278" s="32"/>
      <c r="GB278" s="32"/>
      <c r="GC278" s="32"/>
      <c r="GD278" s="32"/>
      <c r="GE278" s="32"/>
      <c r="GF278" s="32"/>
      <c r="GG278" s="32"/>
      <c r="GH278" s="32"/>
      <c r="GI278" s="32"/>
      <c r="GJ278" s="32"/>
      <c r="GK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38"/>
      <c r="HO278" s="338"/>
      <c r="HP278" s="338"/>
      <c r="HQ278" s="13"/>
      <c r="HR278" s="13"/>
      <c r="HS278" s="13"/>
      <c r="HT278" s="13"/>
      <c r="HU278" s="13"/>
      <c r="HV278" s="13"/>
      <c r="HW278" s="13"/>
      <c r="HX278" s="13"/>
      <c r="HY278" s="13"/>
      <c r="HZ278" s="13"/>
      <c r="IA278" s="13"/>
    </row>
    <row r="279" spans="1:235" ht="16.95" customHeight="1">
      <c r="A279" s="1"/>
      <c r="B279" s="3"/>
      <c r="C279" s="3"/>
      <c r="D279" s="124" t="str">
        <f ca="1">IF(FO234=0,"","concurrentie in één tekening opnemen?")</f>
        <v/>
      </c>
      <c r="E279" s="373"/>
      <c r="F279" s="373"/>
      <c r="G279" s="373"/>
      <c r="H279" s="373"/>
      <c r="I279" s="373"/>
      <c r="J279" s="376"/>
      <c r="K279" s="376"/>
      <c r="L279" s="376"/>
      <c r="M279" s="376"/>
      <c r="N279" s="376"/>
      <c r="O279" s="376"/>
      <c r="P279" s="376"/>
      <c r="Q279" s="376"/>
      <c r="R279" s="376"/>
      <c r="S279" s="376"/>
      <c r="T279" s="376"/>
      <c r="U279" s="376"/>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79"/>
      <c r="BA279" s="79"/>
      <c r="BB279" s="79"/>
      <c r="BC279" s="79"/>
      <c r="BD279" s="79"/>
      <c r="BE279" s="79"/>
      <c r="BF279" s="79"/>
      <c r="BG279" s="79"/>
      <c r="BH279" s="79"/>
      <c r="BI279" s="79"/>
      <c r="BJ279" s="79"/>
      <c r="BK279" s="79"/>
      <c r="BL279" s="79"/>
      <c r="BM279" s="79"/>
      <c r="BN279" s="79"/>
      <c r="BO279" s="79"/>
      <c r="BP279" s="79"/>
      <c r="BQ279" s="79"/>
      <c r="BR279" s="79"/>
      <c r="BS279" s="79"/>
      <c r="BT279" s="79"/>
      <c r="BU279" s="79"/>
      <c r="BV279" s="79"/>
      <c r="BW279" s="79"/>
      <c r="BX279" s="79"/>
      <c r="BY279" s="79"/>
      <c r="BZ279" s="79"/>
      <c r="CA279" s="79"/>
      <c r="CB279" s="79"/>
      <c r="CC279" s="79"/>
      <c r="CD279" s="79"/>
      <c r="CE279" s="79"/>
      <c r="CF279" s="79"/>
      <c r="CG279" s="79"/>
      <c r="CH279" s="79"/>
      <c r="CI279" s="79"/>
      <c r="CJ279" s="79"/>
      <c r="CK279" s="43"/>
      <c r="CL279" s="43"/>
      <c r="CM279" s="43"/>
      <c r="CN279" s="43"/>
      <c r="CO279" s="43"/>
      <c r="CP279" s="376"/>
      <c r="CQ279" s="376"/>
      <c r="CR279" s="376"/>
      <c r="CS279" s="376"/>
      <c r="CT279" s="376"/>
      <c r="CU279" s="376"/>
      <c r="CV279" s="376"/>
      <c r="CW279" s="376"/>
      <c r="CX279" s="376"/>
      <c r="CY279" s="376"/>
      <c r="CZ279" s="376"/>
      <c r="DA279" s="376"/>
      <c r="DB279" s="376"/>
      <c r="DC279" s="376"/>
      <c r="DD279" s="376"/>
      <c r="DE279" s="376"/>
      <c r="DF279" s="376"/>
      <c r="DG279" s="376"/>
      <c r="DH279" s="376"/>
      <c r="DI279" s="376"/>
      <c r="DJ279" s="376"/>
      <c r="DK279" s="376"/>
      <c r="DL279" s="376"/>
      <c r="DM279" s="376"/>
      <c r="DN279" s="376"/>
      <c r="DO279" s="376"/>
      <c r="DP279" s="376"/>
      <c r="DQ279" s="376"/>
      <c r="DR279" s="376"/>
      <c r="DS279" s="376"/>
      <c r="DT279" s="376"/>
      <c r="DU279" s="376"/>
      <c r="DV279" s="376"/>
      <c r="DW279" s="376"/>
      <c r="DX279" s="376"/>
      <c r="DY279" s="376"/>
      <c r="DZ279" s="376"/>
      <c r="EA279" s="376"/>
      <c r="EB279" s="376"/>
      <c r="EC279" s="376"/>
      <c r="ED279" s="376"/>
      <c r="EE279" s="376"/>
      <c r="EF279" s="376"/>
      <c r="EG279" s="376"/>
      <c r="EH279" s="376"/>
      <c r="EI279" s="376"/>
      <c r="EJ279" s="376"/>
      <c r="EK279" s="376"/>
      <c r="EL279" s="376"/>
      <c r="EM279" s="376"/>
      <c r="EN279" s="376"/>
      <c r="EO279" s="376"/>
      <c r="EP279" s="376"/>
      <c r="EQ279" s="376"/>
      <c r="ER279" s="376"/>
      <c r="ES279" s="376"/>
      <c r="ET279" s="376"/>
      <c r="EU279" s="376"/>
      <c r="EV279" s="376"/>
      <c r="EW279" s="376"/>
      <c r="EX279" s="376"/>
      <c r="EY279" s="376"/>
      <c r="EZ279" s="376"/>
      <c r="FA279" s="43"/>
      <c r="FB279" s="43"/>
      <c r="FC279" s="43"/>
      <c r="FD279" s="43"/>
      <c r="FE279" s="43"/>
      <c r="FF279" s="43"/>
      <c r="FG279" s="43"/>
      <c r="FH279" s="43"/>
      <c r="FI279" s="79"/>
      <c r="FJ279" s="79"/>
      <c r="FK279" s="79"/>
      <c r="FL279" s="79"/>
      <c r="FM279" s="93"/>
      <c r="FN279" s="93"/>
      <c r="FO279" s="338"/>
      <c r="FP279" s="338"/>
      <c r="FQ279" s="338"/>
      <c r="FR279" s="338"/>
      <c r="FS279" s="338"/>
      <c r="FT279" s="338"/>
      <c r="FU279" s="338"/>
      <c r="FV279" s="338"/>
      <c r="FW279" s="338"/>
      <c r="FX279" s="338"/>
      <c r="FY279" s="32"/>
      <c r="FZ279" s="32"/>
      <c r="GA279" s="32"/>
      <c r="GB279" s="32"/>
      <c r="GC279" s="32"/>
      <c r="GD279" s="32"/>
      <c r="GE279" s="32"/>
      <c r="GF279" s="32"/>
      <c r="GG279" s="32"/>
      <c r="GH279" s="32"/>
      <c r="GI279" s="32"/>
      <c r="GJ279" s="32"/>
      <c r="GK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38"/>
      <c r="HO279" s="338"/>
      <c r="HP279" s="338"/>
      <c r="HQ279" s="13"/>
      <c r="HR279" s="13"/>
      <c r="HS279" s="13"/>
      <c r="HT279" s="13"/>
      <c r="HU279" s="13"/>
      <c r="HV279" s="13"/>
      <c r="HW279" s="13"/>
      <c r="HX279" s="13"/>
      <c r="HY279" s="13"/>
      <c r="HZ279" s="13"/>
      <c r="IA279" s="13"/>
    </row>
    <row r="280" spans="1:235" ht="8.25" customHeight="1">
      <c r="A280" s="1"/>
      <c r="B280" s="3"/>
      <c r="C280" s="3"/>
      <c r="D280" s="124"/>
      <c r="E280" s="333"/>
      <c r="F280" s="333"/>
      <c r="G280" s="335"/>
      <c r="H280" s="333"/>
      <c r="I280" s="333"/>
      <c r="J280" s="278"/>
      <c r="K280" s="278"/>
      <c r="L280" s="278"/>
      <c r="M280" s="278"/>
      <c r="N280" s="278"/>
      <c r="O280" s="278"/>
      <c r="P280" s="278"/>
      <c r="Q280" s="278"/>
      <c r="R280" s="278"/>
      <c r="S280" s="278"/>
      <c r="T280" s="278"/>
      <c r="U280" s="278"/>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278"/>
      <c r="CQ280" s="278"/>
      <c r="CR280" s="278"/>
      <c r="CS280" s="278"/>
      <c r="CT280" s="278"/>
      <c r="CU280" s="278"/>
      <c r="CV280" s="278"/>
      <c r="CW280" s="278"/>
      <c r="CX280" s="278"/>
      <c r="CY280" s="278"/>
      <c r="CZ280" s="278"/>
      <c r="DA280" s="278"/>
      <c r="DB280" s="278"/>
      <c r="DC280" s="278"/>
      <c r="DD280" s="278"/>
      <c r="DE280" s="278"/>
      <c r="DF280" s="278"/>
      <c r="DG280" s="278"/>
      <c r="DH280" s="278"/>
      <c r="DI280" s="278"/>
      <c r="DJ280" s="278"/>
      <c r="DK280" s="278"/>
      <c r="DL280" s="278"/>
      <c r="DM280" s="278"/>
      <c r="DN280" s="278"/>
      <c r="DO280" s="278"/>
      <c r="DP280" s="278"/>
      <c r="DQ280" s="278"/>
      <c r="DR280" s="278"/>
      <c r="DS280" s="278"/>
      <c r="DT280" s="278"/>
      <c r="DU280" s="278"/>
      <c r="DV280" s="278"/>
      <c r="DW280" s="278"/>
      <c r="DX280" s="278"/>
      <c r="DY280" s="278"/>
      <c r="DZ280" s="278"/>
      <c r="EA280" s="278"/>
      <c r="EB280" s="278"/>
      <c r="EC280" s="278"/>
      <c r="ED280" s="278"/>
      <c r="EE280" s="278"/>
      <c r="EF280" s="278"/>
      <c r="EG280" s="278"/>
      <c r="EH280" s="278"/>
      <c r="EI280" s="278"/>
      <c r="EJ280" s="278"/>
      <c r="EK280" s="278"/>
      <c r="EL280" s="278"/>
      <c r="EM280" s="278"/>
      <c r="EN280" s="278"/>
      <c r="EO280" s="278"/>
      <c r="EP280" s="278"/>
      <c r="EQ280" s="278"/>
      <c r="ER280" s="278"/>
      <c r="ES280" s="278"/>
      <c r="ET280" s="278"/>
      <c r="EU280" s="278"/>
      <c r="EV280" s="278"/>
      <c r="EW280" s="278"/>
      <c r="EX280" s="278"/>
      <c r="EY280" s="278"/>
      <c r="EZ280" s="278"/>
      <c r="FA280" s="43"/>
      <c r="FB280" s="43"/>
      <c r="FC280" s="43"/>
      <c r="FD280" s="43"/>
      <c r="FE280" s="43"/>
      <c r="FF280" s="43"/>
      <c r="FG280" s="43"/>
      <c r="FH280" s="43"/>
      <c r="FI280" s="43"/>
      <c r="FJ280" s="43"/>
      <c r="FK280" s="43"/>
      <c r="FL280" s="43"/>
      <c r="FM280" s="338"/>
      <c r="FN280" s="78"/>
      <c r="FO280" s="78"/>
      <c r="FP280" s="78"/>
      <c r="FQ280" s="78"/>
      <c r="FR280" s="78"/>
      <c r="FS280" s="78"/>
      <c r="FT280" s="78"/>
      <c r="FU280" s="78"/>
      <c r="FV280" s="78"/>
      <c r="FW280" s="78"/>
      <c r="FX280" s="78"/>
      <c r="FY280" s="32"/>
      <c r="FZ280" s="32"/>
      <c r="GA280" s="32"/>
      <c r="GB280" s="32"/>
      <c r="GC280" s="32"/>
      <c r="GD280" s="32"/>
      <c r="GE280" s="32"/>
      <c r="GF280" s="32"/>
      <c r="GG280" s="32"/>
      <c r="GH280" s="32"/>
      <c r="GI280" s="32"/>
      <c r="GJ280" s="32"/>
      <c r="GK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78"/>
      <c r="HO280" s="78"/>
      <c r="HP280" s="78"/>
      <c r="HQ280" s="13"/>
      <c r="HR280" s="13"/>
      <c r="HS280" s="13"/>
      <c r="HT280" s="13"/>
      <c r="HU280" s="13"/>
      <c r="HV280" s="13"/>
      <c r="HW280" s="13"/>
      <c r="HX280" s="13"/>
      <c r="HY280" s="13"/>
      <c r="HZ280" s="13"/>
      <c r="IA280" s="13"/>
    </row>
    <row r="281" spans="1:235" ht="3.75" customHeight="1">
      <c r="A281" s="1"/>
      <c r="B281" s="3"/>
      <c r="C281" s="3"/>
      <c r="D281" s="333"/>
      <c r="E281" s="278"/>
      <c r="F281" s="278"/>
      <c r="G281" s="278"/>
      <c r="H281" s="278"/>
      <c r="I281" s="538" t="str">
        <f ca="1">IF(FO234=0,"",".")</f>
        <v/>
      </c>
      <c r="J281" s="545"/>
      <c r="K281" s="545"/>
      <c r="L281" s="545"/>
      <c r="M281" s="545"/>
      <c r="N281" s="545"/>
      <c r="O281" s="545"/>
      <c r="P281" s="545"/>
      <c r="Q281" s="545"/>
      <c r="R281" s="545"/>
      <c r="S281" s="545"/>
      <c r="T281" s="545"/>
      <c r="U281" s="545"/>
      <c r="V281" s="545"/>
      <c r="W281" s="545"/>
      <c r="X281" s="545"/>
      <c r="Y281" s="545"/>
      <c r="Z281" s="545"/>
      <c r="AA281" s="545"/>
      <c r="AB281" s="545"/>
      <c r="AC281" s="545"/>
      <c r="AD281" s="545"/>
      <c r="AE281" s="545"/>
      <c r="AF281" s="545"/>
      <c r="AG281" s="545"/>
      <c r="AH281" s="545"/>
      <c r="AI281" s="545"/>
      <c r="AJ281" s="545"/>
      <c r="AK281" s="545"/>
      <c r="AL281" s="545"/>
      <c r="AM281" s="545"/>
      <c r="AN281" s="545"/>
      <c r="AO281" s="545"/>
      <c r="AP281" s="545"/>
      <c r="AQ281" s="545"/>
      <c r="AR281" s="545"/>
      <c r="AS281" s="545"/>
      <c r="AT281" s="545"/>
      <c r="AU281" s="545"/>
      <c r="AV281" s="545"/>
      <c r="AW281" s="545"/>
      <c r="AX281" s="545"/>
      <c r="AY281" s="545"/>
      <c r="AZ281" s="545"/>
      <c r="BA281" s="545"/>
      <c r="BB281" s="545"/>
      <c r="BC281" s="545"/>
      <c r="BD281" s="545"/>
      <c r="BE281" s="545"/>
      <c r="BF281" s="545"/>
      <c r="BG281" s="545"/>
      <c r="BH281" s="545"/>
      <c r="BI281" s="545"/>
      <c r="BJ281" s="545"/>
      <c r="BK281" s="545"/>
      <c r="BL281" s="545"/>
      <c r="BM281" s="545"/>
      <c r="BN281" s="545"/>
      <c r="BO281" s="545"/>
      <c r="BP281" s="545"/>
      <c r="BQ281" s="545"/>
      <c r="BR281" s="545"/>
      <c r="BS281" s="545"/>
      <c r="BT281" s="545"/>
      <c r="BU281" s="545"/>
      <c r="BV281" s="545"/>
      <c r="BW281" s="545"/>
      <c r="BX281" s="545"/>
      <c r="BY281" s="545"/>
      <c r="BZ281" s="545"/>
      <c r="CA281" s="545"/>
      <c r="CB281" s="545"/>
      <c r="CC281" s="545"/>
      <c r="CD281" s="545"/>
      <c r="CE281" s="545"/>
      <c r="CF281" s="545"/>
      <c r="CG281" s="545"/>
      <c r="CH281" s="545"/>
      <c r="CI281" s="545"/>
      <c r="CJ281" s="545"/>
      <c r="CK281" s="545"/>
      <c r="CL281" s="545"/>
      <c r="CM281" s="545"/>
      <c r="CN281" s="545"/>
      <c r="CO281" s="545"/>
      <c r="CP281" s="545"/>
      <c r="CQ281" s="545"/>
      <c r="CR281" s="545"/>
      <c r="CS281" s="545"/>
      <c r="CT281" s="545"/>
      <c r="CU281" s="545"/>
      <c r="CV281" s="545"/>
      <c r="CW281" s="545"/>
      <c r="CX281" s="545"/>
      <c r="CY281" s="545"/>
      <c r="CZ281" s="545"/>
      <c r="DA281" s="545"/>
      <c r="DB281" s="545"/>
      <c r="DC281" s="545"/>
      <c r="DD281" s="545"/>
      <c r="DE281" s="545"/>
      <c r="DF281" s="545"/>
      <c r="DG281" s="545"/>
      <c r="DH281" s="545"/>
      <c r="DI281" s="545"/>
      <c r="DJ281" s="545"/>
      <c r="DK281" s="545"/>
      <c r="DL281" s="545"/>
      <c r="DM281" s="545"/>
      <c r="DN281" s="545"/>
      <c r="DO281" s="545"/>
      <c r="DP281" s="545"/>
      <c r="DQ281" s="545"/>
      <c r="DR281" s="545"/>
      <c r="DS281" s="545"/>
      <c r="DT281" s="545"/>
      <c r="DU281" s="545"/>
      <c r="DV281" s="545"/>
      <c r="DW281" s="545"/>
      <c r="DX281" s="545"/>
      <c r="DY281" s="545"/>
      <c r="DZ281" s="545"/>
      <c r="EA281" s="545"/>
      <c r="EB281" s="545"/>
      <c r="EC281" s="545"/>
      <c r="ED281" s="545"/>
      <c r="EE281" s="545"/>
      <c r="EF281" s="545"/>
      <c r="EG281" s="545"/>
      <c r="EH281" s="545"/>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278"/>
      <c r="FE281" s="278"/>
      <c r="FF281" s="278"/>
      <c r="FG281" s="278"/>
      <c r="FH281" s="278"/>
      <c r="FI281" s="278"/>
      <c r="FJ281" s="278"/>
      <c r="FK281" s="43"/>
      <c r="FL281" s="43"/>
      <c r="FM281" s="47"/>
      <c r="FN281" s="47"/>
      <c r="FO281" s="47"/>
      <c r="FP281" s="47"/>
      <c r="FQ281" s="47"/>
      <c r="FR281" s="49"/>
      <c r="FS281" s="49"/>
      <c r="FT281" s="49"/>
      <c r="FU281" s="49"/>
      <c r="FV281" s="49"/>
      <c r="FW281" s="49"/>
      <c r="FX281" s="49"/>
      <c r="FY281" s="32"/>
      <c r="FZ281" s="32"/>
      <c r="GA281" s="32"/>
      <c r="GB281" s="32"/>
      <c r="GC281" s="32"/>
      <c r="GD281" s="32"/>
      <c r="GE281" s="32"/>
      <c r="GF281" s="32"/>
      <c r="GG281" s="32"/>
      <c r="GH281" s="32"/>
      <c r="GI281" s="32"/>
      <c r="GJ281" s="32"/>
      <c r="GK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78"/>
      <c r="HO281" s="78"/>
      <c r="HP281" s="78"/>
      <c r="HQ281" s="13"/>
      <c r="HR281" s="13"/>
      <c r="HS281" s="13"/>
      <c r="HT281" s="13"/>
      <c r="HU281" s="13"/>
      <c r="HV281" s="13"/>
      <c r="HW281" s="13"/>
      <c r="HX281" s="13"/>
      <c r="HY281" s="13"/>
      <c r="HZ281" s="13"/>
      <c r="IA281" s="13"/>
    </row>
    <row r="282" spans="1:235" ht="16.5" customHeight="1">
      <c r="A282" s="1"/>
      <c r="B282" s="3"/>
      <c r="C282" s="3"/>
      <c r="D282" s="43"/>
      <c r="E282" s="278"/>
      <c r="F282" s="278"/>
      <c r="G282" s="278"/>
      <c r="H282" s="278"/>
      <c r="I282" s="327" t="str">
        <f ca="1">IF(FO234=0,"",".")</f>
        <v/>
      </c>
      <c r="J282" s="684"/>
      <c r="K282" s="636"/>
      <c r="L282" s="636"/>
      <c r="M282" s="636"/>
      <c r="N282" s="636"/>
      <c r="O282" s="636"/>
      <c r="P282" s="636"/>
      <c r="Q282" s="636"/>
      <c r="R282" s="636"/>
      <c r="S282" s="636"/>
      <c r="T282" s="636"/>
      <c r="U282" s="636"/>
      <c r="V282" s="636"/>
      <c r="W282" s="636"/>
      <c r="X282" s="636"/>
      <c r="Y282" s="636"/>
      <c r="Z282" s="636"/>
      <c r="AA282" s="636"/>
      <c r="AB282" s="636"/>
      <c r="AC282" s="636"/>
      <c r="AD282" s="636"/>
      <c r="AE282" s="636"/>
      <c r="AF282" s="629"/>
      <c r="AG282" s="629"/>
      <c r="AH282" s="629"/>
      <c r="AI282" s="629"/>
      <c r="AJ282" s="629"/>
      <c r="AK282" s="629"/>
      <c r="AL282" s="555"/>
      <c r="AM282" s="555"/>
      <c r="AN282" s="555"/>
      <c r="AO282" s="555"/>
      <c r="AP282" s="555"/>
      <c r="AQ282" s="555"/>
      <c r="AR282" s="555"/>
      <c r="AS282" s="555"/>
      <c r="AT282" s="555"/>
      <c r="AU282" s="555"/>
      <c r="AV282" s="555"/>
      <c r="AW282" s="555"/>
      <c r="AX282" s="555"/>
      <c r="AY282" s="555"/>
      <c r="AZ282" s="555"/>
      <c r="BA282" s="555"/>
      <c r="BB282" s="555"/>
      <c r="BC282" s="555"/>
      <c r="BD282" s="555"/>
      <c r="BE282" s="555"/>
      <c r="BF282" s="555"/>
      <c r="BG282" s="555"/>
      <c r="BH282" s="555"/>
      <c r="BI282" s="555"/>
      <c r="BJ282" s="555"/>
      <c r="BK282" s="555"/>
      <c r="BL282" s="555"/>
      <c r="BM282" s="555"/>
      <c r="BN282" s="555"/>
      <c r="BO282" s="555"/>
      <c r="BP282" s="555"/>
      <c r="BQ282" s="555"/>
      <c r="BR282" s="555"/>
      <c r="BS282" s="555"/>
      <c r="BT282" s="555"/>
      <c r="BU282" s="555"/>
      <c r="BV282" s="555"/>
      <c r="BW282" s="555"/>
      <c r="BX282" s="555"/>
      <c r="BY282" s="555"/>
      <c r="BZ282" s="555"/>
      <c r="CA282" s="555"/>
      <c r="CB282" s="555"/>
      <c r="CC282" s="555"/>
      <c r="CD282" s="555"/>
      <c r="CE282" s="555"/>
      <c r="CF282" s="555"/>
      <c r="CG282" s="555"/>
      <c r="CH282" s="555"/>
      <c r="CI282" s="555"/>
      <c r="CJ282" s="555"/>
      <c r="CK282" s="555"/>
      <c r="CL282" s="555"/>
      <c r="CM282" s="555"/>
      <c r="CN282" s="555"/>
      <c r="CO282" s="555"/>
      <c r="CP282" s="555"/>
      <c r="CQ282" s="555"/>
      <c r="CR282" s="555"/>
      <c r="CS282" s="555"/>
      <c r="CT282" s="555"/>
      <c r="CU282" s="555"/>
      <c r="CV282" s="555"/>
      <c r="CW282" s="555"/>
      <c r="CX282" s="555"/>
      <c r="CY282" s="555"/>
      <c r="CZ282" s="555"/>
      <c r="DA282" s="555"/>
      <c r="DB282" s="555"/>
      <c r="DC282" s="555"/>
      <c r="DD282" s="555"/>
      <c r="DE282" s="555"/>
      <c r="DF282" s="555"/>
      <c r="DG282" s="555"/>
      <c r="DH282" s="555"/>
      <c r="DI282" s="555"/>
      <c r="DJ282" s="555"/>
      <c r="DK282" s="555"/>
      <c r="DL282" s="555"/>
      <c r="DM282" s="555"/>
      <c r="DN282" s="555"/>
      <c r="DO282" s="555"/>
      <c r="DP282" s="555"/>
      <c r="DQ282" s="555"/>
      <c r="DR282" s="555"/>
      <c r="DS282" s="555"/>
      <c r="DT282" s="555"/>
      <c r="DU282" s="555"/>
      <c r="DV282" s="555"/>
      <c r="DW282" s="555"/>
      <c r="DX282" s="555"/>
      <c r="DY282" s="555"/>
      <c r="DZ282" s="555"/>
      <c r="EA282" s="555"/>
      <c r="EB282" s="555"/>
      <c r="EC282" s="555"/>
      <c r="ED282" s="555"/>
      <c r="EE282" s="555"/>
      <c r="EF282" s="555"/>
      <c r="EG282" s="555"/>
      <c r="EH282" s="327" t="str">
        <f ca="1">IF(FO234=0,"",".")</f>
        <v/>
      </c>
      <c r="EI282" s="278"/>
      <c r="EJ282" s="336" t="str">
        <f ca="1">IF(FO234=0,"",IF(J282="","",IF(J282="","",IF(FO282=1,"Goed!","Fout! Probeer het opnieuw."))))</f>
        <v/>
      </c>
      <c r="EK282" s="278"/>
      <c r="EL282" s="43"/>
      <c r="EM282" s="43"/>
      <c r="EN282" s="43"/>
      <c r="EO282" s="43"/>
      <c r="EP282" s="43"/>
      <c r="EQ282" s="43"/>
      <c r="ER282" s="43"/>
      <c r="ES282" s="43"/>
      <c r="ET282" s="43"/>
      <c r="EU282" s="43"/>
      <c r="EV282" s="43"/>
      <c r="EW282" s="43"/>
      <c r="EX282" s="43"/>
      <c r="EY282" s="43"/>
      <c r="EZ282" s="43"/>
      <c r="FA282" s="43"/>
      <c r="FB282" s="43"/>
      <c r="FC282" s="43"/>
      <c r="FD282" s="278"/>
      <c r="FE282" s="278"/>
      <c r="FF282" s="278"/>
      <c r="FG282" s="278"/>
      <c r="FH282" s="278"/>
      <c r="FI282" s="278"/>
      <c r="FJ282" s="278"/>
      <c r="FK282" s="43"/>
      <c r="FL282" s="43"/>
      <c r="FM282" s="47"/>
      <c r="FN282" s="47"/>
      <c r="FO282" s="48">
        <f ca="1">IF(programma!B1="X",1,IF(FO234=0,0,IF(J282=FS282,1,0)))</f>
        <v>0</v>
      </c>
      <c r="FP282" s="135" t="str">
        <f ca="1">IF(FO1=0,"",FS282)</f>
        <v>Bij een deze marktvormen heeft elke aanbieder zijn eigen (deel-)markt.</v>
      </c>
      <c r="FQ282" s="79"/>
      <c r="FR282" s="49" t="s">
        <v>156</v>
      </c>
      <c r="FS282" s="49" t="s">
        <v>157</v>
      </c>
      <c r="FT282" s="49" t="s">
        <v>158</v>
      </c>
      <c r="FU282" s="49"/>
      <c r="FV282" s="49"/>
      <c r="FW282" s="49"/>
      <c r="FX282" s="49"/>
      <c r="FY282" s="32"/>
      <c r="FZ282" s="32"/>
      <c r="GA282" s="32"/>
      <c r="GB282" s="32"/>
      <c r="GC282" s="32"/>
      <c r="GD282" s="32"/>
      <c r="GE282" s="32"/>
      <c r="GF282" s="32"/>
      <c r="GG282" s="32"/>
      <c r="GH282" s="32"/>
      <c r="GI282" s="32"/>
      <c r="GJ282" s="32"/>
      <c r="GK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78"/>
      <c r="HO282" s="78"/>
      <c r="HP282" s="78"/>
      <c r="HQ282" s="13"/>
      <c r="HR282" s="13"/>
      <c r="HS282" s="13"/>
      <c r="HT282" s="13"/>
      <c r="HU282" s="13"/>
      <c r="HV282" s="13"/>
      <c r="HW282" s="13"/>
      <c r="HX282" s="13"/>
      <c r="HY282" s="13"/>
      <c r="HZ282" s="13"/>
      <c r="IA282" s="13"/>
    </row>
    <row r="283" spans="1:235" ht="3.75" customHeight="1">
      <c r="A283" s="1"/>
      <c r="B283" s="3"/>
      <c r="C283" s="3"/>
      <c r="D283" s="333"/>
      <c r="E283" s="278"/>
      <c r="F283" s="278"/>
      <c r="G283" s="278"/>
      <c r="H283" s="278"/>
      <c r="I283" s="538" t="str">
        <f ca="1">IF(FO234=0,"",".")</f>
        <v/>
      </c>
      <c r="J283" s="545"/>
      <c r="K283" s="545"/>
      <c r="L283" s="545"/>
      <c r="M283" s="545"/>
      <c r="N283" s="545"/>
      <c r="O283" s="545"/>
      <c r="P283" s="545"/>
      <c r="Q283" s="545"/>
      <c r="R283" s="545"/>
      <c r="S283" s="545"/>
      <c r="T283" s="545"/>
      <c r="U283" s="545"/>
      <c r="V283" s="545"/>
      <c r="W283" s="545"/>
      <c r="X283" s="545"/>
      <c r="Y283" s="545"/>
      <c r="Z283" s="545"/>
      <c r="AA283" s="545"/>
      <c r="AB283" s="545"/>
      <c r="AC283" s="545"/>
      <c r="AD283" s="545"/>
      <c r="AE283" s="545"/>
      <c r="AF283" s="545"/>
      <c r="AG283" s="545"/>
      <c r="AH283" s="545"/>
      <c r="AI283" s="545"/>
      <c r="AJ283" s="545"/>
      <c r="AK283" s="545"/>
      <c r="AL283" s="545"/>
      <c r="AM283" s="545"/>
      <c r="AN283" s="545"/>
      <c r="AO283" s="545"/>
      <c r="AP283" s="545"/>
      <c r="AQ283" s="545"/>
      <c r="AR283" s="545"/>
      <c r="AS283" s="545"/>
      <c r="AT283" s="545"/>
      <c r="AU283" s="545"/>
      <c r="AV283" s="545"/>
      <c r="AW283" s="545"/>
      <c r="AX283" s="545"/>
      <c r="AY283" s="545"/>
      <c r="AZ283" s="545"/>
      <c r="BA283" s="545"/>
      <c r="BB283" s="545"/>
      <c r="BC283" s="545"/>
      <c r="BD283" s="545"/>
      <c r="BE283" s="545"/>
      <c r="BF283" s="545"/>
      <c r="BG283" s="545"/>
      <c r="BH283" s="545"/>
      <c r="BI283" s="545"/>
      <c r="BJ283" s="545"/>
      <c r="BK283" s="545"/>
      <c r="BL283" s="545"/>
      <c r="BM283" s="545"/>
      <c r="BN283" s="545"/>
      <c r="BO283" s="545"/>
      <c r="BP283" s="545"/>
      <c r="BQ283" s="545"/>
      <c r="BR283" s="545"/>
      <c r="BS283" s="545"/>
      <c r="BT283" s="545"/>
      <c r="BU283" s="545"/>
      <c r="BV283" s="545"/>
      <c r="BW283" s="545"/>
      <c r="BX283" s="545"/>
      <c r="BY283" s="545"/>
      <c r="BZ283" s="545"/>
      <c r="CA283" s="545"/>
      <c r="CB283" s="545"/>
      <c r="CC283" s="545"/>
      <c r="CD283" s="545"/>
      <c r="CE283" s="545"/>
      <c r="CF283" s="545"/>
      <c r="CG283" s="545"/>
      <c r="CH283" s="545"/>
      <c r="CI283" s="545"/>
      <c r="CJ283" s="545"/>
      <c r="CK283" s="545"/>
      <c r="CL283" s="545"/>
      <c r="CM283" s="545"/>
      <c r="CN283" s="545"/>
      <c r="CO283" s="545"/>
      <c r="CP283" s="545"/>
      <c r="CQ283" s="545"/>
      <c r="CR283" s="545"/>
      <c r="CS283" s="545"/>
      <c r="CT283" s="545"/>
      <c r="CU283" s="545"/>
      <c r="CV283" s="545"/>
      <c r="CW283" s="545"/>
      <c r="CX283" s="545"/>
      <c r="CY283" s="545"/>
      <c r="CZ283" s="545"/>
      <c r="DA283" s="545"/>
      <c r="DB283" s="545"/>
      <c r="DC283" s="545"/>
      <c r="DD283" s="545"/>
      <c r="DE283" s="545"/>
      <c r="DF283" s="545"/>
      <c r="DG283" s="545"/>
      <c r="DH283" s="545"/>
      <c r="DI283" s="545"/>
      <c r="DJ283" s="545"/>
      <c r="DK283" s="545"/>
      <c r="DL283" s="545"/>
      <c r="DM283" s="545"/>
      <c r="DN283" s="545"/>
      <c r="DO283" s="545"/>
      <c r="DP283" s="545"/>
      <c r="DQ283" s="545"/>
      <c r="DR283" s="545"/>
      <c r="DS283" s="545"/>
      <c r="DT283" s="545"/>
      <c r="DU283" s="545"/>
      <c r="DV283" s="545"/>
      <c r="DW283" s="545"/>
      <c r="DX283" s="545"/>
      <c r="DY283" s="545"/>
      <c r="DZ283" s="545"/>
      <c r="EA283" s="545"/>
      <c r="EB283" s="545"/>
      <c r="EC283" s="545"/>
      <c r="ED283" s="545"/>
      <c r="EE283" s="545"/>
      <c r="EF283" s="545"/>
      <c r="EG283" s="545"/>
      <c r="EH283" s="545"/>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278"/>
      <c r="FE283" s="278"/>
      <c r="FF283" s="278"/>
      <c r="FG283" s="278"/>
      <c r="FH283" s="278"/>
      <c r="FI283" s="278"/>
      <c r="FJ283" s="278"/>
      <c r="FK283" s="43"/>
      <c r="FL283" s="43"/>
      <c r="FM283" s="47"/>
      <c r="FN283" s="47"/>
      <c r="FO283" s="47"/>
      <c r="FP283" s="47"/>
      <c r="FQ283" s="47"/>
      <c r="FR283" s="49"/>
      <c r="FS283" s="49"/>
      <c r="FT283" s="49"/>
      <c r="FU283" s="49"/>
      <c r="FV283" s="49"/>
      <c r="FW283" s="49"/>
      <c r="FX283" s="49"/>
      <c r="FY283" s="32"/>
      <c r="FZ283" s="32"/>
      <c r="GA283" s="32"/>
      <c r="GB283" s="32"/>
      <c r="GC283" s="32"/>
      <c r="GD283" s="32"/>
      <c r="GE283" s="32"/>
      <c r="GF283" s="32"/>
      <c r="GG283" s="32"/>
      <c r="GH283" s="32"/>
      <c r="GI283" s="32"/>
      <c r="GJ283" s="32"/>
      <c r="GK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78"/>
      <c r="HO283" s="78"/>
      <c r="HP283" s="78"/>
      <c r="HQ283" s="13"/>
      <c r="HR283" s="13"/>
      <c r="HS283" s="13"/>
      <c r="HT283" s="13"/>
      <c r="HU283" s="13"/>
      <c r="HV283" s="13"/>
      <c r="HW283" s="13"/>
      <c r="HX283" s="13"/>
      <c r="HY283" s="13"/>
      <c r="HZ283" s="13"/>
      <c r="IA283" s="13"/>
    </row>
    <row r="284" spans="1:235" ht="9.75" customHeight="1">
      <c r="A284" s="1"/>
      <c r="B284" s="3"/>
      <c r="C284" s="3"/>
      <c r="D284" s="333"/>
      <c r="E284" s="278"/>
      <c r="F284" s="278"/>
      <c r="G284" s="278"/>
      <c r="H284" s="278"/>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c r="EI284" s="43"/>
      <c r="EJ284" s="43"/>
      <c r="EK284" s="43"/>
      <c r="EL284" s="43"/>
      <c r="EM284" s="43"/>
      <c r="EN284" s="43"/>
      <c r="EO284" s="43"/>
      <c r="EP284" s="43"/>
      <c r="EQ284" s="43"/>
      <c r="ER284" s="43"/>
      <c r="ES284" s="43"/>
      <c r="ET284" s="43"/>
      <c r="EU284" s="43"/>
      <c r="EV284" s="43"/>
      <c r="EW284" s="43"/>
      <c r="EX284" s="43"/>
      <c r="EY284" s="43"/>
      <c r="EZ284" s="43"/>
      <c r="FA284" s="43"/>
      <c r="FB284" s="43"/>
      <c r="FC284" s="43"/>
      <c r="FD284" s="278"/>
      <c r="FE284" s="278"/>
      <c r="FF284" s="278"/>
      <c r="FG284" s="278"/>
      <c r="FH284" s="278"/>
      <c r="FI284" s="278"/>
      <c r="FJ284" s="278"/>
      <c r="FK284" s="43"/>
      <c r="FL284" s="43"/>
      <c r="FM284" s="47"/>
      <c r="FN284" s="47"/>
      <c r="FO284" s="47"/>
      <c r="FP284" s="47"/>
      <c r="FQ284" s="47"/>
      <c r="FR284" s="49"/>
      <c r="FS284" s="49"/>
      <c r="FT284" s="49"/>
      <c r="FU284" s="49"/>
      <c r="FV284" s="49"/>
      <c r="FW284" s="49"/>
      <c r="FX284" s="49"/>
      <c r="FY284" s="32"/>
      <c r="FZ284" s="32"/>
      <c r="GA284" s="32"/>
      <c r="GB284" s="32"/>
      <c r="GC284" s="32"/>
      <c r="GD284" s="32"/>
      <c r="GE284" s="32"/>
      <c r="GF284" s="32"/>
      <c r="GG284" s="32"/>
      <c r="GH284" s="32"/>
      <c r="GI284" s="32"/>
      <c r="GJ284" s="32"/>
      <c r="GK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78"/>
      <c r="HO284" s="78"/>
      <c r="HP284" s="78"/>
      <c r="HQ284" s="13"/>
      <c r="HR284" s="13"/>
      <c r="HS284" s="13"/>
      <c r="HT284" s="13"/>
      <c r="HU284" s="13"/>
      <c r="HV284" s="13"/>
      <c r="HW284" s="13"/>
      <c r="HX284" s="13"/>
      <c r="HY284" s="13"/>
      <c r="HZ284" s="13"/>
      <c r="IA284" s="13"/>
    </row>
    <row r="285" spans="1:235" ht="16.95" customHeight="1">
      <c r="A285" s="1"/>
      <c r="B285" s="3"/>
      <c r="C285" s="3"/>
      <c r="D285" s="124" t="str">
        <f ca="1">IF(FO282=1,"Bij een monopolie kun je ook alle drie de situaties tegenkomen. Streven","")</f>
        <v/>
      </c>
      <c r="E285" s="373"/>
      <c r="F285" s="373"/>
      <c r="G285" s="373"/>
      <c r="H285" s="373"/>
      <c r="I285" s="373"/>
      <c r="J285" s="376"/>
      <c r="K285" s="376"/>
      <c r="L285" s="376"/>
      <c r="M285" s="376"/>
      <c r="N285" s="376"/>
      <c r="O285" s="376"/>
      <c r="P285" s="376"/>
      <c r="Q285" s="376"/>
      <c r="R285" s="376"/>
      <c r="S285" s="376"/>
      <c r="T285" s="376"/>
      <c r="U285" s="376"/>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A285" s="79"/>
      <c r="CB285" s="79"/>
      <c r="CC285" s="79"/>
      <c r="CD285" s="79"/>
      <c r="CE285" s="79"/>
      <c r="CF285" s="79"/>
      <c r="CG285" s="79"/>
      <c r="CH285" s="79"/>
      <c r="CI285" s="79"/>
      <c r="CJ285" s="79"/>
      <c r="CK285" s="43"/>
      <c r="CL285" s="43"/>
      <c r="CM285" s="43"/>
      <c r="CN285" s="43"/>
      <c r="CO285" s="43"/>
      <c r="CP285" s="376"/>
      <c r="CQ285" s="376"/>
      <c r="CR285" s="376"/>
      <c r="CS285" s="376"/>
      <c r="CT285" s="376"/>
      <c r="CU285" s="376"/>
      <c r="CV285" s="376"/>
      <c r="CW285" s="376"/>
      <c r="CX285" s="376"/>
      <c r="CY285" s="376"/>
      <c r="CZ285" s="376"/>
      <c r="DA285" s="376"/>
      <c r="DB285" s="376"/>
      <c r="DC285" s="376"/>
      <c r="DD285" s="376"/>
      <c r="DE285" s="376"/>
      <c r="DF285" s="376"/>
      <c r="DG285" s="376"/>
      <c r="DH285" s="376"/>
      <c r="DI285" s="376"/>
      <c r="DJ285" s="376"/>
      <c r="DK285" s="376"/>
      <c r="DL285" s="376"/>
      <c r="DM285" s="376"/>
      <c r="DN285" s="376"/>
      <c r="DO285" s="376"/>
      <c r="DP285" s="376"/>
      <c r="DQ285" s="376"/>
      <c r="DR285" s="376"/>
      <c r="DS285" s="376"/>
      <c r="DT285" s="376"/>
      <c r="DU285" s="376"/>
      <c r="DV285" s="376"/>
      <c r="DW285" s="376"/>
      <c r="DX285" s="376"/>
      <c r="DY285" s="376"/>
      <c r="DZ285" s="376"/>
      <c r="EA285" s="376"/>
      <c r="EB285" s="376"/>
      <c r="EC285" s="376"/>
      <c r="ED285" s="376"/>
      <c r="EE285" s="376"/>
      <c r="EF285" s="376"/>
      <c r="EG285" s="376"/>
      <c r="EH285" s="376"/>
      <c r="EI285" s="376"/>
      <c r="EJ285" s="376"/>
      <c r="EK285" s="376"/>
      <c r="EL285" s="376"/>
      <c r="EM285" s="376"/>
      <c r="EN285" s="376"/>
      <c r="EO285" s="376"/>
      <c r="EP285" s="376"/>
      <c r="EQ285" s="376"/>
      <c r="ER285" s="376"/>
      <c r="ES285" s="376"/>
      <c r="ET285" s="376"/>
      <c r="EU285" s="376"/>
      <c r="EV285" s="376"/>
      <c r="EW285" s="376"/>
      <c r="EX285" s="376"/>
      <c r="EY285" s="376"/>
      <c r="EZ285" s="376"/>
      <c r="FA285" s="43"/>
      <c r="FB285" s="43"/>
      <c r="FC285" s="43"/>
      <c r="FD285" s="43"/>
      <c r="FE285" s="43"/>
      <c r="FF285" s="43"/>
      <c r="FG285" s="43"/>
      <c r="FH285" s="43"/>
      <c r="FI285" s="79"/>
      <c r="FJ285" s="79"/>
      <c r="FK285" s="79"/>
      <c r="FL285" s="79"/>
      <c r="FM285" s="93"/>
      <c r="FN285" s="93"/>
      <c r="FO285" s="338"/>
      <c r="FP285" s="338"/>
      <c r="FQ285" s="338"/>
      <c r="FR285" s="338"/>
      <c r="FS285" s="338"/>
      <c r="FT285" s="338"/>
      <c r="FU285" s="338"/>
      <c r="FV285" s="338"/>
      <c r="FW285" s="338"/>
      <c r="FX285" s="338"/>
      <c r="FY285" s="32"/>
      <c r="FZ285" s="32"/>
      <c r="GA285" s="32"/>
      <c r="GB285" s="32"/>
      <c r="GC285" s="32"/>
      <c r="GD285" s="32"/>
      <c r="GE285" s="32"/>
      <c r="GF285" s="32"/>
      <c r="GG285" s="32"/>
      <c r="GH285" s="32"/>
      <c r="GI285" s="32"/>
      <c r="GJ285" s="32"/>
      <c r="GK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38"/>
      <c r="HO285" s="338"/>
      <c r="HP285" s="338"/>
      <c r="HQ285" s="13"/>
      <c r="HR285" s="13"/>
      <c r="HS285" s="13"/>
      <c r="HT285" s="13"/>
      <c r="HU285" s="13"/>
      <c r="HV285" s="13"/>
      <c r="HW285" s="13"/>
      <c r="HX285" s="13"/>
      <c r="HY285" s="13"/>
      <c r="HZ285" s="13"/>
      <c r="IA285" s="13"/>
    </row>
    <row r="286" spans="1:235" ht="16.95" customHeight="1">
      <c r="A286" s="1"/>
      <c r="B286" s="3"/>
      <c r="C286" s="3"/>
      <c r="D286" s="124" t="str">
        <f ca="1">IF(FO282=1,"naar maximale winst brengt een hoge verkoopprijs met zich mee en dat kan","")</f>
        <v/>
      </c>
      <c r="E286" s="373"/>
      <c r="F286" s="373"/>
      <c r="G286" s="373"/>
      <c r="H286" s="373"/>
      <c r="I286" s="373"/>
      <c r="J286" s="376"/>
      <c r="K286" s="376"/>
      <c r="L286" s="376"/>
      <c r="M286" s="376"/>
      <c r="N286" s="376"/>
      <c r="O286" s="376"/>
      <c r="P286" s="376"/>
      <c r="Q286" s="376"/>
      <c r="R286" s="376"/>
      <c r="S286" s="376"/>
      <c r="T286" s="376"/>
      <c r="U286" s="376"/>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c r="CJ286" s="79"/>
      <c r="CK286" s="43"/>
      <c r="CL286" s="43"/>
      <c r="CM286" s="43"/>
      <c r="CN286" s="43"/>
      <c r="CO286" s="43"/>
      <c r="CP286" s="376"/>
      <c r="CQ286" s="376"/>
      <c r="CR286" s="376"/>
      <c r="CS286" s="376"/>
      <c r="CT286" s="376"/>
      <c r="CU286" s="376"/>
      <c r="CV286" s="376"/>
      <c r="CW286" s="376"/>
      <c r="CX286" s="376"/>
      <c r="CY286" s="376"/>
      <c r="CZ286" s="376"/>
      <c r="DA286" s="376"/>
      <c r="DB286" s="376"/>
      <c r="DC286" s="376"/>
      <c r="DD286" s="376"/>
      <c r="DE286" s="376"/>
      <c r="DF286" s="376"/>
      <c r="DG286" s="376"/>
      <c r="DH286" s="376"/>
      <c r="DI286" s="376"/>
      <c r="DJ286" s="376"/>
      <c r="DK286" s="376"/>
      <c r="DL286" s="376"/>
      <c r="DM286" s="376"/>
      <c r="DN286" s="376"/>
      <c r="DO286" s="376"/>
      <c r="DP286" s="376"/>
      <c r="DQ286" s="376"/>
      <c r="DR286" s="376"/>
      <c r="DS286" s="376"/>
      <c r="DT286" s="376"/>
      <c r="DU286" s="376"/>
      <c r="DV286" s="376"/>
      <c r="DW286" s="376"/>
      <c r="DX286" s="376"/>
      <c r="DY286" s="376"/>
      <c r="DZ286" s="376"/>
      <c r="EA286" s="376"/>
      <c r="EB286" s="376"/>
      <c r="EC286" s="376"/>
      <c r="ED286" s="376"/>
      <c r="EE286" s="376"/>
      <c r="EF286" s="376"/>
      <c r="EG286" s="376"/>
      <c r="EH286" s="376"/>
      <c r="EI286" s="376"/>
      <c r="EJ286" s="376"/>
      <c r="EK286" s="376"/>
      <c r="EL286" s="376"/>
      <c r="EM286" s="376"/>
      <c r="EN286" s="376"/>
      <c r="EO286" s="376"/>
      <c r="EP286" s="376"/>
      <c r="EQ286" s="376"/>
      <c r="ER286" s="376"/>
      <c r="ES286" s="376"/>
      <c r="ET286" s="376"/>
      <c r="EU286" s="376"/>
      <c r="EV286" s="376"/>
      <c r="EW286" s="376"/>
      <c r="EX286" s="376"/>
      <c r="EY286" s="376"/>
      <c r="EZ286" s="376"/>
      <c r="FA286" s="43"/>
      <c r="FB286" s="43"/>
      <c r="FC286" s="43"/>
      <c r="FD286" s="43"/>
      <c r="FE286" s="43"/>
      <c r="FF286" s="43"/>
      <c r="FG286" s="43"/>
      <c r="FH286" s="43"/>
      <c r="FI286" s="79"/>
      <c r="FJ286" s="79"/>
      <c r="FK286" s="79"/>
      <c r="FL286" s="79"/>
      <c r="FM286" s="93"/>
      <c r="FN286" s="93"/>
      <c r="FO286" s="338"/>
      <c r="FP286" s="338"/>
      <c r="FQ286" s="338"/>
      <c r="FR286" s="338"/>
      <c r="FS286" s="338"/>
      <c r="FT286" s="338"/>
      <c r="FU286" s="338"/>
      <c r="FV286" s="338"/>
      <c r="FW286" s="338"/>
      <c r="FX286" s="338"/>
      <c r="FY286" s="32"/>
      <c r="FZ286" s="32"/>
      <c r="GA286" s="32"/>
      <c r="GB286" s="32"/>
      <c r="GC286" s="32"/>
      <c r="GD286" s="32"/>
      <c r="GE286" s="32"/>
      <c r="GF286" s="32"/>
      <c r="GG286" s="32"/>
      <c r="GH286" s="32"/>
      <c r="GI286" s="32"/>
      <c r="GJ286" s="32"/>
      <c r="GK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38"/>
      <c r="HO286" s="338"/>
      <c r="HP286" s="338"/>
      <c r="HQ286" s="13"/>
      <c r="HR286" s="13"/>
      <c r="HS286" s="13"/>
      <c r="HT286" s="13"/>
      <c r="HU286" s="13"/>
      <c r="HV286" s="13"/>
      <c r="HW286" s="13"/>
      <c r="HX286" s="13"/>
      <c r="HY286" s="13"/>
      <c r="HZ286" s="13"/>
      <c r="IA286" s="13"/>
    </row>
    <row r="287" spans="1:235" ht="16.95" customHeight="1">
      <c r="A287" s="1"/>
      <c r="B287" s="3"/>
      <c r="C287" s="3"/>
      <c r="D287" s="124" t="str">
        <f ca="1">IF(FO282=1,"toetreding uitlokken of ingrijpen door de overheid. Een monopolist kan","")</f>
        <v/>
      </c>
      <c r="E287" s="373"/>
      <c r="F287" s="373"/>
      <c r="G287" s="373"/>
      <c r="H287" s="373"/>
      <c r="I287" s="373"/>
      <c r="J287" s="376"/>
      <c r="K287" s="376"/>
      <c r="L287" s="376"/>
      <c r="M287" s="376"/>
      <c r="N287" s="376"/>
      <c r="O287" s="376"/>
      <c r="P287" s="376"/>
      <c r="Q287" s="376"/>
      <c r="R287" s="376"/>
      <c r="S287" s="376"/>
      <c r="T287" s="376"/>
      <c r="U287" s="376"/>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c r="BC287" s="79"/>
      <c r="BD287" s="79"/>
      <c r="BE287" s="79"/>
      <c r="BF287" s="79"/>
      <c r="BG287" s="79"/>
      <c r="BH287" s="79"/>
      <c r="BI287" s="79"/>
      <c r="BJ287" s="79"/>
      <c r="BK287" s="79"/>
      <c r="BL287" s="79"/>
      <c r="BM287" s="79"/>
      <c r="BN287" s="79"/>
      <c r="BO287" s="79"/>
      <c r="BP287" s="79"/>
      <c r="BQ287" s="79"/>
      <c r="BR287" s="79"/>
      <c r="BS287" s="79"/>
      <c r="BT287" s="79"/>
      <c r="BU287" s="79"/>
      <c r="BV287" s="79"/>
      <c r="BW287" s="79"/>
      <c r="BX287" s="79"/>
      <c r="BY287" s="79"/>
      <c r="BZ287" s="79"/>
      <c r="CA287" s="79"/>
      <c r="CB287" s="79"/>
      <c r="CC287" s="79"/>
      <c r="CD287" s="79"/>
      <c r="CE287" s="79"/>
      <c r="CF287" s="79"/>
      <c r="CG287" s="79"/>
      <c r="CH287" s="79"/>
      <c r="CI287" s="79"/>
      <c r="CJ287" s="79"/>
      <c r="CK287" s="43"/>
      <c r="CL287" s="43"/>
      <c r="CM287" s="43"/>
      <c r="CN287" s="43"/>
      <c r="CO287" s="43"/>
      <c r="CP287" s="376"/>
      <c r="CQ287" s="376"/>
      <c r="CR287" s="376"/>
      <c r="CS287" s="376"/>
      <c r="CT287" s="376"/>
      <c r="CU287" s="376"/>
      <c r="CV287" s="376"/>
      <c r="CW287" s="376"/>
      <c r="CX287" s="376"/>
      <c r="CY287" s="376"/>
      <c r="CZ287" s="376"/>
      <c r="DA287" s="376"/>
      <c r="DB287" s="376"/>
      <c r="DC287" s="376"/>
      <c r="DD287" s="376"/>
      <c r="DE287" s="376"/>
      <c r="DF287" s="376"/>
      <c r="DG287" s="376"/>
      <c r="DH287" s="376"/>
      <c r="DI287" s="376"/>
      <c r="DJ287" s="376"/>
      <c r="DK287" s="376"/>
      <c r="DL287" s="376"/>
      <c r="DM287" s="376"/>
      <c r="DN287" s="376"/>
      <c r="DO287" s="376"/>
      <c r="DP287" s="376"/>
      <c r="DQ287" s="376"/>
      <c r="DR287" s="376"/>
      <c r="DS287" s="376"/>
      <c r="DT287" s="376"/>
      <c r="DU287" s="376"/>
      <c r="DV287" s="376"/>
      <c r="DW287" s="376"/>
      <c r="DX287" s="376"/>
      <c r="DY287" s="376"/>
      <c r="DZ287" s="376"/>
      <c r="EA287" s="376"/>
      <c r="EB287" s="376"/>
      <c r="EC287" s="376"/>
      <c r="ED287" s="376"/>
      <c r="EE287" s="376"/>
      <c r="EF287" s="376"/>
      <c r="EG287" s="376"/>
      <c r="EH287" s="376"/>
      <c r="EI287" s="376"/>
      <c r="EJ287" s="376"/>
      <c r="EK287" s="376"/>
      <c r="EL287" s="376"/>
      <c r="EM287" s="376"/>
      <c r="EN287" s="376"/>
      <c r="EO287" s="376"/>
      <c r="EP287" s="376"/>
      <c r="EQ287" s="376"/>
      <c r="ER287" s="376"/>
      <c r="ES287" s="376"/>
      <c r="ET287" s="376"/>
      <c r="EU287" s="376"/>
      <c r="EV287" s="376"/>
      <c r="EW287" s="376"/>
      <c r="EX287" s="376"/>
      <c r="EY287" s="376"/>
      <c r="EZ287" s="376"/>
      <c r="FA287" s="43"/>
      <c r="FB287" s="43"/>
      <c r="FC287" s="43"/>
      <c r="FD287" s="43"/>
      <c r="FE287" s="43"/>
      <c r="FF287" s="43"/>
      <c r="FG287" s="43"/>
      <c r="FH287" s="43"/>
      <c r="FI287" s="79"/>
      <c r="FJ287" s="79"/>
      <c r="FK287" s="79"/>
      <c r="FL287" s="79"/>
      <c r="FM287" s="93"/>
      <c r="FN287" s="93"/>
      <c r="FO287" s="338"/>
      <c r="FP287" s="338"/>
      <c r="FQ287" s="338"/>
      <c r="FR287" s="338"/>
      <c r="FS287" s="338"/>
      <c r="FT287" s="338"/>
      <c r="FU287" s="338"/>
      <c r="FV287" s="338"/>
      <c r="FW287" s="338"/>
      <c r="FX287" s="338"/>
      <c r="FY287" s="32"/>
      <c r="FZ287" s="32"/>
      <c r="GA287" s="32"/>
      <c r="GB287" s="32"/>
      <c r="GC287" s="32"/>
      <c r="GD287" s="32"/>
      <c r="GE287" s="32"/>
      <c r="GF287" s="32"/>
      <c r="GG287" s="32"/>
      <c r="GH287" s="32"/>
      <c r="GI287" s="32"/>
      <c r="GJ287" s="32"/>
      <c r="GK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38"/>
      <c r="HO287" s="338"/>
      <c r="HP287" s="338"/>
      <c r="HQ287" s="13"/>
      <c r="HR287" s="13"/>
      <c r="HS287" s="13"/>
      <c r="HT287" s="13"/>
      <c r="HU287" s="13"/>
      <c r="HV287" s="13"/>
      <c r="HW287" s="13"/>
      <c r="HX287" s="13"/>
      <c r="HY287" s="13"/>
      <c r="HZ287" s="13"/>
      <c r="IA287" s="13"/>
    </row>
    <row r="288" spans="1:235" ht="16.95" customHeight="1">
      <c r="A288" s="1"/>
      <c r="B288" s="3"/>
      <c r="C288" s="3"/>
      <c r="D288" s="124" t="str">
        <f ca="1">IF(FO282=1,"daarom kiezen voor maximale omzet in plaats van maximale winst. Gaat het","")</f>
        <v/>
      </c>
      <c r="E288" s="373"/>
      <c r="F288" s="373"/>
      <c r="G288" s="373"/>
      <c r="H288" s="373"/>
      <c r="I288" s="373"/>
      <c r="J288" s="376"/>
      <c r="K288" s="376"/>
      <c r="L288" s="376"/>
      <c r="M288" s="376"/>
      <c r="N288" s="376"/>
      <c r="O288" s="376"/>
      <c r="P288" s="376"/>
      <c r="Q288" s="376"/>
      <c r="R288" s="376"/>
      <c r="S288" s="376"/>
      <c r="T288" s="376"/>
      <c r="U288" s="376"/>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c r="BE288" s="79"/>
      <c r="BF288" s="79"/>
      <c r="BG288" s="79"/>
      <c r="BH288" s="79"/>
      <c r="BI288" s="79"/>
      <c r="BJ288" s="79"/>
      <c r="BK288" s="79"/>
      <c r="BL288" s="79"/>
      <c r="BM288" s="79"/>
      <c r="BN288" s="79"/>
      <c r="BO288" s="79"/>
      <c r="BP288" s="79"/>
      <c r="BQ288" s="79"/>
      <c r="BR288" s="79"/>
      <c r="BS288" s="79"/>
      <c r="BT288" s="79"/>
      <c r="BU288" s="79"/>
      <c r="BV288" s="79"/>
      <c r="BW288" s="79"/>
      <c r="BX288" s="79"/>
      <c r="BY288" s="79"/>
      <c r="BZ288" s="79"/>
      <c r="CA288" s="79"/>
      <c r="CB288" s="79"/>
      <c r="CC288" s="79"/>
      <c r="CD288" s="79"/>
      <c r="CE288" s="79"/>
      <c r="CF288" s="79"/>
      <c r="CG288" s="79"/>
      <c r="CH288" s="79"/>
      <c r="CI288" s="79"/>
      <c r="CJ288" s="79"/>
      <c r="CK288" s="43"/>
      <c r="CL288" s="43"/>
      <c r="CM288" s="43"/>
      <c r="CN288" s="43"/>
      <c r="CO288" s="43"/>
      <c r="CP288" s="376"/>
      <c r="CQ288" s="376"/>
      <c r="CR288" s="376"/>
      <c r="CS288" s="376"/>
      <c r="CT288" s="376"/>
      <c r="CU288" s="376"/>
      <c r="CV288" s="376"/>
      <c r="CW288" s="376"/>
      <c r="CX288" s="376"/>
      <c r="CY288" s="376"/>
      <c r="CZ288" s="376"/>
      <c r="DA288" s="376"/>
      <c r="DB288" s="376"/>
      <c r="DC288" s="376"/>
      <c r="DD288" s="376"/>
      <c r="DE288" s="376"/>
      <c r="DF288" s="376"/>
      <c r="DG288" s="376"/>
      <c r="DH288" s="376"/>
      <c r="DI288" s="376"/>
      <c r="DJ288" s="376"/>
      <c r="DK288" s="376"/>
      <c r="DL288" s="376"/>
      <c r="DM288" s="376"/>
      <c r="DN288" s="376"/>
      <c r="DO288" s="376"/>
      <c r="DP288" s="376"/>
      <c r="DQ288" s="376"/>
      <c r="DR288" s="376"/>
      <c r="DS288" s="376"/>
      <c r="DT288" s="376"/>
      <c r="DU288" s="376"/>
      <c r="DV288" s="376"/>
      <c r="DW288" s="376"/>
      <c r="DX288" s="376"/>
      <c r="DY288" s="376"/>
      <c r="DZ288" s="376"/>
      <c r="EA288" s="376"/>
      <c r="EB288" s="376"/>
      <c r="EC288" s="376"/>
      <c r="ED288" s="376"/>
      <c r="EE288" s="376"/>
      <c r="EF288" s="376"/>
      <c r="EG288" s="376"/>
      <c r="EH288" s="376"/>
      <c r="EI288" s="376"/>
      <c r="EJ288" s="376"/>
      <c r="EK288" s="376"/>
      <c r="EL288" s="376"/>
      <c r="EM288" s="376"/>
      <c r="EN288" s="376"/>
      <c r="EO288" s="376"/>
      <c r="EP288" s="376"/>
      <c r="EQ288" s="376"/>
      <c r="ER288" s="376"/>
      <c r="ES288" s="376"/>
      <c r="ET288" s="376"/>
      <c r="EU288" s="376"/>
      <c r="EV288" s="376"/>
      <c r="EW288" s="376"/>
      <c r="EX288" s="376"/>
      <c r="EY288" s="376"/>
      <c r="EZ288" s="376"/>
      <c r="FA288" s="43"/>
      <c r="FB288" s="43"/>
      <c r="FC288" s="43"/>
      <c r="FD288" s="43"/>
      <c r="FE288" s="43"/>
      <c r="FF288" s="43"/>
      <c r="FG288" s="43"/>
      <c r="FH288" s="43"/>
      <c r="FI288" s="79"/>
      <c r="FJ288" s="79"/>
      <c r="FK288" s="79"/>
      <c r="FL288" s="79"/>
      <c r="FM288" s="93"/>
      <c r="FN288" s="93"/>
      <c r="FO288" s="338"/>
      <c r="FP288" s="338"/>
      <c r="FQ288" s="338"/>
      <c r="FR288" s="338"/>
      <c r="FS288" s="338"/>
      <c r="FT288" s="338"/>
      <c r="FU288" s="338"/>
      <c r="FV288" s="338"/>
      <c r="FW288" s="338"/>
      <c r="FX288" s="338"/>
      <c r="FY288" s="32"/>
      <c r="FZ288" s="32"/>
      <c r="GA288" s="32"/>
      <c r="GB288" s="32"/>
      <c r="GC288" s="32"/>
      <c r="GD288" s="32"/>
      <c r="GE288" s="32"/>
      <c r="GF288" s="32"/>
      <c r="GG288" s="32"/>
      <c r="GH288" s="32"/>
      <c r="GI288" s="32"/>
      <c r="GJ288" s="32"/>
      <c r="GK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38"/>
      <c r="HO288" s="338"/>
      <c r="HP288" s="338"/>
      <c r="HQ288" s="13"/>
      <c r="HR288" s="13"/>
      <c r="HS288" s="13"/>
      <c r="HT288" s="13"/>
      <c r="HU288" s="13"/>
      <c r="HV288" s="13"/>
      <c r="HW288" s="13"/>
      <c r="HX288" s="13"/>
      <c r="HY288" s="13"/>
      <c r="HZ288" s="13"/>
      <c r="IA288" s="13"/>
    </row>
    <row r="289" spans="1:235" ht="16.95" customHeight="1">
      <c r="A289" s="1"/>
      <c r="B289" s="3"/>
      <c r="C289" s="3"/>
      <c r="D289" s="124" t="str">
        <f ca="1">IF(FO282=1,"om een overheidsmonopolie, dan kan de doelstelling zijn dat naar een zo","")</f>
        <v/>
      </c>
      <c r="E289" s="373"/>
      <c r="F289" s="373"/>
      <c r="G289" s="373"/>
      <c r="H289" s="373"/>
      <c r="I289" s="373"/>
      <c r="J289" s="376"/>
      <c r="K289" s="376"/>
      <c r="L289" s="376"/>
      <c r="M289" s="376"/>
      <c r="N289" s="376"/>
      <c r="O289" s="376"/>
      <c r="P289" s="376"/>
      <c r="Q289" s="376"/>
      <c r="R289" s="376"/>
      <c r="S289" s="376"/>
      <c r="T289" s="376"/>
      <c r="U289" s="376"/>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79"/>
      <c r="BA289" s="79"/>
      <c r="BB289" s="79"/>
      <c r="BC289" s="79"/>
      <c r="BD289" s="79"/>
      <c r="BE289" s="79"/>
      <c r="BF289" s="79"/>
      <c r="BG289" s="79"/>
      <c r="BH289" s="79"/>
      <c r="BI289" s="79"/>
      <c r="BJ289" s="79"/>
      <c r="BK289" s="79"/>
      <c r="BL289" s="79"/>
      <c r="BM289" s="79"/>
      <c r="BN289" s="79"/>
      <c r="BO289" s="79"/>
      <c r="BP289" s="79"/>
      <c r="BQ289" s="79"/>
      <c r="BR289" s="79"/>
      <c r="BS289" s="79"/>
      <c r="BT289" s="79"/>
      <c r="BU289" s="79"/>
      <c r="BV289" s="79"/>
      <c r="BW289" s="79"/>
      <c r="BX289" s="79"/>
      <c r="BY289" s="79"/>
      <c r="BZ289" s="79"/>
      <c r="CA289" s="79"/>
      <c r="CB289" s="79"/>
      <c r="CC289" s="79"/>
      <c r="CD289" s="79"/>
      <c r="CE289" s="79"/>
      <c r="CF289" s="79"/>
      <c r="CG289" s="79"/>
      <c r="CH289" s="79"/>
      <c r="CI289" s="79"/>
      <c r="CJ289" s="79"/>
      <c r="CK289" s="43"/>
      <c r="CL289" s="43"/>
      <c r="CM289" s="43"/>
      <c r="CN289" s="43"/>
      <c r="CO289" s="43"/>
      <c r="CP289" s="376"/>
      <c r="CQ289" s="376"/>
      <c r="CR289" s="376"/>
      <c r="CS289" s="376"/>
      <c r="CT289" s="376"/>
      <c r="CU289" s="376"/>
      <c r="CV289" s="376"/>
      <c r="CW289" s="376"/>
      <c r="CX289" s="376"/>
      <c r="CY289" s="376"/>
      <c r="CZ289" s="376"/>
      <c r="DA289" s="376"/>
      <c r="DB289" s="376"/>
      <c r="DC289" s="376"/>
      <c r="DD289" s="376"/>
      <c r="DE289" s="376"/>
      <c r="DF289" s="376"/>
      <c r="DG289" s="376"/>
      <c r="DH289" s="376"/>
      <c r="DI289" s="376"/>
      <c r="DJ289" s="376"/>
      <c r="DK289" s="376"/>
      <c r="DL289" s="376"/>
      <c r="DM289" s="376"/>
      <c r="DN289" s="376"/>
      <c r="DO289" s="376"/>
      <c r="DP289" s="376"/>
      <c r="DQ289" s="376"/>
      <c r="DR289" s="376"/>
      <c r="DS289" s="376"/>
      <c r="DT289" s="376"/>
      <c r="DU289" s="376"/>
      <c r="DV289" s="376"/>
      <c r="DW289" s="376"/>
      <c r="DX289" s="376"/>
      <c r="DY289" s="376"/>
      <c r="DZ289" s="376"/>
      <c r="EA289" s="376"/>
      <c r="EB289" s="376"/>
      <c r="EC289" s="376"/>
      <c r="ED289" s="376"/>
      <c r="EE289" s="376"/>
      <c r="EF289" s="376"/>
      <c r="EG289" s="376"/>
      <c r="EH289" s="376"/>
      <c r="EI289" s="376"/>
      <c r="EJ289" s="376"/>
      <c r="EK289" s="376"/>
      <c r="EL289" s="376"/>
      <c r="EM289" s="376"/>
      <c r="EN289" s="376"/>
      <c r="EO289" s="376"/>
      <c r="EP289" s="376"/>
      <c r="EQ289" s="376"/>
      <c r="ER289" s="376"/>
      <c r="ES289" s="376"/>
      <c r="ET289" s="376"/>
      <c r="EU289" s="376"/>
      <c r="EV289" s="376"/>
      <c r="EW289" s="376"/>
      <c r="EX289" s="376"/>
      <c r="EY289" s="376"/>
      <c r="EZ289" s="376"/>
      <c r="FA289" s="43"/>
      <c r="FB289" s="43"/>
      <c r="FC289" s="43"/>
      <c r="FD289" s="43"/>
      <c r="FE289" s="43"/>
      <c r="FF289" s="43"/>
      <c r="FG289" s="43"/>
      <c r="FH289" s="43"/>
      <c r="FI289" s="79"/>
      <c r="FJ289" s="79"/>
      <c r="FK289" s="79"/>
      <c r="FL289" s="79"/>
      <c r="FM289" s="93"/>
      <c r="FN289" s="93"/>
      <c r="FO289" s="338"/>
      <c r="FP289" s="338"/>
      <c r="FQ289" s="338"/>
      <c r="FR289" s="338"/>
      <c r="FS289" s="338"/>
      <c r="FT289" s="338"/>
      <c r="FU289" s="338"/>
      <c r="FV289" s="338"/>
      <c r="FW289" s="338"/>
      <c r="FX289" s="338"/>
      <c r="FY289" s="32"/>
      <c r="FZ289" s="32"/>
      <c r="GA289" s="32"/>
      <c r="GB289" s="32"/>
      <c r="GC289" s="32"/>
      <c r="GD289" s="32"/>
      <c r="GE289" s="32"/>
      <c r="GF289" s="32"/>
      <c r="GG289" s="32"/>
      <c r="GH289" s="32"/>
      <c r="GI289" s="32"/>
      <c r="GJ289" s="32"/>
      <c r="GK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38"/>
      <c r="HO289" s="338"/>
      <c r="HP289" s="338"/>
      <c r="HQ289" s="13"/>
      <c r="HR289" s="13"/>
      <c r="HS289" s="13"/>
      <c r="HT289" s="13"/>
      <c r="HU289" s="13"/>
      <c r="HV289" s="13"/>
      <c r="HW289" s="13"/>
      <c r="HX289" s="13"/>
      <c r="HY289" s="13"/>
      <c r="HZ289" s="13"/>
      <c r="IA289" s="13"/>
    </row>
    <row r="290" spans="1:235" ht="16.95" customHeight="1">
      <c r="A290" s="1"/>
      <c r="B290" s="3"/>
      <c r="C290" s="3"/>
      <c r="D290" s="124" t="str">
        <f ca="1">IF(FO282=1,"hoog mogelijke productie tegen een zo laag mogelijke kostendekkende prijs.","")</f>
        <v/>
      </c>
      <c r="E290" s="373"/>
      <c r="F290" s="373"/>
      <c r="G290" s="373"/>
      <c r="H290" s="373"/>
      <c r="I290" s="373"/>
      <c r="J290" s="376"/>
      <c r="K290" s="376"/>
      <c r="L290" s="376"/>
      <c r="M290" s="376"/>
      <c r="N290" s="376"/>
      <c r="O290" s="376"/>
      <c r="P290" s="376"/>
      <c r="Q290" s="376"/>
      <c r="R290" s="376"/>
      <c r="S290" s="376"/>
      <c r="T290" s="376"/>
      <c r="U290" s="376"/>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A290" s="79"/>
      <c r="CB290" s="79"/>
      <c r="CC290" s="79"/>
      <c r="CD290" s="79"/>
      <c r="CE290" s="79"/>
      <c r="CF290" s="79"/>
      <c r="CG290" s="79"/>
      <c r="CH290" s="79"/>
      <c r="CI290" s="79"/>
      <c r="CJ290" s="79"/>
      <c r="CK290" s="43"/>
      <c r="CL290" s="43"/>
      <c r="CM290" s="43"/>
      <c r="CN290" s="43"/>
      <c r="CO290" s="43"/>
      <c r="CP290" s="376"/>
      <c r="CQ290" s="376"/>
      <c r="CR290" s="376"/>
      <c r="CS290" s="376"/>
      <c r="CT290" s="376"/>
      <c r="CU290" s="376"/>
      <c r="CV290" s="376"/>
      <c r="CW290" s="376"/>
      <c r="CX290" s="376"/>
      <c r="CY290" s="376"/>
      <c r="CZ290" s="376"/>
      <c r="DA290" s="376"/>
      <c r="DB290" s="376"/>
      <c r="DC290" s="376"/>
      <c r="DD290" s="376"/>
      <c r="DE290" s="376"/>
      <c r="DF290" s="376"/>
      <c r="DG290" s="376"/>
      <c r="DH290" s="376"/>
      <c r="DI290" s="376"/>
      <c r="DJ290" s="376"/>
      <c r="DK290" s="376"/>
      <c r="DL290" s="376"/>
      <c r="DM290" s="376"/>
      <c r="DN290" s="376"/>
      <c r="DO290" s="376"/>
      <c r="DP290" s="376"/>
      <c r="DQ290" s="376"/>
      <c r="DR290" s="376"/>
      <c r="DS290" s="376"/>
      <c r="DT290" s="376"/>
      <c r="DU290" s="376"/>
      <c r="DV290" s="376"/>
      <c r="DW290" s="376"/>
      <c r="DX290" s="376"/>
      <c r="DY290" s="376"/>
      <c r="DZ290" s="376"/>
      <c r="EA290" s="376"/>
      <c r="EB290" s="376"/>
      <c r="EC290" s="376"/>
      <c r="ED290" s="376"/>
      <c r="EE290" s="376"/>
      <c r="EF290" s="376"/>
      <c r="EG290" s="376"/>
      <c r="EH290" s="376"/>
      <c r="EI290" s="376"/>
      <c r="EJ290" s="376"/>
      <c r="EK290" s="376"/>
      <c r="EL290" s="376"/>
      <c r="EM290" s="376"/>
      <c r="EN290" s="376"/>
      <c r="EO290" s="376"/>
      <c r="EP290" s="376"/>
      <c r="EQ290" s="376"/>
      <c r="ER290" s="376"/>
      <c r="ES290" s="376"/>
      <c r="ET290" s="376"/>
      <c r="EU290" s="376"/>
      <c r="EV290" s="376"/>
      <c r="EW290" s="376"/>
      <c r="EX290" s="376"/>
      <c r="EY290" s="376"/>
      <c r="EZ290" s="376"/>
      <c r="FA290" s="43"/>
      <c r="FB290" s="43"/>
      <c r="FC290" s="43"/>
      <c r="FD290" s="43"/>
      <c r="FE290" s="43"/>
      <c r="FF290" s="43"/>
      <c r="FG290" s="43"/>
      <c r="FH290" s="43"/>
      <c r="FI290" s="79"/>
      <c r="FJ290" s="79"/>
      <c r="FK290" s="79"/>
      <c r="FL290" s="79"/>
      <c r="FM290" s="93"/>
      <c r="FN290" s="93"/>
      <c r="FO290" s="338"/>
      <c r="FP290" s="338"/>
      <c r="FQ290" s="338"/>
      <c r="FR290" s="338"/>
      <c r="FS290" s="338"/>
      <c r="FT290" s="338"/>
      <c r="FU290" s="338"/>
      <c r="FV290" s="338"/>
      <c r="FW290" s="338"/>
      <c r="FX290" s="338"/>
      <c r="FY290" s="32"/>
      <c r="FZ290" s="32"/>
      <c r="GA290" s="32"/>
      <c r="GB290" s="32"/>
      <c r="GC290" s="32"/>
      <c r="GD290" s="32"/>
      <c r="GE290" s="32"/>
      <c r="GF290" s="32"/>
      <c r="GG290" s="32"/>
      <c r="GH290" s="32"/>
      <c r="GI290" s="32"/>
      <c r="GJ290" s="32"/>
      <c r="GK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38"/>
      <c r="HO290" s="338"/>
      <c r="HP290" s="338"/>
      <c r="HQ290" s="13"/>
      <c r="HR290" s="13"/>
      <c r="HS290" s="13"/>
      <c r="HT290" s="13"/>
      <c r="HU290" s="13"/>
      <c r="HV290" s="13"/>
      <c r="HW290" s="13"/>
      <c r="HX290" s="13"/>
      <c r="HY290" s="13"/>
      <c r="HZ290" s="13"/>
      <c r="IA290" s="13"/>
    </row>
    <row r="291" spans="1:235" ht="16.95" customHeight="1">
      <c r="A291" s="1"/>
      <c r="B291" s="3"/>
      <c r="C291" s="3"/>
      <c r="D291" s="124" t="str">
        <f ca="1">IF(FO282=1,"Deze situatie is hierboven niet terug te vinden, want daarvoor moet je ook","")</f>
        <v/>
      </c>
      <c r="E291" s="373"/>
      <c r="F291" s="373"/>
      <c r="G291" s="373"/>
      <c r="H291" s="373"/>
      <c r="I291" s="373"/>
      <c r="J291" s="376"/>
      <c r="K291" s="376"/>
      <c r="L291" s="376"/>
      <c r="M291" s="376"/>
      <c r="N291" s="376"/>
      <c r="O291" s="376"/>
      <c r="P291" s="376"/>
      <c r="Q291" s="376"/>
      <c r="R291" s="376"/>
      <c r="S291" s="376"/>
      <c r="T291" s="376"/>
      <c r="U291" s="376"/>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A291" s="79"/>
      <c r="CB291" s="79"/>
      <c r="CC291" s="79"/>
      <c r="CD291" s="79"/>
      <c r="CE291" s="79"/>
      <c r="CF291" s="79"/>
      <c r="CG291" s="79"/>
      <c r="CH291" s="79"/>
      <c r="CI291" s="79"/>
      <c r="CJ291" s="79"/>
      <c r="CK291" s="43"/>
      <c r="CL291" s="43"/>
      <c r="CM291" s="43"/>
      <c r="CN291" s="43"/>
      <c r="CO291" s="43"/>
      <c r="CP291" s="376"/>
      <c r="CQ291" s="376"/>
      <c r="CR291" s="376"/>
      <c r="CS291" s="376"/>
      <c r="CT291" s="376"/>
      <c r="CU291" s="376"/>
      <c r="CV291" s="376"/>
      <c r="CW291" s="376"/>
      <c r="CX291" s="376"/>
      <c r="CY291" s="376"/>
      <c r="CZ291" s="376"/>
      <c r="DA291" s="376"/>
      <c r="DB291" s="376"/>
      <c r="DC291" s="376"/>
      <c r="DD291" s="376"/>
      <c r="DE291" s="376"/>
      <c r="DF291" s="376"/>
      <c r="DG291" s="376"/>
      <c r="DH291" s="376"/>
      <c r="DI291" s="376"/>
      <c r="DJ291" s="376"/>
      <c r="DK291" s="376"/>
      <c r="DL291" s="376"/>
      <c r="DM291" s="376"/>
      <c r="DN291" s="376"/>
      <c r="DO291" s="376"/>
      <c r="DP291" s="376"/>
      <c r="DQ291" s="376"/>
      <c r="DR291" s="376"/>
      <c r="DS291" s="376"/>
      <c r="DT291" s="376"/>
      <c r="DU291" s="376"/>
      <c r="DV291" s="376"/>
      <c r="DW291" s="376"/>
      <c r="DX291" s="376"/>
      <c r="DY291" s="376"/>
      <c r="DZ291" s="376"/>
      <c r="EA291" s="376"/>
      <c r="EB291" s="376"/>
      <c r="EC291" s="376"/>
      <c r="ED291" s="376"/>
      <c r="EE291" s="376"/>
      <c r="EF291" s="376"/>
      <c r="EG291" s="376"/>
      <c r="EH291" s="376"/>
      <c r="EI291" s="376"/>
      <c r="EJ291" s="376"/>
      <c r="EK291" s="376"/>
      <c r="EL291" s="376"/>
      <c r="EM291" s="376"/>
      <c r="EN291" s="376"/>
      <c r="EO291" s="376"/>
      <c r="EP291" s="376"/>
      <c r="EQ291" s="376"/>
      <c r="ER291" s="376"/>
      <c r="ES291" s="376"/>
      <c r="ET291" s="376"/>
      <c r="EU291" s="376"/>
      <c r="EV291" s="376"/>
      <c r="EW291" s="376"/>
      <c r="EX291" s="376"/>
      <c r="EY291" s="376"/>
      <c r="EZ291" s="376"/>
      <c r="FA291" s="43"/>
      <c r="FB291" s="43"/>
      <c r="FC291" s="43"/>
      <c r="FD291" s="43"/>
      <c r="FE291" s="43"/>
      <c r="FF291" s="43"/>
      <c r="FG291" s="43"/>
      <c r="FH291" s="43"/>
      <c r="FI291" s="79"/>
      <c r="FJ291" s="79"/>
      <c r="FK291" s="79"/>
      <c r="FL291" s="79"/>
      <c r="FM291" s="93"/>
      <c r="FN291" s="93"/>
      <c r="FO291" s="338"/>
      <c r="FP291" s="338"/>
      <c r="FQ291" s="338"/>
      <c r="FR291" s="338"/>
      <c r="FS291" s="338"/>
      <c r="FT291" s="338"/>
      <c r="FU291" s="338"/>
      <c r="FV291" s="338"/>
      <c r="FW291" s="338"/>
      <c r="FX291" s="338"/>
      <c r="FY291" s="32"/>
      <c r="FZ291" s="32"/>
      <c r="GA291" s="32"/>
      <c r="GB291" s="32"/>
      <c r="GC291" s="32"/>
      <c r="GD291" s="32"/>
      <c r="GE291" s="32"/>
      <c r="GF291" s="32"/>
      <c r="GG291" s="32"/>
      <c r="GH291" s="32"/>
      <c r="GI291" s="32"/>
      <c r="GJ291" s="32"/>
      <c r="GK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38"/>
      <c r="HO291" s="338"/>
      <c r="HP291" s="338"/>
      <c r="HQ291" s="13"/>
      <c r="HR291" s="13"/>
      <c r="HS291" s="13"/>
      <c r="HT291" s="13"/>
      <c r="HU291" s="13"/>
      <c r="HV291" s="13"/>
      <c r="HW291" s="13"/>
      <c r="HX291" s="13"/>
      <c r="HY291" s="13"/>
      <c r="HZ291" s="13"/>
      <c r="IA291" s="13"/>
    </row>
    <row r="292" spans="1:235" ht="16.95" customHeight="1">
      <c r="A292" s="1"/>
      <c r="B292" s="3"/>
      <c r="C292" s="3"/>
      <c r="D292" s="124" t="str">
        <f ca="1">IF(FO282=1,"de constante kosten erbij betrekken.","")</f>
        <v/>
      </c>
      <c r="E292" s="373"/>
      <c r="F292" s="373"/>
      <c r="G292" s="373"/>
      <c r="H292" s="373"/>
      <c r="I292" s="373"/>
      <c r="J292" s="376"/>
      <c r="K292" s="376"/>
      <c r="L292" s="376"/>
      <c r="M292" s="376"/>
      <c r="N292" s="376"/>
      <c r="O292" s="376"/>
      <c r="P292" s="376"/>
      <c r="Q292" s="376"/>
      <c r="R292" s="376"/>
      <c r="S292" s="376"/>
      <c r="T292" s="376"/>
      <c r="U292" s="376"/>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A292" s="79"/>
      <c r="CB292" s="79"/>
      <c r="CC292" s="79"/>
      <c r="CD292" s="79"/>
      <c r="CE292" s="79"/>
      <c r="CF292" s="79"/>
      <c r="CG292" s="79"/>
      <c r="CH292" s="79"/>
      <c r="CI292" s="79"/>
      <c r="CJ292" s="79"/>
      <c r="CK292" s="43"/>
      <c r="CL292" s="43"/>
      <c r="CM292" s="43"/>
      <c r="CN292" s="43"/>
      <c r="CO292" s="43"/>
      <c r="CP292" s="376"/>
      <c r="CQ292" s="376"/>
      <c r="CR292" s="376"/>
      <c r="CS292" s="376"/>
      <c r="CT292" s="376"/>
      <c r="CU292" s="376"/>
      <c r="CV292" s="376"/>
      <c r="CW292" s="376"/>
      <c r="CX292" s="376"/>
      <c r="CY292" s="376"/>
      <c r="CZ292" s="376"/>
      <c r="DA292" s="376"/>
      <c r="DB292" s="376"/>
      <c r="DC292" s="376"/>
      <c r="DD292" s="376"/>
      <c r="DE292" s="376"/>
      <c r="DF292" s="376"/>
      <c r="DG292" s="376"/>
      <c r="DH292" s="376"/>
      <c r="DI292" s="376"/>
      <c r="DJ292" s="376"/>
      <c r="DK292" s="376"/>
      <c r="DL292" s="376"/>
      <c r="DM292" s="376"/>
      <c r="DN292" s="376"/>
      <c r="DO292" s="376"/>
      <c r="DP292" s="376"/>
      <c r="DQ292" s="376"/>
      <c r="DR292" s="376"/>
      <c r="DS292" s="376"/>
      <c r="DT292" s="376"/>
      <c r="DU292" s="376"/>
      <c r="DV292" s="376"/>
      <c r="DW292" s="376"/>
      <c r="DX292" s="376"/>
      <c r="DY292" s="376"/>
      <c r="DZ292" s="376"/>
      <c r="EA292" s="376"/>
      <c r="EB292" s="376"/>
      <c r="EC292" s="376"/>
      <c r="ED292" s="376"/>
      <c r="EE292" s="376"/>
      <c r="EF292" s="376"/>
      <c r="EG292" s="376"/>
      <c r="EH292" s="376"/>
      <c r="EI292" s="376"/>
      <c r="EJ292" s="376"/>
      <c r="EK292" s="376"/>
      <c r="EL292" s="376"/>
      <c r="EM292" s="376"/>
      <c r="EN292" s="376"/>
      <c r="EO292" s="376"/>
      <c r="EP292" s="376"/>
      <c r="EQ292" s="376"/>
      <c r="ER292" s="376"/>
      <c r="ES292" s="376"/>
      <c r="ET292" s="376"/>
      <c r="EU292" s="376"/>
      <c r="EV292" s="376"/>
      <c r="EW292" s="376"/>
      <c r="EX292" s="376"/>
      <c r="EY292" s="376"/>
      <c r="EZ292" s="376"/>
      <c r="FA292" s="43"/>
      <c r="FB292" s="43"/>
      <c r="FC292" s="43"/>
      <c r="FD292" s="43"/>
      <c r="FE292" s="43"/>
      <c r="FF292" s="43"/>
      <c r="FG292" s="43"/>
      <c r="FH292" s="43"/>
      <c r="FI292" s="79"/>
      <c r="FJ292" s="79"/>
      <c r="FK292" s="79"/>
      <c r="FL292" s="79"/>
      <c r="FM292" s="93"/>
      <c r="FN292" s="93"/>
      <c r="FO292" s="338"/>
      <c r="FP292" s="338"/>
      <c r="FQ292" s="338"/>
      <c r="FR292" s="338"/>
      <c r="FS292" s="338"/>
      <c r="FT292" s="338"/>
      <c r="FU292" s="338"/>
      <c r="FV292" s="338"/>
      <c r="FW292" s="338"/>
      <c r="FX292" s="338"/>
      <c r="FY292" s="32"/>
      <c r="FZ292" s="32"/>
      <c r="GA292" s="32"/>
      <c r="GB292" s="32"/>
      <c r="GC292" s="32"/>
      <c r="GD292" s="32"/>
      <c r="GE292" s="32"/>
      <c r="GF292" s="32"/>
      <c r="GG292" s="32"/>
      <c r="GH292" s="32"/>
      <c r="GI292" s="32"/>
      <c r="GJ292" s="32"/>
      <c r="GK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38"/>
      <c r="HO292" s="338"/>
      <c r="HP292" s="338"/>
      <c r="HQ292" s="13"/>
      <c r="HR292" s="13"/>
      <c r="HS292" s="13"/>
      <c r="HT292" s="13"/>
      <c r="HU292" s="13"/>
      <c r="HV292" s="13"/>
      <c r="HW292" s="13"/>
      <c r="HX292" s="13"/>
      <c r="HY292" s="13"/>
      <c r="HZ292" s="13"/>
      <c r="IA292" s="13"/>
    </row>
    <row r="293" spans="1:235" ht="16.95" customHeight="1">
      <c r="A293" s="1"/>
      <c r="B293" s="3"/>
      <c r="C293" s="3"/>
      <c r="D293" s="124"/>
      <c r="E293" s="402"/>
      <c r="F293" s="402"/>
      <c r="G293" s="402"/>
      <c r="H293" s="402"/>
      <c r="I293" s="402"/>
      <c r="J293" s="376"/>
      <c r="K293" s="376"/>
      <c r="L293" s="376"/>
      <c r="M293" s="376"/>
      <c r="N293" s="376"/>
      <c r="O293" s="376"/>
      <c r="P293" s="376"/>
      <c r="Q293" s="376"/>
      <c r="R293" s="376"/>
      <c r="S293" s="376"/>
      <c r="T293" s="376"/>
      <c r="U293" s="376"/>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79"/>
      <c r="BA293" s="79"/>
      <c r="BB293" s="79"/>
      <c r="BC293" s="79"/>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A293" s="79"/>
      <c r="CB293" s="79"/>
      <c r="CC293" s="79"/>
      <c r="CD293" s="79"/>
      <c r="CE293" s="79"/>
      <c r="CF293" s="79"/>
      <c r="CG293" s="79"/>
      <c r="CH293" s="79"/>
      <c r="CI293" s="79"/>
      <c r="CJ293" s="79"/>
      <c r="CK293" s="43"/>
      <c r="CL293" s="43"/>
      <c r="CM293" s="43"/>
      <c r="CN293" s="43"/>
      <c r="CO293" s="43"/>
      <c r="CP293" s="376"/>
      <c r="CQ293" s="376"/>
      <c r="CR293" s="376"/>
      <c r="CS293" s="376"/>
      <c r="CT293" s="376"/>
      <c r="CU293" s="376"/>
      <c r="CV293" s="376"/>
      <c r="CW293" s="376"/>
      <c r="CX293" s="376"/>
      <c r="CY293" s="376"/>
      <c r="CZ293" s="376"/>
      <c r="DA293" s="376"/>
      <c r="DB293" s="376"/>
      <c r="DC293" s="376"/>
      <c r="DD293" s="376"/>
      <c r="DE293" s="376"/>
      <c r="DF293" s="376"/>
      <c r="DG293" s="376"/>
      <c r="DH293" s="376"/>
      <c r="DI293" s="376"/>
      <c r="DJ293" s="376"/>
      <c r="DK293" s="376"/>
      <c r="DL293" s="376"/>
      <c r="DM293" s="376"/>
      <c r="DN293" s="376"/>
      <c r="DO293" s="376"/>
      <c r="DP293" s="376"/>
      <c r="DQ293" s="376"/>
      <c r="DR293" s="376"/>
      <c r="DS293" s="376"/>
      <c r="DT293" s="376"/>
      <c r="DU293" s="376"/>
      <c r="DV293" s="376"/>
      <c r="DW293" s="376"/>
      <c r="DX293" s="376"/>
      <c r="DY293" s="376"/>
      <c r="DZ293" s="376"/>
      <c r="EA293" s="376"/>
      <c r="EB293" s="376"/>
      <c r="EC293" s="376"/>
      <c r="ED293" s="376"/>
      <c r="EE293" s="376"/>
      <c r="EF293" s="376"/>
      <c r="EG293" s="376"/>
      <c r="EH293" s="376"/>
      <c r="EI293" s="376"/>
      <c r="EJ293" s="376"/>
      <c r="EK293" s="376"/>
      <c r="EL293" s="376"/>
      <c r="EM293" s="376"/>
      <c r="EN293" s="376"/>
      <c r="EO293" s="376"/>
      <c r="EP293" s="376"/>
      <c r="EQ293" s="376"/>
      <c r="ER293" s="376"/>
      <c r="ES293" s="376"/>
      <c r="ET293" s="376"/>
      <c r="EU293" s="376"/>
      <c r="EV293" s="376"/>
      <c r="EW293" s="376"/>
      <c r="EX293" s="376"/>
      <c r="EY293" s="376"/>
      <c r="EZ293" s="376"/>
      <c r="FA293" s="43"/>
      <c r="FB293" s="43"/>
      <c r="FC293" s="43"/>
      <c r="FD293" s="43"/>
      <c r="FE293" s="43"/>
      <c r="FF293" s="43"/>
      <c r="FG293" s="43"/>
      <c r="FH293" s="43"/>
      <c r="FI293" s="79"/>
      <c r="FJ293" s="79"/>
      <c r="FK293" s="79"/>
      <c r="FL293" s="79"/>
      <c r="FM293" s="93"/>
      <c r="FN293" s="93"/>
      <c r="FO293" s="338"/>
      <c r="FP293" s="338"/>
      <c r="FQ293" s="338"/>
      <c r="FR293" s="338"/>
      <c r="FS293" s="338"/>
      <c r="FT293" s="338"/>
      <c r="FU293" s="338"/>
      <c r="FV293" s="338"/>
      <c r="FW293" s="338"/>
      <c r="FX293" s="338"/>
      <c r="FY293" s="32"/>
      <c r="FZ293" s="32"/>
      <c r="GA293" s="32"/>
      <c r="GB293" s="32"/>
      <c r="GC293" s="32"/>
      <c r="GD293" s="32"/>
      <c r="GE293" s="32"/>
      <c r="GF293" s="32"/>
      <c r="GG293" s="32"/>
      <c r="GH293" s="32"/>
      <c r="GI293" s="32"/>
      <c r="GJ293" s="32"/>
      <c r="GK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38"/>
      <c r="HO293" s="338"/>
      <c r="HP293" s="338"/>
      <c r="HQ293" s="13"/>
      <c r="HR293" s="13"/>
      <c r="HS293" s="13"/>
      <c r="HT293" s="13"/>
      <c r="HU293" s="13"/>
      <c r="HV293" s="13"/>
      <c r="HW293" s="13"/>
      <c r="HX293" s="13"/>
      <c r="HY293" s="13"/>
      <c r="HZ293" s="13"/>
      <c r="IA293" s="13"/>
    </row>
    <row r="294" spans="1:235" ht="16.95" customHeight="1">
      <c r="A294" s="1"/>
      <c r="B294" s="3"/>
      <c r="C294" s="3"/>
      <c r="D294" s="124" t="str">
        <f ca="1">IF(FO282=0,"","Eens kijken of je de drie situaties ook herkent bij een homogeen oligopolie.")</f>
        <v/>
      </c>
      <c r="E294" s="373"/>
      <c r="F294" s="373"/>
      <c r="G294" s="373"/>
      <c r="H294" s="373"/>
      <c r="I294" s="373"/>
      <c r="J294" s="376"/>
      <c r="K294" s="376"/>
      <c r="L294" s="376"/>
      <c r="M294" s="376"/>
      <c r="N294" s="376"/>
      <c r="O294" s="376"/>
      <c r="P294" s="376"/>
      <c r="Q294" s="376"/>
      <c r="R294" s="376"/>
      <c r="S294" s="376"/>
      <c r="T294" s="376"/>
      <c r="U294" s="376"/>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A294" s="79"/>
      <c r="CB294" s="79"/>
      <c r="CC294" s="79"/>
      <c r="CD294" s="79"/>
      <c r="CE294" s="79"/>
      <c r="CF294" s="79"/>
      <c r="CG294" s="79"/>
      <c r="CH294" s="79"/>
      <c r="CI294" s="79"/>
      <c r="CJ294" s="79"/>
      <c r="CK294" s="43"/>
      <c r="CL294" s="43"/>
      <c r="CM294" s="43"/>
      <c r="CN294" s="43"/>
      <c r="CO294" s="43"/>
      <c r="CP294" s="376"/>
      <c r="CQ294" s="376"/>
      <c r="CR294" s="376"/>
      <c r="CS294" s="376"/>
      <c r="CT294" s="376"/>
      <c r="CU294" s="376"/>
      <c r="CV294" s="376"/>
      <c r="CW294" s="376"/>
      <c r="CX294" s="376"/>
      <c r="CY294" s="376"/>
      <c r="CZ294" s="376"/>
      <c r="DA294" s="376"/>
      <c r="DB294" s="376"/>
      <c r="DC294" s="376"/>
      <c r="DD294" s="376"/>
      <c r="DE294" s="376"/>
      <c r="DF294" s="376"/>
      <c r="DG294" s="376"/>
      <c r="DH294" s="376"/>
      <c r="DI294" s="376"/>
      <c r="DJ294" s="376"/>
      <c r="DK294" s="376"/>
      <c r="DL294" s="376"/>
      <c r="DM294" s="376"/>
      <c r="DN294" s="376"/>
      <c r="DO294" s="376"/>
      <c r="DP294" s="376"/>
      <c r="DQ294" s="376"/>
      <c r="DR294" s="376"/>
      <c r="DS294" s="376"/>
      <c r="DT294" s="376"/>
      <c r="DU294" s="376"/>
      <c r="DV294" s="376"/>
      <c r="DW294" s="376"/>
      <c r="DX294" s="376"/>
      <c r="DY294" s="376"/>
      <c r="DZ294" s="376"/>
      <c r="EA294" s="376"/>
      <c r="EB294" s="376"/>
      <c r="EC294" s="376"/>
      <c r="ED294" s="376"/>
      <c r="EE294" s="376"/>
      <c r="EF294" s="376"/>
      <c r="EG294" s="376"/>
      <c r="EH294" s="376"/>
      <c r="EI294" s="376"/>
      <c r="EJ294" s="376"/>
      <c r="EK294" s="376"/>
      <c r="EL294" s="376"/>
      <c r="EM294" s="376"/>
      <c r="EN294" s="376"/>
      <c r="EO294" s="376"/>
      <c r="EP294" s="376"/>
      <c r="EQ294" s="376"/>
      <c r="ER294" s="376"/>
      <c r="ES294" s="376"/>
      <c r="ET294" s="376"/>
      <c r="EU294" s="376"/>
      <c r="EV294" s="376"/>
      <c r="EW294" s="376"/>
      <c r="EX294" s="376"/>
      <c r="EY294" s="376"/>
      <c r="EZ294" s="376"/>
      <c r="FA294" s="43"/>
      <c r="FB294" s="43"/>
      <c r="FC294" s="43"/>
      <c r="FD294" s="43"/>
      <c r="FE294" s="43"/>
      <c r="FF294" s="43"/>
      <c r="FG294" s="43"/>
      <c r="FH294" s="43"/>
      <c r="FI294" s="79"/>
      <c r="FJ294" s="79"/>
      <c r="FK294" s="79"/>
      <c r="FL294" s="79"/>
      <c r="FM294" s="93"/>
      <c r="FN294" s="93"/>
      <c r="FO294" s="338"/>
      <c r="FP294" s="338"/>
      <c r="FQ294" s="338"/>
      <c r="FR294" s="338"/>
      <c r="FS294" s="338"/>
      <c r="FT294" s="338"/>
      <c r="FU294" s="338"/>
      <c r="FV294" s="338"/>
      <c r="FW294" s="338"/>
      <c r="FX294" s="338"/>
      <c r="FY294" s="32"/>
      <c r="FZ294" s="32"/>
      <c r="GA294" s="32"/>
      <c r="GB294" s="32"/>
      <c r="GC294" s="32"/>
      <c r="GD294" s="32"/>
      <c r="GE294" s="32"/>
      <c r="GF294" s="32"/>
      <c r="GG294" s="32"/>
      <c r="GH294" s="32"/>
      <c r="GI294" s="32"/>
      <c r="GJ294" s="32"/>
      <c r="GK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38"/>
      <c r="HO294" s="338"/>
      <c r="HP294" s="338"/>
      <c r="HQ294" s="13"/>
      <c r="HR294" s="13"/>
      <c r="HS294" s="13"/>
      <c r="HT294" s="13"/>
      <c r="HU294" s="13"/>
      <c r="HV294" s="13"/>
      <c r="HW294" s="13"/>
      <c r="HX294" s="13"/>
      <c r="HY294" s="13"/>
      <c r="HZ294" s="13"/>
      <c r="IA294" s="13"/>
    </row>
    <row r="295" spans="1:235" ht="16.95" customHeight="1">
      <c r="A295" s="1"/>
      <c r="B295" s="3"/>
      <c r="C295" s="3"/>
      <c r="D295" s="124" t="str">
        <f ca="1">IF(FO282=0,"","Hieronder zijn het consumentensurplus en producentensurplus ingetekend,")</f>
        <v/>
      </c>
      <c r="E295" s="373"/>
      <c r="F295" s="373"/>
      <c r="G295" s="373"/>
      <c r="H295" s="373"/>
      <c r="I295" s="373"/>
      <c r="J295" s="376"/>
      <c r="K295" s="376"/>
      <c r="L295" s="376"/>
      <c r="M295" s="376"/>
      <c r="N295" s="376"/>
      <c r="O295" s="376"/>
      <c r="P295" s="376"/>
      <c r="Q295" s="376"/>
      <c r="R295" s="376"/>
      <c r="S295" s="376"/>
      <c r="T295" s="376"/>
      <c r="U295" s="376"/>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79"/>
      <c r="BB295" s="79"/>
      <c r="BC295" s="79"/>
      <c r="BD295" s="79"/>
      <c r="BE295" s="79"/>
      <c r="BF295" s="79"/>
      <c r="BG295" s="79"/>
      <c r="BH295" s="79"/>
      <c r="BI295" s="79"/>
      <c r="BJ295" s="79"/>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c r="CJ295" s="79"/>
      <c r="CK295" s="43"/>
      <c r="CL295" s="43"/>
      <c r="CM295" s="43"/>
      <c r="CN295" s="43"/>
      <c r="CO295" s="43"/>
      <c r="CP295" s="376"/>
      <c r="CQ295" s="376"/>
      <c r="CR295" s="376"/>
      <c r="CS295" s="376"/>
      <c r="CT295" s="376"/>
      <c r="CU295" s="376"/>
      <c r="CV295" s="376"/>
      <c r="CW295" s="376"/>
      <c r="CX295" s="376"/>
      <c r="CY295" s="376"/>
      <c r="CZ295" s="376"/>
      <c r="DA295" s="376"/>
      <c r="DB295" s="376"/>
      <c r="DC295" s="376"/>
      <c r="DD295" s="376"/>
      <c r="DE295" s="376"/>
      <c r="DF295" s="376"/>
      <c r="DG295" s="376"/>
      <c r="DH295" s="376"/>
      <c r="DI295" s="376"/>
      <c r="DJ295" s="376"/>
      <c r="DK295" s="376"/>
      <c r="DL295" s="376"/>
      <c r="DM295" s="376"/>
      <c r="DN295" s="376"/>
      <c r="DO295" s="376"/>
      <c r="DP295" s="376"/>
      <c r="DQ295" s="376"/>
      <c r="DR295" s="376"/>
      <c r="DS295" s="376"/>
      <c r="DT295" s="376"/>
      <c r="DU295" s="376"/>
      <c r="DV295" s="376"/>
      <c r="DW295" s="376"/>
      <c r="DX295" s="376"/>
      <c r="DY295" s="376"/>
      <c r="DZ295" s="376"/>
      <c r="EA295" s="376"/>
      <c r="EB295" s="376"/>
      <c r="EC295" s="376"/>
      <c r="ED295" s="376"/>
      <c r="EE295" s="376"/>
      <c r="EF295" s="376"/>
      <c r="EG295" s="376"/>
      <c r="EH295" s="376"/>
      <c r="EI295" s="376"/>
      <c r="EJ295" s="376"/>
      <c r="EK295" s="376"/>
      <c r="EL295" s="376"/>
      <c r="EM295" s="376"/>
      <c r="EN295" s="376"/>
      <c r="EO295" s="376"/>
      <c r="EP295" s="376"/>
      <c r="EQ295" s="376"/>
      <c r="ER295" s="376"/>
      <c r="ES295" s="376"/>
      <c r="ET295" s="376"/>
      <c r="EU295" s="376"/>
      <c r="EV295" s="376"/>
      <c r="EW295" s="376"/>
      <c r="EX295" s="376"/>
      <c r="EY295" s="376"/>
      <c r="EZ295" s="376"/>
      <c r="FA295" s="43"/>
      <c r="FB295" s="43"/>
      <c r="FC295" s="43"/>
      <c r="FD295" s="43"/>
      <c r="FE295" s="43"/>
      <c r="FF295" s="43"/>
      <c r="FG295" s="43"/>
      <c r="FH295" s="43"/>
      <c r="FI295" s="79"/>
      <c r="FJ295" s="79"/>
      <c r="FK295" s="79"/>
      <c r="FL295" s="79"/>
      <c r="FM295" s="93"/>
      <c r="FN295" s="93"/>
      <c r="FO295" s="338"/>
      <c r="FP295" s="338"/>
      <c r="FQ295" s="338"/>
      <c r="FR295" s="338"/>
      <c r="FS295" s="338"/>
      <c r="FT295" s="338"/>
      <c r="FU295" s="338"/>
      <c r="FV295" s="338"/>
      <c r="FW295" s="338"/>
      <c r="FX295" s="338"/>
      <c r="FY295" s="32"/>
      <c r="FZ295" s="32"/>
      <c r="GA295" s="32"/>
      <c r="GB295" s="32"/>
      <c r="GC295" s="32"/>
      <c r="GD295" s="32"/>
      <c r="GE295" s="32"/>
      <c r="GF295" s="32"/>
      <c r="GG295" s="32"/>
      <c r="GH295" s="32"/>
      <c r="GI295" s="32"/>
      <c r="GJ295" s="32"/>
      <c r="GK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38"/>
      <c r="HO295" s="338"/>
      <c r="HP295" s="338"/>
      <c r="HQ295" s="13"/>
      <c r="HR295" s="13"/>
      <c r="HS295" s="13"/>
      <c r="HT295" s="13"/>
      <c r="HU295" s="13"/>
      <c r="HV295" s="13"/>
      <c r="HW295" s="13"/>
      <c r="HX295" s="13"/>
      <c r="HY295" s="13"/>
      <c r="HZ295" s="13"/>
      <c r="IA295" s="13"/>
    </row>
    <row r="296" spans="1:235" ht="16.95" customHeight="1">
      <c r="A296" s="1"/>
      <c r="B296" s="3"/>
      <c r="C296" s="3"/>
      <c r="D296" s="124" t="str">
        <f ca="1">IF(FO282=0,"","waarbij alle aanbieders dezelfde variabele kosten hebben. Je moet zelf")</f>
        <v/>
      </c>
      <c r="E296" s="373"/>
      <c r="F296" s="373"/>
      <c r="G296" s="373"/>
      <c r="H296" s="373"/>
      <c r="I296" s="373"/>
      <c r="J296" s="376"/>
      <c r="K296" s="376"/>
      <c r="L296" s="376"/>
      <c r="M296" s="376"/>
      <c r="N296" s="376"/>
      <c r="O296" s="376"/>
      <c r="P296" s="376"/>
      <c r="Q296" s="376"/>
      <c r="R296" s="376"/>
      <c r="S296" s="376"/>
      <c r="T296" s="376"/>
      <c r="U296" s="376"/>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79"/>
      <c r="BB296" s="79"/>
      <c r="BC296" s="79"/>
      <c r="BD296" s="79"/>
      <c r="BE296" s="79"/>
      <c r="BF296" s="79"/>
      <c r="BG296" s="79"/>
      <c r="BH296" s="79"/>
      <c r="BI296" s="79"/>
      <c r="BJ296" s="79"/>
      <c r="BK296" s="79"/>
      <c r="BL296" s="79"/>
      <c r="BM296" s="79"/>
      <c r="BN296" s="79"/>
      <c r="BO296" s="79"/>
      <c r="BP296" s="79"/>
      <c r="BQ296" s="79"/>
      <c r="BR296" s="79"/>
      <c r="BS296" s="79"/>
      <c r="BT296" s="79"/>
      <c r="BU296" s="79"/>
      <c r="BV296" s="79"/>
      <c r="BW296" s="79"/>
      <c r="BX296" s="79"/>
      <c r="BY296" s="79"/>
      <c r="BZ296" s="79"/>
      <c r="CA296" s="79"/>
      <c r="CB296" s="79"/>
      <c r="CC296" s="79"/>
      <c r="CD296" s="79"/>
      <c r="CE296" s="79"/>
      <c r="CF296" s="79"/>
      <c r="CG296" s="79"/>
      <c r="CH296" s="79"/>
      <c r="CI296" s="79"/>
      <c r="CJ296" s="79"/>
      <c r="CK296" s="43"/>
      <c r="CL296" s="43"/>
      <c r="CM296" s="43"/>
      <c r="CN296" s="43"/>
      <c r="CO296" s="43"/>
      <c r="CP296" s="376"/>
      <c r="CQ296" s="376"/>
      <c r="CR296" s="376"/>
      <c r="CS296" s="376"/>
      <c r="CT296" s="376"/>
      <c r="CU296" s="376"/>
      <c r="CV296" s="376"/>
      <c r="CW296" s="376"/>
      <c r="CX296" s="376"/>
      <c r="CY296" s="376"/>
      <c r="CZ296" s="376"/>
      <c r="DA296" s="376"/>
      <c r="DB296" s="376"/>
      <c r="DC296" s="376"/>
      <c r="DD296" s="376"/>
      <c r="DE296" s="376"/>
      <c r="DF296" s="376"/>
      <c r="DG296" s="376"/>
      <c r="DH296" s="376"/>
      <c r="DI296" s="376"/>
      <c r="DJ296" s="376"/>
      <c r="DK296" s="376"/>
      <c r="DL296" s="376"/>
      <c r="DM296" s="376"/>
      <c r="DN296" s="376"/>
      <c r="DO296" s="376"/>
      <c r="DP296" s="376"/>
      <c r="DQ296" s="376"/>
      <c r="DR296" s="376"/>
      <c r="DS296" s="376"/>
      <c r="DT296" s="376"/>
      <c r="DU296" s="376"/>
      <c r="DV296" s="376"/>
      <c r="DW296" s="376"/>
      <c r="DX296" s="376"/>
      <c r="DY296" s="376"/>
      <c r="DZ296" s="376"/>
      <c r="EA296" s="376"/>
      <c r="EB296" s="376"/>
      <c r="EC296" s="376"/>
      <c r="ED296" s="376"/>
      <c r="EE296" s="376"/>
      <c r="EF296" s="376"/>
      <c r="EG296" s="376"/>
      <c r="EH296" s="376"/>
      <c r="EI296" s="376"/>
      <c r="EJ296" s="376"/>
      <c r="EK296" s="376"/>
      <c r="EL296" s="376"/>
      <c r="EM296" s="376"/>
      <c r="EN296" s="376"/>
      <c r="EO296" s="376"/>
      <c r="EP296" s="376"/>
      <c r="EQ296" s="376"/>
      <c r="ER296" s="376"/>
      <c r="ES296" s="376"/>
      <c r="ET296" s="376"/>
      <c r="EU296" s="376"/>
      <c r="EV296" s="376"/>
      <c r="EW296" s="376"/>
      <c r="EX296" s="376"/>
      <c r="EY296" s="376"/>
      <c r="EZ296" s="376"/>
      <c r="FA296" s="43"/>
      <c r="FB296" s="43"/>
      <c r="FC296" s="43"/>
      <c r="FD296" s="43"/>
      <c r="FE296" s="43"/>
      <c r="FF296" s="43"/>
      <c r="FG296" s="43"/>
      <c r="FH296" s="43"/>
      <c r="FI296" s="79"/>
      <c r="FJ296" s="79"/>
      <c r="FK296" s="79"/>
      <c r="FL296" s="79"/>
      <c r="FM296" s="93"/>
      <c r="FN296" s="93"/>
      <c r="FO296" s="338"/>
      <c r="FP296" s="338"/>
      <c r="FQ296" s="338"/>
      <c r="FR296" s="338"/>
      <c r="FS296" s="338"/>
      <c r="FT296" s="338"/>
      <c r="FU296" s="338"/>
      <c r="FV296" s="338"/>
      <c r="FW296" s="338"/>
      <c r="FX296" s="338"/>
      <c r="FY296" s="32"/>
      <c r="FZ296" s="32"/>
      <c r="GA296" s="32"/>
      <c r="GB296" s="32"/>
      <c r="GC296" s="32"/>
      <c r="GD296" s="32"/>
      <c r="GE296" s="32"/>
      <c r="GF296" s="32"/>
      <c r="GG296" s="32"/>
      <c r="GH296" s="32"/>
      <c r="GI296" s="32"/>
      <c r="GJ296" s="32"/>
      <c r="GK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38"/>
      <c r="HO296" s="338"/>
      <c r="HP296" s="338"/>
      <c r="HQ296" s="13"/>
      <c r="HR296" s="13"/>
      <c r="HS296" s="13"/>
      <c r="HT296" s="13"/>
      <c r="HU296" s="13"/>
      <c r="HV296" s="13"/>
      <c r="HW296" s="13"/>
      <c r="HX296" s="13"/>
      <c r="HY296" s="13"/>
      <c r="HZ296" s="13"/>
      <c r="IA296" s="13"/>
    </row>
    <row r="297" spans="1:235" ht="16.95" customHeight="1">
      <c r="A297" s="1"/>
      <c r="B297" s="3"/>
      <c r="C297" s="3"/>
      <c r="D297" s="124" t="str">
        <f ca="1">IF(FO282=0,"","bedenken wat de lijnen voorstellen.")</f>
        <v/>
      </c>
      <c r="E297" s="373"/>
      <c r="F297" s="373"/>
      <c r="G297" s="373"/>
      <c r="H297" s="373"/>
      <c r="I297" s="373"/>
      <c r="J297" s="376"/>
      <c r="K297" s="376"/>
      <c r="L297" s="376"/>
      <c r="M297" s="376"/>
      <c r="N297" s="376"/>
      <c r="O297" s="376"/>
      <c r="P297" s="376"/>
      <c r="Q297" s="376"/>
      <c r="R297" s="376"/>
      <c r="S297" s="376"/>
      <c r="T297" s="376"/>
      <c r="U297" s="376"/>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79"/>
      <c r="BQ297" s="79"/>
      <c r="BR297" s="79"/>
      <c r="BS297" s="79"/>
      <c r="BT297" s="79"/>
      <c r="BU297" s="79"/>
      <c r="BV297" s="79"/>
      <c r="BW297" s="79"/>
      <c r="BX297" s="79"/>
      <c r="BY297" s="79"/>
      <c r="BZ297" s="79"/>
      <c r="CA297" s="79"/>
      <c r="CB297" s="79"/>
      <c r="CC297" s="79"/>
      <c r="CD297" s="79"/>
      <c r="CE297" s="79"/>
      <c r="CF297" s="79"/>
      <c r="CG297" s="79"/>
      <c r="CH297" s="79"/>
      <c r="CI297" s="79"/>
      <c r="CJ297" s="79"/>
      <c r="CK297" s="43"/>
      <c r="CL297" s="43"/>
      <c r="CM297" s="43"/>
      <c r="CN297" s="43"/>
      <c r="CO297" s="43"/>
      <c r="CP297" s="376"/>
      <c r="CQ297" s="376"/>
      <c r="CR297" s="376"/>
      <c r="CS297" s="376"/>
      <c r="CT297" s="376"/>
      <c r="CU297" s="376"/>
      <c r="CV297" s="376"/>
      <c r="CW297" s="376"/>
      <c r="CX297" s="376"/>
      <c r="CY297" s="376"/>
      <c r="CZ297" s="376"/>
      <c r="DA297" s="376"/>
      <c r="DB297" s="376"/>
      <c r="DC297" s="376"/>
      <c r="DD297" s="376"/>
      <c r="DE297" s="376"/>
      <c r="DF297" s="376"/>
      <c r="DG297" s="376"/>
      <c r="DH297" s="376"/>
      <c r="DI297" s="376"/>
      <c r="DJ297" s="376"/>
      <c r="DK297" s="376"/>
      <c r="DL297" s="376"/>
      <c r="DM297" s="376"/>
      <c r="DN297" s="376"/>
      <c r="DO297" s="376"/>
      <c r="DP297" s="376"/>
      <c r="DQ297" s="376"/>
      <c r="DR297" s="376"/>
      <c r="DS297" s="376"/>
      <c r="DT297" s="376"/>
      <c r="DU297" s="376"/>
      <c r="DV297" s="376"/>
      <c r="DW297" s="376"/>
      <c r="DX297" s="376"/>
      <c r="DY297" s="376"/>
      <c r="DZ297" s="376"/>
      <c r="EA297" s="376"/>
      <c r="EB297" s="376"/>
      <c r="EC297" s="376"/>
      <c r="ED297" s="376"/>
      <c r="EE297" s="376"/>
      <c r="EF297" s="376"/>
      <c r="EG297" s="376"/>
      <c r="EH297" s="376"/>
      <c r="EI297" s="376"/>
      <c r="EJ297" s="376"/>
      <c r="EK297" s="376"/>
      <c r="EL297" s="376"/>
      <c r="EM297" s="376"/>
      <c r="EN297" s="376"/>
      <c r="EO297" s="376"/>
      <c r="EP297" s="376"/>
      <c r="EQ297" s="376"/>
      <c r="ER297" s="376"/>
      <c r="ES297" s="376"/>
      <c r="ET297" s="376"/>
      <c r="EU297" s="376"/>
      <c r="EV297" s="376"/>
      <c r="EW297" s="376"/>
      <c r="EX297" s="376"/>
      <c r="EY297" s="376"/>
      <c r="EZ297" s="376"/>
      <c r="FA297" s="43"/>
      <c r="FB297" s="43"/>
      <c r="FC297" s="43"/>
      <c r="FD297" s="43"/>
      <c r="FE297" s="43"/>
      <c r="FF297" s="43"/>
      <c r="FG297" s="43"/>
      <c r="FH297" s="43"/>
      <c r="FI297" s="79"/>
      <c r="FJ297" s="79"/>
      <c r="FK297" s="79"/>
      <c r="FL297" s="79"/>
      <c r="FM297" s="93"/>
      <c r="FN297" s="93"/>
      <c r="FO297" s="338"/>
      <c r="FP297" s="338"/>
      <c r="FQ297" s="338"/>
      <c r="FR297" s="338"/>
      <c r="FS297" s="338"/>
      <c r="FT297" s="338"/>
      <c r="FU297" s="338"/>
      <c r="FV297" s="338"/>
      <c r="FW297" s="338"/>
      <c r="FX297" s="338"/>
      <c r="FY297" s="32"/>
      <c r="FZ297" s="32"/>
      <c r="GA297" s="32"/>
      <c r="GB297" s="32"/>
      <c r="GC297" s="32"/>
      <c r="GD297" s="32"/>
      <c r="GE297" s="32"/>
      <c r="GF297" s="32"/>
      <c r="GG297" s="32"/>
      <c r="GH297" s="32"/>
      <c r="GI297" s="32"/>
      <c r="GJ297" s="32"/>
      <c r="GK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38"/>
      <c r="HO297" s="338"/>
      <c r="HP297" s="338"/>
      <c r="HQ297" s="13"/>
      <c r="HR297" s="13"/>
      <c r="HS297" s="13"/>
      <c r="HT297" s="13"/>
      <c r="HU297" s="13"/>
      <c r="HV297" s="13"/>
      <c r="HW297" s="13"/>
      <c r="HX297" s="13"/>
      <c r="HY297" s="13"/>
      <c r="HZ297" s="13"/>
      <c r="IA297" s="13"/>
    </row>
    <row r="298" spans="1:235" ht="16.5" customHeight="1">
      <c r="A298" s="1"/>
      <c r="B298" s="3"/>
      <c r="C298" s="3"/>
      <c r="D298" s="704" t="str">
        <f ca="1">IF(FO282=0,"`","")</f>
        <v>`</v>
      </c>
      <c r="E298" s="532"/>
      <c r="F298" s="532"/>
      <c r="G298" s="532"/>
      <c r="H298" s="532"/>
      <c r="I298" s="532"/>
      <c r="J298" s="532"/>
      <c r="K298" s="532"/>
      <c r="L298" s="532"/>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c r="AM298" s="532"/>
      <c r="AN298" s="532"/>
      <c r="AO298" s="532"/>
      <c r="AP298" s="532"/>
      <c r="AQ298" s="532"/>
      <c r="AR298" s="532"/>
      <c r="AS298" s="532"/>
      <c r="AT298" s="532"/>
      <c r="AU298" s="532"/>
      <c r="AV298" s="532"/>
      <c r="AW298" s="532"/>
      <c r="AX298" s="532"/>
      <c r="AY298" s="532"/>
      <c r="AZ298" s="532"/>
      <c r="BA298" s="532"/>
      <c r="BB298" s="532"/>
      <c r="BC298" s="532"/>
      <c r="BD298" s="532"/>
      <c r="BE298" s="532"/>
      <c r="BF298" s="532"/>
      <c r="BG298" s="532"/>
      <c r="BH298" s="532"/>
      <c r="BI298" s="532"/>
      <c r="BJ298" s="532"/>
      <c r="BK298" s="532"/>
      <c r="BL298" s="532"/>
      <c r="BM298" s="532"/>
      <c r="BN298" s="532"/>
      <c r="BO298" s="532"/>
      <c r="BP298" s="532"/>
      <c r="BQ298" s="532"/>
      <c r="BR298" s="532"/>
      <c r="BS298" s="532"/>
      <c r="BT298" s="532"/>
      <c r="BU298" s="532"/>
      <c r="BV298" s="532"/>
      <c r="BW298" s="532"/>
      <c r="BX298" s="532"/>
      <c r="BY298" s="532"/>
      <c r="BZ298" s="532"/>
      <c r="CA298" s="532"/>
      <c r="CB298" s="532"/>
      <c r="CC298" s="532"/>
      <c r="CD298" s="532"/>
      <c r="CE298" s="532"/>
      <c r="CF298" s="532"/>
      <c r="CG298" s="532"/>
      <c r="CH298" s="532"/>
      <c r="CI298" s="532"/>
      <c r="CJ298" s="532"/>
      <c r="CK298" s="532"/>
      <c r="CL298" s="532"/>
      <c r="CM298" s="532"/>
      <c r="CN298" s="532"/>
      <c r="CO298" s="532"/>
      <c r="CP298" s="532"/>
      <c r="CQ298" s="532"/>
      <c r="CR298" s="532"/>
      <c r="CS298" s="532"/>
      <c r="CT298" s="532"/>
      <c r="CU298" s="532"/>
      <c r="CV298" s="532"/>
      <c r="CW298" s="532"/>
      <c r="CX298" s="532"/>
      <c r="CY298" s="532"/>
      <c r="CZ298" s="532"/>
      <c r="DA298" s="532"/>
      <c r="DB298" s="532"/>
      <c r="DC298" s="532"/>
      <c r="DD298" s="532"/>
      <c r="DE298" s="532"/>
      <c r="DF298" s="532"/>
      <c r="DG298" s="532"/>
      <c r="DH298" s="532"/>
      <c r="DI298" s="532"/>
      <c r="DJ298" s="532"/>
      <c r="DK298" s="532"/>
      <c r="DL298" s="532"/>
      <c r="DM298" s="532"/>
      <c r="DN298" s="532"/>
      <c r="DO298" s="532"/>
      <c r="DP298" s="532"/>
      <c r="DQ298" s="532"/>
      <c r="DR298" s="532"/>
      <c r="DS298" s="532"/>
      <c r="DT298" s="532"/>
      <c r="DU298" s="532"/>
      <c r="DV298" s="532"/>
      <c r="DW298" s="532"/>
      <c r="DX298" s="532"/>
      <c r="DY298" s="532"/>
      <c r="DZ298" s="532"/>
      <c r="EA298" s="532"/>
      <c r="EB298" s="532"/>
      <c r="EC298" s="532"/>
      <c r="ED298" s="532"/>
      <c r="EE298" s="532"/>
      <c r="EF298" s="532"/>
      <c r="EG298" s="532"/>
      <c r="EH298" s="532"/>
      <c r="EI298" s="532"/>
      <c r="EJ298" s="532"/>
      <c r="EK298" s="532"/>
      <c r="EL298" s="532"/>
      <c r="EM298" s="532"/>
      <c r="EN298" s="532"/>
      <c r="EO298" s="532"/>
      <c r="EP298" s="532"/>
      <c r="EQ298" s="532"/>
      <c r="ER298" s="532"/>
      <c r="ES298" s="532"/>
      <c r="ET298" s="532"/>
      <c r="EU298" s="532"/>
      <c r="EV298" s="532"/>
      <c r="EW298" s="532"/>
      <c r="EX298" s="532"/>
      <c r="EY298" s="532"/>
      <c r="EZ298" s="532"/>
      <c r="FA298" s="532"/>
      <c r="FB298" s="532"/>
      <c r="FC298" s="532"/>
      <c r="FD298" s="532"/>
      <c r="FE298" s="532"/>
      <c r="FF298" s="532"/>
      <c r="FG298" s="532"/>
      <c r="FH298" s="532"/>
      <c r="FI298" s="532"/>
      <c r="FJ298" s="532"/>
      <c r="FK298" s="532"/>
      <c r="FL298" s="532"/>
      <c r="FM298" s="47"/>
      <c r="FN298" s="47"/>
      <c r="FO298" s="47"/>
      <c r="FP298" s="47"/>
      <c r="FQ298" s="47"/>
      <c r="FR298" s="49"/>
      <c r="FS298" s="49"/>
      <c r="FT298" s="49"/>
      <c r="FU298" s="49"/>
      <c r="FV298" s="49"/>
      <c r="FW298" s="49"/>
      <c r="FX298" s="49"/>
      <c r="FY298" s="32"/>
      <c r="FZ298" s="32"/>
      <c r="GA298" s="32"/>
      <c r="GB298" s="32"/>
      <c r="GC298" s="32"/>
      <c r="GD298" s="32"/>
      <c r="GE298" s="32"/>
      <c r="GF298" s="32"/>
      <c r="GG298" s="32"/>
      <c r="GH298" s="32"/>
      <c r="GI298" s="32"/>
      <c r="GJ298" s="32"/>
      <c r="GK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78"/>
      <c r="HO298" s="78"/>
      <c r="HP298" s="78"/>
      <c r="HQ298" s="13"/>
      <c r="HR298" s="13"/>
      <c r="HS298" s="13"/>
      <c r="HT298" s="13"/>
      <c r="HU298" s="13"/>
      <c r="HV298" s="13"/>
      <c r="HW298" s="13"/>
      <c r="HX298" s="13"/>
      <c r="HY298" s="13"/>
      <c r="HZ298" s="13"/>
      <c r="IA298" s="13"/>
    </row>
    <row r="299" spans="1:235" ht="16.5" customHeight="1">
      <c r="A299" s="1"/>
      <c r="B299" s="3"/>
      <c r="C299" s="3"/>
      <c r="D299" s="532"/>
      <c r="E299" s="532"/>
      <c r="F299" s="532"/>
      <c r="G299" s="532"/>
      <c r="H299" s="532"/>
      <c r="I299" s="532"/>
      <c r="J299" s="532"/>
      <c r="K299" s="532"/>
      <c r="L299" s="532"/>
      <c r="M299" s="532"/>
      <c r="N299" s="532"/>
      <c r="O299" s="532"/>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c r="AM299" s="532"/>
      <c r="AN299" s="532"/>
      <c r="AO299" s="532"/>
      <c r="AP299" s="532"/>
      <c r="AQ299" s="532"/>
      <c r="AR299" s="532"/>
      <c r="AS299" s="532"/>
      <c r="AT299" s="532"/>
      <c r="AU299" s="532"/>
      <c r="AV299" s="532"/>
      <c r="AW299" s="532"/>
      <c r="AX299" s="532"/>
      <c r="AY299" s="532"/>
      <c r="AZ299" s="532"/>
      <c r="BA299" s="532"/>
      <c r="BB299" s="532"/>
      <c r="BC299" s="532"/>
      <c r="BD299" s="532"/>
      <c r="BE299" s="532"/>
      <c r="BF299" s="532"/>
      <c r="BG299" s="532"/>
      <c r="BH299" s="532"/>
      <c r="BI299" s="532"/>
      <c r="BJ299" s="532"/>
      <c r="BK299" s="532"/>
      <c r="BL299" s="532"/>
      <c r="BM299" s="532"/>
      <c r="BN299" s="532"/>
      <c r="BO299" s="532"/>
      <c r="BP299" s="532"/>
      <c r="BQ299" s="532"/>
      <c r="BR299" s="532"/>
      <c r="BS299" s="532"/>
      <c r="BT299" s="532"/>
      <c r="BU299" s="532"/>
      <c r="BV299" s="532"/>
      <c r="BW299" s="532"/>
      <c r="BX299" s="532"/>
      <c r="BY299" s="532"/>
      <c r="BZ299" s="532"/>
      <c r="CA299" s="532"/>
      <c r="CB299" s="532"/>
      <c r="CC299" s="532"/>
      <c r="CD299" s="532"/>
      <c r="CE299" s="532"/>
      <c r="CF299" s="532"/>
      <c r="CG299" s="532"/>
      <c r="CH299" s="532"/>
      <c r="CI299" s="532"/>
      <c r="CJ299" s="532"/>
      <c r="CK299" s="532"/>
      <c r="CL299" s="532"/>
      <c r="CM299" s="532"/>
      <c r="CN299" s="532"/>
      <c r="CO299" s="532"/>
      <c r="CP299" s="532"/>
      <c r="CQ299" s="532"/>
      <c r="CR299" s="532"/>
      <c r="CS299" s="532"/>
      <c r="CT299" s="532"/>
      <c r="CU299" s="532"/>
      <c r="CV299" s="532"/>
      <c r="CW299" s="532"/>
      <c r="CX299" s="532"/>
      <c r="CY299" s="532"/>
      <c r="CZ299" s="532"/>
      <c r="DA299" s="532"/>
      <c r="DB299" s="532"/>
      <c r="DC299" s="532"/>
      <c r="DD299" s="532"/>
      <c r="DE299" s="532"/>
      <c r="DF299" s="532"/>
      <c r="DG299" s="532"/>
      <c r="DH299" s="532"/>
      <c r="DI299" s="532"/>
      <c r="DJ299" s="532"/>
      <c r="DK299" s="532"/>
      <c r="DL299" s="532"/>
      <c r="DM299" s="532"/>
      <c r="DN299" s="532"/>
      <c r="DO299" s="532"/>
      <c r="DP299" s="532"/>
      <c r="DQ299" s="532"/>
      <c r="DR299" s="532"/>
      <c r="DS299" s="532"/>
      <c r="DT299" s="532"/>
      <c r="DU299" s="532"/>
      <c r="DV299" s="532"/>
      <c r="DW299" s="532"/>
      <c r="DX299" s="532"/>
      <c r="DY299" s="532"/>
      <c r="DZ299" s="532"/>
      <c r="EA299" s="532"/>
      <c r="EB299" s="532"/>
      <c r="EC299" s="532"/>
      <c r="ED299" s="532"/>
      <c r="EE299" s="532"/>
      <c r="EF299" s="532"/>
      <c r="EG299" s="532"/>
      <c r="EH299" s="532"/>
      <c r="EI299" s="532"/>
      <c r="EJ299" s="532"/>
      <c r="EK299" s="532"/>
      <c r="EL299" s="532"/>
      <c r="EM299" s="532"/>
      <c r="EN299" s="532"/>
      <c r="EO299" s="532"/>
      <c r="EP299" s="532"/>
      <c r="EQ299" s="532"/>
      <c r="ER299" s="532"/>
      <c r="ES299" s="532"/>
      <c r="ET299" s="532"/>
      <c r="EU299" s="532"/>
      <c r="EV299" s="532"/>
      <c r="EW299" s="532"/>
      <c r="EX299" s="532"/>
      <c r="EY299" s="532"/>
      <c r="EZ299" s="532"/>
      <c r="FA299" s="532"/>
      <c r="FB299" s="532"/>
      <c r="FC299" s="532"/>
      <c r="FD299" s="532"/>
      <c r="FE299" s="532"/>
      <c r="FF299" s="532"/>
      <c r="FG299" s="532"/>
      <c r="FH299" s="532"/>
      <c r="FI299" s="532"/>
      <c r="FJ299" s="532"/>
      <c r="FK299" s="532"/>
      <c r="FL299" s="532"/>
      <c r="FM299" s="47"/>
      <c r="FN299" s="47"/>
      <c r="FO299" s="47"/>
      <c r="FP299" s="47"/>
      <c r="FQ299" s="47"/>
      <c r="FR299" s="49"/>
      <c r="FS299" s="49"/>
      <c r="FT299" s="49"/>
      <c r="FU299" s="49"/>
      <c r="FV299" s="49"/>
      <c r="FW299" s="49"/>
      <c r="FX299" s="49"/>
      <c r="FY299" s="32"/>
      <c r="FZ299" s="32"/>
      <c r="GA299" s="32"/>
      <c r="GB299" s="32"/>
      <c r="GC299" s="32"/>
      <c r="GD299" s="32"/>
      <c r="GE299" s="32"/>
      <c r="GF299" s="32"/>
      <c r="GG299" s="32"/>
      <c r="GH299" s="32"/>
      <c r="GI299" s="32"/>
      <c r="GJ299" s="32"/>
      <c r="GK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78"/>
      <c r="HO299" s="78"/>
      <c r="HP299" s="78"/>
      <c r="HQ299" s="13"/>
      <c r="HR299" s="13"/>
      <c r="HS299" s="13"/>
      <c r="HT299" s="13"/>
      <c r="HU299" s="13"/>
      <c r="HV299" s="13"/>
      <c r="HW299" s="13"/>
      <c r="HX299" s="13"/>
      <c r="HY299" s="13"/>
      <c r="HZ299" s="13"/>
      <c r="IA299" s="13"/>
    </row>
    <row r="300" spans="1:235" ht="16.5" customHeight="1">
      <c r="A300" s="1"/>
      <c r="B300" s="3"/>
      <c r="C300" s="3"/>
      <c r="D300" s="532"/>
      <c r="E300" s="532"/>
      <c r="F300" s="532"/>
      <c r="G300" s="532"/>
      <c r="H300" s="532"/>
      <c r="I300" s="532"/>
      <c r="J300" s="532"/>
      <c r="K300" s="532"/>
      <c r="L300" s="532"/>
      <c r="M300" s="532"/>
      <c r="N300" s="532"/>
      <c r="O300" s="532"/>
      <c r="P300" s="532"/>
      <c r="Q300" s="532"/>
      <c r="R300" s="532"/>
      <c r="S300" s="532"/>
      <c r="T300" s="532"/>
      <c r="U300" s="532"/>
      <c r="V300" s="532"/>
      <c r="W300" s="532"/>
      <c r="X300" s="532"/>
      <c r="Y300" s="532"/>
      <c r="Z300" s="532"/>
      <c r="AA300" s="532"/>
      <c r="AB300" s="532"/>
      <c r="AC300" s="532"/>
      <c r="AD300" s="532"/>
      <c r="AE300" s="532"/>
      <c r="AF300" s="532"/>
      <c r="AG300" s="532"/>
      <c r="AH300" s="532"/>
      <c r="AI300" s="532"/>
      <c r="AJ300" s="532"/>
      <c r="AK300" s="532"/>
      <c r="AL300" s="532"/>
      <c r="AM300" s="532"/>
      <c r="AN300" s="532"/>
      <c r="AO300" s="532"/>
      <c r="AP300" s="532"/>
      <c r="AQ300" s="532"/>
      <c r="AR300" s="532"/>
      <c r="AS300" s="532"/>
      <c r="AT300" s="532"/>
      <c r="AU300" s="532"/>
      <c r="AV300" s="532"/>
      <c r="AW300" s="532"/>
      <c r="AX300" s="532"/>
      <c r="AY300" s="532"/>
      <c r="AZ300" s="532"/>
      <c r="BA300" s="532"/>
      <c r="BB300" s="532"/>
      <c r="BC300" s="532"/>
      <c r="BD300" s="532"/>
      <c r="BE300" s="532"/>
      <c r="BF300" s="532"/>
      <c r="BG300" s="532"/>
      <c r="BH300" s="532"/>
      <c r="BI300" s="532"/>
      <c r="BJ300" s="532"/>
      <c r="BK300" s="532"/>
      <c r="BL300" s="532"/>
      <c r="BM300" s="532"/>
      <c r="BN300" s="532"/>
      <c r="BO300" s="532"/>
      <c r="BP300" s="532"/>
      <c r="BQ300" s="532"/>
      <c r="BR300" s="532"/>
      <c r="BS300" s="532"/>
      <c r="BT300" s="532"/>
      <c r="BU300" s="532"/>
      <c r="BV300" s="532"/>
      <c r="BW300" s="532"/>
      <c r="BX300" s="532"/>
      <c r="BY300" s="532"/>
      <c r="BZ300" s="532"/>
      <c r="CA300" s="532"/>
      <c r="CB300" s="532"/>
      <c r="CC300" s="532"/>
      <c r="CD300" s="532"/>
      <c r="CE300" s="532"/>
      <c r="CF300" s="532"/>
      <c r="CG300" s="532"/>
      <c r="CH300" s="532"/>
      <c r="CI300" s="532"/>
      <c r="CJ300" s="532"/>
      <c r="CK300" s="532"/>
      <c r="CL300" s="532"/>
      <c r="CM300" s="532"/>
      <c r="CN300" s="532"/>
      <c r="CO300" s="532"/>
      <c r="CP300" s="532"/>
      <c r="CQ300" s="532"/>
      <c r="CR300" s="532"/>
      <c r="CS300" s="532"/>
      <c r="CT300" s="532"/>
      <c r="CU300" s="532"/>
      <c r="CV300" s="532"/>
      <c r="CW300" s="532"/>
      <c r="CX300" s="532"/>
      <c r="CY300" s="532"/>
      <c r="CZ300" s="532"/>
      <c r="DA300" s="532"/>
      <c r="DB300" s="532"/>
      <c r="DC300" s="532"/>
      <c r="DD300" s="532"/>
      <c r="DE300" s="532"/>
      <c r="DF300" s="532"/>
      <c r="DG300" s="532"/>
      <c r="DH300" s="532"/>
      <c r="DI300" s="532"/>
      <c r="DJ300" s="532"/>
      <c r="DK300" s="532"/>
      <c r="DL300" s="532"/>
      <c r="DM300" s="532"/>
      <c r="DN300" s="532"/>
      <c r="DO300" s="532"/>
      <c r="DP300" s="532"/>
      <c r="DQ300" s="532"/>
      <c r="DR300" s="532"/>
      <c r="DS300" s="532"/>
      <c r="DT300" s="532"/>
      <c r="DU300" s="532"/>
      <c r="DV300" s="532"/>
      <c r="DW300" s="532"/>
      <c r="DX300" s="532"/>
      <c r="DY300" s="532"/>
      <c r="DZ300" s="532"/>
      <c r="EA300" s="532"/>
      <c r="EB300" s="532"/>
      <c r="EC300" s="532"/>
      <c r="ED300" s="532"/>
      <c r="EE300" s="532"/>
      <c r="EF300" s="532"/>
      <c r="EG300" s="532"/>
      <c r="EH300" s="532"/>
      <c r="EI300" s="532"/>
      <c r="EJ300" s="532"/>
      <c r="EK300" s="532"/>
      <c r="EL300" s="532"/>
      <c r="EM300" s="532"/>
      <c r="EN300" s="532"/>
      <c r="EO300" s="532"/>
      <c r="EP300" s="532"/>
      <c r="EQ300" s="532"/>
      <c r="ER300" s="532"/>
      <c r="ES300" s="532"/>
      <c r="ET300" s="532"/>
      <c r="EU300" s="532"/>
      <c r="EV300" s="532"/>
      <c r="EW300" s="532"/>
      <c r="EX300" s="532"/>
      <c r="EY300" s="532"/>
      <c r="EZ300" s="532"/>
      <c r="FA300" s="532"/>
      <c r="FB300" s="532"/>
      <c r="FC300" s="532"/>
      <c r="FD300" s="532"/>
      <c r="FE300" s="532"/>
      <c r="FF300" s="532"/>
      <c r="FG300" s="532"/>
      <c r="FH300" s="532"/>
      <c r="FI300" s="532"/>
      <c r="FJ300" s="532"/>
      <c r="FK300" s="532"/>
      <c r="FL300" s="532"/>
      <c r="FM300" s="47"/>
      <c r="FN300" s="47"/>
      <c r="FO300" s="47"/>
      <c r="FP300" s="47"/>
      <c r="FQ300" s="47"/>
      <c r="FR300" s="49"/>
      <c r="FS300" s="49"/>
      <c r="FT300" s="49"/>
      <c r="FU300" s="49"/>
      <c r="FV300" s="49"/>
      <c r="FW300" s="49"/>
      <c r="FX300" s="49"/>
      <c r="FY300" s="32"/>
      <c r="FZ300" s="32"/>
      <c r="GA300" s="32"/>
      <c r="GB300" s="32"/>
      <c r="GC300" s="32"/>
      <c r="GD300" s="32"/>
      <c r="GE300" s="32"/>
      <c r="GF300" s="32"/>
      <c r="GG300" s="32"/>
      <c r="GH300" s="32"/>
      <c r="GI300" s="32"/>
      <c r="GJ300" s="32"/>
      <c r="GK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78"/>
      <c r="HO300" s="78"/>
      <c r="HP300" s="78"/>
      <c r="HQ300" s="13"/>
      <c r="HR300" s="13"/>
      <c r="HS300" s="13"/>
      <c r="HT300" s="13"/>
      <c r="HU300" s="13"/>
      <c r="HV300" s="13"/>
      <c r="HW300" s="13"/>
      <c r="HX300" s="13"/>
      <c r="HY300" s="13"/>
      <c r="HZ300" s="13"/>
      <c r="IA300" s="13"/>
    </row>
    <row r="301" spans="1:235" ht="16.5" customHeight="1">
      <c r="A301" s="1"/>
      <c r="B301" s="3"/>
      <c r="C301" s="3"/>
      <c r="D301" s="532"/>
      <c r="E301" s="532"/>
      <c r="F301" s="532"/>
      <c r="G301" s="532"/>
      <c r="H301" s="532"/>
      <c r="I301" s="532"/>
      <c r="J301" s="532"/>
      <c r="K301" s="532"/>
      <c r="L301" s="532"/>
      <c r="M301" s="532"/>
      <c r="N301" s="532"/>
      <c r="O301" s="532"/>
      <c r="P301" s="532"/>
      <c r="Q301" s="532"/>
      <c r="R301" s="532"/>
      <c r="S301" s="532"/>
      <c r="T301" s="532"/>
      <c r="U301" s="532"/>
      <c r="V301" s="532"/>
      <c r="W301" s="532"/>
      <c r="X301" s="532"/>
      <c r="Y301" s="532"/>
      <c r="Z301" s="532"/>
      <c r="AA301" s="532"/>
      <c r="AB301" s="532"/>
      <c r="AC301" s="532"/>
      <c r="AD301" s="532"/>
      <c r="AE301" s="532"/>
      <c r="AF301" s="532"/>
      <c r="AG301" s="532"/>
      <c r="AH301" s="532"/>
      <c r="AI301" s="532"/>
      <c r="AJ301" s="532"/>
      <c r="AK301" s="532"/>
      <c r="AL301" s="532"/>
      <c r="AM301" s="532"/>
      <c r="AN301" s="532"/>
      <c r="AO301" s="532"/>
      <c r="AP301" s="532"/>
      <c r="AQ301" s="532"/>
      <c r="AR301" s="532"/>
      <c r="AS301" s="532"/>
      <c r="AT301" s="532"/>
      <c r="AU301" s="532"/>
      <c r="AV301" s="532"/>
      <c r="AW301" s="532"/>
      <c r="AX301" s="532"/>
      <c r="AY301" s="532"/>
      <c r="AZ301" s="532"/>
      <c r="BA301" s="532"/>
      <c r="BB301" s="532"/>
      <c r="BC301" s="532"/>
      <c r="BD301" s="532"/>
      <c r="BE301" s="532"/>
      <c r="BF301" s="532"/>
      <c r="BG301" s="532"/>
      <c r="BH301" s="532"/>
      <c r="BI301" s="532"/>
      <c r="BJ301" s="532"/>
      <c r="BK301" s="532"/>
      <c r="BL301" s="532"/>
      <c r="BM301" s="532"/>
      <c r="BN301" s="532"/>
      <c r="BO301" s="532"/>
      <c r="BP301" s="532"/>
      <c r="BQ301" s="532"/>
      <c r="BR301" s="532"/>
      <c r="BS301" s="532"/>
      <c r="BT301" s="532"/>
      <c r="BU301" s="532"/>
      <c r="BV301" s="532"/>
      <c r="BW301" s="532"/>
      <c r="BX301" s="532"/>
      <c r="BY301" s="532"/>
      <c r="BZ301" s="532"/>
      <c r="CA301" s="532"/>
      <c r="CB301" s="532"/>
      <c r="CC301" s="532"/>
      <c r="CD301" s="532"/>
      <c r="CE301" s="532"/>
      <c r="CF301" s="532"/>
      <c r="CG301" s="532"/>
      <c r="CH301" s="532"/>
      <c r="CI301" s="532"/>
      <c r="CJ301" s="532"/>
      <c r="CK301" s="532"/>
      <c r="CL301" s="532"/>
      <c r="CM301" s="532"/>
      <c r="CN301" s="532"/>
      <c r="CO301" s="532"/>
      <c r="CP301" s="532"/>
      <c r="CQ301" s="532"/>
      <c r="CR301" s="532"/>
      <c r="CS301" s="532"/>
      <c r="CT301" s="532"/>
      <c r="CU301" s="532"/>
      <c r="CV301" s="532"/>
      <c r="CW301" s="532"/>
      <c r="CX301" s="532"/>
      <c r="CY301" s="532"/>
      <c r="CZ301" s="532"/>
      <c r="DA301" s="532"/>
      <c r="DB301" s="532"/>
      <c r="DC301" s="532"/>
      <c r="DD301" s="532"/>
      <c r="DE301" s="532"/>
      <c r="DF301" s="532"/>
      <c r="DG301" s="532"/>
      <c r="DH301" s="532"/>
      <c r="DI301" s="532"/>
      <c r="DJ301" s="532"/>
      <c r="DK301" s="532"/>
      <c r="DL301" s="532"/>
      <c r="DM301" s="532"/>
      <c r="DN301" s="532"/>
      <c r="DO301" s="532"/>
      <c r="DP301" s="532"/>
      <c r="DQ301" s="532"/>
      <c r="DR301" s="532"/>
      <c r="DS301" s="532"/>
      <c r="DT301" s="532"/>
      <c r="DU301" s="532"/>
      <c r="DV301" s="532"/>
      <c r="DW301" s="532"/>
      <c r="DX301" s="532"/>
      <c r="DY301" s="532"/>
      <c r="DZ301" s="532"/>
      <c r="EA301" s="532"/>
      <c r="EB301" s="532"/>
      <c r="EC301" s="532"/>
      <c r="ED301" s="532"/>
      <c r="EE301" s="532"/>
      <c r="EF301" s="532"/>
      <c r="EG301" s="532"/>
      <c r="EH301" s="532"/>
      <c r="EI301" s="532"/>
      <c r="EJ301" s="532"/>
      <c r="EK301" s="532"/>
      <c r="EL301" s="532"/>
      <c r="EM301" s="532"/>
      <c r="EN301" s="532"/>
      <c r="EO301" s="532"/>
      <c r="EP301" s="532"/>
      <c r="EQ301" s="532"/>
      <c r="ER301" s="532"/>
      <c r="ES301" s="532"/>
      <c r="ET301" s="532"/>
      <c r="EU301" s="532"/>
      <c r="EV301" s="532"/>
      <c r="EW301" s="532"/>
      <c r="EX301" s="532"/>
      <c r="EY301" s="532"/>
      <c r="EZ301" s="532"/>
      <c r="FA301" s="532"/>
      <c r="FB301" s="532"/>
      <c r="FC301" s="532"/>
      <c r="FD301" s="532"/>
      <c r="FE301" s="532"/>
      <c r="FF301" s="532"/>
      <c r="FG301" s="532"/>
      <c r="FH301" s="532"/>
      <c r="FI301" s="532"/>
      <c r="FJ301" s="532"/>
      <c r="FK301" s="532"/>
      <c r="FL301" s="532"/>
      <c r="FM301" s="47"/>
      <c r="FN301" s="47"/>
      <c r="FO301" s="47"/>
      <c r="FP301" s="47"/>
      <c r="FQ301" s="47"/>
      <c r="FR301" s="49"/>
      <c r="FS301" s="49"/>
      <c r="FT301" s="49"/>
      <c r="FU301" s="49"/>
      <c r="FV301" s="49"/>
      <c r="FW301" s="49"/>
      <c r="FX301" s="49"/>
      <c r="FY301" s="32"/>
      <c r="FZ301" s="32"/>
      <c r="GA301" s="32"/>
      <c r="GB301" s="32"/>
      <c r="GC301" s="32"/>
      <c r="GD301" s="32"/>
      <c r="GE301" s="32"/>
      <c r="GF301" s="32"/>
      <c r="GG301" s="32"/>
      <c r="GH301" s="32"/>
      <c r="GI301" s="32"/>
      <c r="GJ301" s="32"/>
      <c r="GK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78"/>
      <c r="HO301" s="78"/>
      <c r="HP301" s="78"/>
      <c r="HQ301" s="13"/>
      <c r="HR301" s="13"/>
      <c r="HS301" s="13"/>
      <c r="HT301" s="13"/>
      <c r="HU301" s="13"/>
      <c r="HV301" s="13"/>
      <c r="HW301" s="13"/>
      <c r="HX301" s="13"/>
      <c r="HY301" s="13"/>
      <c r="HZ301" s="13"/>
      <c r="IA301" s="13"/>
    </row>
    <row r="302" spans="1:235" ht="16.5" customHeight="1">
      <c r="A302" s="1"/>
      <c r="B302" s="3"/>
      <c r="C302" s="3"/>
      <c r="D302" s="532"/>
      <c r="E302" s="532"/>
      <c r="F302" s="532"/>
      <c r="G302" s="532"/>
      <c r="H302" s="532"/>
      <c r="I302" s="532"/>
      <c r="J302" s="532"/>
      <c r="K302" s="532"/>
      <c r="L302" s="532"/>
      <c r="M302" s="532"/>
      <c r="N302" s="532"/>
      <c r="O302" s="532"/>
      <c r="P302" s="532"/>
      <c r="Q302" s="532"/>
      <c r="R302" s="532"/>
      <c r="S302" s="532"/>
      <c r="T302" s="532"/>
      <c r="U302" s="532"/>
      <c r="V302" s="532"/>
      <c r="W302" s="532"/>
      <c r="X302" s="532"/>
      <c r="Y302" s="532"/>
      <c r="Z302" s="532"/>
      <c r="AA302" s="532"/>
      <c r="AB302" s="532"/>
      <c r="AC302" s="532"/>
      <c r="AD302" s="532"/>
      <c r="AE302" s="532"/>
      <c r="AF302" s="532"/>
      <c r="AG302" s="532"/>
      <c r="AH302" s="532"/>
      <c r="AI302" s="532"/>
      <c r="AJ302" s="532"/>
      <c r="AK302" s="532"/>
      <c r="AL302" s="532"/>
      <c r="AM302" s="532"/>
      <c r="AN302" s="532"/>
      <c r="AO302" s="532"/>
      <c r="AP302" s="532"/>
      <c r="AQ302" s="532"/>
      <c r="AR302" s="532"/>
      <c r="AS302" s="532"/>
      <c r="AT302" s="532"/>
      <c r="AU302" s="532"/>
      <c r="AV302" s="532"/>
      <c r="AW302" s="532"/>
      <c r="AX302" s="532"/>
      <c r="AY302" s="532"/>
      <c r="AZ302" s="532"/>
      <c r="BA302" s="532"/>
      <c r="BB302" s="532"/>
      <c r="BC302" s="532"/>
      <c r="BD302" s="532"/>
      <c r="BE302" s="532"/>
      <c r="BF302" s="532"/>
      <c r="BG302" s="532"/>
      <c r="BH302" s="532"/>
      <c r="BI302" s="532"/>
      <c r="BJ302" s="532"/>
      <c r="BK302" s="532"/>
      <c r="BL302" s="532"/>
      <c r="BM302" s="532"/>
      <c r="BN302" s="532"/>
      <c r="BO302" s="532"/>
      <c r="BP302" s="532"/>
      <c r="BQ302" s="532"/>
      <c r="BR302" s="532"/>
      <c r="BS302" s="532"/>
      <c r="BT302" s="532"/>
      <c r="BU302" s="532"/>
      <c r="BV302" s="532"/>
      <c r="BW302" s="532"/>
      <c r="BX302" s="532"/>
      <c r="BY302" s="532"/>
      <c r="BZ302" s="532"/>
      <c r="CA302" s="532"/>
      <c r="CB302" s="532"/>
      <c r="CC302" s="532"/>
      <c r="CD302" s="532"/>
      <c r="CE302" s="532"/>
      <c r="CF302" s="532"/>
      <c r="CG302" s="532"/>
      <c r="CH302" s="532"/>
      <c r="CI302" s="532"/>
      <c r="CJ302" s="532"/>
      <c r="CK302" s="532"/>
      <c r="CL302" s="532"/>
      <c r="CM302" s="532"/>
      <c r="CN302" s="532"/>
      <c r="CO302" s="532"/>
      <c r="CP302" s="532"/>
      <c r="CQ302" s="532"/>
      <c r="CR302" s="532"/>
      <c r="CS302" s="532"/>
      <c r="CT302" s="532"/>
      <c r="CU302" s="532"/>
      <c r="CV302" s="532"/>
      <c r="CW302" s="532"/>
      <c r="CX302" s="532"/>
      <c r="CY302" s="532"/>
      <c r="CZ302" s="532"/>
      <c r="DA302" s="532"/>
      <c r="DB302" s="532"/>
      <c r="DC302" s="532"/>
      <c r="DD302" s="532"/>
      <c r="DE302" s="532"/>
      <c r="DF302" s="532"/>
      <c r="DG302" s="532"/>
      <c r="DH302" s="532"/>
      <c r="DI302" s="532"/>
      <c r="DJ302" s="532"/>
      <c r="DK302" s="532"/>
      <c r="DL302" s="532"/>
      <c r="DM302" s="532"/>
      <c r="DN302" s="532"/>
      <c r="DO302" s="532"/>
      <c r="DP302" s="532"/>
      <c r="DQ302" s="532"/>
      <c r="DR302" s="532"/>
      <c r="DS302" s="532"/>
      <c r="DT302" s="532"/>
      <c r="DU302" s="532"/>
      <c r="DV302" s="532"/>
      <c r="DW302" s="532"/>
      <c r="DX302" s="532"/>
      <c r="DY302" s="532"/>
      <c r="DZ302" s="532"/>
      <c r="EA302" s="532"/>
      <c r="EB302" s="532"/>
      <c r="EC302" s="532"/>
      <c r="ED302" s="532"/>
      <c r="EE302" s="532"/>
      <c r="EF302" s="532"/>
      <c r="EG302" s="532"/>
      <c r="EH302" s="532"/>
      <c r="EI302" s="532"/>
      <c r="EJ302" s="532"/>
      <c r="EK302" s="532"/>
      <c r="EL302" s="532"/>
      <c r="EM302" s="532"/>
      <c r="EN302" s="532"/>
      <c r="EO302" s="532"/>
      <c r="EP302" s="532"/>
      <c r="EQ302" s="532"/>
      <c r="ER302" s="532"/>
      <c r="ES302" s="532"/>
      <c r="ET302" s="532"/>
      <c r="EU302" s="532"/>
      <c r="EV302" s="532"/>
      <c r="EW302" s="532"/>
      <c r="EX302" s="532"/>
      <c r="EY302" s="532"/>
      <c r="EZ302" s="532"/>
      <c r="FA302" s="532"/>
      <c r="FB302" s="532"/>
      <c r="FC302" s="532"/>
      <c r="FD302" s="532"/>
      <c r="FE302" s="532"/>
      <c r="FF302" s="532"/>
      <c r="FG302" s="532"/>
      <c r="FH302" s="532"/>
      <c r="FI302" s="532"/>
      <c r="FJ302" s="532"/>
      <c r="FK302" s="532"/>
      <c r="FL302" s="532"/>
      <c r="FM302" s="47"/>
      <c r="FN302" s="47"/>
      <c r="FO302" s="47"/>
      <c r="FP302" s="47"/>
      <c r="FQ302" s="47"/>
      <c r="FR302" s="49"/>
      <c r="FS302" s="49"/>
      <c r="FT302" s="49"/>
      <c r="FU302" s="49"/>
      <c r="FV302" s="49"/>
      <c r="FW302" s="49"/>
      <c r="FX302" s="49"/>
      <c r="FY302" s="32"/>
      <c r="FZ302" s="32"/>
      <c r="GA302" s="32"/>
      <c r="GB302" s="32"/>
      <c r="GC302" s="32"/>
      <c r="GD302" s="32"/>
      <c r="GE302" s="32"/>
      <c r="GF302" s="32"/>
      <c r="GG302" s="32"/>
      <c r="GH302" s="32"/>
      <c r="GI302" s="32"/>
      <c r="GJ302" s="32"/>
      <c r="GK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78"/>
      <c r="HO302" s="78"/>
      <c r="HP302" s="78"/>
      <c r="HQ302" s="13"/>
      <c r="HR302" s="13"/>
      <c r="HS302" s="13"/>
      <c r="HT302" s="13"/>
      <c r="HU302" s="13"/>
      <c r="HV302" s="13"/>
      <c r="HW302" s="13"/>
      <c r="HX302" s="13"/>
      <c r="HY302" s="13"/>
      <c r="HZ302" s="13"/>
      <c r="IA302" s="13"/>
    </row>
    <row r="303" spans="1:235" ht="16.5" customHeight="1">
      <c r="A303" s="1"/>
      <c r="B303" s="3"/>
      <c r="C303" s="3"/>
      <c r="D303" s="532"/>
      <c r="E303" s="532"/>
      <c r="F303" s="532"/>
      <c r="G303" s="532"/>
      <c r="H303" s="532"/>
      <c r="I303" s="532"/>
      <c r="J303" s="532"/>
      <c r="K303" s="532"/>
      <c r="L303" s="532"/>
      <c r="M303" s="532"/>
      <c r="N303" s="532"/>
      <c r="O303" s="532"/>
      <c r="P303" s="532"/>
      <c r="Q303" s="532"/>
      <c r="R303" s="532"/>
      <c r="S303" s="532"/>
      <c r="T303" s="532"/>
      <c r="U303" s="532"/>
      <c r="V303" s="532"/>
      <c r="W303" s="532"/>
      <c r="X303" s="532"/>
      <c r="Y303" s="532"/>
      <c r="Z303" s="532"/>
      <c r="AA303" s="532"/>
      <c r="AB303" s="532"/>
      <c r="AC303" s="532"/>
      <c r="AD303" s="532"/>
      <c r="AE303" s="532"/>
      <c r="AF303" s="532"/>
      <c r="AG303" s="532"/>
      <c r="AH303" s="532"/>
      <c r="AI303" s="532"/>
      <c r="AJ303" s="532"/>
      <c r="AK303" s="532"/>
      <c r="AL303" s="532"/>
      <c r="AM303" s="532"/>
      <c r="AN303" s="532"/>
      <c r="AO303" s="532"/>
      <c r="AP303" s="532"/>
      <c r="AQ303" s="532"/>
      <c r="AR303" s="532"/>
      <c r="AS303" s="532"/>
      <c r="AT303" s="532"/>
      <c r="AU303" s="532"/>
      <c r="AV303" s="532"/>
      <c r="AW303" s="532"/>
      <c r="AX303" s="532"/>
      <c r="AY303" s="532"/>
      <c r="AZ303" s="532"/>
      <c r="BA303" s="532"/>
      <c r="BB303" s="532"/>
      <c r="BC303" s="532"/>
      <c r="BD303" s="532"/>
      <c r="BE303" s="532"/>
      <c r="BF303" s="532"/>
      <c r="BG303" s="532"/>
      <c r="BH303" s="532"/>
      <c r="BI303" s="532"/>
      <c r="BJ303" s="532"/>
      <c r="BK303" s="532"/>
      <c r="BL303" s="532"/>
      <c r="BM303" s="532"/>
      <c r="BN303" s="532"/>
      <c r="BO303" s="532"/>
      <c r="BP303" s="532"/>
      <c r="BQ303" s="532"/>
      <c r="BR303" s="532"/>
      <c r="BS303" s="532"/>
      <c r="BT303" s="532"/>
      <c r="BU303" s="532"/>
      <c r="BV303" s="532"/>
      <c r="BW303" s="532"/>
      <c r="BX303" s="532"/>
      <c r="BY303" s="532"/>
      <c r="BZ303" s="532"/>
      <c r="CA303" s="532"/>
      <c r="CB303" s="532"/>
      <c r="CC303" s="532"/>
      <c r="CD303" s="532"/>
      <c r="CE303" s="532"/>
      <c r="CF303" s="532"/>
      <c r="CG303" s="532"/>
      <c r="CH303" s="532"/>
      <c r="CI303" s="532"/>
      <c r="CJ303" s="532"/>
      <c r="CK303" s="532"/>
      <c r="CL303" s="532"/>
      <c r="CM303" s="532"/>
      <c r="CN303" s="532"/>
      <c r="CO303" s="532"/>
      <c r="CP303" s="532"/>
      <c r="CQ303" s="532"/>
      <c r="CR303" s="532"/>
      <c r="CS303" s="532"/>
      <c r="CT303" s="532"/>
      <c r="CU303" s="532"/>
      <c r="CV303" s="532"/>
      <c r="CW303" s="532"/>
      <c r="CX303" s="532"/>
      <c r="CY303" s="532"/>
      <c r="CZ303" s="532"/>
      <c r="DA303" s="532"/>
      <c r="DB303" s="532"/>
      <c r="DC303" s="532"/>
      <c r="DD303" s="532"/>
      <c r="DE303" s="532"/>
      <c r="DF303" s="532"/>
      <c r="DG303" s="532"/>
      <c r="DH303" s="532"/>
      <c r="DI303" s="532"/>
      <c r="DJ303" s="532"/>
      <c r="DK303" s="532"/>
      <c r="DL303" s="532"/>
      <c r="DM303" s="532"/>
      <c r="DN303" s="532"/>
      <c r="DO303" s="532"/>
      <c r="DP303" s="532"/>
      <c r="DQ303" s="532"/>
      <c r="DR303" s="532"/>
      <c r="DS303" s="532"/>
      <c r="DT303" s="532"/>
      <c r="DU303" s="532"/>
      <c r="DV303" s="532"/>
      <c r="DW303" s="532"/>
      <c r="DX303" s="532"/>
      <c r="DY303" s="532"/>
      <c r="DZ303" s="532"/>
      <c r="EA303" s="532"/>
      <c r="EB303" s="532"/>
      <c r="EC303" s="532"/>
      <c r="ED303" s="532"/>
      <c r="EE303" s="532"/>
      <c r="EF303" s="532"/>
      <c r="EG303" s="532"/>
      <c r="EH303" s="532"/>
      <c r="EI303" s="532"/>
      <c r="EJ303" s="532"/>
      <c r="EK303" s="532"/>
      <c r="EL303" s="532"/>
      <c r="EM303" s="532"/>
      <c r="EN303" s="532"/>
      <c r="EO303" s="532"/>
      <c r="EP303" s="532"/>
      <c r="EQ303" s="532"/>
      <c r="ER303" s="532"/>
      <c r="ES303" s="532"/>
      <c r="ET303" s="532"/>
      <c r="EU303" s="532"/>
      <c r="EV303" s="532"/>
      <c r="EW303" s="532"/>
      <c r="EX303" s="532"/>
      <c r="EY303" s="532"/>
      <c r="EZ303" s="532"/>
      <c r="FA303" s="532"/>
      <c r="FB303" s="532"/>
      <c r="FC303" s="532"/>
      <c r="FD303" s="532"/>
      <c r="FE303" s="532"/>
      <c r="FF303" s="532"/>
      <c r="FG303" s="532"/>
      <c r="FH303" s="532"/>
      <c r="FI303" s="532"/>
      <c r="FJ303" s="532"/>
      <c r="FK303" s="532"/>
      <c r="FL303" s="532"/>
      <c r="FM303" s="47"/>
      <c r="FN303" s="47"/>
      <c r="FO303" s="47"/>
      <c r="FP303" s="47"/>
      <c r="FQ303" s="47"/>
      <c r="FR303" s="49"/>
      <c r="FS303" s="49"/>
      <c r="FT303" s="49"/>
      <c r="FU303" s="49"/>
      <c r="FV303" s="49"/>
      <c r="FW303" s="49"/>
      <c r="FX303" s="49"/>
      <c r="FY303" s="32"/>
      <c r="FZ303" s="32"/>
      <c r="GA303" s="32"/>
      <c r="GB303" s="32"/>
      <c r="GC303" s="32"/>
      <c r="GD303" s="32"/>
      <c r="GE303" s="32"/>
      <c r="GF303" s="32"/>
      <c r="GG303" s="32"/>
      <c r="GH303" s="32"/>
      <c r="GI303" s="32"/>
      <c r="GJ303" s="32"/>
      <c r="GK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78"/>
      <c r="HO303" s="78"/>
      <c r="HP303" s="78"/>
      <c r="HQ303" s="13"/>
      <c r="HR303" s="13"/>
      <c r="HS303" s="13"/>
      <c r="HT303" s="13"/>
      <c r="HU303" s="13"/>
      <c r="HV303" s="13"/>
      <c r="HW303" s="13"/>
      <c r="HX303" s="13"/>
      <c r="HY303" s="13"/>
      <c r="HZ303" s="13"/>
      <c r="IA303" s="13"/>
    </row>
    <row r="304" spans="1:235" ht="16.5" customHeight="1">
      <c r="A304" s="1"/>
      <c r="B304" s="3"/>
      <c r="C304" s="3"/>
      <c r="D304" s="532"/>
      <c r="E304" s="532"/>
      <c r="F304" s="532"/>
      <c r="G304" s="532"/>
      <c r="H304" s="532"/>
      <c r="I304" s="532"/>
      <c r="J304" s="532"/>
      <c r="K304" s="532"/>
      <c r="L304" s="532"/>
      <c r="M304" s="532"/>
      <c r="N304" s="532"/>
      <c r="O304" s="532"/>
      <c r="P304" s="532"/>
      <c r="Q304" s="532"/>
      <c r="R304" s="532"/>
      <c r="S304" s="532"/>
      <c r="T304" s="532"/>
      <c r="U304" s="532"/>
      <c r="V304" s="532"/>
      <c r="W304" s="532"/>
      <c r="X304" s="532"/>
      <c r="Y304" s="532"/>
      <c r="Z304" s="532"/>
      <c r="AA304" s="532"/>
      <c r="AB304" s="532"/>
      <c r="AC304" s="532"/>
      <c r="AD304" s="532"/>
      <c r="AE304" s="532"/>
      <c r="AF304" s="532"/>
      <c r="AG304" s="532"/>
      <c r="AH304" s="532"/>
      <c r="AI304" s="532"/>
      <c r="AJ304" s="532"/>
      <c r="AK304" s="532"/>
      <c r="AL304" s="532"/>
      <c r="AM304" s="532"/>
      <c r="AN304" s="532"/>
      <c r="AO304" s="532"/>
      <c r="AP304" s="532"/>
      <c r="AQ304" s="532"/>
      <c r="AR304" s="532"/>
      <c r="AS304" s="532"/>
      <c r="AT304" s="532"/>
      <c r="AU304" s="532"/>
      <c r="AV304" s="532"/>
      <c r="AW304" s="532"/>
      <c r="AX304" s="532"/>
      <c r="AY304" s="532"/>
      <c r="AZ304" s="532"/>
      <c r="BA304" s="532"/>
      <c r="BB304" s="532"/>
      <c r="BC304" s="532"/>
      <c r="BD304" s="532"/>
      <c r="BE304" s="532"/>
      <c r="BF304" s="532"/>
      <c r="BG304" s="532"/>
      <c r="BH304" s="532"/>
      <c r="BI304" s="532"/>
      <c r="BJ304" s="532"/>
      <c r="BK304" s="532"/>
      <c r="BL304" s="532"/>
      <c r="BM304" s="532"/>
      <c r="BN304" s="532"/>
      <c r="BO304" s="532"/>
      <c r="BP304" s="532"/>
      <c r="BQ304" s="532"/>
      <c r="BR304" s="532"/>
      <c r="BS304" s="532"/>
      <c r="BT304" s="532"/>
      <c r="BU304" s="532"/>
      <c r="BV304" s="532"/>
      <c r="BW304" s="532"/>
      <c r="BX304" s="532"/>
      <c r="BY304" s="532"/>
      <c r="BZ304" s="532"/>
      <c r="CA304" s="532"/>
      <c r="CB304" s="532"/>
      <c r="CC304" s="532"/>
      <c r="CD304" s="532"/>
      <c r="CE304" s="532"/>
      <c r="CF304" s="532"/>
      <c r="CG304" s="532"/>
      <c r="CH304" s="532"/>
      <c r="CI304" s="532"/>
      <c r="CJ304" s="532"/>
      <c r="CK304" s="532"/>
      <c r="CL304" s="532"/>
      <c r="CM304" s="532"/>
      <c r="CN304" s="532"/>
      <c r="CO304" s="532"/>
      <c r="CP304" s="532"/>
      <c r="CQ304" s="532"/>
      <c r="CR304" s="532"/>
      <c r="CS304" s="532"/>
      <c r="CT304" s="532"/>
      <c r="CU304" s="532"/>
      <c r="CV304" s="532"/>
      <c r="CW304" s="532"/>
      <c r="CX304" s="532"/>
      <c r="CY304" s="532"/>
      <c r="CZ304" s="532"/>
      <c r="DA304" s="532"/>
      <c r="DB304" s="532"/>
      <c r="DC304" s="532"/>
      <c r="DD304" s="532"/>
      <c r="DE304" s="532"/>
      <c r="DF304" s="532"/>
      <c r="DG304" s="532"/>
      <c r="DH304" s="532"/>
      <c r="DI304" s="532"/>
      <c r="DJ304" s="532"/>
      <c r="DK304" s="532"/>
      <c r="DL304" s="532"/>
      <c r="DM304" s="532"/>
      <c r="DN304" s="532"/>
      <c r="DO304" s="532"/>
      <c r="DP304" s="532"/>
      <c r="DQ304" s="532"/>
      <c r="DR304" s="532"/>
      <c r="DS304" s="532"/>
      <c r="DT304" s="532"/>
      <c r="DU304" s="532"/>
      <c r="DV304" s="532"/>
      <c r="DW304" s="532"/>
      <c r="DX304" s="532"/>
      <c r="DY304" s="532"/>
      <c r="DZ304" s="532"/>
      <c r="EA304" s="532"/>
      <c r="EB304" s="532"/>
      <c r="EC304" s="532"/>
      <c r="ED304" s="532"/>
      <c r="EE304" s="532"/>
      <c r="EF304" s="532"/>
      <c r="EG304" s="532"/>
      <c r="EH304" s="532"/>
      <c r="EI304" s="532"/>
      <c r="EJ304" s="532"/>
      <c r="EK304" s="532"/>
      <c r="EL304" s="532"/>
      <c r="EM304" s="532"/>
      <c r="EN304" s="532"/>
      <c r="EO304" s="532"/>
      <c r="EP304" s="532"/>
      <c r="EQ304" s="532"/>
      <c r="ER304" s="532"/>
      <c r="ES304" s="532"/>
      <c r="ET304" s="532"/>
      <c r="EU304" s="532"/>
      <c r="EV304" s="532"/>
      <c r="EW304" s="532"/>
      <c r="EX304" s="532"/>
      <c r="EY304" s="532"/>
      <c r="EZ304" s="532"/>
      <c r="FA304" s="532"/>
      <c r="FB304" s="532"/>
      <c r="FC304" s="532"/>
      <c r="FD304" s="532"/>
      <c r="FE304" s="532"/>
      <c r="FF304" s="532"/>
      <c r="FG304" s="532"/>
      <c r="FH304" s="532"/>
      <c r="FI304" s="532"/>
      <c r="FJ304" s="532"/>
      <c r="FK304" s="532"/>
      <c r="FL304" s="532"/>
      <c r="FM304" s="47"/>
      <c r="FN304" s="47"/>
      <c r="FO304" s="47"/>
      <c r="FP304" s="47"/>
      <c r="FQ304" s="47"/>
      <c r="FR304" s="49"/>
      <c r="FS304" s="49"/>
      <c r="FT304" s="49"/>
      <c r="FU304" s="49"/>
      <c r="FV304" s="49"/>
      <c r="FW304" s="49"/>
      <c r="FX304" s="49"/>
      <c r="FY304" s="32"/>
      <c r="FZ304" s="32"/>
      <c r="GA304" s="32"/>
      <c r="GB304" s="32"/>
      <c r="GC304" s="32"/>
      <c r="GD304" s="32"/>
      <c r="GE304" s="32"/>
      <c r="GF304" s="32"/>
      <c r="GG304" s="32"/>
      <c r="GH304" s="32"/>
      <c r="GI304" s="32"/>
      <c r="GJ304" s="32"/>
      <c r="GK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78"/>
      <c r="HO304" s="78"/>
      <c r="HP304" s="78"/>
      <c r="HQ304" s="13"/>
      <c r="HR304" s="13"/>
      <c r="HS304" s="13"/>
      <c r="HT304" s="13"/>
      <c r="HU304" s="13"/>
      <c r="HV304" s="13"/>
      <c r="HW304" s="13"/>
      <c r="HX304" s="13"/>
      <c r="HY304" s="13"/>
      <c r="HZ304" s="13"/>
      <c r="IA304" s="13"/>
    </row>
    <row r="305" spans="1:235" ht="16.5" customHeight="1">
      <c r="A305" s="1"/>
      <c r="B305" s="3"/>
      <c r="C305" s="3"/>
      <c r="D305" s="532"/>
      <c r="E305" s="532"/>
      <c r="F305" s="532"/>
      <c r="G305" s="532"/>
      <c r="H305" s="532"/>
      <c r="I305" s="532"/>
      <c r="J305" s="532"/>
      <c r="K305" s="532"/>
      <c r="L305" s="532"/>
      <c r="M305" s="532"/>
      <c r="N305" s="532"/>
      <c r="O305" s="532"/>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c r="AM305" s="532"/>
      <c r="AN305" s="532"/>
      <c r="AO305" s="532"/>
      <c r="AP305" s="532"/>
      <c r="AQ305" s="532"/>
      <c r="AR305" s="532"/>
      <c r="AS305" s="532"/>
      <c r="AT305" s="532"/>
      <c r="AU305" s="532"/>
      <c r="AV305" s="532"/>
      <c r="AW305" s="532"/>
      <c r="AX305" s="532"/>
      <c r="AY305" s="532"/>
      <c r="AZ305" s="532"/>
      <c r="BA305" s="532"/>
      <c r="BB305" s="532"/>
      <c r="BC305" s="532"/>
      <c r="BD305" s="532"/>
      <c r="BE305" s="532"/>
      <c r="BF305" s="532"/>
      <c r="BG305" s="532"/>
      <c r="BH305" s="532"/>
      <c r="BI305" s="532"/>
      <c r="BJ305" s="532"/>
      <c r="BK305" s="532"/>
      <c r="BL305" s="532"/>
      <c r="BM305" s="532"/>
      <c r="BN305" s="532"/>
      <c r="BO305" s="532"/>
      <c r="BP305" s="532"/>
      <c r="BQ305" s="532"/>
      <c r="BR305" s="532"/>
      <c r="BS305" s="532"/>
      <c r="BT305" s="532"/>
      <c r="BU305" s="532"/>
      <c r="BV305" s="532"/>
      <c r="BW305" s="532"/>
      <c r="BX305" s="532"/>
      <c r="BY305" s="532"/>
      <c r="BZ305" s="532"/>
      <c r="CA305" s="532"/>
      <c r="CB305" s="532"/>
      <c r="CC305" s="532"/>
      <c r="CD305" s="532"/>
      <c r="CE305" s="532"/>
      <c r="CF305" s="532"/>
      <c r="CG305" s="532"/>
      <c r="CH305" s="532"/>
      <c r="CI305" s="532"/>
      <c r="CJ305" s="532"/>
      <c r="CK305" s="532"/>
      <c r="CL305" s="532"/>
      <c r="CM305" s="532"/>
      <c r="CN305" s="532"/>
      <c r="CO305" s="532"/>
      <c r="CP305" s="532"/>
      <c r="CQ305" s="532"/>
      <c r="CR305" s="532"/>
      <c r="CS305" s="532"/>
      <c r="CT305" s="532"/>
      <c r="CU305" s="532"/>
      <c r="CV305" s="532"/>
      <c r="CW305" s="532"/>
      <c r="CX305" s="532"/>
      <c r="CY305" s="532"/>
      <c r="CZ305" s="532"/>
      <c r="DA305" s="532"/>
      <c r="DB305" s="532"/>
      <c r="DC305" s="532"/>
      <c r="DD305" s="532"/>
      <c r="DE305" s="532"/>
      <c r="DF305" s="532"/>
      <c r="DG305" s="532"/>
      <c r="DH305" s="532"/>
      <c r="DI305" s="532"/>
      <c r="DJ305" s="532"/>
      <c r="DK305" s="532"/>
      <c r="DL305" s="532"/>
      <c r="DM305" s="532"/>
      <c r="DN305" s="532"/>
      <c r="DO305" s="532"/>
      <c r="DP305" s="532"/>
      <c r="DQ305" s="532"/>
      <c r="DR305" s="532"/>
      <c r="DS305" s="532"/>
      <c r="DT305" s="532"/>
      <c r="DU305" s="532"/>
      <c r="DV305" s="532"/>
      <c r="DW305" s="532"/>
      <c r="DX305" s="532"/>
      <c r="DY305" s="532"/>
      <c r="DZ305" s="532"/>
      <c r="EA305" s="532"/>
      <c r="EB305" s="532"/>
      <c r="EC305" s="532"/>
      <c r="ED305" s="532"/>
      <c r="EE305" s="532"/>
      <c r="EF305" s="532"/>
      <c r="EG305" s="532"/>
      <c r="EH305" s="532"/>
      <c r="EI305" s="532"/>
      <c r="EJ305" s="532"/>
      <c r="EK305" s="532"/>
      <c r="EL305" s="532"/>
      <c r="EM305" s="532"/>
      <c r="EN305" s="532"/>
      <c r="EO305" s="532"/>
      <c r="EP305" s="532"/>
      <c r="EQ305" s="532"/>
      <c r="ER305" s="532"/>
      <c r="ES305" s="532"/>
      <c r="ET305" s="532"/>
      <c r="EU305" s="532"/>
      <c r="EV305" s="532"/>
      <c r="EW305" s="532"/>
      <c r="EX305" s="532"/>
      <c r="EY305" s="532"/>
      <c r="EZ305" s="532"/>
      <c r="FA305" s="532"/>
      <c r="FB305" s="532"/>
      <c r="FC305" s="532"/>
      <c r="FD305" s="532"/>
      <c r="FE305" s="532"/>
      <c r="FF305" s="532"/>
      <c r="FG305" s="532"/>
      <c r="FH305" s="532"/>
      <c r="FI305" s="532"/>
      <c r="FJ305" s="532"/>
      <c r="FK305" s="532"/>
      <c r="FL305" s="532"/>
      <c r="FM305" s="47"/>
      <c r="FN305" s="47"/>
      <c r="FO305" s="47"/>
      <c r="FP305" s="47"/>
      <c r="FQ305" s="47"/>
      <c r="FR305" s="49"/>
      <c r="FS305" s="49"/>
      <c r="FT305" s="49"/>
      <c r="FU305" s="49"/>
      <c r="FV305" s="49"/>
      <c r="FW305" s="49"/>
      <c r="FX305" s="49"/>
      <c r="FY305" s="32"/>
      <c r="FZ305" s="32"/>
      <c r="GA305" s="32"/>
      <c r="GB305" s="32"/>
      <c r="GC305" s="32"/>
      <c r="GD305" s="32"/>
      <c r="GE305" s="32"/>
      <c r="GF305" s="32"/>
      <c r="GG305" s="32"/>
      <c r="GH305" s="32"/>
      <c r="GI305" s="32"/>
      <c r="GJ305" s="32"/>
      <c r="GK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78"/>
      <c r="HO305" s="78"/>
      <c r="HP305" s="78"/>
      <c r="HQ305" s="13"/>
      <c r="HR305" s="13"/>
      <c r="HS305" s="13"/>
      <c r="HT305" s="13"/>
      <c r="HU305" s="13"/>
      <c r="HV305" s="13"/>
      <c r="HW305" s="13"/>
      <c r="HX305" s="13"/>
      <c r="HY305" s="13"/>
      <c r="HZ305" s="13"/>
      <c r="IA305" s="13"/>
    </row>
    <row r="306" spans="1:235" ht="16.5" customHeight="1">
      <c r="A306" s="1"/>
      <c r="B306" s="3"/>
      <c r="C306" s="3"/>
      <c r="D306" s="532"/>
      <c r="E306" s="532"/>
      <c r="F306" s="532"/>
      <c r="G306" s="532"/>
      <c r="H306" s="532"/>
      <c r="I306" s="532"/>
      <c r="J306" s="532"/>
      <c r="K306" s="532"/>
      <c r="L306" s="532"/>
      <c r="M306" s="532"/>
      <c r="N306" s="532"/>
      <c r="O306" s="532"/>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c r="AM306" s="532"/>
      <c r="AN306" s="532"/>
      <c r="AO306" s="532"/>
      <c r="AP306" s="532"/>
      <c r="AQ306" s="532"/>
      <c r="AR306" s="532"/>
      <c r="AS306" s="532"/>
      <c r="AT306" s="532"/>
      <c r="AU306" s="532"/>
      <c r="AV306" s="532"/>
      <c r="AW306" s="532"/>
      <c r="AX306" s="532"/>
      <c r="AY306" s="532"/>
      <c r="AZ306" s="532"/>
      <c r="BA306" s="532"/>
      <c r="BB306" s="532"/>
      <c r="BC306" s="532"/>
      <c r="BD306" s="532"/>
      <c r="BE306" s="532"/>
      <c r="BF306" s="532"/>
      <c r="BG306" s="532"/>
      <c r="BH306" s="532"/>
      <c r="BI306" s="532"/>
      <c r="BJ306" s="532"/>
      <c r="BK306" s="532"/>
      <c r="BL306" s="532"/>
      <c r="BM306" s="532"/>
      <c r="BN306" s="532"/>
      <c r="BO306" s="532"/>
      <c r="BP306" s="532"/>
      <c r="BQ306" s="532"/>
      <c r="BR306" s="532"/>
      <c r="BS306" s="532"/>
      <c r="BT306" s="532"/>
      <c r="BU306" s="532"/>
      <c r="BV306" s="532"/>
      <c r="BW306" s="532"/>
      <c r="BX306" s="532"/>
      <c r="BY306" s="532"/>
      <c r="BZ306" s="532"/>
      <c r="CA306" s="532"/>
      <c r="CB306" s="532"/>
      <c r="CC306" s="532"/>
      <c r="CD306" s="532"/>
      <c r="CE306" s="532"/>
      <c r="CF306" s="532"/>
      <c r="CG306" s="532"/>
      <c r="CH306" s="532"/>
      <c r="CI306" s="532"/>
      <c r="CJ306" s="532"/>
      <c r="CK306" s="532"/>
      <c r="CL306" s="532"/>
      <c r="CM306" s="532"/>
      <c r="CN306" s="532"/>
      <c r="CO306" s="532"/>
      <c r="CP306" s="532"/>
      <c r="CQ306" s="532"/>
      <c r="CR306" s="532"/>
      <c r="CS306" s="532"/>
      <c r="CT306" s="532"/>
      <c r="CU306" s="532"/>
      <c r="CV306" s="532"/>
      <c r="CW306" s="532"/>
      <c r="CX306" s="532"/>
      <c r="CY306" s="532"/>
      <c r="CZ306" s="532"/>
      <c r="DA306" s="532"/>
      <c r="DB306" s="532"/>
      <c r="DC306" s="532"/>
      <c r="DD306" s="532"/>
      <c r="DE306" s="532"/>
      <c r="DF306" s="532"/>
      <c r="DG306" s="532"/>
      <c r="DH306" s="532"/>
      <c r="DI306" s="532"/>
      <c r="DJ306" s="532"/>
      <c r="DK306" s="532"/>
      <c r="DL306" s="532"/>
      <c r="DM306" s="532"/>
      <c r="DN306" s="532"/>
      <c r="DO306" s="532"/>
      <c r="DP306" s="532"/>
      <c r="DQ306" s="532"/>
      <c r="DR306" s="532"/>
      <c r="DS306" s="532"/>
      <c r="DT306" s="532"/>
      <c r="DU306" s="532"/>
      <c r="DV306" s="532"/>
      <c r="DW306" s="532"/>
      <c r="DX306" s="532"/>
      <c r="DY306" s="532"/>
      <c r="DZ306" s="532"/>
      <c r="EA306" s="532"/>
      <c r="EB306" s="532"/>
      <c r="EC306" s="532"/>
      <c r="ED306" s="532"/>
      <c r="EE306" s="532"/>
      <c r="EF306" s="532"/>
      <c r="EG306" s="532"/>
      <c r="EH306" s="532"/>
      <c r="EI306" s="532"/>
      <c r="EJ306" s="532"/>
      <c r="EK306" s="532"/>
      <c r="EL306" s="532"/>
      <c r="EM306" s="532"/>
      <c r="EN306" s="532"/>
      <c r="EO306" s="532"/>
      <c r="EP306" s="532"/>
      <c r="EQ306" s="532"/>
      <c r="ER306" s="532"/>
      <c r="ES306" s="532"/>
      <c r="ET306" s="532"/>
      <c r="EU306" s="532"/>
      <c r="EV306" s="532"/>
      <c r="EW306" s="532"/>
      <c r="EX306" s="532"/>
      <c r="EY306" s="532"/>
      <c r="EZ306" s="532"/>
      <c r="FA306" s="532"/>
      <c r="FB306" s="532"/>
      <c r="FC306" s="532"/>
      <c r="FD306" s="532"/>
      <c r="FE306" s="532"/>
      <c r="FF306" s="532"/>
      <c r="FG306" s="532"/>
      <c r="FH306" s="532"/>
      <c r="FI306" s="532"/>
      <c r="FJ306" s="532"/>
      <c r="FK306" s="532"/>
      <c r="FL306" s="532"/>
      <c r="FM306" s="48"/>
      <c r="FN306" s="48"/>
      <c r="FO306" s="48"/>
      <c r="FP306" s="48"/>
      <c r="FQ306" s="48"/>
      <c r="FR306" s="49"/>
      <c r="FS306" s="49"/>
      <c r="FT306" s="49"/>
      <c r="FU306" s="49"/>
      <c r="FV306" s="49"/>
      <c r="FW306" s="49"/>
      <c r="FX306" s="49"/>
      <c r="FY306" s="32"/>
      <c r="FZ306" s="32"/>
      <c r="GA306" s="32"/>
      <c r="GB306" s="32"/>
      <c r="GC306" s="32"/>
      <c r="GD306" s="32"/>
      <c r="GE306" s="32"/>
      <c r="GF306" s="32"/>
      <c r="GG306" s="32"/>
      <c r="GH306" s="32"/>
      <c r="GI306" s="32"/>
      <c r="GJ306" s="32"/>
      <c r="GK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78"/>
      <c r="HO306" s="78"/>
      <c r="HP306" s="78"/>
      <c r="HQ306" s="13"/>
      <c r="HR306" s="13"/>
      <c r="HS306" s="13"/>
      <c r="HT306" s="13"/>
      <c r="HU306" s="13"/>
      <c r="HV306" s="13"/>
      <c r="HW306" s="13"/>
      <c r="HX306" s="13"/>
      <c r="HY306" s="13"/>
      <c r="HZ306" s="13"/>
      <c r="IA306" s="13"/>
    </row>
    <row r="307" spans="1:235" ht="16.5" customHeight="1">
      <c r="A307" s="1"/>
      <c r="B307" s="3"/>
      <c r="C307" s="3"/>
      <c r="D307" s="532"/>
      <c r="E307" s="532"/>
      <c r="F307" s="532"/>
      <c r="G307" s="532"/>
      <c r="H307" s="532"/>
      <c r="I307" s="532"/>
      <c r="J307" s="532"/>
      <c r="K307" s="532"/>
      <c r="L307" s="532"/>
      <c r="M307" s="532"/>
      <c r="N307" s="532"/>
      <c r="O307" s="532"/>
      <c r="P307" s="532"/>
      <c r="Q307" s="532"/>
      <c r="R307" s="532"/>
      <c r="S307" s="532"/>
      <c r="T307" s="532"/>
      <c r="U307" s="532"/>
      <c r="V307" s="532"/>
      <c r="W307" s="532"/>
      <c r="X307" s="532"/>
      <c r="Y307" s="532"/>
      <c r="Z307" s="532"/>
      <c r="AA307" s="532"/>
      <c r="AB307" s="532"/>
      <c r="AC307" s="532"/>
      <c r="AD307" s="532"/>
      <c r="AE307" s="532"/>
      <c r="AF307" s="532"/>
      <c r="AG307" s="532"/>
      <c r="AH307" s="532"/>
      <c r="AI307" s="532"/>
      <c r="AJ307" s="532"/>
      <c r="AK307" s="532"/>
      <c r="AL307" s="532"/>
      <c r="AM307" s="532"/>
      <c r="AN307" s="532"/>
      <c r="AO307" s="532"/>
      <c r="AP307" s="532"/>
      <c r="AQ307" s="532"/>
      <c r="AR307" s="532"/>
      <c r="AS307" s="532"/>
      <c r="AT307" s="532"/>
      <c r="AU307" s="532"/>
      <c r="AV307" s="532"/>
      <c r="AW307" s="532"/>
      <c r="AX307" s="532"/>
      <c r="AY307" s="532"/>
      <c r="AZ307" s="532"/>
      <c r="BA307" s="532"/>
      <c r="BB307" s="532"/>
      <c r="BC307" s="532"/>
      <c r="BD307" s="532"/>
      <c r="BE307" s="532"/>
      <c r="BF307" s="532"/>
      <c r="BG307" s="532"/>
      <c r="BH307" s="532"/>
      <c r="BI307" s="532"/>
      <c r="BJ307" s="532"/>
      <c r="BK307" s="532"/>
      <c r="BL307" s="532"/>
      <c r="BM307" s="532"/>
      <c r="BN307" s="532"/>
      <c r="BO307" s="532"/>
      <c r="BP307" s="532"/>
      <c r="BQ307" s="532"/>
      <c r="BR307" s="532"/>
      <c r="BS307" s="532"/>
      <c r="BT307" s="532"/>
      <c r="BU307" s="532"/>
      <c r="BV307" s="532"/>
      <c r="BW307" s="532"/>
      <c r="BX307" s="532"/>
      <c r="BY307" s="532"/>
      <c r="BZ307" s="532"/>
      <c r="CA307" s="532"/>
      <c r="CB307" s="532"/>
      <c r="CC307" s="532"/>
      <c r="CD307" s="532"/>
      <c r="CE307" s="532"/>
      <c r="CF307" s="532"/>
      <c r="CG307" s="532"/>
      <c r="CH307" s="532"/>
      <c r="CI307" s="532"/>
      <c r="CJ307" s="532"/>
      <c r="CK307" s="532"/>
      <c r="CL307" s="532"/>
      <c r="CM307" s="532"/>
      <c r="CN307" s="532"/>
      <c r="CO307" s="532"/>
      <c r="CP307" s="532"/>
      <c r="CQ307" s="532"/>
      <c r="CR307" s="532"/>
      <c r="CS307" s="532"/>
      <c r="CT307" s="532"/>
      <c r="CU307" s="532"/>
      <c r="CV307" s="532"/>
      <c r="CW307" s="532"/>
      <c r="CX307" s="532"/>
      <c r="CY307" s="532"/>
      <c r="CZ307" s="532"/>
      <c r="DA307" s="532"/>
      <c r="DB307" s="532"/>
      <c r="DC307" s="532"/>
      <c r="DD307" s="532"/>
      <c r="DE307" s="532"/>
      <c r="DF307" s="532"/>
      <c r="DG307" s="532"/>
      <c r="DH307" s="532"/>
      <c r="DI307" s="532"/>
      <c r="DJ307" s="532"/>
      <c r="DK307" s="532"/>
      <c r="DL307" s="532"/>
      <c r="DM307" s="532"/>
      <c r="DN307" s="532"/>
      <c r="DO307" s="532"/>
      <c r="DP307" s="532"/>
      <c r="DQ307" s="532"/>
      <c r="DR307" s="532"/>
      <c r="DS307" s="532"/>
      <c r="DT307" s="532"/>
      <c r="DU307" s="532"/>
      <c r="DV307" s="532"/>
      <c r="DW307" s="532"/>
      <c r="DX307" s="532"/>
      <c r="DY307" s="532"/>
      <c r="DZ307" s="532"/>
      <c r="EA307" s="532"/>
      <c r="EB307" s="532"/>
      <c r="EC307" s="532"/>
      <c r="ED307" s="532"/>
      <c r="EE307" s="532"/>
      <c r="EF307" s="532"/>
      <c r="EG307" s="532"/>
      <c r="EH307" s="532"/>
      <c r="EI307" s="532"/>
      <c r="EJ307" s="532"/>
      <c r="EK307" s="532"/>
      <c r="EL307" s="532"/>
      <c r="EM307" s="532"/>
      <c r="EN307" s="532"/>
      <c r="EO307" s="532"/>
      <c r="EP307" s="532"/>
      <c r="EQ307" s="532"/>
      <c r="ER307" s="532"/>
      <c r="ES307" s="532"/>
      <c r="ET307" s="532"/>
      <c r="EU307" s="532"/>
      <c r="EV307" s="532"/>
      <c r="EW307" s="532"/>
      <c r="EX307" s="532"/>
      <c r="EY307" s="532"/>
      <c r="EZ307" s="532"/>
      <c r="FA307" s="532"/>
      <c r="FB307" s="532"/>
      <c r="FC307" s="532"/>
      <c r="FD307" s="532"/>
      <c r="FE307" s="532"/>
      <c r="FF307" s="532"/>
      <c r="FG307" s="532"/>
      <c r="FH307" s="532"/>
      <c r="FI307" s="532"/>
      <c r="FJ307" s="532"/>
      <c r="FK307" s="532"/>
      <c r="FL307" s="532"/>
      <c r="FM307" s="48"/>
      <c r="FN307" s="48"/>
      <c r="FO307" s="48"/>
      <c r="FP307" s="48"/>
      <c r="FQ307" s="48"/>
      <c r="FR307" s="49"/>
      <c r="FS307" s="49"/>
      <c r="FT307" s="49"/>
      <c r="FU307" s="49"/>
      <c r="FV307" s="49"/>
      <c r="FW307" s="49"/>
      <c r="FX307" s="49"/>
      <c r="FY307" s="32"/>
      <c r="FZ307" s="32"/>
      <c r="GA307" s="32"/>
      <c r="GB307" s="32"/>
      <c r="GC307" s="32"/>
      <c r="GD307" s="32"/>
      <c r="GE307" s="32"/>
      <c r="GF307" s="32"/>
      <c r="GG307" s="32"/>
      <c r="GH307" s="32"/>
      <c r="GI307" s="32"/>
      <c r="GJ307" s="32"/>
      <c r="GK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78"/>
      <c r="HO307" s="78"/>
      <c r="HP307" s="78"/>
      <c r="HQ307" s="13"/>
      <c r="HR307" s="13"/>
      <c r="HS307" s="13"/>
      <c r="HT307" s="13"/>
      <c r="HU307" s="13"/>
      <c r="HV307" s="13"/>
      <c r="HW307" s="13"/>
      <c r="HX307" s="13"/>
      <c r="HY307" s="13"/>
      <c r="HZ307" s="13"/>
      <c r="IA307" s="13"/>
    </row>
    <row r="308" spans="1:235" ht="16.95" customHeight="1">
      <c r="A308" s="1"/>
      <c r="B308" s="3"/>
      <c r="C308" s="3"/>
      <c r="D308" s="124" t="str">
        <f ca="1">IF(FO282=0,"","Geef aan welke grafiek de betreffende situatie weergeeft. Je krijgt pas te zien")</f>
        <v/>
      </c>
      <c r="E308" s="373"/>
      <c r="F308" s="373"/>
      <c r="G308" s="373"/>
      <c r="H308" s="373"/>
      <c r="I308" s="373"/>
      <c r="J308" s="376"/>
      <c r="K308" s="376"/>
      <c r="L308" s="376"/>
      <c r="M308" s="376"/>
      <c r="N308" s="376"/>
      <c r="O308" s="376"/>
      <c r="P308" s="376"/>
      <c r="Q308" s="376"/>
      <c r="R308" s="376"/>
      <c r="S308" s="376"/>
      <c r="T308" s="376"/>
      <c r="U308" s="376"/>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43"/>
      <c r="CL308" s="43"/>
      <c r="CM308" s="43"/>
      <c r="CN308" s="43"/>
      <c r="CO308" s="43"/>
      <c r="CP308" s="376"/>
      <c r="CQ308" s="376"/>
      <c r="CR308" s="376"/>
      <c r="CS308" s="376"/>
      <c r="CT308" s="376"/>
      <c r="CU308" s="376"/>
      <c r="CV308" s="376"/>
      <c r="CW308" s="376"/>
      <c r="CX308" s="376"/>
      <c r="CY308" s="376"/>
      <c r="CZ308" s="376"/>
      <c r="DA308" s="376"/>
      <c r="DB308" s="376"/>
      <c r="DC308" s="376"/>
      <c r="DD308" s="376"/>
      <c r="DE308" s="376"/>
      <c r="DF308" s="376"/>
      <c r="DG308" s="376"/>
      <c r="DH308" s="376"/>
      <c r="DI308" s="376"/>
      <c r="DJ308" s="376"/>
      <c r="DK308" s="376"/>
      <c r="DL308" s="376"/>
      <c r="DM308" s="376"/>
      <c r="DN308" s="376"/>
      <c r="DO308" s="376"/>
      <c r="DP308" s="376"/>
      <c r="DQ308" s="376"/>
      <c r="DR308" s="376"/>
      <c r="DS308" s="376"/>
      <c r="DT308" s="376"/>
      <c r="DU308" s="376"/>
      <c r="DV308" s="376"/>
      <c r="DW308" s="376"/>
      <c r="DX308" s="376"/>
      <c r="DY308" s="376"/>
      <c r="DZ308" s="376"/>
      <c r="EA308" s="376"/>
      <c r="EB308" s="376"/>
      <c r="EC308" s="376"/>
      <c r="ED308" s="376"/>
      <c r="EE308" s="376"/>
      <c r="EF308" s="376"/>
      <c r="EG308" s="376"/>
      <c r="EH308" s="376"/>
      <c r="EI308" s="376"/>
      <c r="EJ308" s="376"/>
      <c r="EK308" s="376"/>
      <c r="EL308" s="376"/>
      <c r="EM308" s="376"/>
      <c r="EN308" s="376"/>
      <c r="EO308" s="376"/>
      <c r="EP308" s="376"/>
      <c r="EQ308" s="376"/>
      <c r="ER308" s="376"/>
      <c r="ES308" s="376"/>
      <c r="ET308" s="376"/>
      <c r="EU308" s="376"/>
      <c r="EV308" s="376"/>
      <c r="EW308" s="376"/>
      <c r="EX308" s="376"/>
      <c r="EY308" s="376"/>
      <c r="EZ308" s="376"/>
      <c r="FA308" s="43"/>
      <c r="FB308" s="43"/>
      <c r="FC308" s="43"/>
      <c r="FD308" s="43"/>
      <c r="FE308" s="43"/>
      <c r="FF308" s="43"/>
      <c r="FG308" s="43"/>
      <c r="FH308" s="43"/>
      <c r="FI308" s="79"/>
      <c r="FJ308" s="79"/>
      <c r="FK308" s="79"/>
      <c r="FL308" s="79"/>
      <c r="FM308" s="93"/>
      <c r="FN308" s="93"/>
      <c r="FO308" s="338"/>
      <c r="FP308" s="338"/>
      <c r="FQ308" s="338"/>
      <c r="FR308" s="338"/>
      <c r="FS308" s="338"/>
      <c r="FT308" s="338"/>
      <c r="FU308" s="338"/>
      <c r="FV308" s="338"/>
      <c r="FW308" s="338"/>
      <c r="FX308" s="338"/>
      <c r="FY308" s="32"/>
      <c r="FZ308" s="32"/>
      <c r="GA308" s="32"/>
      <c r="GB308" s="32"/>
      <c r="GC308" s="32"/>
      <c r="GD308" s="32"/>
      <c r="GE308" s="32"/>
      <c r="GF308" s="32"/>
      <c r="GG308" s="32"/>
      <c r="GH308" s="32"/>
      <c r="GI308" s="32"/>
      <c r="GJ308" s="32"/>
      <c r="GK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38"/>
      <c r="HO308" s="338"/>
      <c r="HP308" s="338"/>
      <c r="HQ308" s="13"/>
      <c r="HR308" s="13"/>
      <c r="HS308" s="13"/>
      <c r="HT308" s="13"/>
      <c r="HU308" s="13"/>
      <c r="HV308" s="13"/>
      <c r="HW308" s="13"/>
      <c r="HX308" s="13"/>
      <c r="HY308" s="13"/>
      <c r="HZ308" s="13"/>
      <c r="IA308" s="13"/>
    </row>
    <row r="309" spans="1:235" ht="16.95" customHeight="1">
      <c r="A309" s="1"/>
      <c r="B309" s="3"/>
      <c r="C309" s="3"/>
      <c r="D309" s="124" t="str">
        <f ca="1">IF(FO282=0,"","hoe je het hebt gedaan als je alle vakken hebt ingevuld.")</f>
        <v/>
      </c>
      <c r="E309" s="373"/>
      <c r="F309" s="373"/>
      <c r="G309" s="373"/>
      <c r="H309" s="373"/>
      <c r="I309" s="373"/>
      <c r="J309" s="376"/>
      <c r="K309" s="376"/>
      <c r="L309" s="376"/>
      <c r="M309" s="376"/>
      <c r="N309" s="376"/>
      <c r="O309" s="376"/>
      <c r="P309" s="376"/>
      <c r="Q309" s="376"/>
      <c r="R309" s="376"/>
      <c r="S309" s="376"/>
      <c r="T309" s="376"/>
      <c r="U309" s="376"/>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43"/>
      <c r="CL309" s="43"/>
      <c r="CM309" s="43"/>
      <c r="CN309" s="43"/>
      <c r="CO309" s="43"/>
      <c r="CP309" s="376"/>
      <c r="CQ309" s="376"/>
      <c r="CR309" s="376"/>
      <c r="CS309" s="376"/>
      <c r="CT309" s="376"/>
      <c r="CU309" s="376"/>
      <c r="CV309" s="376"/>
      <c r="CW309" s="376"/>
      <c r="CX309" s="376"/>
      <c r="CY309" s="376"/>
      <c r="CZ309" s="376"/>
      <c r="DA309" s="376"/>
      <c r="DB309" s="376"/>
      <c r="DC309" s="376"/>
      <c r="DD309" s="376"/>
      <c r="DE309" s="376"/>
      <c r="DF309" s="376"/>
      <c r="DG309" s="376"/>
      <c r="DH309" s="376"/>
      <c r="DI309" s="376"/>
      <c r="DJ309" s="376"/>
      <c r="DK309" s="376"/>
      <c r="DL309" s="376"/>
      <c r="DM309" s="376"/>
      <c r="DN309" s="376"/>
      <c r="DO309" s="376"/>
      <c r="DP309" s="376"/>
      <c r="DQ309" s="376"/>
      <c r="DR309" s="376"/>
      <c r="DS309" s="376"/>
      <c r="DT309" s="376"/>
      <c r="DU309" s="376"/>
      <c r="DV309" s="376"/>
      <c r="DW309" s="376"/>
      <c r="DX309" s="376"/>
      <c r="DY309" s="376"/>
      <c r="DZ309" s="376"/>
      <c r="EA309" s="376"/>
      <c r="EB309" s="376"/>
      <c r="EC309" s="376"/>
      <c r="ED309" s="376"/>
      <c r="EE309" s="376"/>
      <c r="EF309" s="376"/>
      <c r="EG309" s="376"/>
      <c r="EH309" s="376"/>
      <c r="EI309" s="376"/>
      <c r="EJ309" s="376"/>
      <c r="EK309" s="376"/>
      <c r="EL309" s="376"/>
      <c r="EM309" s="376"/>
      <c r="EN309" s="376"/>
      <c r="EO309" s="376"/>
      <c r="EP309" s="376"/>
      <c r="EQ309" s="376"/>
      <c r="ER309" s="376"/>
      <c r="ES309" s="376"/>
      <c r="ET309" s="376"/>
      <c r="EU309" s="376"/>
      <c r="EV309" s="376"/>
      <c r="EW309" s="376"/>
      <c r="EX309" s="376"/>
      <c r="EY309" s="376"/>
      <c r="EZ309" s="376"/>
      <c r="FA309" s="43"/>
      <c r="FB309" s="43"/>
      <c r="FC309" s="43"/>
      <c r="FD309" s="43"/>
      <c r="FE309" s="43"/>
      <c r="FF309" s="43"/>
      <c r="FG309" s="43"/>
      <c r="FH309" s="43"/>
      <c r="FI309" s="79"/>
      <c r="FJ309" s="79"/>
      <c r="FK309" s="79"/>
      <c r="FL309" s="79"/>
      <c r="FM309" s="93"/>
      <c r="FN309" s="93"/>
      <c r="FO309" s="338"/>
      <c r="FP309" s="338"/>
      <c r="FQ309" s="338"/>
      <c r="FR309" s="338"/>
      <c r="FS309" s="338"/>
      <c r="FT309" s="338"/>
      <c r="FU309" s="338"/>
      <c r="FV309" s="338"/>
      <c r="FW309" s="338"/>
      <c r="FX309" s="338"/>
      <c r="FY309" s="32"/>
      <c r="FZ309" s="32"/>
      <c r="GA309" s="32"/>
      <c r="GB309" s="32"/>
      <c r="GC309" s="32"/>
      <c r="GD309" s="32"/>
      <c r="GE309" s="32"/>
      <c r="GF309" s="32"/>
      <c r="GG309" s="32"/>
      <c r="GH309" s="32"/>
      <c r="GI309" s="32"/>
      <c r="GJ309" s="32"/>
      <c r="GK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38"/>
      <c r="HO309" s="338"/>
      <c r="HP309" s="338"/>
      <c r="HQ309" s="13"/>
      <c r="HR309" s="13"/>
      <c r="HS309" s="13"/>
      <c r="HT309" s="13"/>
      <c r="HU309" s="13"/>
      <c r="HV309" s="13"/>
      <c r="HW309" s="13"/>
      <c r="HX309" s="13"/>
      <c r="HY309" s="13"/>
      <c r="HZ309" s="13"/>
      <c r="IA309" s="13"/>
    </row>
    <row r="310" spans="1:235" ht="8.25" customHeight="1">
      <c r="A310" s="1"/>
      <c r="B310" s="3"/>
      <c r="C310" s="3"/>
      <c r="D310" s="333"/>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c r="AA310" s="278"/>
      <c r="AB310" s="278"/>
      <c r="AC310" s="278"/>
      <c r="AD310" s="278"/>
      <c r="AE310" s="278"/>
      <c r="AF310" s="278"/>
      <c r="AG310" s="278"/>
      <c r="AH310" s="278"/>
      <c r="AI310" s="278"/>
      <c r="AJ310" s="278"/>
      <c r="AK310" s="278"/>
      <c r="AL310" s="278"/>
      <c r="AM310" s="278"/>
      <c r="AN310" s="278"/>
      <c r="AO310" s="278"/>
      <c r="AP310" s="278"/>
      <c r="AQ310" s="278"/>
      <c r="AR310" s="278"/>
      <c r="AS310" s="278"/>
      <c r="AT310" s="278"/>
      <c r="AU310" s="278"/>
      <c r="AV310" s="278"/>
      <c r="AW310" s="278"/>
      <c r="AX310" s="328"/>
      <c r="AY310" s="43"/>
      <c r="AZ310" s="41"/>
      <c r="BA310" s="41"/>
      <c r="BB310" s="41"/>
      <c r="BC310" s="41"/>
      <c r="BD310" s="42"/>
      <c r="BE310" s="41"/>
      <c r="BF310" s="41"/>
      <c r="BG310" s="41"/>
      <c r="BH310" s="41"/>
      <c r="BI310" s="41"/>
      <c r="BJ310" s="41"/>
      <c r="BK310" s="42"/>
      <c r="BL310" s="41"/>
      <c r="BM310" s="41"/>
      <c r="BN310" s="41"/>
      <c r="BO310" s="41"/>
      <c r="BP310" s="41"/>
      <c r="BQ310" s="41"/>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c r="DW310" s="43"/>
      <c r="DX310" s="43"/>
      <c r="DY310" s="43"/>
      <c r="DZ310" s="43"/>
      <c r="EA310" s="43"/>
      <c r="EB310" s="43"/>
      <c r="EC310" s="43"/>
      <c r="ED310" s="43"/>
      <c r="EE310" s="43"/>
      <c r="EF310" s="43"/>
      <c r="EG310" s="43"/>
      <c r="EH310" s="43"/>
      <c r="EI310" s="43"/>
      <c r="EJ310" s="43"/>
      <c r="EK310" s="43"/>
      <c r="EL310" s="43"/>
      <c r="EM310" s="43"/>
      <c r="EN310" s="43"/>
      <c r="EO310" s="43"/>
      <c r="EP310" s="43"/>
      <c r="EQ310" s="43"/>
      <c r="ER310" s="43"/>
      <c r="ES310" s="43"/>
      <c r="ET310" s="43"/>
      <c r="EU310" s="43"/>
      <c r="EV310" s="43"/>
      <c r="EW310" s="43"/>
      <c r="EX310" s="43"/>
      <c r="EY310" s="43"/>
      <c r="EZ310" s="43"/>
      <c r="FA310" s="43"/>
      <c r="FB310" s="43"/>
      <c r="FC310" s="43"/>
      <c r="FD310" s="43"/>
      <c r="FE310" s="43"/>
      <c r="FF310" s="43"/>
      <c r="FG310" s="43"/>
      <c r="FH310" s="43"/>
      <c r="FI310" s="43"/>
      <c r="FJ310" s="43"/>
      <c r="FK310" s="43"/>
      <c r="FL310" s="43"/>
      <c r="FM310" s="48"/>
      <c r="FN310" s="48"/>
      <c r="FO310" s="48"/>
      <c r="FP310" s="48"/>
      <c r="FQ310" s="48"/>
      <c r="FR310" s="49"/>
      <c r="FS310" s="49"/>
      <c r="FT310" s="49"/>
      <c r="FU310" s="49"/>
      <c r="FV310" s="49"/>
      <c r="FW310" s="49"/>
      <c r="FX310" s="49"/>
      <c r="FY310" s="32"/>
      <c r="FZ310" s="32"/>
      <c r="GA310" s="32"/>
      <c r="GB310" s="32"/>
      <c r="GC310" s="32"/>
      <c r="GD310" s="32"/>
      <c r="GE310" s="32"/>
      <c r="GF310" s="32"/>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78"/>
      <c r="HO310" s="78"/>
      <c r="HP310" s="78"/>
      <c r="HQ310" s="13"/>
      <c r="HR310" s="13"/>
      <c r="HS310" s="13"/>
      <c r="HT310" s="13"/>
      <c r="HU310" s="13"/>
      <c r="HV310" s="13"/>
      <c r="HW310" s="13"/>
      <c r="HX310" s="13"/>
      <c r="HY310" s="13"/>
      <c r="HZ310" s="13"/>
      <c r="IA310" s="13"/>
    </row>
    <row r="311" spans="1:235" ht="3.75" customHeight="1">
      <c r="A311" s="1"/>
      <c r="B311" s="3"/>
      <c r="C311" s="3"/>
      <c r="D311" s="333"/>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78"/>
      <c r="AE311" s="278"/>
      <c r="AF311" s="278"/>
      <c r="AG311" s="278"/>
      <c r="AH311" s="278"/>
      <c r="AI311" s="278"/>
      <c r="AJ311" s="278"/>
      <c r="AK311" s="278"/>
      <c r="AL311" s="278"/>
      <c r="AM311" s="278"/>
      <c r="AN311" s="278"/>
      <c r="AO311" s="278"/>
      <c r="AP311" s="278"/>
      <c r="AQ311" s="278"/>
      <c r="AR311" s="278"/>
      <c r="AS311" s="278"/>
      <c r="AT311" s="278"/>
      <c r="AU311" s="278"/>
      <c r="AV311" s="278"/>
      <c r="AW311" s="278"/>
      <c r="AX311" s="328"/>
      <c r="AY311" s="43"/>
      <c r="AZ311" s="41"/>
      <c r="BA311" s="41"/>
      <c r="BB311" s="41"/>
      <c r="BC311" s="41"/>
      <c r="BD311" s="42"/>
      <c r="BE311" s="41"/>
      <c r="BF311" s="41"/>
      <c r="BG311" s="41"/>
      <c r="BH311" s="41"/>
      <c r="BI311" s="41"/>
      <c r="BJ311" s="41"/>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c r="DM311" s="43"/>
      <c r="DN311" s="43"/>
      <c r="DO311" s="43"/>
      <c r="DP311" s="43"/>
      <c r="DQ311" s="43"/>
      <c r="DR311" s="43"/>
      <c r="DS311" s="43"/>
      <c r="DT311" s="43"/>
      <c r="DU311" s="43"/>
      <c r="DV311" s="43"/>
      <c r="DW311" s="43"/>
      <c r="DX311" s="43"/>
      <c r="DY311" s="43"/>
      <c r="DZ311" s="43"/>
      <c r="EA311" s="544" t="str">
        <f ca="1">IF(FO282=0,"",".")</f>
        <v/>
      </c>
      <c r="EB311" s="544"/>
      <c r="EC311" s="544"/>
      <c r="ED311" s="544"/>
      <c r="EE311" s="544"/>
      <c r="EF311" s="544"/>
      <c r="EG311" s="41"/>
      <c r="EH311" s="43"/>
      <c r="EI311" s="43"/>
      <c r="EJ311" s="43"/>
      <c r="EK311" s="43"/>
      <c r="EL311" s="43"/>
      <c r="EM311" s="43"/>
      <c r="EN311" s="43"/>
      <c r="EO311" s="43"/>
      <c r="EP311" s="43"/>
      <c r="EQ311" s="43"/>
      <c r="ER311" s="43"/>
      <c r="ES311" s="43"/>
      <c r="ET311" s="43"/>
      <c r="EU311" s="43"/>
      <c r="EV311" s="43"/>
      <c r="EW311" s="43"/>
      <c r="EX311" s="43"/>
      <c r="EY311" s="43"/>
      <c r="EZ311" s="43"/>
      <c r="FA311" s="43"/>
      <c r="FB311" s="43"/>
      <c r="FC311" s="43"/>
      <c r="FD311" s="43"/>
      <c r="FE311" s="43"/>
      <c r="FF311" s="43"/>
      <c r="FG311" s="43"/>
      <c r="FH311" s="43"/>
      <c r="FI311" s="43"/>
      <c r="FJ311" s="43"/>
      <c r="FK311" s="43"/>
      <c r="FL311" s="43"/>
      <c r="FM311" s="48"/>
      <c r="FN311" s="48"/>
      <c r="FO311" s="48"/>
      <c r="FP311" s="48"/>
      <c r="FQ311" s="48"/>
      <c r="FR311" s="49"/>
      <c r="FS311" s="49"/>
      <c r="FT311" s="49"/>
      <c r="FU311" s="49"/>
      <c r="FV311" s="49"/>
      <c r="FW311" s="49"/>
      <c r="FX311" s="49"/>
      <c r="FY311" s="32"/>
      <c r="FZ311" s="32"/>
      <c r="GA311" s="32"/>
      <c r="GB311" s="32"/>
      <c r="GC311" s="32"/>
      <c r="GD311" s="32"/>
      <c r="GE311" s="32"/>
      <c r="GF311" s="32"/>
      <c r="GG311" s="32"/>
      <c r="GH311" s="32"/>
      <c r="GI311" s="32"/>
      <c r="GJ311" s="32"/>
      <c r="GK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78"/>
      <c r="HO311" s="78"/>
      <c r="HP311" s="78"/>
      <c r="HQ311" s="13"/>
      <c r="HR311" s="13"/>
      <c r="HS311" s="13"/>
      <c r="HT311" s="13"/>
      <c r="HU311" s="13"/>
      <c r="HV311" s="13"/>
      <c r="HW311" s="13"/>
      <c r="HX311" s="13"/>
      <c r="HY311" s="13"/>
      <c r="HZ311" s="13"/>
      <c r="IA311" s="13"/>
    </row>
    <row r="312" spans="1:235" ht="16.5" customHeight="1">
      <c r="A312" s="1"/>
      <c r="B312" s="3"/>
      <c r="C312" s="3"/>
      <c r="D312" s="351"/>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78"/>
      <c r="AE312" s="278"/>
      <c r="AF312" s="278"/>
      <c r="AG312" s="278"/>
      <c r="AH312" s="278"/>
      <c r="AI312" s="278"/>
      <c r="AJ312" s="278"/>
      <c r="AK312" s="278"/>
      <c r="AL312" s="278"/>
      <c r="AM312" s="278"/>
      <c r="AN312" s="278"/>
      <c r="AO312" s="278"/>
      <c r="AP312" s="278"/>
      <c r="AQ312" s="278"/>
      <c r="AR312" s="278"/>
      <c r="AS312" s="278"/>
      <c r="AT312" s="278"/>
      <c r="AU312" s="278"/>
      <c r="AV312" s="278"/>
      <c r="AW312" s="278"/>
      <c r="AX312" s="328"/>
      <c r="AY312" s="43"/>
      <c r="AZ312" s="41"/>
      <c r="BA312" s="41"/>
      <c r="BB312" s="41"/>
      <c r="BC312" s="41"/>
      <c r="BD312" s="42"/>
      <c r="BE312" s="41"/>
      <c r="BF312" s="41"/>
      <c r="BG312" s="41"/>
      <c r="BH312" s="41"/>
      <c r="BI312" s="41"/>
      <c r="BJ312" s="330"/>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c r="DU312" s="43"/>
      <c r="DV312" s="43"/>
      <c r="DW312" s="43"/>
      <c r="DX312" s="43"/>
      <c r="DY312" s="182" t="str">
        <f ca="1">IF(FO282=0,"","De situatie waarbij de oligopolisten elkaar fel beconcurreren:")</f>
        <v/>
      </c>
      <c r="DZ312" s="43"/>
      <c r="EA312" s="330" t="str">
        <f ca="1">IF(FO282=0,"",".")</f>
        <v/>
      </c>
      <c r="EB312" s="706"/>
      <c r="EC312" s="706"/>
      <c r="ED312" s="706"/>
      <c r="EE312" s="706"/>
      <c r="EF312" s="330" t="str">
        <f ca="1">IF(FO282=0,"",".")</f>
        <v/>
      </c>
      <c r="EG312" s="41"/>
      <c r="EH312" s="43"/>
      <c r="EI312" s="43"/>
      <c r="EJ312" s="43"/>
      <c r="EK312" s="43"/>
      <c r="EL312" s="43"/>
      <c r="EM312" s="43"/>
      <c r="EN312" s="43"/>
      <c r="EO312" s="43"/>
      <c r="EP312" s="43"/>
      <c r="EQ312" s="43"/>
      <c r="ER312" s="43"/>
      <c r="ES312" s="43"/>
      <c r="ET312" s="43"/>
      <c r="EU312" s="43"/>
      <c r="EV312" s="43"/>
      <c r="EW312" s="43"/>
      <c r="EX312" s="43"/>
      <c r="EY312" s="43"/>
      <c r="EZ312" s="43"/>
      <c r="FA312" s="43"/>
      <c r="FB312" s="43"/>
      <c r="FC312" s="43"/>
      <c r="FD312" s="43"/>
      <c r="FE312" s="43"/>
      <c r="FF312" s="43"/>
      <c r="FG312" s="43"/>
      <c r="FH312" s="43"/>
      <c r="FI312" s="43"/>
      <c r="FJ312" s="43"/>
      <c r="FK312" s="43"/>
      <c r="FL312" s="43"/>
      <c r="FM312" s="48"/>
      <c r="FN312" s="48"/>
      <c r="FO312" s="48">
        <f>IF(EB312=FR320,1,0)</f>
        <v>0</v>
      </c>
      <c r="FP312" s="448" t="str">
        <f ca="1">IF(FO1=0,"",FR320)</f>
        <v>B</v>
      </c>
      <c r="FQ312" s="48"/>
      <c r="FR312" s="49"/>
      <c r="FS312" s="49"/>
      <c r="FT312" s="49"/>
      <c r="FU312" s="49"/>
      <c r="FV312" s="49"/>
      <c r="FW312" s="49"/>
      <c r="FX312" s="49"/>
      <c r="FY312" s="32"/>
      <c r="FZ312" s="32"/>
      <c r="GA312" s="32"/>
      <c r="GB312" s="32"/>
      <c r="GC312" s="32"/>
      <c r="GD312" s="32"/>
      <c r="GE312" s="32"/>
      <c r="GF312" s="32"/>
      <c r="GG312" s="32"/>
      <c r="GH312" s="32"/>
      <c r="GI312" s="32"/>
      <c r="GJ312" s="32"/>
      <c r="GK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78"/>
      <c r="HO312" s="78"/>
      <c r="HP312" s="78"/>
      <c r="HQ312" s="13"/>
      <c r="HR312" s="13"/>
      <c r="HS312" s="13"/>
      <c r="HT312" s="13"/>
      <c r="HU312" s="13"/>
      <c r="HV312" s="13"/>
      <c r="HW312" s="13"/>
      <c r="HX312" s="13"/>
      <c r="HY312" s="13"/>
      <c r="HZ312" s="13"/>
      <c r="IA312" s="13"/>
    </row>
    <row r="313" spans="1:235" ht="3.75" customHeight="1">
      <c r="A313" s="1"/>
      <c r="B313" s="3"/>
      <c r="C313" s="3"/>
      <c r="D313" s="351"/>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278"/>
      <c r="AE313" s="278"/>
      <c r="AF313" s="278"/>
      <c r="AG313" s="278"/>
      <c r="AH313" s="278"/>
      <c r="AI313" s="278"/>
      <c r="AJ313" s="278"/>
      <c r="AK313" s="278"/>
      <c r="AL313" s="278"/>
      <c r="AM313" s="278"/>
      <c r="AN313" s="278"/>
      <c r="AO313" s="278"/>
      <c r="AP313" s="278"/>
      <c r="AQ313" s="278"/>
      <c r="AR313" s="278"/>
      <c r="AS313" s="278"/>
      <c r="AT313" s="278"/>
      <c r="AU313" s="278"/>
      <c r="AV313" s="278"/>
      <c r="AW313" s="278"/>
      <c r="AX313" s="328"/>
      <c r="AY313" s="43"/>
      <c r="AZ313" s="41"/>
      <c r="BA313" s="41"/>
      <c r="BB313" s="41"/>
      <c r="BC313" s="41"/>
      <c r="BD313" s="42"/>
      <c r="BE313" s="41"/>
      <c r="BF313" s="41"/>
      <c r="BG313" s="41"/>
      <c r="BH313" s="41"/>
      <c r="BI313" s="41"/>
      <c r="BJ313" s="41"/>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c r="DM313" s="43"/>
      <c r="DN313" s="43"/>
      <c r="DO313" s="43"/>
      <c r="DP313" s="43"/>
      <c r="DQ313" s="43"/>
      <c r="DR313" s="43"/>
      <c r="DS313" s="43"/>
      <c r="DT313" s="43"/>
      <c r="DU313" s="43"/>
      <c r="DV313" s="43"/>
      <c r="DW313" s="43"/>
      <c r="DX313" s="43"/>
      <c r="DY313" s="182"/>
      <c r="DZ313" s="43"/>
      <c r="EA313" s="544" t="str">
        <f ca="1">IF(FO282=0,"",".")</f>
        <v/>
      </c>
      <c r="EB313" s="544"/>
      <c r="EC313" s="544"/>
      <c r="ED313" s="544"/>
      <c r="EE313" s="544"/>
      <c r="EF313" s="544"/>
      <c r="EG313" s="41"/>
      <c r="EH313" s="43"/>
      <c r="EI313" s="43"/>
      <c r="EJ313" s="43"/>
      <c r="EK313" s="43"/>
      <c r="EL313" s="43"/>
      <c r="EM313" s="43"/>
      <c r="EN313" s="43"/>
      <c r="EO313" s="43"/>
      <c r="EP313" s="43"/>
      <c r="EQ313" s="43"/>
      <c r="ER313" s="43"/>
      <c r="ES313" s="43"/>
      <c r="ET313" s="43"/>
      <c r="EU313" s="43"/>
      <c r="EV313" s="43"/>
      <c r="EW313" s="43"/>
      <c r="EX313" s="43"/>
      <c r="EY313" s="43"/>
      <c r="EZ313" s="43"/>
      <c r="FA313" s="43"/>
      <c r="FB313" s="43"/>
      <c r="FC313" s="43"/>
      <c r="FD313" s="43"/>
      <c r="FE313" s="43"/>
      <c r="FF313" s="43"/>
      <c r="FG313" s="43"/>
      <c r="FH313" s="43"/>
      <c r="FI313" s="43"/>
      <c r="FJ313" s="43"/>
      <c r="FK313" s="43"/>
      <c r="FL313" s="43"/>
      <c r="FM313" s="48"/>
      <c r="FN313" s="48"/>
      <c r="FO313" s="48"/>
      <c r="FP313" s="48"/>
      <c r="FQ313" s="48"/>
      <c r="FR313" s="49"/>
      <c r="FS313" s="49"/>
      <c r="FT313" s="49"/>
      <c r="FU313" s="49"/>
      <c r="FV313" s="49"/>
      <c r="FW313" s="49"/>
      <c r="FX313" s="49"/>
      <c r="FY313" s="32"/>
      <c r="FZ313" s="32"/>
      <c r="GA313" s="32"/>
      <c r="GB313" s="32"/>
      <c r="GC313" s="32"/>
      <c r="GD313" s="32"/>
      <c r="GE313" s="32"/>
      <c r="GF313" s="32"/>
      <c r="GG313" s="32"/>
      <c r="GH313" s="32"/>
      <c r="GI313" s="32"/>
      <c r="GJ313" s="32"/>
      <c r="GK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78"/>
      <c r="HO313" s="78"/>
      <c r="HP313" s="78"/>
      <c r="HQ313" s="13"/>
      <c r="HR313" s="13"/>
      <c r="HS313" s="13"/>
      <c r="HT313" s="13"/>
      <c r="HU313" s="13"/>
      <c r="HV313" s="13"/>
      <c r="HW313" s="13"/>
      <c r="HX313" s="13"/>
      <c r="HY313" s="13"/>
      <c r="HZ313" s="13"/>
      <c r="IA313" s="13"/>
    </row>
    <row r="314" spans="1:235" ht="9.75" customHeight="1">
      <c r="A314" s="1"/>
      <c r="B314" s="3"/>
      <c r="C314" s="3"/>
      <c r="D314" s="351"/>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c r="AA314" s="278"/>
      <c r="AB314" s="278"/>
      <c r="AC314" s="278"/>
      <c r="AD314" s="278"/>
      <c r="AE314" s="278"/>
      <c r="AF314" s="278"/>
      <c r="AG314" s="278"/>
      <c r="AH314" s="278"/>
      <c r="AI314" s="278"/>
      <c r="AJ314" s="278"/>
      <c r="AK314" s="278"/>
      <c r="AL314" s="278"/>
      <c r="AM314" s="278"/>
      <c r="AN314" s="278"/>
      <c r="AO314" s="278"/>
      <c r="AP314" s="278"/>
      <c r="AQ314" s="278"/>
      <c r="AR314" s="278"/>
      <c r="AS314" s="278"/>
      <c r="AT314" s="278"/>
      <c r="AU314" s="278"/>
      <c r="AV314" s="278"/>
      <c r="AW314" s="278"/>
      <c r="AX314" s="328"/>
      <c r="AY314" s="43"/>
      <c r="AZ314" s="41"/>
      <c r="BA314" s="41"/>
      <c r="BB314" s="41"/>
      <c r="BC314" s="41"/>
      <c r="BD314" s="42"/>
      <c r="BE314" s="41"/>
      <c r="BF314" s="41"/>
      <c r="BG314" s="41"/>
      <c r="BH314" s="41"/>
      <c r="BI314" s="41"/>
      <c r="BJ314" s="41"/>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c r="DM314" s="43"/>
      <c r="DN314" s="43"/>
      <c r="DO314" s="43"/>
      <c r="DP314" s="43"/>
      <c r="DQ314" s="43"/>
      <c r="DR314" s="43"/>
      <c r="DS314" s="43"/>
      <c r="DT314" s="43"/>
      <c r="DU314" s="43"/>
      <c r="DV314" s="43"/>
      <c r="DW314" s="43"/>
      <c r="DX314" s="43"/>
      <c r="DY314" s="182"/>
      <c r="DZ314" s="43"/>
      <c r="EA314" s="42"/>
      <c r="EB314" s="41"/>
      <c r="EC314" s="41"/>
      <c r="ED314" s="41"/>
      <c r="EE314" s="41"/>
      <c r="EF314" s="41"/>
      <c r="EG314" s="41"/>
      <c r="EH314" s="43"/>
      <c r="EI314" s="43"/>
      <c r="EJ314" s="43"/>
      <c r="EK314" s="43"/>
      <c r="EL314" s="43"/>
      <c r="EM314" s="43"/>
      <c r="EN314" s="43"/>
      <c r="EO314" s="43"/>
      <c r="EP314" s="43"/>
      <c r="EQ314" s="43"/>
      <c r="ER314" s="43"/>
      <c r="ES314" s="43"/>
      <c r="ET314" s="43"/>
      <c r="EU314" s="43"/>
      <c r="EV314" s="43"/>
      <c r="EW314" s="43"/>
      <c r="EX314" s="43"/>
      <c r="EY314" s="43"/>
      <c r="EZ314" s="43"/>
      <c r="FA314" s="43"/>
      <c r="FB314" s="43"/>
      <c r="FC314" s="43"/>
      <c r="FD314" s="43"/>
      <c r="FE314" s="43"/>
      <c r="FF314" s="43"/>
      <c r="FG314" s="43"/>
      <c r="FH314" s="43"/>
      <c r="FI314" s="43"/>
      <c r="FJ314" s="43"/>
      <c r="FK314" s="43"/>
      <c r="FL314" s="43"/>
      <c r="FM314" s="48"/>
      <c r="FN314" s="48"/>
      <c r="FO314" s="48"/>
      <c r="FP314" s="48"/>
      <c r="FQ314" s="48"/>
      <c r="FR314" s="49"/>
      <c r="FS314" s="49"/>
      <c r="FT314" s="49"/>
      <c r="FU314" s="49"/>
      <c r="FV314" s="49"/>
      <c r="FW314" s="49"/>
      <c r="FX314" s="49"/>
      <c r="FY314" s="32"/>
      <c r="FZ314" s="32"/>
      <c r="GA314" s="32"/>
      <c r="GB314" s="32"/>
      <c r="GC314" s="32"/>
      <c r="GD314" s="32"/>
      <c r="GE314" s="32"/>
      <c r="GF314" s="32"/>
      <c r="GG314" s="32"/>
      <c r="GH314" s="32"/>
      <c r="GI314" s="32"/>
      <c r="GJ314" s="32"/>
      <c r="GK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78"/>
      <c r="HO314" s="78"/>
      <c r="HP314" s="78"/>
      <c r="HQ314" s="13"/>
      <c r="HR314" s="13"/>
      <c r="HS314" s="13"/>
      <c r="HT314" s="13"/>
      <c r="HU314" s="13"/>
      <c r="HV314" s="13"/>
      <c r="HW314" s="13"/>
      <c r="HX314" s="13"/>
      <c r="HY314" s="13"/>
      <c r="HZ314" s="13"/>
      <c r="IA314" s="13"/>
    </row>
    <row r="315" spans="1:235" ht="3.75" customHeight="1">
      <c r="A315" s="1"/>
      <c r="B315" s="3"/>
      <c r="C315" s="3"/>
      <c r="D315" s="351"/>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278"/>
      <c r="AE315" s="278"/>
      <c r="AF315" s="278"/>
      <c r="AG315" s="278"/>
      <c r="AH315" s="278"/>
      <c r="AI315" s="278"/>
      <c r="AJ315" s="278"/>
      <c r="AK315" s="278"/>
      <c r="AL315" s="278"/>
      <c r="AM315" s="278"/>
      <c r="AN315" s="278"/>
      <c r="AO315" s="278"/>
      <c r="AP315" s="278"/>
      <c r="AQ315" s="278"/>
      <c r="AR315" s="278"/>
      <c r="AS315" s="278"/>
      <c r="AT315" s="278"/>
      <c r="AU315" s="278"/>
      <c r="AV315" s="278"/>
      <c r="AW315" s="278"/>
      <c r="AX315" s="328"/>
      <c r="AY315" s="43"/>
      <c r="AZ315" s="41"/>
      <c r="BA315" s="41"/>
      <c r="BB315" s="41"/>
      <c r="BC315" s="41"/>
      <c r="BD315" s="42"/>
      <c r="BE315" s="41"/>
      <c r="BF315" s="41"/>
      <c r="BG315" s="41"/>
      <c r="BH315" s="41"/>
      <c r="BI315" s="41"/>
      <c r="BJ315" s="41"/>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182"/>
      <c r="DZ315" s="43"/>
      <c r="EA315" s="544" t="str">
        <f ca="1">IF(FO282=0,"",".")</f>
        <v/>
      </c>
      <c r="EB315" s="544"/>
      <c r="EC315" s="544"/>
      <c r="ED315" s="544"/>
      <c r="EE315" s="544"/>
      <c r="EF315" s="544"/>
      <c r="EG315" s="41"/>
      <c r="EH315" s="43"/>
      <c r="EI315" s="43"/>
      <c r="EJ315" s="43"/>
      <c r="EK315" s="43"/>
      <c r="EL315" s="43"/>
      <c r="EM315" s="43"/>
      <c r="EN315" s="43"/>
      <c r="EO315" s="43"/>
      <c r="EP315" s="43"/>
      <c r="EQ315" s="43"/>
      <c r="ER315" s="43"/>
      <c r="ES315" s="43"/>
      <c r="ET315" s="43"/>
      <c r="EU315" s="43"/>
      <c r="EV315" s="43"/>
      <c r="EW315" s="43"/>
      <c r="EX315" s="43"/>
      <c r="EY315" s="43"/>
      <c r="EZ315" s="43"/>
      <c r="FA315" s="43"/>
      <c r="FB315" s="43"/>
      <c r="FC315" s="43"/>
      <c r="FD315" s="43"/>
      <c r="FE315" s="43"/>
      <c r="FF315" s="43"/>
      <c r="FG315" s="43"/>
      <c r="FH315" s="43"/>
      <c r="FI315" s="43"/>
      <c r="FJ315" s="43"/>
      <c r="FK315" s="43"/>
      <c r="FL315" s="43"/>
      <c r="FM315" s="48"/>
      <c r="FN315" s="48"/>
      <c r="FO315" s="48"/>
      <c r="FP315" s="48"/>
      <c r="FQ315" s="48"/>
      <c r="FR315" s="49"/>
      <c r="FS315" s="49"/>
      <c r="FT315" s="49"/>
      <c r="FU315" s="49"/>
      <c r="FV315" s="49"/>
      <c r="FW315" s="49"/>
      <c r="FX315" s="49"/>
      <c r="FY315" s="32"/>
      <c r="FZ315" s="32"/>
      <c r="GA315" s="32"/>
      <c r="GB315" s="32"/>
      <c r="GC315" s="32"/>
      <c r="GD315" s="32"/>
      <c r="GE315" s="32"/>
      <c r="GF315" s="32"/>
      <c r="GG315" s="32"/>
      <c r="GH315" s="32"/>
      <c r="GI315" s="32"/>
      <c r="GJ315" s="32"/>
      <c r="GK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78"/>
      <c r="HO315" s="78"/>
      <c r="HP315" s="78"/>
      <c r="HQ315" s="13"/>
      <c r="HR315" s="13"/>
      <c r="HS315" s="13"/>
      <c r="HT315" s="13"/>
      <c r="HU315" s="13"/>
      <c r="HV315" s="13"/>
      <c r="HW315" s="13"/>
      <c r="HX315" s="13"/>
      <c r="HY315" s="13"/>
      <c r="HZ315" s="13"/>
      <c r="IA315" s="13"/>
    </row>
    <row r="316" spans="1:235" ht="16.5" customHeight="1">
      <c r="A316" s="1"/>
      <c r="B316" s="3"/>
      <c r="C316" s="3"/>
      <c r="D316" s="351"/>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78"/>
      <c r="AE316" s="278"/>
      <c r="AF316" s="278"/>
      <c r="AG316" s="278"/>
      <c r="AH316" s="278"/>
      <c r="AI316" s="278"/>
      <c r="AJ316" s="278"/>
      <c r="AK316" s="278"/>
      <c r="AL316" s="278"/>
      <c r="AM316" s="278"/>
      <c r="AN316" s="278"/>
      <c r="AO316" s="278"/>
      <c r="AP316" s="278"/>
      <c r="AQ316" s="278"/>
      <c r="AR316" s="278"/>
      <c r="AS316" s="278"/>
      <c r="AT316" s="278"/>
      <c r="AU316" s="278"/>
      <c r="AV316" s="278"/>
      <c r="AW316" s="278"/>
      <c r="AX316" s="328"/>
      <c r="AY316" s="43"/>
      <c r="AZ316" s="41"/>
      <c r="BA316" s="41"/>
      <c r="BB316" s="41"/>
      <c r="BC316" s="41"/>
      <c r="BD316" s="42"/>
      <c r="BE316" s="41"/>
      <c r="BF316" s="41"/>
      <c r="BG316" s="41"/>
      <c r="BH316" s="41"/>
      <c r="BI316" s="41"/>
      <c r="BJ316" s="41"/>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43"/>
      <c r="DV316" s="43"/>
      <c r="DW316" s="43"/>
      <c r="DX316" s="43"/>
      <c r="DY316" s="182" t="str">
        <f ca="1">IF(FO282=0,"","De situatie waarbij de oligopolisten hebben afgesproken maximale omzet te bereiken:")</f>
        <v/>
      </c>
      <c r="DZ316" s="43"/>
      <c r="EA316" s="330" t="str">
        <f ca="1">IF(FO282=0,"",".")</f>
        <v/>
      </c>
      <c r="EB316" s="706"/>
      <c r="EC316" s="706"/>
      <c r="ED316" s="706"/>
      <c r="EE316" s="706"/>
      <c r="EF316" s="330" t="str">
        <f ca="1">IF(FO282=0,"",".")</f>
        <v/>
      </c>
      <c r="EG316" s="41"/>
      <c r="EH316" s="43"/>
      <c r="EI316" s="43"/>
      <c r="EJ316" s="43"/>
      <c r="EK316" s="43"/>
      <c r="EL316" s="43"/>
      <c r="EM316" s="43"/>
      <c r="EN316" s="43"/>
      <c r="EO316" s="43"/>
      <c r="EP316" s="43"/>
      <c r="EQ316" s="43"/>
      <c r="ER316" s="43"/>
      <c r="ES316" s="43"/>
      <c r="ET316" s="43"/>
      <c r="EU316" s="43"/>
      <c r="EV316" s="43"/>
      <c r="EW316" s="43"/>
      <c r="EX316" s="43"/>
      <c r="EY316" s="43"/>
      <c r="EZ316" s="43"/>
      <c r="FA316" s="43"/>
      <c r="FB316" s="43"/>
      <c r="FC316" s="43"/>
      <c r="FD316" s="43"/>
      <c r="FE316" s="43"/>
      <c r="FF316" s="43"/>
      <c r="FG316" s="43"/>
      <c r="FH316" s="43"/>
      <c r="FI316" s="43"/>
      <c r="FJ316" s="43"/>
      <c r="FK316" s="43"/>
      <c r="FL316" s="43"/>
      <c r="FM316" s="48"/>
      <c r="FN316" s="48"/>
      <c r="FO316" s="48">
        <f>IF(EB316=FS320,1,0)</f>
        <v>0</v>
      </c>
      <c r="FP316" s="448" t="str">
        <f ca="1">IF(FO1=0,"",FS320)</f>
        <v>C</v>
      </c>
      <c r="FQ316" s="48"/>
      <c r="FR316" s="49"/>
      <c r="FS316" s="49"/>
      <c r="FT316" s="49"/>
      <c r="FU316" s="49"/>
      <c r="FV316" s="49"/>
      <c r="FW316" s="49"/>
      <c r="FX316" s="49"/>
      <c r="FY316" s="32"/>
      <c r="FZ316" s="32"/>
      <c r="GA316" s="32"/>
      <c r="GB316" s="32"/>
      <c r="GC316" s="32"/>
      <c r="GD316" s="32"/>
      <c r="GE316" s="32"/>
      <c r="GF316" s="32"/>
      <c r="GG316" s="32"/>
      <c r="GH316" s="32"/>
      <c r="GI316" s="32"/>
      <c r="GJ316" s="32"/>
      <c r="GK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78"/>
      <c r="HO316" s="78"/>
      <c r="HP316" s="78"/>
      <c r="HQ316" s="13"/>
      <c r="HR316" s="13"/>
      <c r="HS316" s="13"/>
      <c r="HT316" s="13"/>
      <c r="HU316" s="13"/>
      <c r="HV316" s="13"/>
      <c r="HW316" s="13"/>
      <c r="HX316" s="13"/>
      <c r="HY316" s="13"/>
      <c r="HZ316" s="13"/>
      <c r="IA316" s="13"/>
    </row>
    <row r="317" spans="1:235" ht="3.75" customHeight="1">
      <c r="A317" s="1"/>
      <c r="B317" s="3"/>
      <c r="C317" s="3"/>
      <c r="D317" s="351"/>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278"/>
      <c r="AE317" s="278"/>
      <c r="AF317" s="278"/>
      <c r="AG317" s="278"/>
      <c r="AH317" s="278"/>
      <c r="AI317" s="278"/>
      <c r="AJ317" s="278"/>
      <c r="AK317" s="278"/>
      <c r="AL317" s="278"/>
      <c r="AM317" s="278"/>
      <c r="AN317" s="278"/>
      <c r="AO317" s="278"/>
      <c r="AP317" s="278"/>
      <c r="AQ317" s="278"/>
      <c r="AR317" s="278"/>
      <c r="AS317" s="278"/>
      <c r="AT317" s="278"/>
      <c r="AU317" s="278"/>
      <c r="AV317" s="278"/>
      <c r="AW317" s="278"/>
      <c r="AX317" s="328"/>
      <c r="AY317" s="43"/>
      <c r="AZ317" s="41"/>
      <c r="BA317" s="41"/>
      <c r="BB317" s="41"/>
      <c r="BC317" s="41"/>
      <c r="BD317" s="42"/>
      <c r="BE317" s="41"/>
      <c r="BF317" s="41"/>
      <c r="BG317" s="41"/>
      <c r="BH317" s="41"/>
      <c r="BI317" s="41"/>
      <c r="BJ317" s="41"/>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182"/>
      <c r="DZ317" s="43"/>
      <c r="EA317" s="544" t="str">
        <f ca="1">IF(FO282=0,"",".")</f>
        <v/>
      </c>
      <c r="EB317" s="544"/>
      <c r="EC317" s="544"/>
      <c r="ED317" s="544"/>
      <c r="EE317" s="544"/>
      <c r="EF317" s="544"/>
      <c r="EG317" s="41"/>
      <c r="EH317" s="43"/>
      <c r="EI317" s="43"/>
      <c r="EJ317" s="43"/>
      <c r="EK317" s="43"/>
      <c r="EL317" s="43"/>
      <c r="EM317" s="43"/>
      <c r="EN317" s="43"/>
      <c r="EO317" s="43"/>
      <c r="EP317" s="43"/>
      <c r="EQ317" s="43"/>
      <c r="ER317" s="43"/>
      <c r="ES317" s="43"/>
      <c r="ET317" s="43"/>
      <c r="EU317" s="43"/>
      <c r="EV317" s="43"/>
      <c r="EW317" s="43"/>
      <c r="EX317" s="43"/>
      <c r="EY317" s="43"/>
      <c r="EZ317" s="43"/>
      <c r="FA317" s="43"/>
      <c r="FB317" s="43"/>
      <c r="FC317" s="43"/>
      <c r="FD317" s="43"/>
      <c r="FE317" s="43"/>
      <c r="FF317" s="43"/>
      <c r="FG317" s="43"/>
      <c r="FH317" s="43"/>
      <c r="FI317" s="43"/>
      <c r="FJ317" s="43"/>
      <c r="FK317" s="43"/>
      <c r="FL317" s="43"/>
      <c r="FM317" s="48"/>
      <c r="FN317" s="48"/>
      <c r="FO317" s="48"/>
      <c r="FP317" s="48"/>
      <c r="FQ317" s="48"/>
      <c r="FR317" s="49"/>
      <c r="FS317" s="49"/>
      <c r="FT317" s="49"/>
      <c r="FU317" s="49"/>
      <c r="FV317" s="49"/>
      <c r="FW317" s="49"/>
      <c r="FX317" s="49"/>
      <c r="FY317" s="32"/>
      <c r="FZ317" s="32"/>
      <c r="GA317" s="32"/>
      <c r="GB317" s="32"/>
      <c r="GC317" s="32"/>
      <c r="GD317" s="32"/>
      <c r="GE317" s="32"/>
      <c r="GF317" s="32"/>
      <c r="GG317" s="32"/>
      <c r="GH317" s="32"/>
      <c r="GI317" s="32"/>
      <c r="GJ317" s="32"/>
      <c r="GK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78"/>
      <c r="HO317" s="78"/>
      <c r="HP317" s="78"/>
      <c r="HQ317" s="13"/>
      <c r="HR317" s="13"/>
      <c r="HS317" s="13"/>
      <c r="HT317" s="13"/>
      <c r="HU317" s="13"/>
      <c r="HV317" s="13"/>
      <c r="HW317" s="13"/>
      <c r="HX317" s="13"/>
      <c r="HY317" s="13"/>
      <c r="HZ317" s="13"/>
      <c r="IA317" s="13"/>
    </row>
    <row r="318" spans="1:235" ht="9.75" customHeight="1">
      <c r="A318" s="1"/>
      <c r="B318" s="3"/>
      <c r="C318" s="3"/>
      <c r="D318" s="351"/>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c r="AA318" s="278"/>
      <c r="AB318" s="278"/>
      <c r="AC318" s="278"/>
      <c r="AD318" s="278"/>
      <c r="AE318" s="278"/>
      <c r="AF318" s="278"/>
      <c r="AG318" s="278"/>
      <c r="AH318" s="278"/>
      <c r="AI318" s="278"/>
      <c r="AJ318" s="278"/>
      <c r="AK318" s="278"/>
      <c r="AL318" s="278"/>
      <c r="AM318" s="278"/>
      <c r="AN318" s="278"/>
      <c r="AO318" s="278"/>
      <c r="AP318" s="278"/>
      <c r="AQ318" s="278"/>
      <c r="AR318" s="278"/>
      <c r="AS318" s="278"/>
      <c r="AT318" s="278"/>
      <c r="AU318" s="278"/>
      <c r="AV318" s="278"/>
      <c r="AW318" s="278"/>
      <c r="AX318" s="328"/>
      <c r="AY318" s="43"/>
      <c r="AZ318" s="41"/>
      <c r="BA318" s="41"/>
      <c r="BB318" s="41"/>
      <c r="BC318" s="41"/>
      <c r="BD318" s="42"/>
      <c r="BE318" s="41"/>
      <c r="BF318" s="41"/>
      <c r="BG318" s="41"/>
      <c r="BH318" s="41"/>
      <c r="BI318" s="41"/>
      <c r="BJ318" s="41"/>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c r="DK318" s="43"/>
      <c r="DL318" s="43"/>
      <c r="DM318" s="43"/>
      <c r="DN318" s="43"/>
      <c r="DO318" s="43"/>
      <c r="DP318" s="43"/>
      <c r="DQ318" s="43"/>
      <c r="DR318" s="43"/>
      <c r="DS318" s="43"/>
      <c r="DT318" s="43"/>
      <c r="DU318" s="43"/>
      <c r="DV318" s="43"/>
      <c r="DW318" s="43"/>
      <c r="DX318" s="43"/>
      <c r="DY318" s="182"/>
      <c r="DZ318" s="43"/>
      <c r="EA318" s="42"/>
      <c r="EB318" s="41"/>
      <c r="EC318" s="41"/>
      <c r="ED318" s="41"/>
      <c r="EE318" s="41"/>
      <c r="EF318" s="41"/>
      <c r="EG318" s="41"/>
      <c r="EH318" s="43"/>
      <c r="EI318" s="43"/>
      <c r="EJ318" s="43"/>
      <c r="EK318" s="43"/>
      <c r="EL318" s="43"/>
      <c r="EM318" s="43"/>
      <c r="EN318" s="43"/>
      <c r="EO318" s="43"/>
      <c r="EP318" s="43"/>
      <c r="EQ318" s="43"/>
      <c r="ER318" s="43"/>
      <c r="ES318" s="43"/>
      <c r="ET318" s="43"/>
      <c r="EU318" s="43"/>
      <c r="EV318" s="43"/>
      <c r="EW318" s="43"/>
      <c r="EX318" s="43"/>
      <c r="EY318" s="43"/>
      <c r="EZ318" s="43"/>
      <c r="FA318" s="43"/>
      <c r="FB318" s="43"/>
      <c r="FC318" s="43"/>
      <c r="FD318" s="43"/>
      <c r="FE318" s="43"/>
      <c r="FF318" s="43"/>
      <c r="FG318" s="43"/>
      <c r="FH318" s="43"/>
      <c r="FI318" s="43"/>
      <c r="FJ318" s="43"/>
      <c r="FK318" s="43"/>
      <c r="FL318" s="43"/>
      <c r="FM318" s="48"/>
      <c r="FN318" s="48"/>
      <c r="FO318" s="48"/>
      <c r="FP318" s="48"/>
      <c r="FQ318" s="48"/>
      <c r="FR318" s="49"/>
      <c r="FS318" s="49"/>
      <c r="FT318" s="49"/>
      <c r="FU318" s="49"/>
      <c r="FV318" s="49"/>
      <c r="FW318" s="49"/>
      <c r="FX318" s="49"/>
      <c r="FY318" s="32"/>
      <c r="FZ318" s="32"/>
      <c r="GA318" s="32"/>
      <c r="GB318" s="32"/>
      <c r="GC318" s="32"/>
      <c r="GD318" s="32"/>
      <c r="GE318" s="32"/>
      <c r="GF318" s="32"/>
      <c r="GG318" s="32"/>
      <c r="GH318" s="32"/>
      <c r="GI318" s="32"/>
      <c r="GJ318" s="32"/>
      <c r="GK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78"/>
      <c r="HO318" s="78"/>
      <c r="HP318" s="78"/>
      <c r="HQ318" s="13"/>
      <c r="HR318" s="13"/>
      <c r="HS318" s="13"/>
      <c r="HT318" s="13"/>
      <c r="HU318" s="13"/>
      <c r="HV318" s="13"/>
      <c r="HW318" s="13"/>
      <c r="HX318" s="13"/>
      <c r="HY318" s="13"/>
      <c r="HZ318" s="13"/>
      <c r="IA318" s="13"/>
    </row>
    <row r="319" spans="1:235" ht="3.75" customHeight="1">
      <c r="A319" s="1"/>
      <c r="B319" s="3"/>
      <c r="C319" s="3"/>
      <c r="D319" s="351"/>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c r="AA319" s="278"/>
      <c r="AB319" s="278"/>
      <c r="AC319" s="278"/>
      <c r="AD319" s="278"/>
      <c r="AE319" s="278"/>
      <c r="AF319" s="278"/>
      <c r="AG319" s="278"/>
      <c r="AH319" s="278"/>
      <c r="AI319" s="278"/>
      <c r="AJ319" s="278"/>
      <c r="AK319" s="278"/>
      <c r="AL319" s="278"/>
      <c r="AM319" s="278"/>
      <c r="AN319" s="278"/>
      <c r="AO319" s="278"/>
      <c r="AP319" s="278"/>
      <c r="AQ319" s="278"/>
      <c r="AR319" s="278"/>
      <c r="AS319" s="278"/>
      <c r="AT319" s="278"/>
      <c r="AU319" s="278"/>
      <c r="AV319" s="278"/>
      <c r="AW319" s="278"/>
      <c r="AX319" s="328"/>
      <c r="AY319" s="43"/>
      <c r="AZ319" s="41"/>
      <c r="BA319" s="41"/>
      <c r="BB319" s="41"/>
      <c r="BC319" s="41"/>
      <c r="BD319" s="42"/>
      <c r="BE319" s="41"/>
      <c r="BF319" s="41"/>
      <c r="BG319" s="41"/>
      <c r="BH319" s="41"/>
      <c r="BI319" s="41"/>
      <c r="BJ319" s="41"/>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182"/>
      <c r="DZ319" s="43"/>
      <c r="EA319" s="544" t="str">
        <f ca="1">IF(FO282=0,"",".")</f>
        <v/>
      </c>
      <c r="EB319" s="544"/>
      <c r="EC319" s="544"/>
      <c r="ED319" s="544"/>
      <c r="EE319" s="544"/>
      <c r="EF319" s="544"/>
      <c r="EG319" s="41"/>
      <c r="EH319" s="43"/>
      <c r="EI319" s="43"/>
      <c r="EJ319" s="43"/>
      <c r="EK319" s="43"/>
      <c r="EL319" s="43"/>
      <c r="EM319" s="43"/>
      <c r="EN319" s="43"/>
      <c r="EO319" s="43"/>
      <c r="EP319" s="43"/>
      <c r="EQ319" s="43"/>
      <c r="ER319" s="43"/>
      <c r="ES319" s="43"/>
      <c r="ET319" s="43"/>
      <c r="EU319" s="43"/>
      <c r="EV319" s="43"/>
      <c r="EW319" s="43"/>
      <c r="EX319" s="43"/>
      <c r="EY319" s="43"/>
      <c r="EZ319" s="43"/>
      <c r="FA319" s="43"/>
      <c r="FB319" s="43"/>
      <c r="FC319" s="43"/>
      <c r="FD319" s="43"/>
      <c r="FE319" s="43"/>
      <c r="FF319" s="43"/>
      <c r="FG319" s="43"/>
      <c r="FH319" s="43"/>
      <c r="FI319" s="43"/>
      <c r="FJ319" s="43"/>
      <c r="FK319" s="43"/>
      <c r="FL319" s="43"/>
      <c r="FM319" s="48"/>
      <c r="FN319" s="48"/>
      <c r="FO319" s="48"/>
      <c r="FP319" s="48"/>
      <c r="FQ319" s="48"/>
      <c r="FR319" s="49"/>
      <c r="FS319" s="49"/>
      <c r="FT319" s="49"/>
      <c r="FU319" s="49"/>
      <c r="FV319" s="49"/>
      <c r="FW319" s="49"/>
      <c r="FX319" s="49"/>
      <c r="FY319" s="32"/>
      <c r="FZ319" s="32"/>
      <c r="GA319" s="32"/>
      <c r="GB319" s="32"/>
      <c r="GC319" s="32"/>
      <c r="GD319" s="32"/>
      <c r="GE319" s="32"/>
      <c r="GF319" s="32"/>
      <c r="GG319" s="32"/>
      <c r="GH319" s="32"/>
      <c r="GI319" s="32"/>
      <c r="GJ319" s="32"/>
      <c r="GK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78"/>
      <c r="HO319" s="78"/>
      <c r="HP319" s="78"/>
      <c r="HQ319" s="13"/>
      <c r="HR319" s="13"/>
      <c r="HS319" s="13"/>
      <c r="HT319" s="13"/>
      <c r="HU319" s="13"/>
      <c r="HV319" s="13"/>
      <c r="HW319" s="13"/>
      <c r="HX319" s="13"/>
      <c r="HY319" s="13"/>
      <c r="HZ319" s="13"/>
      <c r="IA319" s="13"/>
    </row>
    <row r="320" spans="1:235" ht="16.5" customHeight="1">
      <c r="A320" s="1"/>
      <c r="B320" s="3"/>
      <c r="C320" s="3"/>
      <c r="D320" s="351"/>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c r="AA320" s="278"/>
      <c r="AB320" s="278"/>
      <c r="AC320" s="278"/>
      <c r="AD320" s="278"/>
      <c r="AE320" s="278"/>
      <c r="AF320" s="278"/>
      <c r="AG320" s="278"/>
      <c r="AH320" s="278"/>
      <c r="AI320" s="278"/>
      <c r="AJ320" s="278"/>
      <c r="AK320" s="278"/>
      <c r="AL320" s="278"/>
      <c r="AM320" s="278"/>
      <c r="AN320" s="278"/>
      <c r="AO320" s="278"/>
      <c r="AP320" s="278"/>
      <c r="AQ320" s="278"/>
      <c r="AR320" s="278"/>
      <c r="AS320" s="278"/>
      <c r="AT320" s="278"/>
      <c r="AU320" s="278"/>
      <c r="AV320" s="278"/>
      <c r="AW320" s="278"/>
      <c r="AX320" s="328"/>
      <c r="AY320" s="43"/>
      <c r="AZ320" s="41"/>
      <c r="BA320" s="41"/>
      <c r="BB320" s="41"/>
      <c r="BC320" s="41"/>
      <c r="BD320" s="42"/>
      <c r="BE320" s="41"/>
      <c r="BF320" s="41"/>
      <c r="BG320" s="41"/>
      <c r="BH320" s="41"/>
      <c r="BI320" s="41"/>
      <c r="BJ320" s="41"/>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182" t="str">
        <f ca="1">IF(FO282=0,"","De situatie waarbij onder een prijsleider gegaan wordt voor maximale winst:")</f>
        <v/>
      </c>
      <c r="DZ320" s="43"/>
      <c r="EA320" s="330" t="str">
        <f ca="1">IF(FO282=0,"",".")</f>
        <v/>
      </c>
      <c r="EB320" s="706"/>
      <c r="EC320" s="706"/>
      <c r="ED320" s="706"/>
      <c r="EE320" s="706"/>
      <c r="EF320" s="330" t="str">
        <f ca="1">IF(FO282=0,"",".")</f>
        <v/>
      </c>
      <c r="EG320" s="41"/>
      <c r="EH320" s="43"/>
      <c r="EI320" s="118" t="str">
        <f ca="1">IF(FO282=0,"",IF(OR(EB312="",EB316="",EB320=""),"",IF(FN320=1,"Je hebt ze allemaal goed!",IF(FO312+FO316+FO320=2,"Je hebt er één fout!",IF(FO312+FO316+FO320=1,"Je hebt er twee fout!","Je hebt ze allemaal fout!")))))</f>
        <v/>
      </c>
      <c r="EJ320" s="43"/>
      <c r="EK320" s="43"/>
      <c r="EL320" s="43"/>
      <c r="EM320" s="43"/>
      <c r="EN320" s="43"/>
      <c r="EO320" s="43"/>
      <c r="EP320" s="43"/>
      <c r="EQ320" s="43"/>
      <c r="ER320" s="43"/>
      <c r="ES320" s="43"/>
      <c r="ET320" s="43"/>
      <c r="EU320" s="43"/>
      <c r="EV320" s="43"/>
      <c r="EW320" s="43"/>
      <c r="EX320" s="43"/>
      <c r="EY320" s="43"/>
      <c r="EZ320" s="43"/>
      <c r="FA320" s="43"/>
      <c r="FB320" s="43"/>
      <c r="FC320" s="43"/>
      <c r="FD320" s="43"/>
      <c r="FE320" s="43"/>
      <c r="FF320" s="43"/>
      <c r="FG320" s="43"/>
      <c r="FH320" s="43"/>
      <c r="FI320" s="43"/>
      <c r="FJ320" s="43"/>
      <c r="FK320" s="43"/>
      <c r="FL320" s="43"/>
      <c r="FM320" s="48"/>
      <c r="FN320" s="48">
        <f ca="1">IF(programma!B1="X",1,IF(FO282=0,0,IF(AND(EB312=FR320,EB316=FS320,EB320=FQ320),1,0)))</f>
        <v>0</v>
      </c>
      <c r="FO320" s="48">
        <f>IF(EB320=FQ320,1,0)</f>
        <v>0</v>
      </c>
      <c r="FP320" s="448" t="str">
        <f ca="1">IF(FO1=0,"",FQ320)</f>
        <v>A</v>
      </c>
      <c r="FQ320" s="48" t="s">
        <v>12</v>
      </c>
      <c r="FR320" s="49" t="s">
        <v>13</v>
      </c>
      <c r="FS320" s="49" t="s">
        <v>14</v>
      </c>
      <c r="FT320" s="49"/>
      <c r="FU320" s="49"/>
      <c r="FV320" s="49"/>
      <c r="FW320" s="49"/>
      <c r="FX320" s="49"/>
      <c r="FY320" s="32"/>
      <c r="FZ320" s="32"/>
      <c r="GA320" s="32"/>
      <c r="GB320" s="32"/>
      <c r="GC320" s="32"/>
      <c r="GD320" s="32"/>
      <c r="GE320" s="32"/>
      <c r="GF320" s="32"/>
      <c r="GG320" s="32"/>
      <c r="GH320" s="32"/>
      <c r="GI320" s="32"/>
      <c r="GJ320" s="32"/>
      <c r="GK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78"/>
      <c r="HO320" s="78"/>
      <c r="HP320" s="78"/>
      <c r="HQ320" s="13"/>
      <c r="HR320" s="13"/>
      <c r="HS320" s="13"/>
      <c r="HT320" s="13"/>
      <c r="HU320" s="13"/>
      <c r="HV320" s="13"/>
      <c r="HW320" s="13"/>
      <c r="HX320" s="13"/>
      <c r="HY320" s="13"/>
      <c r="HZ320" s="13"/>
      <c r="IA320" s="13"/>
    </row>
    <row r="321" spans="1:235" ht="3.75" customHeight="1">
      <c r="A321" s="1"/>
      <c r="B321" s="3"/>
      <c r="C321" s="3"/>
      <c r="D321" s="333"/>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c r="AA321" s="278"/>
      <c r="AB321" s="278"/>
      <c r="AC321" s="278"/>
      <c r="AD321" s="278"/>
      <c r="AE321" s="278"/>
      <c r="AF321" s="278"/>
      <c r="AG321" s="278"/>
      <c r="AH321" s="278"/>
      <c r="AI321" s="278"/>
      <c r="AJ321" s="278"/>
      <c r="AK321" s="278"/>
      <c r="AL321" s="278"/>
      <c r="AM321" s="278"/>
      <c r="AN321" s="278"/>
      <c r="AO321" s="278"/>
      <c r="AP321" s="278"/>
      <c r="AQ321" s="278"/>
      <c r="AR321" s="278"/>
      <c r="AS321" s="278"/>
      <c r="AT321" s="278"/>
      <c r="AU321" s="278"/>
      <c r="AV321" s="278"/>
      <c r="AW321" s="278"/>
      <c r="AX321" s="328"/>
      <c r="AY321" s="43"/>
      <c r="AZ321" s="41"/>
      <c r="BA321" s="41"/>
      <c r="BB321" s="41"/>
      <c r="BC321" s="41"/>
      <c r="BD321" s="42"/>
      <c r="BE321" s="41"/>
      <c r="BF321" s="41"/>
      <c r="BG321" s="41"/>
      <c r="BH321" s="41"/>
      <c r="BI321" s="41"/>
      <c r="BJ321" s="41"/>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544" t="str">
        <f ca="1">IF(FO282=0,"",".")</f>
        <v/>
      </c>
      <c r="EB321" s="544"/>
      <c r="EC321" s="544"/>
      <c r="ED321" s="544"/>
      <c r="EE321" s="544"/>
      <c r="EF321" s="544"/>
      <c r="EG321" s="41"/>
      <c r="EH321" s="43"/>
      <c r="EI321" s="43"/>
      <c r="EJ321" s="43"/>
      <c r="EK321" s="43"/>
      <c r="EL321" s="43"/>
      <c r="EM321" s="43"/>
      <c r="EN321" s="43"/>
      <c r="EO321" s="43"/>
      <c r="EP321" s="43"/>
      <c r="EQ321" s="43"/>
      <c r="ER321" s="43"/>
      <c r="ES321" s="43"/>
      <c r="ET321" s="43"/>
      <c r="EU321" s="43"/>
      <c r="EV321" s="43"/>
      <c r="EW321" s="43"/>
      <c r="EX321" s="43"/>
      <c r="EY321" s="43"/>
      <c r="EZ321" s="43"/>
      <c r="FA321" s="43"/>
      <c r="FB321" s="43"/>
      <c r="FC321" s="43"/>
      <c r="FD321" s="43"/>
      <c r="FE321" s="43"/>
      <c r="FF321" s="43"/>
      <c r="FG321" s="43"/>
      <c r="FH321" s="43"/>
      <c r="FI321" s="43"/>
      <c r="FJ321" s="43"/>
      <c r="FK321" s="43"/>
      <c r="FL321" s="43"/>
      <c r="FM321" s="48"/>
      <c r="FN321" s="48"/>
      <c r="FO321" s="48"/>
      <c r="FP321" s="48"/>
      <c r="FQ321" s="48"/>
      <c r="FR321" s="49"/>
      <c r="FS321" s="49"/>
      <c r="FT321" s="49"/>
      <c r="FU321" s="49"/>
      <c r="FV321" s="49"/>
      <c r="FW321" s="49"/>
      <c r="FX321" s="49"/>
      <c r="FY321" s="32"/>
      <c r="FZ321" s="32"/>
      <c r="GA321" s="32"/>
      <c r="GB321" s="32"/>
      <c r="GC321" s="32"/>
      <c r="GD321" s="32"/>
      <c r="GE321" s="32"/>
      <c r="GF321" s="32"/>
      <c r="GG321" s="32"/>
      <c r="GH321" s="32"/>
      <c r="GI321" s="32"/>
      <c r="GJ321" s="32"/>
      <c r="GK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78"/>
      <c r="HO321" s="78"/>
      <c r="HP321" s="78"/>
      <c r="HQ321" s="13"/>
      <c r="HR321" s="13"/>
      <c r="HS321" s="13"/>
      <c r="HT321" s="13"/>
      <c r="HU321" s="13"/>
      <c r="HV321" s="13"/>
      <c r="HW321" s="13"/>
      <c r="HX321" s="13"/>
      <c r="HY321" s="13"/>
      <c r="HZ321" s="13"/>
      <c r="IA321" s="13"/>
    </row>
    <row r="322" spans="1:235" ht="12.75" customHeight="1">
      <c r="A322" s="1"/>
      <c r="B322" s="3"/>
      <c r="C322" s="3"/>
      <c r="D322" s="333"/>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c r="AA322" s="278"/>
      <c r="AB322" s="278"/>
      <c r="AC322" s="278"/>
      <c r="AD322" s="278"/>
      <c r="AE322" s="278"/>
      <c r="AF322" s="278"/>
      <c r="AG322" s="278"/>
      <c r="AH322" s="278"/>
      <c r="AI322" s="278"/>
      <c r="AJ322" s="278"/>
      <c r="AK322" s="278"/>
      <c r="AL322" s="278"/>
      <c r="AM322" s="278"/>
      <c r="AN322" s="278"/>
      <c r="AO322" s="278"/>
      <c r="AP322" s="278"/>
      <c r="AQ322" s="278"/>
      <c r="AR322" s="278"/>
      <c r="AS322" s="278"/>
      <c r="AT322" s="278"/>
      <c r="AU322" s="278"/>
      <c r="AV322" s="278"/>
      <c r="AW322" s="278"/>
      <c r="AX322" s="328"/>
      <c r="AY322" s="43"/>
      <c r="AZ322" s="41"/>
      <c r="BA322" s="41"/>
      <c r="BB322" s="41"/>
      <c r="BC322" s="41"/>
      <c r="BD322" s="42"/>
      <c r="BE322" s="41"/>
      <c r="BF322" s="41"/>
      <c r="BG322" s="41"/>
      <c r="BH322" s="41"/>
      <c r="BI322" s="41"/>
      <c r="BJ322" s="41"/>
      <c r="BK322" s="42"/>
      <c r="BL322" s="41"/>
      <c r="BM322" s="41"/>
      <c r="BN322" s="41"/>
      <c r="BO322" s="41"/>
      <c r="BP322" s="41"/>
      <c r="BQ322" s="41"/>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3"/>
      <c r="ES322" s="43"/>
      <c r="ET322" s="43"/>
      <c r="EU322" s="43"/>
      <c r="EV322" s="43"/>
      <c r="EW322" s="43"/>
      <c r="EX322" s="43"/>
      <c r="EY322" s="43"/>
      <c r="EZ322" s="43"/>
      <c r="FA322" s="43"/>
      <c r="FB322" s="43"/>
      <c r="FC322" s="43"/>
      <c r="FD322" s="43"/>
      <c r="FE322" s="43"/>
      <c r="FF322" s="43"/>
      <c r="FG322" s="43"/>
      <c r="FH322" s="43"/>
      <c r="FI322" s="43"/>
      <c r="FJ322" s="43"/>
      <c r="FK322" s="43"/>
      <c r="FL322" s="43"/>
      <c r="FM322" s="48"/>
      <c r="FN322" s="48"/>
      <c r="FO322" s="48"/>
      <c r="FP322" s="48"/>
      <c r="FQ322" s="48"/>
      <c r="FR322" s="49"/>
      <c r="FS322" s="49"/>
      <c r="FT322" s="49"/>
      <c r="FU322" s="49"/>
      <c r="FV322" s="49"/>
      <c r="FW322" s="49"/>
      <c r="FX322" s="49"/>
      <c r="FY322" s="32"/>
      <c r="FZ322" s="32"/>
      <c r="GA322" s="32"/>
      <c r="GB322" s="32"/>
      <c r="GC322" s="32"/>
      <c r="GD322" s="32"/>
      <c r="GE322" s="32"/>
      <c r="GF322" s="32"/>
      <c r="GG322" s="32"/>
      <c r="GH322" s="32"/>
      <c r="GI322" s="32"/>
      <c r="GJ322" s="32"/>
      <c r="GK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78"/>
      <c r="HO322" s="78"/>
      <c r="HP322" s="78"/>
      <c r="HQ322" s="13"/>
      <c r="HR322" s="13"/>
      <c r="HS322" s="13"/>
      <c r="HT322" s="13"/>
      <c r="HU322" s="13"/>
      <c r="HV322" s="13"/>
      <c r="HW322" s="13"/>
      <c r="HX322" s="13"/>
      <c r="HY322" s="13"/>
      <c r="HZ322" s="13"/>
      <c r="IA322" s="13"/>
    </row>
    <row r="323" spans="1:235" ht="16.95" customHeight="1">
      <c r="A323" s="1"/>
      <c r="B323" s="3"/>
      <c r="C323" s="3"/>
      <c r="D323" s="124" t="str">
        <f ca="1">IF(FN320=0,"","Zoals je nogmaals ziet is er bij prijszetting welvaartsverlies ten opzichte van")</f>
        <v/>
      </c>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c r="AD323" s="376"/>
      <c r="AE323" s="376"/>
      <c r="AF323" s="376"/>
      <c r="AG323" s="376"/>
      <c r="AH323" s="376"/>
      <c r="AI323" s="376"/>
      <c r="AJ323" s="376"/>
      <c r="AK323" s="376"/>
      <c r="AL323" s="376"/>
      <c r="AM323" s="376"/>
      <c r="AN323" s="376"/>
      <c r="AO323" s="376"/>
      <c r="AP323" s="376"/>
      <c r="AQ323" s="376"/>
      <c r="AR323" s="376"/>
      <c r="AS323" s="376"/>
      <c r="AT323" s="376"/>
      <c r="AU323" s="376"/>
      <c r="AV323" s="376"/>
      <c r="AW323" s="376"/>
      <c r="AX323" s="406"/>
      <c r="AY323" s="43"/>
      <c r="AZ323" s="41"/>
      <c r="BA323" s="41"/>
      <c r="BB323" s="41"/>
      <c r="BC323" s="41"/>
      <c r="BD323" s="42"/>
      <c r="BE323" s="41"/>
      <c r="BF323" s="41"/>
      <c r="BG323" s="41"/>
      <c r="BH323" s="41"/>
      <c r="BI323" s="41"/>
      <c r="BJ323" s="41"/>
      <c r="BK323" s="42"/>
      <c r="BL323" s="41"/>
      <c r="BM323" s="41"/>
      <c r="BN323" s="41"/>
      <c r="BO323" s="41"/>
      <c r="BP323" s="41"/>
      <c r="BQ323" s="41"/>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3"/>
      <c r="ES323" s="43"/>
      <c r="ET323" s="43"/>
      <c r="EU323" s="43"/>
      <c r="EV323" s="43"/>
      <c r="EW323" s="43"/>
      <c r="EX323" s="43"/>
      <c r="EY323" s="43"/>
      <c r="EZ323" s="43"/>
      <c r="FA323" s="43"/>
      <c r="FB323" s="43"/>
      <c r="FC323" s="43"/>
      <c r="FD323" s="43"/>
      <c r="FE323" s="43"/>
      <c r="FF323" s="43"/>
      <c r="FG323" s="43"/>
      <c r="FH323" s="43"/>
      <c r="FI323" s="43"/>
      <c r="FJ323" s="43"/>
      <c r="FK323" s="43"/>
      <c r="FL323" s="43"/>
      <c r="FM323" s="48"/>
      <c r="FN323" s="48"/>
      <c r="FO323" s="48"/>
      <c r="FP323" s="48"/>
      <c r="FQ323" s="48"/>
      <c r="FR323" s="48"/>
      <c r="FS323" s="48"/>
      <c r="FT323" s="48"/>
      <c r="FU323" s="48"/>
      <c r="FV323" s="47"/>
      <c r="FW323" s="47"/>
      <c r="FX323" s="47"/>
      <c r="FY323" s="32"/>
      <c r="FZ323" s="32"/>
      <c r="GA323" s="32"/>
      <c r="GB323" s="32"/>
      <c r="GC323" s="32"/>
      <c r="GD323" s="32"/>
      <c r="GE323" s="32"/>
      <c r="GF323" s="32"/>
      <c r="GG323" s="32"/>
      <c r="GH323" s="32"/>
      <c r="GI323" s="32"/>
      <c r="GJ323" s="32"/>
      <c r="GK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99"/>
      <c r="HO323" s="399"/>
      <c r="HP323" s="399"/>
      <c r="HQ323" s="13"/>
      <c r="HR323" s="13"/>
      <c r="HS323" s="13"/>
      <c r="HT323" s="13"/>
      <c r="HU323" s="13"/>
      <c r="HV323" s="13"/>
      <c r="HW323" s="13"/>
      <c r="HX323" s="13"/>
      <c r="HY323" s="13"/>
      <c r="HZ323" s="13"/>
      <c r="IA323" s="13"/>
    </row>
    <row r="324" spans="1:235" ht="16.95" customHeight="1">
      <c r="A324" s="1"/>
      <c r="B324" s="3"/>
      <c r="C324" s="3"/>
      <c r="D324" s="124" t="str">
        <f ca="1">IF(FN320=0,"","de situatie bij volkomen concurrentie doordat er minder verhandeld wordt.")</f>
        <v/>
      </c>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c r="AD324" s="376"/>
      <c r="AE324" s="376"/>
      <c r="AF324" s="376"/>
      <c r="AG324" s="376"/>
      <c r="AH324" s="376"/>
      <c r="AI324" s="376"/>
      <c r="AJ324" s="376"/>
      <c r="AK324" s="376"/>
      <c r="AL324" s="376"/>
      <c r="AM324" s="376"/>
      <c r="AN324" s="376"/>
      <c r="AO324" s="376"/>
      <c r="AP324" s="376"/>
      <c r="AQ324" s="376"/>
      <c r="AR324" s="376"/>
      <c r="AS324" s="376"/>
      <c r="AT324" s="376"/>
      <c r="AU324" s="376"/>
      <c r="AV324" s="376"/>
      <c r="AW324" s="376"/>
      <c r="AX324" s="406"/>
      <c r="AY324" s="43"/>
      <c r="AZ324" s="41"/>
      <c r="BA324" s="41"/>
      <c r="BB324" s="41"/>
      <c r="BC324" s="41"/>
      <c r="BD324" s="42"/>
      <c r="BE324" s="41"/>
      <c r="BF324" s="41"/>
      <c r="BG324" s="41"/>
      <c r="BH324" s="41"/>
      <c r="BI324" s="41"/>
      <c r="BJ324" s="41"/>
      <c r="BK324" s="42"/>
      <c r="BL324" s="41"/>
      <c r="BM324" s="41"/>
      <c r="BN324" s="41"/>
      <c r="BO324" s="41"/>
      <c r="BP324" s="41"/>
      <c r="BQ324" s="41"/>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3"/>
      <c r="ES324" s="43"/>
      <c r="ET324" s="43"/>
      <c r="EU324" s="43"/>
      <c r="EV324" s="43"/>
      <c r="EW324" s="43"/>
      <c r="EX324" s="43"/>
      <c r="EY324" s="43"/>
      <c r="EZ324" s="43"/>
      <c r="FA324" s="43"/>
      <c r="FB324" s="43"/>
      <c r="FC324" s="43"/>
      <c r="FD324" s="43"/>
      <c r="FE324" s="43"/>
      <c r="FF324" s="43"/>
      <c r="FG324" s="43"/>
      <c r="FH324" s="43"/>
      <c r="FI324" s="43"/>
      <c r="FJ324" s="43"/>
      <c r="FK324" s="43"/>
      <c r="FL324" s="43"/>
      <c r="FM324" s="48"/>
      <c r="FN324" s="48"/>
      <c r="FO324" s="48"/>
      <c r="FP324" s="48"/>
      <c r="FQ324" s="48"/>
      <c r="FR324" s="48"/>
      <c r="FS324" s="48"/>
      <c r="FT324" s="48"/>
      <c r="FU324" s="48"/>
      <c r="FV324" s="47"/>
      <c r="FW324" s="47"/>
      <c r="FX324" s="47"/>
      <c r="FY324" s="32"/>
      <c r="FZ324" s="32"/>
      <c r="GA324" s="32"/>
      <c r="GB324" s="32"/>
      <c r="GC324" s="32"/>
      <c r="GD324" s="32"/>
      <c r="GE324" s="32"/>
      <c r="GF324" s="32"/>
      <c r="GG324" s="32"/>
      <c r="GH324" s="32"/>
      <c r="GI324" s="32"/>
      <c r="GJ324" s="32"/>
      <c r="GK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99"/>
      <c r="HO324" s="399"/>
      <c r="HP324" s="399"/>
      <c r="HQ324" s="13"/>
      <c r="HR324" s="13"/>
      <c r="HS324" s="13"/>
      <c r="HT324" s="13"/>
      <c r="HU324" s="13"/>
      <c r="HV324" s="13"/>
      <c r="HW324" s="13"/>
      <c r="HX324" s="13"/>
      <c r="HY324" s="13"/>
      <c r="HZ324" s="13"/>
      <c r="IA324" s="13"/>
    </row>
    <row r="325" spans="1:235" ht="16.95" customHeight="1">
      <c r="A325" s="1"/>
      <c r="B325" s="3"/>
      <c r="C325" s="3"/>
      <c r="D325" s="124" t="str">
        <f ca="1">IF(FN320=0,"","Lukt het de monopolist om prijsdiscriminatie toe te passen, dan kan hij zich")</f>
        <v/>
      </c>
      <c r="E325" s="414"/>
      <c r="F325" s="414"/>
      <c r="G325" s="414"/>
      <c r="H325" s="414"/>
      <c r="I325" s="414"/>
      <c r="J325" s="376"/>
      <c r="K325" s="376"/>
      <c r="L325" s="376"/>
      <c r="M325" s="376"/>
      <c r="N325" s="376"/>
      <c r="O325" s="376"/>
      <c r="P325" s="376"/>
      <c r="Q325" s="376"/>
      <c r="R325" s="376"/>
      <c r="S325" s="376"/>
      <c r="T325" s="376"/>
      <c r="U325" s="376"/>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376"/>
      <c r="CQ325" s="376"/>
      <c r="CR325" s="376"/>
      <c r="CS325" s="376"/>
      <c r="CT325" s="376"/>
      <c r="CU325" s="376"/>
      <c r="CV325" s="376"/>
      <c r="CW325" s="376"/>
      <c r="CX325" s="376"/>
      <c r="CY325" s="376"/>
      <c r="CZ325" s="376"/>
      <c r="DA325" s="376"/>
      <c r="DB325" s="376"/>
      <c r="DC325" s="376"/>
      <c r="DD325" s="376"/>
      <c r="DE325" s="376"/>
      <c r="DF325" s="376"/>
      <c r="DG325" s="376"/>
      <c r="DH325" s="376"/>
      <c r="DI325" s="376"/>
      <c r="DJ325" s="376"/>
      <c r="DK325" s="376"/>
      <c r="DL325" s="376"/>
      <c r="DM325" s="376"/>
      <c r="DN325" s="376"/>
      <c r="DO325" s="376"/>
      <c r="DP325" s="376"/>
      <c r="DQ325" s="376"/>
      <c r="DR325" s="376"/>
      <c r="DS325" s="376"/>
      <c r="DT325" s="376"/>
      <c r="DU325" s="376"/>
      <c r="DV325" s="376"/>
      <c r="DW325" s="376"/>
      <c r="DX325" s="376"/>
      <c r="DY325" s="376"/>
      <c r="DZ325" s="376"/>
      <c r="EA325" s="376"/>
      <c r="EB325" s="376"/>
      <c r="EC325" s="376"/>
      <c r="ED325" s="376"/>
      <c r="EE325" s="376"/>
      <c r="EF325" s="376"/>
      <c r="EG325" s="376"/>
      <c r="EH325" s="376"/>
      <c r="EI325" s="376"/>
      <c r="EJ325" s="376"/>
      <c r="EK325" s="376"/>
      <c r="EL325" s="376"/>
      <c r="EM325" s="376"/>
      <c r="EN325" s="376"/>
      <c r="EO325" s="376"/>
      <c r="EP325" s="376"/>
      <c r="EQ325" s="376"/>
      <c r="ER325" s="376"/>
      <c r="ES325" s="376"/>
      <c r="ET325" s="376"/>
      <c r="EU325" s="376"/>
      <c r="EV325" s="376"/>
      <c r="EW325" s="376"/>
      <c r="EX325" s="376"/>
      <c r="EY325" s="376"/>
      <c r="EZ325" s="376"/>
      <c r="FA325" s="43"/>
      <c r="FB325" s="43"/>
      <c r="FC325" s="43"/>
      <c r="FD325" s="43"/>
      <c r="FE325" s="43"/>
      <c r="FF325" s="43"/>
      <c r="FG325" s="43"/>
      <c r="FH325" s="43"/>
      <c r="FI325" s="79"/>
      <c r="FJ325" s="79"/>
      <c r="FK325" s="79"/>
      <c r="FL325" s="79"/>
      <c r="FM325" s="338"/>
      <c r="FN325" s="338"/>
      <c r="FO325" s="338"/>
      <c r="FP325" s="47"/>
      <c r="FQ325" s="47"/>
      <c r="FR325" s="47"/>
      <c r="FS325" s="47"/>
      <c r="FT325" s="47"/>
      <c r="FU325" s="338"/>
      <c r="FV325" s="338"/>
      <c r="FW325" s="338"/>
      <c r="FX325" s="338"/>
      <c r="FY325" s="32"/>
      <c r="FZ325" s="32"/>
      <c r="GA325" s="32"/>
      <c r="GB325" s="32"/>
      <c r="GC325" s="32"/>
      <c r="GD325" s="32"/>
      <c r="GE325" s="32"/>
      <c r="GF325" s="32"/>
      <c r="GG325" s="32"/>
      <c r="GH325" s="32"/>
      <c r="GI325" s="32"/>
      <c r="GJ325" s="32"/>
      <c r="GK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99"/>
      <c r="HO325" s="399"/>
      <c r="HP325" s="399"/>
      <c r="HQ325" s="13"/>
      <c r="HR325" s="13"/>
      <c r="HS325" s="13"/>
      <c r="HT325" s="13"/>
      <c r="HU325" s="13"/>
      <c r="HV325" s="13"/>
      <c r="HW325" s="13"/>
      <c r="HX325" s="13"/>
      <c r="HY325" s="13"/>
      <c r="HZ325" s="13"/>
      <c r="IA325" s="13"/>
    </row>
    <row r="326" spans="1:235" ht="16.95" customHeight="1">
      <c r="A326" s="1"/>
      <c r="B326" s="3"/>
      <c r="C326" s="3"/>
      <c r="D326" s="124" t="str">
        <f ca="1">IF(FN320=0,"","nog meer van het consumentensurplus toeëigenen. Dit is al in de presentatie")</f>
        <v/>
      </c>
      <c r="E326" s="414"/>
      <c r="F326" s="414"/>
      <c r="G326" s="414"/>
      <c r="H326" s="414"/>
      <c r="I326" s="414"/>
      <c r="J326" s="376"/>
      <c r="K326" s="376"/>
      <c r="L326" s="376"/>
      <c r="M326" s="376"/>
      <c r="N326" s="376"/>
      <c r="O326" s="376"/>
      <c r="P326" s="376"/>
      <c r="Q326" s="376"/>
      <c r="R326" s="376"/>
      <c r="S326" s="376"/>
      <c r="T326" s="376"/>
      <c r="U326" s="376"/>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376"/>
      <c r="CQ326" s="376"/>
      <c r="CR326" s="376"/>
      <c r="CS326" s="376"/>
      <c r="CT326" s="376"/>
      <c r="CU326" s="376"/>
      <c r="CV326" s="376"/>
      <c r="CW326" s="376"/>
      <c r="CX326" s="376"/>
      <c r="CY326" s="376"/>
      <c r="CZ326" s="376"/>
      <c r="DA326" s="376"/>
      <c r="DB326" s="376"/>
      <c r="DC326" s="376"/>
      <c r="DD326" s="376"/>
      <c r="DE326" s="376"/>
      <c r="DF326" s="376"/>
      <c r="DG326" s="376"/>
      <c r="DH326" s="376"/>
      <c r="DI326" s="376"/>
      <c r="DJ326" s="376"/>
      <c r="DK326" s="376"/>
      <c r="DL326" s="376"/>
      <c r="DM326" s="376"/>
      <c r="DN326" s="376"/>
      <c r="DO326" s="376"/>
      <c r="DP326" s="376"/>
      <c r="DQ326" s="376"/>
      <c r="DR326" s="376"/>
      <c r="DS326" s="376"/>
      <c r="DT326" s="376"/>
      <c r="DU326" s="376"/>
      <c r="DV326" s="376"/>
      <c r="DW326" s="376"/>
      <c r="DX326" s="376"/>
      <c r="DY326" s="376"/>
      <c r="DZ326" s="376"/>
      <c r="EA326" s="376"/>
      <c r="EB326" s="376"/>
      <c r="EC326" s="376"/>
      <c r="ED326" s="376"/>
      <c r="EE326" s="376"/>
      <c r="EF326" s="376"/>
      <c r="EG326" s="376"/>
      <c r="EH326" s="376"/>
      <c r="EI326" s="376"/>
      <c r="EJ326" s="376"/>
      <c r="EK326" s="376"/>
      <c r="EL326" s="376"/>
      <c r="EM326" s="376"/>
      <c r="EN326" s="376"/>
      <c r="EO326" s="376"/>
      <c r="EP326" s="376"/>
      <c r="EQ326" s="376"/>
      <c r="ER326" s="376"/>
      <c r="ES326" s="376"/>
      <c r="ET326" s="376"/>
      <c r="EU326" s="376"/>
      <c r="EV326" s="376"/>
      <c r="EW326" s="376"/>
      <c r="EX326" s="376"/>
      <c r="EY326" s="376"/>
      <c r="EZ326" s="376"/>
      <c r="FA326" s="43"/>
      <c r="FB326" s="43"/>
      <c r="FC326" s="43"/>
      <c r="FD326" s="43"/>
      <c r="FE326" s="43"/>
      <c r="FF326" s="43"/>
      <c r="FG326" s="43"/>
      <c r="FH326" s="43"/>
      <c r="FI326" s="79"/>
      <c r="FJ326" s="79"/>
      <c r="FK326" s="79"/>
      <c r="FL326" s="79"/>
      <c r="FM326" s="338"/>
      <c r="FN326" s="338"/>
      <c r="FO326" s="338"/>
      <c r="FP326" s="47"/>
      <c r="FQ326" s="47"/>
      <c r="FR326" s="47"/>
      <c r="FS326" s="47"/>
      <c r="FT326" s="47"/>
      <c r="FU326" s="338"/>
      <c r="FV326" s="338"/>
      <c r="FW326" s="338"/>
      <c r="FX326" s="338"/>
      <c r="FY326" s="32"/>
      <c r="FZ326" s="32"/>
      <c r="GA326" s="32"/>
      <c r="GB326" s="32"/>
      <c r="GC326" s="32"/>
      <c r="GD326" s="32"/>
      <c r="GE326" s="32"/>
      <c r="GF326" s="32"/>
      <c r="GG326" s="32"/>
      <c r="GH326" s="32"/>
      <c r="GI326" s="32"/>
      <c r="GJ326" s="32"/>
      <c r="GK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99"/>
      <c r="HO326" s="399"/>
      <c r="HP326" s="399"/>
      <c r="HQ326" s="13"/>
      <c r="HR326" s="13"/>
      <c r="HS326" s="13"/>
      <c r="HT326" s="13"/>
      <c r="HU326" s="13"/>
      <c r="HV326" s="13"/>
      <c r="HW326" s="13"/>
      <c r="HX326" s="13"/>
      <c r="HY326" s="13"/>
      <c r="HZ326" s="13"/>
      <c r="IA326" s="13"/>
    </row>
    <row r="327" spans="1:235" ht="16.95" customHeight="1">
      <c r="A327" s="1"/>
      <c r="B327" s="3"/>
      <c r="C327" s="3"/>
      <c r="D327" s="124" t="str">
        <f ca="1">IF(FN320=0,"","''Marktvormen en marktimperfecties'' behandeld. Hier willen we wel nog")</f>
        <v/>
      </c>
      <c r="E327" s="414"/>
      <c r="F327" s="414"/>
      <c r="G327" s="414"/>
      <c r="H327" s="414"/>
      <c r="I327" s="414"/>
      <c r="J327" s="376"/>
      <c r="K327" s="376"/>
      <c r="L327" s="376"/>
      <c r="M327" s="376"/>
      <c r="N327" s="376"/>
      <c r="O327" s="376"/>
      <c r="P327" s="376"/>
      <c r="Q327" s="376"/>
      <c r="R327" s="376"/>
      <c r="S327" s="376"/>
      <c r="T327" s="376"/>
      <c r="U327" s="376"/>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376"/>
      <c r="CQ327" s="376"/>
      <c r="CR327" s="376"/>
      <c r="CS327" s="376"/>
      <c r="CT327" s="376"/>
      <c r="CU327" s="376"/>
      <c r="CV327" s="376"/>
      <c r="CW327" s="376"/>
      <c r="CX327" s="376"/>
      <c r="CY327" s="376"/>
      <c r="CZ327" s="376"/>
      <c r="DA327" s="376"/>
      <c r="DB327" s="376"/>
      <c r="DC327" s="376"/>
      <c r="DD327" s="376"/>
      <c r="DE327" s="376"/>
      <c r="DF327" s="376"/>
      <c r="DG327" s="376"/>
      <c r="DH327" s="376"/>
      <c r="DI327" s="376"/>
      <c r="DJ327" s="376"/>
      <c r="DK327" s="376"/>
      <c r="DL327" s="376"/>
      <c r="DM327" s="376"/>
      <c r="DN327" s="376"/>
      <c r="DO327" s="376"/>
      <c r="DP327" s="376"/>
      <c r="DQ327" s="376"/>
      <c r="DR327" s="376"/>
      <c r="DS327" s="376"/>
      <c r="DT327" s="376"/>
      <c r="DU327" s="376"/>
      <c r="DV327" s="376"/>
      <c r="DW327" s="376"/>
      <c r="DX327" s="376"/>
      <c r="DY327" s="376"/>
      <c r="DZ327" s="376"/>
      <c r="EA327" s="376"/>
      <c r="EB327" s="376"/>
      <c r="EC327" s="376"/>
      <c r="ED327" s="376"/>
      <c r="EE327" s="376"/>
      <c r="EF327" s="376"/>
      <c r="EG327" s="376"/>
      <c r="EH327" s="376"/>
      <c r="EI327" s="376"/>
      <c r="EJ327" s="376"/>
      <c r="EK327" s="376"/>
      <c r="EL327" s="376"/>
      <c r="EM327" s="376"/>
      <c r="EN327" s="376"/>
      <c r="EO327" s="376"/>
      <c r="EP327" s="376"/>
      <c r="EQ327" s="376"/>
      <c r="ER327" s="376"/>
      <c r="ES327" s="376"/>
      <c r="ET327" s="376"/>
      <c r="EU327" s="376"/>
      <c r="EV327" s="376"/>
      <c r="EW327" s="376"/>
      <c r="EX327" s="376"/>
      <c r="EY327" s="376"/>
      <c r="EZ327" s="376"/>
      <c r="FA327" s="43"/>
      <c r="FB327" s="43"/>
      <c r="FC327" s="43"/>
      <c r="FD327" s="43"/>
      <c r="FE327" s="43"/>
      <c r="FF327" s="43"/>
      <c r="FG327" s="43"/>
      <c r="FH327" s="43"/>
      <c r="FI327" s="79"/>
      <c r="FJ327" s="79"/>
      <c r="FK327" s="79"/>
      <c r="FL327" s="79"/>
      <c r="FM327" s="338"/>
      <c r="FN327" s="338"/>
      <c r="FO327" s="338"/>
      <c r="FP327" s="47"/>
      <c r="FQ327" s="47"/>
      <c r="FR327" s="47"/>
      <c r="FS327" s="47"/>
      <c r="FT327" s="47"/>
      <c r="FU327" s="338"/>
      <c r="FV327" s="338"/>
      <c r="FW327" s="338"/>
      <c r="FX327" s="338"/>
      <c r="FY327" s="32"/>
      <c r="FZ327" s="32"/>
      <c r="GA327" s="32"/>
      <c r="GB327" s="32"/>
      <c r="GC327" s="32"/>
      <c r="GD327" s="32"/>
      <c r="GE327" s="32"/>
      <c r="GF327" s="32"/>
      <c r="GG327" s="32"/>
      <c r="GH327" s="32"/>
      <c r="GI327" s="32"/>
      <c r="GJ327" s="32"/>
      <c r="GK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99"/>
      <c r="HO327" s="399"/>
      <c r="HP327" s="399"/>
      <c r="HQ327" s="13"/>
      <c r="HR327" s="13"/>
      <c r="HS327" s="13"/>
      <c r="HT327" s="13"/>
      <c r="HU327" s="13"/>
      <c r="HV327" s="13"/>
      <c r="HW327" s="13"/>
      <c r="HX327" s="13"/>
      <c r="HY327" s="13"/>
      <c r="HZ327" s="13"/>
      <c r="IA327" s="13"/>
    </row>
    <row r="328" spans="1:235" ht="16.95" customHeight="1">
      <c r="A328" s="1"/>
      <c r="B328" s="3"/>
      <c r="C328" s="3"/>
      <c r="D328" s="124" t="str">
        <f ca="1">IF(FN320=0,"","even laten zien dat als de prijszetter van elke koper de prijs kan krijgen die")</f>
        <v/>
      </c>
      <c r="E328" s="414"/>
      <c r="F328" s="414"/>
      <c r="G328" s="414"/>
      <c r="H328" s="414"/>
      <c r="I328" s="414"/>
      <c r="J328" s="376"/>
      <c r="K328" s="376"/>
      <c r="L328" s="376"/>
      <c r="M328" s="376"/>
      <c r="N328" s="376"/>
      <c r="O328" s="376"/>
      <c r="P328" s="376"/>
      <c r="Q328" s="376"/>
      <c r="R328" s="376"/>
      <c r="S328" s="376"/>
      <c r="T328" s="376"/>
      <c r="U328" s="376"/>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376"/>
      <c r="CQ328" s="376"/>
      <c r="CR328" s="376"/>
      <c r="CS328" s="376"/>
      <c r="CT328" s="376"/>
      <c r="CU328" s="376"/>
      <c r="CV328" s="376"/>
      <c r="CW328" s="376"/>
      <c r="CX328" s="376"/>
      <c r="CY328" s="376"/>
      <c r="CZ328" s="376"/>
      <c r="DA328" s="376"/>
      <c r="DB328" s="376"/>
      <c r="DC328" s="376"/>
      <c r="DD328" s="376"/>
      <c r="DE328" s="376"/>
      <c r="DF328" s="376"/>
      <c r="DG328" s="376"/>
      <c r="DH328" s="376"/>
      <c r="DI328" s="376"/>
      <c r="DJ328" s="376"/>
      <c r="DK328" s="376"/>
      <c r="DL328" s="376"/>
      <c r="DM328" s="376"/>
      <c r="DN328" s="376"/>
      <c r="DO328" s="376"/>
      <c r="DP328" s="376"/>
      <c r="DQ328" s="376"/>
      <c r="DR328" s="376"/>
      <c r="DS328" s="376"/>
      <c r="DT328" s="376"/>
      <c r="DU328" s="376"/>
      <c r="DV328" s="376"/>
      <c r="DW328" s="376"/>
      <c r="DX328" s="376"/>
      <c r="DY328" s="376"/>
      <c r="DZ328" s="376"/>
      <c r="EA328" s="376"/>
      <c r="EB328" s="376"/>
      <c r="EC328" s="376"/>
      <c r="ED328" s="376"/>
      <c r="EE328" s="376"/>
      <c r="EF328" s="376"/>
      <c r="EG328" s="376"/>
      <c r="EH328" s="376"/>
      <c r="EI328" s="376"/>
      <c r="EJ328" s="376"/>
      <c r="EK328" s="376"/>
      <c r="EL328" s="376"/>
      <c r="EM328" s="376"/>
      <c r="EN328" s="376"/>
      <c r="EO328" s="376"/>
      <c r="EP328" s="376"/>
      <c r="EQ328" s="376"/>
      <c r="ER328" s="376"/>
      <c r="ES328" s="376"/>
      <c r="ET328" s="376"/>
      <c r="EU328" s="376"/>
      <c r="EV328" s="376"/>
      <c r="EW328" s="376"/>
      <c r="EX328" s="376"/>
      <c r="EY328" s="376"/>
      <c r="EZ328" s="376"/>
      <c r="FA328" s="43"/>
      <c r="FB328" s="43"/>
      <c r="FC328" s="43"/>
      <c r="FD328" s="43"/>
      <c r="FE328" s="43"/>
      <c r="FF328" s="43"/>
      <c r="FG328" s="43"/>
      <c r="FH328" s="43"/>
      <c r="FI328" s="79"/>
      <c r="FJ328" s="79"/>
      <c r="FK328" s="79"/>
      <c r="FL328" s="79"/>
      <c r="FM328" s="338"/>
      <c r="FN328" s="338"/>
      <c r="FO328" s="338"/>
      <c r="FP328" s="47"/>
      <c r="FQ328" s="47"/>
      <c r="FR328" s="47"/>
      <c r="FS328" s="47"/>
      <c r="FT328" s="47"/>
      <c r="FU328" s="338"/>
      <c r="FV328" s="338"/>
      <c r="FW328" s="338"/>
      <c r="FX328" s="338"/>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99"/>
      <c r="HO328" s="399"/>
      <c r="HP328" s="399"/>
      <c r="HQ328" s="13"/>
      <c r="HR328" s="13"/>
      <c r="HS328" s="13"/>
      <c r="HT328" s="13"/>
      <c r="HU328" s="13"/>
      <c r="HV328" s="13"/>
      <c r="HW328" s="13"/>
      <c r="HX328" s="13"/>
      <c r="HY328" s="13"/>
      <c r="HZ328" s="13"/>
      <c r="IA328" s="13"/>
    </row>
    <row r="329" spans="1:235" ht="16.95" customHeight="1">
      <c r="A329" s="1"/>
      <c r="B329" s="3"/>
      <c r="C329" s="3"/>
      <c r="D329" s="124" t="str">
        <f ca="1">IF(FN320=0,"","deze maximaal wil betalen (we zullen dit volkomen prijsdiscriminatie")</f>
        <v/>
      </c>
      <c r="E329" s="414"/>
      <c r="F329" s="414"/>
      <c r="G329" s="414"/>
      <c r="H329" s="414"/>
      <c r="I329" s="414"/>
      <c r="J329" s="376"/>
      <c r="K329" s="376"/>
      <c r="L329" s="376"/>
      <c r="M329" s="376"/>
      <c r="N329" s="376"/>
      <c r="O329" s="376"/>
      <c r="P329" s="376"/>
      <c r="Q329" s="376"/>
      <c r="R329" s="376"/>
      <c r="S329" s="376"/>
      <c r="T329" s="376"/>
      <c r="U329" s="376"/>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376"/>
      <c r="CQ329" s="376"/>
      <c r="CR329" s="376"/>
      <c r="CS329" s="376"/>
      <c r="CT329" s="376"/>
      <c r="CU329" s="376"/>
      <c r="CV329" s="376"/>
      <c r="CW329" s="376"/>
      <c r="CX329" s="376"/>
      <c r="CY329" s="376"/>
      <c r="CZ329" s="376"/>
      <c r="DA329" s="376"/>
      <c r="DB329" s="376"/>
      <c r="DC329" s="376"/>
      <c r="DD329" s="376"/>
      <c r="DE329" s="376"/>
      <c r="DF329" s="376"/>
      <c r="DG329" s="376"/>
      <c r="DH329" s="376"/>
      <c r="DI329" s="376"/>
      <c r="DJ329" s="376"/>
      <c r="DK329" s="376"/>
      <c r="DL329" s="376"/>
      <c r="DM329" s="376"/>
      <c r="DN329" s="376"/>
      <c r="DO329" s="376"/>
      <c r="DP329" s="376"/>
      <c r="DQ329" s="376"/>
      <c r="DR329" s="376"/>
      <c r="DS329" s="376"/>
      <c r="DT329" s="376"/>
      <c r="DU329" s="376"/>
      <c r="DV329" s="376"/>
      <c r="DW329" s="376"/>
      <c r="DX329" s="376"/>
      <c r="DY329" s="376"/>
      <c r="DZ329" s="376"/>
      <c r="EA329" s="376"/>
      <c r="EB329" s="376"/>
      <c r="EC329" s="376"/>
      <c r="ED329" s="376"/>
      <c r="EE329" s="376"/>
      <c r="EF329" s="376"/>
      <c r="EG329" s="376"/>
      <c r="EH329" s="376"/>
      <c r="EI329" s="376"/>
      <c r="EJ329" s="376"/>
      <c r="EK329" s="376"/>
      <c r="EL329" s="376"/>
      <c r="EM329" s="376"/>
      <c r="EN329" s="376"/>
      <c r="EO329" s="376"/>
      <c r="EP329" s="376"/>
      <c r="EQ329" s="376"/>
      <c r="ER329" s="376"/>
      <c r="ES329" s="376"/>
      <c r="ET329" s="376"/>
      <c r="EU329" s="376"/>
      <c r="EV329" s="376"/>
      <c r="EW329" s="376"/>
      <c r="EX329" s="376"/>
      <c r="EY329" s="376"/>
      <c r="EZ329" s="376"/>
      <c r="FA329" s="43"/>
      <c r="FB329" s="43"/>
      <c r="FC329" s="43"/>
      <c r="FD329" s="43"/>
      <c r="FE329" s="43"/>
      <c r="FF329" s="43"/>
      <c r="FG329" s="43"/>
      <c r="FH329" s="43"/>
      <c r="FI329" s="79"/>
      <c r="FJ329" s="79"/>
      <c r="FK329" s="79"/>
      <c r="FL329" s="79"/>
      <c r="FM329" s="338"/>
      <c r="FN329" s="338"/>
      <c r="FO329" s="338"/>
      <c r="FP329" s="47"/>
      <c r="FQ329" s="47"/>
      <c r="FR329" s="47"/>
      <c r="FS329" s="47"/>
      <c r="FT329" s="47"/>
      <c r="FU329" s="338"/>
      <c r="FV329" s="338"/>
      <c r="FW329" s="338"/>
      <c r="FX329" s="338"/>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99"/>
      <c r="HO329" s="399"/>
      <c r="HP329" s="399"/>
      <c r="HQ329" s="13"/>
      <c r="HR329" s="13"/>
      <c r="HS329" s="13"/>
      <c r="HT329" s="13"/>
      <c r="HU329" s="13"/>
      <c r="HV329" s="13"/>
      <c r="HW329" s="13"/>
      <c r="HX329" s="13"/>
      <c r="HY329" s="13"/>
      <c r="HZ329" s="13"/>
      <c r="IA329" s="13"/>
    </row>
    <row r="330" spans="1:235" ht="16.95" customHeight="1">
      <c r="A330" s="1"/>
      <c r="B330" s="3"/>
      <c r="C330" s="3"/>
      <c r="D330" s="124" t="str">
        <f ca="1">IF(FN320=0,"","noemen), er geen welvaart verloren gaat omdat de verkoper dan maximale")</f>
        <v/>
      </c>
      <c r="E330" s="414"/>
      <c r="F330" s="414"/>
      <c r="G330" s="414"/>
      <c r="H330" s="414"/>
      <c r="I330" s="414"/>
      <c r="J330" s="376"/>
      <c r="K330" s="376"/>
      <c r="L330" s="376"/>
      <c r="M330" s="376"/>
      <c r="N330" s="376"/>
      <c r="O330" s="376"/>
      <c r="P330" s="376"/>
      <c r="Q330" s="376"/>
      <c r="R330" s="376"/>
      <c r="S330" s="376"/>
      <c r="T330" s="376"/>
      <c r="U330" s="376"/>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376"/>
      <c r="CQ330" s="376"/>
      <c r="CR330" s="376"/>
      <c r="CS330" s="376"/>
      <c r="CT330" s="376"/>
      <c r="CU330" s="376"/>
      <c r="CV330" s="376"/>
      <c r="CW330" s="376"/>
      <c r="CX330" s="376"/>
      <c r="CY330" s="376"/>
      <c r="CZ330" s="376"/>
      <c r="DA330" s="376"/>
      <c r="DB330" s="376"/>
      <c r="DC330" s="376"/>
      <c r="DD330" s="376"/>
      <c r="DE330" s="376"/>
      <c r="DF330" s="376"/>
      <c r="DG330" s="376"/>
      <c r="DH330" s="376"/>
      <c r="DI330" s="376"/>
      <c r="DJ330" s="376"/>
      <c r="DK330" s="376"/>
      <c r="DL330" s="376"/>
      <c r="DM330" s="376"/>
      <c r="DN330" s="376"/>
      <c r="DO330" s="376"/>
      <c r="DP330" s="376"/>
      <c r="DQ330" s="376"/>
      <c r="DR330" s="376"/>
      <c r="DS330" s="376"/>
      <c r="DT330" s="376"/>
      <c r="DU330" s="376"/>
      <c r="DV330" s="376"/>
      <c r="DW330" s="376"/>
      <c r="DX330" s="376"/>
      <c r="DY330" s="376"/>
      <c r="DZ330" s="376"/>
      <c r="EA330" s="376"/>
      <c r="EB330" s="376"/>
      <c r="EC330" s="376"/>
      <c r="ED330" s="376"/>
      <c r="EE330" s="376"/>
      <c r="EF330" s="376"/>
      <c r="EG330" s="376"/>
      <c r="EH330" s="376"/>
      <c r="EI330" s="376"/>
      <c r="EJ330" s="376"/>
      <c r="EK330" s="376"/>
      <c r="EL330" s="376"/>
      <c r="EM330" s="376"/>
      <c r="EN330" s="376"/>
      <c r="EO330" s="376"/>
      <c r="EP330" s="376"/>
      <c r="EQ330" s="376"/>
      <c r="ER330" s="376"/>
      <c r="ES330" s="376"/>
      <c r="ET330" s="376"/>
      <c r="EU330" s="376"/>
      <c r="EV330" s="376"/>
      <c r="EW330" s="376"/>
      <c r="EX330" s="376"/>
      <c r="EY330" s="376"/>
      <c r="EZ330" s="376"/>
      <c r="FA330" s="43"/>
      <c r="FB330" s="43"/>
      <c r="FC330" s="43"/>
      <c r="FD330" s="43"/>
      <c r="FE330" s="43"/>
      <c r="FF330" s="43"/>
      <c r="FG330" s="43"/>
      <c r="FH330" s="43"/>
      <c r="FI330" s="79"/>
      <c r="FJ330" s="79"/>
      <c r="FK330" s="79"/>
      <c r="FL330" s="79"/>
      <c r="FM330" s="338"/>
      <c r="FN330" s="338"/>
      <c r="FO330" s="338"/>
      <c r="FP330" s="47"/>
      <c r="FQ330" s="47"/>
      <c r="FR330" s="47"/>
      <c r="FS330" s="47"/>
      <c r="FT330" s="47"/>
      <c r="FU330" s="338"/>
      <c r="FV330" s="338"/>
      <c r="FW330" s="338"/>
      <c r="FX330" s="338"/>
      <c r="FY330" s="32"/>
      <c r="FZ330" s="32"/>
      <c r="GA330" s="32"/>
      <c r="GB330" s="32"/>
      <c r="GC330" s="32"/>
      <c r="GD330" s="32"/>
      <c r="GE330" s="32"/>
      <c r="GF330" s="32"/>
      <c r="GG330" s="32"/>
      <c r="GH330" s="32"/>
      <c r="GI330" s="32"/>
      <c r="GJ330" s="32"/>
      <c r="GK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99"/>
      <c r="HO330" s="399"/>
      <c r="HP330" s="399"/>
      <c r="HQ330" s="13"/>
      <c r="HR330" s="13"/>
      <c r="HS330" s="13"/>
      <c r="HT330" s="13"/>
      <c r="HU330" s="13"/>
      <c r="HV330" s="13"/>
      <c r="HW330" s="13"/>
      <c r="HX330" s="13"/>
      <c r="HY330" s="13"/>
      <c r="HZ330" s="13"/>
      <c r="IA330" s="13"/>
    </row>
    <row r="331" spans="1:235" ht="16.95" customHeight="1">
      <c r="A331" s="1"/>
      <c r="B331" s="3"/>
      <c r="C331" s="3"/>
      <c r="D331" s="124" t="str">
        <f ca="1">IF(FN320=0,"","winst behaalt bij de hoeveelheid die ook bij volkomen concurrentie zou zijn")</f>
        <v/>
      </c>
      <c r="E331" s="414"/>
      <c r="F331" s="414"/>
      <c r="G331" s="414"/>
      <c r="H331" s="414"/>
      <c r="I331" s="414"/>
      <c r="J331" s="376"/>
      <c r="K331" s="376"/>
      <c r="L331" s="376"/>
      <c r="M331" s="376"/>
      <c r="N331" s="376"/>
      <c r="O331" s="376"/>
      <c r="P331" s="376"/>
      <c r="Q331" s="376"/>
      <c r="R331" s="376"/>
      <c r="S331" s="376"/>
      <c r="T331" s="376"/>
      <c r="U331" s="376"/>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376"/>
      <c r="CQ331" s="376"/>
      <c r="CR331" s="376"/>
      <c r="CS331" s="376"/>
      <c r="CT331" s="376"/>
      <c r="CU331" s="376"/>
      <c r="CV331" s="376"/>
      <c r="CW331" s="376"/>
      <c r="CX331" s="376"/>
      <c r="CY331" s="376"/>
      <c r="CZ331" s="376"/>
      <c r="DA331" s="376"/>
      <c r="DB331" s="376"/>
      <c r="DC331" s="376"/>
      <c r="DD331" s="376"/>
      <c r="DE331" s="376"/>
      <c r="DF331" s="376"/>
      <c r="DG331" s="376"/>
      <c r="DH331" s="376"/>
      <c r="DI331" s="376"/>
      <c r="DJ331" s="376"/>
      <c r="DK331" s="376"/>
      <c r="DL331" s="376"/>
      <c r="DM331" s="376"/>
      <c r="DN331" s="376"/>
      <c r="DO331" s="376"/>
      <c r="DP331" s="376"/>
      <c r="DQ331" s="376"/>
      <c r="DR331" s="376"/>
      <c r="DS331" s="376"/>
      <c r="DT331" s="376"/>
      <c r="DU331" s="376"/>
      <c r="DV331" s="376"/>
      <c r="DW331" s="376"/>
      <c r="DX331" s="376"/>
      <c r="DY331" s="376"/>
      <c r="DZ331" s="376"/>
      <c r="EA331" s="376"/>
      <c r="EB331" s="376"/>
      <c r="EC331" s="376"/>
      <c r="ED331" s="376"/>
      <c r="EE331" s="376"/>
      <c r="EF331" s="376"/>
      <c r="EG331" s="376"/>
      <c r="EH331" s="376"/>
      <c r="EI331" s="376"/>
      <c r="EJ331" s="376"/>
      <c r="EK331" s="376"/>
      <c r="EL331" s="376"/>
      <c r="EM331" s="376"/>
      <c r="EN331" s="376"/>
      <c r="EO331" s="376"/>
      <c r="EP331" s="376"/>
      <c r="EQ331" s="376"/>
      <c r="ER331" s="376"/>
      <c r="ES331" s="376"/>
      <c r="ET331" s="376"/>
      <c r="EU331" s="376"/>
      <c r="EV331" s="376"/>
      <c r="EW331" s="376"/>
      <c r="EX331" s="376"/>
      <c r="EY331" s="376"/>
      <c r="EZ331" s="376"/>
      <c r="FA331" s="43"/>
      <c r="FB331" s="43"/>
      <c r="FC331" s="43"/>
      <c r="FD331" s="43"/>
      <c r="FE331" s="43"/>
      <c r="FF331" s="43"/>
      <c r="FG331" s="43"/>
      <c r="FH331" s="43"/>
      <c r="FI331" s="79"/>
      <c r="FJ331" s="79"/>
      <c r="FK331" s="79"/>
      <c r="FL331" s="79"/>
      <c r="FM331" s="338"/>
      <c r="FN331" s="338"/>
      <c r="FO331" s="338"/>
      <c r="FP331" s="47"/>
      <c r="FQ331" s="47"/>
      <c r="FR331" s="47"/>
      <c r="FS331" s="47"/>
      <c r="FT331" s="47"/>
      <c r="FU331" s="338"/>
      <c r="FV331" s="338"/>
      <c r="FW331" s="338"/>
      <c r="FX331" s="338"/>
      <c r="FY331" s="32"/>
      <c r="FZ331" s="32"/>
      <c r="GA331" s="32"/>
      <c r="GB331" s="32"/>
      <c r="GC331" s="32"/>
      <c r="GD331" s="32"/>
      <c r="GE331" s="32"/>
      <c r="GF331" s="32"/>
      <c r="GG331" s="32"/>
      <c r="GH331" s="32"/>
      <c r="GI331" s="32"/>
      <c r="GJ331" s="32"/>
      <c r="GK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99"/>
      <c r="HO331" s="399"/>
      <c r="HP331" s="399"/>
      <c r="HQ331" s="13"/>
      <c r="HR331" s="13"/>
      <c r="HS331" s="13"/>
      <c r="HT331" s="13"/>
      <c r="HU331" s="13"/>
      <c r="HV331" s="13"/>
      <c r="HW331" s="13"/>
      <c r="HX331" s="13"/>
      <c r="HY331" s="13"/>
      <c r="HZ331" s="13"/>
      <c r="IA331" s="13"/>
    </row>
    <row r="332" spans="1:235" ht="16.95" customHeight="1">
      <c r="A332" s="1"/>
      <c r="B332" s="3"/>
      <c r="C332" s="3"/>
      <c r="D332" s="124" t="str">
        <f ca="1">IF(FN320=0,"","aangeboden. Dat komt omdat hij meer kan gaan aanbieden omdat nu niet")</f>
        <v/>
      </c>
      <c r="E332" s="414"/>
      <c r="F332" s="414"/>
      <c r="G332" s="414"/>
      <c r="H332" s="414"/>
      <c r="I332" s="414"/>
      <c r="J332" s="376"/>
      <c r="K332" s="376"/>
      <c r="L332" s="376"/>
      <c r="M332" s="376"/>
      <c r="N332" s="376"/>
      <c r="O332" s="376"/>
      <c r="P332" s="376"/>
      <c r="Q332" s="376"/>
      <c r="R332" s="376"/>
      <c r="S332" s="376"/>
      <c r="T332" s="376"/>
      <c r="U332" s="376"/>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376"/>
      <c r="CQ332" s="376"/>
      <c r="CR332" s="376"/>
      <c r="CS332" s="376"/>
      <c r="CT332" s="376"/>
      <c r="CU332" s="376"/>
      <c r="CV332" s="376"/>
      <c r="CW332" s="376"/>
      <c r="CX332" s="376"/>
      <c r="CY332" s="376"/>
      <c r="CZ332" s="376"/>
      <c r="DA332" s="376"/>
      <c r="DB332" s="376"/>
      <c r="DC332" s="376"/>
      <c r="DD332" s="376"/>
      <c r="DE332" s="376"/>
      <c r="DF332" s="376"/>
      <c r="DG332" s="376"/>
      <c r="DH332" s="376"/>
      <c r="DI332" s="376"/>
      <c r="DJ332" s="376"/>
      <c r="DK332" s="376"/>
      <c r="DL332" s="376"/>
      <c r="DM332" s="376"/>
      <c r="DN332" s="376"/>
      <c r="DO332" s="376"/>
      <c r="DP332" s="376"/>
      <c r="DQ332" s="376"/>
      <c r="DR332" s="376"/>
      <c r="DS332" s="376"/>
      <c r="DT332" s="376"/>
      <c r="DU332" s="376"/>
      <c r="DV332" s="376"/>
      <c r="DW332" s="376"/>
      <c r="DX332" s="376"/>
      <c r="DY332" s="376"/>
      <c r="DZ332" s="376"/>
      <c r="EA332" s="376"/>
      <c r="EB332" s="376"/>
      <c r="EC332" s="376"/>
      <c r="ED332" s="376"/>
      <c r="EE332" s="376"/>
      <c r="EF332" s="376"/>
      <c r="EG332" s="376"/>
      <c r="EH332" s="376"/>
      <c r="EI332" s="376"/>
      <c r="EJ332" s="376"/>
      <c r="EK332" s="376"/>
      <c r="EL332" s="376"/>
      <c r="EM332" s="376"/>
      <c r="EN332" s="376"/>
      <c r="EO332" s="376"/>
      <c r="EP332" s="376"/>
      <c r="EQ332" s="376"/>
      <c r="ER332" s="376"/>
      <c r="ES332" s="376"/>
      <c r="ET332" s="376"/>
      <c r="EU332" s="376"/>
      <c r="EV332" s="376"/>
      <c r="EW332" s="376"/>
      <c r="EX332" s="376"/>
      <c r="EY332" s="376"/>
      <c r="EZ332" s="376"/>
      <c r="FA332" s="43"/>
      <c r="FB332" s="43"/>
      <c r="FC332" s="43"/>
      <c r="FD332" s="43"/>
      <c r="FE332" s="43"/>
      <c r="FF332" s="43"/>
      <c r="FG332" s="43"/>
      <c r="FH332" s="43"/>
      <c r="FI332" s="79"/>
      <c r="FJ332" s="79"/>
      <c r="FK332" s="79"/>
      <c r="FL332" s="79"/>
      <c r="FM332" s="338"/>
      <c r="FN332" s="338"/>
      <c r="FO332" s="338"/>
      <c r="FP332" s="47"/>
      <c r="FQ332" s="47"/>
      <c r="FR332" s="47"/>
      <c r="FS332" s="47"/>
      <c r="FT332" s="47"/>
      <c r="FU332" s="338"/>
      <c r="FV332" s="338"/>
      <c r="FW332" s="338"/>
      <c r="FX332" s="338"/>
      <c r="FY332" s="32"/>
      <c r="FZ332" s="32"/>
      <c r="GA332" s="32"/>
      <c r="GB332" s="32"/>
      <c r="GC332" s="32"/>
      <c r="GD332" s="32"/>
      <c r="GE332" s="32"/>
      <c r="GF332" s="32"/>
      <c r="GG332" s="32"/>
      <c r="GH332" s="32"/>
      <c r="GI332" s="32"/>
      <c r="GJ332" s="32"/>
      <c r="GK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99"/>
      <c r="HO332" s="399"/>
      <c r="HP332" s="399"/>
      <c r="HQ332" s="13"/>
      <c r="HR332" s="13"/>
      <c r="HS332" s="13"/>
      <c r="HT332" s="13"/>
      <c r="HU332" s="13"/>
      <c r="HV332" s="13"/>
      <c r="HW332" s="13"/>
      <c r="HX332" s="13"/>
      <c r="HY332" s="13"/>
      <c r="HZ332" s="13"/>
      <c r="IA332" s="13"/>
    </row>
    <row r="333" spans="1:235" ht="16.95" customHeight="1">
      <c r="A333" s="1"/>
      <c r="B333" s="3"/>
      <c r="C333" s="3"/>
      <c r="D333" s="124" t="str">
        <f ca="1">IF(FN320=0,"","meer geldt dat als hij meer wil verkopen, hij de prijs voor al zijn kopers")</f>
        <v/>
      </c>
      <c r="E333" s="414"/>
      <c r="F333" s="414"/>
      <c r="G333" s="414"/>
      <c r="H333" s="414"/>
      <c r="I333" s="414"/>
      <c r="J333" s="376"/>
      <c r="K333" s="376"/>
      <c r="L333" s="376"/>
      <c r="M333" s="376"/>
      <c r="N333" s="376"/>
      <c r="O333" s="376"/>
      <c r="P333" s="376"/>
      <c r="Q333" s="376"/>
      <c r="R333" s="376"/>
      <c r="S333" s="376"/>
      <c r="T333" s="376"/>
      <c r="U333" s="376"/>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376"/>
      <c r="CQ333" s="376"/>
      <c r="CR333" s="376"/>
      <c r="CS333" s="376"/>
      <c r="CT333" s="376"/>
      <c r="CU333" s="376"/>
      <c r="CV333" s="376"/>
      <c r="CW333" s="376"/>
      <c r="CX333" s="376"/>
      <c r="CY333" s="376"/>
      <c r="CZ333" s="376"/>
      <c r="DA333" s="376"/>
      <c r="DB333" s="376"/>
      <c r="DC333" s="376"/>
      <c r="DD333" s="376"/>
      <c r="DE333" s="376"/>
      <c r="DF333" s="376"/>
      <c r="DG333" s="376"/>
      <c r="DH333" s="376"/>
      <c r="DI333" s="376"/>
      <c r="DJ333" s="376"/>
      <c r="DK333" s="376"/>
      <c r="DL333" s="376"/>
      <c r="DM333" s="376"/>
      <c r="DN333" s="376"/>
      <c r="DO333" s="376"/>
      <c r="DP333" s="376"/>
      <c r="DQ333" s="376"/>
      <c r="DR333" s="376"/>
      <c r="DS333" s="376"/>
      <c r="DT333" s="376"/>
      <c r="DU333" s="376"/>
      <c r="DV333" s="376"/>
      <c r="DW333" s="376"/>
      <c r="DX333" s="376"/>
      <c r="DY333" s="376"/>
      <c r="DZ333" s="376"/>
      <c r="EA333" s="376"/>
      <c r="EB333" s="376"/>
      <c r="EC333" s="376"/>
      <c r="ED333" s="376"/>
      <c r="EE333" s="376"/>
      <c r="EF333" s="376"/>
      <c r="EG333" s="376"/>
      <c r="EH333" s="376"/>
      <c r="EI333" s="376"/>
      <c r="EJ333" s="376"/>
      <c r="EK333" s="376"/>
      <c r="EL333" s="376"/>
      <c r="EM333" s="376"/>
      <c r="EN333" s="376"/>
      <c r="EO333" s="376"/>
      <c r="EP333" s="376"/>
      <c r="EQ333" s="376"/>
      <c r="ER333" s="376"/>
      <c r="ES333" s="376"/>
      <c r="ET333" s="376"/>
      <c r="EU333" s="376"/>
      <c r="EV333" s="376"/>
      <c r="EW333" s="376"/>
      <c r="EX333" s="376"/>
      <c r="EY333" s="376"/>
      <c r="EZ333" s="376"/>
      <c r="FA333" s="43"/>
      <c r="FB333" s="43"/>
      <c r="FC333" s="43"/>
      <c r="FD333" s="43"/>
      <c r="FE333" s="43"/>
      <c r="FF333" s="43"/>
      <c r="FG333" s="43"/>
      <c r="FH333" s="43"/>
      <c r="FI333" s="79"/>
      <c r="FJ333" s="79"/>
      <c r="FK333" s="79"/>
      <c r="FL333" s="79"/>
      <c r="FM333" s="338"/>
      <c r="FN333" s="338"/>
      <c r="FO333" s="338"/>
      <c r="FP333" s="47"/>
      <c r="FQ333" s="47"/>
      <c r="FR333" s="47"/>
      <c r="FS333" s="47"/>
      <c r="FT333" s="47"/>
      <c r="FU333" s="338"/>
      <c r="FV333" s="338"/>
      <c r="FW333" s="338"/>
      <c r="FX333" s="338"/>
      <c r="FY333" s="32"/>
      <c r="FZ333" s="32"/>
      <c r="GA333" s="32"/>
      <c r="GB333" s="32"/>
      <c r="GC333" s="32"/>
      <c r="GD333" s="32"/>
      <c r="GE333" s="32"/>
      <c r="GF333" s="32"/>
      <c r="GG333" s="32"/>
      <c r="GH333" s="32"/>
      <c r="GI333" s="32"/>
      <c r="GJ333" s="32"/>
      <c r="GK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99"/>
      <c r="HO333" s="399"/>
      <c r="HP333" s="399"/>
      <c r="HQ333" s="13"/>
      <c r="HR333" s="13"/>
      <c r="HS333" s="13"/>
      <c r="HT333" s="13"/>
      <c r="HU333" s="13"/>
      <c r="HV333" s="13"/>
      <c r="HW333" s="13"/>
      <c r="HX333" s="13"/>
      <c r="HY333" s="13"/>
      <c r="HZ333" s="13"/>
      <c r="IA333" s="13"/>
    </row>
    <row r="334" spans="1:235" ht="16.95" customHeight="1">
      <c r="A334" s="1"/>
      <c r="B334" s="3"/>
      <c r="C334" s="3"/>
      <c r="D334" s="124" t="str">
        <f ca="1">IF(FN320=0,"","moet verlagen. Elke eenheid die hij extra verkoopt, laat nu zijn totale winst")</f>
        <v/>
      </c>
      <c r="E334" s="414"/>
      <c r="F334" s="414"/>
      <c r="G334" s="414"/>
      <c r="H334" s="414"/>
      <c r="I334" s="414"/>
      <c r="J334" s="376"/>
      <c r="K334" s="376"/>
      <c r="L334" s="376"/>
      <c r="M334" s="376"/>
      <c r="N334" s="376"/>
      <c r="O334" s="376"/>
      <c r="P334" s="376"/>
      <c r="Q334" s="376"/>
      <c r="R334" s="376"/>
      <c r="S334" s="376"/>
      <c r="T334" s="376"/>
      <c r="U334" s="376"/>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376"/>
      <c r="CQ334" s="376"/>
      <c r="CR334" s="376"/>
      <c r="CS334" s="376"/>
      <c r="CT334" s="376"/>
      <c r="CU334" s="376"/>
      <c r="CV334" s="376"/>
      <c r="CW334" s="376"/>
      <c r="CX334" s="376"/>
      <c r="CY334" s="376"/>
      <c r="CZ334" s="376"/>
      <c r="DA334" s="376"/>
      <c r="DB334" s="376"/>
      <c r="DC334" s="376"/>
      <c r="DD334" s="376"/>
      <c r="DE334" s="376"/>
      <c r="DF334" s="376"/>
      <c r="DG334" s="376"/>
      <c r="DH334" s="376"/>
      <c r="DI334" s="376"/>
      <c r="DJ334" s="376"/>
      <c r="DK334" s="376"/>
      <c r="DL334" s="376"/>
      <c r="DM334" s="376"/>
      <c r="DN334" s="376"/>
      <c r="DO334" s="376"/>
      <c r="DP334" s="376"/>
      <c r="DQ334" s="376"/>
      <c r="DR334" s="376"/>
      <c r="DS334" s="376"/>
      <c r="DT334" s="376"/>
      <c r="DU334" s="376"/>
      <c r="DV334" s="376"/>
      <c r="DW334" s="376"/>
      <c r="DX334" s="376"/>
      <c r="DY334" s="376"/>
      <c r="DZ334" s="376"/>
      <c r="EA334" s="376"/>
      <c r="EB334" s="376"/>
      <c r="EC334" s="376"/>
      <c r="ED334" s="376"/>
      <c r="EE334" s="376"/>
      <c r="EF334" s="376"/>
      <c r="EG334" s="376"/>
      <c r="EH334" s="376"/>
      <c r="EI334" s="376"/>
      <c r="EJ334" s="376"/>
      <c r="EK334" s="376"/>
      <c r="EL334" s="376"/>
      <c r="EM334" s="376"/>
      <c r="EN334" s="376"/>
      <c r="EO334" s="376"/>
      <c r="EP334" s="376"/>
      <c r="EQ334" s="376"/>
      <c r="ER334" s="376"/>
      <c r="ES334" s="376"/>
      <c r="ET334" s="376"/>
      <c r="EU334" s="376"/>
      <c r="EV334" s="376"/>
      <c r="EW334" s="376"/>
      <c r="EX334" s="376"/>
      <c r="EY334" s="376"/>
      <c r="EZ334" s="376"/>
      <c r="FA334" s="43"/>
      <c r="FB334" s="43"/>
      <c r="FC334" s="43"/>
      <c r="FD334" s="43"/>
      <c r="FE334" s="43"/>
      <c r="FF334" s="43"/>
      <c r="FG334" s="43"/>
      <c r="FH334" s="43"/>
      <c r="FI334" s="79"/>
      <c r="FJ334" s="79"/>
      <c r="FK334" s="79"/>
      <c r="FL334" s="79"/>
      <c r="FM334" s="338"/>
      <c r="FN334" s="338"/>
      <c r="FO334" s="338"/>
      <c r="FP334" s="47"/>
      <c r="FQ334" s="47"/>
      <c r="FR334" s="47"/>
      <c r="FS334" s="47"/>
      <c r="FT334" s="47"/>
      <c r="FU334" s="338"/>
      <c r="FV334" s="338"/>
      <c r="FW334" s="338"/>
      <c r="FX334" s="338"/>
      <c r="FY334" s="32"/>
      <c r="FZ334" s="32"/>
      <c r="GA334" s="32"/>
      <c r="GB334" s="32"/>
      <c r="GC334" s="32"/>
      <c r="GD334" s="32"/>
      <c r="GE334" s="32"/>
      <c r="GF334" s="32"/>
      <c r="GG334" s="32"/>
      <c r="GH334" s="32"/>
      <c r="GI334" s="32"/>
      <c r="GJ334" s="32"/>
      <c r="GK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99"/>
      <c r="HO334" s="399"/>
      <c r="HP334" s="399"/>
      <c r="HQ334" s="13"/>
      <c r="HR334" s="13"/>
      <c r="HS334" s="13"/>
      <c r="HT334" s="13"/>
      <c r="HU334" s="13"/>
      <c r="HV334" s="13"/>
      <c r="HW334" s="13"/>
      <c r="HX334" s="13"/>
      <c r="HY334" s="13"/>
      <c r="HZ334" s="13"/>
      <c r="IA334" s="13"/>
    </row>
    <row r="335" spans="1:235" ht="16.95" customHeight="1">
      <c r="A335" s="1"/>
      <c r="B335" s="3"/>
      <c r="C335" s="3"/>
      <c r="D335" s="124" t="str">
        <f ca="1">IF(FN320=0,"","stijgen, zolang de prijs van deze extra eenheid maar boven de extra kosten")</f>
        <v/>
      </c>
      <c r="E335" s="414"/>
      <c r="F335" s="414"/>
      <c r="G335" s="414"/>
      <c r="H335" s="414"/>
      <c r="I335" s="414"/>
      <c r="J335" s="376"/>
      <c r="K335" s="376"/>
      <c r="L335" s="376"/>
      <c r="M335" s="376"/>
      <c r="N335" s="376"/>
      <c r="O335" s="376"/>
      <c r="P335" s="376"/>
      <c r="Q335" s="376"/>
      <c r="R335" s="376"/>
      <c r="S335" s="376"/>
      <c r="T335" s="376"/>
      <c r="U335" s="376"/>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376"/>
      <c r="CQ335" s="376"/>
      <c r="CR335" s="376"/>
      <c r="CS335" s="376"/>
      <c r="CT335" s="376"/>
      <c r="CU335" s="376"/>
      <c r="CV335" s="376"/>
      <c r="CW335" s="376"/>
      <c r="CX335" s="376"/>
      <c r="CY335" s="376"/>
      <c r="CZ335" s="376"/>
      <c r="DA335" s="376"/>
      <c r="DB335" s="376"/>
      <c r="DC335" s="376"/>
      <c r="DD335" s="376"/>
      <c r="DE335" s="376"/>
      <c r="DF335" s="376"/>
      <c r="DG335" s="376"/>
      <c r="DH335" s="376"/>
      <c r="DI335" s="376"/>
      <c r="DJ335" s="376"/>
      <c r="DK335" s="376"/>
      <c r="DL335" s="376"/>
      <c r="DM335" s="376"/>
      <c r="DN335" s="376"/>
      <c r="DO335" s="376"/>
      <c r="DP335" s="376"/>
      <c r="DQ335" s="376"/>
      <c r="DR335" s="376"/>
      <c r="DS335" s="376"/>
      <c r="DT335" s="376"/>
      <c r="DU335" s="376"/>
      <c r="DV335" s="376"/>
      <c r="DW335" s="376"/>
      <c r="DX335" s="376"/>
      <c r="DY335" s="376"/>
      <c r="DZ335" s="376"/>
      <c r="EA335" s="376"/>
      <c r="EB335" s="376"/>
      <c r="EC335" s="376"/>
      <c r="ED335" s="376"/>
      <c r="EE335" s="376"/>
      <c r="EF335" s="376"/>
      <c r="EG335" s="376"/>
      <c r="EH335" s="376"/>
      <c r="EI335" s="376"/>
      <c r="EJ335" s="376"/>
      <c r="EK335" s="376"/>
      <c r="EL335" s="376"/>
      <c r="EM335" s="376"/>
      <c r="EN335" s="376"/>
      <c r="EO335" s="376"/>
      <c r="EP335" s="376"/>
      <c r="EQ335" s="376"/>
      <c r="ER335" s="376"/>
      <c r="ES335" s="376"/>
      <c r="ET335" s="376"/>
      <c r="EU335" s="376"/>
      <c r="EV335" s="376"/>
      <c r="EW335" s="376"/>
      <c r="EX335" s="376"/>
      <c r="EY335" s="376"/>
      <c r="EZ335" s="376"/>
      <c r="FA335" s="43"/>
      <c r="FB335" s="43"/>
      <c r="FC335" s="43"/>
      <c r="FD335" s="43"/>
      <c r="FE335" s="43"/>
      <c r="FF335" s="43"/>
      <c r="FG335" s="43"/>
      <c r="FH335" s="43"/>
      <c r="FI335" s="79"/>
      <c r="FJ335" s="79"/>
      <c r="FK335" s="79"/>
      <c r="FL335" s="79"/>
      <c r="FM335" s="338"/>
      <c r="FN335" s="338"/>
      <c r="FO335" s="338"/>
      <c r="FP335" s="47"/>
      <c r="FQ335" s="47"/>
      <c r="FR335" s="47"/>
      <c r="FS335" s="47"/>
      <c r="FT335" s="47"/>
      <c r="FU335" s="338"/>
      <c r="FV335" s="338"/>
      <c r="FW335" s="338"/>
      <c r="FX335" s="338"/>
      <c r="FY335" s="32"/>
      <c r="FZ335" s="32"/>
      <c r="GA335" s="32"/>
      <c r="GB335" s="32"/>
      <c r="GC335" s="32"/>
      <c r="GD335" s="32"/>
      <c r="GE335" s="32"/>
      <c r="GF335" s="32"/>
      <c r="GG335" s="32"/>
      <c r="GH335" s="32"/>
      <c r="GI335" s="32"/>
      <c r="GJ335" s="32"/>
      <c r="GK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99"/>
      <c r="HO335" s="399"/>
      <c r="HP335" s="399"/>
      <c r="HQ335" s="13"/>
      <c r="HR335" s="13"/>
      <c r="HS335" s="13"/>
      <c r="HT335" s="13"/>
      <c r="HU335" s="13"/>
      <c r="HV335" s="13"/>
      <c r="HW335" s="13"/>
      <c r="HX335" s="13"/>
      <c r="HY335" s="13"/>
      <c r="HZ335" s="13"/>
      <c r="IA335" s="13"/>
    </row>
    <row r="336" spans="1:235" ht="16.95" customHeight="1">
      <c r="A336" s="1"/>
      <c r="B336" s="3"/>
      <c r="C336" s="3"/>
      <c r="D336" s="124" t="str">
        <f ca="1">IF(FN320=0,"","ervan (= marginale kosten) ligt. Dus zal hij die hoeveelheid aanbieden waarbij")</f>
        <v/>
      </c>
      <c r="E336" s="414"/>
      <c r="F336" s="414"/>
      <c r="G336" s="414"/>
      <c r="H336" s="414"/>
      <c r="I336" s="414"/>
      <c r="J336" s="376"/>
      <c r="K336" s="376"/>
      <c r="L336" s="376"/>
      <c r="M336" s="376"/>
      <c r="N336" s="376"/>
      <c r="O336" s="376"/>
      <c r="P336" s="376"/>
      <c r="Q336" s="376"/>
      <c r="R336" s="376"/>
      <c r="S336" s="376"/>
      <c r="T336" s="376"/>
      <c r="U336" s="376"/>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376"/>
      <c r="CQ336" s="376"/>
      <c r="CR336" s="376"/>
      <c r="CS336" s="376"/>
      <c r="CT336" s="376"/>
      <c r="CU336" s="376"/>
      <c r="CV336" s="376"/>
      <c r="CW336" s="376"/>
      <c r="CX336" s="376"/>
      <c r="CY336" s="376"/>
      <c r="CZ336" s="376"/>
      <c r="DA336" s="376"/>
      <c r="DB336" s="376"/>
      <c r="DC336" s="376"/>
      <c r="DD336" s="376"/>
      <c r="DE336" s="376"/>
      <c r="DF336" s="376"/>
      <c r="DG336" s="376"/>
      <c r="DH336" s="376"/>
      <c r="DI336" s="376"/>
      <c r="DJ336" s="376"/>
      <c r="DK336" s="376"/>
      <c r="DL336" s="376"/>
      <c r="DM336" s="376"/>
      <c r="DN336" s="376"/>
      <c r="DO336" s="376"/>
      <c r="DP336" s="376"/>
      <c r="DQ336" s="376"/>
      <c r="DR336" s="376"/>
      <c r="DS336" s="376"/>
      <c r="DT336" s="376"/>
      <c r="DU336" s="376"/>
      <c r="DV336" s="376"/>
      <c r="DW336" s="376"/>
      <c r="DX336" s="376"/>
      <c r="DY336" s="376"/>
      <c r="DZ336" s="376"/>
      <c r="EA336" s="376"/>
      <c r="EB336" s="376"/>
      <c r="EC336" s="376"/>
      <c r="ED336" s="376"/>
      <c r="EE336" s="376"/>
      <c r="EF336" s="376"/>
      <c r="EG336" s="376"/>
      <c r="EH336" s="376"/>
      <c r="EI336" s="376"/>
      <c r="EJ336" s="376"/>
      <c r="EK336" s="376"/>
      <c r="EL336" s="376"/>
      <c r="EM336" s="376"/>
      <c r="EN336" s="376"/>
      <c r="EO336" s="376"/>
      <c r="EP336" s="376"/>
      <c r="EQ336" s="376"/>
      <c r="ER336" s="376"/>
      <c r="ES336" s="376"/>
      <c r="ET336" s="376"/>
      <c r="EU336" s="376"/>
      <c r="EV336" s="376"/>
      <c r="EW336" s="376"/>
      <c r="EX336" s="376"/>
      <c r="EY336" s="376"/>
      <c r="EZ336" s="376"/>
      <c r="FA336" s="43"/>
      <c r="FB336" s="43"/>
      <c r="FC336" s="43"/>
      <c r="FD336" s="43"/>
      <c r="FE336" s="43"/>
      <c r="FF336" s="43"/>
      <c r="FG336" s="43"/>
      <c r="FH336" s="43"/>
      <c r="FI336" s="79"/>
      <c r="FJ336" s="79"/>
      <c r="FK336" s="79"/>
      <c r="FL336" s="79"/>
      <c r="FM336" s="338"/>
      <c r="FN336" s="338"/>
      <c r="FO336" s="338"/>
      <c r="FP336" s="47"/>
      <c r="FQ336" s="47"/>
      <c r="FR336" s="47"/>
      <c r="FS336" s="47"/>
      <c r="FT336" s="47"/>
      <c r="FU336" s="338"/>
      <c r="FV336" s="338"/>
      <c r="FW336" s="338"/>
      <c r="FX336" s="338"/>
      <c r="FY336" s="32"/>
      <c r="FZ336" s="32"/>
      <c r="GA336" s="32"/>
      <c r="GB336" s="32"/>
      <c r="GC336" s="32"/>
      <c r="GD336" s="32"/>
      <c r="GE336" s="32"/>
      <c r="GF336" s="32"/>
      <c r="GG336" s="32"/>
      <c r="GH336" s="32"/>
      <c r="GI336" s="32"/>
      <c r="GJ336" s="32"/>
      <c r="GK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99"/>
      <c r="HO336" s="399"/>
      <c r="HP336" s="399"/>
      <c r="HQ336" s="13"/>
      <c r="HR336" s="13"/>
      <c r="HS336" s="13"/>
      <c r="HT336" s="13"/>
      <c r="HU336" s="13"/>
      <c r="HV336" s="13"/>
      <c r="HW336" s="13"/>
      <c r="HX336" s="13"/>
      <c r="HY336" s="13"/>
      <c r="HZ336" s="13"/>
      <c r="IA336" s="13"/>
    </row>
    <row r="337" spans="1:235" ht="16.95" customHeight="1">
      <c r="A337" s="1"/>
      <c r="B337" s="3"/>
      <c r="C337" s="3"/>
      <c r="D337" s="124" t="str">
        <f ca="1">IF(FN320=0,"","geldt dat prijs = MK = aanbodlijn bij volkomen concurrentie. Je krijgt dan")</f>
        <v/>
      </c>
      <c r="E337" s="414"/>
      <c r="F337" s="414"/>
      <c r="G337" s="414"/>
      <c r="H337" s="414"/>
      <c r="I337" s="414"/>
      <c r="J337" s="376"/>
      <c r="K337" s="376"/>
      <c r="L337" s="376"/>
      <c r="M337" s="376"/>
      <c r="N337" s="376"/>
      <c r="O337" s="376"/>
      <c r="P337" s="376"/>
      <c r="Q337" s="376"/>
      <c r="R337" s="376"/>
      <c r="S337" s="376"/>
      <c r="T337" s="376"/>
      <c r="U337" s="376"/>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376"/>
      <c r="CQ337" s="376"/>
      <c r="CR337" s="376"/>
      <c r="CS337" s="376"/>
      <c r="CT337" s="376"/>
      <c r="CU337" s="376"/>
      <c r="CV337" s="376"/>
      <c r="CW337" s="376"/>
      <c r="CX337" s="376"/>
      <c r="CY337" s="376"/>
      <c r="CZ337" s="376"/>
      <c r="DA337" s="376"/>
      <c r="DB337" s="376"/>
      <c r="DC337" s="376"/>
      <c r="DD337" s="376"/>
      <c r="DE337" s="376"/>
      <c r="DF337" s="376"/>
      <c r="DG337" s="376"/>
      <c r="DH337" s="376"/>
      <c r="DI337" s="376"/>
      <c r="DJ337" s="376"/>
      <c r="DK337" s="376"/>
      <c r="DL337" s="376"/>
      <c r="DM337" s="376"/>
      <c r="DN337" s="376"/>
      <c r="DO337" s="376"/>
      <c r="DP337" s="376"/>
      <c r="DQ337" s="376"/>
      <c r="DR337" s="376"/>
      <c r="DS337" s="376"/>
      <c r="DT337" s="376"/>
      <c r="DU337" s="376"/>
      <c r="DV337" s="376"/>
      <c r="DW337" s="376"/>
      <c r="DX337" s="376"/>
      <c r="DY337" s="376"/>
      <c r="DZ337" s="376"/>
      <c r="EA337" s="376"/>
      <c r="EB337" s="376"/>
      <c r="EC337" s="376"/>
      <c r="ED337" s="376"/>
      <c r="EE337" s="376"/>
      <c r="EF337" s="376"/>
      <c r="EG337" s="376"/>
      <c r="EH337" s="376"/>
      <c r="EI337" s="376"/>
      <c r="EJ337" s="376"/>
      <c r="EK337" s="376"/>
      <c r="EL337" s="376"/>
      <c r="EM337" s="376"/>
      <c r="EN337" s="376"/>
      <c r="EO337" s="376"/>
      <c r="EP337" s="376"/>
      <c r="EQ337" s="376"/>
      <c r="ER337" s="376"/>
      <c r="ES337" s="376"/>
      <c r="ET337" s="376"/>
      <c r="EU337" s="376"/>
      <c r="EV337" s="376"/>
      <c r="EW337" s="376"/>
      <c r="EX337" s="376"/>
      <c r="EY337" s="376"/>
      <c r="EZ337" s="376"/>
      <c r="FA337" s="43"/>
      <c r="FB337" s="43"/>
      <c r="FC337" s="43"/>
      <c r="FD337" s="43"/>
      <c r="FE337" s="43"/>
      <c r="FF337" s="43"/>
      <c r="FG337" s="43"/>
      <c r="FH337" s="43"/>
      <c r="FI337" s="79"/>
      <c r="FJ337" s="79"/>
      <c r="FK337" s="79"/>
      <c r="FL337" s="79"/>
      <c r="FM337" s="338"/>
      <c r="FN337" s="338"/>
      <c r="FO337" s="338"/>
      <c r="FP337" s="47"/>
      <c r="FQ337" s="47"/>
      <c r="FR337" s="47"/>
      <c r="FS337" s="47"/>
      <c r="FT337" s="47"/>
      <c r="FU337" s="338"/>
      <c r="FV337" s="338"/>
      <c r="FW337" s="338"/>
      <c r="FX337" s="338"/>
      <c r="FY337" s="32"/>
      <c r="FZ337" s="32"/>
      <c r="GA337" s="32"/>
      <c r="GB337" s="32"/>
      <c r="GC337" s="32"/>
      <c r="GD337" s="32"/>
      <c r="GE337" s="32"/>
      <c r="GF337" s="32"/>
      <c r="GG337" s="32"/>
      <c r="GH337" s="32"/>
      <c r="GI337" s="32"/>
      <c r="GJ337" s="32"/>
      <c r="GK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99"/>
      <c r="HO337" s="399"/>
      <c r="HP337" s="399"/>
      <c r="HQ337" s="13"/>
      <c r="HR337" s="13"/>
      <c r="HS337" s="13"/>
      <c r="HT337" s="13"/>
      <c r="HU337" s="13"/>
      <c r="HV337" s="13"/>
      <c r="HW337" s="13"/>
      <c r="HX337" s="13"/>
      <c r="HY337" s="13"/>
      <c r="HZ337" s="13"/>
      <c r="IA337" s="13"/>
    </row>
    <row r="338" spans="1:235" ht="16.95" customHeight="1">
      <c r="A338" s="1"/>
      <c r="B338" s="3"/>
      <c r="C338" s="3"/>
      <c r="D338" s="124" t="str">
        <f ca="1">IF(FN320=0,"","dit plaatje (géén pd = zonder prijsdiscriminatie):")</f>
        <v/>
      </c>
      <c r="E338" s="414"/>
      <c r="F338" s="414"/>
      <c r="G338" s="414"/>
      <c r="H338" s="414"/>
      <c r="I338" s="414"/>
      <c r="J338" s="376"/>
      <c r="K338" s="376"/>
      <c r="L338" s="376"/>
      <c r="M338" s="376"/>
      <c r="N338" s="376"/>
      <c r="O338" s="376"/>
      <c r="P338" s="376"/>
      <c r="Q338" s="376"/>
      <c r="R338" s="376"/>
      <c r="S338" s="376"/>
      <c r="T338" s="376"/>
      <c r="U338" s="376"/>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376"/>
      <c r="CQ338" s="376"/>
      <c r="CR338" s="376"/>
      <c r="CS338" s="376"/>
      <c r="CT338" s="376"/>
      <c r="CU338" s="376"/>
      <c r="CV338" s="376"/>
      <c r="CW338" s="376"/>
      <c r="CX338" s="376"/>
      <c r="CY338" s="376"/>
      <c r="CZ338" s="376"/>
      <c r="DA338" s="376"/>
      <c r="DB338" s="376"/>
      <c r="DC338" s="376"/>
      <c r="DD338" s="376"/>
      <c r="DE338" s="376"/>
      <c r="DF338" s="376"/>
      <c r="DG338" s="376"/>
      <c r="DH338" s="376"/>
      <c r="DI338" s="376"/>
      <c r="DJ338" s="376"/>
      <c r="DK338" s="376"/>
      <c r="DL338" s="376"/>
      <c r="DM338" s="376"/>
      <c r="DN338" s="376"/>
      <c r="DO338" s="376"/>
      <c r="DP338" s="376"/>
      <c r="DQ338" s="376"/>
      <c r="DR338" s="376"/>
      <c r="DS338" s="376"/>
      <c r="DT338" s="376"/>
      <c r="DU338" s="376"/>
      <c r="DV338" s="376"/>
      <c r="DW338" s="376"/>
      <c r="DX338" s="376"/>
      <c r="DY338" s="376"/>
      <c r="DZ338" s="376"/>
      <c r="EA338" s="376"/>
      <c r="EB338" s="376"/>
      <c r="EC338" s="376"/>
      <c r="ED338" s="376"/>
      <c r="EE338" s="376"/>
      <c r="EF338" s="376"/>
      <c r="EG338" s="376"/>
      <c r="EH338" s="376"/>
      <c r="EI338" s="376"/>
      <c r="EJ338" s="376"/>
      <c r="EK338" s="376"/>
      <c r="EL338" s="376"/>
      <c r="EM338" s="376"/>
      <c r="EN338" s="376"/>
      <c r="EO338" s="376"/>
      <c r="EP338" s="376"/>
      <c r="EQ338" s="376"/>
      <c r="ER338" s="376"/>
      <c r="ES338" s="376"/>
      <c r="ET338" s="376"/>
      <c r="EU338" s="376"/>
      <c r="EV338" s="376"/>
      <c r="EW338" s="376"/>
      <c r="EX338" s="376"/>
      <c r="EY338" s="376"/>
      <c r="EZ338" s="376"/>
      <c r="FA338" s="43"/>
      <c r="FB338" s="43"/>
      <c r="FC338" s="43"/>
      <c r="FD338" s="43"/>
      <c r="FE338" s="43"/>
      <c r="FF338" s="43"/>
      <c r="FG338" s="43"/>
      <c r="FH338" s="43"/>
      <c r="FI338" s="79"/>
      <c r="FJ338" s="79"/>
      <c r="FK338" s="79"/>
      <c r="FL338" s="79"/>
      <c r="FM338" s="338"/>
      <c r="FN338" s="338"/>
      <c r="FO338" s="338"/>
      <c r="FP338" s="47"/>
      <c r="FQ338" s="47"/>
      <c r="FR338" s="47"/>
      <c r="FS338" s="47"/>
      <c r="FT338" s="47"/>
      <c r="FU338" s="338"/>
      <c r="FV338" s="338"/>
      <c r="FW338" s="338"/>
      <c r="FX338" s="338"/>
      <c r="FY338" s="32"/>
      <c r="FZ338" s="32"/>
      <c r="GA338" s="32"/>
      <c r="GB338" s="32"/>
      <c r="GC338" s="32"/>
      <c r="GD338" s="32"/>
      <c r="GE338" s="32"/>
      <c r="GF338" s="32"/>
      <c r="GG338" s="32"/>
      <c r="GH338" s="32"/>
      <c r="GI338" s="32"/>
      <c r="GJ338" s="32"/>
      <c r="GK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99"/>
      <c r="HO338" s="399"/>
      <c r="HP338" s="399"/>
      <c r="HQ338" s="13"/>
      <c r="HR338" s="13"/>
      <c r="HS338" s="13"/>
      <c r="HT338" s="13"/>
      <c r="HU338" s="13"/>
      <c r="HV338" s="13"/>
      <c r="HW338" s="13"/>
      <c r="HX338" s="13"/>
      <c r="HY338" s="13"/>
      <c r="HZ338" s="13"/>
      <c r="IA338" s="13"/>
    </row>
    <row r="339" spans="1:235" ht="16.95" customHeight="1">
      <c r="A339" s="1"/>
      <c r="B339" s="3"/>
      <c r="C339" s="3"/>
      <c r="D339" s="124"/>
      <c r="E339" s="414"/>
      <c r="F339" s="414"/>
      <c r="G339" s="414"/>
      <c r="H339" s="414"/>
      <c r="I339" s="414"/>
      <c r="J339" s="376"/>
      <c r="K339" s="376"/>
      <c r="L339" s="376"/>
      <c r="M339" s="376"/>
      <c r="N339" s="376"/>
      <c r="O339" s="376"/>
      <c r="P339" s="376"/>
      <c r="Q339" s="376"/>
      <c r="R339" s="376"/>
      <c r="S339" s="376"/>
      <c r="T339" s="376"/>
      <c r="U339" s="376"/>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376"/>
      <c r="CQ339" s="376"/>
      <c r="CR339" s="376"/>
      <c r="CS339" s="376"/>
      <c r="CT339" s="376"/>
      <c r="CU339" s="376"/>
      <c r="CV339" s="376"/>
      <c r="CW339" s="376"/>
      <c r="CX339" s="376"/>
      <c r="CY339" s="376"/>
      <c r="CZ339" s="376"/>
      <c r="DA339" s="376"/>
      <c r="DB339" s="376"/>
      <c r="DC339" s="376"/>
      <c r="DD339" s="376"/>
      <c r="DE339" s="376"/>
      <c r="DF339" s="376"/>
      <c r="DG339" s="376"/>
      <c r="DH339" s="376"/>
      <c r="DI339" s="376"/>
      <c r="DJ339" s="376"/>
      <c r="DK339" s="376"/>
      <c r="DL339" s="376"/>
      <c r="DM339" s="376"/>
      <c r="DN339" s="376"/>
      <c r="DO339" s="376"/>
      <c r="DP339" s="376"/>
      <c r="DQ339" s="376"/>
      <c r="DR339" s="376"/>
      <c r="DS339" s="376"/>
      <c r="DT339" s="376"/>
      <c r="DU339" s="376"/>
      <c r="DV339" s="376"/>
      <c r="DW339" s="376"/>
      <c r="DX339" s="376"/>
      <c r="DY339" s="376"/>
      <c r="DZ339" s="376"/>
      <c r="EA339" s="376"/>
      <c r="EB339" s="376"/>
      <c r="EC339" s="376"/>
      <c r="ED339" s="376"/>
      <c r="EE339" s="376"/>
      <c r="EF339" s="376"/>
      <c r="EG339" s="376"/>
      <c r="EH339" s="376"/>
      <c r="EI339" s="376"/>
      <c r="EJ339" s="376"/>
      <c r="EK339" s="376"/>
      <c r="EL339" s="376"/>
      <c r="EM339" s="376"/>
      <c r="EN339" s="376"/>
      <c r="EO339" s="376"/>
      <c r="EP339" s="376"/>
      <c r="EQ339" s="376"/>
      <c r="ER339" s="376"/>
      <c r="ES339" s="376"/>
      <c r="ET339" s="376"/>
      <c r="EU339" s="376"/>
      <c r="EV339" s="376"/>
      <c r="EW339" s="376"/>
      <c r="EX339" s="376"/>
      <c r="EY339" s="376"/>
      <c r="EZ339" s="376"/>
      <c r="FA339" s="43"/>
      <c r="FB339" s="43"/>
      <c r="FC339" s="43"/>
      <c r="FD339" s="43"/>
      <c r="FE339" s="43"/>
      <c r="FF339" s="43"/>
      <c r="FG339" s="43"/>
      <c r="FH339" s="43"/>
      <c r="FI339" s="79"/>
      <c r="FJ339" s="79"/>
      <c r="FK339" s="79"/>
      <c r="FL339" s="79"/>
      <c r="FM339" s="338"/>
      <c r="FN339" s="338"/>
      <c r="FO339" s="338"/>
      <c r="FP339" s="47"/>
      <c r="FQ339" s="47"/>
      <c r="FR339" s="47"/>
      <c r="FS339" s="47"/>
      <c r="FT339" s="47"/>
      <c r="FU339" s="338"/>
      <c r="FV339" s="338"/>
      <c r="FW339" s="338"/>
      <c r="FX339" s="338"/>
      <c r="FY339" s="32"/>
      <c r="FZ339" s="32"/>
      <c r="GA339" s="32"/>
      <c r="GB339" s="32"/>
      <c r="GC339" s="32"/>
      <c r="GD339" s="32"/>
      <c r="GE339" s="32"/>
      <c r="GF339" s="32"/>
      <c r="GG339" s="32"/>
      <c r="GH339" s="32"/>
      <c r="GI339" s="32"/>
      <c r="GJ339" s="32"/>
      <c r="GK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99"/>
      <c r="HO339" s="399"/>
      <c r="HP339" s="399"/>
      <c r="HQ339" s="13"/>
      <c r="HR339" s="13"/>
      <c r="HS339" s="13"/>
      <c r="HT339" s="13"/>
      <c r="HU339" s="13"/>
      <c r="HV339" s="13"/>
      <c r="HW339" s="13"/>
      <c r="HX339" s="13"/>
      <c r="HY339" s="13"/>
      <c r="HZ339" s="13"/>
      <c r="IA339" s="13"/>
    </row>
    <row r="340" spans="1:235" ht="16.95" customHeight="1">
      <c r="A340" s="1"/>
      <c r="B340" s="3"/>
      <c r="C340" s="3"/>
      <c r="D340" s="545" t="str">
        <f ca="1">IF(FN320=0,"`","")</f>
        <v>`</v>
      </c>
      <c r="E340" s="545"/>
      <c r="F340" s="545"/>
      <c r="G340" s="545"/>
      <c r="H340" s="545"/>
      <c r="I340" s="545"/>
      <c r="J340" s="545"/>
      <c r="K340" s="545"/>
      <c r="L340" s="545"/>
      <c r="M340" s="545"/>
      <c r="N340" s="545"/>
      <c r="O340" s="545"/>
      <c r="P340" s="545"/>
      <c r="Q340" s="545"/>
      <c r="R340" s="545"/>
      <c r="S340" s="545"/>
      <c r="T340" s="545"/>
      <c r="U340" s="545"/>
      <c r="V340" s="545"/>
      <c r="W340" s="545"/>
      <c r="X340" s="545"/>
      <c r="Y340" s="545"/>
      <c r="Z340" s="545"/>
      <c r="AA340" s="545"/>
      <c r="AB340" s="545"/>
      <c r="AC340" s="545"/>
      <c r="AD340" s="545"/>
      <c r="AE340" s="545"/>
      <c r="AF340" s="545"/>
      <c r="AG340" s="545"/>
      <c r="AH340" s="545"/>
      <c r="AI340" s="545"/>
      <c r="AJ340" s="545"/>
      <c r="AK340" s="545"/>
      <c r="AL340" s="545"/>
      <c r="AM340" s="545"/>
      <c r="AN340" s="545"/>
      <c r="AO340" s="545"/>
      <c r="AP340" s="545"/>
      <c r="AQ340" s="545"/>
      <c r="AR340" s="545"/>
      <c r="AS340" s="545"/>
      <c r="AT340" s="545"/>
      <c r="AU340" s="545"/>
      <c r="AV340" s="545"/>
      <c r="AW340" s="545"/>
      <c r="AX340" s="545"/>
      <c r="AY340" s="545"/>
      <c r="AZ340" s="545"/>
      <c r="BA340" s="545"/>
      <c r="BB340" s="545"/>
      <c r="BC340" s="545"/>
      <c r="BD340" s="545"/>
      <c r="BE340" s="545"/>
      <c r="BF340" s="545"/>
      <c r="BG340" s="545"/>
      <c r="BH340" s="545"/>
      <c r="BI340" s="545"/>
      <c r="BJ340" s="545"/>
      <c r="BK340" s="545"/>
      <c r="BL340" s="545"/>
      <c r="BM340" s="545"/>
      <c r="BN340" s="545"/>
      <c r="BO340" s="545"/>
      <c r="BP340" s="545"/>
      <c r="BQ340" s="545"/>
      <c r="BR340" s="545"/>
      <c r="BS340" s="545"/>
      <c r="BT340" s="545"/>
      <c r="BU340" s="545"/>
      <c r="BV340" s="545"/>
      <c r="BW340" s="545"/>
      <c r="BX340" s="545"/>
      <c r="BY340" s="545"/>
      <c r="BZ340" s="545"/>
      <c r="CA340" s="545"/>
      <c r="CB340" s="545"/>
      <c r="CC340" s="545"/>
      <c r="CD340" s="545"/>
      <c r="CE340" s="545"/>
      <c r="CF340" s="545"/>
      <c r="CG340" s="545"/>
      <c r="CH340" s="545"/>
      <c r="CI340" s="545"/>
      <c r="CJ340" s="545"/>
      <c r="CK340" s="545"/>
      <c r="CL340" s="545"/>
      <c r="CM340" s="554"/>
      <c r="CN340" s="43"/>
      <c r="CO340" s="43"/>
      <c r="CP340" s="376"/>
      <c r="CR340" s="376"/>
      <c r="CS340" s="376"/>
      <c r="CT340" s="376"/>
      <c r="CU340" s="376"/>
      <c r="CV340" s="376"/>
      <c r="CW340" s="376"/>
      <c r="CX340" s="376"/>
      <c r="CY340" s="376"/>
      <c r="CZ340" s="172"/>
      <c r="DA340" s="172"/>
      <c r="DB340" s="172"/>
      <c r="DC340" s="172"/>
      <c r="DD340" s="172"/>
      <c r="DE340" s="172"/>
      <c r="DF340" s="172"/>
      <c r="DG340" s="172"/>
      <c r="DH340" s="172"/>
      <c r="DI340" s="172"/>
      <c r="DJ340" s="172"/>
      <c r="DK340" s="172"/>
      <c r="DL340" s="172"/>
      <c r="DM340" s="172"/>
      <c r="DN340" s="172"/>
      <c r="DO340" s="172"/>
      <c r="DP340" s="172"/>
      <c r="DQ340" s="172"/>
      <c r="DR340" s="172"/>
      <c r="DS340" s="172"/>
      <c r="DT340" s="172"/>
      <c r="DU340" s="172"/>
      <c r="DV340" s="172"/>
      <c r="DW340" s="172"/>
      <c r="DX340" s="172"/>
      <c r="DY340" s="172"/>
      <c r="DZ340" s="172"/>
      <c r="EA340" s="172"/>
      <c r="EB340" s="172"/>
      <c r="EC340" s="172"/>
      <c r="ED340" s="172"/>
      <c r="EE340" s="172"/>
      <c r="EF340" s="172"/>
      <c r="EG340" s="172"/>
      <c r="EH340" s="172"/>
      <c r="EI340" s="172"/>
      <c r="EJ340" s="172"/>
      <c r="EK340" s="172"/>
      <c r="EL340" s="172"/>
      <c r="EM340" s="172"/>
      <c r="EN340" s="172"/>
      <c r="EO340" s="172"/>
      <c r="EP340" s="172"/>
      <c r="EQ340" s="172"/>
      <c r="ER340" s="172"/>
      <c r="ES340" s="172"/>
      <c r="ET340" s="172"/>
      <c r="EU340" s="172"/>
      <c r="EV340" s="172"/>
      <c r="EW340" s="172"/>
      <c r="EX340" s="172"/>
      <c r="EY340" s="172"/>
      <c r="EZ340" s="172"/>
      <c r="FA340" s="407"/>
      <c r="FB340" s="407"/>
      <c r="FC340" s="407"/>
      <c r="FD340" s="407"/>
      <c r="FE340" s="407"/>
      <c r="FF340" s="407"/>
      <c r="FG340" s="407"/>
      <c r="FH340" s="407"/>
      <c r="FI340" s="107"/>
      <c r="FJ340" s="107"/>
      <c r="FK340" s="107"/>
      <c r="FL340" s="107"/>
      <c r="FM340" s="338"/>
      <c r="FN340" s="338"/>
      <c r="FO340" s="338"/>
      <c r="FP340" s="47"/>
      <c r="FQ340" s="47"/>
      <c r="FR340" s="47"/>
      <c r="FS340" s="47"/>
      <c r="FT340" s="47"/>
      <c r="FU340" s="338"/>
      <c r="FV340" s="338"/>
      <c r="FW340" s="338"/>
      <c r="FX340" s="338"/>
      <c r="FY340" s="32"/>
      <c r="FZ340" s="32"/>
      <c r="GA340" s="32"/>
      <c r="GB340" s="32"/>
      <c r="GC340" s="32"/>
      <c r="GD340" s="32"/>
      <c r="GE340" s="32"/>
      <c r="GF340" s="32"/>
      <c r="GG340" s="32"/>
      <c r="GH340" s="32"/>
      <c r="GI340" s="32"/>
      <c r="GJ340" s="32"/>
      <c r="GK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99"/>
      <c r="HO340" s="399"/>
      <c r="HP340" s="399"/>
      <c r="HQ340" s="13"/>
      <c r="HR340" s="13"/>
      <c r="HS340" s="13"/>
      <c r="HT340" s="13"/>
      <c r="HU340" s="13"/>
      <c r="HV340" s="13"/>
      <c r="HW340" s="13"/>
      <c r="HX340" s="13"/>
      <c r="HY340" s="13"/>
      <c r="HZ340" s="13"/>
      <c r="IA340" s="13"/>
    </row>
    <row r="341" spans="1:235" ht="16.95" customHeight="1">
      <c r="A341" s="1"/>
      <c r="B341" s="3"/>
      <c r="C341" s="3"/>
      <c r="D341" s="545"/>
      <c r="E341" s="545"/>
      <c r="F341" s="545"/>
      <c r="G341" s="545"/>
      <c r="H341" s="545"/>
      <c r="I341" s="545"/>
      <c r="J341" s="545"/>
      <c r="K341" s="545"/>
      <c r="L341" s="545"/>
      <c r="M341" s="545"/>
      <c r="N341" s="545"/>
      <c r="O341" s="545"/>
      <c r="P341" s="545"/>
      <c r="Q341" s="545"/>
      <c r="R341" s="545"/>
      <c r="S341" s="545"/>
      <c r="T341" s="545"/>
      <c r="U341" s="545"/>
      <c r="V341" s="545"/>
      <c r="W341" s="545"/>
      <c r="X341" s="545"/>
      <c r="Y341" s="545"/>
      <c r="Z341" s="545"/>
      <c r="AA341" s="545"/>
      <c r="AB341" s="545"/>
      <c r="AC341" s="545"/>
      <c r="AD341" s="545"/>
      <c r="AE341" s="545"/>
      <c r="AF341" s="545"/>
      <c r="AG341" s="545"/>
      <c r="AH341" s="545"/>
      <c r="AI341" s="545"/>
      <c r="AJ341" s="545"/>
      <c r="AK341" s="545"/>
      <c r="AL341" s="545"/>
      <c r="AM341" s="545"/>
      <c r="AN341" s="545"/>
      <c r="AO341" s="545"/>
      <c r="AP341" s="545"/>
      <c r="AQ341" s="545"/>
      <c r="AR341" s="545"/>
      <c r="AS341" s="545"/>
      <c r="AT341" s="545"/>
      <c r="AU341" s="545"/>
      <c r="AV341" s="545"/>
      <c r="AW341" s="545"/>
      <c r="AX341" s="545"/>
      <c r="AY341" s="545"/>
      <c r="AZ341" s="545"/>
      <c r="BA341" s="545"/>
      <c r="BB341" s="545"/>
      <c r="BC341" s="545"/>
      <c r="BD341" s="545"/>
      <c r="BE341" s="545"/>
      <c r="BF341" s="545"/>
      <c r="BG341" s="545"/>
      <c r="BH341" s="545"/>
      <c r="BI341" s="545"/>
      <c r="BJ341" s="545"/>
      <c r="BK341" s="545"/>
      <c r="BL341" s="545"/>
      <c r="BM341" s="545"/>
      <c r="BN341" s="545"/>
      <c r="BO341" s="545"/>
      <c r="BP341" s="545"/>
      <c r="BQ341" s="545"/>
      <c r="BR341" s="545"/>
      <c r="BS341" s="545"/>
      <c r="BT341" s="545"/>
      <c r="BU341" s="545"/>
      <c r="BV341" s="545"/>
      <c r="BW341" s="545"/>
      <c r="BX341" s="545"/>
      <c r="BY341" s="545"/>
      <c r="BZ341" s="545"/>
      <c r="CA341" s="545"/>
      <c r="CB341" s="545"/>
      <c r="CC341" s="545"/>
      <c r="CD341" s="545"/>
      <c r="CE341" s="545"/>
      <c r="CF341" s="545"/>
      <c r="CG341" s="545"/>
      <c r="CH341" s="545"/>
      <c r="CI341" s="545"/>
      <c r="CJ341" s="545"/>
      <c r="CK341" s="545"/>
      <c r="CL341" s="545"/>
      <c r="CM341" s="554"/>
      <c r="CN341" s="43"/>
      <c r="CO341" s="43"/>
      <c r="CP341" s="376"/>
      <c r="CQ341" s="417" t="str">
        <f ca="1">IF(FN320=0,"","Het licht gekleurde deel vormt producentensurplus")</f>
        <v/>
      </c>
      <c r="CR341" s="376"/>
      <c r="CS341" s="376"/>
      <c r="CT341" s="376"/>
      <c r="CU341" s="376"/>
      <c r="CV341" s="376"/>
      <c r="CW341" s="376"/>
      <c r="CX341" s="376"/>
      <c r="CY341" s="376"/>
      <c r="CZ341" s="172"/>
      <c r="DA341" s="172"/>
      <c r="DB341" s="172"/>
      <c r="DC341" s="172"/>
      <c r="DD341" s="172"/>
      <c r="DE341" s="413"/>
      <c r="DF341" s="413"/>
      <c r="DG341" s="413"/>
      <c r="DH341" s="413"/>
      <c r="DI341" s="413"/>
      <c r="DJ341" s="413"/>
      <c r="DK341" s="413"/>
      <c r="DL341" s="413"/>
      <c r="DM341" s="413"/>
      <c r="DN341" s="413"/>
      <c r="DO341" s="413"/>
      <c r="DP341" s="413"/>
      <c r="DQ341" s="413"/>
      <c r="DR341" s="413"/>
      <c r="DS341" s="413"/>
      <c r="DT341" s="413"/>
      <c r="DU341" s="413"/>
      <c r="DV341" s="413"/>
      <c r="DW341" s="413"/>
      <c r="DX341" s="413"/>
      <c r="DY341" s="413"/>
      <c r="DZ341" s="413"/>
      <c r="EA341" s="413"/>
      <c r="EB341" s="413"/>
      <c r="EC341" s="413"/>
      <c r="ED341" s="413"/>
      <c r="EE341" s="413"/>
      <c r="EF341" s="413"/>
      <c r="EG341" s="413"/>
      <c r="EH341" s="413"/>
      <c r="EI341" s="413"/>
      <c r="EJ341" s="413"/>
      <c r="EK341" s="413"/>
      <c r="EL341" s="413"/>
      <c r="EM341" s="413"/>
      <c r="EN341" s="413"/>
      <c r="EO341" s="413"/>
      <c r="EP341" s="413"/>
      <c r="EQ341" s="413"/>
      <c r="ER341" s="413"/>
      <c r="ES341" s="413"/>
      <c r="ET341" s="413"/>
      <c r="EU341" s="413"/>
      <c r="EV341" s="413"/>
      <c r="EW341" s="413"/>
      <c r="EX341" s="413"/>
      <c r="EY341" s="413"/>
      <c r="EZ341" s="413"/>
      <c r="FA341" s="413"/>
      <c r="FB341" s="413"/>
      <c r="FC341" s="413"/>
      <c r="FD341" s="413"/>
      <c r="FE341" s="413"/>
      <c r="FF341" s="413"/>
      <c r="FG341" s="413"/>
      <c r="FH341" s="413"/>
      <c r="FI341" s="107"/>
      <c r="FJ341" s="107"/>
      <c r="FK341" s="107"/>
      <c r="FL341" s="107"/>
      <c r="FM341" s="338"/>
      <c r="FN341" s="338"/>
      <c r="FO341" s="338"/>
      <c r="FP341" s="47"/>
      <c r="FQ341" s="47"/>
      <c r="FR341" s="47"/>
      <c r="FS341" s="47"/>
      <c r="FT341" s="47"/>
      <c r="FU341" s="338"/>
      <c r="FV341" s="338"/>
      <c r="FW341" s="338"/>
      <c r="FX341" s="338"/>
      <c r="FY341" s="32"/>
      <c r="FZ341" s="32"/>
      <c r="GA341" s="32"/>
      <c r="GB341" s="32"/>
      <c r="GC341" s="32"/>
      <c r="GD341" s="32"/>
      <c r="GE341" s="32"/>
      <c r="GF341" s="32"/>
      <c r="GG341" s="32"/>
      <c r="GH341" s="32"/>
      <c r="GI341" s="32"/>
      <c r="GJ341" s="32"/>
      <c r="GK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99"/>
      <c r="HO341" s="399"/>
      <c r="HP341" s="399"/>
      <c r="HQ341" s="13"/>
      <c r="HR341" s="13"/>
      <c r="HS341" s="13"/>
      <c r="HT341" s="13"/>
      <c r="HU341" s="13"/>
      <c r="HV341" s="13"/>
      <c r="HW341" s="13"/>
      <c r="HX341" s="13"/>
      <c r="HY341" s="13"/>
      <c r="HZ341" s="13"/>
      <c r="IA341" s="13"/>
    </row>
    <row r="342" spans="1:235" ht="16.95" customHeight="1">
      <c r="A342" s="1"/>
      <c r="B342" s="3"/>
      <c r="C342" s="3"/>
      <c r="D342" s="545"/>
      <c r="E342" s="545"/>
      <c r="F342" s="545"/>
      <c r="G342" s="545"/>
      <c r="H342" s="545"/>
      <c r="I342" s="545"/>
      <c r="J342" s="545"/>
      <c r="K342" s="545"/>
      <c r="L342" s="545"/>
      <c r="M342" s="545"/>
      <c r="N342" s="545"/>
      <c r="O342" s="545"/>
      <c r="P342" s="545"/>
      <c r="Q342" s="545"/>
      <c r="R342" s="545"/>
      <c r="S342" s="545"/>
      <c r="T342" s="545"/>
      <c r="U342" s="545"/>
      <c r="V342" s="545"/>
      <c r="W342" s="545"/>
      <c r="X342" s="545"/>
      <c r="Y342" s="545"/>
      <c r="Z342" s="545"/>
      <c r="AA342" s="545"/>
      <c r="AB342" s="545"/>
      <c r="AC342" s="545"/>
      <c r="AD342" s="545"/>
      <c r="AE342" s="545"/>
      <c r="AF342" s="545"/>
      <c r="AG342" s="545"/>
      <c r="AH342" s="545"/>
      <c r="AI342" s="545"/>
      <c r="AJ342" s="545"/>
      <c r="AK342" s="545"/>
      <c r="AL342" s="545"/>
      <c r="AM342" s="545"/>
      <c r="AN342" s="545"/>
      <c r="AO342" s="545"/>
      <c r="AP342" s="545"/>
      <c r="AQ342" s="545"/>
      <c r="AR342" s="545"/>
      <c r="AS342" s="545"/>
      <c r="AT342" s="545"/>
      <c r="AU342" s="545"/>
      <c r="AV342" s="545"/>
      <c r="AW342" s="545"/>
      <c r="AX342" s="545"/>
      <c r="AY342" s="545"/>
      <c r="AZ342" s="545"/>
      <c r="BA342" s="545"/>
      <c r="BB342" s="545"/>
      <c r="BC342" s="545"/>
      <c r="BD342" s="545"/>
      <c r="BE342" s="545"/>
      <c r="BF342" s="545"/>
      <c r="BG342" s="545"/>
      <c r="BH342" s="545"/>
      <c r="BI342" s="545"/>
      <c r="BJ342" s="545"/>
      <c r="BK342" s="545"/>
      <c r="BL342" s="545"/>
      <c r="BM342" s="545"/>
      <c r="BN342" s="545"/>
      <c r="BO342" s="545"/>
      <c r="BP342" s="545"/>
      <c r="BQ342" s="545"/>
      <c r="BR342" s="545"/>
      <c r="BS342" s="545"/>
      <c r="BT342" s="545"/>
      <c r="BU342" s="545"/>
      <c r="BV342" s="545"/>
      <c r="BW342" s="545"/>
      <c r="BX342" s="545"/>
      <c r="BY342" s="545"/>
      <c r="BZ342" s="545"/>
      <c r="CA342" s="545"/>
      <c r="CB342" s="545"/>
      <c r="CC342" s="545"/>
      <c r="CD342" s="545"/>
      <c r="CE342" s="545"/>
      <c r="CF342" s="545"/>
      <c r="CG342" s="545"/>
      <c r="CH342" s="545"/>
      <c r="CI342" s="545"/>
      <c r="CJ342" s="545"/>
      <c r="CK342" s="545"/>
      <c r="CL342" s="545"/>
      <c r="CM342" s="554"/>
      <c r="CN342" s="43"/>
      <c r="CO342" s="43"/>
      <c r="CP342" s="376"/>
      <c r="CQ342" s="417" t="str">
        <f ca="1">IF(FN320=0,"","van de monopolist bij winstmaximalisatie zonder")</f>
        <v/>
      </c>
      <c r="CR342" s="376"/>
      <c r="CS342" s="376"/>
      <c r="CT342" s="376"/>
      <c r="CU342" s="376"/>
      <c r="CV342" s="376"/>
      <c r="CW342" s="376"/>
      <c r="CX342" s="376"/>
      <c r="CY342" s="376"/>
      <c r="CZ342" s="172"/>
      <c r="DA342" s="172"/>
      <c r="DB342" s="172"/>
      <c r="DC342" s="172"/>
      <c r="DD342" s="172"/>
      <c r="DE342" s="413"/>
      <c r="DF342" s="413"/>
      <c r="DG342" s="413"/>
      <c r="DH342" s="413"/>
      <c r="DI342" s="413"/>
      <c r="DJ342" s="413"/>
      <c r="DK342" s="413"/>
      <c r="DL342" s="413"/>
      <c r="DM342" s="413"/>
      <c r="DN342" s="413"/>
      <c r="DO342" s="413"/>
      <c r="DP342" s="413"/>
      <c r="DQ342" s="413"/>
      <c r="DR342" s="413"/>
      <c r="DS342" s="413"/>
      <c r="DT342" s="413"/>
      <c r="DU342" s="413"/>
      <c r="DV342" s="413"/>
      <c r="DW342" s="413"/>
      <c r="DX342" s="413"/>
      <c r="DY342" s="413"/>
      <c r="DZ342" s="413"/>
      <c r="EA342" s="413"/>
      <c r="EB342" s="413"/>
      <c r="EC342" s="413"/>
      <c r="ED342" s="413"/>
      <c r="EE342" s="413"/>
      <c r="EF342" s="413"/>
      <c r="EG342" s="413"/>
      <c r="EH342" s="413"/>
      <c r="EI342" s="413"/>
      <c r="EJ342" s="413"/>
      <c r="EK342" s="413"/>
      <c r="EL342" s="413"/>
      <c r="EM342" s="413"/>
      <c r="EN342" s="413"/>
      <c r="EO342" s="413"/>
      <c r="EP342" s="413"/>
      <c r="EQ342" s="413"/>
      <c r="ER342" s="413"/>
      <c r="ES342" s="413"/>
      <c r="ET342" s="413"/>
      <c r="EU342" s="413"/>
      <c r="EV342" s="413"/>
      <c r="EW342" s="413"/>
      <c r="EX342" s="413"/>
      <c r="EY342" s="413"/>
      <c r="EZ342" s="413"/>
      <c r="FA342" s="413"/>
      <c r="FB342" s="413"/>
      <c r="FC342" s="413"/>
      <c r="FD342" s="413"/>
      <c r="FE342" s="413"/>
      <c r="FF342" s="413"/>
      <c r="FG342" s="413"/>
      <c r="FH342" s="413"/>
      <c r="FI342" s="107"/>
      <c r="FJ342" s="107"/>
      <c r="FK342" s="107"/>
      <c r="FL342" s="107"/>
      <c r="FM342" s="338"/>
      <c r="FN342" s="338"/>
      <c r="FO342" s="338"/>
      <c r="FP342" s="47"/>
      <c r="FQ342" s="47"/>
      <c r="FR342" s="47"/>
      <c r="FS342" s="47"/>
      <c r="FT342" s="47"/>
      <c r="FU342" s="338"/>
      <c r="FV342" s="338"/>
      <c r="FW342" s="338"/>
      <c r="FX342" s="338"/>
      <c r="FY342" s="32"/>
      <c r="FZ342" s="32"/>
      <c r="GA342" s="32"/>
      <c r="GB342" s="32"/>
      <c r="GC342" s="32"/>
      <c r="GD342" s="32"/>
      <c r="GE342" s="32"/>
      <c r="GF342" s="32"/>
      <c r="GG342" s="32"/>
      <c r="GH342" s="32"/>
      <c r="GI342" s="32"/>
      <c r="GJ342" s="32"/>
      <c r="GK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99"/>
      <c r="HO342" s="399"/>
      <c r="HP342" s="399"/>
      <c r="HQ342" s="13"/>
      <c r="HR342" s="13"/>
      <c r="HS342" s="13"/>
      <c r="HT342" s="13"/>
      <c r="HU342" s="13"/>
      <c r="HV342" s="13"/>
      <c r="HW342" s="13"/>
      <c r="HX342" s="13"/>
      <c r="HY342" s="13"/>
      <c r="HZ342" s="13"/>
      <c r="IA342" s="13"/>
    </row>
    <row r="343" spans="1:235" ht="16.95" customHeight="1">
      <c r="A343" s="1"/>
      <c r="B343" s="3"/>
      <c r="C343" s="3"/>
      <c r="D343" s="545"/>
      <c r="E343" s="545"/>
      <c r="F343" s="545"/>
      <c r="G343" s="545"/>
      <c r="H343" s="545"/>
      <c r="I343" s="545"/>
      <c r="J343" s="545"/>
      <c r="K343" s="545"/>
      <c r="L343" s="545"/>
      <c r="M343" s="545"/>
      <c r="N343" s="545"/>
      <c r="O343" s="545"/>
      <c r="P343" s="545"/>
      <c r="Q343" s="545"/>
      <c r="R343" s="545"/>
      <c r="S343" s="545"/>
      <c r="T343" s="545"/>
      <c r="U343" s="545"/>
      <c r="V343" s="545"/>
      <c r="W343" s="545"/>
      <c r="X343" s="545"/>
      <c r="Y343" s="545"/>
      <c r="Z343" s="545"/>
      <c r="AA343" s="545"/>
      <c r="AB343" s="545"/>
      <c r="AC343" s="545"/>
      <c r="AD343" s="545"/>
      <c r="AE343" s="545"/>
      <c r="AF343" s="545"/>
      <c r="AG343" s="545"/>
      <c r="AH343" s="545"/>
      <c r="AI343" s="545"/>
      <c r="AJ343" s="545"/>
      <c r="AK343" s="545"/>
      <c r="AL343" s="545"/>
      <c r="AM343" s="545"/>
      <c r="AN343" s="545"/>
      <c r="AO343" s="545"/>
      <c r="AP343" s="545"/>
      <c r="AQ343" s="545"/>
      <c r="AR343" s="545"/>
      <c r="AS343" s="545"/>
      <c r="AT343" s="545"/>
      <c r="AU343" s="545"/>
      <c r="AV343" s="545"/>
      <c r="AW343" s="545"/>
      <c r="AX343" s="545"/>
      <c r="AY343" s="545"/>
      <c r="AZ343" s="545"/>
      <c r="BA343" s="545"/>
      <c r="BB343" s="545"/>
      <c r="BC343" s="545"/>
      <c r="BD343" s="545"/>
      <c r="BE343" s="545"/>
      <c r="BF343" s="545"/>
      <c r="BG343" s="545"/>
      <c r="BH343" s="545"/>
      <c r="BI343" s="545"/>
      <c r="BJ343" s="545"/>
      <c r="BK343" s="545"/>
      <c r="BL343" s="545"/>
      <c r="BM343" s="545"/>
      <c r="BN343" s="545"/>
      <c r="BO343" s="545"/>
      <c r="BP343" s="545"/>
      <c r="BQ343" s="545"/>
      <c r="BR343" s="545"/>
      <c r="BS343" s="545"/>
      <c r="BT343" s="545"/>
      <c r="BU343" s="545"/>
      <c r="BV343" s="545"/>
      <c r="BW343" s="545"/>
      <c r="BX343" s="545"/>
      <c r="BY343" s="545"/>
      <c r="BZ343" s="545"/>
      <c r="CA343" s="545"/>
      <c r="CB343" s="545"/>
      <c r="CC343" s="545"/>
      <c r="CD343" s="545"/>
      <c r="CE343" s="545"/>
      <c r="CF343" s="545"/>
      <c r="CG343" s="545"/>
      <c r="CH343" s="545"/>
      <c r="CI343" s="545"/>
      <c r="CJ343" s="545"/>
      <c r="CK343" s="545"/>
      <c r="CL343" s="545"/>
      <c r="CM343" s="554"/>
      <c r="CN343" s="43"/>
      <c r="CO343" s="43"/>
      <c r="CP343" s="376"/>
      <c r="CQ343" s="417" t="str">
        <f ca="1">IF(FN320=0,"","prijsdiscriminatie. Bij volkomen prijsdiscriminatie")</f>
        <v/>
      </c>
      <c r="CR343" s="376"/>
      <c r="CS343" s="376"/>
      <c r="CT343" s="376"/>
      <c r="CU343" s="376"/>
      <c r="CV343" s="376"/>
      <c r="CW343" s="376"/>
      <c r="CX343" s="376"/>
      <c r="CY343" s="376"/>
      <c r="CZ343" s="172"/>
      <c r="DA343" s="172"/>
      <c r="DB343" s="172"/>
      <c r="DC343" s="172"/>
      <c r="DD343" s="172"/>
      <c r="DE343" s="413"/>
      <c r="DF343" s="413"/>
      <c r="DG343" s="413"/>
      <c r="DH343" s="413"/>
      <c r="DI343" s="413"/>
      <c r="DJ343" s="413"/>
      <c r="DK343" s="413"/>
      <c r="DL343" s="413"/>
      <c r="DM343" s="413"/>
      <c r="DN343" s="413"/>
      <c r="DO343" s="413"/>
      <c r="DP343" s="413"/>
      <c r="DQ343" s="413"/>
      <c r="DR343" s="413"/>
      <c r="DS343" s="413"/>
      <c r="DT343" s="413"/>
      <c r="DU343" s="413"/>
      <c r="DV343" s="413"/>
      <c r="DW343" s="413"/>
      <c r="DX343" s="413"/>
      <c r="DY343" s="413"/>
      <c r="DZ343" s="413"/>
      <c r="EA343" s="413"/>
      <c r="EB343" s="413"/>
      <c r="EC343" s="413"/>
      <c r="ED343" s="413"/>
      <c r="EE343" s="413"/>
      <c r="EF343" s="413"/>
      <c r="EG343" s="413"/>
      <c r="EH343" s="413"/>
      <c r="EI343" s="413"/>
      <c r="EJ343" s="413"/>
      <c r="EK343" s="413"/>
      <c r="EL343" s="413"/>
      <c r="EM343" s="413"/>
      <c r="EN343" s="413"/>
      <c r="EO343" s="413"/>
      <c r="EP343" s="413"/>
      <c r="EQ343" s="413"/>
      <c r="ER343" s="413"/>
      <c r="ES343" s="413"/>
      <c r="ET343" s="413"/>
      <c r="EU343" s="413"/>
      <c r="EV343" s="413"/>
      <c r="EW343" s="413"/>
      <c r="EX343" s="413"/>
      <c r="EY343" s="413"/>
      <c r="EZ343" s="413"/>
      <c r="FA343" s="413"/>
      <c r="FB343" s="413"/>
      <c r="FC343" s="413"/>
      <c r="FD343" s="413"/>
      <c r="FE343" s="413"/>
      <c r="FF343" s="413"/>
      <c r="FG343" s="413"/>
      <c r="FH343" s="413"/>
      <c r="FI343" s="107"/>
      <c r="FJ343" s="107"/>
      <c r="FK343" s="107"/>
      <c r="FL343" s="107"/>
      <c r="FM343" s="338"/>
      <c r="FN343" s="338"/>
      <c r="FO343" s="338"/>
      <c r="FP343" s="47"/>
      <c r="FQ343" s="47"/>
      <c r="FR343" s="47"/>
      <c r="FS343" s="47"/>
      <c r="FT343" s="47"/>
      <c r="FU343" s="338"/>
      <c r="FV343" s="338"/>
      <c r="FW343" s="338"/>
      <c r="FX343" s="338"/>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99"/>
      <c r="HO343" s="399"/>
      <c r="HP343" s="399"/>
      <c r="HQ343" s="13"/>
      <c r="HR343" s="13"/>
      <c r="HS343" s="13"/>
      <c r="HT343" s="13"/>
      <c r="HU343" s="13"/>
      <c r="HV343" s="13"/>
      <c r="HW343" s="13"/>
      <c r="HX343" s="13"/>
      <c r="HY343" s="13"/>
      <c r="HZ343" s="13"/>
      <c r="IA343" s="13"/>
    </row>
    <row r="344" spans="1:235" ht="16.95" customHeight="1">
      <c r="A344" s="1"/>
      <c r="B344" s="3"/>
      <c r="C344" s="3"/>
      <c r="D344" s="545"/>
      <c r="E344" s="545"/>
      <c r="F344" s="545"/>
      <c r="G344" s="545"/>
      <c r="H344" s="545"/>
      <c r="I344" s="545"/>
      <c r="J344" s="545"/>
      <c r="K344" s="545"/>
      <c r="L344" s="545"/>
      <c r="M344" s="545"/>
      <c r="N344" s="545"/>
      <c r="O344" s="545"/>
      <c r="P344" s="545"/>
      <c r="Q344" s="545"/>
      <c r="R344" s="545"/>
      <c r="S344" s="545"/>
      <c r="T344" s="545"/>
      <c r="U344" s="545"/>
      <c r="V344" s="545"/>
      <c r="W344" s="545"/>
      <c r="X344" s="545"/>
      <c r="Y344" s="545"/>
      <c r="Z344" s="545"/>
      <c r="AA344" s="545"/>
      <c r="AB344" s="545"/>
      <c r="AC344" s="545"/>
      <c r="AD344" s="545"/>
      <c r="AE344" s="545"/>
      <c r="AF344" s="545"/>
      <c r="AG344" s="545"/>
      <c r="AH344" s="545"/>
      <c r="AI344" s="545"/>
      <c r="AJ344" s="545"/>
      <c r="AK344" s="545"/>
      <c r="AL344" s="545"/>
      <c r="AM344" s="545"/>
      <c r="AN344" s="545"/>
      <c r="AO344" s="545"/>
      <c r="AP344" s="545"/>
      <c r="AQ344" s="545"/>
      <c r="AR344" s="545"/>
      <c r="AS344" s="545"/>
      <c r="AT344" s="545"/>
      <c r="AU344" s="545"/>
      <c r="AV344" s="545"/>
      <c r="AW344" s="545"/>
      <c r="AX344" s="545"/>
      <c r="AY344" s="545"/>
      <c r="AZ344" s="545"/>
      <c r="BA344" s="545"/>
      <c r="BB344" s="545"/>
      <c r="BC344" s="545"/>
      <c r="BD344" s="545"/>
      <c r="BE344" s="545"/>
      <c r="BF344" s="545"/>
      <c r="BG344" s="545"/>
      <c r="BH344" s="545"/>
      <c r="BI344" s="545"/>
      <c r="BJ344" s="545"/>
      <c r="BK344" s="545"/>
      <c r="BL344" s="545"/>
      <c r="BM344" s="545"/>
      <c r="BN344" s="545"/>
      <c r="BO344" s="545"/>
      <c r="BP344" s="545"/>
      <c r="BQ344" s="545"/>
      <c r="BR344" s="545"/>
      <c r="BS344" s="545"/>
      <c r="BT344" s="545"/>
      <c r="BU344" s="545"/>
      <c r="BV344" s="545"/>
      <c r="BW344" s="545"/>
      <c r="BX344" s="545"/>
      <c r="BY344" s="545"/>
      <c r="BZ344" s="545"/>
      <c r="CA344" s="545"/>
      <c r="CB344" s="545"/>
      <c r="CC344" s="545"/>
      <c r="CD344" s="545"/>
      <c r="CE344" s="545"/>
      <c r="CF344" s="545"/>
      <c r="CG344" s="545"/>
      <c r="CH344" s="545"/>
      <c r="CI344" s="545"/>
      <c r="CJ344" s="545"/>
      <c r="CK344" s="545"/>
      <c r="CL344" s="545"/>
      <c r="CM344" s="554"/>
      <c r="CN344" s="43"/>
      <c r="CO344" s="43"/>
      <c r="CP344" s="376"/>
      <c r="CQ344" s="417" t="str">
        <f ca="1">IF(FN320=0,"","komt daar het donker gekleurde deel bij.")</f>
        <v/>
      </c>
      <c r="CR344" s="376"/>
      <c r="CS344" s="376"/>
      <c r="CT344" s="376"/>
      <c r="CU344" s="376"/>
      <c r="CV344" s="376"/>
      <c r="CW344" s="376"/>
      <c r="CX344" s="376"/>
      <c r="CY344" s="376"/>
      <c r="CZ344" s="172"/>
      <c r="DA344" s="172"/>
      <c r="DB344" s="172"/>
      <c r="DC344" s="172"/>
      <c r="DD344" s="172"/>
      <c r="DE344" s="413"/>
      <c r="DF344" s="413"/>
      <c r="DG344" s="413"/>
      <c r="DH344" s="413"/>
      <c r="DI344" s="413"/>
      <c r="DJ344" s="413"/>
      <c r="DK344" s="413"/>
      <c r="DL344" s="413"/>
      <c r="DM344" s="413"/>
      <c r="DN344" s="413"/>
      <c r="DO344" s="413"/>
      <c r="DP344" s="413"/>
      <c r="DQ344" s="413"/>
      <c r="DR344" s="413"/>
      <c r="DS344" s="413"/>
      <c r="DT344" s="413"/>
      <c r="DU344" s="413"/>
      <c r="DV344" s="413"/>
      <c r="DW344" s="413"/>
      <c r="DX344" s="413"/>
      <c r="DY344" s="413"/>
      <c r="DZ344" s="413"/>
      <c r="EA344" s="413"/>
      <c r="EB344" s="413"/>
      <c r="EC344" s="413"/>
      <c r="ED344" s="413"/>
      <c r="EE344" s="413"/>
      <c r="EF344" s="413"/>
      <c r="EG344" s="413"/>
      <c r="EH344" s="413"/>
      <c r="EI344" s="413"/>
      <c r="EJ344" s="413"/>
      <c r="EK344" s="413"/>
      <c r="EL344" s="413"/>
      <c r="EM344" s="413"/>
      <c r="EN344" s="413"/>
      <c r="EO344" s="413"/>
      <c r="EP344" s="413"/>
      <c r="EQ344" s="413"/>
      <c r="ER344" s="413"/>
      <c r="ES344" s="413"/>
      <c r="ET344" s="413"/>
      <c r="EU344" s="413"/>
      <c r="EV344" s="413"/>
      <c r="EW344" s="413"/>
      <c r="EX344" s="413"/>
      <c r="EY344" s="413"/>
      <c r="EZ344" s="413"/>
      <c r="FA344" s="413"/>
      <c r="FB344" s="413"/>
      <c r="FC344" s="413"/>
      <c r="FD344" s="413"/>
      <c r="FE344" s="413"/>
      <c r="FF344" s="413"/>
      <c r="FG344" s="413"/>
      <c r="FH344" s="413"/>
      <c r="FI344" s="107"/>
      <c r="FJ344" s="107"/>
      <c r="FK344" s="107"/>
      <c r="FL344" s="107"/>
      <c r="FM344" s="338"/>
      <c r="FN344" s="338"/>
      <c r="FO344" s="338"/>
      <c r="FP344" s="47"/>
      <c r="FQ344" s="47"/>
      <c r="FR344" s="47"/>
      <c r="FS344" s="47"/>
      <c r="FT344" s="47"/>
      <c r="FU344" s="338"/>
      <c r="FV344" s="338"/>
      <c r="FW344" s="338"/>
      <c r="FX344" s="338"/>
      <c r="FY344" s="32"/>
      <c r="FZ344" s="32"/>
      <c r="GA344" s="32"/>
      <c r="GB344" s="32"/>
      <c r="GC344" s="32"/>
      <c r="GD344" s="32"/>
      <c r="GE344" s="32"/>
      <c r="GF344" s="32"/>
      <c r="GG344" s="32"/>
      <c r="GH344" s="32"/>
      <c r="GI344" s="32"/>
      <c r="GJ344" s="32"/>
      <c r="GK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99"/>
      <c r="HO344" s="399"/>
      <c r="HP344" s="399"/>
      <c r="HQ344" s="13"/>
      <c r="HR344" s="13"/>
      <c r="HS344" s="13"/>
      <c r="HT344" s="13"/>
      <c r="HU344" s="13"/>
      <c r="HV344" s="13"/>
      <c r="HW344" s="13"/>
      <c r="HX344" s="13"/>
      <c r="HY344" s="13"/>
      <c r="HZ344" s="13"/>
      <c r="IA344" s="13"/>
    </row>
    <row r="345" spans="1:235" ht="16.95" customHeight="1">
      <c r="A345" s="1"/>
      <c r="B345" s="3"/>
      <c r="C345" s="3"/>
      <c r="D345" s="545"/>
      <c r="E345" s="545"/>
      <c r="F345" s="545"/>
      <c r="G345" s="545"/>
      <c r="H345" s="545"/>
      <c r="I345" s="545"/>
      <c r="J345" s="545"/>
      <c r="K345" s="545"/>
      <c r="L345" s="545"/>
      <c r="M345" s="545"/>
      <c r="N345" s="545"/>
      <c r="O345" s="545"/>
      <c r="P345" s="545"/>
      <c r="Q345" s="545"/>
      <c r="R345" s="545"/>
      <c r="S345" s="545"/>
      <c r="T345" s="545"/>
      <c r="U345" s="545"/>
      <c r="V345" s="545"/>
      <c r="W345" s="545"/>
      <c r="X345" s="545"/>
      <c r="Y345" s="545"/>
      <c r="Z345" s="545"/>
      <c r="AA345" s="545"/>
      <c r="AB345" s="545"/>
      <c r="AC345" s="545"/>
      <c r="AD345" s="545"/>
      <c r="AE345" s="545"/>
      <c r="AF345" s="545"/>
      <c r="AG345" s="545"/>
      <c r="AH345" s="545"/>
      <c r="AI345" s="545"/>
      <c r="AJ345" s="545"/>
      <c r="AK345" s="545"/>
      <c r="AL345" s="545"/>
      <c r="AM345" s="545"/>
      <c r="AN345" s="545"/>
      <c r="AO345" s="545"/>
      <c r="AP345" s="545"/>
      <c r="AQ345" s="545"/>
      <c r="AR345" s="545"/>
      <c r="AS345" s="545"/>
      <c r="AT345" s="545"/>
      <c r="AU345" s="545"/>
      <c r="AV345" s="545"/>
      <c r="AW345" s="545"/>
      <c r="AX345" s="545"/>
      <c r="AY345" s="545"/>
      <c r="AZ345" s="545"/>
      <c r="BA345" s="545"/>
      <c r="BB345" s="545"/>
      <c r="BC345" s="545"/>
      <c r="BD345" s="545"/>
      <c r="BE345" s="545"/>
      <c r="BF345" s="545"/>
      <c r="BG345" s="545"/>
      <c r="BH345" s="545"/>
      <c r="BI345" s="545"/>
      <c r="BJ345" s="545"/>
      <c r="BK345" s="545"/>
      <c r="BL345" s="545"/>
      <c r="BM345" s="545"/>
      <c r="BN345" s="545"/>
      <c r="BO345" s="545"/>
      <c r="BP345" s="545"/>
      <c r="BQ345" s="545"/>
      <c r="BR345" s="545"/>
      <c r="BS345" s="545"/>
      <c r="BT345" s="545"/>
      <c r="BU345" s="545"/>
      <c r="BV345" s="545"/>
      <c r="BW345" s="545"/>
      <c r="BX345" s="545"/>
      <c r="BY345" s="545"/>
      <c r="BZ345" s="545"/>
      <c r="CA345" s="545"/>
      <c r="CB345" s="545"/>
      <c r="CC345" s="545"/>
      <c r="CD345" s="545"/>
      <c r="CE345" s="545"/>
      <c r="CF345" s="545"/>
      <c r="CG345" s="545"/>
      <c r="CH345" s="545"/>
      <c r="CI345" s="545"/>
      <c r="CJ345" s="545"/>
      <c r="CK345" s="545"/>
      <c r="CL345" s="545"/>
      <c r="CM345" s="554"/>
      <c r="CN345" s="43"/>
      <c r="CO345" s="43"/>
      <c r="CP345" s="376"/>
      <c r="CQ345" s="417" t="str">
        <f ca="1">IF(FN320=0,"","Wat bij volkomen concurrentie consumentensurplus")</f>
        <v/>
      </c>
      <c r="CR345" s="376"/>
      <c r="CS345" s="376"/>
      <c r="CT345" s="376"/>
      <c r="CU345" s="376"/>
      <c r="CV345" s="376"/>
      <c r="CW345" s="376"/>
      <c r="CX345" s="376"/>
      <c r="CY345" s="376"/>
      <c r="CZ345" s="172"/>
      <c r="DA345" s="172"/>
      <c r="DB345" s="172"/>
      <c r="DC345" s="172"/>
      <c r="DD345" s="172"/>
      <c r="DE345" s="413"/>
      <c r="DF345" s="413"/>
      <c r="DG345" s="413"/>
      <c r="DH345" s="413"/>
      <c r="DI345" s="413"/>
      <c r="DJ345" s="413"/>
      <c r="DK345" s="413"/>
      <c r="DL345" s="413"/>
      <c r="DM345" s="413"/>
      <c r="DN345" s="413"/>
      <c r="DO345" s="413"/>
      <c r="DP345" s="413"/>
      <c r="DQ345" s="413"/>
      <c r="DR345" s="413"/>
      <c r="DS345" s="413"/>
      <c r="DT345" s="413"/>
      <c r="DU345" s="413"/>
      <c r="DV345" s="413"/>
      <c r="DW345" s="413"/>
      <c r="DX345" s="413"/>
      <c r="DY345" s="413"/>
      <c r="DZ345" s="413"/>
      <c r="EA345" s="413"/>
      <c r="EB345" s="413"/>
      <c r="EC345" s="413"/>
      <c r="ED345" s="413"/>
      <c r="EE345" s="413"/>
      <c r="EF345" s="413"/>
      <c r="EG345" s="413"/>
      <c r="EH345" s="413"/>
      <c r="EI345" s="413"/>
      <c r="EJ345" s="413"/>
      <c r="EK345" s="413"/>
      <c r="EL345" s="413"/>
      <c r="EM345" s="413"/>
      <c r="EN345" s="413"/>
      <c r="EO345" s="413"/>
      <c r="EP345" s="413"/>
      <c r="EQ345" s="413"/>
      <c r="ER345" s="413"/>
      <c r="ES345" s="413"/>
      <c r="ET345" s="413"/>
      <c r="EU345" s="413"/>
      <c r="EV345" s="413"/>
      <c r="EW345" s="413"/>
      <c r="EX345" s="413"/>
      <c r="EY345" s="413"/>
      <c r="EZ345" s="413"/>
      <c r="FA345" s="413"/>
      <c r="FB345" s="413"/>
      <c r="FC345" s="413"/>
      <c r="FD345" s="413"/>
      <c r="FE345" s="413"/>
      <c r="FF345" s="413"/>
      <c r="FG345" s="413"/>
      <c r="FH345" s="413"/>
      <c r="FI345" s="107"/>
      <c r="FJ345" s="107"/>
      <c r="FK345" s="107"/>
      <c r="FL345" s="107"/>
      <c r="FM345" s="338"/>
      <c r="FN345" s="338"/>
      <c r="FO345" s="338"/>
      <c r="FP345" s="47"/>
      <c r="FQ345" s="47"/>
      <c r="FR345" s="47"/>
      <c r="FS345" s="47"/>
      <c r="FT345" s="47"/>
      <c r="FU345" s="338"/>
      <c r="FV345" s="338"/>
      <c r="FW345" s="338"/>
      <c r="FX345" s="338"/>
      <c r="FY345" s="32"/>
      <c r="FZ345" s="32"/>
      <c r="GA345" s="32"/>
      <c r="GB345" s="32"/>
      <c r="GC345" s="32"/>
      <c r="GD345" s="32"/>
      <c r="GE345" s="32"/>
      <c r="GF345" s="32"/>
      <c r="GG345" s="32"/>
      <c r="GH345" s="32"/>
      <c r="GI345" s="32"/>
      <c r="GJ345" s="32"/>
      <c r="GK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99"/>
      <c r="HO345" s="399"/>
      <c r="HP345" s="399"/>
      <c r="HQ345" s="13"/>
      <c r="HR345" s="13"/>
      <c r="HS345" s="13"/>
      <c r="HT345" s="13"/>
      <c r="HU345" s="13"/>
      <c r="HV345" s="13"/>
      <c r="HW345" s="13"/>
      <c r="HX345" s="13"/>
      <c r="HY345" s="13"/>
      <c r="HZ345" s="13"/>
      <c r="IA345" s="13"/>
    </row>
    <row r="346" spans="1:235" ht="16.95" customHeight="1">
      <c r="A346" s="1"/>
      <c r="B346" s="3"/>
      <c r="C346" s="3"/>
      <c r="D346" s="545"/>
      <c r="E346" s="545"/>
      <c r="F346" s="545"/>
      <c r="G346" s="545"/>
      <c r="H346" s="545"/>
      <c r="I346" s="545"/>
      <c r="J346" s="545"/>
      <c r="K346" s="545"/>
      <c r="L346" s="545"/>
      <c r="M346" s="545"/>
      <c r="N346" s="545"/>
      <c r="O346" s="545"/>
      <c r="P346" s="545"/>
      <c r="Q346" s="545"/>
      <c r="R346" s="545"/>
      <c r="S346" s="545"/>
      <c r="T346" s="545"/>
      <c r="U346" s="545"/>
      <c r="V346" s="545"/>
      <c r="W346" s="545"/>
      <c r="X346" s="545"/>
      <c r="Y346" s="545"/>
      <c r="Z346" s="545"/>
      <c r="AA346" s="545"/>
      <c r="AB346" s="545"/>
      <c r="AC346" s="545"/>
      <c r="AD346" s="545"/>
      <c r="AE346" s="545"/>
      <c r="AF346" s="545"/>
      <c r="AG346" s="545"/>
      <c r="AH346" s="545"/>
      <c r="AI346" s="545"/>
      <c r="AJ346" s="545"/>
      <c r="AK346" s="545"/>
      <c r="AL346" s="545"/>
      <c r="AM346" s="545"/>
      <c r="AN346" s="545"/>
      <c r="AO346" s="545"/>
      <c r="AP346" s="545"/>
      <c r="AQ346" s="545"/>
      <c r="AR346" s="545"/>
      <c r="AS346" s="545"/>
      <c r="AT346" s="545"/>
      <c r="AU346" s="545"/>
      <c r="AV346" s="545"/>
      <c r="AW346" s="545"/>
      <c r="AX346" s="545"/>
      <c r="AY346" s="545"/>
      <c r="AZ346" s="545"/>
      <c r="BA346" s="545"/>
      <c r="BB346" s="545"/>
      <c r="BC346" s="545"/>
      <c r="BD346" s="545"/>
      <c r="BE346" s="545"/>
      <c r="BF346" s="545"/>
      <c r="BG346" s="545"/>
      <c r="BH346" s="545"/>
      <c r="BI346" s="545"/>
      <c r="BJ346" s="545"/>
      <c r="BK346" s="545"/>
      <c r="BL346" s="545"/>
      <c r="BM346" s="545"/>
      <c r="BN346" s="545"/>
      <c r="BO346" s="545"/>
      <c r="BP346" s="545"/>
      <c r="BQ346" s="545"/>
      <c r="BR346" s="545"/>
      <c r="BS346" s="545"/>
      <c r="BT346" s="545"/>
      <c r="BU346" s="545"/>
      <c r="BV346" s="545"/>
      <c r="BW346" s="545"/>
      <c r="BX346" s="545"/>
      <c r="BY346" s="545"/>
      <c r="BZ346" s="545"/>
      <c r="CA346" s="545"/>
      <c r="CB346" s="545"/>
      <c r="CC346" s="545"/>
      <c r="CD346" s="545"/>
      <c r="CE346" s="545"/>
      <c r="CF346" s="545"/>
      <c r="CG346" s="545"/>
      <c r="CH346" s="545"/>
      <c r="CI346" s="545"/>
      <c r="CJ346" s="545"/>
      <c r="CK346" s="545"/>
      <c r="CL346" s="545"/>
      <c r="CM346" s="554"/>
      <c r="CN346" s="43"/>
      <c r="CO346" s="43"/>
      <c r="CP346" s="376"/>
      <c r="CQ346" s="417" t="str">
        <f ca="1">IF(FN320=0,"","was, is bij volkomen prijsdiscriminatie volledig")</f>
        <v/>
      </c>
      <c r="CR346" s="376"/>
      <c r="CS346" s="376"/>
      <c r="CT346" s="376"/>
      <c r="CU346" s="376"/>
      <c r="CV346" s="376"/>
      <c r="CW346" s="376"/>
      <c r="CX346" s="376"/>
      <c r="CY346" s="376"/>
      <c r="CZ346" s="172"/>
      <c r="DA346" s="172"/>
      <c r="DB346" s="172"/>
      <c r="DC346" s="172"/>
      <c r="DD346" s="172"/>
      <c r="DE346" s="413"/>
      <c r="DF346" s="413"/>
      <c r="DG346" s="413"/>
      <c r="DH346" s="413"/>
      <c r="DI346" s="413"/>
      <c r="DJ346" s="413"/>
      <c r="DK346" s="413"/>
      <c r="DL346" s="413"/>
      <c r="DM346" s="413"/>
      <c r="DN346" s="413"/>
      <c r="DO346" s="413"/>
      <c r="DP346" s="413"/>
      <c r="DQ346" s="413"/>
      <c r="DR346" s="413"/>
      <c r="DS346" s="413"/>
      <c r="DT346" s="413"/>
      <c r="DU346" s="413"/>
      <c r="DV346" s="413"/>
      <c r="DW346" s="413"/>
      <c r="DX346" s="413"/>
      <c r="DY346" s="413"/>
      <c r="DZ346" s="413"/>
      <c r="EA346" s="413"/>
      <c r="EB346" s="413"/>
      <c r="EC346" s="413"/>
      <c r="ED346" s="413"/>
      <c r="EE346" s="413"/>
      <c r="EF346" s="413"/>
      <c r="EG346" s="413"/>
      <c r="EH346" s="413"/>
      <c r="EI346" s="413"/>
      <c r="EJ346" s="413"/>
      <c r="EK346" s="413"/>
      <c r="EL346" s="413"/>
      <c r="EM346" s="413"/>
      <c r="EN346" s="413"/>
      <c r="EO346" s="413"/>
      <c r="EP346" s="413"/>
      <c r="EQ346" s="413"/>
      <c r="ER346" s="413"/>
      <c r="ES346" s="413"/>
      <c r="ET346" s="413"/>
      <c r="EU346" s="413"/>
      <c r="EV346" s="413"/>
      <c r="EW346" s="413"/>
      <c r="EX346" s="413"/>
      <c r="EY346" s="413"/>
      <c r="EZ346" s="413"/>
      <c r="FA346" s="413"/>
      <c r="FB346" s="413"/>
      <c r="FC346" s="413"/>
      <c r="FD346" s="413"/>
      <c r="FE346" s="413"/>
      <c r="FF346" s="413"/>
      <c r="FG346" s="413"/>
      <c r="FH346" s="413"/>
      <c r="FI346" s="107"/>
      <c r="FJ346" s="107"/>
      <c r="FK346" s="107"/>
      <c r="FL346" s="107"/>
      <c r="FM346" s="338"/>
      <c r="FN346" s="338"/>
      <c r="FO346" s="338"/>
      <c r="FP346" s="47"/>
      <c r="FQ346" s="47"/>
      <c r="FR346" s="47"/>
      <c r="FS346" s="47"/>
      <c r="FT346" s="47"/>
      <c r="FU346" s="338"/>
      <c r="FV346" s="338"/>
      <c r="FW346" s="338"/>
      <c r="FX346" s="338"/>
      <c r="FY346" s="32"/>
      <c r="FZ346" s="32"/>
      <c r="GA346" s="32"/>
      <c r="GB346" s="32"/>
      <c r="GC346" s="32"/>
      <c r="GD346" s="32"/>
      <c r="GE346" s="32"/>
      <c r="GF346" s="32"/>
      <c r="GG346" s="32"/>
      <c r="GH346" s="32"/>
      <c r="GI346" s="32"/>
      <c r="GJ346" s="32"/>
      <c r="GK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99"/>
      <c r="HO346" s="399"/>
      <c r="HP346" s="399"/>
      <c r="HQ346" s="13"/>
      <c r="HR346" s="13"/>
      <c r="HS346" s="13"/>
      <c r="HT346" s="13"/>
      <c r="HU346" s="13"/>
      <c r="HV346" s="13"/>
      <c r="HW346" s="13"/>
      <c r="HX346" s="13"/>
      <c r="HY346" s="13"/>
      <c r="HZ346" s="13"/>
      <c r="IA346" s="13"/>
    </row>
    <row r="347" spans="1:235" ht="16.95" customHeight="1">
      <c r="A347" s="1"/>
      <c r="B347" s="3"/>
      <c r="C347" s="3"/>
      <c r="D347" s="545"/>
      <c r="E347" s="545"/>
      <c r="F347" s="545"/>
      <c r="G347" s="545"/>
      <c r="H347" s="545"/>
      <c r="I347" s="545"/>
      <c r="J347" s="545"/>
      <c r="K347" s="545"/>
      <c r="L347" s="545"/>
      <c r="M347" s="545"/>
      <c r="N347" s="545"/>
      <c r="O347" s="545"/>
      <c r="P347" s="545"/>
      <c r="Q347" s="545"/>
      <c r="R347" s="545"/>
      <c r="S347" s="545"/>
      <c r="T347" s="545"/>
      <c r="U347" s="545"/>
      <c r="V347" s="545"/>
      <c r="W347" s="545"/>
      <c r="X347" s="545"/>
      <c r="Y347" s="545"/>
      <c r="Z347" s="545"/>
      <c r="AA347" s="545"/>
      <c r="AB347" s="545"/>
      <c r="AC347" s="545"/>
      <c r="AD347" s="545"/>
      <c r="AE347" s="545"/>
      <c r="AF347" s="545"/>
      <c r="AG347" s="545"/>
      <c r="AH347" s="545"/>
      <c r="AI347" s="545"/>
      <c r="AJ347" s="545"/>
      <c r="AK347" s="545"/>
      <c r="AL347" s="545"/>
      <c r="AM347" s="545"/>
      <c r="AN347" s="545"/>
      <c r="AO347" s="545"/>
      <c r="AP347" s="545"/>
      <c r="AQ347" s="545"/>
      <c r="AR347" s="545"/>
      <c r="AS347" s="545"/>
      <c r="AT347" s="545"/>
      <c r="AU347" s="545"/>
      <c r="AV347" s="545"/>
      <c r="AW347" s="545"/>
      <c r="AX347" s="545"/>
      <c r="AY347" s="545"/>
      <c r="AZ347" s="545"/>
      <c r="BA347" s="545"/>
      <c r="BB347" s="545"/>
      <c r="BC347" s="545"/>
      <c r="BD347" s="545"/>
      <c r="BE347" s="545"/>
      <c r="BF347" s="545"/>
      <c r="BG347" s="545"/>
      <c r="BH347" s="545"/>
      <c r="BI347" s="545"/>
      <c r="BJ347" s="545"/>
      <c r="BK347" s="545"/>
      <c r="BL347" s="545"/>
      <c r="BM347" s="545"/>
      <c r="BN347" s="545"/>
      <c r="BO347" s="545"/>
      <c r="BP347" s="545"/>
      <c r="BQ347" s="545"/>
      <c r="BR347" s="545"/>
      <c r="BS347" s="545"/>
      <c r="BT347" s="545"/>
      <c r="BU347" s="545"/>
      <c r="BV347" s="545"/>
      <c r="BW347" s="545"/>
      <c r="BX347" s="545"/>
      <c r="BY347" s="545"/>
      <c r="BZ347" s="545"/>
      <c r="CA347" s="545"/>
      <c r="CB347" s="545"/>
      <c r="CC347" s="545"/>
      <c r="CD347" s="545"/>
      <c r="CE347" s="545"/>
      <c r="CF347" s="545"/>
      <c r="CG347" s="545"/>
      <c r="CH347" s="545"/>
      <c r="CI347" s="545"/>
      <c r="CJ347" s="545"/>
      <c r="CK347" s="545"/>
      <c r="CL347" s="545"/>
      <c r="CM347" s="554"/>
      <c r="CN347" s="43"/>
      <c r="CO347" s="43"/>
      <c r="CP347" s="376"/>
      <c r="CQ347" s="417" t="str">
        <f ca="1">IF(FN320=0,"","producentensurplus geworden. De totale welvaart is")</f>
        <v/>
      </c>
      <c r="CR347" s="376"/>
      <c r="CS347" s="376"/>
      <c r="CT347" s="376"/>
      <c r="CU347" s="376"/>
      <c r="CV347" s="376"/>
      <c r="CW347" s="376"/>
      <c r="CX347" s="376"/>
      <c r="CY347" s="376"/>
      <c r="CZ347" s="172"/>
      <c r="DA347" s="172"/>
      <c r="DB347" s="172"/>
      <c r="DC347" s="172"/>
      <c r="DD347" s="172"/>
      <c r="DE347" s="413"/>
      <c r="DF347" s="413"/>
      <c r="DG347" s="413"/>
      <c r="DH347" s="413"/>
      <c r="DI347" s="413"/>
      <c r="DJ347" s="413"/>
      <c r="DK347" s="413"/>
      <c r="DL347" s="413"/>
      <c r="DM347" s="413"/>
      <c r="DN347" s="413"/>
      <c r="DO347" s="413"/>
      <c r="DP347" s="413"/>
      <c r="DQ347" s="413"/>
      <c r="DR347" s="413"/>
      <c r="DS347" s="413"/>
      <c r="DT347" s="413"/>
      <c r="DU347" s="413"/>
      <c r="DV347" s="413"/>
      <c r="DW347" s="413"/>
      <c r="DX347" s="413"/>
      <c r="DY347" s="413"/>
      <c r="DZ347" s="413"/>
      <c r="EA347" s="413"/>
      <c r="EB347" s="413"/>
      <c r="EC347" s="413"/>
      <c r="ED347" s="413"/>
      <c r="EE347" s="413"/>
      <c r="EF347" s="413"/>
      <c r="EG347" s="413"/>
      <c r="EH347" s="413"/>
      <c r="EI347" s="413"/>
      <c r="EJ347" s="413"/>
      <c r="EK347" s="413"/>
      <c r="EL347" s="413"/>
      <c r="EM347" s="413"/>
      <c r="EN347" s="413"/>
      <c r="EO347" s="413"/>
      <c r="EP347" s="413"/>
      <c r="EQ347" s="413"/>
      <c r="ER347" s="413"/>
      <c r="ES347" s="413"/>
      <c r="ET347" s="413"/>
      <c r="EU347" s="413"/>
      <c r="EV347" s="413"/>
      <c r="EW347" s="413"/>
      <c r="EX347" s="413"/>
      <c r="EY347" s="413"/>
      <c r="EZ347" s="413"/>
      <c r="FA347" s="413"/>
      <c r="FB347" s="413"/>
      <c r="FC347" s="413"/>
      <c r="FD347" s="413"/>
      <c r="FE347" s="413"/>
      <c r="FF347" s="413"/>
      <c r="FG347" s="413"/>
      <c r="FH347" s="413"/>
      <c r="FI347" s="107"/>
      <c r="FJ347" s="107"/>
      <c r="FK347" s="107"/>
      <c r="FL347" s="107"/>
      <c r="FM347" s="338"/>
      <c r="FN347" s="338"/>
      <c r="FO347" s="338"/>
      <c r="FP347" s="47"/>
      <c r="FQ347" s="47"/>
      <c r="FR347" s="47"/>
      <c r="FS347" s="47"/>
      <c r="FT347" s="47"/>
      <c r="FU347" s="338"/>
      <c r="FV347" s="338"/>
      <c r="FW347" s="338"/>
      <c r="FX347" s="338"/>
      <c r="FY347" s="32"/>
      <c r="FZ347" s="32"/>
      <c r="GA347" s="32"/>
      <c r="GB347" s="32"/>
      <c r="GC347" s="32"/>
      <c r="GD347" s="32"/>
      <c r="GE347" s="32"/>
      <c r="GF347" s="32"/>
      <c r="GG347" s="32"/>
      <c r="GH347" s="32"/>
      <c r="GI347" s="32"/>
      <c r="GJ347" s="32"/>
      <c r="GK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99"/>
      <c r="HO347" s="399"/>
      <c r="HP347" s="399"/>
      <c r="HQ347" s="13"/>
      <c r="HR347" s="13"/>
      <c r="HS347" s="13"/>
      <c r="HT347" s="13"/>
      <c r="HU347" s="13"/>
      <c r="HV347" s="13"/>
      <c r="HW347" s="13"/>
      <c r="HX347" s="13"/>
      <c r="HY347" s="13"/>
      <c r="HZ347" s="13"/>
      <c r="IA347" s="13"/>
    </row>
    <row r="348" spans="1:235" ht="16.95" customHeight="1">
      <c r="A348" s="1"/>
      <c r="B348" s="3"/>
      <c r="C348" s="3"/>
      <c r="D348" s="545"/>
      <c r="E348" s="545"/>
      <c r="F348" s="545"/>
      <c r="G348" s="545"/>
      <c r="H348" s="545"/>
      <c r="I348" s="545"/>
      <c r="J348" s="545"/>
      <c r="K348" s="545"/>
      <c r="L348" s="545"/>
      <c r="M348" s="545"/>
      <c r="N348" s="545"/>
      <c r="O348" s="545"/>
      <c r="P348" s="545"/>
      <c r="Q348" s="545"/>
      <c r="R348" s="545"/>
      <c r="S348" s="545"/>
      <c r="T348" s="545"/>
      <c r="U348" s="545"/>
      <c r="V348" s="545"/>
      <c r="W348" s="545"/>
      <c r="X348" s="545"/>
      <c r="Y348" s="545"/>
      <c r="Z348" s="545"/>
      <c r="AA348" s="545"/>
      <c r="AB348" s="545"/>
      <c r="AC348" s="545"/>
      <c r="AD348" s="545"/>
      <c r="AE348" s="545"/>
      <c r="AF348" s="545"/>
      <c r="AG348" s="545"/>
      <c r="AH348" s="545"/>
      <c r="AI348" s="545"/>
      <c r="AJ348" s="545"/>
      <c r="AK348" s="545"/>
      <c r="AL348" s="545"/>
      <c r="AM348" s="545"/>
      <c r="AN348" s="545"/>
      <c r="AO348" s="545"/>
      <c r="AP348" s="545"/>
      <c r="AQ348" s="545"/>
      <c r="AR348" s="545"/>
      <c r="AS348" s="545"/>
      <c r="AT348" s="545"/>
      <c r="AU348" s="545"/>
      <c r="AV348" s="545"/>
      <c r="AW348" s="545"/>
      <c r="AX348" s="545"/>
      <c r="AY348" s="545"/>
      <c r="AZ348" s="545"/>
      <c r="BA348" s="545"/>
      <c r="BB348" s="545"/>
      <c r="BC348" s="545"/>
      <c r="BD348" s="545"/>
      <c r="BE348" s="545"/>
      <c r="BF348" s="545"/>
      <c r="BG348" s="545"/>
      <c r="BH348" s="545"/>
      <c r="BI348" s="545"/>
      <c r="BJ348" s="545"/>
      <c r="BK348" s="545"/>
      <c r="BL348" s="545"/>
      <c r="BM348" s="545"/>
      <c r="BN348" s="545"/>
      <c r="BO348" s="545"/>
      <c r="BP348" s="545"/>
      <c r="BQ348" s="545"/>
      <c r="BR348" s="545"/>
      <c r="BS348" s="545"/>
      <c r="BT348" s="545"/>
      <c r="BU348" s="545"/>
      <c r="BV348" s="545"/>
      <c r="BW348" s="545"/>
      <c r="BX348" s="545"/>
      <c r="BY348" s="545"/>
      <c r="BZ348" s="545"/>
      <c r="CA348" s="545"/>
      <c r="CB348" s="545"/>
      <c r="CC348" s="545"/>
      <c r="CD348" s="545"/>
      <c r="CE348" s="545"/>
      <c r="CF348" s="545"/>
      <c r="CG348" s="545"/>
      <c r="CH348" s="545"/>
      <c r="CI348" s="545"/>
      <c r="CJ348" s="545"/>
      <c r="CK348" s="545"/>
      <c r="CL348" s="545"/>
      <c r="CM348" s="554"/>
      <c r="CN348" s="43"/>
      <c r="CO348" s="43"/>
      <c r="CP348" s="376"/>
      <c r="CQ348" s="417" t="str">
        <f ca="1">IF(FN320=0,"","daardoor weer gelijk aan die bij volkomen concurrentie, ")</f>
        <v/>
      </c>
      <c r="CR348" s="376"/>
      <c r="CS348" s="376"/>
      <c r="CT348" s="376"/>
      <c r="CU348" s="376"/>
      <c r="CV348" s="376"/>
      <c r="CW348" s="376"/>
      <c r="CX348" s="376"/>
      <c r="CY348" s="376"/>
      <c r="CZ348" s="172"/>
      <c r="DA348" s="172"/>
      <c r="DB348" s="172"/>
      <c r="DC348" s="172"/>
      <c r="DD348" s="172"/>
      <c r="DE348" s="413"/>
      <c r="DF348" s="413"/>
      <c r="DG348" s="413"/>
      <c r="DH348" s="413"/>
      <c r="DI348" s="413"/>
      <c r="DJ348" s="413"/>
      <c r="DK348" s="413"/>
      <c r="DL348" s="413"/>
      <c r="DM348" s="413"/>
      <c r="DN348" s="413"/>
      <c r="DO348" s="413"/>
      <c r="DP348" s="413"/>
      <c r="DQ348" s="413"/>
      <c r="DR348" s="413"/>
      <c r="DS348" s="413"/>
      <c r="DT348" s="413"/>
      <c r="DU348" s="413"/>
      <c r="DV348" s="413"/>
      <c r="DW348" s="413"/>
      <c r="DX348" s="413"/>
      <c r="DY348" s="413"/>
      <c r="DZ348" s="413"/>
      <c r="EA348" s="413"/>
      <c r="EB348" s="413"/>
      <c r="EC348" s="413"/>
      <c r="ED348" s="413"/>
      <c r="EE348" s="413"/>
      <c r="EF348" s="413"/>
      <c r="EG348" s="413"/>
      <c r="EH348" s="413"/>
      <c r="EI348" s="413"/>
      <c r="EJ348" s="413"/>
      <c r="EK348" s="413"/>
      <c r="EL348" s="413"/>
      <c r="EM348" s="413"/>
      <c r="EN348" s="413"/>
      <c r="EO348" s="413"/>
      <c r="EP348" s="413"/>
      <c r="EQ348" s="413"/>
      <c r="ER348" s="413"/>
      <c r="ES348" s="413"/>
      <c r="ET348" s="413"/>
      <c r="EU348" s="413"/>
      <c r="EV348" s="413"/>
      <c r="EW348" s="413"/>
      <c r="EX348" s="413"/>
      <c r="EY348" s="413"/>
      <c r="EZ348" s="413"/>
      <c r="FA348" s="413"/>
      <c r="FB348" s="413"/>
      <c r="FC348" s="413"/>
      <c r="FD348" s="413"/>
      <c r="FE348" s="413"/>
      <c r="FF348" s="413"/>
      <c r="FG348" s="413"/>
      <c r="FH348" s="413"/>
      <c r="FI348" s="107"/>
      <c r="FJ348" s="107"/>
      <c r="FK348" s="107"/>
      <c r="FL348" s="107"/>
      <c r="FM348" s="338"/>
      <c r="FN348" s="338"/>
      <c r="FO348" s="338"/>
      <c r="FP348" s="47"/>
      <c r="FQ348" s="47"/>
      <c r="FR348" s="47"/>
      <c r="FS348" s="47"/>
      <c r="FT348" s="47"/>
      <c r="FU348" s="338"/>
      <c r="FV348" s="338"/>
      <c r="FW348" s="338"/>
      <c r="FX348" s="338"/>
      <c r="FY348" s="32"/>
      <c r="FZ348" s="32"/>
      <c r="GA348" s="32"/>
      <c r="GB348" s="32"/>
      <c r="GC348" s="32"/>
      <c r="GD348" s="32"/>
      <c r="GE348" s="32"/>
      <c r="GF348" s="32"/>
      <c r="GG348" s="32"/>
      <c r="GH348" s="32"/>
      <c r="GI348" s="32"/>
      <c r="GJ348" s="32"/>
      <c r="GK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99"/>
      <c r="HO348" s="399"/>
      <c r="HP348" s="399"/>
      <c r="HQ348" s="13"/>
      <c r="HR348" s="13"/>
      <c r="HS348" s="13"/>
      <c r="HT348" s="13"/>
      <c r="HU348" s="13"/>
      <c r="HV348" s="13"/>
      <c r="HW348" s="13"/>
      <c r="HX348" s="13"/>
      <c r="HY348" s="13"/>
      <c r="HZ348" s="13"/>
      <c r="IA348" s="13"/>
    </row>
    <row r="349" spans="1:235" ht="16.95" customHeight="1">
      <c r="A349" s="1"/>
      <c r="B349" s="3"/>
      <c r="C349" s="3"/>
      <c r="D349" s="545"/>
      <c r="E349" s="545"/>
      <c r="F349" s="545"/>
      <c r="G349" s="545"/>
      <c r="H349" s="545"/>
      <c r="I349" s="545"/>
      <c r="J349" s="545"/>
      <c r="K349" s="545"/>
      <c r="L349" s="545"/>
      <c r="M349" s="545"/>
      <c r="N349" s="545"/>
      <c r="O349" s="545"/>
      <c r="P349" s="545"/>
      <c r="Q349" s="545"/>
      <c r="R349" s="545"/>
      <c r="S349" s="545"/>
      <c r="T349" s="545"/>
      <c r="U349" s="545"/>
      <c r="V349" s="545"/>
      <c r="W349" s="545"/>
      <c r="X349" s="545"/>
      <c r="Y349" s="545"/>
      <c r="Z349" s="545"/>
      <c r="AA349" s="545"/>
      <c r="AB349" s="545"/>
      <c r="AC349" s="545"/>
      <c r="AD349" s="545"/>
      <c r="AE349" s="545"/>
      <c r="AF349" s="545"/>
      <c r="AG349" s="545"/>
      <c r="AH349" s="545"/>
      <c r="AI349" s="545"/>
      <c r="AJ349" s="545"/>
      <c r="AK349" s="545"/>
      <c r="AL349" s="545"/>
      <c r="AM349" s="545"/>
      <c r="AN349" s="545"/>
      <c r="AO349" s="545"/>
      <c r="AP349" s="545"/>
      <c r="AQ349" s="545"/>
      <c r="AR349" s="545"/>
      <c r="AS349" s="545"/>
      <c r="AT349" s="545"/>
      <c r="AU349" s="545"/>
      <c r="AV349" s="545"/>
      <c r="AW349" s="545"/>
      <c r="AX349" s="545"/>
      <c r="AY349" s="545"/>
      <c r="AZ349" s="545"/>
      <c r="BA349" s="545"/>
      <c r="BB349" s="545"/>
      <c r="BC349" s="545"/>
      <c r="BD349" s="545"/>
      <c r="BE349" s="545"/>
      <c r="BF349" s="545"/>
      <c r="BG349" s="545"/>
      <c r="BH349" s="545"/>
      <c r="BI349" s="545"/>
      <c r="BJ349" s="545"/>
      <c r="BK349" s="545"/>
      <c r="BL349" s="545"/>
      <c r="BM349" s="545"/>
      <c r="BN349" s="545"/>
      <c r="BO349" s="545"/>
      <c r="BP349" s="545"/>
      <c r="BQ349" s="545"/>
      <c r="BR349" s="545"/>
      <c r="BS349" s="545"/>
      <c r="BT349" s="545"/>
      <c r="BU349" s="545"/>
      <c r="BV349" s="545"/>
      <c r="BW349" s="545"/>
      <c r="BX349" s="545"/>
      <c r="BY349" s="545"/>
      <c r="BZ349" s="545"/>
      <c r="CA349" s="545"/>
      <c r="CB349" s="545"/>
      <c r="CC349" s="545"/>
      <c r="CD349" s="545"/>
      <c r="CE349" s="545"/>
      <c r="CF349" s="545"/>
      <c r="CG349" s="545"/>
      <c r="CH349" s="545"/>
      <c r="CI349" s="545"/>
      <c r="CJ349" s="545"/>
      <c r="CK349" s="545"/>
      <c r="CL349" s="545"/>
      <c r="CM349" s="554"/>
      <c r="CN349" s="43"/>
      <c r="CO349" s="43"/>
      <c r="CP349" s="376"/>
      <c r="CQ349" s="417" t="str">
        <f ca="1">IF(FN320=0,"","alleen totaal anders verdeeld. Merk op dat geldt dat")</f>
        <v/>
      </c>
      <c r="CR349" s="376"/>
      <c r="CS349" s="376"/>
      <c r="CT349" s="376"/>
      <c r="CU349" s="376"/>
      <c r="CV349" s="376"/>
      <c r="CW349" s="376"/>
      <c r="CX349" s="376"/>
      <c r="CY349" s="376"/>
      <c r="CZ349" s="172"/>
      <c r="DA349" s="172"/>
      <c r="DB349" s="172"/>
      <c r="DC349" s="172"/>
      <c r="DD349" s="172"/>
      <c r="DE349" s="107"/>
      <c r="DF349" s="107"/>
      <c r="DG349" s="107"/>
      <c r="DH349" s="107"/>
      <c r="DI349" s="107"/>
      <c r="DJ349" s="107"/>
      <c r="DK349" s="107"/>
      <c r="DL349" s="107"/>
      <c r="DM349" s="107"/>
      <c r="DN349" s="107"/>
      <c r="DO349" s="107"/>
      <c r="DP349" s="107"/>
      <c r="DQ349" s="107"/>
      <c r="DR349" s="107"/>
      <c r="DS349" s="172"/>
      <c r="DT349" s="172"/>
      <c r="DU349" s="172"/>
      <c r="DV349" s="172"/>
      <c r="DW349" s="172"/>
      <c r="DX349" s="172"/>
      <c r="DY349" s="172"/>
      <c r="DZ349" s="172"/>
      <c r="EA349" s="172"/>
      <c r="EB349" s="172"/>
      <c r="EC349" s="172"/>
      <c r="ED349" s="172"/>
      <c r="EE349" s="172"/>
      <c r="EF349" s="172"/>
      <c r="EG349" s="172"/>
      <c r="EH349" s="172"/>
      <c r="EI349" s="172"/>
      <c r="EJ349" s="172"/>
      <c r="EK349" s="172"/>
      <c r="EL349" s="172"/>
      <c r="EM349" s="172"/>
      <c r="EN349" s="172"/>
      <c r="EO349" s="172"/>
      <c r="EP349" s="172"/>
      <c r="EQ349" s="172"/>
      <c r="ER349" s="172"/>
      <c r="ES349" s="172"/>
      <c r="ET349" s="172"/>
      <c r="EU349" s="172"/>
      <c r="EV349" s="172"/>
      <c r="EW349" s="172"/>
      <c r="EX349" s="172"/>
      <c r="EY349" s="172"/>
      <c r="EZ349" s="172"/>
      <c r="FA349" s="407"/>
      <c r="FB349" s="407"/>
      <c r="FC349" s="407"/>
      <c r="FD349" s="407"/>
      <c r="FE349" s="407"/>
      <c r="FF349" s="407"/>
      <c r="FG349" s="407"/>
      <c r="FH349" s="407"/>
      <c r="FI349" s="107"/>
      <c r="FJ349" s="107"/>
      <c r="FK349" s="107"/>
      <c r="FL349" s="107"/>
      <c r="FM349" s="338"/>
      <c r="FN349" s="338"/>
      <c r="FO349" s="338"/>
      <c r="FP349" s="47"/>
      <c r="FQ349" s="47"/>
      <c r="FR349" s="47"/>
      <c r="FS349" s="47"/>
      <c r="FT349" s="47"/>
      <c r="FU349" s="338"/>
      <c r="FV349" s="338"/>
      <c r="FW349" s="338"/>
      <c r="FX349" s="338"/>
      <c r="FY349" s="32"/>
      <c r="FZ349" s="32"/>
      <c r="GA349" s="32"/>
      <c r="GB349" s="32"/>
      <c r="GC349" s="32"/>
      <c r="GD349" s="32"/>
      <c r="GE349" s="32"/>
      <c r="GF349" s="32"/>
      <c r="GG349" s="32"/>
      <c r="GH349" s="32"/>
      <c r="GI349" s="32"/>
      <c r="GJ349" s="32"/>
      <c r="GK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99"/>
      <c r="HO349" s="399"/>
      <c r="HP349" s="399"/>
      <c r="HQ349" s="13"/>
      <c r="HR349" s="13"/>
      <c r="HS349" s="13"/>
      <c r="HT349" s="13"/>
      <c r="HU349" s="13"/>
      <c r="HV349" s="13"/>
      <c r="HW349" s="13"/>
      <c r="HX349" s="13"/>
      <c r="HY349" s="13"/>
      <c r="HZ349" s="13"/>
      <c r="IA349" s="13"/>
    </row>
    <row r="350" spans="1:235" ht="16.95" customHeight="1">
      <c r="A350" s="1"/>
      <c r="B350" s="3"/>
      <c r="C350" s="3"/>
      <c r="D350" s="545"/>
      <c r="E350" s="545"/>
      <c r="F350" s="545"/>
      <c r="G350" s="545"/>
      <c r="H350" s="545"/>
      <c r="I350" s="545"/>
      <c r="J350" s="545"/>
      <c r="K350" s="545"/>
      <c r="L350" s="545"/>
      <c r="M350" s="545"/>
      <c r="N350" s="545"/>
      <c r="O350" s="545"/>
      <c r="P350" s="545"/>
      <c r="Q350" s="545"/>
      <c r="R350" s="545"/>
      <c r="S350" s="545"/>
      <c r="T350" s="545"/>
      <c r="U350" s="545"/>
      <c r="V350" s="545"/>
      <c r="W350" s="545"/>
      <c r="X350" s="545"/>
      <c r="Y350" s="545"/>
      <c r="Z350" s="545"/>
      <c r="AA350" s="545"/>
      <c r="AB350" s="545"/>
      <c r="AC350" s="545"/>
      <c r="AD350" s="545"/>
      <c r="AE350" s="545"/>
      <c r="AF350" s="545"/>
      <c r="AG350" s="545"/>
      <c r="AH350" s="545"/>
      <c r="AI350" s="545"/>
      <c r="AJ350" s="545"/>
      <c r="AK350" s="545"/>
      <c r="AL350" s="545"/>
      <c r="AM350" s="545"/>
      <c r="AN350" s="545"/>
      <c r="AO350" s="545"/>
      <c r="AP350" s="545"/>
      <c r="AQ350" s="545"/>
      <c r="AR350" s="545"/>
      <c r="AS350" s="545"/>
      <c r="AT350" s="545"/>
      <c r="AU350" s="545"/>
      <c r="AV350" s="545"/>
      <c r="AW350" s="545"/>
      <c r="AX350" s="545"/>
      <c r="AY350" s="545"/>
      <c r="AZ350" s="545"/>
      <c r="BA350" s="545"/>
      <c r="BB350" s="545"/>
      <c r="BC350" s="545"/>
      <c r="BD350" s="545"/>
      <c r="BE350" s="545"/>
      <c r="BF350" s="545"/>
      <c r="BG350" s="545"/>
      <c r="BH350" s="545"/>
      <c r="BI350" s="545"/>
      <c r="BJ350" s="545"/>
      <c r="BK350" s="545"/>
      <c r="BL350" s="545"/>
      <c r="BM350" s="545"/>
      <c r="BN350" s="545"/>
      <c r="BO350" s="545"/>
      <c r="BP350" s="545"/>
      <c r="BQ350" s="545"/>
      <c r="BR350" s="545"/>
      <c r="BS350" s="545"/>
      <c r="BT350" s="545"/>
      <c r="BU350" s="545"/>
      <c r="BV350" s="545"/>
      <c r="BW350" s="545"/>
      <c r="BX350" s="545"/>
      <c r="BY350" s="545"/>
      <c r="BZ350" s="545"/>
      <c r="CA350" s="545"/>
      <c r="CB350" s="545"/>
      <c r="CC350" s="545"/>
      <c r="CD350" s="545"/>
      <c r="CE350" s="545"/>
      <c r="CF350" s="545"/>
      <c r="CG350" s="545"/>
      <c r="CH350" s="545"/>
      <c r="CI350" s="545"/>
      <c r="CJ350" s="545"/>
      <c r="CK350" s="545"/>
      <c r="CL350" s="545"/>
      <c r="CM350" s="554"/>
      <c r="CN350" s="43"/>
      <c r="CO350" s="43"/>
      <c r="CP350" s="376"/>
      <c r="CQ350" s="417" t="str">
        <f ca="1">IF(FN320=0,"","maximale winst weer bereikt wordt waar MO = MK.")</f>
        <v/>
      </c>
      <c r="CR350" s="376"/>
      <c r="CS350" s="376"/>
      <c r="CT350" s="376"/>
      <c r="CU350" s="376"/>
      <c r="CV350" s="376"/>
      <c r="CW350" s="376"/>
      <c r="CX350" s="376"/>
      <c r="CY350" s="376"/>
      <c r="CZ350" s="172"/>
      <c r="DA350" s="172"/>
      <c r="DB350" s="172"/>
      <c r="DC350" s="172"/>
      <c r="DD350" s="172"/>
      <c r="DE350" s="413"/>
      <c r="DF350" s="413"/>
      <c r="DG350" s="413"/>
      <c r="DH350" s="413"/>
      <c r="DI350" s="413"/>
      <c r="DJ350" s="413"/>
      <c r="DK350" s="413"/>
      <c r="DL350" s="413"/>
      <c r="DM350" s="413"/>
      <c r="DN350" s="413"/>
      <c r="DO350" s="413"/>
      <c r="DP350" s="413"/>
      <c r="DQ350" s="413"/>
      <c r="DR350" s="413"/>
      <c r="DS350" s="413"/>
      <c r="DT350" s="413"/>
      <c r="DU350" s="413"/>
      <c r="DV350" s="413"/>
      <c r="DW350" s="413"/>
      <c r="DX350" s="413"/>
      <c r="DY350" s="413"/>
      <c r="DZ350" s="413"/>
      <c r="EA350" s="413"/>
      <c r="EB350" s="413"/>
      <c r="EC350" s="413"/>
      <c r="ED350" s="413"/>
      <c r="EE350" s="413"/>
      <c r="EF350" s="413"/>
      <c r="EG350" s="413"/>
      <c r="EH350" s="413"/>
      <c r="EI350" s="413"/>
      <c r="EJ350" s="413"/>
      <c r="EK350" s="413"/>
      <c r="EL350" s="413"/>
      <c r="EM350" s="413"/>
      <c r="EN350" s="413"/>
      <c r="EO350" s="413"/>
      <c r="EP350" s="413"/>
      <c r="EQ350" s="413"/>
      <c r="ER350" s="413"/>
      <c r="ES350" s="413"/>
      <c r="ET350" s="413"/>
      <c r="EU350" s="413"/>
      <c r="EV350" s="413"/>
      <c r="EW350" s="413"/>
      <c r="EX350" s="413"/>
      <c r="EY350" s="413"/>
      <c r="EZ350" s="413"/>
      <c r="FA350" s="413"/>
      <c r="FB350" s="413"/>
      <c r="FC350" s="413"/>
      <c r="FD350" s="413"/>
      <c r="FE350" s="413"/>
      <c r="FF350" s="413"/>
      <c r="FG350" s="413"/>
      <c r="FH350" s="413"/>
      <c r="FI350" s="107"/>
      <c r="FJ350" s="107"/>
      <c r="FK350" s="107"/>
      <c r="FL350" s="107"/>
      <c r="FM350" s="338"/>
      <c r="FN350" s="338"/>
      <c r="FO350" s="338"/>
      <c r="FP350" s="47"/>
      <c r="FQ350" s="47"/>
      <c r="FR350" s="47"/>
      <c r="FS350" s="47"/>
      <c r="FT350" s="47"/>
      <c r="FU350" s="338"/>
      <c r="FV350" s="338"/>
      <c r="FW350" s="338"/>
      <c r="FX350" s="338"/>
      <c r="FY350" s="32"/>
      <c r="FZ350" s="32"/>
      <c r="GA350" s="32"/>
      <c r="GB350" s="32"/>
      <c r="GC350" s="32"/>
      <c r="GD350" s="32"/>
      <c r="GE350" s="32"/>
      <c r="GF350" s="32"/>
      <c r="GG350" s="32"/>
      <c r="GH350" s="32"/>
      <c r="GI350" s="32"/>
      <c r="GJ350" s="32"/>
      <c r="GK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99"/>
      <c r="HO350" s="399"/>
      <c r="HP350" s="399"/>
      <c r="HQ350" s="13"/>
      <c r="HR350" s="13"/>
      <c r="HS350" s="13"/>
      <c r="HT350" s="13"/>
      <c r="HU350" s="13"/>
      <c r="HV350" s="13"/>
      <c r="HW350" s="13"/>
      <c r="HX350" s="13"/>
      <c r="HY350" s="13"/>
      <c r="HZ350" s="13"/>
      <c r="IA350" s="13"/>
    </row>
    <row r="351" spans="1:235" ht="16.95" customHeight="1">
      <c r="A351" s="1"/>
      <c r="B351" s="3"/>
      <c r="C351" s="3"/>
      <c r="D351" s="545"/>
      <c r="E351" s="545"/>
      <c r="F351" s="545"/>
      <c r="G351" s="545"/>
      <c r="H351" s="545"/>
      <c r="I351" s="545"/>
      <c r="J351" s="545"/>
      <c r="K351" s="545"/>
      <c r="L351" s="545"/>
      <c r="M351" s="545"/>
      <c r="N351" s="545"/>
      <c r="O351" s="545"/>
      <c r="P351" s="545"/>
      <c r="Q351" s="545"/>
      <c r="R351" s="545"/>
      <c r="S351" s="545"/>
      <c r="T351" s="545"/>
      <c r="U351" s="545"/>
      <c r="V351" s="545"/>
      <c r="W351" s="545"/>
      <c r="X351" s="545"/>
      <c r="Y351" s="545"/>
      <c r="Z351" s="545"/>
      <c r="AA351" s="545"/>
      <c r="AB351" s="545"/>
      <c r="AC351" s="545"/>
      <c r="AD351" s="545"/>
      <c r="AE351" s="545"/>
      <c r="AF351" s="545"/>
      <c r="AG351" s="545"/>
      <c r="AH351" s="545"/>
      <c r="AI351" s="545"/>
      <c r="AJ351" s="545"/>
      <c r="AK351" s="545"/>
      <c r="AL351" s="545"/>
      <c r="AM351" s="545"/>
      <c r="AN351" s="545"/>
      <c r="AO351" s="545"/>
      <c r="AP351" s="545"/>
      <c r="AQ351" s="545"/>
      <c r="AR351" s="545"/>
      <c r="AS351" s="545"/>
      <c r="AT351" s="545"/>
      <c r="AU351" s="545"/>
      <c r="AV351" s="545"/>
      <c r="AW351" s="545"/>
      <c r="AX351" s="545"/>
      <c r="AY351" s="545"/>
      <c r="AZ351" s="545"/>
      <c r="BA351" s="545"/>
      <c r="BB351" s="545"/>
      <c r="BC351" s="545"/>
      <c r="BD351" s="545"/>
      <c r="BE351" s="545"/>
      <c r="BF351" s="545"/>
      <c r="BG351" s="545"/>
      <c r="BH351" s="545"/>
      <c r="BI351" s="545"/>
      <c r="BJ351" s="545"/>
      <c r="BK351" s="545"/>
      <c r="BL351" s="545"/>
      <c r="BM351" s="545"/>
      <c r="BN351" s="545"/>
      <c r="BO351" s="545"/>
      <c r="BP351" s="545"/>
      <c r="BQ351" s="545"/>
      <c r="BR351" s="545"/>
      <c r="BS351" s="545"/>
      <c r="BT351" s="545"/>
      <c r="BU351" s="545"/>
      <c r="BV351" s="545"/>
      <c r="BW351" s="545"/>
      <c r="BX351" s="545"/>
      <c r="BY351" s="545"/>
      <c r="BZ351" s="545"/>
      <c r="CA351" s="545"/>
      <c r="CB351" s="545"/>
      <c r="CC351" s="545"/>
      <c r="CD351" s="545"/>
      <c r="CE351" s="545"/>
      <c r="CF351" s="545"/>
      <c r="CG351" s="545"/>
      <c r="CH351" s="545"/>
      <c r="CI351" s="545"/>
      <c r="CJ351" s="545"/>
      <c r="CK351" s="545"/>
      <c r="CL351" s="545"/>
      <c r="CM351" s="554"/>
      <c r="CN351" s="43"/>
      <c r="CO351" s="43"/>
      <c r="CP351" s="376"/>
      <c r="CR351" s="376"/>
      <c r="CS351" s="376"/>
      <c r="CT351" s="376"/>
      <c r="CU351" s="376"/>
      <c r="CV351" s="376"/>
      <c r="CW351" s="376"/>
      <c r="CX351" s="376"/>
      <c r="CY351" s="376"/>
      <c r="CZ351" s="172"/>
      <c r="DA351" s="172"/>
      <c r="DB351" s="172"/>
      <c r="DC351" s="172"/>
      <c r="DD351" s="172"/>
      <c r="DE351" s="413"/>
      <c r="DF351" s="413"/>
      <c r="DG351" s="413"/>
      <c r="DH351" s="413"/>
      <c r="DI351" s="413"/>
      <c r="DJ351" s="413"/>
      <c r="DK351" s="413"/>
      <c r="DL351" s="413"/>
      <c r="DM351" s="413"/>
      <c r="DN351" s="413"/>
      <c r="DO351" s="413"/>
      <c r="DP351" s="413"/>
      <c r="DQ351" s="413"/>
      <c r="DR351" s="413"/>
      <c r="DS351" s="413"/>
      <c r="DT351" s="413"/>
      <c r="DU351" s="413"/>
      <c r="DV351" s="413"/>
      <c r="DW351" s="413"/>
      <c r="DX351" s="413"/>
      <c r="DY351" s="413"/>
      <c r="DZ351" s="413"/>
      <c r="EA351" s="413"/>
      <c r="EB351" s="413"/>
      <c r="EC351" s="413"/>
      <c r="ED351" s="413"/>
      <c r="EE351" s="413"/>
      <c r="EF351" s="413"/>
      <c r="EG351" s="413"/>
      <c r="EH351" s="413"/>
      <c r="EI351" s="413"/>
      <c r="EJ351" s="413"/>
      <c r="EK351" s="413"/>
      <c r="EL351" s="413"/>
      <c r="EM351" s="413"/>
      <c r="EN351" s="413"/>
      <c r="EO351" s="413"/>
      <c r="EP351" s="413"/>
      <c r="EQ351" s="413"/>
      <c r="ER351" s="413"/>
      <c r="ES351" s="413"/>
      <c r="ET351" s="413"/>
      <c r="EU351" s="413"/>
      <c r="EV351" s="413"/>
      <c r="EW351" s="413"/>
      <c r="EX351" s="413"/>
      <c r="EY351" s="413"/>
      <c r="EZ351" s="413"/>
      <c r="FA351" s="413"/>
      <c r="FB351" s="413"/>
      <c r="FC351" s="413"/>
      <c r="FD351" s="413"/>
      <c r="FE351" s="413"/>
      <c r="FF351" s="413"/>
      <c r="FG351" s="413"/>
      <c r="FH351" s="413"/>
      <c r="FI351" s="107"/>
      <c r="FJ351" s="107"/>
      <c r="FK351" s="107"/>
      <c r="FL351" s="107"/>
      <c r="FM351" s="338"/>
      <c r="FN351" s="338"/>
      <c r="FO351" s="338"/>
      <c r="FP351" s="47"/>
      <c r="FQ351" s="47"/>
      <c r="FR351" s="47"/>
      <c r="FS351" s="47"/>
      <c r="FT351" s="47"/>
      <c r="FU351" s="338"/>
      <c r="FV351" s="338"/>
      <c r="FW351" s="338"/>
      <c r="FX351" s="338"/>
      <c r="FY351" s="32"/>
      <c r="FZ351" s="32"/>
      <c r="GA351" s="32"/>
      <c r="GB351" s="32"/>
      <c r="GC351" s="32"/>
      <c r="GD351" s="32"/>
      <c r="GE351" s="32"/>
      <c r="GF351" s="32"/>
      <c r="GG351" s="32"/>
      <c r="GH351" s="32"/>
      <c r="GI351" s="32"/>
      <c r="GJ351" s="32"/>
      <c r="GK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99"/>
      <c r="HO351" s="399"/>
      <c r="HP351" s="399"/>
      <c r="HQ351" s="13"/>
      <c r="HR351" s="13"/>
      <c r="HS351" s="13"/>
      <c r="HT351" s="13"/>
      <c r="HU351" s="13"/>
      <c r="HV351" s="13"/>
      <c r="HW351" s="13"/>
      <c r="HX351" s="13"/>
      <c r="HY351" s="13"/>
      <c r="HZ351" s="13"/>
      <c r="IA351" s="13"/>
    </row>
    <row r="352" spans="1:235" ht="16.5" customHeight="1">
      <c r="A352" s="1"/>
      <c r="B352" s="3"/>
      <c r="C352" s="3"/>
      <c r="D352" s="545"/>
      <c r="E352" s="545"/>
      <c r="F352" s="545"/>
      <c r="G352" s="545"/>
      <c r="H352" s="545"/>
      <c r="I352" s="545"/>
      <c r="J352" s="545"/>
      <c r="K352" s="545"/>
      <c r="L352" s="545"/>
      <c r="M352" s="545"/>
      <c r="N352" s="545"/>
      <c r="O352" s="545"/>
      <c r="P352" s="545"/>
      <c r="Q352" s="545"/>
      <c r="R352" s="545"/>
      <c r="S352" s="545"/>
      <c r="T352" s="545"/>
      <c r="U352" s="545"/>
      <c r="V352" s="545"/>
      <c r="W352" s="545"/>
      <c r="X352" s="545"/>
      <c r="Y352" s="545"/>
      <c r="Z352" s="545"/>
      <c r="AA352" s="545"/>
      <c r="AB352" s="545"/>
      <c r="AC352" s="545"/>
      <c r="AD352" s="545"/>
      <c r="AE352" s="545"/>
      <c r="AF352" s="545"/>
      <c r="AG352" s="545"/>
      <c r="AH352" s="545"/>
      <c r="AI352" s="545"/>
      <c r="AJ352" s="545"/>
      <c r="AK352" s="545"/>
      <c r="AL352" s="545"/>
      <c r="AM352" s="545"/>
      <c r="AN352" s="545"/>
      <c r="AO352" s="545"/>
      <c r="AP352" s="545"/>
      <c r="AQ352" s="545"/>
      <c r="AR352" s="545"/>
      <c r="AS352" s="545"/>
      <c r="AT352" s="545"/>
      <c r="AU352" s="545"/>
      <c r="AV352" s="545"/>
      <c r="AW352" s="545"/>
      <c r="AX352" s="545"/>
      <c r="AY352" s="545"/>
      <c r="AZ352" s="545"/>
      <c r="BA352" s="545"/>
      <c r="BB352" s="545"/>
      <c r="BC352" s="545"/>
      <c r="BD352" s="545"/>
      <c r="BE352" s="545"/>
      <c r="BF352" s="545"/>
      <c r="BG352" s="545"/>
      <c r="BH352" s="545"/>
      <c r="BI352" s="545"/>
      <c r="BJ352" s="545"/>
      <c r="BK352" s="545"/>
      <c r="BL352" s="545"/>
      <c r="BM352" s="545"/>
      <c r="BN352" s="545"/>
      <c r="BO352" s="545"/>
      <c r="BP352" s="545"/>
      <c r="BQ352" s="545"/>
      <c r="BR352" s="545"/>
      <c r="BS352" s="545"/>
      <c r="BT352" s="545"/>
      <c r="BU352" s="545"/>
      <c r="BV352" s="545"/>
      <c r="BW352" s="545"/>
      <c r="BX352" s="545"/>
      <c r="BY352" s="545"/>
      <c r="BZ352" s="545"/>
      <c r="CA352" s="545"/>
      <c r="CB352" s="545"/>
      <c r="CC352" s="545"/>
      <c r="CD352" s="545"/>
      <c r="CE352" s="545"/>
      <c r="CF352" s="545"/>
      <c r="CG352" s="545"/>
      <c r="CH352" s="545"/>
      <c r="CI352" s="545"/>
      <c r="CJ352" s="545"/>
      <c r="CK352" s="545"/>
      <c r="CL352" s="545"/>
      <c r="CM352" s="554"/>
      <c r="CN352" s="43"/>
      <c r="CO352" s="43"/>
      <c r="CP352" s="376"/>
      <c r="CR352" s="376"/>
      <c r="CS352" s="376"/>
      <c r="CT352" s="376"/>
      <c r="CU352" s="376"/>
      <c r="CV352" s="376"/>
      <c r="CW352" s="376"/>
      <c r="CX352" s="376"/>
      <c r="CY352" s="376"/>
      <c r="CZ352" s="172"/>
      <c r="DA352" s="172"/>
      <c r="DB352" s="172"/>
      <c r="DC352" s="172"/>
      <c r="DD352" s="172"/>
      <c r="DE352" s="413"/>
      <c r="DF352" s="413"/>
      <c r="DG352" s="413"/>
      <c r="DH352" s="413"/>
      <c r="DI352" s="413"/>
      <c r="DJ352" s="413"/>
      <c r="DK352" s="413"/>
      <c r="DL352" s="413"/>
      <c r="DM352" s="413"/>
      <c r="DN352" s="413"/>
      <c r="DO352" s="413"/>
      <c r="DP352" s="413"/>
      <c r="DQ352" s="413"/>
      <c r="DR352" s="413"/>
      <c r="DS352" s="413"/>
      <c r="DT352" s="413"/>
      <c r="DU352" s="413"/>
      <c r="DV352" s="413"/>
      <c r="DW352" s="413"/>
      <c r="DX352" s="413"/>
      <c r="DY352" s="413"/>
      <c r="DZ352" s="413"/>
      <c r="EA352" s="413"/>
      <c r="EB352" s="413"/>
      <c r="EC352" s="413"/>
      <c r="ED352" s="413"/>
      <c r="EE352" s="413"/>
      <c r="EF352" s="413"/>
      <c r="EG352" s="413"/>
      <c r="EH352" s="413"/>
      <c r="EI352" s="413"/>
      <c r="EJ352" s="413"/>
      <c r="EK352" s="413"/>
      <c r="EL352" s="413"/>
      <c r="EM352" s="413"/>
      <c r="EN352" s="413"/>
      <c r="EO352" s="413"/>
      <c r="EP352" s="413"/>
      <c r="EQ352" s="413"/>
      <c r="ER352" s="413"/>
      <c r="ES352" s="413"/>
      <c r="ET352" s="413"/>
      <c r="EU352" s="413"/>
      <c r="EV352" s="413"/>
      <c r="EW352" s="413"/>
      <c r="EX352" s="413"/>
      <c r="EY352" s="413"/>
      <c r="EZ352" s="413"/>
      <c r="FA352" s="413"/>
      <c r="FB352" s="413"/>
      <c r="FC352" s="413"/>
      <c r="FD352" s="413"/>
      <c r="FE352" s="413"/>
      <c r="FF352" s="413"/>
      <c r="FG352" s="413"/>
      <c r="FH352" s="413"/>
      <c r="FI352" s="107"/>
      <c r="FJ352" s="107"/>
      <c r="FK352" s="107"/>
      <c r="FL352" s="107"/>
      <c r="FM352" s="338"/>
      <c r="FN352" s="338"/>
      <c r="FO352" s="338"/>
      <c r="FP352" s="47"/>
      <c r="FQ352" s="47"/>
      <c r="FR352" s="47"/>
      <c r="FS352" s="47"/>
      <c r="FT352" s="47"/>
      <c r="FU352" s="338"/>
      <c r="FV352" s="338"/>
      <c r="FW352" s="338"/>
      <c r="FX352" s="338"/>
      <c r="FY352" s="32"/>
      <c r="FZ352" s="32"/>
      <c r="GA352" s="32"/>
      <c r="GB352" s="32"/>
      <c r="GC352" s="32"/>
      <c r="GD352" s="32"/>
      <c r="GE352" s="32"/>
      <c r="GF352" s="32"/>
      <c r="GG352" s="32"/>
      <c r="GH352" s="32"/>
      <c r="GI352" s="32"/>
      <c r="GJ352" s="32"/>
      <c r="GK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99"/>
      <c r="HO352" s="399"/>
      <c r="HP352" s="399"/>
      <c r="HQ352" s="13"/>
      <c r="HR352" s="13"/>
      <c r="HS352" s="13"/>
      <c r="HT352" s="13"/>
      <c r="HU352" s="13"/>
      <c r="HV352" s="13"/>
      <c r="HW352" s="13"/>
      <c r="HX352" s="13"/>
      <c r="HY352" s="13"/>
      <c r="HZ352" s="13"/>
      <c r="IA352" s="13"/>
    </row>
    <row r="353" spans="1:237" ht="16.95" customHeight="1">
      <c r="A353" s="1"/>
      <c r="B353" s="3"/>
      <c r="C353" s="3"/>
      <c r="D353" s="124" t="str">
        <f ca="1">IF(FN320=0,"","Welke grafiek van de totale opbrengst en totale variabele kosten hoort hierbij?")</f>
        <v/>
      </c>
      <c r="E353" s="414"/>
      <c r="F353" s="414"/>
      <c r="G353" s="414"/>
      <c r="H353" s="414"/>
      <c r="I353" s="414"/>
      <c r="J353" s="376"/>
      <c r="K353" s="376"/>
      <c r="L353" s="376"/>
      <c r="M353" s="376"/>
      <c r="N353" s="376"/>
      <c r="O353" s="376"/>
      <c r="P353" s="376"/>
      <c r="Q353" s="376"/>
      <c r="R353" s="376"/>
      <c r="S353" s="376"/>
      <c r="T353" s="376"/>
      <c r="U353" s="376"/>
      <c r="V353" s="43"/>
      <c r="W353" s="43"/>
      <c r="X353" s="43"/>
      <c r="Y353" s="43"/>
      <c r="Z353" s="43"/>
      <c r="AA353" s="43"/>
      <c r="AB353" s="43"/>
      <c r="AC353" s="43"/>
      <c r="AD353" s="43"/>
      <c r="AE353" s="43"/>
      <c r="AF353" s="43"/>
      <c r="AG353" s="43"/>
      <c r="AH353" s="43"/>
      <c r="AI353" s="43"/>
      <c r="AJ353" s="43"/>
      <c r="AK353" s="43"/>
      <c r="AL353" s="43"/>
      <c r="AM353" s="43"/>
      <c r="AN353" s="43"/>
      <c r="CB353" s="43"/>
      <c r="CC353" s="43"/>
      <c r="CD353" s="43"/>
      <c r="CE353" s="43"/>
      <c r="CF353" s="43"/>
      <c r="CG353" s="43"/>
      <c r="CH353" s="43"/>
      <c r="CI353" s="43"/>
      <c r="CJ353" s="43"/>
      <c r="CK353" s="43"/>
      <c r="CL353" s="43"/>
      <c r="CM353" s="43"/>
      <c r="CN353" s="43"/>
      <c r="CO353" s="43"/>
      <c r="CP353" s="376"/>
      <c r="CR353" s="376"/>
      <c r="CS353" s="376"/>
      <c r="CT353" s="376"/>
      <c r="CU353" s="376"/>
      <c r="CV353" s="376"/>
      <c r="CW353" s="376"/>
      <c r="CX353" s="376"/>
      <c r="CY353" s="376"/>
      <c r="CZ353" s="172"/>
      <c r="DA353" s="172"/>
      <c r="DB353" s="172"/>
      <c r="DC353" s="172"/>
      <c r="DD353" s="172"/>
      <c r="DE353" s="413"/>
      <c r="DF353" s="413"/>
      <c r="DG353" s="413"/>
      <c r="DH353" s="413"/>
      <c r="DI353" s="413"/>
      <c r="DJ353" s="413"/>
      <c r="DK353" s="413"/>
      <c r="DL353" s="413"/>
      <c r="DM353" s="413"/>
      <c r="DN353" s="413"/>
      <c r="DO353" s="413"/>
      <c r="DP353" s="413"/>
      <c r="DQ353" s="413"/>
      <c r="DR353" s="413"/>
      <c r="DS353" s="413"/>
      <c r="DT353" s="413"/>
      <c r="DU353" s="413"/>
      <c r="DV353" s="413"/>
      <c r="DW353" s="413"/>
      <c r="DX353" s="413"/>
      <c r="DY353" s="413"/>
      <c r="DZ353" s="413"/>
      <c r="EA353" s="413"/>
      <c r="EB353" s="413"/>
      <c r="EC353" s="413"/>
      <c r="ED353" s="413"/>
      <c r="EE353" s="413"/>
      <c r="EF353" s="413"/>
      <c r="EG353" s="413"/>
      <c r="EH353" s="413"/>
      <c r="EI353" s="413"/>
      <c r="EJ353" s="413"/>
      <c r="EK353" s="413"/>
      <c r="EL353" s="413"/>
      <c r="EM353" s="413"/>
      <c r="EN353" s="413"/>
      <c r="EO353" s="413"/>
      <c r="EP353" s="413"/>
      <c r="EQ353" s="413"/>
      <c r="ER353" s="413"/>
      <c r="ES353" s="413"/>
      <c r="ET353" s="413"/>
      <c r="EU353" s="413"/>
      <c r="EV353" s="413"/>
      <c r="EW353" s="413"/>
      <c r="EX353" s="413"/>
      <c r="EY353" s="413"/>
      <c r="EZ353" s="413"/>
      <c r="FA353" s="413"/>
      <c r="FB353" s="413"/>
      <c r="FC353" s="413"/>
      <c r="FD353" s="413"/>
      <c r="FE353" s="413"/>
      <c r="FF353" s="413"/>
      <c r="FG353" s="413"/>
      <c r="FH353" s="413"/>
      <c r="FI353" s="107"/>
      <c r="FJ353" s="107"/>
      <c r="FK353" s="107"/>
      <c r="FL353" s="107"/>
      <c r="FM353" s="338"/>
      <c r="FN353" s="338"/>
      <c r="FO353" s="338"/>
      <c r="FP353" s="47"/>
      <c r="FQ353" s="47"/>
      <c r="FR353" s="47"/>
      <c r="FS353" s="47"/>
      <c r="FT353" s="47"/>
      <c r="FU353" s="338"/>
      <c r="FV353" s="338"/>
      <c r="FW353" s="338"/>
      <c r="FX353" s="338"/>
      <c r="FY353" s="32"/>
      <c r="FZ353" s="32"/>
      <c r="GA353" s="32"/>
      <c r="GB353" s="32"/>
      <c r="GC353" s="32"/>
      <c r="GD353" s="32"/>
      <c r="GE353" s="32"/>
      <c r="GF353" s="32"/>
      <c r="GG353" s="32"/>
      <c r="GH353" s="32"/>
      <c r="GI353" s="32"/>
      <c r="GJ353" s="32"/>
      <c r="GK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99"/>
      <c r="HO353" s="399"/>
      <c r="HP353" s="399"/>
      <c r="HQ353" s="13"/>
      <c r="HR353" s="13"/>
      <c r="HS353" s="13"/>
      <c r="HT353" s="13"/>
      <c r="HU353" s="13"/>
      <c r="HV353" s="13"/>
      <c r="HW353" s="13"/>
      <c r="HX353" s="13"/>
      <c r="HY353" s="13"/>
      <c r="HZ353" s="13"/>
      <c r="IA353" s="13"/>
    </row>
    <row r="354" spans="1:237" ht="16.95" customHeight="1">
      <c r="A354" s="1"/>
      <c r="B354" s="3"/>
      <c r="C354" s="3"/>
      <c r="D354" s="701" t="str">
        <f ca="1">IF(FN320=0,"`","")</f>
        <v>`</v>
      </c>
      <c r="E354" s="532"/>
      <c r="F354" s="532"/>
      <c r="G354" s="532"/>
      <c r="H354" s="532"/>
      <c r="I354" s="532"/>
      <c r="J354" s="532"/>
      <c r="K354" s="532"/>
      <c r="L354" s="532"/>
      <c r="M354" s="532"/>
      <c r="N354" s="532"/>
      <c r="O354" s="532"/>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c r="AM354" s="532"/>
      <c r="AN354" s="532"/>
      <c r="AO354" s="532"/>
      <c r="AP354" s="532"/>
      <c r="AQ354" s="532"/>
      <c r="AR354" s="532"/>
      <c r="AS354" s="532"/>
      <c r="AT354" s="532"/>
      <c r="AU354" s="532"/>
      <c r="AV354" s="532"/>
      <c r="AW354" s="532"/>
      <c r="AX354" s="532"/>
      <c r="AY354" s="532"/>
      <c r="AZ354" s="532"/>
      <c r="BA354" s="532"/>
      <c r="BB354" s="532"/>
      <c r="BC354" s="532"/>
      <c r="BD354" s="532"/>
      <c r="BE354" s="532"/>
      <c r="BF354" s="532"/>
      <c r="BG354" s="532"/>
      <c r="BH354" s="532"/>
      <c r="BI354" s="532"/>
      <c r="BJ354" s="532"/>
      <c r="BK354" s="532"/>
      <c r="BL354" s="532"/>
      <c r="BM354" s="532"/>
      <c r="BN354" s="532"/>
      <c r="BO354" s="532"/>
      <c r="BP354" s="532"/>
      <c r="BQ354" s="532"/>
      <c r="BR354" s="532"/>
      <c r="BS354" s="532"/>
      <c r="BT354" s="532"/>
      <c r="BU354" s="532"/>
      <c r="BV354" s="532"/>
      <c r="BW354" s="532"/>
      <c r="BX354" s="532"/>
      <c r="BY354" s="532"/>
      <c r="BZ354" s="532"/>
      <c r="CA354" s="532"/>
      <c r="CB354" s="532"/>
      <c r="CC354" s="532"/>
      <c r="CD354" s="532"/>
      <c r="CE354" s="532"/>
      <c r="CF354" s="532"/>
      <c r="CG354" s="532"/>
      <c r="CH354" s="532"/>
      <c r="CI354" s="532"/>
      <c r="CJ354" s="532"/>
      <c r="CK354" s="532"/>
      <c r="CL354" s="532"/>
      <c r="CM354" s="532"/>
      <c r="CN354" s="532"/>
      <c r="CO354" s="532"/>
      <c r="CP354" s="532"/>
      <c r="CQ354" s="532"/>
      <c r="CR354" s="532"/>
      <c r="CS354" s="532"/>
      <c r="CT354" s="532"/>
      <c r="CU354" s="532"/>
      <c r="CV354" s="532"/>
      <c r="CW354" s="532"/>
      <c r="CX354" s="532"/>
      <c r="CY354" s="532"/>
      <c r="CZ354" s="532"/>
      <c r="DA354" s="532"/>
      <c r="DB354" s="532"/>
      <c r="DC354" s="532"/>
      <c r="DD354" s="532"/>
      <c r="DE354" s="532"/>
      <c r="DF354" s="532"/>
      <c r="DG354" s="532"/>
      <c r="DH354" s="532"/>
      <c r="DI354" s="532"/>
      <c r="DJ354" s="532"/>
      <c r="DK354" s="532"/>
      <c r="DL354" s="532"/>
      <c r="DM354" s="532"/>
      <c r="DN354" s="532"/>
      <c r="DO354" s="532"/>
      <c r="DP354" s="532"/>
      <c r="DQ354" s="532"/>
      <c r="DR354" s="532"/>
      <c r="DS354" s="532"/>
      <c r="DT354" s="532"/>
      <c r="DU354" s="532"/>
      <c r="DV354" s="532"/>
      <c r="DW354" s="532"/>
      <c r="DX354" s="532"/>
      <c r="DY354" s="532"/>
      <c r="DZ354" s="532"/>
      <c r="EA354" s="532"/>
      <c r="EB354" s="532"/>
      <c r="EC354" s="532"/>
      <c r="ED354" s="532"/>
      <c r="EE354" s="532"/>
      <c r="EF354" s="532"/>
      <c r="EG354" s="532"/>
      <c r="EH354" s="532"/>
      <c r="EI354" s="532"/>
      <c r="EJ354" s="532"/>
      <c r="EK354" s="532"/>
      <c r="EL354" s="532"/>
      <c r="EM354" s="532"/>
      <c r="EN354" s="532"/>
      <c r="EO354" s="532"/>
      <c r="EP354" s="532"/>
      <c r="EQ354" s="532"/>
      <c r="ER354" s="532"/>
      <c r="ES354" s="532"/>
      <c r="ET354" s="532"/>
      <c r="EU354" s="532"/>
      <c r="EV354" s="532"/>
      <c r="EW354" s="532"/>
      <c r="EX354" s="532"/>
      <c r="EY354" s="532"/>
      <c r="EZ354" s="532"/>
      <c r="FA354" s="532"/>
      <c r="FB354" s="532"/>
      <c r="FC354" s="532"/>
      <c r="FD354" s="532"/>
      <c r="FE354" s="532"/>
      <c r="FF354" s="532"/>
      <c r="FG354" s="532"/>
      <c r="FH354" s="532"/>
      <c r="FI354" s="532"/>
      <c r="FJ354" s="532"/>
      <c r="FK354" s="532"/>
      <c r="FL354" s="532"/>
      <c r="FM354" s="338"/>
      <c r="FN354" s="338"/>
      <c r="FO354" s="338"/>
      <c r="FP354" s="47"/>
      <c r="FQ354" s="47"/>
      <c r="FR354" s="47"/>
      <c r="FS354" s="47"/>
      <c r="FT354" s="47"/>
      <c r="FU354" s="338"/>
      <c r="FV354" s="338"/>
      <c r="FW354" s="338"/>
      <c r="FX354" s="338"/>
      <c r="FY354" s="32"/>
      <c r="FZ354" s="32"/>
      <c r="GA354" s="32"/>
      <c r="GB354" s="32"/>
      <c r="GC354" s="32"/>
      <c r="GD354" s="32"/>
      <c r="GE354" s="32"/>
      <c r="GF354" s="32"/>
      <c r="GG354" s="32"/>
      <c r="GH354" s="32"/>
      <c r="GI354" s="32"/>
      <c r="GJ354" s="32"/>
      <c r="GK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99"/>
      <c r="HO354" s="399"/>
      <c r="HP354" s="399"/>
      <c r="HQ354" s="13"/>
      <c r="HR354" s="13"/>
      <c r="HS354" s="13"/>
      <c r="HT354" s="13"/>
      <c r="HU354" s="13"/>
      <c r="HV354" s="13"/>
      <c r="HW354" s="13"/>
      <c r="HX354" s="13"/>
      <c r="HY354" s="13"/>
      <c r="HZ354" s="13"/>
      <c r="IA354" s="13"/>
    </row>
    <row r="355" spans="1:237" ht="16.95" customHeight="1">
      <c r="A355" s="1"/>
      <c r="B355" s="3"/>
      <c r="C355" s="3"/>
      <c r="D355" s="532"/>
      <c r="E355" s="532"/>
      <c r="F355" s="532"/>
      <c r="G355" s="532"/>
      <c r="H355" s="532"/>
      <c r="I355" s="532"/>
      <c r="J355" s="532"/>
      <c r="K355" s="532"/>
      <c r="L355" s="532"/>
      <c r="M355" s="532"/>
      <c r="N355" s="532"/>
      <c r="O355" s="532"/>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c r="AM355" s="532"/>
      <c r="AN355" s="532"/>
      <c r="AO355" s="532"/>
      <c r="AP355" s="532"/>
      <c r="AQ355" s="532"/>
      <c r="AR355" s="532"/>
      <c r="AS355" s="532"/>
      <c r="AT355" s="532"/>
      <c r="AU355" s="532"/>
      <c r="AV355" s="532"/>
      <c r="AW355" s="532"/>
      <c r="AX355" s="532"/>
      <c r="AY355" s="532"/>
      <c r="AZ355" s="532"/>
      <c r="BA355" s="532"/>
      <c r="BB355" s="532"/>
      <c r="BC355" s="532"/>
      <c r="BD355" s="532"/>
      <c r="BE355" s="532"/>
      <c r="BF355" s="532"/>
      <c r="BG355" s="532"/>
      <c r="BH355" s="532"/>
      <c r="BI355" s="532"/>
      <c r="BJ355" s="532"/>
      <c r="BK355" s="532"/>
      <c r="BL355" s="532"/>
      <c r="BM355" s="532"/>
      <c r="BN355" s="532"/>
      <c r="BO355" s="532"/>
      <c r="BP355" s="532"/>
      <c r="BQ355" s="532"/>
      <c r="BR355" s="532"/>
      <c r="BS355" s="532"/>
      <c r="BT355" s="532"/>
      <c r="BU355" s="532"/>
      <c r="BV355" s="532"/>
      <c r="BW355" s="532"/>
      <c r="BX355" s="532"/>
      <c r="BY355" s="532"/>
      <c r="BZ355" s="532"/>
      <c r="CA355" s="532"/>
      <c r="CB355" s="532"/>
      <c r="CC355" s="532"/>
      <c r="CD355" s="532"/>
      <c r="CE355" s="532"/>
      <c r="CF355" s="532"/>
      <c r="CG355" s="532"/>
      <c r="CH355" s="532"/>
      <c r="CI355" s="532"/>
      <c r="CJ355" s="532"/>
      <c r="CK355" s="532"/>
      <c r="CL355" s="532"/>
      <c r="CM355" s="532"/>
      <c r="CN355" s="532"/>
      <c r="CO355" s="532"/>
      <c r="CP355" s="532"/>
      <c r="CQ355" s="532"/>
      <c r="CR355" s="532"/>
      <c r="CS355" s="532"/>
      <c r="CT355" s="532"/>
      <c r="CU355" s="532"/>
      <c r="CV355" s="532"/>
      <c r="CW355" s="532"/>
      <c r="CX355" s="532"/>
      <c r="CY355" s="532"/>
      <c r="CZ355" s="532"/>
      <c r="DA355" s="532"/>
      <c r="DB355" s="532"/>
      <c r="DC355" s="532"/>
      <c r="DD355" s="532"/>
      <c r="DE355" s="532"/>
      <c r="DF355" s="532"/>
      <c r="DG355" s="532"/>
      <c r="DH355" s="532"/>
      <c r="DI355" s="532"/>
      <c r="DJ355" s="532"/>
      <c r="DK355" s="532"/>
      <c r="DL355" s="532"/>
      <c r="DM355" s="532"/>
      <c r="DN355" s="532"/>
      <c r="DO355" s="532"/>
      <c r="DP355" s="532"/>
      <c r="DQ355" s="532"/>
      <c r="DR355" s="532"/>
      <c r="DS355" s="532"/>
      <c r="DT355" s="532"/>
      <c r="DU355" s="532"/>
      <c r="DV355" s="532"/>
      <c r="DW355" s="532"/>
      <c r="DX355" s="532"/>
      <c r="DY355" s="532"/>
      <c r="DZ355" s="532"/>
      <c r="EA355" s="532"/>
      <c r="EB355" s="532"/>
      <c r="EC355" s="532"/>
      <c r="ED355" s="532"/>
      <c r="EE355" s="532"/>
      <c r="EF355" s="532"/>
      <c r="EG355" s="532"/>
      <c r="EH355" s="532"/>
      <c r="EI355" s="532"/>
      <c r="EJ355" s="532"/>
      <c r="EK355" s="532"/>
      <c r="EL355" s="532"/>
      <c r="EM355" s="532"/>
      <c r="EN355" s="532"/>
      <c r="EO355" s="532"/>
      <c r="EP355" s="532"/>
      <c r="EQ355" s="532"/>
      <c r="ER355" s="532"/>
      <c r="ES355" s="532"/>
      <c r="ET355" s="532"/>
      <c r="EU355" s="532"/>
      <c r="EV355" s="532"/>
      <c r="EW355" s="532"/>
      <c r="EX355" s="532"/>
      <c r="EY355" s="532"/>
      <c r="EZ355" s="532"/>
      <c r="FA355" s="532"/>
      <c r="FB355" s="532"/>
      <c r="FC355" s="532"/>
      <c r="FD355" s="532"/>
      <c r="FE355" s="532"/>
      <c r="FF355" s="532"/>
      <c r="FG355" s="532"/>
      <c r="FH355" s="532"/>
      <c r="FI355" s="532"/>
      <c r="FJ355" s="532"/>
      <c r="FK355" s="532"/>
      <c r="FL355" s="532"/>
      <c r="FM355" s="338"/>
      <c r="FN355" s="338"/>
      <c r="FO355" s="338"/>
      <c r="FP355" s="47"/>
      <c r="FQ355" s="47"/>
      <c r="FR355" s="47"/>
      <c r="FS355" s="47"/>
      <c r="FT355" s="47"/>
      <c r="FU355" s="338"/>
      <c r="FV355" s="338"/>
      <c r="FW355" s="338"/>
      <c r="FX355" s="338"/>
      <c r="FY355" s="32"/>
      <c r="FZ355" s="32"/>
      <c r="GA355" s="32"/>
      <c r="GB355" s="32"/>
      <c r="GC355" s="32"/>
      <c r="GD355" s="32"/>
      <c r="GE355" s="32"/>
      <c r="GF355" s="32"/>
      <c r="GG355" s="32"/>
      <c r="GH355" s="32"/>
      <c r="GI355" s="32"/>
      <c r="GJ355" s="32"/>
      <c r="GK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99"/>
      <c r="HO355" s="399"/>
      <c r="HP355" s="399"/>
      <c r="HQ355" s="13"/>
      <c r="HR355" s="13"/>
      <c r="HS355" s="13"/>
      <c r="HT355" s="13"/>
      <c r="HU355" s="13"/>
      <c r="HV355" s="13"/>
      <c r="HW355" s="13"/>
      <c r="HX355" s="13"/>
      <c r="HY355" s="13"/>
      <c r="HZ355" s="13"/>
      <c r="IA355" s="13"/>
    </row>
    <row r="356" spans="1:237" ht="16.95" customHeight="1">
      <c r="A356" s="1"/>
      <c r="B356" s="3"/>
      <c r="C356" s="3"/>
      <c r="D356" s="532"/>
      <c r="E356" s="532"/>
      <c r="F356" s="532"/>
      <c r="G356" s="532"/>
      <c r="H356" s="532"/>
      <c r="I356" s="532"/>
      <c r="J356" s="532"/>
      <c r="K356" s="532"/>
      <c r="L356" s="532"/>
      <c r="M356" s="532"/>
      <c r="N356" s="532"/>
      <c r="O356" s="532"/>
      <c r="P356" s="532"/>
      <c r="Q356" s="532"/>
      <c r="R356" s="532"/>
      <c r="S356" s="532"/>
      <c r="T356" s="532"/>
      <c r="U356" s="532"/>
      <c r="V356" s="532"/>
      <c r="W356" s="532"/>
      <c r="X356" s="532"/>
      <c r="Y356" s="532"/>
      <c r="Z356" s="532"/>
      <c r="AA356" s="532"/>
      <c r="AB356" s="532"/>
      <c r="AC356" s="532"/>
      <c r="AD356" s="532"/>
      <c r="AE356" s="532"/>
      <c r="AF356" s="532"/>
      <c r="AG356" s="532"/>
      <c r="AH356" s="532"/>
      <c r="AI356" s="532"/>
      <c r="AJ356" s="532"/>
      <c r="AK356" s="532"/>
      <c r="AL356" s="532"/>
      <c r="AM356" s="532"/>
      <c r="AN356" s="532"/>
      <c r="AO356" s="532"/>
      <c r="AP356" s="532"/>
      <c r="AQ356" s="532"/>
      <c r="AR356" s="532"/>
      <c r="AS356" s="532"/>
      <c r="AT356" s="532"/>
      <c r="AU356" s="532"/>
      <c r="AV356" s="532"/>
      <c r="AW356" s="532"/>
      <c r="AX356" s="532"/>
      <c r="AY356" s="532"/>
      <c r="AZ356" s="532"/>
      <c r="BA356" s="532"/>
      <c r="BB356" s="532"/>
      <c r="BC356" s="532"/>
      <c r="BD356" s="532"/>
      <c r="BE356" s="532"/>
      <c r="BF356" s="532"/>
      <c r="BG356" s="532"/>
      <c r="BH356" s="532"/>
      <c r="BI356" s="532"/>
      <c r="BJ356" s="532"/>
      <c r="BK356" s="532"/>
      <c r="BL356" s="532"/>
      <c r="BM356" s="532"/>
      <c r="BN356" s="532"/>
      <c r="BO356" s="532"/>
      <c r="BP356" s="532"/>
      <c r="BQ356" s="532"/>
      <c r="BR356" s="532"/>
      <c r="BS356" s="532"/>
      <c r="BT356" s="532"/>
      <c r="BU356" s="532"/>
      <c r="BV356" s="532"/>
      <c r="BW356" s="532"/>
      <c r="BX356" s="532"/>
      <c r="BY356" s="532"/>
      <c r="BZ356" s="532"/>
      <c r="CA356" s="532"/>
      <c r="CB356" s="532"/>
      <c r="CC356" s="532"/>
      <c r="CD356" s="532"/>
      <c r="CE356" s="532"/>
      <c r="CF356" s="532"/>
      <c r="CG356" s="532"/>
      <c r="CH356" s="532"/>
      <c r="CI356" s="532"/>
      <c r="CJ356" s="532"/>
      <c r="CK356" s="532"/>
      <c r="CL356" s="532"/>
      <c r="CM356" s="532"/>
      <c r="CN356" s="532"/>
      <c r="CO356" s="532"/>
      <c r="CP356" s="532"/>
      <c r="CQ356" s="532"/>
      <c r="CR356" s="532"/>
      <c r="CS356" s="532"/>
      <c r="CT356" s="532"/>
      <c r="CU356" s="532"/>
      <c r="CV356" s="532"/>
      <c r="CW356" s="532"/>
      <c r="CX356" s="532"/>
      <c r="CY356" s="532"/>
      <c r="CZ356" s="532"/>
      <c r="DA356" s="532"/>
      <c r="DB356" s="532"/>
      <c r="DC356" s="532"/>
      <c r="DD356" s="532"/>
      <c r="DE356" s="532"/>
      <c r="DF356" s="532"/>
      <c r="DG356" s="532"/>
      <c r="DH356" s="532"/>
      <c r="DI356" s="532"/>
      <c r="DJ356" s="532"/>
      <c r="DK356" s="532"/>
      <c r="DL356" s="532"/>
      <c r="DM356" s="532"/>
      <c r="DN356" s="532"/>
      <c r="DO356" s="532"/>
      <c r="DP356" s="532"/>
      <c r="DQ356" s="532"/>
      <c r="DR356" s="532"/>
      <c r="DS356" s="532"/>
      <c r="DT356" s="532"/>
      <c r="DU356" s="532"/>
      <c r="DV356" s="532"/>
      <c r="DW356" s="532"/>
      <c r="DX356" s="532"/>
      <c r="DY356" s="532"/>
      <c r="DZ356" s="532"/>
      <c r="EA356" s="532"/>
      <c r="EB356" s="532"/>
      <c r="EC356" s="532"/>
      <c r="ED356" s="532"/>
      <c r="EE356" s="532"/>
      <c r="EF356" s="532"/>
      <c r="EG356" s="532"/>
      <c r="EH356" s="532"/>
      <c r="EI356" s="532"/>
      <c r="EJ356" s="532"/>
      <c r="EK356" s="532"/>
      <c r="EL356" s="532"/>
      <c r="EM356" s="532"/>
      <c r="EN356" s="532"/>
      <c r="EO356" s="532"/>
      <c r="EP356" s="532"/>
      <c r="EQ356" s="532"/>
      <c r="ER356" s="532"/>
      <c r="ES356" s="532"/>
      <c r="ET356" s="532"/>
      <c r="EU356" s="532"/>
      <c r="EV356" s="532"/>
      <c r="EW356" s="532"/>
      <c r="EX356" s="532"/>
      <c r="EY356" s="532"/>
      <c r="EZ356" s="532"/>
      <c r="FA356" s="532"/>
      <c r="FB356" s="532"/>
      <c r="FC356" s="532"/>
      <c r="FD356" s="532"/>
      <c r="FE356" s="532"/>
      <c r="FF356" s="532"/>
      <c r="FG356" s="532"/>
      <c r="FH356" s="532"/>
      <c r="FI356" s="532"/>
      <c r="FJ356" s="532"/>
      <c r="FK356" s="532"/>
      <c r="FL356" s="532"/>
      <c r="FM356" s="338"/>
      <c r="FN356" s="338"/>
      <c r="FO356" s="338"/>
      <c r="FP356" s="47"/>
      <c r="FQ356" s="47"/>
      <c r="FR356" s="47"/>
      <c r="FS356" s="47"/>
      <c r="FT356" s="47"/>
      <c r="FU356" s="338"/>
      <c r="FV356" s="338"/>
      <c r="FW356" s="338"/>
      <c r="FX356" s="338"/>
      <c r="FY356" s="32"/>
      <c r="FZ356" s="32"/>
      <c r="GA356" s="32"/>
      <c r="GB356" s="32"/>
      <c r="GC356" s="32"/>
      <c r="GD356" s="32"/>
      <c r="GE356" s="32"/>
      <c r="GF356" s="32"/>
      <c r="GG356" s="32"/>
      <c r="GH356" s="32"/>
      <c r="GI356" s="32"/>
      <c r="GJ356" s="32"/>
      <c r="GK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99"/>
      <c r="HO356" s="399"/>
      <c r="HP356" s="399"/>
      <c r="HQ356" s="13"/>
      <c r="HR356" s="13"/>
      <c r="HS356" s="13"/>
      <c r="HT356" s="13"/>
      <c r="HU356" s="13"/>
      <c r="HV356" s="13"/>
      <c r="HW356" s="13"/>
      <c r="HX356" s="13"/>
      <c r="HY356" s="13"/>
      <c r="HZ356" s="13"/>
      <c r="IA356" s="13"/>
    </row>
    <row r="357" spans="1:237" ht="16.95" customHeight="1">
      <c r="A357" s="1"/>
      <c r="B357" s="3"/>
      <c r="C357" s="3"/>
      <c r="D357" s="532"/>
      <c r="E357" s="532"/>
      <c r="F357" s="532"/>
      <c r="G357" s="532"/>
      <c r="H357" s="532"/>
      <c r="I357" s="532"/>
      <c r="J357" s="532"/>
      <c r="K357" s="532"/>
      <c r="L357" s="532"/>
      <c r="M357" s="532"/>
      <c r="N357" s="532"/>
      <c r="O357" s="532"/>
      <c r="P357" s="532"/>
      <c r="Q357" s="532"/>
      <c r="R357" s="532"/>
      <c r="S357" s="532"/>
      <c r="T357" s="532"/>
      <c r="U357" s="532"/>
      <c r="V357" s="532"/>
      <c r="W357" s="532"/>
      <c r="X357" s="532"/>
      <c r="Y357" s="532"/>
      <c r="Z357" s="532"/>
      <c r="AA357" s="532"/>
      <c r="AB357" s="532"/>
      <c r="AC357" s="532"/>
      <c r="AD357" s="532"/>
      <c r="AE357" s="532"/>
      <c r="AF357" s="532"/>
      <c r="AG357" s="532"/>
      <c r="AH357" s="532"/>
      <c r="AI357" s="532"/>
      <c r="AJ357" s="532"/>
      <c r="AK357" s="532"/>
      <c r="AL357" s="532"/>
      <c r="AM357" s="532"/>
      <c r="AN357" s="532"/>
      <c r="AO357" s="532"/>
      <c r="AP357" s="532"/>
      <c r="AQ357" s="532"/>
      <c r="AR357" s="532"/>
      <c r="AS357" s="532"/>
      <c r="AT357" s="532"/>
      <c r="AU357" s="532"/>
      <c r="AV357" s="532"/>
      <c r="AW357" s="532"/>
      <c r="AX357" s="532"/>
      <c r="AY357" s="532"/>
      <c r="AZ357" s="532"/>
      <c r="BA357" s="532"/>
      <c r="BB357" s="532"/>
      <c r="BC357" s="532"/>
      <c r="BD357" s="532"/>
      <c r="BE357" s="532"/>
      <c r="BF357" s="532"/>
      <c r="BG357" s="532"/>
      <c r="BH357" s="532"/>
      <c r="BI357" s="532"/>
      <c r="BJ357" s="532"/>
      <c r="BK357" s="532"/>
      <c r="BL357" s="532"/>
      <c r="BM357" s="532"/>
      <c r="BN357" s="532"/>
      <c r="BO357" s="532"/>
      <c r="BP357" s="532"/>
      <c r="BQ357" s="532"/>
      <c r="BR357" s="532"/>
      <c r="BS357" s="532"/>
      <c r="BT357" s="532"/>
      <c r="BU357" s="532"/>
      <c r="BV357" s="532"/>
      <c r="BW357" s="532"/>
      <c r="BX357" s="532"/>
      <c r="BY357" s="532"/>
      <c r="BZ357" s="532"/>
      <c r="CA357" s="532"/>
      <c r="CB357" s="532"/>
      <c r="CC357" s="532"/>
      <c r="CD357" s="532"/>
      <c r="CE357" s="532"/>
      <c r="CF357" s="532"/>
      <c r="CG357" s="532"/>
      <c r="CH357" s="532"/>
      <c r="CI357" s="532"/>
      <c r="CJ357" s="532"/>
      <c r="CK357" s="532"/>
      <c r="CL357" s="532"/>
      <c r="CM357" s="532"/>
      <c r="CN357" s="532"/>
      <c r="CO357" s="532"/>
      <c r="CP357" s="532"/>
      <c r="CQ357" s="532"/>
      <c r="CR357" s="532"/>
      <c r="CS357" s="532"/>
      <c r="CT357" s="532"/>
      <c r="CU357" s="532"/>
      <c r="CV357" s="532"/>
      <c r="CW357" s="532"/>
      <c r="CX357" s="532"/>
      <c r="CY357" s="532"/>
      <c r="CZ357" s="532"/>
      <c r="DA357" s="532"/>
      <c r="DB357" s="532"/>
      <c r="DC357" s="532"/>
      <c r="DD357" s="532"/>
      <c r="DE357" s="532"/>
      <c r="DF357" s="532"/>
      <c r="DG357" s="532"/>
      <c r="DH357" s="532"/>
      <c r="DI357" s="532"/>
      <c r="DJ357" s="532"/>
      <c r="DK357" s="532"/>
      <c r="DL357" s="532"/>
      <c r="DM357" s="532"/>
      <c r="DN357" s="532"/>
      <c r="DO357" s="532"/>
      <c r="DP357" s="532"/>
      <c r="DQ357" s="532"/>
      <c r="DR357" s="532"/>
      <c r="DS357" s="532"/>
      <c r="DT357" s="532"/>
      <c r="DU357" s="532"/>
      <c r="DV357" s="532"/>
      <c r="DW357" s="532"/>
      <c r="DX357" s="532"/>
      <c r="DY357" s="532"/>
      <c r="DZ357" s="532"/>
      <c r="EA357" s="532"/>
      <c r="EB357" s="532"/>
      <c r="EC357" s="532"/>
      <c r="ED357" s="532"/>
      <c r="EE357" s="532"/>
      <c r="EF357" s="532"/>
      <c r="EG357" s="532"/>
      <c r="EH357" s="532"/>
      <c r="EI357" s="532"/>
      <c r="EJ357" s="532"/>
      <c r="EK357" s="532"/>
      <c r="EL357" s="532"/>
      <c r="EM357" s="532"/>
      <c r="EN357" s="532"/>
      <c r="EO357" s="532"/>
      <c r="EP357" s="532"/>
      <c r="EQ357" s="532"/>
      <c r="ER357" s="532"/>
      <c r="ES357" s="532"/>
      <c r="ET357" s="532"/>
      <c r="EU357" s="532"/>
      <c r="EV357" s="532"/>
      <c r="EW357" s="532"/>
      <c r="EX357" s="532"/>
      <c r="EY357" s="532"/>
      <c r="EZ357" s="532"/>
      <c r="FA357" s="532"/>
      <c r="FB357" s="532"/>
      <c r="FC357" s="532"/>
      <c r="FD357" s="532"/>
      <c r="FE357" s="532"/>
      <c r="FF357" s="532"/>
      <c r="FG357" s="532"/>
      <c r="FH357" s="532"/>
      <c r="FI357" s="532"/>
      <c r="FJ357" s="532"/>
      <c r="FK357" s="532"/>
      <c r="FL357" s="532"/>
      <c r="FM357" s="338"/>
      <c r="FN357" s="338"/>
      <c r="FO357" s="338"/>
      <c r="FP357" s="47"/>
      <c r="FQ357" s="47"/>
      <c r="FR357" s="47"/>
      <c r="FS357" s="47"/>
      <c r="FT357" s="47"/>
      <c r="FU357" s="338"/>
      <c r="FV357" s="338"/>
      <c r="FW357" s="338"/>
      <c r="FX357" s="338"/>
      <c r="FY357" s="32"/>
      <c r="FZ357" s="32"/>
      <c r="GA357" s="32"/>
      <c r="GB357" s="32"/>
      <c r="GC357" s="32"/>
      <c r="GD357" s="32"/>
      <c r="GE357" s="32"/>
      <c r="GF357" s="32"/>
      <c r="GG357" s="32"/>
      <c r="GH357" s="32"/>
      <c r="GI357" s="32"/>
      <c r="GJ357" s="32"/>
      <c r="GK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99"/>
      <c r="HO357" s="399"/>
      <c r="HP357" s="399"/>
      <c r="HQ357" s="13"/>
      <c r="HR357" s="13"/>
      <c r="HS357" s="13"/>
      <c r="HT357" s="13"/>
      <c r="HU357" s="13"/>
      <c r="HV357" s="13"/>
      <c r="HW357" s="13"/>
      <c r="HX357" s="13"/>
      <c r="HY357" s="13"/>
      <c r="HZ357" s="13"/>
      <c r="IA357" s="13"/>
    </row>
    <row r="358" spans="1:237" ht="16.95" customHeight="1">
      <c r="A358" s="1"/>
      <c r="B358" s="3"/>
      <c r="C358" s="3"/>
      <c r="D358" s="532"/>
      <c r="E358" s="532"/>
      <c r="F358" s="532"/>
      <c r="G358" s="532"/>
      <c r="H358" s="532"/>
      <c r="I358" s="532"/>
      <c r="J358" s="532"/>
      <c r="K358" s="532"/>
      <c r="L358" s="532"/>
      <c r="M358" s="532"/>
      <c r="N358" s="532"/>
      <c r="O358" s="532"/>
      <c r="P358" s="532"/>
      <c r="Q358" s="532"/>
      <c r="R358" s="532"/>
      <c r="S358" s="532"/>
      <c r="T358" s="532"/>
      <c r="U358" s="532"/>
      <c r="V358" s="532"/>
      <c r="W358" s="532"/>
      <c r="X358" s="532"/>
      <c r="Y358" s="532"/>
      <c r="Z358" s="532"/>
      <c r="AA358" s="532"/>
      <c r="AB358" s="532"/>
      <c r="AC358" s="532"/>
      <c r="AD358" s="532"/>
      <c r="AE358" s="532"/>
      <c r="AF358" s="532"/>
      <c r="AG358" s="532"/>
      <c r="AH358" s="532"/>
      <c r="AI358" s="532"/>
      <c r="AJ358" s="532"/>
      <c r="AK358" s="532"/>
      <c r="AL358" s="532"/>
      <c r="AM358" s="532"/>
      <c r="AN358" s="532"/>
      <c r="AO358" s="532"/>
      <c r="AP358" s="532"/>
      <c r="AQ358" s="532"/>
      <c r="AR358" s="532"/>
      <c r="AS358" s="532"/>
      <c r="AT358" s="532"/>
      <c r="AU358" s="532"/>
      <c r="AV358" s="532"/>
      <c r="AW358" s="532"/>
      <c r="AX358" s="532"/>
      <c r="AY358" s="532"/>
      <c r="AZ358" s="532"/>
      <c r="BA358" s="532"/>
      <c r="BB358" s="532"/>
      <c r="BC358" s="532"/>
      <c r="BD358" s="532"/>
      <c r="BE358" s="532"/>
      <c r="BF358" s="532"/>
      <c r="BG358" s="532"/>
      <c r="BH358" s="532"/>
      <c r="BI358" s="532"/>
      <c r="BJ358" s="532"/>
      <c r="BK358" s="532"/>
      <c r="BL358" s="532"/>
      <c r="BM358" s="532"/>
      <c r="BN358" s="532"/>
      <c r="BO358" s="532"/>
      <c r="BP358" s="532"/>
      <c r="BQ358" s="532"/>
      <c r="BR358" s="532"/>
      <c r="BS358" s="532"/>
      <c r="BT358" s="532"/>
      <c r="BU358" s="532"/>
      <c r="BV358" s="532"/>
      <c r="BW358" s="532"/>
      <c r="BX358" s="532"/>
      <c r="BY358" s="532"/>
      <c r="BZ358" s="532"/>
      <c r="CA358" s="532"/>
      <c r="CB358" s="532"/>
      <c r="CC358" s="532"/>
      <c r="CD358" s="532"/>
      <c r="CE358" s="532"/>
      <c r="CF358" s="532"/>
      <c r="CG358" s="532"/>
      <c r="CH358" s="532"/>
      <c r="CI358" s="532"/>
      <c r="CJ358" s="532"/>
      <c r="CK358" s="532"/>
      <c r="CL358" s="532"/>
      <c r="CM358" s="532"/>
      <c r="CN358" s="532"/>
      <c r="CO358" s="532"/>
      <c r="CP358" s="532"/>
      <c r="CQ358" s="532"/>
      <c r="CR358" s="532"/>
      <c r="CS358" s="532"/>
      <c r="CT358" s="532"/>
      <c r="CU358" s="532"/>
      <c r="CV358" s="532"/>
      <c r="CW358" s="532"/>
      <c r="CX358" s="532"/>
      <c r="CY358" s="532"/>
      <c r="CZ358" s="532"/>
      <c r="DA358" s="532"/>
      <c r="DB358" s="532"/>
      <c r="DC358" s="532"/>
      <c r="DD358" s="532"/>
      <c r="DE358" s="532"/>
      <c r="DF358" s="532"/>
      <c r="DG358" s="532"/>
      <c r="DH358" s="532"/>
      <c r="DI358" s="532"/>
      <c r="DJ358" s="532"/>
      <c r="DK358" s="532"/>
      <c r="DL358" s="532"/>
      <c r="DM358" s="532"/>
      <c r="DN358" s="532"/>
      <c r="DO358" s="532"/>
      <c r="DP358" s="532"/>
      <c r="DQ358" s="532"/>
      <c r="DR358" s="532"/>
      <c r="DS358" s="532"/>
      <c r="DT358" s="532"/>
      <c r="DU358" s="532"/>
      <c r="DV358" s="532"/>
      <c r="DW358" s="532"/>
      <c r="DX358" s="532"/>
      <c r="DY358" s="532"/>
      <c r="DZ358" s="532"/>
      <c r="EA358" s="532"/>
      <c r="EB358" s="532"/>
      <c r="EC358" s="532"/>
      <c r="ED358" s="532"/>
      <c r="EE358" s="532"/>
      <c r="EF358" s="532"/>
      <c r="EG358" s="532"/>
      <c r="EH358" s="532"/>
      <c r="EI358" s="532"/>
      <c r="EJ358" s="532"/>
      <c r="EK358" s="532"/>
      <c r="EL358" s="532"/>
      <c r="EM358" s="532"/>
      <c r="EN358" s="532"/>
      <c r="EO358" s="532"/>
      <c r="EP358" s="532"/>
      <c r="EQ358" s="532"/>
      <c r="ER358" s="532"/>
      <c r="ES358" s="532"/>
      <c r="ET358" s="532"/>
      <c r="EU358" s="532"/>
      <c r="EV358" s="532"/>
      <c r="EW358" s="532"/>
      <c r="EX358" s="532"/>
      <c r="EY358" s="532"/>
      <c r="EZ358" s="532"/>
      <c r="FA358" s="532"/>
      <c r="FB358" s="532"/>
      <c r="FC358" s="532"/>
      <c r="FD358" s="532"/>
      <c r="FE358" s="532"/>
      <c r="FF358" s="532"/>
      <c r="FG358" s="532"/>
      <c r="FH358" s="532"/>
      <c r="FI358" s="532"/>
      <c r="FJ358" s="532"/>
      <c r="FK358" s="532"/>
      <c r="FL358" s="532"/>
      <c r="FM358" s="338"/>
      <c r="FN358" s="338"/>
      <c r="FO358" s="338"/>
      <c r="FP358" s="47"/>
      <c r="FQ358" s="47"/>
      <c r="FR358" s="47"/>
      <c r="FS358" s="47"/>
      <c r="FT358" s="47"/>
      <c r="FU358" s="338"/>
      <c r="FV358" s="338"/>
      <c r="FW358" s="338"/>
      <c r="FX358" s="338"/>
      <c r="FY358" s="32"/>
      <c r="FZ358" s="32"/>
      <c r="GA358" s="32"/>
      <c r="GB358" s="32"/>
      <c r="GC358" s="32"/>
      <c r="GD358" s="32"/>
      <c r="GE358" s="32"/>
      <c r="GF358" s="32"/>
      <c r="GG358" s="32"/>
      <c r="GH358" s="32"/>
      <c r="GI358" s="32"/>
      <c r="GJ358" s="32"/>
      <c r="GK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99"/>
      <c r="HO358" s="399"/>
      <c r="HP358" s="399"/>
      <c r="HQ358" s="13"/>
      <c r="HR358" s="13"/>
      <c r="HS358" s="13"/>
      <c r="HT358" s="13"/>
      <c r="HU358" s="13"/>
      <c r="HV358" s="13"/>
      <c r="HW358" s="13"/>
      <c r="HX358" s="13"/>
      <c r="HY358" s="13"/>
      <c r="HZ358" s="13"/>
      <c r="IA358" s="13"/>
    </row>
    <row r="359" spans="1:237" ht="16.95" customHeight="1">
      <c r="A359" s="1"/>
      <c r="B359" s="3"/>
      <c r="C359" s="3"/>
      <c r="D359" s="532"/>
      <c r="E359" s="532"/>
      <c r="F359" s="532"/>
      <c r="G359" s="532"/>
      <c r="H359" s="532"/>
      <c r="I359" s="532"/>
      <c r="J359" s="532"/>
      <c r="K359" s="532"/>
      <c r="L359" s="532"/>
      <c r="M359" s="532"/>
      <c r="N359" s="532"/>
      <c r="O359" s="532"/>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c r="AM359" s="532"/>
      <c r="AN359" s="532"/>
      <c r="AO359" s="532"/>
      <c r="AP359" s="532"/>
      <c r="AQ359" s="532"/>
      <c r="AR359" s="532"/>
      <c r="AS359" s="532"/>
      <c r="AT359" s="532"/>
      <c r="AU359" s="532"/>
      <c r="AV359" s="532"/>
      <c r="AW359" s="532"/>
      <c r="AX359" s="532"/>
      <c r="AY359" s="532"/>
      <c r="AZ359" s="532"/>
      <c r="BA359" s="532"/>
      <c r="BB359" s="532"/>
      <c r="BC359" s="532"/>
      <c r="BD359" s="532"/>
      <c r="BE359" s="532"/>
      <c r="BF359" s="532"/>
      <c r="BG359" s="532"/>
      <c r="BH359" s="532"/>
      <c r="BI359" s="532"/>
      <c r="BJ359" s="532"/>
      <c r="BK359" s="532"/>
      <c r="BL359" s="532"/>
      <c r="BM359" s="532"/>
      <c r="BN359" s="532"/>
      <c r="BO359" s="532"/>
      <c r="BP359" s="532"/>
      <c r="BQ359" s="532"/>
      <c r="BR359" s="532"/>
      <c r="BS359" s="532"/>
      <c r="BT359" s="532"/>
      <c r="BU359" s="532"/>
      <c r="BV359" s="532"/>
      <c r="BW359" s="532"/>
      <c r="BX359" s="532"/>
      <c r="BY359" s="532"/>
      <c r="BZ359" s="532"/>
      <c r="CA359" s="532"/>
      <c r="CB359" s="532"/>
      <c r="CC359" s="532"/>
      <c r="CD359" s="532"/>
      <c r="CE359" s="532"/>
      <c r="CF359" s="532"/>
      <c r="CG359" s="532"/>
      <c r="CH359" s="532"/>
      <c r="CI359" s="532"/>
      <c r="CJ359" s="532"/>
      <c r="CK359" s="532"/>
      <c r="CL359" s="532"/>
      <c r="CM359" s="532"/>
      <c r="CN359" s="532"/>
      <c r="CO359" s="532"/>
      <c r="CP359" s="532"/>
      <c r="CQ359" s="532"/>
      <c r="CR359" s="532"/>
      <c r="CS359" s="532"/>
      <c r="CT359" s="532"/>
      <c r="CU359" s="532"/>
      <c r="CV359" s="532"/>
      <c r="CW359" s="532"/>
      <c r="CX359" s="532"/>
      <c r="CY359" s="532"/>
      <c r="CZ359" s="532"/>
      <c r="DA359" s="532"/>
      <c r="DB359" s="532"/>
      <c r="DC359" s="532"/>
      <c r="DD359" s="532"/>
      <c r="DE359" s="532"/>
      <c r="DF359" s="532"/>
      <c r="DG359" s="532"/>
      <c r="DH359" s="532"/>
      <c r="DI359" s="532"/>
      <c r="DJ359" s="532"/>
      <c r="DK359" s="532"/>
      <c r="DL359" s="532"/>
      <c r="DM359" s="532"/>
      <c r="DN359" s="532"/>
      <c r="DO359" s="532"/>
      <c r="DP359" s="532"/>
      <c r="DQ359" s="532"/>
      <c r="DR359" s="532"/>
      <c r="DS359" s="532"/>
      <c r="DT359" s="532"/>
      <c r="DU359" s="532"/>
      <c r="DV359" s="532"/>
      <c r="DW359" s="532"/>
      <c r="DX359" s="532"/>
      <c r="DY359" s="532"/>
      <c r="DZ359" s="532"/>
      <c r="EA359" s="532"/>
      <c r="EB359" s="532"/>
      <c r="EC359" s="532"/>
      <c r="ED359" s="532"/>
      <c r="EE359" s="532"/>
      <c r="EF359" s="532"/>
      <c r="EG359" s="532"/>
      <c r="EH359" s="532"/>
      <c r="EI359" s="532"/>
      <c r="EJ359" s="532"/>
      <c r="EK359" s="532"/>
      <c r="EL359" s="532"/>
      <c r="EM359" s="532"/>
      <c r="EN359" s="532"/>
      <c r="EO359" s="532"/>
      <c r="EP359" s="532"/>
      <c r="EQ359" s="532"/>
      <c r="ER359" s="532"/>
      <c r="ES359" s="532"/>
      <c r="ET359" s="532"/>
      <c r="EU359" s="532"/>
      <c r="EV359" s="532"/>
      <c r="EW359" s="532"/>
      <c r="EX359" s="532"/>
      <c r="EY359" s="532"/>
      <c r="EZ359" s="532"/>
      <c r="FA359" s="532"/>
      <c r="FB359" s="532"/>
      <c r="FC359" s="532"/>
      <c r="FD359" s="532"/>
      <c r="FE359" s="532"/>
      <c r="FF359" s="532"/>
      <c r="FG359" s="532"/>
      <c r="FH359" s="532"/>
      <c r="FI359" s="532"/>
      <c r="FJ359" s="532"/>
      <c r="FK359" s="532"/>
      <c r="FL359" s="532"/>
      <c r="FM359" s="338"/>
      <c r="FN359" s="338"/>
      <c r="FO359" s="338"/>
      <c r="FP359" s="47"/>
      <c r="FQ359" s="47"/>
      <c r="FR359" s="47"/>
      <c r="FS359" s="47"/>
      <c r="FT359" s="47"/>
      <c r="FU359" s="338"/>
      <c r="FV359" s="338"/>
      <c r="FW359" s="338"/>
      <c r="FX359" s="338"/>
      <c r="FY359" s="32"/>
      <c r="FZ359" s="32"/>
      <c r="GA359" s="32"/>
      <c r="GB359" s="32"/>
      <c r="GC359" s="32"/>
      <c r="GD359" s="32"/>
      <c r="GE359" s="32"/>
      <c r="GF359" s="32"/>
      <c r="GG359" s="32"/>
      <c r="GH359" s="32"/>
      <c r="GI359" s="32"/>
      <c r="GJ359" s="32"/>
      <c r="GK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99"/>
      <c r="HO359" s="399"/>
      <c r="HP359" s="399"/>
      <c r="HQ359" s="13"/>
      <c r="HR359" s="13"/>
      <c r="HS359" s="13"/>
      <c r="HT359" s="13"/>
      <c r="HU359" s="13"/>
      <c r="HV359" s="13"/>
      <c r="HW359" s="13"/>
      <c r="HX359" s="13"/>
      <c r="HY359" s="13"/>
      <c r="HZ359" s="13"/>
      <c r="IA359" s="13"/>
    </row>
    <row r="360" spans="1:237" ht="16.95" customHeight="1">
      <c r="A360" s="1"/>
      <c r="B360" s="3"/>
      <c r="C360" s="3"/>
      <c r="D360" s="532"/>
      <c r="E360" s="532"/>
      <c r="F360" s="532"/>
      <c r="G360" s="532"/>
      <c r="H360" s="532"/>
      <c r="I360" s="532"/>
      <c r="J360" s="532"/>
      <c r="K360" s="532"/>
      <c r="L360" s="532"/>
      <c r="M360" s="532"/>
      <c r="N360" s="532"/>
      <c r="O360" s="532"/>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c r="AM360" s="532"/>
      <c r="AN360" s="532"/>
      <c r="AO360" s="532"/>
      <c r="AP360" s="532"/>
      <c r="AQ360" s="532"/>
      <c r="AR360" s="532"/>
      <c r="AS360" s="532"/>
      <c r="AT360" s="532"/>
      <c r="AU360" s="532"/>
      <c r="AV360" s="532"/>
      <c r="AW360" s="532"/>
      <c r="AX360" s="532"/>
      <c r="AY360" s="532"/>
      <c r="AZ360" s="532"/>
      <c r="BA360" s="532"/>
      <c r="BB360" s="532"/>
      <c r="BC360" s="532"/>
      <c r="BD360" s="532"/>
      <c r="BE360" s="532"/>
      <c r="BF360" s="532"/>
      <c r="BG360" s="532"/>
      <c r="BH360" s="532"/>
      <c r="BI360" s="532"/>
      <c r="BJ360" s="532"/>
      <c r="BK360" s="532"/>
      <c r="BL360" s="532"/>
      <c r="BM360" s="532"/>
      <c r="BN360" s="532"/>
      <c r="BO360" s="532"/>
      <c r="BP360" s="532"/>
      <c r="BQ360" s="532"/>
      <c r="BR360" s="532"/>
      <c r="BS360" s="532"/>
      <c r="BT360" s="532"/>
      <c r="BU360" s="532"/>
      <c r="BV360" s="532"/>
      <c r="BW360" s="532"/>
      <c r="BX360" s="532"/>
      <c r="BY360" s="532"/>
      <c r="BZ360" s="532"/>
      <c r="CA360" s="532"/>
      <c r="CB360" s="532"/>
      <c r="CC360" s="532"/>
      <c r="CD360" s="532"/>
      <c r="CE360" s="532"/>
      <c r="CF360" s="532"/>
      <c r="CG360" s="532"/>
      <c r="CH360" s="532"/>
      <c r="CI360" s="532"/>
      <c r="CJ360" s="532"/>
      <c r="CK360" s="532"/>
      <c r="CL360" s="532"/>
      <c r="CM360" s="532"/>
      <c r="CN360" s="532"/>
      <c r="CO360" s="532"/>
      <c r="CP360" s="532"/>
      <c r="CQ360" s="532"/>
      <c r="CR360" s="532"/>
      <c r="CS360" s="532"/>
      <c r="CT360" s="532"/>
      <c r="CU360" s="532"/>
      <c r="CV360" s="532"/>
      <c r="CW360" s="532"/>
      <c r="CX360" s="532"/>
      <c r="CY360" s="532"/>
      <c r="CZ360" s="532"/>
      <c r="DA360" s="532"/>
      <c r="DB360" s="532"/>
      <c r="DC360" s="532"/>
      <c r="DD360" s="532"/>
      <c r="DE360" s="532"/>
      <c r="DF360" s="532"/>
      <c r="DG360" s="532"/>
      <c r="DH360" s="532"/>
      <c r="DI360" s="532"/>
      <c r="DJ360" s="532"/>
      <c r="DK360" s="532"/>
      <c r="DL360" s="532"/>
      <c r="DM360" s="532"/>
      <c r="DN360" s="532"/>
      <c r="DO360" s="532"/>
      <c r="DP360" s="532"/>
      <c r="DQ360" s="532"/>
      <c r="DR360" s="532"/>
      <c r="DS360" s="532"/>
      <c r="DT360" s="532"/>
      <c r="DU360" s="532"/>
      <c r="DV360" s="532"/>
      <c r="DW360" s="532"/>
      <c r="DX360" s="532"/>
      <c r="DY360" s="532"/>
      <c r="DZ360" s="532"/>
      <c r="EA360" s="532"/>
      <c r="EB360" s="532"/>
      <c r="EC360" s="532"/>
      <c r="ED360" s="532"/>
      <c r="EE360" s="532"/>
      <c r="EF360" s="532"/>
      <c r="EG360" s="532"/>
      <c r="EH360" s="532"/>
      <c r="EI360" s="532"/>
      <c r="EJ360" s="532"/>
      <c r="EK360" s="532"/>
      <c r="EL360" s="532"/>
      <c r="EM360" s="532"/>
      <c r="EN360" s="532"/>
      <c r="EO360" s="532"/>
      <c r="EP360" s="532"/>
      <c r="EQ360" s="532"/>
      <c r="ER360" s="532"/>
      <c r="ES360" s="532"/>
      <c r="ET360" s="532"/>
      <c r="EU360" s="532"/>
      <c r="EV360" s="532"/>
      <c r="EW360" s="532"/>
      <c r="EX360" s="532"/>
      <c r="EY360" s="532"/>
      <c r="EZ360" s="532"/>
      <c r="FA360" s="532"/>
      <c r="FB360" s="532"/>
      <c r="FC360" s="532"/>
      <c r="FD360" s="532"/>
      <c r="FE360" s="532"/>
      <c r="FF360" s="532"/>
      <c r="FG360" s="532"/>
      <c r="FH360" s="532"/>
      <c r="FI360" s="532"/>
      <c r="FJ360" s="532"/>
      <c r="FK360" s="532"/>
      <c r="FL360" s="532"/>
      <c r="FM360" s="338"/>
      <c r="FN360" s="338"/>
      <c r="FO360" s="338"/>
      <c r="FP360" s="47"/>
      <c r="FQ360" s="47"/>
      <c r="FR360" s="47"/>
      <c r="FS360" s="47"/>
      <c r="FT360" s="47"/>
      <c r="FU360" s="338"/>
      <c r="FV360" s="338"/>
      <c r="FW360" s="338"/>
      <c r="FX360" s="338"/>
      <c r="FY360" s="32"/>
      <c r="FZ360" s="32"/>
      <c r="GA360" s="32"/>
      <c r="GB360" s="32"/>
      <c r="GC360" s="32"/>
      <c r="GD360" s="32"/>
      <c r="GE360" s="32"/>
      <c r="GF360" s="32"/>
      <c r="GG360" s="32"/>
      <c r="GH360" s="32"/>
      <c r="GI360" s="32"/>
      <c r="GJ360" s="32"/>
      <c r="GK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99"/>
      <c r="HO360" s="399"/>
      <c r="HP360" s="399"/>
      <c r="HQ360" s="13"/>
      <c r="HR360" s="13"/>
      <c r="HS360" s="13"/>
      <c r="HT360" s="13"/>
      <c r="HU360" s="13"/>
      <c r="HV360" s="13"/>
      <c r="HW360" s="13"/>
      <c r="HX360" s="13"/>
      <c r="HY360" s="13"/>
      <c r="HZ360" s="13"/>
      <c r="IA360" s="13"/>
    </row>
    <row r="361" spans="1:237" ht="16.95" customHeight="1">
      <c r="A361" s="1"/>
      <c r="B361" s="3"/>
      <c r="C361" s="3"/>
      <c r="D361" s="532"/>
      <c r="E361" s="532"/>
      <c r="F361" s="532"/>
      <c r="G361" s="532"/>
      <c r="H361" s="532"/>
      <c r="I361" s="532"/>
      <c r="J361" s="532"/>
      <c r="K361" s="532"/>
      <c r="L361" s="532"/>
      <c r="M361" s="532"/>
      <c r="N361" s="532"/>
      <c r="O361" s="532"/>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c r="AM361" s="532"/>
      <c r="AN361" s="532"/>
      <c r="AO361" s="532"/>
      <c r="AP361" s="532"/>
      <c r="AQ361" s="532"/>
      <c r="AR361" s="532"/>
      <c r="AS361" s="532"/>
      <c r="AT361" s="532"/>
      <c r="AU361" s="532"/>
      <c r="AV361" s="532"/>
      <c r="AW361" s="532"/>
      <c r="AX361" s="532"/>
      <c r="AY361" s="532"/>
      <c r="AZ361" s="532"/>
      <c r="BA361" s="532"/>
      <c r="BB361" s="532"/>
      <c r="BC361" s="532"/>
      <c r="BD361" s="532"/>
      <c r="BE361" s="532"/>
      <c r="BF361" s="532"/>
      <c r="BG361" s="532"/>
      <c r="BH361" s="532"/>
      <c r="BI361" s="532"/>
      <c r="BJ361" s="532"/>
      <c r="BK361" s="532"/>
      <c r="BL361" s="532"/>
      <c r="BM361" s="532"/>
      <c r="BN361" s="532"/>
      <c r="BO361" s="532"/>
      <c r="BP361" s="532"/>
      <c r="BQ361" s="532"/>
      <c r="BR361" s="532"/>
      <c r="BS361" s="532"/>
      <c r="BT361" s="532"/>
      <c r="BU361" s="532"/>
      <c r="BV361" s="532"/>
      <c r="BW361" s="532"/>
      <c r="BX361" s="532"/>
      <c r="BY361" s="532"/>
      <c r="BZ361" s="532"/>
      <c r="CA361" s="532"/>
      <c r="CB361" s="532"/>
      <c r="CC361" s="532"/>
      <c r="CD361" s="532"/>
      <c r="CE361" s="532"/>
      <c r="CF361" s="532"/>
      <c r="CG361" s="532"/>
      <c r="CH361" s="532"/>
      <c r="CI361" s="532"/>
      <c r="CJ361" s="532"/>
      <c r="CK361" s="532"/>
      <c r="CL361" s="532"/>
      <c r="CM361" s="532"/>
      <c r="CN361" s="532"/>
      <c r="CO361" s="532"/>
      <c r="CP361" s="532"/>
      <c r="CQ361" s="532"/>
      <c r="CR361" s="532"/>
      <c r="CS361" s="532"/>
      <c r="CT361" s="532"/>
      <c r="CU361" s="532"/>
      <c r="CV361" s="532"/>
      <c r="CW361" s="532"/>
      <c r="CX361" s="532"/>
      <c r="CY361" s="532"/>
      <c r="CZ361" s="532"/>
      <c r="DA361" s="532"/>
      <c r="DB361" s="532"/>
      <c r="DC361" s="532"/>
      <c r="DD361" s="532"/>
      <c r="DE361" s="532"/>
      <c r="DF361" s="532"/>
      <c r="DG361" s="532"/>
      <c r="DH361" s="532"/>
      <c r="DI361" s="532"/>
      <c r="DJ361" s="532"/>
      <c r="DK361" s="532"/>
      <c r="DL361" s="532"/>
      <c r="DM361" s="532"/>
      <c r="DN361" s="532"/>
      <c r="DO361" s="532"/>
      <c r="DP361" s="532"/>
      <c r="DQ361" s="532"/>
      <c r="DR361" s="532"/>
      <c r="DS361" s="532"/>
      <c r="DT361" s="532"/>
      <c r="DU361" s="532"/>
      <c r="DV361" s="532"/>
      <c r="DW361" s="532"/>
      <c r="DX361" s="532"/>
      <c r="DY361" s="532"/>
      <c r="DZ361" s="532"/>
      <c r="EA361" s="532"/>
      <c r="EB361" s="532"/>
      <c r="EC361" s="532"/>
      <c r="ED361" s="532"/>
      <c r="EE361" s="532"/>
      <c r="EF361" s="532"/>
      <c r="EG361" s="532"/>
      <c r="EH361" s="532"/>
      <c r="EI361" s="532"/>
      <c r="EJ361" s="532"/>
      <c r="EK361" s="532"/>
      <c r="EL361" s="532"/>
      <c r="EM361" s="532"/>
      <c r="EN361" s="532"/>
      <c r="EO361" s="532"/>
      <c r="EP361" s="532"/>
      <c r="EQ361" s="532"/>
      <c r="ER361" s="532"/>
      <c r="ES361" s="532"/>
      <c r="ET361" s="532"/>
      <c r="EU361" s="532"/>
      <c r="EV361" s="532"/>
      <c r="EW361" s="532"/>
      <c r="EX361" s="532"/>
      <c r="EY361" s="532"/>
      <c r="EZ361" s="532"/>
      <c r="FA361" s="532"/>
      <c r="FB361" s="532"/>
      <c r="FC361" s="532"/>
      <c r="FD361" s="532"/>
      <c r="FE361" s="532"/>
      <c r="FF361" s="532"/>
      <c r="FG361" s="532"/>
      <c r="FH361" s="532"/>
      <c r="FI361" s="532"/>
      <c r="FJ361" s="532"/>
      <c r="FK361" s="532"/>
      <c r="FL361" s="532"/>
      <c r="FM361" s="338"/>
      <c r="FN361" s="338"/>
      <c r="FO361" s="338"/>
      <c r="FP361" s="47"/>
      <c r="FQ361" s="47"/>
      <c r="FR361" s="47"/>
      <c r="FS361" s="47"/>
      <c r="FT361" s="47"/>
      <c r="FU361" s="338"/>
      <c r="FV361" s="338"/>
      <c r="FW361" s="338"/>
      <c r="FX361" s="338"/>
      <c r="FY361" s="32"/>
      <c r="FZ361" s="32"/>
      <c r="GA361" s="32"/>
      <c r="GB361" s="32"/>
      <c r="GC361" s="32"/>
      <c r="GD361" s="32"/>
      <c r="GE361" s="32"/>
      <c r="GF361" s="32"/>
      <c r="GG361" s="32"/>
      <c r="GH361" s="32"/>
      <c r="GI361" s="32"/>
      <c r="GJ361" s="32"/>
      <c r="GK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99"/>
      <c r="HO361" s="399"/>
      <c r="HP361" s="399"/>
      <c r="HQ361" s="13"/>
      <c r="HR361" s="13"/>
      <c r="HS361" s="13"/>
      <c r="HT361" s="13"/>
      <c r="HU361" s="13"/>
      <c r="HV361" s="13"/>
      <c r="HW361" s="13"/>
      <c r="HX361" s="13"/>
      <c r="HY361" s="13"/>
      <c r="HZ361" s="13"/>
      <c r="IA361" s="13"/>
    </row>
    <row r="362" spans="1:237" ht="16.95" customHeight="1">
      <c r="A362" s="1"/>
      <c r="B362" s="3"/>
      <c r="C362" s="3"/>
      <c r="D362" s="532"/>
      <c r="E362" s="532"/>
      <c r="F362" s="532"/>
      <c r="G362" s="532"/>
      <c r="H362" s="532"/>
      <c r="I362" s="532"/>
      <c r="J362" s="532"/>
      <c r="K362" s="532"/>
      <c r="L362" s="532"/>
      <c r="M362" s="532"/>
      <c r="N362" s="532"/>
      <c r="O362" s="532"/>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c r="AM362" s="532"/>
      <c r="AN362" s="532"/>
      <c r="AO362" s="532"/>
      <c r="AP362" s="532"/>
      <c r="AQ362" s="532"/>
      <c r="AR362" s="532"/>
      <c r="AS362" s="532"/>
      <c r="AT362" s="532"/>
      <c r="AU362" s="532"/>
      <c r="AV362" s="532"/>
      <c r="AW362" s="532"/>
      <c r="AX362" s="532"/>
      <c r="AY362" s="532"/>
      <c r="AZ362" s="532"/>
      <c r="BA362" s="532"/>
      <c r="BB362" s="532"/>
      <c r="BC362" s="532"/>
      <c r="BD362" s="532"/>
      <c r="BE362" s="532"/>
      <c r="BF362" s="532"/>
      <c r="BG362" s="532"/>
      <c r="BH362" s="532"/>
      <c r="BI362" s="532"/>
      <c r="BJ362" s="532"/>
      <c r="BK362" s="532"/>
      <c r="BL362" s="532"/>
      <c r="BM362" s="532"/>
      <c r="BN362" s="532"/>
      <c r="BO362" s="532"/>
      <c r="BP362" s="532"/>
      <c r="BQ362" s="532"/>
      <c r="BR362" s="532"/>
      <c r="BS362" s="532"/>
      <c r="BT362" s="532"/>
      <c r="BU362" s="532"/>
      <c r="BV362" s="532"/>
      <c r="BW362" s="532"/>
      <c r="BX362" s="532"/>
      <c r="BY362" s="532"/>
      <c r="BZ362" s="532"/>
      <c r="CA362" s="532"/>
      <c r="CB362" s="532"/>
      <c r="CC362" s="532"/>
      <c r="CD362" s="532"/>
      <c r="CE362" s="532"/>
      <c r="CF362" s="532"/>
      <c r="CG362" s="532"/>
      <c r="CH362" s="532"/>
      <c r="CI362" s="532"/>
      <c r="CJ362" s="532"/>
      <c r="CK362" s="532"/>
      <c r="CL362" s="532"/>
      <c r="CM362" s="532"/>
      <c r="CN362" s="532"/>
      <c r="CO362" s="532"/>
      <c r="CP362" s="532"/>
      <c r="CQ362" s="532"/>
      <c r="CR362" s="532"/>
      <c r="CS362" s="532"/>
      <c r="CT362" s="532"/>
      <c r="CU362" s="532"/>
      <c r="CV362" s="532"/>
      <c r="CW362" s="532"/>
      <c r="CX362" s="532"/>
      <c r="CY362" s="532"/>
      <c r="CZ362" s="532"/>
      <c r="DA362" s="532"/>
      <c r="DB362" s="532"/>
      <c r="DC362" s="532"/>
      <c r="DD362" s="532"/>
      <c r="DE362" s="532"/>
      <c r="DF362" s="532"/>
      <c r="DG362" s="532"/>
      <c r="DH362" s="532"/>
      <c r="DI362" s="532"/>
      <c r="DJ362" s="532"/>
      <c r="DK362" s="532"/>
      <c r="DL362" s="532"/>
      <c r="DM362" s="532"/>
      <c r="DN362" s="532"/>
      <c r="DO362" s="532"/>
      <c r="DP362" s="532"/>
      <c r="DQ362" s="532"/>
      <c r="DR362" s="532"/>
      <c r="DS362" s="532"/>
      <c r="DT362" s="532"/>
      <c r="DU362" s="532"/>
      <c r="DV362" s="532"/>
      <c r="DW362" s="532"/>
      <c r="DX362" s="532"/>
      <c r="DY362" s="532"/>
      <c r="DZ362" s="532"/>
      <c r="EA362" s="532"/>
      <c r="EB362" s="532"/>
      <c r="EC362" s="532"/>
      <c r="ED362" s="532"/>
      <c r="EE362" s="532"/>
      <c r="EF362" s="532"/>
      <c r="EG362" s="532"/>
      <c r="EH362" s="532"/>
      <c r="EI362" s="532"/>
      <c r="EJ362" s="532"/>
      <c r="EK362" s="532"/>
      <c r="EL362" s="532"/>
      <c r="EM362" s="532"/>
      <c r="EN362" s="532"/>
      <c r="EO362" s="532"/>
      <c r="EP362" s="532"/>
      <c r="EQ362" s="532"/>
      <c r="ER362" s="532"/>
      <c r="ES362" s="532"/>
      <c r="ET362" s="532"/>
      <c r="EU362" s="532"/>
      <c r="EV362" s="532"/>
      <c r="EW362" s="532"/>
      <c r="EX362" s="532"/>
      <c r="EY362" s="532"/>
      <c r="EZ362" s="532"/>
      <c r="FA362" s="532"/>
      <c r="FB362" s="532"/>
      <c r="FC362" s="532"/>
      <c r="FD362" s="532"/>
      <c r="FE362" s="532"/>
      <c r="FF362" s="532"/>
      <c r="FG362" s="532"/>
      <c r="FH362" s="532"/>
      <c r="FI362" s="532"/>
      <c r="FJ362" s="532"/>
      <c r="FK362" s="532"/>
      <c r="FL362" s="532"/>
      <c r="FM362" s="338"/>
      <c r="FN362" s="338"/>
      <c r="FO362" s="338"/>
      <c r="FP362" s="47"/>
      <c r="FQ362" s="47"/>
      <c r="FR362" s="47"/>
      <c r="FS362" s="47"/>
      <c r="FT362" s="47"/>
      <c r="FU362" s="338"/>
      <c r="FV362" s="338"/>
      <c r="FW362" s="338"/>
      <c r="FX362" s="338"/>
      <c r="FY362" s="32"/>
      <c r="FZ362" s="32"/>
      <c r="GA362" s="32"/>
      <c r="GB362" s="32"/>
      <c r="GC362" s="32"/>
      <c r="GD362" s="32"/>
      <c r="GE362" s="32"/>
      <c r="GF362" s="32"/>
      <c r="GG362" s="32"/>
      <c r="GH362" s="32"/>
      <c r="GI362" s="32"/>
      <c r="GJ362" s="32"/>
      <c r="GK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99"/>
      <c r="HO362" s="399"/>
      <c r="HP362" s="399"/>
      <c r="HQ362" s="13"/>
      <c r="HR362" s="13"/>
      <c r="HS362" s="13"/>
      <c r="HT362" s="13"/>
      <c r="HU362" s="13"/>
      <c r="HV362" s="13"/>
      <c r="HW362" s="13"/>
      <c r="HX362" s="13"/>
      <c r="HY362" s="13"/>
      <c r="HZ362" s="13"/>
      <c r="IA362" s="13"/>
    </row>
    <row r="363" spans="1:237" ht="16.95" customHeight="1">
      <c r="A363" s="1"/>
      <c r="B363" s="3"/>
      <c r="C363" s="3"/>
      <c r="D363" s="532"/>
      <c r="E363" s="532"/>
      <c r="F363" s="532"/>
      <c r="G363" s="532"/>
      <c r="H363" s="532"/>
      <c r="I363" s="532"/>
      <c r="J363" s="532"/>
      <c r="K363" s="532"/>
      <c r="L363" s="532"/>
      <c r="M363" s="532"/>
      <c r="N363" s="532"/>
      <c r="O363" s="532"/>
      <c r="P363" s="532"/>
      <c r="Q363" s="532"/>
      <c r="R363" s="532"/>
      <c r="S363" s="532"/>
      <c r="T363" s="532"/>
      <c r="U363" s="532"/>
      <c r="V363" s="532"/>
      <c r="W363" s="532"/>
      <c r="X363" s="532"/>
      <c r="Y363" s="532"/>
      <c r="Z363" s="532"/>
      <c r="AA363" s="532"/>
      <c r="AB363" s="532"/>
      <c r="AC363" s="532"/>
      <c r="AD363" s="532"/>
      <c r="AE363" s="532"/>
      <c r="AF363" s="532"/>
      <c r="AG363" s="532"/>
      <c r="AH363" s="532"/>
      <c r="AI363" s="532"/>
      <c r="AJ363" s="532"/>
      <c r="AK363" s="532"/>
      <c r="AL363" s="532"/>
      <c r="AM363" s="532"/>
      <c r="AN363" s="532"/>
      <c r="AO363" s="532"/>
      <c r="AP363" s="532"/>
      <c r="AQ363" s="532"/>
      <c r="AR363" s="532"/>
      <c r="AS363" s="532"/>
      <c r="AT363" s="532"/>
      <c r="AU363" s="532"/>
      <c r="AV363" s="532"/>
      <c r="AW363" s="532"/>
      <c r="AX363" s="532"/>
      <c r="AY363" s="532"/>
      <c r="AZ363" s="532"/>
      <c r="BA363" s="532"/>
      <c r="BB363" s="532"/>
      <c r="BC363" s="532"/>
      <c r="BD363" s="532"/>
      <c r="BE363" s="532"/>
      <c r="BF363" s="532"/>
      <c r="BG363" s="532"/>
      <c r="BH363" s="532"/>
      <c r="BI363" s="532"/>
      <c r="BJ363" s="532"/>
      <c r="BK363" s="532"/>
      <c r="BL363" s="532"/>
      <c r="BM363" s="532"/>
      <c r="BN363" s="532"/>
      <c r="BO363" s="532"/>
      <c r="BP363" s="532"/>
      <c r="BQ363" s="532"/>
      <c r="BR363" s="532"/>
      <c r="BS363" s="532"/>
      <c r="BT363" s="532"/>
      <c r="BU363" s="532"/>
      <c r="BV363" s="532"/>
      <c r="BW363" s="532"/>
      <c r="BX363" s="532"/>
      <c r="BY363" s="532"/>
      <c r="BZ363" s="532"/>
      <c r="CA363" s="532"/>
      <c r="CB363" s="532"/>
      <c r="CC363" s="532"/>
      <c r="CD363" s="532"/>
      <c r="CE363" s="532"/>
      <c r="CF363" s="532"/>
      <c r="CG363" s="532"/>
      <c r="CH363" s="532"/>
      <c r="CI363" s="532"/>
      <c r="CJ363" s="532"/>
      <c r="CK363" s="532"/>
      <c r="CL363" s="532"/>
      <c r="CM363" s="532"/>
      <c r="CN363" s="532"/>
      <c r="CO363" s="532"/>
      <c r="CP363" s="532"/>
      <c r="CQ363" s="532"/>
      <c r="CR363" s="532"/>
      <c r="CS363" s="532"/>
      <c r="CT363" s="532"/>
      <c r="CU363" s="532"/>
      <c r="CV363" s="532"/>
      <c r="CW363" s="532"/>
      <c r="CX363" s="532"/>
      <c r="CY363" s="532"/>
      <c r="CZ363" s="532"/>
      <c r="DA363" s="532"/>
      <c r="DB363" s="532"/>
      <c r="DC363" s="532"/>
      <c r="DD363" s="532"/>
      <c r="DE363" s="532"/>
      <c r="DF363" s="532"/>
      <c r="DG363" s="532"/>
      <c r="DH363" s="532"/>
      <c r="DI363" s="532"/>
      <c r="DJ363" s="532"/>
      <c r="DK363" s="532"/>
      <c r="DL363" s="532"/>
      <c r="DM363" s="532"/>
      <c r="DN363" s="532"/>
      <c r="DO363" s="532"/>
      <c r="DP363" s="532"/>
      <c r="DQ363" s="532"/>
      <c r="DR363" s="532"/>
      <c r="DS363" s="532"/>
      <c r="DT363" s="532"/>
      <c r="DU363" s="532"/>
      <c r="DV363" s="532"/>
      <c r="DW363" s="532"/>
      <c r="DX363" s="532"/>
      <c r="DY363" s="532"/>
      <c r="DZ363" s="532"/>
      <c r="EA363" s="532"/>
      <c r="EB363" s="532"/>
      <c r="EC363" s="532"/>
      <c r="ED363" s="532"/>
      <c r="EE363" s="532"/>
      <c r="EF363" s="532"/>
      <c r="EG363" s="532"/>
      <c r="EH363" s="532"/>
      <c r="EI363" s="532"/>
      <c r="EJ363" s="532"/>
      <c r="EK363" s="532"/>
      <c r="EL363" s="532"/>
      <c r="EM363" s="532"/>
      <c r="EN363" s="532"/>
      <c r="EO363" s="532"/>
      <c r="EP363" s="532"/>
      <c r="EQ363" s="532"/>
      <c r="ER363" s="532"/>
      <c r="ES363" s="532"/>
      <c r="ET363" s="532"/>
      <c r="EU363" s="532"/>
      <c r="EV363" s="532"/>
      <c r="EW363" s="532"/>
      <c r="EX363" s="532"/>
      <c r="EY363" s="532"/>
      <c r="EZ363" s="532"/>
      <c r="FA363" s="532"/>
      <c r="FB363" s="532"/>
      <c r="FC363" s="532"/>
      <c r="FD363" s="532"/>
      <c r="FE363" s="532"/>
      <c r="FF363" s="532"/>
      <c r="FG363" s="532"/>
      <c r="FH363" s="532"/>
      <c r="FI363" s="532"/>
      <c r="FJ363" s="532"/>
      <c r="FK363" s="532"/>
      <c r="FL363" s="532"/>
      <c r="FM363" s="338"/>
      <c r="FN363" s="338"/>
      <c r="FO363" s="338"/>
      <c r="FP363" s="47"/>
      <c r="FQ363" s="47"/>
      <c r="FR363" s="47"/>
      <c r="FS363" s="47"/>
      <c r="FT363" s="47"/>
      <c r="FU363" s="338"/>
      <c r="FV363" s="338"/>
      <c r="FW363" s="338"/>
      <c r="FX363" s="338"/>
      <c r="FY363" s="32"/>
      <c r="FZ363" s="32"/>
      <c r="GA363" s="32"/>
      <c r="GB363" s="32"/>
      <c r="GC363" s="32"/>
      <c r="GD363" s="32"/>
      <c r="GE363" s="32"/>
      <c r="GF363" s="32"/>
      <c r="GG363" s="32"/>
      <c r="GH363" s="32"/>
      <c r="GI363" s="32"/>
      <c r="GJ363" s="32"/>
      <c r="GK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99"/>
      <c r="HO363" s="399"/>
      <c r="HP363" s="399"/>
      <c r="HQ363" s="13"/>
      <c r="HR363" s="13"/>
      <c r="HS363" s="13"/>
      <c r="HT363" s="13"/>
      <c r="HU363" s="13"/>
      <c r="HV363" s="13"/>
      <c r="HW363" s="13"/>
      <c r="HX363" s="13"/>
      <c r="HY363" s="13"/>
      <c r="HZ363" s="13"/>
      <c r="IA363" s="13"/>
    </row>
    <row r="364" spans="1:237" ht="16.95" customHeight="1">
      <c r="A364" s="1"/>
      <c r="B364" s="3"/>
      <c r="C364" s="3"/>
      <c r="D364" s="532"/>
      <c r="E364" s="532"/>
      <c r="F364" s="532"/>
      <c r="G364" s="532"/>
      <c r="H364" s="532"/>
      <c r="I364" s="532"/>
      <c r="J364" s="532"/>
      <c r="K364" s="532"/>
      <c r="L364" s="532"/>
      <c r="M364" s="532"/>
      <c r="N364" s="532"/>
      <c r="O364" s="532"/>
      <c r="P364" s="532"/>
      <c r="Q364" s="532"/>
      <c r="R364" s="532"/>
      <c r="S364" s="532"/>
      <c r="T364" s="532"/>
      <c r="U364" s="532"/>
      <c r="V364" s="532"/>
      <c r="W364" s="532"/>
      <c r="X364" s="532"/>
      <c r="Y364" s="532"/>
      <c r="Z364" s="532"/>
      <c r="AA364" s="532"/>
      <c r="AB364" s="532"/>
      <c r="AC364" s="532"/>
      <c r="AD364" s="532"/>
      <c r="AE364" s="532"/>
      <c r="AF364" s="532"/>
      <c r="AG364" s="532"/>
      <c r="AH364" s="532"/>
      <c r="AI364" s="532"/>
      <c r="AJ364" s="532"/>
      <c r="AK364" s="532"/>
      <c r="AL364" s="532"/>
      <c r="AM364" s="532"/>
      <c r="AN364" s="532"/>
      <c r="AO364" s="532"/>
      <c r="AP364" s="532"/>
      <c r="AQ364" s="532"/>
      <c r="AR364" s="532"/>
      <c r="AS364" s="532"/>
      <c r="AT364" s="532"/>
      <c r="AU364" s="532"/>
      <c r="AV364" s="532"/>
      <c r="AW364" s="532"/>
      <c r="AX364" s="532"/>
      <c r="AY364" s="532"/>
      <c r="AZ364" s="532"/>
      <c r="BA364" s="532"/>
      <c r="BB364" s="532"/>
      <c r="BC364" s="532"/>
      <c r="BD364" s="532"/>
      <c r="BE364" s="532"/>
      <c r="BF364" s="532"/>
      <c r="BG364" s="532"/>
      <c r="BH364" s="532"/>
      <c r="BI364" s="532"/>
      <c r="BJ364" s="532"/>
      <c r="BK364" s="532"/>
      <c r="BL364" s="532"/>
      <c r="BM364" s="532"/>
      <c r="BN364" s="532"/>
      <c r="BO364" s="532"/>
      <c r="BP364" s="532"/>
      <c r="BQ364" s="532"/>
      <c r="BR364" s="532"/>
      <c r="BS364" s="532"/>
      <c r="BT364" s="532"/>
      <c r="BU364" s="532"/>
      <c r="BV364" s="532"/>
      <c r="BW364" s="532"/>
      <c r="BX364" s="532"/>
      <c r="BY364" s="532"/>
      <c r="BZ364" s="532"/>
      <c r="CA364" s="532"/>
      <c r="CB364" s="532"/>
      <c r="CC364" s="532"/>
      <c r="CD364" s="532"/>
      <c r="CE364" s="532"/>
      <c r="CF364" s="532"/>
      <c r="CG364" s="532"/>
      <c r="CH364" s="532"/>
      <c r="CI364" s="532"/>
      <c r="CJ364" s="532"/>
      <c r="CK364" s="532"/>
      <c r="CL364" s="532"/>
      <c r="CM364" s="532"/>
      <c r="CN364" s="532"/>
      <c r="CO364" s="532"/>
      <c r="CP364" s="532"/>
      <c r="CQ364" s="532"/>
      <c r="CR364" s="532"/>
      <c r="CS364" s="532"/>
      <c r="CT364" s="532"/>
      <c r="CU364" s="532"/>
      <c r="CV364" s="532"/>
      <c r="CW364" s="532"/>
      <c r="CX364" s="532"/>
      <c r="CY364" s="532"/>
      <c r="CZ364" s="532"/>
      <c r="DA364" s="532"/>
      <c r="DB364" s="532"/>
      <c r="DC364" s="532"/>
      <c r="DD364" s="532"/>
      <c r="DE364" s="532"/>
      <c r="DF364" s="532"/>
      <c r="DG364" s="532"/>
      <c r="DH364" s="532"/>
      <c r="DI364" s="532"/>
      <c r="DJ364" s="532"/>
      <c r="DK364" s="532"/>
      <c r="DL364" s="532"/>
      <c r="DM364" s="532"/>
      <c r="DN364" s="532"/>
      <c r="DO364" s="532"/>
      <c r="DP364" s="532"/>
      <c r="DQ364" s="532"/>
      <c r="DR364" s="532"/>
      <c r="DS364" s="532"/>
      <c r="DT364" s="532"/>
      <c r="DU364" s="532"/>
      <c r="DV364" s="532"/>
      <c r="DW364" s="532"/>
      <c r="DX364" s="532"/>
      <c r="DY364" s="532"/>
      <c r="DZ364" s="532"/>
      <c r="EA364" s="532"/>
      <c r="EB364" s="532"/>
      <c r="EC364" s="532"/>
      <c r="ED364" s="532"/>
      <c r="EE364" s="532"/>
      <c r="EF364" s="532"/>
      <c r="EG364" s="532"/>
      <c r="EH364" s="532"/>
      <c r="EI364" s="532"/>
      <c r="EJ364" s="532"/>
      <c r="EK364" s="532"/>
      <c r="EL364" s="532"/>
      <c r="EM364" s="532"/>
      <c r="EN364" s="532"/>
      <c r="EO364" s="532"/>
      <c r="EP364" s="532"/>
      <c r="EQ364" s="532"/>
      <c r="ER364" s="532"/>
      <c r="ES364" s="532"/>
      <c r="ET364" s="532"/>
      <c r="EU364" s="532"/>
      <c r="EV364" s="532"/>
      <c r="EW364" s="532"/>
      <c r="EX364" s="532"/>
      <c r="EY364" s="532"/>
      <c r="EZ364" s="532"/>
      <c r="FA364" s="532"/>
      <c r="FB364" s="532"/>
      <c r="FC364" s="532"/>
      <c r="FD364" s="532"/>
      <c r="FE364" s="532"/>
      <c r="FF364" s="532"/>
      <c r="FG364" s="532"/>
      <c r="FH364" s="532"/>
      <c r="FI364" s="532"/>
      <c r="FJ364" s="532"/>
      <c r="FK364" s="532"/>
      <c r="FL364" s="532"/>
      <c r="FM364" s="338"/>
      <c r="FN364" s="338"/>
      <c r="FO364" s="338"/>
      <c r="FP364" s="47"/>
      <c r="FQ364" s="47"/>
      <c r="FR364" s="47"/>
      <c r="FS364" s="47"/>
      <c r="FT364" s="47"/>
      <c r="FU364" s="338"/>
      <c r="FV364" s="338"/>
      <c r="FW364" s="338"/>
      <c r="FX364" s="338"/>
      <c r="FY364" s="32"/>
      <c r="FZ364" s="32"/>
      <c r="GA364" s="32"/>
      <c r="GB364" s="32"/>
      <c r="GC364" s="32"/>
      <c r="GD364" s="32"/>
      <c r="GE364" s="32"/>
      <c r="GF364" s="32"/>
      <c r="GG364" s="32"/>
      <c r="GH364" s="32"/>
      <c r="GI364" s="32"/>
      <c r="GJ364" s="32"/>
      <c r="GK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99"/>
      <c r="HO364" s="399"/>
      <c r="HP364" s="399"/>
      <c r="HQ364" s="13"/>
      <c r="HR364" s="13"/>
      <c r="HS364" s="13"/>
      <c r="HT364" s="13"/>
      <c r="HU364" s="13"/>
      <c r="HV364" s="13"/>
      <c r="HW364" s="13"/>
      <c r="HX364" s="13"/>
      <c r="HY364" s="13"/>
      <c r="HZ364" s="13"/>
      <c r="IA364" s="13"/>
    </row>
    <row r="365" spans="1:237" s="66" customFormat="1" ht="16.95" customHeight="1">
      <c r="A365" s="60"/>
      <c r="B365" s="69"/>
      <c r="C365" s="69"/>
      <c r="D365" s="409"/>
      <c r="E365" s="409"/>
      <c r="F365" s="409"/>
      <c r="G365" s="409"/>
      <c r="H365" s="409"/>
      <c r="I365" s="409"/>
      <c r="J365" s="409"/>
      <c r="K365" s="89"/>
      <c r="L365" s="89"/>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89"/>
      <c r="AP365" s="89"/>
      <c r="AQ365" s="89"/>
      <c r="AR365" s="89"/>
      <c r="AS365" s="89"/>
      <c r="AT365" s="89"/>
      <c r="AU365" s="89"/>
      <c r="AV365" s="89"/>
      <c r="AW365" s="89"/>
      <c r="AX365" s="89"/>
      <c r="AY365" s="89"/>
      <c r="AZ365" s="89"/>
      <c r="BA365" s="89"/>
      <c r="BB365" s="89"/>
      <c r="BC365" s="89"/>
      <c r="BD365" s="89"/>
      <c r="BE365" s="89"/>
      <c r="BF365" s="89"/>
      <c r="BG365" s="89"/>
      <c r="BH365" s="89"/>
      <c r="BI365" s="89"/>
      <c r="BJ365" s="89"/>
      <c r="BK365" s="89"/>
      <c r="BL365" s="89"/>
      <c r="BM365" s="89"/>
      <c r="BN365" s="89"/>
      <c r="BO365" s="89"/>
      <c r="BP365" s="89"/>
      <c r="BQ365" s="89"/>
      <c r="BR365" s="89"/>
      <c r="BS365" s="89"/>
      <c r="BT365" s="89"/>
      <c r="BU365" s="89"/>
      <c r="BV365" s="89"/>
      <c r="BW365" s="89"/>
      <c r="BX365" s="89"/>
      <c r="BY365" s="89"/>
      <c r="BZ365" s="89"/>
      <c r="CA365" s="89"/>
      <c r="CB365" s="89"/>
      <c r="CC365" s="89"/>
      <c r="CD365" s="89"/>
      <c r="CE365" s="89"/>
      <c r="CF365" s="89"/>
      <c r="CG365" s="89"/>
      <c r="CH365" s="89"/>
      <c r="CI365" s="89"/>
      <c r="CJ365" s="89"/>
      <c r="CK365" s="89"/>
      <c r="CL365" s="89"/>
      <c r="CM365" s="89"/>
      <c r="CN365" s="89"/>
      <c r="CO365" s="89"/>
      <c r="CP365" s="89"/>
      <c r="CQ365" s="89"/>
      <c r="CR365" s="89"/>
      <c r="CS365" s="89"/>
      <c r="CT365" s="89"/>
      <c r="CU365" s="89"/>
      <c r="CV365" s="89"/>
      <c r="CW365" s="89"/>
      <c r="CX365" s="89"/>
      <c r="CY365" s="89"/>
      <c r="CZ365" s="89"/>
      <c r="DA365" s="89"/>
      <c r="DB365" s="89"/>
      <c r="DC365" s="89"/>
      <c r="DD365" s="89"/>
      <c r="DE365" s="89"/>
      <c r="DF365" s="89"/>
      <c r="DG365" s="89"/>
      <c r="DH365" s="89"/>
      <c r="DI365" s="89"/>
      <c r="DJ365" s="89"/>
      <c r="DK365" s="89"/>
      <c r="DL365" s="89"/>
      <c r="DM365" s="89"/>
      <c r="DN365" s="89"/>
      <c r="DO365" s="89"/>
      <c r="DP365" s="89"/>
      <c r="DQ365" s="89"/>
      <c r="DR365" s="89"/>
      <c r="DS365" s="89"/>
      <c r="DT365" s="89"/>
      <c r="DU365" s="141"/>
      <c r="DV365" s="141"/>
      <c r="DW365" s="141"/>
      <c r="DX365" s="141"/>
      <c r="DY365" s="141"/>
      <c r="DZ365" s="141"/>
      <c r="EA365" s="141"/>
      <c r="EB365" s="89"/>
      <c r="EC365" s="89"/>
      <c r="ED365" s="89"/>
      <c r="EE365" s="89"/>
      <c r="EF365" s="89"/>
      <c r="EG365" s="89"/>
      <c r="EH365" s="89"/>
      <c r="EI365" s="89"/>
      <c r="EJ365" s="89"/>
      <c r="EK365" s="89"/>
      <c r="EL365" s="89"/>
      <c r="EM365" s="89"/>
      <c r="EN365" s="89"/>
      <c r="EO365" s="89"/>
      <c r="EP365" s="89"/>
      <c r="EQ365" s="89"/>
      <c r="ER365" s="89"/>
      <c r="ES365" s="89"/>
      <c r="ET365" s="89"/>
      <c r="EU365" s="89"/>
      <c r="EV365" s="89"/>
      <c r="EW365" s="89"/>
      <c r="EX365" s="89"/>
      <c r="EY365" s="89"/>
      <c r="EZ365" s="89"/>
      <c r="FA365" s="89"/>
      <c r="FB365" s="89"/>
      <c r="FC365" s="89"/>
      <c r="FD365" s="89"/>
      <c r="FE365" s="107"/>
      <c r="FF365" s="107"/>
      <c r="FG365" s="107"/>
      <c r="FH365" s="107"/>
      <c r="FI365" s="107"/>
      <c r="FJ365" s="107"/>
      <c r="FK365" s="107"/>
      <c r="FL365" s="107"/>
      <c r="FM365" s="300"/>
      <c r="FN365" s="300"/>
      <c r="FO365" s="300"/>
      <c r="FP365" s="300"/>
      <c r="FQ365" s="300"/>
      <c r="FR365" s="108"/>
      <c r="FS365" s="108"/>
      <c r="FT365" s="108"/>
      <c r="FU365" s="108"/>
      <c r="FV365" s="108"/>
      <c r="FW365" s="108"/>
      <c r="FX365" s="108"/>
      <c r="FY365" s="32"/>
      <c r="FZ365" s="32"/>
      <c r="GA365" s="32"/>
      <c r="GB365" s="32"/>
      <c r="GC365" s="32"/>
      <c r="GD365" s="32"/>
      <c r="GE365" s="32"/>
      <c r="GF365" s="32"/>
      <c r="GG365" s="32"/>
      <c r="GH365" s="32"/>
      <c r="GI365" s="32"/>
      <c r="GJ365" s="32"/>
      <c r="GK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99"/>
      <c r="HO365" s="399"/>
      <c r="HP365" s="399"/>
      <c r="HQ365" s="13"/>
      <c r="HR365" s="13"/>
      <c r="HS365" s="13"/>
      <c r="HT365" s="13"/>
      <c r="HU365" s="13"/>
      <c r="HV365" s="13"/>
      <c r="HW365" s="13"/>
      <c r="HX365" s="13"/>
      <c r="HY365" s="13"/>
      <c r="HZ365" s="13"/>
      <c r="IA365" s="13"/>
      <c r="IC365" s="65"/>
    </row>
    <row r="366" spans="1:237" s="66" customFormat="1" ht="3.75" customHeight="1">
      <c r="A366" s="60"/>
      <c r="B366" s="69"/>
      <c r="C366" s="69"/>
      <c r="D366" s="418"/>
      <c r="E366" s="409"/>
      <c r="F366" s="409"/>
      <c r="G366" s="409"/>
      <c r="H366" s="409"/>
      <c r="I366" s="409"/>
      <c r="J366" s="137"/>
      <c r="K366" s="137"/>
      <c r="L366" s="419"/>
      <c r="M366" s="420"/>
      <c r="N366" s="419"/>
      <c r="O366" s="419"/>
      <c r="P366" s="419"/>
      <c r="Q366" s="419"/>
      <c r="R366" s="419"/>
      <c r="S366" s="137"/>
      <c r="T366" s="410"/>
      <c r="U366" s="410"/>
      <c r="V366" s="410"/>
      <c r="W366" s="410"/>
      <c r="X366" s="410"/>
      <c r="Y366" s="410"/>
      <c r="Z366" s="410"/>
      <c r="AA366" s="410"/>
      <c r="AB366" s="410"/>
      <c r="AC366" s="410"/>
      <c r="AD366" s="410"/>
      <c r="AE366" s="410"/>
      <c r="AF366" s="410"/>
      <c r="AG366" s="410"/>
      <c r="AH366" s="410"/>
      <c r="AI366" s="410"/>
      <c r="AJ366" s="410"/>
      <c r="AK366" s="410"/>
      <c r="AL366" s="410"/>
      <c r="AM366" s="410"/>
      <c r="AN366" s="410"/>
      <c r="AO366" s="410"/>
      <c r="AP366" s="410"/>
      <c r="AQ366" s="410"/>
      <c r="AR366" s="410"/>
      <c r="AS366" s="410"/>
      <c r="AT366" s="410"/>
      <c r="AU366" s="410"/>
      <c r="AV366" s="410"/>
      <c r="AW366" s="297"/>
      <c r="AX366" s="297"/>
      <c r="AY366" s="297"/>
      <c r="AZ366" s="297"/>
      <c r="BA366" s="297"/>
      <c r="BB366" s="297"/>
      <c r="BC366" s="297"/>
      <c r="BD366" s="297"/>
      <c r="BE366" s="297"/>
      <c r="BF366" s="297"/>
      <c r="BG366" s="297"/>
      <c r="BH366" s="297"/>
      <c r="BI366" s="297"/>
      <c r="BJ366" s="297"/>
      <c r="BK366" s="297"/>
      <c r="BL366" s="297"/>
      <c r="BM366" s="297"/>
      <c r="BN366" s="297"/>
      <c r="BO366" s="297"/>
      <c r="BP366" s="297"/>
      <c r="BQ366" s="297"/>
      <c r="BR366" s="297"/>
      <c r="BS366" s="297"/>
      <c r="BT366" s="297"/>
      <c r="BU366" s="297"/>
      <c r="BV366" s="297"/>
      <c r="BW366" s="297"/>
      <c r="BX366" s="297"/>
      <c r="BY366" s="297"/>
      <c r="BZ366" s="297"/>
      <c r="CA366" s="297"/>
      <c r="CB366" s="297"/>
      <c r="CC366" s="297"/>
      <c r="CD366" s="297"/>
      <c r="CE366" s="297"/>
      <c r="CF366" s="297"/>
      <c r="CG366" s="297"/>
      <c r="CH366" s="297"/>
      <c r="CI366" s="297"/>
      <c r="CJ366" s="297"/>
      <c r="CK366" s="297"/>
      <c r="CL366" s="297"/>
      <c r="CM366" s="297"/>
      <c r="CN366" s="297"/>
      <c r="CO366" s="297"/>
      <c r="CP366" s="297"/>
      <c r="CQ366" s="297"/>
      <c r="CR366" s="297"/>
      <c r="CS366" s="297"/>
      <c r="CT366" s="297"/>
      <c r="CU366" s="297"/>
      <c r="CV366" s="297"/>
      <c r="CW366" s="297"/>
      <c r="CX366" s="297"/>
      <c r="CY366" s="410"/>
      <c r="CZ366" s="410"/>
      <c r="DA366" s="410"/>
      <c r="DB366" s="410"/>
      <c r="DC366" s="410"/>
      <c r="DD366" s="410"/>
      <c r="DE366" s="536" t="str">
        <f ca="1">IF(FN320=0,"",".")</f>
        <v/>
      </c>
      <c r="DF366" s="536"/>
      <c r="DG366" s="536"/>
      <c r="DH366" s="536"/>
      <c r="DI366" s="536"/>
      <c r="DJ366" s="536"/>
      <c r="DK366" s="536"/>
      <c r="DL366" s="141"/>
      <c r="DM366" s="141"/>
      <c r="DN366" s="141"/>
      <c r="DO366" s="141"/>
      <c r="DP366" s="141"/>
      <c r="DQ366" s="141"/>
      <c r="DR366" s="141"/>
      <c r="DS366" s="141"/>
      <c r="DT366" s="141"/>
      <c r="DU366" s="141"/>
      <c r="DV366" s="141"/>
      <c r="DW366" s="141"/>
      <c r="DX366" s="141"/>
      <c r="DY366" s="89"/>
      <c r="DZ366" s="89"/>
      <c r="EA366" s="89"/>
      <c r="EB366" s="89"/>
      <c r="EC366" s="89"/>
      <c r="ED366" s="89"/>
      <c r="EE366" s="89"/>
      <c r="EF366" s="89"/>
      <c r="EG366" s="89"/>
      <c r="EH366" s="89"/>
      <c r="EI366" s="89"/>
      <c r="EJ366" s="89"/>
      <c r="EK366" s="89"/>
      <c r="EL366" s="89"/>
      <c r="EM366" s="89"/>
      <c r="EN366" s="89"/>
      <c r="EO366" s="89"/>
      <c r="EP366" s="89"/>
      <c r="EQ366" s="89"/>
      <c r="ER366" s="89"/>
      <c r="ES366" s="89"/>
      <c r="ET366" s="89"/>
      <c r="EU366" s="89"/>
      <c r="EV366" s="89"/>
      <c r="EW366" s="89"/>
      <c r="EX366" s="89"/>
      <c r="EY366" s="89"/>
      <c r="EZ366" s="89"/>
      <c r="FA366" s="141"/>
      <c r="FB366" s="141"/>
      <c r="FC366" s="141"/>
      <c r="FD366" s="141"/>
      <c r="FE366" s="107"/>
      <c r="FF366" s="107"/>
      <c r="FG366" s="107"/>
      <c r="FH366" s="107"/>
      <c r="FI366" s="107"/>
      <c r="FJ366" s="107"/>
      <c r="FK366" s="107"/>
      <c r="FL366" s="107"/>
      <c r="FM366" s="377"/>
      <c r="FN366" s="377"/>
      <c r="FO366" s="377"/>
      <c r="FP366" s="377"/>
      <c r="FQ366" s="96"/>
      <c r="FR366" s="96"/>
      <c r="FS366" s="96"/>
      <c r="FT366" s="96"/>
      <c r="FU366" s="96"/>
      <c r="FV366" s="96"/>
      <c r="FW366" s="96"/>
      <c r="FX366" s="96"/>
      <c r="FY366" s="32"/>
      <c r="FZ366" s="32"/>
      <c r="GA366" s="32"/>
      <c r="GB366" s="32"/>
      <c r="GC366" s="32"/>
      <c r="GD366" s="32"/>
      <c r="GE366" s="32"/>
      <c r="GF366" s="32"/>
      <c r="GG366" s="32"/>
      <c r="GH366" s="32"/>
      <c r="GI366" s="32"/>
      <c r="GJ366" s="32"/>
      <c r="GK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99"/>
      <c r="HO366" s="399"/>
      <c r="HP366" s="399"/>
      <c r="HQ366" s="13"/>
      <c r="HR366" s="13"/>
      <c r="HS366" s="13"/>
      <c r="HT366" s="13"/>
      <c r="HU366" s="13"/>
      <c r="HV366" s="13"/>
      <c r="HW366" s="13"/>
      <c r="HX366" s="13"/>
      <c r="HY366" s="13"/>
      <c r="HZ366" s="13"/>
      <c r="IA366" s="13"/>
    </row>
    <row r="367" spans="1:237" s="66" customFormat="1" ht="16.5" customHeight="1">
      <c r="A367" s="60"/>
      <c r="B367" s="69"/>
      <c r="C367" s="69"/>
      <c r="D367" s="418"/>
      <c r="E367" s="409"/>
      <c r="F367" s="409"/>
      <c r="G367" s="409"/>
      <c r="H367" s="409"/>
      <c r="I367" s="409"/>
      <c r="J367" s="137"/>
      <c r="K367" s="137"/>
      <c r="L367" s="419"/>
      <c r="M367" s="420"/>
      <c r="N367" s="419"/>
      <c r="O367" s="419"/>
      <c r="P367" s="419"/>
      <c r="Q367" s="137"/>
      <c r="R367" s="419"/>
      <c r="S367" s="137"/>
      <c r="T367" s="180"/>
      <c r="U367" s="421"/>
      <c r="V367" s="421"/>
      <c r="W367" s="421"/>
      <c r="X367" s="421"/>
      <c r="Y367" s="421"/>
      <c r="Z367" s="421"/>
      <c r="AA367" s="421"/>
      <c r="AB367" s="421"/>
      <c r="AC367" s="421"/>
      <c r="AD367" s="421"/>
      <c r="AE367" s="421"/>
      <c r="AF367" s="421"/>
      <c r="AG367" s="421"/>
      <c r="AH367" s="421"/>
      <c r="AI367" s="421"/>
      <c r="AJ367" s="421"/>
      <c r="AK367" s="421"/>
      <c r="AL367" s="421"/>
      <c r="AM367" s="421"/>
      <c r="AN367" s="421"/>
      <c r="AO367" s="421"/>
      <c r="AP367" s="422"/>
      <c r="AQ367" s="422"/>
      <c r="AR367" s="422"/>
      <c r="AS367" s="422"/>
      <c r="AT367" s="422"/>
      <c r="AU367" s="422"/>
      <c r="AV367" s="297"/>
      <c r="AW367" s="297"/>
      <c r="AX367" s="297"/>
      <c r="AY367" s="297"/>
      <c r="AZ367" s="297"/>
      <c r="BA367" s="297"/>
      <c r="BB367" s="297"/>
      <c r="BC367" s="297"/>
      <c r="BD367" s="297"/>
      <c r="BE367" s="297"/>
      <c r="BF367" s="297"/>
      <c r="BG367" s="297"/>
      <c r="BH367" s="297"/>
      <c r="BI367" s="297"/>
      <c r="BJ367" s="297"/>
      <c r="BK367" s="297"/>
      <c r="BL367" s="297"/>
      <c r="BM367" s="297"/>
      <c r="BN367" s="297"/>
      <c r="BO367" s="297"/>
      <c r="BP367" s="297"/>
      <c r="BQ367" s="297"/>
      <c r="BR367" s="297"/>
      <c r="BS367" s="297"/>
      <c r="BT367" s="297"/>
      <c r="BU367" s="297"/>
      <c r="BV367" s="297"/>
      <c r="BW367" s="297"/>
      <c r="BX367" s="297"/>
      <c r="BY367" s="297"/>
      <c r="BZ367" s="297"/>
      <c r="CA367" s="297"/>
      <c r="CB367" s="297"/>
      <c r="CC367" s="297"/>
      <c r="CD367" s="297"/>
      <c r="CE367" s="297"/>
      <c r="CF367" s="297"/>
      <c r="CG367" s="297"/>
      <c r="CH367" s="297"/>
      <c r="CI367" s="297"/>
      <c r="CJ367" s="297"/>
      <c r="CK367" s="297"/>
      <c r="CL367" s="297"/>
      <c r="CM367" s="297"/>
      <c r="CN367" s="297"/>
      <c r="CO367" s="297"/>
      <c r="CP367" s="297"/>
      <c r="CQ367" s="297"/>
      <c r="CR367" s="297"/>
      <c r="CS367" s="297"/>
      <c r="CT367" s="297"/>
      <c r="CU367" s="297"/>
      <c r="CV367" s="297"/>
      <c r="CW367" s="297"/>
      <c r="CX367" s="297"/>
      <c r="CY367" s="410"/>
      <c r="CZ367" s="410"/>
      <c r="DA367" s="410"/>
      <c r="DB367" s="423" t="str">
        <f ca="1">IF(FN320=0,"","De bijbehorende grafiek (bij volkomen prijsdiscriminatie) is:")</f>
        <v/>
      </c>
      <c r="DC367" s="410"/>
      <c r="DD367" s="410"/>
      <c r="DE367" s="408" t="str">
        <f ca="1">IF(FN320=0,"",".")</f>
        <v/>
      </c>
      <c r="DF367" s="705"/>
      <c r="DG367" s="705"/>
      <c r="DH367" s="705"/>
      <c r="DI367" s="705"/>
      <c r="DJ367" s="705"/>
      <c r="DK367" s="408" t="str">
        <f ca="1">IF(FN320=0,"",".")</f>
        <v/>
      </c>
      <c r="DL367" s="424" t="s">
        <v>131</v>
      </c>
      <c r="DM367" s="141"/>
      <c r="DN367" s="141"/>
      <c r="DO367" s="141"/>
      <c r="DP367" s="141"/>
      <c r="DQ367" s="141"/>
      <c r="DR367" s="141"/>
      <c r="DS367" s="141"/>
      <c r="DT367" s="141"/>
      <c r="DU367" s="141"/>
      <c r="DV367" s="141"/>
      <c r="DW367" s="141"/>
      <c r="DX367" s="141"/>
      <c r="DY367" s="89"/>
      <c r="DZ367" s="89"/>
      <c r="EA367" s="89"/>
      <c r="EB367" s="89"/>
      <c r="EC367" s="89"/>
      <c r="ED367" s="89"/>
      <c r="EE367" s="412" t="str">
        <f ca="1">IF(OR(CO398="",TODAY()&gt;=Blad1!$A$2),"",IF(FN320=0,"",IF(DF367="","Deze moet je nog (af-) maken.",IF(FL236=1,"Goed!","Fout!"))))</f>
        <v/>
      </c>
      <c r="EF367" s="89"/>
      <c r="EG367" s="89"/>
      <c r="EH367" s="89"/>
      <c r="EI367" s="89"/>
      <c r="EJ367" s="89"/>
      <c r="EK367" s="89"/>
      <c r="EL367" s="89"/>
      <c r="EM367" s="89"/>
      <c r="EN367" s="89"/>
      <c r="EO367" s="89"/>
      <c r="EP367" s="89"/>
      <c r="EQ367" s="89"/>
      <c r="ER367" s="89"/>
      <c r="ES367" s="89"/>
      <c r="ET367" s="89"/>
      <c r="EU367" s="89"/>
      <c r="EV367" s="89"/>
      <c r="EW367" s="89"/>
      <c r="EX367" s="89"/>
      <c r="EY367" s="89"/>
      <c r="EZ367" s="89"/>
      <c r="FA367" s="141"/>
      <c r="FB367" s="141"/>
      <c r="FC367" s="141"/>
      <c r="FD367" s="141"/>
      <c r="FE367" s="107"/>
      <c r="FF367" s="107"/>
      <c r="FG367" s="107"/>
      <c r="FH367" s="107"/>
      <c r="FI367" s="107"/>
      <c r="FJ367" s="107"/>
      <c r="FK367" s="107"/>
      <c r="FL367" s="107"/>
      <c r="FN367" s="66" t="str">
        <f ca="1">IF(FO1=0,"",FQ367)</f>
        <v>B</v>
      </c>
      <c r="FO367" s="96">
        <f ca="1">IF(programma!B1="X",1,IF(FN320=0,0,IF(DF367=FQ367,1,0)))</f>
        <v>0</v>
      </c>
      <c r="FP367" s="96" t="s">
        <v>12</v>
      </c>
      <c r="FQ367" s="96" t="s">
        <v>13</v>
      </c>
      <c r="FR367" s="96" t="s">
        <v>14</v>
      </c>
      <c r="FS367" s="96"/>
      <c r="FT367" s="96"/>
      <c r="FU367" s="96"/>
      <c r="FV367" s="96"/>
      <c r="FW367" s="96"/>
      <c r="FX367" s="96"/>
      <c r="FY367" s="32"/>
      <c r="FZ367" s="32"/>
      <c r="GA367" s="32"/>
      <c r="GB367" s="32"/>
      <c r="GC367" s="32"/>
      <c r="GD367" s="32"/>
      <c r="GE367" s="32"/>
      <c r="GF367" s="32"/>
      <c r="GG367" s="32"/>
      <c r="GH367" s="32"/>
      <c r="GI367" s="32"/>
      <c r="GJ367" s="32"/>
      <c r="GK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99"/>
      <c r="HO367" s="399"/>
      <c r="HP367" s="399"/>
      <c r="HQ367" s="13"/>
      <c r="HR367" s="13"/>
      <c r="HS367" s="13"/>
      <c r="HT367" s="13"/>
      <c r="HU367" s="13"/>
      <c r="HV367" s="13"/>
      <c r="HW367" s="13"/>
      <c r="HX367" s="13"/>
      <c r="HY367" s="13"/>
      <c r="HZ367" s="13"/>
      <c r="IA367" s="13"/>
    </row>
    <row r="368" spans="1:237" s="66" customFormat="1" ht="3.75" customHeight="1">
      <c r="A368" s="60"/>
      <c r="B368" s="69"/>
      <c r="C368" s="69"/>
      <c r="D368" s="418"/>
      <c r="E368" s="409"/>
      <c r="F368" s="409"/>
      <c r="G368" s="409"/>
      <c r="H368" s="409"/>
      <c r="I368" s="409"/>
      <c r="J368" s="137"/>
      <c r="K368" s="137"/>
      <c r="L368" s="419"/>
      <c r="M368" s="420"/>
      <c r="N368" s="419"/>
      <c r="O368" s="419"/>
      <c r="P368" s="419"/>
      <c r="Q368" s="419"/>
      <c r="R368" s="419"/>
      <c r="S368" s="137"/>
      <c r="T368" s="410"/>
      <c r="U368" s="410"/>
      <c r="V368" s="410"/>
      <c r="W368" s="410"/>
      <c r="X368" s="410"/>
      <c r="Y368" s="410"/>
      <c r="Z368" s="410"/>
      <c r="AA368" s="410"/>
      <c r="AB368" s="410"/>
      <c r="AC368" s="410"/>
      <c r="AD368" s="410"/>
      <c r="AE368" s="410"/>
      <c r="AF368" s="410"/>
      <c r="AG368" s="410"/>
      <c r="AH368" s="410"/>
      <c r="AI368" s="410"/>
      <c r="AJ368" s="410"/>
      <c r="AK368" s="410"/>
      <c r="AL368" s="410"/>
      <c r="AM368" s="410"/>
      <c r="AN368" s="410"/>
      <c r="AO368" s="410"/>
      <c r="AP368" s="410"/>
      <c r="AQ368" s="410"/>
      <c r="AR368" s="410"/>
      <c r="AS368" s="410"/>
      <c r="AT368" s="410"/>
      <c r="AU368" s="410"/>
      <c r="AV368" s="410"/>
      <c r="AW368" s="297"/>
      <c r="AX368" s="297"/>
      <c r="AY368" s="297"/>
      <c r="AZ368" s="297"/>
      <c r="BA368" s="297"/>
      <c r="BB368" s="297"/>
      <c r="BC368" s="297"/>
      <c r="BD368" s="297"/>
      <c r="BE368" s="297"/>
      <c r="BF368" s="297"/>
      <c r="BG368" s="297"/>
      <c r="BH368" s="297"/>
      <c r="BI368" s="297"/>
      <c r="BJ368" s="297"/>
      <c r="BK368" s="297"/>
      <c r="BL368" s="297"/>
      <c r="BM368" s="297"/>
      <c r="BN368" s="297"/>
      <c r="BO368" s="297"/>
      <c r="BP368" s="297"/>
      <c r="BQ368" s="297"/>
      <c r="BR368" s="297"/>
      <c r="BS368" s="297"/>
      <c r="BT368" s="297"/>
      <c r="BU368" s="297"/>
      <c r="BV368" s="297"/>
      <c r="BW368" s="297"/>
      <c r="BX368" s="297"/>
      <c r="BY368" s="297"/>
      <c r="BZ368" s="297"/>
      <c r="CA368" s="297"/>
      <c r="CB368" s="297"/>
      <c r="CC368" s="297"/>
      <c r="CD368" s="297"/>
      <c r="CE368" s="297"/>
      <c r="CF368" s="297"/>
      <c r="CG368" s="297"/>
      <c r="CH368" s="297"/>
      <c r="CI368" s="297"/>
      <c r="CJ368" s="297"/>
      <c r="CK368" s="297"/>
      <c r="CL368" s="297"/>
      <c r="CM368" s="297"/>
      <c r="CN368" s="297"/>
      <c r="CO368" s="297"/>
      <c r="CP368" s="297"/>
      <c r="CQ368" s="297"/>
      <c r="CR368" s="297"/>
      <c r="CS368" s="297"/>
      <c r="CT368" s="297"/>
      <c r="CU368" s="297"/>
      <c r="CV368" s="297"/>
      <c r="CW368" s="297"/>
      <c r="CX368" s="297"/>
      <c r="CY368" s="410"/>
      <c r="CZ368" s="410"/>
      <c r="DA368" s="410"/>
      <c r="DB368" s="410"/>
      <c r="DC368" s="410"/>
      <c r="DD368" s="410"/>
      <c r="DE368" s="536" t="str">
        <f ca="1">IF(FN320=0,"",".")</f>
        <v/>
      </c>
      <c r="DF368" s="536"/>
      <c r="DG368" s="536"/>
      <c r="DH368" s="536"/>
      <c r="DI368" s="536"/>
      <c r="DJ368" s="536"/>
      <c r="DK368" s="536"/>
      <c r="DL368" s="141"/>
      <c r="DM368" s="141"/>
      <c r="DN368" s="141"/>
      <c r="DO368" s="141"/>
      <c r="DP368" s="141"/>
      <c r="DQ368" s="141"/>
      <c r="DR368" s="141"/>
      <c r="DS368" s="141"/>
      <c r="DT368" s="141"/>
      <c r="DU368" s="141"/>
      <c r="DV368" s="141"/>
      <c r="DW368" s="141"/>
      <c r="DX368" s="141"/>
      <c r="DY368" s="89"/>
      <c r="DZ368" s="89"/>
      <c r="EA368" s="89"/>
      <c r="EB368" s="89"/>
      <c r="EC368" s="89"/>
      <c r="ED368" s="89"/>
      <c r="EE368" s="89"/>
      <c r="EF368" s="89"/>
      <c r="EG368" s="89"/>
      <c r="EH368" s="89"/>
      <c r="EI368" s="89"/>
      <c r="EJ368" s="89"/>
      <c r="EK368" s="89"/>
      <c r="EL368" s="89"/>
      <c r="EM368" s="89"/>
      <c r="EN368" s="89"/>
      <c r="EO368" s="89"/>
      <c r="EP368" s="89"/>
      <c r="EQ368" s="89"/>
      <c r="ER368" s="89"/>
      <c r="ES368" s="89"/>
      <c r="ET368" s="89"/>
      <c r="EU368" s="89"/>
      <c r="EV368" s="89"/>
      <c r="EW368" s="89"/>
      <c r="EX368" s="89"/>
      <c r="EY368" s="89"/>
      <c r="EZ368" s="89"/>
      <c r="FA368" s="141"/>
      <c r="FB368" s="141"/>
      <c r="FC368" s="141"/>
      <c r="FD368" s="141"/>
      <c r="FE368" s="107"/>
      <c r="FF368" s="107"/>
      <c r="FG368" s="107"/>
      <c r="FH368" s="107"/>
      <c r="FI368" s="107"/>
      <c r="FJ368" s="107"/>
      <c r="FK368" s="107"/>
      <c r="FL368" s="107"/>
      <c r="FM368" s="377"/>
      <c r="FN368" s="377"/>
      <c r="FO368" s="96"/>
      <c r="FP368" s="96"/>
      <c r="FQ368" s="96"/>
      <c r="FR368" s="96"/>
      <c r="FS368" s="96"/>
      <c r="FT368" s="96"/>
      <c r="FU368" s="96"/>
      <c r="FV368" s="96"/>
      <c r="FW368" s="96"/>
      <c r="FX368" s="96"/>
      <c r="FY368" s="32"/>
      <c r="FZ368" s="32"/>
      <c r="GA368" s="32"/>
      <c r="GB368" s="32"/>
      <c r="GC368" s="32"/>
      <c r="GD368" s="32"/>
      <c r="GE368" s="32"/>
      <c r="GF368" s="32"/>
      <c r="GG368" s="32"/>
      <c r="GH368" s="32"/>
      <c r="GI368" s="32"/>
      <c r="GJ368" s="32"/>
      <c r="GK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99"/>
      <c r="HO368" s="399"/>
      <c r="HP368" s="399"/>
      <c r="HQ368" s="13"/>
      <c r="HR368" s="13"/>
      <c r="HS368" s="13"/>
      <c r="HT368" s="13"/>
      <c r="HU368" s="13"/>
      <c r="HV368" s="13"/>
      <c r="HW368" s="13"/>
      <c r="HX368" s="13"/>
      <c r="HY368" s="13"/>
      <c r="HZ368" s="13"/>
      <c r="IA368" s="13"/>
    </row>
    <row r="369" spans="1:235" ht="16.95" customHeight="1">
      <c r="A369" s="1"/>
      <c r="B369" s="3"/>
      <c r="C369" s="3"/>
      <c r="D369" s="124"/>
      <c r="E369" s="414"/>
      <c r="F369" s="414"/>
      <c r="G369" s="414"/>
      <c r="H369" s="414"/>
      <c r="I369" s="414"/>
      <c r="J369" s="376"/>
      <c r="K369" s="376"/>
      <c r="L369" s="376"/>
      <c r="M369" s="376"/>
      <c r="N369" s="376"/>
      <c r="O369" s="376"/>
      <c r="P369" s="376"/>
      <c r="Q369" s="376"/>
      <c r="R369" s="376"/>
      <c r="S369" s="376"/>
      <c r="T369" s="376"/>
      <c r="U369" s="376"/>
      <c r="V369" s="43"/>
      <c r="W369" s="43"/>
      <c r="X369" s="43"/>
      <c r="Y369" s="43"/>
      <c r="Z369" s="43"/>
      <c r="AA369" s="43"/>
      <c r="AB369" s="43"/>
      <c r="AC369" s="43"/>
      <c r="AD369" s="43"/>
      <c r="AE369" s="43"/>
      <c r="AF369" s="43"/>
      <c r="AG369" s="43"/>
      <c r="AH369" s="43"/>
      <c r="AI369" s="43"/>
      <c r="AJ369" s="43"/>
      <c r="AK369" s="43"/>
      <c r="AL369" s="43"/>
      <c r="AM369" s="43"/>
      <c r="AN369" s="43"/>
      <c r="CB369" s="43"/>
      <c r="CC369" s="43"/>
      <c r="CD369" s="43"/>
      <c r="CE369" s="43"/>
      <c r="CF369" s="43"/>
      <c r="CG369" s="43"/>
      <c r="CH369" s="43"/>
      <c r="CI369" s="43"/>
      <c r="CJ369" s="43"/>
      <c r="CK369" s="43"/>
      <c r="CL369" s="43"/>
      <c r="CM369" s="43"/>
      <c r="CN369" s="43"/>
      <c r="CO369" s="43"/>
      <c r="CP369" s="376"/>
      <c r="CR369" s="376"/>
      <c r="CS369" s="376"/>
      <c r="CT369" s="376"/>
      <c r="CU369" s="376"/>
      <c r="CV369" s="376"/>
      <c r="CW369" s="376"/>
      <c r="CX369" s="376"/>
      <c r="CY369" s="376"/>
      <c r="CZ369" s="172"/>
      <c r="DA369" s="172"/>
      <c r="DB369" s="172"/>
      <c r="DC369" s="172"/>
      <c r="DD369" s="172"/>
      <c r="DE369" s="413"/>
      <c r="DF369" s="413"/>
      <c r="DG369" s="413"/>
      <c r="DH369" s="413"/>
      <c r="DI369" s="413"/>
      <c r="DJ369" s="413"/>
      <c r="DK369" s="413"/>
      <c r="DL369" s="413"/>
      <c r="DM369" s="413"/>
      <c r="DN369" s="413"/>
      <c r="DO369" s="413"/>
      <c r="DP369" s="413"/>
      <c r="DQ369" s="413"/>
      <c r="DR369" s="413"/>
      <c r="DS369" s="413"/>
      <c r="DT369" s="413"/>
      <c r="DU369" s="413"/>
      <c r="DV369" s="413"/>
      <c r="DW369" s="413"/>
      <c r="DX369" s="413"/>
      <c r="DY369" s="413"/>
      <c r="DZ369" s="413"/>
      <c r="EA369" s="413"/>
      <c r="EB369" s="413"/>
      <c r="EC369" s="413"/>
      <c r="ED369" s="413"/>
      <c r="EE369" s="413"/>
      <c r="EF369" s="413"/>
      <c r="EG369" s="413"/>
      <c r="EH369" s="413"/>
      <c r="EI369" s="413"/>
      <c r="EJ369" s="413"/>
      <c r="EK369" s="413"/>
      <c r="EL369" s="413"/>
      <c r="EM369" s="413"/>
      <c r="EN369" s="413"/>
      <c r="EO369" s="413"/>
      <c r="EP369" s="413"/>
      <c r="EQ369" s="413"/>
      <c r="ER369" s="413"/>
      <c r="ES369" s="413"/>
      <c r="ET369" s="413"/>
      <c r="EU369" s="413"/>
      <c r="EV369" s="413"/>
      <c r="EW369" s="413"/>
      <c r="EX369" s="413"/>
      <c r="EY369" s="413"/>
      <c r="EZ369" s="413"/>
      <c r="FA369" s="413"/>
      <c r="FB369" s="413"/>
      <c r="FC369" s="413"/>
      <c r="FD369" s="413"/>
      <c r="FE369" s="107"/>
      <c r="FF369" s="107"/>
      <c r="FG369" s="107"/>
      <c r="FH369" s="107"/>
      <c r="FI369" s="107"/>
      <c r="FJ369" s="107"/>
      <c r="FK369" s="107"/>
      <c r="FL369" s="107"/>
      <c r="FM369" s="338"/>
      <c r="FN369" s="338"/>
      <c r="FO369" s="338"/>
      <c r="FP369" s="47"/>
      <c r="FQ369" s="47"/>
      <c r="FR369" s="47"/>
      <c r="FS369" s="47"/>
      <c r="FT369" s="47"/>
      <c r="FU369" s="338"/>
      <c r="FV369" s="338"/>
      <c r="FW369" s="338"/>
      <c r="FX369" s="338"/>
      <c r="FY369" s="32"/>
      <c r="FZ369" s="32"/>
      <c r="GA369" s="32"/>
      <c r="GB369" s="32"/>
      <c r="GC369" s="32"/>
      <c r="GD369" s="32"/>
      <c r="GE369" s="32"/>
      <c r="GF369" s="32"/>
      <c r="GG369" s="32"/>
      <c r="GH369" s="32"/>
      <c r="GI369" s="32"/>
      <c r="GJ369" s="32"/>
      <c r="GK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99"/>
      <c r="HO369" s="399"/>
      <c r="HP369" s="399"/>
      <c r="HQ369" s="13"/>
      <c r="HR369" s="13"/>
      <c r="HS369" s="13"/>
      <c r="HT369" s="13"/>
      <c r="HU369" s="13"/>
      <c r="HV369" s="13"/>
      <c r="HW369" s="13"/>
      <c r="HX369" s="13"/>
      <c r="HY369" s="13"/>
      <c r="HZ369" s="13"/>
      <c r="IA369" s="13"/>
    </row>
    <row r="370" spans="1:235" ht="16.95" customHeight="1">
      <c r="A370" s="1"/>
      <c r="B370" s="3"/>
      <c r="C370" s="3"/>
      <c r="D370" s="124" t="str">
        <f ca="1">IF(FO367=0,"","Zoals je ziet is niet de marktvorm zelf, maar de daling van de verkochte")</f>
        <v/>
      </c>
      <c r="E370" s="414"/>
      <c r="F370" s="414"/>
      <c r="G370" s="414"/>
      <c r="H370" s="414"/>
      <c r="I370" s="414"/>
      <c r="J370" s="376"/>
      <c r="K370" s="376"/>
      <c r="L370" s="376"/>
      <c r="M370" s="376"/>
      <c r="N370" s="376"/>
      <c r="O370" s="376"/>
      <c r="P370" s="376"/>
      <c r="Q370" s="376"/>
      <c r="R370" s="376"/>
      <c r="S370" s="376"/>
      <c r="T370" s="376"/>
      <c r="U370" s="376"/>
      <c r="V370" s="43"/>
      <c r="W370" s="43"/>
      <c r="X370" s="43"/>
      <c r="Y370" s="43"/>
      <c r="Z370" s="43"/>
      <c r="AA370" s="43"/>
      <c r="AB370" s="43"/>
      <c r="AC370" s="43"/>
      <c r="AD370" s="43"/>
      <c r="AE370" s="43"/>
      <c r="AF370" s="43"/>
      <c r="AG370" s="43"/>
      <c r="AH370" s="43"/>
      <c r="AI370" s="43"/>
      <c r="AJ370" s="43"/>
      <c r="AK370" s="43"/>
      <c r="AL370" s="43"/>
      <c r="AM370" s="43"/>
      <c r="AN370" s="43"/>
      <c r="CB370" s="43"/>
      <c r="CC370" s="43"/>
      <c r="CD370" s="43"/>
      <c r="CE370" s="43"/>
      <c r="CF370" s="43"/>
      <c r="CG370" s="43"/>
      <c r="CH370" s="43"/>
      <c r="CI370" s="43"/>
      <c r="CJ370" s="43"/>
      <c r="CK370" s="43"/>
      <c r="CL370" s="43"/>
      <c r="CM370" s="43"/>
      <c r="CN370" s="43"/>
      <c r="CO370" s="43"/>
      <c r="CP370" s="376"/>
      <c r="CQ370" s="376"/>
      <c r="CR370" s="376"/>
      <c r="CS370" s="376"/>
      <c r="CT370" s="376"/>
      <c r="CU370" s="376"/>
      <c r="CV370" s="376"/>
      <c r="CW370" s="376"/>
      <c r="CX370" s="376"/>
      <c r="CY370" s="376"/>
      <c r="CZ370" s="172"/>
      <c r="DA370" s="172"/>
      <c r="DB370" s="172"/>
      <c r="DC370" s="172"/>
      <c r="DD370" s="172"/>
      <c r="DE370" s="413"/>
      <c r="DF370" s="413"/>
      <c r="DG370" s="413"/>
      <c r="DH370" s="413"/>
      <c r="DI370" s="413"/>
      <c r="DJ370" s="413"/>
      <c r="DK370" s="413"/>
      <c r="DL370" s="413"/>
      <c r="DM370" s="413"/>
      <c r="DN370" s="413"/>
      <c r="DO370" s="413"/>
      <c r="DP370" s="413"/>
      <c r="DQ370" s="413"/>
      <c r="DR370" s="413"/>
      <c r="DS370" s="413"/>
      <c r="DT370" s="413"/>
      <c r="DU370" s="413"/>
      <c r="DV370" s="413"/>
      <c r="DW370" s="413"/>
      <c r="DX370" s="413"/>
      <c r="DY370" s="413"/>
      <c r="DZ370" s="413"/>
      <c r="EA370" s="413"/>
      <c r="EB370" s="413"/>
      <c r="EC370" s="413"/>
      <c r="ED370" s="413"/>
      <c r="EE370" s="413"/>
      <c r="EF370" s="413"/>
      <c r="EG370" s="413"/>
      <c r="EH370" s="413"/>
      <c r="EI370" s="413"/>
      <c r="EJ370" s="413"/>
      <c r="EK370" s="413"/>
      <c r="EL370" s="413"/>
      <c r="EM370" s="413"/>
      <c r="EN370" s="413"/>
      <c r="EO370" s="413"/>
      <c r="EP370" s="413"/>
      <c r="EQ370" s="413"/>
      <c r="ER370" s="413"/>
      <c r="ES370" s="413"/>
      <c r="ET370" s="413"/>
      <c r="EU370" s="413"/>
      <c r="EV370" s="413"/>
      <c r="EW370" s="413"/>
      <c r="EX370" s="413"/>
      <c r="EY370" s="413"/>
      <c r="EZ370" s="413"/>
      <c r="FA370" s="413"/>
      <c r="FB370" s="413"/>
      <c r="FC370" s="413"/>
      <c r="FD370" s="413"/>
      <c r="FE370" s="413"/>
      <c r="FF370" s="413"/>
      <c r="FG370" s="413"/>
      <c r="FH370" s="413"/>
      <c r="FI370" s="107"/>
      <c r="FJ370" s="107"/>
      <c r="FK370" s="107"/>
      <c r="FL370" s="107"/>
      <c r="FM370" s="338"/>
      <c r="FN370" s="338"/>
      <c r="FO370" s="338"/>
      <c r="FP370" s="47"/>
      <c r="FQ370" s="47"/>
      <c r="FR370" s="47"/>
      <c r="FS370" s="47"/>
      <c r="FT370" s="47"/>
      <c r="FU370" s="338"/>
      <c r="FV370" s="338"/>
      <c r="FW370" s="338"/>
      <c r="FX370" s="338"/>
      <c r="FY370" s="32"/>
      <c r="FZ370" s="32"/>
      <c r="GA370" s="32"/>
      <c r="GB370" s="32"/>
      <c r="GC370" s="32"/>
      <c r="GD370" s="32"/>
      <c r="GE370" s="32"/>
      <c r="GF370" s="32"/>
      <c r="GG370" s="32"/>
      <c r="GH370" s="32"/>
      <c r="GI370" s="32"/>
      <c r="GJ370" s="32"/>
      <c r="GK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99"/>
      <c r="HO370" s="399"/>
      <c r="HP370" s="399"/>
      <c r="HQ370" s="13"/>
      <c r="HR370" s="13"/>
      <c r="HS370" s="13"/>
      <c r="HT370" s="13"/>
      <c r="HU370" s="13"/>
      <c r="HV370" s="13"/>
      <c r="HW370" s="13"/>
      <c r="HX370" s="13"/>
      <c r="HY370" s="13"/>
      <c r="HZ370" s="13"/>
      <c r="IA370" s="13"/>
    </row>
    <row r="371" spans="1:235" ht="16.95" customHeight="1">
      <c r="A371" s="1"/>
      <c r="B371" s="3"/>
      <c r="C371" s="3"/>
      <c r="D371" s="124" t="str">
        <f ca="1">IF(FO367=0,"","hoeveelheid verantwoordelijk voor de daling van het totale surplus en")</f>
        <v/>
      </c>
      <c r="E371" s="414"/>
      <c r="F371" s="414"/>
      <c r="G371" s="414"/>
      <c r="H371" s="414"/>
      <c r="I371" s="414"/>
      <c r="J371" s="376"/>
      <c r="K371" s="376"/>
      <c r="L371" s="376"/>
      <c r="M371" s="376"/>
      <c r="N371" s="376"/>
      <c r="O371" s="376"/>
      <c r="P371" s="376"/>
      <c r="Q371" s="376"/>
      <c r="R371" s="376"/>
      <c r="S371" s="376"/>
      <c r="T371" s="376"/>
      <c r="U371" s="376"/>
      <c r="V371" s="43"/>
      <c r="W371" s="43"/>
      <c r="X371" s="43"/>
      <c r="Y371" s="43"/>
      <c r="Z371" s="43"/>
      <c r="AA371" s="43"/>
      <c r="AB371" s="43"/>
      <c r="AC371" s="43"/>
      <c r="AD371" s="43"/>
      <c r="AE371" s="43"/>
      <c r="AF371" s="43"/>
      <c r="AG371" s="43"/>
      <c r="AH371" s="43"/>
      <c r="AI371" s="43"/>
      <c r="AJ371" s="43"/>
      <c r="AK371" s="43"/>
      <c r="AL371" s="43"/>
      <c r="AM371" s="43"/>
      <c r="AN371" s="43"/>
      <c r="CB371" s="43"/>
      <c r="CC371" s="43"/>
      <c r="CD371" s="43"/>
      <c r="CE371" s="43"/>
      <c r="CF371" s="43"/>
      <c r="CG371" s="43"/>
      <c r="CH371" s="43"/>
      <c r="CI371" s="43"/>
      <c r="CJ371" s="43"/>
      <c r="CK371" s="43"/>
      <c r="CL371" s="43"/>
      <c r="CM371" s="43"/>
      <c r="CN371" s="43"/>
      <c r="CO371" s="43"/>
      <c r="CP371" s="376"/>
      <c r="CQ371" s="376"/>
      <c r="CR371" s="376"/>
      <c r="CS371" s="376"/>
      <c r="CT371" s="376"/>
      <c r="CU371" s="376"/>
      <c r="CV371" s="376"/>
      <c r="CW371" s="376"/>
      <c r="CX371" s="376"/>
      <c r="CY371" s="376"/>
      <c r="CZ371" s="172"/>
      <c r="DA371" s="172"/>
      <c r="DB371" s="172"/>
      <c r="DC371" s="172"/>
      <c r="DD371" s="172"/>
      <c r="DE371" s="413"/>
      <c r="DF371" s="413"/>
      <c r="DG371" s="413"/>
      <c r="DH371" s="413"/>
      <c r="DI371" s="413"/>
      <c r="DJ371" s="413"/>
      <c r="DK371" s="413"/>
      <c r="DL371" s="413"/>
      <c r="DM371" s="413"/>
      <c r="DN371" s="413"/>
      <c r="DO371" s="413"/>
      <c r="DP371" s="413"/>
      <c r="DQ371" s="413"/>
      <c r="DR371" s="413"/>
      <c r="DS371" s="413"/>
      <c r="DT371" s="413"/>
      <c r="DU371" s="413"/>
      <c r="DV371" s="413"/>
      <c r="DW371" s="413"/>
      <c r="DX371" s="413"/>
      <c r="DY371" s="413"/>
      <c r="DZ371" s="413"/>
      <c r="EA371" s="413"/>
      <c r="EB371" s="413"/>
      <c r="EC371" s="413"/>
      <c r="ED371" s="413"/>
      <c r="EE371" s="413"/>
      <c r="EF371" s="413"/>
      <c r="EG371" s="413"/>
      <c r="EH371" s="413"/>
      <c r="EI371" s="413"/>
      <c r="EJ371" s="413"/>
      <c r="EK371" s="413"/>
      <c r="EL371" s="413"/>
      <c r="EM371" s="413"/>
      <c r="EN371" s="413"/>
      <c r="EO371" s="413"/>
      <c r="EP371" s="413"/>
      <c r="EQ371" s="413"/>
      <c r="ER371" s="413"/>
      <c r="ES371" s="413"/>
      <c r="ET371" s="413"/>
      <c r="EU371" s="413"/>
      <c r="EV371" s="413"/>
      <c r="EW371" s="413"/>
      <c r="EX371" s="413"/>
      <c r="EY371" s="413"/>
      <c r="EZ371" s="413"/>
      <c r="FA371" s="413"/>
      <c r="FB371" s="413"/>
      <c r="FC371" s="413"/>
      <c r="FD371" s="413"/>
      <c r="FE371" s="413"/>
      <c r="FF371" s="413"/>
      <c r="FG371" s="413"/>
      <c r="FH371" s="413"/>
      <c r="FI371" s="107"/>
      <c r="FJ371" s="107"/>
      <c r="FK371" s="107"/>
      <c r="FL371" s="107"/>
      <c r="FM371" s="338"/>
      <c r="FN371" s="338"/>
      <c r="FO371" s="338"/>
      <c r="FP371" s="47"/>
      <c r="FQ371" s="47"/>
      <c r="FR371" s="47"/>
      <c r="FS371" s="47"/>
      <c r="FT371" s="47"/>
      <c r="FU371" s="338"/>
      <c r="FV371" s="338"/>
      <c r="FW371" s="338"/>
      <c r="FX371" s="338"/>
      <c r="FY371" s="32"/>
      <c r="FZ371" s="32"/>
      <c r="GA371" s="32"/>
      <c r="GB371" s="32"/>
      <c r="GC371" s="32"/>
      <c r="GD371" s="32"/>
      <c r="GE371" s="32"/>
      <c r="GF371" s="32"/>
      <c r="GG371" s="32"/>
      <c r="GH371" s="32"/>
      <c r="GI371" s="32"/>
      <c r="GJ371" s="32"/>
      <c r="GK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99"/>
      <c r="HO371" s="399"/>
      <c r="HP371" s="399"/>
      <c r="HQ371" s="13"/>
      <c r="HR371" s="13"/>
      <c r="HS371" s="13"/>
      <c r="HT371" s="13"/>
      <c r="HU371" s="13"/>
      <c r="HV371" s="13"/>
      <c r="HW371" s="13"/>
      <c r="HX371" s="13"/>
      <c r="HY371" s="13"/>
      <c r="HZ371" s="13"/>
      <c r="IA371" s="13"/>
    </row>
    <row r="372" spans="1:235" ht="16.95" customHeight="1">
      <c r="A372" s="1"/>
      <c r="B372" s="3"/>
      <c r="C372" s="3"/>
      <c r="D372" s="124" t="str">
        <f ca="1">IF(FO367=0,"","daarmee de maatschappelijke welvaart. Dat is het geval als de monopolist")</f>
        <v/>
      </c>
      <c r="E372" s="414"/>
      <c r="F372" s="414"/>
      <c r="G372" s="414"/>
      <c r="H372" s="414"/>
      <c r="I372" s="414"/>
      <c r="J372" s="376"/>
      <c r="K372" s="376"/>
      <c r="L372" s="376"/>
      <c r="M372" s="376"/>
      <c r="N372" s="376"/>
      <c r="O372" s="376"/>
      <c r="P372" s="376"/>
      <c r="Q372" s="376"/>
      <c r="R372" s="376"/>
      <c r="S372" s="376"/>
      <c r="T372" s="376"/>
      <c r="U372" s="376"/>
      <c r="V372" s="43"/>
      <c r="W372" s="43"/>
      <c r="X372" s="43"/>
      <c r="Y372" s="43"/>
      <c r="Z372" s="43"/>
      <c r="AA372" s="43"/>
      <c r="AB372" s="43"/>
      <c r="AC372" s="43"/>
      <c r="AD372" s="43"/>
      <c r="AE372" s="43"/>
      <c r="AF372" s="43"/>
      <c r="AG372" s="43"/>
      <c r="AH372" s="43"/>
      <c r="AI372" s="43"/>
      <c r="AJ372" s="43"/>
      <c r="AK372" s="43"/>
      <c r="AL372" s="43"/>
      <c r="AM372" s="43"/>
      <c r="AN372" s="43"/>
      <c r="CB372" s="43"/>
      <c r="CC372" s="43"/>
      <c r="CD372" s="43"/>
      <c r="CE372" s="43"/>
      <c r="CF372" s="43"/>
      <c r="CG372" s="43"/>
      <c r="CH372" s="43"/>
      <c r="CI372" s="43"/>
      <c r="CJ372" s="43"/>
      <c r="CK372" s="43"/>
      <c r="CL372" s="43"/>
      <c r="CM372" s="43"/>
      <c r="CN372" s="43"/>
      <c r="CO372" s="43"/>
      <c r="CP372" s="376"/>
      <c r="CQ372" s="376"/>
      <c r="CR372" s="376"/>
      <c r="CS372" s="376"/>
      <c r="CT372" s="376"/>
      <c r="CU372" s="376"/>
      <c r="CV372" s="376"/>
      <c r="CW372" s="376"/>
      <c r="CX372" s="376"/>
      <c r="CY372" s="376"/>
      <c r="CZ372" s="172"/>
      <c r="DA372" s="172"/>
      <c r="DB372" s="172"/>
      <c r="DC372" s="172"/>
      <c r="DD372" s="172"/>
      <c r="DE372" s="413"/>
      <c r="DF372" s="413"/>
      <c r="DG372" s="413"/>
      <c r="DH372" s="413"/>
      <c r="DI372" s="413"/>
      <c r="DJ372" s="413"/>
      <c r="DK372" s="413"/>
      <c r="DL372" s="413"/>
      <c r="DM372" s="413"/>
      <c r="DN372" s="413"/>
      <c r="DO372" s="413"/>
      <c r="DP372" s="413"/>
      <c r="DQ372" s="413"/>
      <c r="DR372" s="413"/>
      <c r="DS372" s="413"/>
      <c r="DT372" s="413"/>
      <c r="DU372" s="413"/>
      <c r="DV372" s="413"/>
      <c r="DW372" s="413"/>
      <c r="DX372" s="413"/>
      <c r="DY372" s="413"/>
      <c r="DZ372" s="413"/>
      <c r="EA372" s="413"/>
      <c r="EB372" s="413"/>
      <c r="EC372" s="413"/>
      <c r="ED372" s="413"/>
      <c r="EE372" s="413"/>
      <c r="EF372" s="413"/>
      <c r="EG372" s="413"/>
      <c r="EH372" s="413"/>
      <c r="EI372" s="413"/>
      <c r="EJ372" s="413"/>
      <c r="EK372" s="413"/>
      <c r="EL372" s="413"/>
      <c r="EM372" s="413"/>
      <c r="EN372" s="413"/>
      <c r="EO372" s="413"/>
      <c r="EP372" s="413"/>
      <c r="EQ372" s="413"/>
      <c r="ER372" s="413"/>
      <c r="ES372" s="413"/>
      <c r="ET372" s="413"/>
      <c r="EU372" s="413"/>
      <c r="EV372" s="413"/>
      <c r="EW372" s="413"/>
      <c r="EX372" s="413"/>
      <c r="EY372" s="413"/>
      <c r="EZ372" s="413"/>
      <c r="FA372" s="413"/>
      <c r="FB372" s="413"/>
      <c r="FC372" s="413"/>
      <c r="FD372" s="413"/>
      <c r="FE372" s="413"/>
      <c r="FF372" s="413"/>
      <c r="FG372" s="413"/>
      <c r="FH372" s="413"/>
      <c r="FI372" s="107"/>
      <c r="FJ372" s="107"/>
      <c r="FK372" s="107"/>
      <c r="FL372" s="107"/>
      <c r="FM372" s="338"/>
      <c r="FN372" s="338"/>
      <c r="FO372" s="338"/>
      <c r="FP372" s="47"/>
      <c r="FQ372" s="47"/>
      <c r="FR372" s="47"/>
      <c r="FS372" s="47"/>
      <c r="FT372" s="47"/>
      <c r="FU372" s="338"/>
      <c r="FV372" s="338"/>
      <c r="FW372" s="338"/>
      <c r="FX372" s="338"/>
      <c r="FY372" s="32"/>
      <c r="FZ372" s="32"/>
      <c r="GA372" s="32"/>
      <c r="GB372" s="32"/>
      <c r="GC372" s="32"/>
      <c r="GD372" s="32"/>
      <c r="GE372" s="32"/>
      <c r="GF372" s="32"/>
      <c r="GG372" s="32"/>
      <c r="GH372" s="32"/>
      <c r="GI372" s="32"/>
      <c r="GJ372" s="32"/>
      <c r="GK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99"/>
      <c r="HO372" s="399"/>
      <c r="HP372" s="399"/>
      <c r="HQ372" s="13"/>
      <c r="HR372" s="13"/>
      <c r="HS372" s="13"/>
      <c r="HT372" s="13"/>
      <c r="HU372" s="13"/>
      <c r="HV372" s="13"/>
      <c r="HW372" s="13"/>
      <c r="HX372" s="13"/>
      <c r="HY372" s="13"/>
      <c r="HZ372" s="13"/>
      <c r="IA372" s="13"/>
    </row>
    <row r="373" spans="1:235" ht="16.95" customHeight="1">
      <c r="A373" s="1"/>
      <c r="B373" s="3"/>
      <c r="C373" s="3"/>
      <c r="D373" s="124" t="str">
        <f ca="1">IF(FO367=0,"","niet in staat is volkomen prijsdiscriminatie toe te passen. Zodra hij voor de")</f>
        <v/>
      </c>
      <c r="E373" s="414"/>
      <c r="F373" s="414"/>
      <c r="G373" s="414"/>
      <c r="H373" s="414"/>
      <c r="I373" s="414"/>
      <c r="J373" s="376"/>
      <c r="K373" s="376"/>
      <c r="L373" s="376"/>
      <c r="M373" s="376"/>
      <c r="N373" s="376"/>
      <c r="O373" s="376"/>
      <c r="P373" s="376"/>
      <c r="Q373" s="376"/>
      <c r="R373" s="376"/>
      <c r="S373" s="376"/>
      <c r="T373" s="376"/>
      <c r="U373" s="376"/>
      <c r="V373" s="43"/>
      <c r="W373" s="43"/>
      <c r="X373" s="43"/>
      <c r="Y373" s="43"/>
      <c r="Z373" s="43"/>
      <c r="AA373" s="43"/>
      <c r="AB373" s="43"/>
      <c r="AC373" s="43"/>
      <c r="AD373" s="43"/>
      <c r="AE373" s="43"/>
      <c r="AF373" s="43"/>
      <c r="AG373" s="43"/>
      <c r="AH373" s="43"/>
      <c r="AI373" s="43"/>
      <c r="AJ373" s="43"/>
      <c r="AK373" s="43"/>
      <c r="AL373" s="43"/>
      <c r="AM373" s="43"/>
      <c r="AN373" s="43"/>
      <c r="CB373" s="43"/>
      <c r="CC373" s="43"/>
      <c r="CD373" s="43"/>
      <c r="CE373" s="43"/>
      <c r="CF373" s="43"/>
      <c r="CG373" s="43"/>
      <c r="CH373" s="43"/>
      <c r="CI373" s="43"/>
      <c r="CJ373" s="43"/>
      <c r="CK373" s="43"/>
      <c r="CL373" s="43"/>
      <c r="CM373" s="43"/>
      <c r="CN373" s="43"/>
      <c r="CO373" s="43"/>
      <c r="CP373" s="376"/>
      <c r="CQ373" s="376"/>
      <c r="CR373" s="376"/>
      <c r="CS373" s="376"/>
      <c r="CT373" s="376"/>
      <c r="CU373" s="376"/>
      <c r="CV373" s="376"/>
      <c r="CW373" s="376"/>
      <c r="CX373" s="376"/>
      <c r="CY373" s="376"/>
      <c r="CZ373" s="172"/>
      <c r="DA373" s="172"/>
      <c r="DB373" s="172"/>
      <c r="DC373" s="172"/>
      <c r="DD373" s="172"/>
      <c r="DE373" s="413"/>
      <c r="DF373" s="413"/>
      <c r="DG373" s="413"/>
      <c r="DH373" s="413"/>
      <c r="DI373" s="413"/>
      <c r="DJ373" s="413"/>
      <c r="DK373" s="413"/>
      <c r="DL373" s="413"/>
      <c r="DM373" s="413"/>
      <c r="DN373" s="413"/>
      <c r="DO373" s="413"/>
      <c r="DP373" s="413"/>
      <c r="DQ373" s="413"/>
      <c r="DR373" s="413"/>
      <c r="DS373" s="413"/>
      <c r="DT373" s="413"/>
      <c r="DU373" s="413"/>
      <c r="DV373" s="413"/>
      <c r="DW373" s="413"/>
      <c r="DX373" s="413"/>
      <c r="DY373" s="413"/>
      <c r="DZ373" s="413"/>
      <c r="EA373" s="413"/>
      <c r="EB373" s="413"/>
      <c r="EC373" s="413"/>
      <c r="ED373" s="413"/>
      <c r="EE373" s="413"/>
      <c r="EF373" s="413"/>
      <c r="EG373" s="413"/>
      <c r="EH373" s="413"/>
      <c r="EI373" s="413"/>
      <c r="EJ373" s="413"/>
      <c r="EK373" s="413"/>
      <c r="EL373" s="413"/>
      <c r="EM373" s="413"/>
      <c r="EN373" s="413"/>
      <c r="EO373" s="413"/>
      <c r="EP373" s="413"/>
      <c r="EQ373" s="413"/>
      <c r="ER373" s="413"/>
      <c r="ES373" s="413"/>
      <c r="ET373" s="413"/>
      <c r="EU373" s="413"/>
      <c r="EV373" s="413"/>
      <c r="EW373" s="413"/>
      <c r="EX373" s="413"/>
      <c r="EY373" s="413"/>
      <c r="EZ373" s="413"/>
      <c r="FA373" s="413"/>
      <c r="FB373" s="413"/>
      <c r="FC373" s="413"/>
      <c r="FD373" s="413"/>
      <c r="FE373" s="413"/>
      <c r="FF373" s="413"/>
      <c r="FG373" s="413"/>
      <c r="FH373" s="413"/>
      <c r="FI373" s="107"/>
      <c r="FJ373" s="107"/>
      <c r="FK373" s="107"/>
      <c r="FL373" s="107"/>
      <c r="FM373" s="338"/>
      <c r="FN373" s="338"/>
      <c r="FO373" s="338"/>
      <c r="FP373" s="47"/>
      <c r="FQ373" s="47"/>
      <c r="FR373" s="47"/>
      <c r="FS373" s="47"/>
      <c r="FT373" s="47"/>
      <c r="FU373" s="338"/>
      <c r="FV373" s="338"/>
      <c r="FW373" s="338"/>
      <c r="FX373" s="338"/>
      <c r="FY373" s="32"/>
      <c r="FZ373" s="32"/>
      <c r="GA373" s="32"/>
      <c r="GB373" s="32"/>
      <c r="GC373" s="32"/>
      <c r="GD373" s="32"/>
      <c r="GE373" s="32"/>
      <c r="GF373" s="32"/>
      <c r="GG373" s="32"/>
      <c r="GH373" s="32"/>
      <c r="GI373" s="32"/>
      <c r="GJ373" s="32"/>
      <c r="GK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99"/>
      <c r="HO373" s="399"/>
      <c r="HP373" s="399"/>
      <c r="HQ373" s="13"/>
      <c r="HR373" s="13"/>
      <c r="HS373" s="13"/>
      <c r="HT373" s="13"/>
      <c r="HU373" s="13"/>
      <c r="HV373" s="13"/>
      <c r="HW373" s="13"/>
      <c r="HX373" s="13"/>
      <c r="HY373" s="13"/>
      <c r="HZ373" s="13"/>
      <c r="IA373" s="13"/>
    </row>
    <row r="374" spans="1:235" ht="16.95" customHeight="1">
      <c r="A374" s="1"/>
      <c r="B374" s="3"/>
      <c r="C374" s="3"/>
      <c r="D374" s="124" t="str">
        <f ca="1">IF(FO367=0,"","laatste groep kopers een prijs vraagt die hoger is dan de prijs bij volkomen")</f>
        <v/>
      </c>
      <c r="E374" s="414"/>
      <c r="F374" s="414"/>
      <c r="G374" s="414"/>
      <c r="H374" s="414"/>
      <c r="I374" s="414"/>
      <c r="J374" s="376"/>
      <c r="K374" s="376"/>
      <c r="L374" s="376"/>
      <c r="M374" s="376"/>
      <c r="N374" s="376"/>
      <c r="O374" s="376"/>
      <c r="P374" s="376"/>
      <c r="Q374" s="376"/>
      <c r="R374" s="376"/>
      <c r="S374" s="376"/>
      <c r="T374" s="376"/>
      <c r="U374" s="376"/>
      <c r="V374" s="43"/>
      <c r="W374" s="43"/>
      <c r="X374" s="43"/>
      <c r="Y374" s="43"/>
      <c r="Z374" s="43"/>
      <c r="AA374" s="43"/>
      <c r="AB374" s="43"/>
      <c r="AC374" s="43"/>
      <c r="AD374" s="43"/>
      <c r="AE374" s="43"/>
      <c r="AF374" s="43"/>
      <c r="AG374" s="43"/>
      <c r="AH374" s="43"/>
      <c r="AI374" s="43"/>
      <c r="AJ374" s="43"/>
      <c r="AK374" s="43"/>
      <c r="AL374" s="43"/>
      <c r="AM374" s="43"/>
      <c r="AN374" s="43"/>
      <c r="CB374" s="43"/>
      <c r="CC374" s="43"/>
      <c r="CD374" s="43"/>
      <c r="CE374" s="43"/>
      <c r="CF374" s="43"/>
      <c r="CG374" s="43"/>
      <c r="CH374" s="43"/>
      <c r="CI374" s="43"/>
      <c r="CJ374" s="43"/>
      <c r="CK374" s="43"/>
      <c r="CL374" s="43"/>
      <c r="CM374" s="43"/>
      <c r="CN374" s="43"/>
      <c r="CO374" s="43"/>
      <c r="CP374" s="376"/>
      <c r="CQ374" s="376"/>
      <c r="CR374" s="376"/>
      <c r="CS374" s="376"/>
      <c r="CT374" s="376"/>
      <c r="CU374" s="376"/>
      <c r="CV374" s="376"/>
      <c r="CW374" s="376"/>
      <c r="CX374" s="376"/>
      <c r="CY374" s="376"/>
      <c r="CZ374" s="172"/>
      <c r="DA374" s="172"/>
      <c r="DB374" s="172"/>
      <c r="DC374" s="172"/>
      <c r="DD374" s="172"/>
      <c r="DE374" s="413"/>
      <c r="DF374" s="413"/>
      <c r="DG374" s="413"/>
      <c r="DH374" s="413"/>
      <c r="DI374" s="413"/>
      <c r="DJ374" s="413"/>
      <c r="DK374" s="413"/>
      <c r="DL374" s="413"/>
      <c r="DM374" s="413"/>
      <c r="DN374" s="413"/>
      <c r="DO374" s="413"/>
      <c r="DP374" s="413"/>
      <c r="DQ374" s="413"/>
      <c r="DR374" s="413"/>
      <c r="DS374" s="413"/>
      <c r="DT374" s="413"/>
      <c r="DU374" s="413"/>
      <c r="DV374" s="413"/>
      <c r="DW374" s="413"/>
      <c r="DX374" s="413"/>
      <c r="DY374" s="413"/>
      <c r="DZ374" s="413"/>
      <c r="EA374" s="413"/>
      <c r="EB374" s="413"/>
      <c r="EC374" s="413"/>
      <c r="ED374" s="413"/>
      <c r="EE374" s="413"/>
      <c r="EF374" s="413"/>
      <c r="EG374" s="413"/>
      <c r="EH374" s="413"/>
      <c r="EI374" s="413"/>
      <c r="EJ374" s="413"/>
      <c r="EK374" s="413"/>
      <c r="EL374" s="413"/>
      <c r="EM374" s="413"/>
      <c r="EN374" s="413"/>
      <c r="EO374" s="413"/>
      <c r="EP374" s="413"/>
      <c r="EQ374" s="413"/>
      <c r="ER374" s="413"/>
      <c r="ES374" s="413"/>
      <c r="ET374" s="413"/>
      <c r="EU374" s="413"/>
      <c r="EV374" s="413"/>
      <c r="EW374" s="413"/>
      <c r="EX374" s="413"/>
      <c r="EY374" s="413"/>
      <c r="EZ374" s="413"/>
      <c r="FA374" s="413"/>
      <c r="FB374" s="413"/>
      <c r="FC374" s="413"/>
      <c r="FD374" s="413"/>
      <c r="FE374" s="413"/>
      <c r="FF374" s="413"/>
      <c r="FG374" s="413"/>
      <c r="FH374" s="413"/>
      <c r="FI374" s="107"/>
      <c r="FJ374" s="107"/>
      <c r="FK374" s="107"/>
      <c r="FL374" s="107"/>
      <c r="FM374" s="338"/>
      <c r="FN374" s="338"/>
      <c r="FO374" s="338"/>
      <c r="FP374" s="47"/>
      <c r="FQ374" s="47"/>
      <c r="FR374" s="47"/>
      <c r="FS374" s="47"/>
      <c r="FT374" s="47"/>
      <c r="FU374" s="338"/>
      <c r="FV374" s="338"/>
      <c r="FW374" s="338"/>
      <c r="FX374" s="338"/>
      <c r="FY374" s="32"/>
      <c r="FZ374" s="32"/>
      <c r="GA374" s="32"/>
      <c r="GB374" s="32"/>
      <c r="GC374" s="32"/>
      <c r="GD374" s="32"/>
      <c r="GE374" s="32"/>
      <c r="GF374" s="32"/>
      <c r="GG374" s="32"/>
      <c r="GH374" s="32"/>
      <c r="GI374" s="32"/>
      <c r="GJ374" s="32"/>
      <c r="GK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99"/>
      <c r="HO374" s="399"/>
      <c r="HP374" s="399"/>
      <c r="HQ374" s="13"/>
      <c r="HR374" s="13"/>
      <c r="HS374" s="13"/>
      <c r="HT374" s="13"/>
      <c r="HU374" s="13"/>
      <c r="HV374" s="13"/>
      <c r="HW374" s="13"/>
      <c r="HX374" s="13"/>
      <c r="HY374" s="13"/>
      <c r="HZ374" s="13"/>
      <c r="IA374" s="13"/>
    </row>
    <row r="375" spans="1:235" ht="16.95" customHeight="1">
      <c r="A375" s="1"/>
      <c r="B375" s="3"/>
      <c r="C375" s="3"/>
      <c r="D375" s="124" t="str">
        <f ca="1">IF(FO367=0,"","concurrentie, is er een groep kopers (altijd die met de laagste betalings-")</f>
        <v/>
      </c>
      <c r="E375" s="414"/>
      <c r="F375" s="414"/>
      <c r="G375" s="414"/>
      <c r="H375" s="414"/>
      <c r="I375" s="414"/>
      <c r="J375" s="376"/>
      <c r="K375" s="376"/>
      <c r="L375" s="376"/>
      <c r="M375" s="376"/>
      <c r="N375" s="376"/>
      <c r="O375" s="376"/>
      <c r="P375" s="376"/>
      <c r="Q375" s="376"/>
      <c r="R375" s="376"/>
      <c r="S375" s="376"/>
      <c r="T375" s="376"/>
      <c r="U375" s="376"/>
      <c r="V375" s="43"/>
      <c r="W375" s="43"/>
      <c r="X375" s="43"/>
      <c r="Y375" s="43"/>
      <c r="Z375" s="43"/>
      <c r="AA375" s="43"/>
      <c r="AB375" s="43"/>
      <c r="AC375" s="43"/>
      <c r="AD375" s="43"/>
      <c r="AE375" s="43"/>
      <c r="AF375" s="43"/>
      <c r="AG375" s="43"/>
      <c r="AH375" s="43"/>
      <c r="AI375" s="43"/>
      <c r="AJ375" s="43"/>
      <c r="AK375" s="43"/>
      <c r="AL375" s="43"/>
      <c r="AM375" s="43"/>
      <c r="AN375" s="43"/>
      <c r="CB375" s="43"/>
      <c r="CC375" s="43"/>
      <c r="CD375" s="43"/>
      <c r="CE375" s="43"/>
      <c r="CF375" s="43"/>
      <c r="CG375" s="43"/>
      <c r="CH375" s="43"/>
      <c r="CI375" s="43"/>
      <c r="CJ375" s="43"/>
      <c r="CK375" s="43"/>
      <c r="CL375" s="43"/>
      <c r="CM375" s="43"/>
      <c r="CN375" s="43"/>
      <c r="CO375" s="43"/>
      <c r="CP375" s="376"/>
      <c r="CQ375" s="376"/>
      <c r="CR375" s="376"/>
      <c r="CS375" s="376"/>
      <c r="CT375" s="376"/>
      <c r="CU375" s="376"/>
      <c r="CV375" s="376"/>
      <c r="CW375" s="376"/>
      <c r="CX375" s="376"/>
      <c r="CY375" s="376"/>
      <c r="CZ375" s="172"/>
      <c r="DA375" s="172"/>
      <c r="DB375" s="172"/>
      <c r="DC375" s="172"/>
      <c r="DD375" s="172"/>
      <c r="DE375" s="413"/>
      <c r="DF375" s="413"/>
      <c r="DG375" s="413"/>
      <c r="DH375" s="413"/>
      <c r="DI375" s="413"/>
      <c r="DJ375" s="413"/>
      <c r="DK375" s="413"/>
      <c r="DL375" s="413"/>
      <c r="DM375" s="413"/>
      <c r="DN375" s="413"/>
      <c r="DO375" s="413"/>
      <c r="DP375" s="413"/>
      <c r="DQ375" s="413"/>
      <c r="DR375" s="413"/>
      <c r="DS375" s="413"/>
      <c r="DT375" s="413"/>
      <c r="DU375" s="413"/>
      <c r="DV375" s="413"/>
      <c r="DW375" s="413"/>
      <c r="DX375" s="413"/>
      <c r="DY375" s="413"/>
      <c r="DZ375" s="413"/>
      <c r="EA375" s="413"/>
      <c r="EB375" s="413"/>
      <c r="EC375" s="413"/>
      <c r="ED375" s="413"/>
      <c r="EE375" s="413"/>
      <c r="EF375" s="413"/>
      <c r="EG375" s="413"/>
      <c r="EH375" s="413"/>
      <c r="EI375" s="413"/>
      <c r="EJ375" s="413"/>
      <c r="EK375" s="413"/>
      <c r="EL375" s="413"/>
      <c r="EM375" s="413"/>
      <c r="EN375" s="413"/>
      <c r="EO375" s="413"/>
      <c r="EP375" s="413"/>
      <c r="EQ375" s="413"/>
      <c r="ER375" s="413"/>
      <c r="ES375" s="413"/>
      <c r="ET375" s="413"/>
      <c r="EU375" s="413"/>
      <c r="EV375" s="413"/>
      <c r="EW375" s="413"/>
      <c r="EX375" s="413"/>
      <c r="EY375" s="413"/>
      <c r="EZ375" s="413"/>
      <c r="FA375" s="413"/>
      <c r="FB375" s="413"/>
      <c r="FC375" s="413"/>
      <c r="FD375" s="413"/>
      <c r="FE375" s="413"/>
      <c r="FF375" s="413"/>
      <c r="FG375" s="413"/>
      <c r="FH375" s="413"/>
      <c r="FI375" s="107"/>
      <c r="FJ375" s="107"/>
      <c r="FK375" s="107"/>
      <c r="FL375" s="107"/>
      <c r="FM375" s="338"/>
      <c r="FN375" s="338"/>
      <c r="FO375" s="338"/>
      <c r="FP375" s="47"/>
      <c r="FQ375" s="47"/>
      <c r="FR375" s="47"/>
      <c r="FS375" s="47"/>
      <c r="FT375" s="47"/>
      <c r="FU375" s="338"/>
      <c r="FV375" s="338"/>
      <c r="FW375" s="338"/>
      <c r="FX375" s="338"/>
      <c r="FY375" s="32"/>
      <c r="FZ375" s="32"/>
      <c r="GA375" s="32"/>
      <c r="GB375" s="32"/>
      <c r="GC375" s="32"/>
      <c r="GD375" s="32"/>
      <c r="GE375" s="32"/>
      <c r="GF375" s="32"/>
      <c r="GG375" s="32"/>
      <c r="GH375" s="32"/>
      <c r="GI375" s="32"/>
      <c r="GJ375" s="32"/>
      <c r="GK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99"/>
      <c r="HO375" s="399"/>
      <c r="HP375" s="399"/>
      <c r="HQ375" s="13"/>
      <c r="HR375" s="13"/>
      <c r="HS375" s="13"/>
      <c r="HT375" s="13"/>
      <c r="HU375" s="13"/>
      <c r="HV375" s="13"/>
      <c r="HW375" s="13"/>
      <c r="HX375" s="13"/>
      <c r="HY375" s="13"/>
      <c r="HZ375" s="13"/>
      <c r="IA375" s="13"/>
    </row>
    <row r="376" spans="1:235" ht="16.95" customHeight="1">
      <c r="A376" s="1"/>
      <c r="B376" s="3"/>
      <c r="C376" s="3"/>
      <c r="D376" s="124" t="str">
        <f ca="1">IF(FO367=0,"","bereidheid) die het product niet meer koopt. De regel is steeds dat hoe")</f>
        <v/>
      </c>
      <c r="E376" s="414"/>
      <c r="F376" s="414"/>
      <c r="G376" s="414"/>
      <c r="H376" s="414"/>
      <c r="I376" s="414"/>
      <c r="J376" s="376"/>
      <c r="K376" s="376"/>
      <c r="L376" s="376"/>
      <c r="M376" s="376"/>
      <c r="N376" s="376"/>
      <c r="O376" s="376"/>
      <c r="P376" s="376"/>
      <c r="Q376" s="376"/>
      <c r="R376" s="376"/>
      <c r="S376" s="376"/>
      <c r="T376" s="376"/>
      <c r="U376" s="376"/>
      <c r="V376" s="43"/>
      <c r="W376" s="43"/>
      <c r="X376" s="43"/>
      <c r="Y376" s="43"/>
      <c r="Z376" s="43"/>
      <c r="AA376" s="43"/>
      <c r="AB376" s="43"/>
      <c r="AC376" s="43"/>
      <c r="AD376" s="43"/>
      <c r="AE376" s="43"/>
      <c r="AF376" s="43"/>
      <c r="AG376" s="43"/>
      <c r="AH376" s="43"/>
      <c r="AI376" s="43"/>
      <c r="AJ376" s="43"/>
      <c r="AK376" s="43"/>
      <c r="AL376" s="43"/>
      <c r="AM376" s="43"/>
      <c r="AN376" s="43"/>
      <c r="CB376" s="43"/>
      <c r="CC376" s="43"/>
      <c r="CD376" s="43"/>
      <c r="CE376" s="43"/>
      <c r="CF376" s="43"/>
      <c r="CG376" s="43"/>
      <c r="CH376" s="43"/>
      <c r="CI376" s="43"/>
      <c r="CJ376" s="43"/>
      <c r="CK376" s="43"/>
      <c r="CL376" s="43"/>
      <c r="CM376" s="43"/>
      <c r="CN376" s="43"/>
      <c r="CO376" s="43"/>
      <c r="CP376" s="376"/>
      <c r="CQ376" s="376"/>
      <c r="CR376" s="376"/>
      <c r="CS376" s="376"/>
      <c r="CT376" s="376"/>
      <c r="CU376" s="376"/>
      <c r="CV376" s="376"/>
      <c r="CW376" s="376"/>
      <c r="CX376" s="376"/>
      <c r="CY376" s="376"/>
      <c r="CZ376" s="172"/>
      <c r="DA376" s="172"/>
      <c r="DB376" s="172"/>
      <c r="DC376" s="172"/>
      <c r="DD376" s="172"/>
      <c r="DE376" s="413"/>
      <c r="DF376" s="413"/>
      <c r="DG376" s="413"/>
      <c r="DH376" s="413"/>
      <c r="DI376" s="413"/>
      <c r="DJ376" s="413"/>
      <c r="DK376" s="413"/>
      <c r="DL376" s="413"/>
      <c r="DM376" s="413"/>
      <c r="DN376" s="413"/>
      <c r="DO376" s="413"/>
      <c r="DP376" s="413"/>
      <c r="DQ376" s="413"/>
      <c r="DR376" s="413"/>
      <c r="DS376" s="413"/>
      <c r="DT376" s="413"/>
      <c r="DU376" s="413"/>
      <c r="DV376" s="413"/>
      <c r="DW376" s="413"/>
      <c r="DX376" s="413"/>
      <c r="DY376" s="413"/>
      <c r="DZ376" s="413"/>
      <c r="EA376" s="413"/>
      <c r="EB376" s="413"/>
      <c r="EC376" s="413"/>
      <c r="ED376" s="413"/>
      <c r="EE376" s="413"/>
      <c r="EF376" s="413"/>
      <c r="EG376" s="413"/>
      <c r="EH376" s="413"/>
      <c r="EI376" s="413"/>
      <c r="EJ376" s="413"/>
      <c r="EK376" s="413"/>
      <c r="EL376" s="413"/>
      <c r="EM376" s="413"/>
      <c r="EN376" s="413"/>
      <c r="EO376" s="413"/>
      <c r="EP376" s="413"/>
      <c r="EQ376" s="413"/>
      <c r="ER376" s="413"/>
      <c r="ES376" s="413"/>
      <c r="ET376" s="413"/>
      <c r="EU376" s="413"/>
      <c r="EV376" s="413"/>
      <c r="EW376" s="413"/>
      <c r="EX376" s="413"/>
      <c r="EY376" s="413"/>
      <c r="EZ376" s="413"/>
      <c r="FA376" s="413"/>
      <c r="FB376" s="413"/>
      <c r="FC376" s="413"/>
      <c r="FD376" s="413"/>
      <c r="FE376" s="413"/>
      <c r="FF376" s="413"/>
      <c r="FG376" s="413"/>
      <c r="FH376" s="413"/>
      <c r="FI376" s="107"/>
      <c r="FJ376" s="107"/>
      <c r="FK376" s="107"/>
      <c r="FL376" s="107"/>
      <c r="FM376" s="338"/>
      <c r="FN376" s="338"/>
      <c r="FO376" s="338"/>
      <c r="FP376" s="47"/>
      <c r="FQ376" s="47"/>
      <c r="FR376" s="47"/>
      <c r="FS376" s="47"/>
      <c r="FT376" s="47"/>
      <c r="FU376" s="338"/>
      <c r="FV376" s="338"/>
      <c r="FW376" s="338"/>
      <c r="FX376" s="338"/>
      <c r="FY376" s="32"/>
      <c r="FZ376" s="32"/>
      <c r="GA376" s="32"/>
      <c r="GB376" s="32"/>
      <c r="GC376" s="32"/>
      <c r="GD376" s="32"/>
      <c r="GE376" s="32"/>
      <c r="GF376" s="32"/>
      <c r="GG376" s="32"/>
      <c r="GH376" s="32"/>
      <c r="GI376" s="32"/>
      <c r="GJ376" s="32"/>
      <c r="GK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99"/>
      <c r="HO376" s="399"/>
      <c r="HP376" s="399"/>
      <c r="HQ376" s="13"/>
      <c r="HR376" s="13"/>
      <c r="HS376" s="13"/>
      <c r="HT376" s="13"/>
      <c r="HU376" s="13"/>
      <c r="HV376" s="13"/>
      <c r="HW376" s="13"/>
      <c r="HX376" s="13"/>
      <c r="HY376" s="13"/>
      <c r="HZ376" s="13"/>
      <c r="IA376" s="13"/>
    </row>
    <row r="377" spans="1:235" ht="16.95" customHeight="1">
      <c r="A377" s="1"/>
      <c r="B377" s="3"/>
      <c r="C377" s="3"/>
      <c r="D377" s="124" t="str">
        <f ca="1">IF(FO367=0,"","fijner de indeling in groepen is, hoe groter het producentensurplus (en dus")</f>
        <v/>
      </c>
      <c r="E377" s="414"/>
      <c r="F377" s="414"/>
      <c r="G377" s="414"/>
      <c r="H377" s="414"/>
      <c r="I377" s="414"/>
      <c r="J377" s="376"/>
      <c r="K377" s="376"/>
      <c r="L377" s="376"/>
      <c r="M377" s="376"/>
      <c r="N377" s="376"/>
      <c r="O377" s="376"/>
      <c r="P377" s="376"/>
      <c r="Q377" s="376"/>
      <c r="R377" s="376"/>
      <c r="S377" s="376"/>
      <c r="T377" s="376"/>
      <c r="U377" s="376"/>
      <c r="V377" s="43"/>
      <c r="W377" s="43"/>
      <c r="X377" s="43"/>
      <c r="Y377" s="43"/>
      <c r="Z377" s="43"/>
      <c r="AA377" s="43"/>
      <c r="AB377" s="43"/>
      <c r="AC377" s="43"/>
      <c r="AD377" s="43"/>
      <c r="AE377" s="43"/>
      <c r="AF377" s="43"/>
      <c r="AG377" s="43"/>
      <c r="AH377" s="43"/>
      <c r="AI377" s="43"/>
      <c r="AJ377" s="43"/>
      <c r="AK377" s="43"/>
      <c r="AL377" s="43"/>
      <c r="AM377" s="43"/>
      <c r="AN377" s="43"/>
      <c r="CB377" s="43"/>
      <c r="CC377" s="43"/>
      <c r="CD377" s="43"/>
      <c r="CE377" s="43"/>
      <c r="CF377" s="43"/>
      <c r="CG377" s="43"/>
      <c r="CH377" s="43"/>
      <c r="CI377" s="43"/>
      <c r="CJ377" s="43"/>
      <c r="CK377" s="43"/>
      <c r="CL377" s="43"/>
      <c r="CM377" s="43"/>
      <c r="CN377" s="43"/>
      <c r="CO377" s="43"/>
      <c r="CP377" s="376"/>
      <c r="CQ377" s="376"/>
      <c r="CR377" s="376"/>
      <c r="CS377" s="376"/>
      <c r="CT377" s="376"/>
      <c r="CU377" s="376"/>
      <c r="CV377" s="376"/>
      <c r="CW377" s="376"/>
      <c r="CX377" s="376"/>
      <c r="CY377" s="376"/>
      <c r="CZ377" s="172"/>
      <c r="DA377" s="172"/>
      <c r="DB377" s="172"/>
      <c r="DC377" s="172"/>
      <c r="DD377" s="172"/>
      <c r="DE377" s="413"/>
      <c r="DF377" s="413"/>
      <c r="DG377" s="413"/>
      <c r="DH377" s="413"/>
      <c r="DI377" s="413"/>
      <c r="DJ377" s="413"/>
      <c r="DK377" s="413"/>
      <c r="DL377" s="413"/>
      <c r="DM377" s="413"/>
      <c r="DN377" s="413"/>
      <c r="DO377" s="413"/>
      <c r="DP377" s="413"/>
      <c r="DQ377" s="413"/>
      <c r="DR377" s="413"/>
      <c r="DS377" s="413"/>
      <c r="DT377" s="413"/>
      <c r="DU377" s="413"/>
      <c r="DV377" s="413"/>
      <c r="DW377" s="413"/>
      <c r="DX377" s="413"/>
      <c r="DY377" s="413"/>
      <c r="DZ377" s="413"/>
      <c r="EA377" s="413"/>
      <c r="EB377" s="413"/>
      <c r="EC377" s="413"/>
      <c r="ED377" s="413"/>
      <c r="EE377" s="413"/>
      <c r="EF377" s="413"/>
      <c r="EG377" s="413"/>
      <c r="EH377" s="413"/>
      <c r="EI377" s="413"/>
      <c r="EJ377" s="413"/>
      <c r="EK377" s="413"/>
      <c r="EL377" s="413"/>
      <c r="EM377" s="413"/>
      <c r="EN377" s="413"/>
      <c r="EO377" s="413"/>
      <c r="EP377" s="413"/>
      <c r="EQ377" s="413"/>
      <c r="ER377" s="413"/>
      <c r="ES377" s="413"/>
      <c r="ET377" s="413"/>
      <c r="EU377" s="413"/>
      <c r="EV377" s="413"/>
      <c r="EW377" s="413"/>
      <c r="EX377" s="413"/>
      <c r="EY377" s="413"/>
      <c r="EZ377" s="413"/>
      <c r="FA377" s="413"/>
      <c r="FB377" s="413"/>
      <c r="FC377" s="413"/>
      <c r="FD377" s="413"/>
      <c r="FE377" s="413"/>
      <c r="FF377" s="413"/>
      <c r="FG377" s="413"/>
      <c r="FH377" s="413"/>
      <c r="FI377" s="107"/>
      <c r="FJ377" s="107"/>
      <c r="FK377" s="107"/>
      <c r="FL377" s="107"/>
      <c r="FM377" s="338"/>
      <c r="FN377" s="338"/>
      <c r="FO377" s="338"/>
      <c r="FP377" s="47"/>
      <c r="FQ377" s="47"/>
      <c r="FR377" s="47"/>
      <c r="FS377" s="47"/>
      <c r="FT377" s="47"/>
      <c r="FU377" s="338"/>
      <c r="FV377" s="338"/>
      <c r="FW377" s="338"/>
      <c r="FX377" s="338"/>
      <c r="FY377" s="32"/>
      <c r="FZ377" s="32"/>
      <c r="GA377" s="32"/>
      <c r="GB377" s="32"/>
      <c r="GC377" s="32"/>
      <c r="GD377" s="32"/>
      <c r="GE377" s="32"/>
      <c r="GF377" s="32"/>
      <c r="GG377" s="32"/>
      <c r="GH377" s="32"/>
      <c r="GI377" s="32"/>
      <c r="GJ377" s="32"/>
      <c r="GK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99"/>
      <c r="HO377" s="399"/>
      <c r="HP377" s="399"/>
      <c r="HQ377" s="13"/>
      <c r="HR377" s="13"/>
      <c r="HS377" s="13"/>
      <c r="HT377" s="13"/>
      <c r="HU377" s="13"/>
      <c r="HV377" s="13"/>
      <c r="HW377" s="13"/>
      <c r="HX377" s="13"/>
      <c r="HY377" s="13"/>
      <c r="HZ377" s="13"/>
      <c r="IA377" s="13"/>
    </row>
    <row r="378" spans="1:235" ht="16.95" customHeight="1">
      <c r="A378" s="1"/>
      <c r="B378" s="3"/>
      <c r="C378" s="3"/>
      <c r="D378" s="124" t="str">
        <f ca="1">IF(FO367=0,"","de dekkingsbijdrage en ook de winst) wordt. Kijk maar naar de volgende")</f>
        <v/>
      </c>
      <c r="E378" s="414"/>
      <c r="F378" s="414"/>
      <c r="G378" s="414"/>
      <c r="H378" s="414"/>
      <c r="I378" s="414"/>
      <c r="J378" s="376"/>
      <c r="K378" s="376"/>
      <c r="L378" s="376"/>
      <c r="M378" s="376"/>
      <c r="N378" s="376"/>
      <c r="O378" s="376"/>
      <c r="P378" s="376"/>
      <c r="Q378" s="376"/>
      <c r="R378" s="376"/>
      <c r="S378" s="376"/>
      <c r="T378" s="376"/>
      <c r="U378" s="376"/>
      <c r="V378" s="43"/>
      <c r="W378" s="43"/>
      <c r="X378" s="43"/>
      <c r="Y378" s="43"/>
      <c r="Z378" s="43"/>
      <c r="AA378" s="43"/>
      <c r="AB378" s="43"/>
      <c r="AC378" s="43"/>
      <c r="AD378" s="43"/>
      <c r="AE378" s="43"/>
      <c r="AF378" s="43"/>
      <c r="AG378" s="43"/>
      <c r="AH378" s="43"/>
      <c r="AI378" s="43"/>
      <c r="AJ378" s="43"/>
      <c r="AK378" s="43"/>
      <c r="AL378" s="43"/>
      <c r="AM378" s="43"/>
      <c r="AN378" s="43"/>
      <c r="CB378" s="43"/>
      <c r="CC378" s="43"/>
      <c r="CD378" s="43"/>
      <c r="CE378" s="43"/>
      <c r="CF378" s="43"/>
      <c r="CG378" s="43"/>
      <c r="CH378" s="43"/>
      <c r="CI378" s="43"/>
      <c r="CJ378" s="43"/>
      <c r="CK378" s="43"/>
      <c r="CL378" s="43"/>
      <c r="CM378" s="43"/>
      <c r="CN378" s="43"/>
      <c r="CO378" s="43"/>
      <c r="CP378" s="376"/>
      <c r="CQ378" s="376"/>
      <c r="CR378" s="376"/>
      <c r="CS378" s="376"/>
      <c r="CT378" s="376"/>
      <c r="CU378" s="376"/>
      <c r="CV378" s="376"/>
      <c r="CW378" s="376"/>
      <c r="CX378" s="376"/>
      <c r="CY378" s="376"/>
      <c r="CZ378" s="172"/>
      <c r="DA378" s="172"/>
      <c r="DB378" s="172"/>
      <c r="DC378" s="172"/>
      <c r="DD378" s="172"/>
      <c r="DE378" s="413"/>
      <c r="DF378" s="413"/>
      <c r="DG378" s="413"/>
      <c r="DH378" s="413"/>
      <c r="DI378" s="413"/>
      <c r="DJ378" s="413"/>
      <c r="DK378" s="413"/>
      <c r="DL378" s="413"/>
      <c r="DM378" s="413"/>
      <c r="DN378" s="413"/>
      <c r="DO378" s="413"/>
      <c r="DP378" s="413"/>
      <c r="DQ378" s="413"/>
      <c r="DR378" s="413"/>
      <c r="DS378" s="413"/>
      <c r="DT378" s="413"/>
      <c r="DU378" s="413"/>
      <c r="DV378" s="413"/>
      <c r="DW378" s="413"/>
      <c r="DX378" s="413"/>
      <c r="DY378" s="413"/>
      <c r="DZ378" s="413"/>
      <c r="EA378" s="413"/>
      <c r="EB378" s="413"/>
      <c r="EC378" s="413"/>
      <c r="ED378" s="413"/>
      <c r="EE378" s="413"/>
      <c r="EF378" s="413"/>
      <c r="EG378" s="413"/>
      <c r="EH378" s="413"/>
      <c r="EI378" s="413"/>
      <c r="EJ378" s="413"/>
      <c r="EK378" s="413"/>
      <c r="EL378" s="413"/>
      <c r="EM378" s="413"/>
      <c r="EN378" s="413"/>
      <c r="EO378" s="413"/>
      <c r="EP378" s="413"/>
      <c r="EQ378" s="413"/>
      <c r="ER378" s="413"/>
      <c r="ES378" s="413"/>
      <c r="ET378" s="413"/>
      <c r="EU378" s="413"/>
      <c r="EV378" s="413"/>
      <c r="EW378" s="413"/>
      <c r="EX378" s="413"/>
      <c r="EY378" s="413"/>
      <c r="EZ378" s="413"/>
      <c r="FA378" s="413"/>
      <c r="FB378" s="413"/>
      <c r="FC378" s="413"/>
      <c r="FD378" s="413"/>
      <c r="FE378" s="413"/>
      <c r="FF378" s="413"/>
      <c r="FG378" s="413"/>
      <c r="FH378" s="413"/>
      <c r="FI378" s="107"/>
      <c r="FJ378" s="107"/>
      <c r="FK378" s="107"/>
      <c r="FL378" s="107"/>
      <c r="FM378" s="338"/>
      <c r="FN378" s="338"/>
      <c r="FO378" s="338"/>
      <c r="FP378" s="47"/>
      <c r="FQ378" s="47"/>
      <c r="FR378" s="47"/>
      <c r="FS378" s="47"/>
      <c r="FT378" s="47"/>
      <c r="FU378" s="338"/>
      <c r="FV378" s="338"/>
      <c r="FW378" s="338"/>
      <c r="FX378" s="338"/>
      <c r="FY378" s="32"/>
      <c r="FZ378" s="32"/>
      <c r="GA378" s="32"/>
      <c r="GB378" s="32"/>
      <c r="GC378" s="32"/>
      <c r="GD378" s="32"/>
      <c r="GE378" s="32"/>
      <c r="GF378" s="32"/>
      <c r="GG378" s="32"/>
      <c r="GH378" s="32"/>
      <c r="GI378" s="32"/>
      <c r="GJ378" s="32"/>
      <c r="GK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99"/>
      <c r="HO378" s="399"/>
      <c r="HP378" s="399"/>
      <c r="HQ378" s="13"/>
      <c r="HR378" s="13"/>
      <c r="HS378" s="13"/>
      <c r="HT378" s="13"/>
      <c r="HU378" s="13"/>
      <c r="HV378" s="13"/>
      <c r="HW378" s="13"/>
      <c r="HX378" s="13"/>
      <c r="HY378" s="13"/>
      <c r="HZ378" s="13"/>
      <c r="IA378" s="13"/>
    </row>
    <row r="379" spans="1:235" ht="16.95" customHeight="1">
      <c r="A379" s="1"/>
      <c r="B379" s="3"/>
      <c r="C379" s="3"/>
      <c r="D379" s="124" t="str">
        <f ca="1">IF(FO367=0,"","overgang van volkomen concurrentie naar monopolie zonder en met prijs-")</f>
        <v/>
      </c>
      <c r="E379" s="414"/>
      <c r="F379" s="414"/>
      <c r="G379" s="414"/>
      <c r="H379" s="414"/>
      <c r="I379" s="414"/>
      <c r="J379" s="376"/>
      <c r="K379" s="376"/>
      <c r="L379" s="376"/>
      <c r="M379" s="376"/>
      <c r="N379" s="376"/>
      <c r="O379" s="376"/>
      <c r="P379" s="376"/>
      <c r="Q379" s="376"/>
      <c r="R379" s="376"/>
      <c r="S379" s="376"/>
      <c r="T379" s="376"/>
      <c r="U379" s="376"/>
      <c r="V379" s="43"/>
      <c r="W379" s="43"/>
      <c r="X379" s="43"/>
      <c r="Y379" s="43"/>
      <c r="Z379" s="43"/>
      <c r="AA379" s="43"/>
      <c r="AB379" s="43"/>
      <c r="AC379" s="43"/>
      <c r="AD379" s="43"/>
      <c r="AE379" s="43"/>
      <c r="AF379" s="43"/>
      <c r="AG379" s="43"/>
      <c r="AH379" s="43"/>
      <c r="AI379" s="43"/>
      <c r="AJ379" s="43"/>
      <c r="AK379" s="43"/>
      <c r="AL379" s="43"/>
      <c r="AM379" s="43"/>
      <c r="AN379" s="43"/>
      <c r="CB379" s="43"/>
      <c r="CC379" s="43"/>
      <c r="CD379" s="43"/>
      <c r="CE379" s="43"/>
      <c r="CF379" s="43"/>
      <c r="CG379" s="43"/>
      <c r="CH379" s="43"/>
      <c r="CI379" s="43"/>
      <c r="CJ379" s="43"/>
      <c r="CK379" s="43"/>
      <c r="CL379" s="43"/>
      <c r="CM379" s="43"/>
      <c r="CN379" s="43"/>
      <c r="CO379" s="43"/>
      <c r="CP379" s="376"/>
      <c r="CQ379" s="376"/>
      <c r="CR379" s="376"/>
      <c r="CS379" s="376"/>
      <c r="CT379" s="376"/>
      <c r="CU379" s="376"/>
      <c r="CV379" s="376"/>
      <c r="CW379" s="376"/>
      <c r="CX379" s="376"/>
      <c r="CY379" s="376"/>
      <c r="CZ379" s="172"/>
      <c r="DA379" s="172"/>
      <c r="DB379" s="172"/>
      <c r="DC379" s="172"/>
      <c r="DD379" s="172"/>
      <c r="DE379" s="413"/>
      <c r="DF379" s="413"/>
      <c r="DG379" s="413"/>
      <c r="DH379" s="413"/>
      <c r="DI379" s="413"/>
      <c r="DJ379" s="413"/>
      <c r="DK379" s="413"/>
      <c r="DL379" s="413"/>
      <c r="DM379" s="413"/>
      <c r="DN379" s="413"/>
      <c r="DO379" s="413"/>
      <c r="DP379" s="413"/>
      <c r="DQ379" s="413"/>
      <c r="DR379" s="413"/>
      <c r="DS379" s="413"/>
      <c r="DT379" s="413"/>
      <c r="DU379" s="413"/>
      <c r="DV379" s="413"/>
      <c r="DW379" s="413"/>
      <c r="DX379" s="413"/>
      <c r="DY379" s="413"/>
      <c r="DZ379" s="413"/>
      <c r="EA379" s="413"/>
      <c r="EB379" s="413"/>
      <c r="EC379" s="413"/>
      <c r="ED379" s="413"/>
      <c r="EE379" s="413"/>
      <c r="EF379" s="413"/>
      <c r="EG379" s="413"/>
      <c r="EH379" s="413"/>
      <c r="EI379" s="413"/>
      <c r="EJ379" s="413"/>
      <c r="EK379" s="413"/>
      <c r="EL379" s="413"/>
      <c r="EM379" s="413"/>
      <c r="EN379" s="413"/>
      <c r="EO379" s="413"/>
      <c r="EP379" s="413"/>
      <c r="EQ379" s="413"/>
      <c r="ER379" s="413"/>
      <c r="ES379" s="413"/>
      <c r="ET379" s="413"/>
      <c r="EU379" s="413"/>
      <c r="EV379" s="413"/>
      <c r="EW379" s="413"/>
      <c r="EX379" s="413"/>
      <c r="EY379" s="413"/>
      <c r="EZ379" s="413"/>
      <c r="FA379" s="413"/>
      <c r="FB379" s="413"/>
      <c r="FC379" s="413"/>
      <c r="FD379" s="413"/>
      <c r="FE379" s="413"/>
      <c r="FF379" s="413"/>
      <c r="FG379" s="413"/>
      <c r="FH379" s="413"/>
      <c r="FI379" s="107"/>
      <c r="FJ379" s="107"/>
      <c r="FK379" s="107"/>
      <c r="FL379" s="107"/>
      <c r="FM379" s="338"/>
      <c r="FN379" s="338"/>
      <c r="FO379" s="338"/>
      <c r="FP379" s="47"/>
      <c r="FQ379" s="47"/>
      <c r="FR379" s="47"/>
      <c r="FS379" s="47"/>
      <c r="FT379" s="47"/>
      <c r="FU379" s="338"/>
      <c r="FV379" s="338"/>
      <c r="FW379" s="338"/>
      <c r="FX379" s="338"/>
      <c r="FY379" s="32"/>
      <c r="FZ379" s="32"/>
      <c r="GA379" s="32"/>
      <c r="GB379" s="32"/>
      <c r="GC379" s="32"/>
      <c r="GD379" s="32"/>
      <c r="GE379" s="32"/>
      <c r="GF379" s="32"/>
      <c r="GG379" s="32"/>
      <c r="GH379" s="32"/>
      <c r="GI379" s="32"/>
      <c r="GJ379" s="32"/>
      <c r="GK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99"/>
      <c r="HO379" s="399"/>
      <c r="HP379" s="399"/>
      <c r="HQ379" s="13"/>
      <c r="HR379" s="13"/>
      <c r="HS379" s="13"/>
      <c r="HT379" s="13"/>
      <c r="HU379" s="13"/>
      <c r="HV379" s="13"/>
      <c r="HW379" s="13"/>
      <c r="HX379" s="13"/>
      <c r="HY379" s="13"/>
      <c r="HZ379" s="13"/>
      <c r="IA379" s="13"/>
    </row>
    <row r="380" spans="1:235" ht="16.95" customHeight="1">
      <c r="A380" s="1"/>
      <c r="B380" s="3"/>
      <c r="C380" s="3"/>
      <c r="D380" s="124" t="str">
        <f ca="1">IF(FO367=0,"","discriminatie in verschillende gradaties. Merk op dat hier gekozen is om bij")</f>
        <v/>
      </c>
      <c r="E380" s="414"/>
      <c r="F380" s="414"/>
      <c r="G380" s="414"/>
      <c r="H380" s="414"/>
      <c r="I380" s="414"/>
      <c r="J380" s="376"/>
      <c r="K380" s="376"/>
      <c r="L380" s="376"/>
      <c r="M380" s="376"/>
      <c r="N380" s="376"/>
      <c r="O380" s="376"/>
      <c r="P380" s="376"/>
      <c r="Q380" s="376"/>
      <c r="R380" s="376"/>
      <c r="S380" s="376"/>
      <c r="T380" s="376"/>
      <c r="U380" s="376"/>
      <c r="V380" s="43"/>
      <c r="W380" s="43"/>
      <c r="X380" s="43"/>
      <c r="Y380" s="43"/>
      <c r="Z380" s="43"/>
      <c r="AA380" s="43"/>
      <c r="AB380" s="43"/>
      <c r="AC380" s="43"/>
      <c r="AD380" s="43"/>
      <c r="AE380" s="43"/>
      <c r="AF380" s="43"/>
      <c r="AG380" s="43"/>
      <c r="AH380" s="43"/>
      <c r="AI380" s="43"/>
      <c r="AJ380" s="43"/>
      <c r="AK380" s="43"/>
      <c r="AL380" s="43"/>
      <c r="AM380" s="43"/>
      <c r="AN380" s="43"/>
      <c r="CB380" s="43"/>
      <c r="CC380" s="43"/>
      <c r="CD380" s="43"/>
      <c r="CE380" s="43"/>
      <c r="CF380" s="43"/>
      <c r="CG380" s="43"/>
      <c r="CH380" s="43"/>
      <c r="CI380" s="43"/>
      <c r="CJ380" s="43"/>
      <c r="CK380" s="43"/>
      <c r="CL380" s="43"/>
      <c r="CM380" s="43"/>
      <c r="CN380" s="43"/>
      <c r="CO380" s="43"/>
      <c r="CP380" s="376"/>
      <c r="CQ380" s="376"/>
      <c r="CR380" s="376"/>
      <c r="CS380" s="376"/>
      <c r="CT380" s="376"/>
      <c r="CU380" s="376"/>
      <c r="CV380" s="376"/>
      <c r="CW380" s="376"/>
      <c r="CX380" s="376"/>
      <c r="CY380" s="376"/>
      <c r="CZ380" s="172"/>
      <c r="DA380" s="172"/>
      <c r="DB380" s="172"/>
      <c r="DC380" s="172"/>
      <c r="DD380" s="172"/>
      <c r="DE380" s="413"/>
      <c r="DF380" s="413"/>
      <c r="DG380" s="413"/>
      <c r="DH380" s="413"/>
      <c r="DI380" s="413"/>
      <c r="DJ380" s="413"/>
      <c r="DK380" s="413"/>
      <c r="DL380" s="413"/>
      <c r="DM380" s="413"/>
      <c r="DN380" s="413"/>
      <c r="DO380" s="413"/>
      <c r="DP380" s="413"/>
      <c r="DQ380" s="413"/>
      <c r="DR380" s="413"/>
      <c r="DS380" s="413"/>
      <c r="DT380" s="413"/>
      <c r="DU380" s="413"/>
      <c r="DV380" s="413"/>
      <c r="DW380" s="413"/>
      <c r="DX380" s="413"/>
      <c r="DY380" s="413"/>
      <c r="DZ380" s="413"/>
      <c r="EA380" s="413"/>
      <c r="EB380" s="413"/>
      <c r="EC380" s="413"/>
      <c r="ED380" s="413"/>
      <c r="EE380" s="413"/>
      <c r="EF380" s="413"/>
      <c r="EG380" s="413"/>
      <c r="EH380" s="413"/>
      <c r="EI380" s="413"/>
      <c r="EJ380" s="413"/>
      <c r="EK380" s="413"/>
      <c r="EL380" s="413"/>
      <c r="EM380" s="413"/>
      <c r="EN380" s="413"/>
      <c r="EO380" s="413"/>
      <c r="EP380" s="413"/>
      <c r="EQ380" s="413"/>
      <c r="ER380" s="413"/>
      <c r="ES380" s="413"/>
      <c r="ET380" s="413"/>
      <c r="EU380" s="413"/>
      <c r="EV380" s="413"/>
      <c r="EW380" s="413"/>
      <c r="EX380" s="413"/>
      <c r="EY380" s="413"/>
      <c r="EZ380" s="413"/>
      <c r="FA380" s="413"/>
      <c r="FB380" s="413"/>
      <c r="FC380" s="413"/>
      <c r="FD380" s="413"/>
      <c r="FE380" s="413"/>
      <c r="FF380" s="413"/>
      <c r="FG380" s="413"/>
      <c r="FH380" s="413"/>
      <c r="FI380" s="107"/>
      <c r="FJ380" s="107"/>
      <c r="FK380" s="107"/>
      <c r="FL380" s="107"/>
      <c r="FM380" s="338"/>
      <c r="FN380" s="338"/>
      <c r="FO380" s="338"/>
      <c r="FP380" s="47"/>
      <c r="FQ380" s="47"/>
      <c r="FR380" s="47"/>
      <c r="FS380" s="47"/>
      <c r="FT380" s="47"/>
      <c r="FU380" s="338"/>
      <c r="FV380" s="338"/>
      <c r="FW380" s="338"/>
      <c r="FX380" s="338"/>
      <c r="FY380" s="32"/>
      <c r="FZ380" s="32"/>
      <c r="GA380" s="32"/>
      <c r="GB380" s="32"/>
      <c r="GC380" s="32"/>
      <c r="GD380" s="32"/>
      <c r="GE380" s="32"/>
      <c r="GF380" s="32"/>
      <c r="GG380" s="32"/>
      <c r="GH380" s="32"/>
      <c r="GI380" s="32"/>
      <c r="GJ380" s="32"/>
      <c r="GK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99"/>
      <c r="HO380" s="399"/>
      <c r="HP380" s="399"/>
      <c r="HQ380" s="13"/>
      <c r="HR380" s="13"/>
      <c r="HS380" s="13"/>
      <c r="HT380" s="13"/>
      <c r="HU380" s="13"/>
      <c r="HV380" s="13"/>
      <c r="HW380" s="13"/>
      <c r="HX380" s="13"/>
      <c r="HY380" s="13"/>
      <c r="HZ380" s="13"/>
      <c r="IA380" s="13"/>
    </row>
    <row r="381" spans="1:235" ht="16.95" customHeight="1">
      <c r="A381" s="1"/>
      <c r="B381" s="3"/>
      <c r="C381" s="3"/>
      <c r="D381" s="124" t="str">
        <f ca="1">IF(FO367=0,"","elke verdeling de prijsgroepen steeds even breed te houden (hetgeen niet")</f>
        <v/>
      </c>
      <c r="E381" s="414"/>
      <c r="F381" s="414"/>
      <c r="G381" s="414"/>
      <c r="H381" s="414"/>
      <c r="I381" s="414"/>
      <c r="J381" s="376"/>
      <c r="K381" s="376"/>
      <c r="L381" s="376"/>
      <c r="M381" s="376"/>
      <c r="N381" s="376"/>
      <c r="O381" s="376"/>
      <c r="P381" s="376"/>
      <c r="Q381" s="376"/>
      <c r="R381" s="376"/>
      <c r="S381" s="376"/>
      <c r="T381" s="376"/>
      <c r="U381" s="376"/>
      <c r="V381" s="43"/>
      <c r="W381" s="43"/>
      <c r="X381" s="43"/>
      <c r="Y381" s="43"/>
      <c r="Z381" s="43"/>
      <c r="AA381" s="43"/>
      <c r="AB381" s="43"/>
      <c r="AC381" s="43"/>
      <c r="AD381" s="43"/>
      <c r="AE381" s="43"/>
      <c r="AF381" s="43"/>
      <c r="AG381" s="43"/>
      <c r="AH381" s="43"/>
      <c r="AI381" s="43"/>
      <c r="AJ381" s="43"/>
      <c r="AK381" s="43"/>
      <c r="AL381" s="43"/>
      <c r="AM381" s="43"/>
      <c r="AN381" s="43"/>
      <c r="CB381" s="43"/>
      <c r="CC381" s="43"/>
      <c r="CD381" s="43"/>
      <c r="CE381" s="43"/>
      <c r="CF381" s="43"/>
      <c r="CG381" s="43"/>
      <c r="CH381" s="43"/>
      <c r="CI381" s="43"/>
      <c r="CJ381" s="43"/>
      <c r="CK381" s="43"/>
      <c r="CL381" s="43"/>
      <c r="CM381" s="43"/>
      <c r="CN381" s="43"/>
      <c r="CO381" s="43"/>
      <c r="CP381" s="376"/>
      <c r="CQ381" s="376"/>
      <c r="CR381" s="376"/>
      <c r="CS381" s="376"/>
      <c r="CT381" s="376"/>
      <c r="CU381" s="376"/>
      <c r="CV381" s="376"/>
      <c r="CW381" s="376"/>
      <c r="CX381" s="376"/>
      <c r="CY381" s="376"/>
      <c r="CZ381" s="172"/>
      <c r="DA381" s="172"/>
      <c r="DB381" s="172"/>
      <c r="DC381" s="172"/>
      <c r="DD381" s="172"/>
      <c r="DE381" s="413"/>
      <c r="DF381" s="413"/>
      <c r="DG381" s="413"/>
      <c r="DH381" s="413"/>
      <c r="DI381" s="413"/>
      <c r="DJ381" s="413"/>
      <c r="DK381" s="413"/>
      <c r="DL381" s="413"/>
      <c r="DM381" s="413"/>
      <c r="DN381" s="413"/>
      <c r="DO381" s="413"/>
      <c r="DP381" s="413"/>
      <c r="DQ381" s="413"/>
      <c r="DR381" s="413"/>
      <c r="DS381" s="413"/>
      <c r="DT381" s="413"/>
      <c r="DU381" s="413"/>
      <c r="DV381" s="413"/>
      <c r="DW381" s="413"/>
      <c r="DX381" s="413"/>
      <c r="DY381" s="413"/>
      <c r="DZ381" s="413"/>
      <c r="EA381" s="413"/>
      <c r="EB381" s="413"/>
      <c r="EC381" s="413"/>
      <c r="ED381" s="413"/>
      <c r="EE381" s="413"/>
      <c r="EF381" s="413"/>
      <c r="EG381" s="413"/>
      <c r="EH381" s="413"/>
      <c r="EI381" s="413"/>
      <c r="EJ381" s="413"/>
      <c r="EK381" s="413"/>
      <c r="EL381" s="413"/>
      <c r="EM381" s="413"/>
      <c r="EN381" s="413"/>
      <c r="EO381" s="413"/>
      <c r="EP381" s="413"/>
      <c r="EQ381" s="413"/>
      <c r="ER381" s="413"/>
      <c r="ES381" s="413"/>
      <c r="ET381" s="413"/>
      <c r="EU381" s="413"/>
      <c r="EV381" s="413"/>
      <c r="EW381" s="413"/>
      <c r="EX381" s="413"/>
      <c r="EY381" s="413"/>
      <c r="EZ381" s="413"/>
      <c r="FA381" s="413"/>
      <c r="FB381" s="413"/>
      <c r="FC381" s="413"/>
      <c r="FD381" s="413"/>
      <c r="FE381" s="413"/>
      <c r="FF381" s="413"/>
      <c r="FG381" s="413"/>
      <c r="FH381" s="413"/>
      <c r="FI381" s="107"/>
      <c r="FJ381" s="107"/>
      <c r="FK381" s="107"/>
      <c r="FL381" s="107"/>
      <c r="FM381" s="338"/>
      <c r="FN381" s="338"/>
      <c r="FO381" s="338"/>
      <c r="FP381" s="47"/>
      <c r="FQ381" s="47"/>
      <c r="FR381" s="47"/>
      <c r="FS381" s="47"/>
      <c r="FT381" s="47"/>
      <c r="FU381" s="338"/>
      <c r="FV381" s="338"/>
      <c r="FW381" s="338"/>
      <c r="FX381" s="338"/>
      <c r="FY381" s="32"/>
      <c r="FZ381" s="32"/>
      <c r="GA381" s="32"/>
      <c r="GB381" s="32"/>
      <c r="GC381" s="32"/>
      <c r="GD381" s="32"/>
      <c r="GE381" s="32"/>
      <c r="GF381" s="32"/>
      <c r="GG381" s="32"/>
      <c r="GH381" s="32"/>
      <c r="GI381" s="32"/>
      <c r="GJ381" s="32"/>
      <c r="GK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99"/>
      <c r="HO381" s="399"/>
      <c r="HP381" s="399"/>
      <c r="HQ381" s="13"/>
      <c r="HR381" s="13"/>
      <c r="HS381" s="13"/>
      <c r="HT381" s="13"/>
      <c r="HU381" s="13"/>
      <c r="HV381" s="13"/>
      <c r="HW381" s="13"/>
      <c r="HX381" s="13"/>
      <c r="HY381" s="13"/>
      <c r="HZ381" s="13"/>
      <c r="IA381" s="13"/>
    </row>
    <row r="382" spans="1:235" ht="16.95" customHeight="1">
      <c r="A382" s="1"/>
      <c r="B382" s="3"/>
      <c r="C382" s="3"/>
      <c r="D382" s="124" t="str">
        <f ca="1">IF(FO367=0,"","zo hoeft te zijn, maar wel een mooier plaatje oplevert).")</f>
        <v/>
      </c>
      <c r="E382" s="414"/>
      <c r="F382" s="414"/>
      <c r="G382" s="414"/>
      <c r="H382" s="414"/>
      <c r="I382" s="414"/>
      <c r="J382" s="376"/>
      <c r="K382" s="376"/>
      <c r="L382" s="376"/>
      <c r="M382" s="376"/>
      <c r="N382" s="376"/>
      <c r="O382" s="376"/>
      <c r="P382" s="376"/>
      <c r="Q382" s="376"/>
      <c r="R382" s="376"/>
      <c r="S382" s="376"/>
      <c r="T382" s="376"/>
      <c r="U382" s="376"/>
      <c r="V382" s="43"/>
      <c r="W382" s="43"/>
      <c r="X382" s="43"/>
      <c r="Y382" s="43"/>
      <c r="Z382" s="43"/>
      <c r="AA382" s="43"/>
      <c r="AB382" s="43"/>
      <c r="AC382" s="43"/>
      <c r="AD382" s="43"/>
      <c r="AE382" s="43"/>
      <c r="AF382" s="43"/>
      <c r="AG382" s="43"/>
      <c r="AH382" s="43"/>
      <c r="AI382" s="43"/>
      <c r="AJ382" s="43"/>
      <c r="AK382" s="43"/>
      <c r="AL382" s="43"/>
      <c r="AM382" s="43"/>
      <c r="AN382" s="43"/>
      <c r="CB382" s="43"/>
      <c r="CC382" s="43"/>
      <c r="CD382" s="43"/>
      <c r="CE382" s="43"/>
      <c r="CF382" s="43"/>
      <c r="CG382" s="43"/>
      <c r="CH382" s="43"/>
      <c r="CI382" s="43"/>
      <c r="CJ382" s="43"/>
      <c r="CK382" s="43"/>
      <c r="CL382" s="43"/>
      <c r="CM382" s="43"/>
      <c r="CN382" s="43"/>
      <c r="CO382" s="43"/>
      <c r="CP382" s="376"/>
      <c r="CQ382" s="376"/>
      <c r="CR382" s="376"/>
      <c r="CS382" s="376"/>
      <c r="CT382" s="376"/>
      <c r="CU382" s="376"/>
      <c r="CV382" s="376"/>
      <c r="CW382" s="376"/>
      <c r="CX382" s="376"/>
      <c r="CY382" s="376"/>
      <c r="CZ382" s="172"/>
      <c r="DA382" s="172"/>
      <c r="DB382" s="172"/>
      <c r="DC382" s="172"/>
      <c r="DD382" s="172"/>
      <c r="DE382" s="413"/>
      <c r="DF382" s="413"/>
      <c r="DG382" s="413"/>
      <c r="DH382" s="413"/>
      <c r="DI382" s="413"/>
      <c r="DJ382" s="413"/>
      <c r="DK382" s="413"/>
      <c r="DL382" s="413"/>
      <c r="DM382" s="413"/>
      <c r="DN382" s="413"/>
      <c r="DO382" s="413"/>
      <c r="DP382" s="413"/>
      <c r="DQ382" s="413"/>
      <c r="DR382" s="413"/>
      <c r="DS382" s="413"/>
      <c r="DT382" s="413"/>
      <c r="DU382" s="413"/>
      <c r="DV382" s="413"/>
      <c r="DW382" s="413"/>
      <c r="DX382" s="413"/>
      <c r="DY382" s="413"/>
      <c r="DZ382" s="413"/>
      <c r="EA382" s="413"/>
      <c r="EB382" s="413"/>
      <c r="EC382" s="413"/>
      <c r="ED382" s="413"/>
      <c r="EE382" s="413"/>
      <c r="EF382" s="413"/>
      <c r="EG382" s="413"/>
      <c r="EH382" s="413"/>
      <c r="EI382" s="413"/>
      <c r="EJ382" s="413"/>
      <c r="EK382" s="413"/>
      <c r="EL382" s="413"/>
      <c r="EM382" s="413"/>
      <c r="EN382" s="413"/>
      <c r="EO382" s="413"/>
      <c r="EP382" s="413"/>
      <c r="EQ382" s="413"/>
      <c r="ER382" s="413"/>
      <c r="ES382" s="413"/>
      <c r="ET382" s="413"/>
      <c r="EU382" s="413"/>
      <c r="EV382" s="413"/>
      <c r="EW382" s="413"/>
      <c r="EX382" s="413"/>
      <c r="EY382" s="413"/>
      <c r="EZ382" s="413"/>
      <c r="FA382" s="413"/>
      <c r="FB382" s="413"/>
      <c r="FC382" s="413"/>
      <c r="FD382" s="413"/>
      <c r="FE382" s="413"/>
      <c r="FF382" s="413"/>
      <c r="FG382" s="413"/>
      <c r="FH382" s="413"/>
      <c r="FI382" s="107"/>
      <c r="FJ382" s="107"/>
      <c r="FK382" s="107"/>
      <c r="FL382" s="107"/>
      <c r="FM382" s="338"/>
      <c r="FN382" s="338"/>
      <c r="FO382" s="338"/>
      <c r="FP382" s="47"/>
      <c r="FQ382" s="47"/>
      <c r="FR382" s="47"/>
      <c r="FS382" s="47"/>
      <c r="FT382" s="47"/>
      <c r="FU382" s="338"/>
      <c r="FV382" s="338"/>
      <c r="FW382" s="338"/>
      <c r="FX382" s="338"/>
      <c r="FY382" s="32"/>
      <c r="FZ382" s="32"/>
      <c r="GA382" s="32"/>
      <c r="GB382" s="32"/>
      <c r="GC382" s="32"/>
      <c r="GD382" s="32"/>
      <c r="GE382" s="32"/>
      <c r="GF382" s="32"/>
      <c r="GG382" s="32"/>
      <c r="GH382" s="32"/>
      <c r="GI382" s="32"/>
      <c r="GJ382" s="32"/>
      <c r="GK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99"/>
      <c r="HO382" s="399"/>
      <c r="HP382" s="399"/>
      <c r="HQ382" s="13"/>
      <c r="HR382" s="13"/>
      <c r="HS382" s="13"/>
      <c r="HT382" s="13"/>
      <c r="HU382" s="13"/>
      <c r="HV382" s="13"/>
      <c r="HW382" s="13"/>
      <c r="HX382" s="13"/>
      <c r="HY382" s="13"/>
      <c r="HZ382" s="13"/>
      <c r="IA382" s="13"/>
    </row>
    <row r="383" spans="1:235" ht="9.6" customHeight="1">
      <c r="A383" s="1"/>
      <c r="B383" s="3"/>
      <c r="C383" s="3"/>
      <c r="D383" s="701" t="str">
        <f ca="1">IF(FO367=0,"`","")</f>
        <v>`</v>
      </c>
      <c r="E383" s="532"/>
      <c r="F383" s="532"/>
      <c r="G383" s="532"/>
      <c r="H383" s="532"/>
      <c r="I383" s="532"/>
      <c r="J383" s="532"/>
      <c r="K383" s="532"/>
      <c r="L383" s="532"/>
      <c r="M383" s="532"/>
      <c r="N383" s="532"/>
      <c r="O383" s="532"/>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c r="AM383" s="532"/>
      <c r="AN383" s="532"/>
      <c r="AO383" s="532"/>
      <c r="AP383" s="532"/>
      <c r="AQ383" s="532"/>
      <c r="AR383" s="532"/>
      <c r="AS383" s="532"/>
      <c r="AT383" s="532"/>
      <c r="AU383" s="532"/>
      <c r="AV383" s="532"/>
      <c r="AW383" s="532"/>
      <c r="AX383" s="532"/>
      <c r="AY383" s="532"/>
      <c r="AZ383" s="532"/>
      <c r="BA383" s="532"/>
      <c r="BB383" s="532"/>
      <c r="BC383" s="532"/>
      <c r="BD383" s="532"/>
      <c r="BE383" s="532"/>
      <c r="BF383" s="532"/>
      <c r="BG383" s="532"/>
      <c r="BH383" s="532"/>
      <c r="BI383" s="532"/>
      <c r="BJ383" s="532"/>
      <c r="BK383" s="532"/>
      <c r="BL383" s="532"/>
      <c r="BM383" s="532"/>
      <c r="BN383" s="532"/>
      <c r="BO383" s="532"/>
      <c r="BP383" s="532"/>
      <c r="BQ383" s="532"/>
      <c r="BR383" s="532"/>
      <c r="BS383" s="532"/>
      <c r="BT383" s="532"/>
      <c r="BU383" s="532"/>
      <c r="BV383" s="532"/>
      <c r="BW383" s="532"/>
      <c r="BX383" s="532"/>
      <c r="BY383" s="532"/>
      <c r="BZ383" s="532"/>
      <c r="CA383" s="532"/>
      <c r="CB383" s="532"/>
      <c r="CC383" s="532"/>
      <c r="CD383" s="532"/>
      <c r="CE383" s="532"/>
      <c r="CF383" s="532"/>
      <c r="CG383" s="532"/>
      <c r="CH383" s="532"/>
      <c r="CI383" s="532"/>
      <c r="CJ383" s="532"/>
      <c r="CK383" s="532"/>
      <c r="CL383" s="532"/>
      <c r="CM383" s="532"/>
      <c r="CN383" s="532"/>
      <c r="CO383" s="532"/>
      <c r="CP383" s="532"/>
      <c r="CQ383" s="532"/>
      <c r="CR383" s="532"/>
      <c r="CS383" s="532"/>
      <c r="CT383" s="532"/>
      <c r="CU383" s="532"/>
      <c r="CV383" s="532"/>
      <c r="CW383" s="532"/>
      <c r="CX383" s="532"/>
      <c r="CY383" s="532"/>
      <c r="CZ383" s="532"/>
      <c r="DA383" s="532"/>
      <c r="DB383" s="532"/>
      <c r="DC383" s="532"/>
      <c r="DD383" s="532"/>
      <c r="DE383" s="532"/>
      <c r="DF383" s="532"/>
      <c r="DG383" s="532"/>
      <c r="DH383" s="532"/>
      <c r="DI383" s="532"/>
      <c r="DJ383" s="532"/>
      <c r="DK383" s="532"/>
      <c r="DL383" s="532"/>
      <c r="DM383" s="532"/>
      <c r="DN383" s="532"/>
      <c r="DO383" s="532"/>
      <c r="DP383" s="532"/>
      <c r="DQ383" s="532"/>
      <c r="DR383" s="532"/>
      <c r="DS383" s="532"/>
      <c r="DT383" s="532"/>
      <c r="DU383" s="532"/>
      <c r="DV383" s="532"/>
      <c r="DW383" s="532"/>
      <c r="DX383" s="532"/>
      <c r="DY383" s="532"/>
      <c r="DZ383" s="532"/>
      <c r="EA383" s="532"/>
      <c r="EB383" s="532"/>
      <c r="EC383" s="532"/>
      <c r="ED383" s="532"/>
      <c r="EE383" s="532"/>
      <c r="EF383" s="532"/>
      <c r="EG383" s="532"/>
      <c r="EH383" s="532"/>
      <c r="EI383" s="532"/>
      <c r="EJ383" s="532"/>
      <c r="EK383" s="532"/>
      <c r="EL383" s="532"/>
      <c r="EM383" s="532"/>
      <c r="EN383" s="532"/>
      <c r="EO383" s="532"/>
      <c r="EP383" s="532"/>
      <c r="EQ383" s="532"/>
      <c r="ER383" s="532"/>
      <c r="ES383" s="532"/>
      <c r="ET383" s="532"/>
      <c r="EU383" s="532"/>
      <c r="EV383" s="532"/>
      <c r="EW383" s="532"/>
      <c r="EX383" s="532"/>
      <c r="EY383" s="532"/>
      <c r="EZ383" s="532"/>
      <c r="FA383" s="532"/>
      <c r="FB383" s="532"/>
      <c r="FC383" s="532"/>
      <c r="FD383" s="532"/>
      <c r="FE383" s="532"/>
      <c r="FF383" s="532"/>
      <c r="FG383" s="532"/>
      <c r="FH383" s="532"/>
      <c r="FI383" s="532"/>
      <c r="FJ383" s="532"/>
      <c r="FK383" s="532"/>
      <c r="FL383" s="532"/>
      <c r="FM383" s="338"/>
      <c r="FN383" s="338"/>
      <c r="FO383" s="338"/>
      <c r="FP383" s="47"/>
      <c r="FQ383" s="47"/>
      <c r="FR383" s="47"/>
      <c r="FS383" s="47"/>
      <c r="FT383" s="47"/>
      <c r="FU383" s="338"/>
      <c r="FV383" s="338"/>
      <c r="FW383" s="338"/>
      <c r="FX383" s="338"/>
      <c r="FY383" s="32"/>
      <c r="FZ383" s="32"/>
      <c r="GA383" s="32"/>
      <c r="GB383" s="32"/>
      <c r="GC383" s="32"/>
      <c r="GD383" s="32"/>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99"/>
      <c r="HO383" s="399"/>
      <c r="HP383" s="399"/>
      <c r="HQ383" s="13"/>
      <c r="HR383" s="13"/>
      <c r="HS383" s="13"/>
      <c r="HT383" s="13"/>
      <c r="HU383" s="13"/>
      <c r="HV383" s="13"/>
      <c r="HW383" s="13"/>
      <c r="HX383" s="13"/>
      <c r="HY383" s="13"/>
      <c r="HZ383" s="13"/>
      <c r="IA383" s="13"/>
    </row>
    <row r="384" spans="1:235" ht="16.95" customHeight="1">
      <c r="A384" s="1"/>
      <c r="B384" s="3"/>
      <c r="C384" s="3"/>
      <c r="D384" s="532"/>
      <c r="E384" s="532"/>
      <c r="F384" s="532"/>
      <c r="G384" s="532"/>
      <c r="H384" s="532"/>
      <c r="I384" s="532"/>
      <c r="J384" s="532"/>
      <c r="K384" s="532"/>
      <c r="L384" s="532"/>
      <c r="M384" s="532"/>
      <c r="N384" s="532"/>
      <c r="O384" s="532"/>
      <c r="P384" s="532"/>
      <c r="Q384" s="532"/>
      <c r="R384" s="532"/>
      <c r="S384" s="532"/>
      <c r="T384" s="532"/>
      <c r="U384" s="532"/>
      <c r="V384" s="532"/>
      <c r="W384" s="532"/>
      <c r="X384" s="532"/>
      <c r="Y384" s="532"/>
      <c r="Z384" s="532"/>
      <c r="AA384" s="532"/>
      <c r="AB384" s="532"/>
      <c r="AC384" s="532"/>
      <c r="AD384" s="532"/>
      <c r="AE384" s="532"/>
      <c r="AF384" s="532"/>
      <c r="AG384" s="532"/>
      <c r="AH384" s="532"/>
      <c r="AI384" s="532"/>
      <c r="AJ384" s="532"/>
      <c r="AK384" s="532"/>
      <c r="AL384" s="532"/>
      <c r="AM384" s="532"/>
      <c r="AN384" s="532"/>
      <c r="AO384" s="532"/>
      <c r="AP384" s="532"/>
      <c r="AQ384" s="532"/>
      <c r="AR384" s="532"/>
      <c r="AS384" s="532"/>
      <c r="AT384" s="532"/>
      <c r="AU384" s="532"/>
      <c r="AV384" s="532"/>
      <c r="AW384" s="532"/>
      <c r="AX384" s="532"/>
      <c r="AY384" s="532"/>
      <c r="AZ384" s="532"/>
      <c r="BA384" s="532"/>
      <c r="BB384" s="532"/>
      <c r="BC384" s="532"/>
      <c r="BD384" s="532"/>
      <c r="BE384" s="532"/>
      <c r="BF384" s="532"/>
      <c r="BG384" s="532"/>
      <c r="BH384" s="532"/>
      <c r="BI384" s="532"/>
      <c r="BJ384" s="532"/>
      <c r="BK384" s="532"/>
      <c r="BL384" s="532"/>
      <c r="BM384" s="532"/>
      <c r="BN384" s="532"/>
      <c r="BO384" s="532"/>
      <c r="BP384" s="532"/>
      <c r="BQ384" s="532"/>
      <c r="BR384" s="532"/>
      <c r="BS384" s="532"/>
      <c r="BT384" s="532"/>
      <c r="BU384" s="532"/>
      <c r="BV384" s="532"/>
      <c r="BW384" s="532"/>
      <c r="BX384" s="532"/>
      <c r="BY384" s="532"/>
      <c r="BZ384" s="532"/>
      <c r="CA384" s="532"/>
      <c r="CB384" s="532"/>
      <c r="CC384" s="532"/>
      <c r="CD384" s="532"/>
      <c r="CE384" s="532"/>
      <c r="CF384" s="532"/>
      <c r="CG384" s="532"/>
      <c r="CH384" s="532"/>
      <c r="CI384" s="532"/>
      <c r="CJ384" s="532"/>
      <c r="CK384" s="532"/>
      <c r="CL384" s="532"/>
      <c r="CM384" s="532"/>
      <c r="CN384" s="532"/>
      <c r="CO384" s="532"/>
      <c r="CP384" s="532"/>
      <c r="CQ384" s="532"/>
      <c r="CR384" s="532"/>
      <c r="CS384" s="532"/>
      <c r="CT384" s="532"/>
      <c r="CU384" s="532"/>
      <c r="CV384" s="532"/>
      <c r="CW384" s="532"/>
      <c r="CX384" s="532"/>
      <c r="CY384" s="532"/>
      <c r="CZ384" s="532"/>
      <c r="DA384" s="532"/>
      <c r="DB384" s="532"/>
      <c r="DC384" s="532"/>
      <c r="DD384" s="532"/>
      <c r="DE384" s="532"/>
      <c r="DF384" s="532"/>
      <c r="DG384" s="532"/>
      <c r="DH384" s="532"/>
      <c r="DI384" s="532"/>
      <c r="DJ384" s="532"/>
      <c r="DK384" s="532"/>
      <c r="DL384" s="532"/>
      <c r="DM384" s="532"/>
      <c r="DN384" s="532"/>
      <c r="DO384" s="532"/>
      <c r="DP384" s="532"/>
      <c r="DQ384" s="532"/>
      <c r="DR384" s="532"/>
      <c r="DS384" s="532"/>
      <c r="DT384" s="532"/>
      <c r="DU384" s="532"/>
      <c r="DV384" s="532"/>
      <c r="DW384" s="532"/>
      <c r="DX384" s="532"/>
      <c r="DY384" s="532"/>
      <c r="DZ384" s="532"/>
      <c r="EA384" s="532"/>
      <c r="EB384" s="532"/>
      <c r="EC384" s="532"/>
      <c r="ED384" s="532"/>
      <c r="EE384" s="532"/>
      <c r="EF384" s="532"/>
      <c r="EG384" s="532"/>
      <c r="EH384" s="532"/>
      <c r="EI384" s="532"/>
      <c r="EJ384" s="532"/>
      <c r="EK384" s="532"/>
      <c r="EL384" s="532"/>
      <c r="EM384" s="532"/>
      <c r="EN384" s="532"/>
      <c r="EO384" s="532"/>
      <c r="EP384" s="532"/>
      <c r="EQ384" s="532"/>
      <c r="ER384" s="532"/>
      <c r="ES384" s="532"/>
      <c r="ET384" s="532"/>
      <c r="EU384" s="532"/>
      <c r="EV384" s="532"/>
      <c r="EW384" s="532"/>
      <c r="EX384" s="532"/>
      <c r="EY384" s="532"/>
      <c r="EZ384" s="532"/>
      <c r="FA384" s="532"/>
      <c r="FB384" s="532"/>
      <c r="FC384" s="532"/>
      <c r="FD384" s="532"/>
      <c r="FE384" s="532"/>
      <c r="FF384" s="532"/>
      <c r="FG384" s="532"/>
      <c r="FH384" s="532"/>
      <c r="FI384" s="532"/>
      <c r="FJ384" s="532"/>
      <c r="FK384" s="532"/>
      <c r="FL384" s="532"/>
      <c r="FM384" s="338"/>
      <c r="FN384" s="338"/>
      <c r="FO384" s="338"/>
      <c r="FP384" s="47"/>
      <c r="FQ384" s="47"/>
      <c r="FR384" s="47"/>
      <c r="FS384" s="47"/>
      <c r="FT384" s="47"/>
      <c r="FU384" s="338"/>
      <c r="FV384" s="338"/>
      <c r="FW384" s="338"/>
      <c r="FX384" s="338"/>
      <c r="FY384" s="32"/>
      <c r="FZ384" s="32"/>
      <c r="GA384" s="32"/>
      <c r="GB384" s="32"/>
      <c r="GC384" s="32"/>
      <c r="GD384" s="32"/>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99"/>
      <c r="HO384" s="399"/>
      <c r="HP384" s="399"/>
      <c r="HQ384" s="13"/>
      <c r="HR384" s="13"/>
      <c r="HS384" s="13"/>
      <c r="HT384" s="13"/>
      <c r="HU384" s="13"/>
      <c r="HV384" s="13"/>
      <c r="HW384" s="13"/>
      <c r="HX384" s="13"/>
      <c r="HY384" s="13"/>
      <c r="HZ384" s="13"/>
      <c r="IA384" s="13"/>
    </row>
    <row r="385" spans="1:235" ht="16.95" customHeight="1">
      <c r="A385" s="1"/>
      <c r="B385" s="3"/>
      <c r="C385" s="3"/>
      <c r="D385" s="532"/>
      <c r="E385" s="532"/>
      <c r="F385" s="532"/>
      <c r="G385" s="532"/>
      <c r="H385" s="532"/>
      <c r="I385" s="532"/>
      <c r="J385" s="532"/>
      <c r="K385" s="532"/>
      <c r="L385" s="532"/>
      <c r="M385" s="532"/>
      <c r="N385" s="532"/>
      <c r="O385" s="532"/>
      <c r="P385" s="532"/>
      <c r="Q385" s="532"/>
      <c r="R385" s="532"/>
      <c r="S385" s="532"/>
      <c r="T385" s="532"/>
      <c r="U385" s="532"/>
      <c r="V385" s="532"/>
      <c r="W385" s="532"/>
      <c r="X385" s="532"/>
      <c r="Y385" s="532"/>
      <c r="Z385" s="532"/>
      <c r="AA385" s="532"/>
      <c r="AB385" s="532"/>
      <c r="AC385" s="532"/>
      <c r="AD385" s="532"/>
      <c r="AE385" s="532"/>
      <c r="AF385" s="532"/>
      <c r="AG385" s="532"/>
      <c r="AH385" s="532"/>
      <c r="AI385" s="532"/>
      <c r="AJ385" s="532"/>
      <c r="AK385" s="532"/>
      <c r="AL385" s="532"/>
      <c r="AM385" s="532"/>
      <c r="AN385" s="532"/>
      <c r="AO385" s="532"/>
      <c r="AP385" s="532"/>
      <c r="AQ385" s="532"/>
      <c r="AR385" s="532"/>
      <c r="AS385" s="532"/>
      <c r="AT385" s="532"/>
      <c r="AU385" s="532"/>
      <c r="AV385" s="532"/>
      <c r="AW385" s="532"/>
      <c r="AX385" s="532"/>
      <c r="AY385" s="532"/>
      <c r="AZ385" s="532"/>
      <c r="BA385" s="532"/>
      <c r="BB385" s="532"/>
      <c r="BC385" s="532"/>
      <c r="BD385" s="532"/>
      <c r="BE385" s="532"/>
      <c r="BF385" s="532"/>
      <c r="BG385" s="532"/>
      <c r="BH385" s="532"/>
      <c r="BI385" s="532"/>
      <c r="BJ385" s="532"/>
      <c r="BK385" s="532"/>
      <c r="BL385" s="532"/>
      <c r="BM385" s="532"/>
      <c r="BN385" s="532"/>
      <c r="BO385" s="532"/>
      <c r="BP385" s="532"/>
      <c r="BQ385" s="532"/>
      <c r="BR385" s="532"/>
      <c r="BS385" s="532"/>
      <c r="BT385" s="532"/>
      <c r="BU385" s="532"/>
      <c r="BV385" s="532"/>
      <c r="BW385" s="532"/>
      <c r="BX385" s="532"/>
      <c r="BY385" s="532"/>
      <c r="BZ385" s="532"/>
      <c r="CA385" s="532"/>
      <c r="CB385" s="532"/>
      <c r="CC385" s="532"/>
      <c r="CD385" s="532"/>
      <c r="CE385" s="532"/>
      <c r="CF385" s="532"/>
      <c r="CG385" s="532"/>
      <c r="CH385" s="532"/>
      <c r="CI385" s="532"/>
      <c r="CJ385" s="532"/>
      <c r="CK385" s="532"/>
      <c r="CL385" s="532"/>
      <c r="CM385" s="532"/>
      <c r="CN385" s="532"/>
      <c r="CO385" s="532"/>
      <c r="CP385" s="532"/>
      <c r="CQ385" s="532"/>
      <c r="CR385" s="532"/>
      <c r="CS385" s="532"/>
      <c r="CT385" s="532"/>
      <c r="CU385" s="532"/>
      <c r="CV385" s="532"/>
      <c r="CW385" s="532"/>
      <c r="CX385" s="532"/>
      <c r="CY385" s="532"/>
      <c r="CZ385" s="532"/>
      <c r="DA385" s="532"/>
      <c r="DB385" s="532"/>
      <c r="DC385" s="532"/>
      <c r="DD385" s="532"/>
      <c r="DE385" s="532"/>
      <c r="DF385" s="532"/>
      <c r="DG385" s="532"/>
      <c r="DH385" s="532"/>
      <c r="DI385" s="532"/>
      <c r="DJ385" s="532"/>
      <c r="DK385" s="532"/>
      <c r="DL385" s="532"/>
      <c r="DM385" s="532"/>
      <c r="DN385" s="532"/>
      <c r="DO385" s="532"/>
      <c r="DP385" s="532"/>
      <c r="DQ385" s="532"/>
      <c r="DR385" s="532"/>
      <c r="DS385" s="532"/>
      <c r="DT385" s="532"/>
      <c r="DU385" s="532"/>
      <c r="DV385" s="532"/>
      <c r="DW385" s="532"/>
      <c r="DX385" s="532"/>
      <c r="DY385" s="532"/>
      <c r="DZ385" s="532"/>
      <c r="EA385" s="532"/>
      <c r="EB385" s="532"/>
      <c r="EC385" s="532"/>
      <c r="ED385" s="532"/>
      <c r="EE385" s="532"/>
      <c r="EF385" s="532"/>
      <c r="EG385" s="532"/>
      <c r="EH385" s="532"/>
      <c r="EI385" s="532"/>
      <c r="EJ385" s="532"/>
      <c r="EK385" s="532"/>
      <c r="EL385" s="532"/>
      <c r="EM385" s="532"/>
      <c r="EN385" s="532"/>
      <c r="EO385" s="532"/>
      <c r="EP385" s="532"/>
      <c r="EQ385" s="532"/>
      <c r="ER385" s="532"/>
      <c r="ES385" s="532"/>
      <c r="ET385" s="532"/>
      <c r="EU385" s="532"/>
      <c r="EV385" s="532"/>
      <c r="EW385" s="532"/>
      <c r="EX385" s="532"/>
      <c r="EY385" s="532"/>
      <c r="EZ385" s="532"/>
      <c r="FA385" s="532"/>
      <c r="FB385" s="532"/>
      <c r="FC385" s="532"/>
      <c r="FD385" s="532"/>
      <c r="FE385" s="532"/>
      <c r="FF385" s="532"/>
      <c r="FG385" s="532"/>
      <c r="FH385" s="532"/>
      <c r="FI385" s="532"/>
      <c r="FJ385" s="532"/>
      <c r="FK385" s="532"/>
      <c r="FL385" s="532"/>
      <c r="FM385" s="338"/>
      <c r="FN385" s="338"/>
      <c r="FO385" s="338"/>
      <c r="FP385" s="47"/>
      <c r="FQ385" s="47"/>
      <c r="FR385" s="47"/>
      <c r="FS385" s="47"/>
      <c r="FT385" s="47"/>
      <c r="FU385" s="338"/>
      <c r="FV385" s="338"/>
      <c r="FW385" s="338"/>
      <c r="FX385" s="338"/>
      <c r="FY385" s="32"/>
      <c r="FZ385" s="32"/>
      <c r="GA385" s="32"/>
      <c r="GB385" s="32"/>
      <c r="GC385" s="32"/>
      <c r="GD385" s="32"/>
      <c r="GE385" s="32"/>
      <c r="GF385" s="32"/>
      <c r="GG385" s="32"/>
      <c r="GH385" s="32"/>
      <c r="GI385" s="32"/>
      <c r="GJ385" s="32"/>
      <c r="GK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99"/>
      <c r="HO385" s="399"/>
      <c r="HP385" s="399"/>
      <c r="HQ385" s="13"/>
      <c r="HR385" s="13"/>
      <c r="HS385" s="13"/>
      <c r="HT385" s="13"/>
      <c r="HU385" s="13"/>
      <c r="HV385" s="13"/>
      <c r="HW385" s="13"/>
      <c r="HX385" s="13"/>
      <c r="HY385" s="13"/>
      <c r="HZ385" s="13"/>
      <c r="IA385" s="13"/>
    </row>
    <row r="386" spans="1:235" ht="16.95" customHeight="1">
      <c r="A386" s="1"/>
      <c r="B386" s="3"/>
      <c r="C386" s="3"/>
      <c r="D386" s="532"/>
      <c r="E386" s="532"/>
      <c r="F386" s="532"/>
      <c r="G386" s="532"/>
      <c r="H386" s="532"/>
      <c r="I386" s="532"/>
      <c r="J386" s="532"/>
      <c r="K386" s="532"/>
      <c r="L386" s="532"/>
      <c r="M386" s="532"/>
      <c r="N386" s="532"/>
      <c r="O386" s="532"/>
      <c r="P386" s="532"/>
      <c r="Q386" s="532"/>
      <c r="R386" s="532"/>
      <c r="S386" s="532"/>
      <c r="T386" s="532"/>
      <c r="U386" s="532"/>
      <c r="V386" s="532"/>
      <c r="W386" s="532"/>
      <c r="X386" s="532"/>
      <c r="Y386" s="532"/>
      <c r="Z386" s="532"/>
      <c r="AA386" s="532"/>
      <c r="AB386" s="532"/>
      <c r="AC386" s="532"/>
      <c r="AD386" s="532"/>
      <c r="AE386" s="532"/>
      <c r="AF386" s="532"/>
      <c r="AG386" s="532"/>
      <c r="AH386" s="532"/>
      <c r="AI386" s="532"/>
      <c r="AJ386" s="532"/>
      <c r="AK386" s="532"/>
      <c r="AL386" s="532"/>
      <c r="AM386" s="532"/>
      <c r="AN386" s="532"/>
      <c r="AO386" s="532"/>
      <c r="AP386" s="532"/>
      <c r="AQ386" s="532"/>
      <c r="AR386" s="532"/>
      <c r="AS386" s="532"/>
      <c r="AT386" s="532"/>
      <c r="AU386" s="532"/>
      <c r="AV386" s="532"/>
      <c r="AW386" s="532"/>
      <c r="AX386" s="532"/>
      <c r="AY386" s="532"/>
      <c r="AZ386" s="532"/>
      <c r="BA386" s="532"/>
      <c r="BB386" s="532"/>
      <c r="BC386" s="532"/>
      <c r="BD386" s="532"/>
      <c r="BE386" s="532"/>
      <c r="BF386" s="532"/>
      <c r="BG386" s="532"/>
      <c r="BH386" s="532"/>
      <c r="BI386" s="532"/>
      <c r="BJ386" s="532"/>
      <c r="BK386" s="532"/>
      <c r="BL386" s="532"/>
      <c r="BM386" s="532"/>
      <c r="BN386" s="532"/>
      <c r="BO386" s="532"/>
      <c r="BP386" s="532"/>
      <c r="BQ386" s="532"/>
      <c r="BR386" s="532"/>
      <c r="BS386" s="532"/>
      <c r="BT386" s="532"/>
      <c r="BU386" s="532"/>
      <c r="BV386" s="532"/>
      <c r="BW386" s="532"/>
      <c r="BX386" s="532"/>
      <c r="BY386" s="532"/>
      <c r="BZ386" s="532"/>
      <c r="CA386" s="532"/>
      <c r="CB386" s="532"/>
      <c r="CC386" s="532"/>
      <c r="CD386" s="532"/>
      <c r="CE386" s="532"/>
      <c r="CF386" s="532"/>
      <c r="CG386" s="532"/>
      <c r="CH386" s="532"/>
      <c r="CI386" s="532"/>
      <c r="CJ386" s="532"/>
      <c r="CK386" s="532"/>
      <c r="CL386" s="532"/>
      <c r="CM386" s="532"/>
      <c r="CN386" s="532"/>
      <c r="CO386" s="532"/>
      <c r="CP386" s="532"/>
      <c r="CQ386" s="532"/>
      <c r="CR386" s="532"/>
      <c r="CS386" s="532"/>
      <c r="CT386" s="532"/>
      <c r="CU386" s="532"/>
      <c r="CV386" s="532"/>
      <c r="CW386" s="532"/>
      <c r="CX386" s="532"/>
      <c r="CY386" s="532"/>
      <c r="CZ386" s="532"/>
      <c r="DA386" s="532"/>
      <c r="DB386" s="532"/>
      <c r="DC386" s="532"/>
      <c r="DD386" s="532"/>
      <c r="DE386" s="532"/>
      <c r="DF386" s="532"/>
      <c r="DG386" s="532"/>
      <c r="DH386" s="532"/>
      <c r="DI386" s="532"/>
      <c r="DJ386" s="532"/>
      <c r="DK386" s="532"/>
      <c r="DL386" s="532"/>
      <c r="DM386" s="532"/>
      <c r="DN386" s="532"/>
      <c r="DO386" s="532"/>
      <c r="DP386" s="532"/>
      <c r="DQ386" s="532"/>
      <c r="DR386" s="532"/>
      <c r="DS386" s="532"/>
      <c r="DT386" s="532"/>
      <c r="DU386" s="532"/>
      <c r="DV386" s="532"/>
      <c r="DW386" s="532"/>
      <c r="DX386" s="532"/>
      <c r="DY386" s="532"/>
      <c r="DZ386" s="532"/>
      <c r="EA386" s="532"/>
      <c r="EB386" s="532"/>
      <c r="EC386" s="532"/>
      <c r="ED386" s="532"/>
      <c r="EE386" s="532"/>
      <c r="EF386" s="532"/>
      <c r="EG386" s="532"/>
      <c r="EH386" s="532"/>
      <c r="EI386" s="532"/>
      <c r="EJ386" s="532"/>
      <c r="EK386" s="532"/>
      <c r="EL386" s="532"/>
      <c r="EM386" s="532"/>
      <c r="EN386" s="532"/>
      <c r="EO386" s="532"/>
      <c r="EP386" s="532"/>
      <c r="EQ386" s="532"/>
      <c r="ER386" s="532"/>
      <c r="ES386" s="532"/>
      <c r="ET386" s="532"/>
      <c r="EU386" s="532"/>
      <c r="EV386" s="532"/>
      <c r="EW386" s="532"/>
      <c r="EX386" s="532"/>
      <c r="EY386" s="532"/>
      <c r="EZ386" s="532"/>
      <c r="FA386" s="532"/>
      <c r="FB386" s="532"/>
      <c r="FC386" s="532"/>
      <c r="FD386" s="532"/>
      <c r="FE386" s="532"/>
      <c r="FF386" s="532"/>
      <c r="FG386" s="532"/>
      <c r="FH386" s="532"/>
      <c r="FI386" s="532"/>
      <c r="FJ386" s="532"/>
      <c r="FK386" s="532"/>
      <c r="FL386" s="532"/>
      <c r="FM386" s="338"/>
      <c r="FN386" s="338"/>
      <c r="FO386" s="338"/>
      <c r="FP386" s="47"/>
      <c r="FQ386" s="47"/>
      <c r="FR386" s="47"/>
      <c r="FS386" s="47"/>
      <c r="FT386" s="47"/>
      <c r="FU386" s="338"/>
      <c r="FV386" s="338"/>
      <c r="FW386" s="338"/>
      <c r="FX386" s="338"/>
      <c r="FY386" s="32"/>
      <c r="FZ386" s="32"/>
      <c r="GA386" s="32"/>
      <c r="GB386" s="32"/>
      <c r="GC386" s="32"/>
      <c r="GD386" s="32"/>
      <c r="GE386" s="32"/>
      <c r="GF386" s="32"/>
      <c r="GG386" s="32"/>
      <c r="GH386" s="32"/>
      <c r="GI386" s="32"/>
      <c r="GJ386" s="32"/>
      <c r="GK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99"/>
      <c r="HO386" s="399"/>
      <c r="HP386" s="399"/>
      <c r="HQ386" s="13"/>
      <c r="HR386" s="13"/>
      <c r="HS386" s="13"/>
      <c r="HT386" s="13"/>
      <c r="HU386" s="13"/>
      <c r="HV386" s="13"/>
      <c r="HW386" s="13"/>
      <c r="HX386" s="13"/>
      <c r="HY386" s="13"/>
      <c r="HZ386" s="13"/>
      <c r="IA386" s="13"/>
    </row>
    <row r="387" spans="1:235" ht="16.95" customHeight="1">
      <c r="A387" s="1"/>
      <c r="B387" s="3"/>
      <c r="C387" s="3"/>
      <c r="D387" s="532"/>
      <c r="E387" s="532"/>
      <c r="F387" s="532"/>
      <c r="G387" s="532"/>
      <c r="H387" s="532"/>
      <c r="I387" s="532"/>
      <c r="J387" s="532"/>
      <c r="K387" s="532"/>
      <c r="L387" s="532"/>
      <c r="M387" s="532"/>
      <c r="N387" s="532"/>
      <c r="O387" s="532"/>
      <c r="P387" s="532"/>
      <c r="Q387" s="532"/>
      <c r="R387" s="532"/>
      <c r="S387" s="532"/>
      <c r="T387" s="532"/>
      <c r="U387" s="532"/>
      <c r="V387" s="532"/>
      <c r="W387" s="532"/>
      <c r="X387" s="532"/>
      <c r="Y387" s="532"/>
      <c r="Z387" s="532"/>
      <c r="AA387" s="532"/>
      <c r="AB387" s="532"/>
      <c r="AC387" s="532"/>
      <c r="AD387" s="532"/>
      <c r="AE387" s="532"/>
      <c r="AF387" s="532"/>
      <c r="AG387" s="532"/>
      <c r="AH387" s="532"/>
      <c r="AI387" s="532"/>
      <c r="AJ387" s="532"/>
      <c r="AK387" s="532"/>
      <c r="AL387" s="532"/>
      <c r="AM387" s="532"/>
      <c r="AN387" s="532"/>
      <c r="AO387" s="532"/>
      <c r="AP387" s="532"/>
      <c r="AQ387" s="532"/>
      <c r="AR387" s="532"/>
      <c r="AS387" s="532"/>
      <c r="AT387" s="532"/>
      <c r="AU387" s="532"/>
      <c r="AV387" s="532"/>
      <c r="AW387" s="532"/>
      <c r="AX387" s="532"/>
      <c r="AY387" s="532"/>
      <c r="AZ387" s="532"/>
      <c r="BA387" s="532"/>
      <c r="BB387" s="532"/>
      <c r="BC387" s="532"/>
      <c r="BD387" s="532"/>
      <c r="BE387" s="532"/>
      <c r="BF387" s="532"/>
      <c r="BG387" s="532"/>
      <c r="BH387" s="532"/>
      <c r="BI387" s="532"/>
      <c r="BJ387" s="532"/>
      <c r="BK387" s="532"/>
      <c r="BL387" s="532"/>
      <c r="BM387" s="532"/>
      <c r="BN387" s="532"/>
      <c r="BO387" s="532"/>
      <c r="BP387" s="532"/>
      <c r="BQ387" s="532"/>
      <c r="BR387" s="532"/>
      <c r="BS387" s="532"/>
      <c r="BT387" s="532"/>
      <c r="BU387" s="532"/>
      <c r="BV387" s="532"/>
      <c r="BW387" s="532"/>
      <c r="BX387" s="532"/>
      <c r="BY387" s="532"/>
      <c r="BZ387" s="532"/>
      <c r="CA387" s="532"/>
      <c r="CB387" s="532"/>
      <c r="CC387" s="532"/>
      <c r="CD387" s="532"/>
      <c r="CE387" s="532"/>
      <c r="CF387" s="532"/>
      <c r="CG387" s="532"/>
      <c r="CH387" s="532"/>
      <c r="CI387" s="532"/>
      <c r="CJ387" s="532"/>
      <c r="CK387" s="532"/>
      <c r="CL387" s="532"/>
      <c r="CM387" s="532"/>
      <c r="CN387" s="532"/>
      <c r="CO387" s="532"/>
      <c r="CP387" s="532"/>
      <c r="CQ387" s="532"/>
      <c r="CR387" s="532"/>
      <c r="CS387" s="532"/>
      <c r="CT387" s="532"/>
      <c r="CU387" s="532"/>
      <c r="CV387" s="532"/>
      <c r="CW387" s="532"/>
      <c r="CX387" s="532"/>
      <c r="CY387" s="532"/>
      <c r="CZ387" s="532"/>
      <c r="DA387" s="532"/>
      <c r="DB387" s="532"/>
      <c r="DC387" s="532"/>
      <c r="DD387" s="532"/>
      <c r="DE387" s="532"/>
      <c r="DF387" s="532"/>
      <c r="DG387" s="532"/>
      <c r="DH387" s="532"/>
      <c r="DI387" s="532"/>
      <c r="DJ387" s="532"/>
      <c r="DK387" s="532"/>
      <c r="DL387" s="532"/>
      <c r="DM387" s="532"/>
      <c r="DN387" s="532"/>
      <c r="DO387" s="532"/>
      <c r="DP387" s="532"/>
      <c r="DQ387" s="532"/>
      <c r="DR387" s="532"/>
      <c r="DS387" s="532"/>
      <c r="DT387" s="532"/>
      <c r="DU387" s="532"/>
      <c r="DV387" s="532"/>
      <c r="DW387" s="532"/>
      <c r="DX387" s="532"/>
      <c r="DY387" s="532"/>
      <c r="DZ387" s="532"/>
      <c r="EA387" s="532"/>
      <c r="EB387" s="532"/>
      <c r="EC387" s="532"/>
      <c r="ED387" s="532"/>
      <c r="EE387" s="532"/>
      <c r="EF387" s="532"/>
      <c r="EG387" s="532"/>
      <c r="EH387" s="532"/>
      <c r="EI387" s="532"/>
      <c r="EJ387" s="532"/>
      <c r="EK387" s="532"/>
      <c r="EL387" s="532"/>
      <c r="EM387" s="532"/>
      <c r="EN387" s="532"/>
      <c r="EO387" s="532"/>
      <c r="EP387" s="532"/>
      <c r="EQ387" s="532"/>
      <c r="ER387" s="532"/>
      <c r="ES387" s="532"/>
      <c r="ET387" s="532"/>
      <c r="EU387" s="532"/>
      <c r="EV387" s="532"/>
      <c r="EW387" s="532"/>
      <c r="EX387" s="532"/>
      <c r="EY387" s="532"/>
      <c r="EZ387" s="532"/>
      <c r="FA387" s="532"/>
      <c r="FB387" s="532"/>
      <c r="FC387" s="532"/>
      <c r="FD387" s="532"/>
      <c r="FE387" s="532"/>
      <c r="FF387" s="532"/>
      <c r="FG387" s="532"/>
      <c r="FH387" s="532"/>
      <c r="FI387" s="532"/>
      <c r="FJ387" s="532"/>
      <c r="FK387" s="532"/>
      <c r="FL387" s="532"/>
      <c r="FM387" s="338"/>
      <c r="FN387" s="338"/>
      <c r="FO387" s="338"/>
      <c r="FP387" s="47"/>
      <c r="FQ387" s="47"/>
      <c r="FR387" s="47"/>
      <c r="FS387" s="47"/>
      <c r="FT387" s="47"/>
      <c r="FU387" s="338"/>
      <c r="FV387" s="338"/>
      <c r="FW387" s="338"/>
      <c r="FX387" s="338"/>
      <c r="FY387" s="32"/>
      <c r="FZ387" s="32"/>
      <c r="GA387" s="32"/>
      <c r="GB387" s="32"/>
      <c r="GC387" s="32"/>
      <c r="GD387" s="32"/>
      <c r="GE387" s="32"/>
      <c r="GF387" s="32"/>
      <c r="GG387" s="32"/>
      <c r="GH387" s="32"/>
      <c r="GI387" s="32"/>
      <c r="GJ387" s="32"/>
      <c r="GK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99"/>
      <c r="HO387" s="399"/>
      <c r="HP387" s="399"/>
      <c r="HQ387" s="13"/>
      <c r="HR387" s="13"/>
      <c r="HS387" s="13"/>
      <c r="HT387" s="13"/>
      <c r="HU387" s="13"/>
      <c r="HV387" s="13"/>
      <c r="HW387" s="13"/>
      <c r="HX387" s="13"/>
      <c r="HY387" s="13"/>
      <c r="HZ387" s="13"/>
      <c r="IA387" s="13"/>
    </row>
    <row r="388" spans="1:235" ht="16.95" customHeight="1">
      <c r="A388" s="1"/>
      <c r="B388" s="3"/>
      <c r="C388" s="3"/>
      <c r="D388" s="532"/>
      <c r="E388" s="532"/>
      <c r="F388" s="532"/>
      <c r="G388" s="532"/>
      <c r="H388" s="532"/>
      <c r="I388" s="532"/>
      <c r="J388" s="532"/>
      <c r="K388" s="532"/>
      <c r="L388" s="532"/>
      <c r="M388" s="532"/>
      <c r="N388" s="532"/>
      <c r="O388" s="532"/>
      <c r="P388" s="532"/>
      <c r="Q388" s="532"/>
      <c r="R388" s="532"/>
      <c r="S388" s="532"/>
      <c r="T388" s="532"/>
      <c r="U388" s="532"/>
      <c r="V388" s="532"/>
      <c r="W388" s="532"/>
      <c r="X388" s="532"/>
      <c r="Y388" s="532"/>
      <c r="Z388" s="532"/>
      <c r="AA388" s="532"/>
      <c r="AB388" s="532"/>
      <c r="AC388" s="532"/>
      <c r="AD388" s="532"/>
      <c r="AE388" s="532"/>
      <c r="AF388" s="532"/>
      <c r="AG388" s="532"/>
      <c r="AH388" s="532"/>
      <c r="AI388" s="532"/>
      <c r="AJ388" s="532"/>
      <c r="AK388" s="532"/>
      <c r="AL388" s="532"/>
      <c r="AM388" s="532"/>
      <c r="AN388" s="532"/>
      <c r="AO388" s="532"/>
      <c r="AP388" s="532"/>
      <c r="AQ388" s="532"/>
      <c r="AR388" s="532"/>
      <c r="AS388" s="532"/>
      <c r="AT388" s="532"/>
      <c r="AU388" s="532"/>
      <c r="AV388" s="532"/>
      <c r="AW388" s="532"/>
      <c r="AX388" s="532"/>
      <c r="AY388" s="532"/>
      <c r="AZ388" s="532"/>
      <c r="BA388" s="532"/>
      <c r="BB388" s="532"/>
      <c r="BC388" s="532"/>
      <c r="BD388" s="532"/>
      <c r="BE388" s="532"/>
      <c r="BF388" s="532"/>
      <c r="BG388" s="532"/>
      <c r="BH388" s="532"/>
      <c r="BI388" s="532"/>
      <c r="BJ388" s="532"/>
      <c r="BK388" s="532"/>
      <c r="BL388" s="532"/>
      <c r="BM388" s="532"/>
      <c r="BN388" s="532"/>
      <c r="BO388" s="532"/>
      <c r="BP388" s="532"/>
      <c r="BQ388" s="532"/>
      <c r="BR388" s="532"/>
      <c r="BS388" s="532"/>
      <c r="BT388" s="532"/>
      <c r="BU388" s="532"/>
      <c r="BV388" s="532"/>
      <c r="BW388" s="532"/>
      <c r="BX388" s="532"/>
      <c r="BY388" s="532"/>
      <c r="BZ388" s="532"/>
      <c r="CA388" s="532"/>
      <c r="CB388" s="532"/>
      <c r="CC388" s="532"/>
      <c r="CD388" s="532"/>
      <c r="CE388" s="532"/>
      <c r="CF388" s="532"/>
      <c r="CG388" s="532"/>
      <c r="CH388" s="532"/>
      <c r="CI388" s="532"/>
      <c r="CJ388" s="532"/>
      <c r="CK388" s="532"/>
      <c r="CL388" s="532"/>
      <c r="CM388" s="532"/>
      <c r="CN388" s="532"/>
      <c r="CO388" s="532"/>
      <c r="CP388" s="532"/>
      <c r="CQ388" s="532"/>
      <c r="CR388" s="532"/>
      <c r="CS388" s="532"/>
      <c r="CT388" s="532"/>
      <c r="CU388" s="532"/>
      <c r="CV388" s="532"/>
      <c r="CW388" s="532"/>
      <c r="CX388" s="532"/>
      <c r="CY388" s="532"/>
      <c r="CZ388" s="532"/>
      <c r="DA388" s="532"/>
      <c r="DB388" s="532"/>
      <c r="DC388" s="532"/>
      <c r="DD388" s="532"/>
      <c r="DE388" s="532"/>
      <c r="DF388" s="532"/>
      <c r="DG388" s="532"/>
      <c r="DH388" s="532"/>
      <c r="DI388" s="532"/>
      <c r="DJ388" s="532"/>
      <c r="DK388" s="532"/>
      <c r="DL388" s="532"/>
      <c r="DM388" s="532"/>
      <c r="DN388" s="532"/>
      <c r="DO388" s="532"/>
      <c r="DP388" s="532"/>
      <c r="DQ388" s="532"/>
      <c r="DR388" s="532"/>
      <c r="DS388" s="532"/>
      <c r="DT388" s="532"/>
      <c r="DU388" s="532"/>
      <c r="DV388" s="532"/>
      <c r="DW388" s="532"/>
      <c r="DX388" s="532"/>
      <c r="DY388" s="532"/>
      <c r="DZ388" s="532"/>
      <c r="EA388" s="532"/>
      <c r="EB388" s="532"/>
      <c r="EC388" s="532"/>
      <c r="ED388" s="532"/>
      <c r="EE388" s="532"/>
      <c r="EF388" s="532"/>
      <c r="EG388" s="532"/>
      <c r="EH388" s="532"/>
      <c r="EI388" s="532"/>
      <c r="EJ388" s="532"/>
      <c r="EK388" s="532"/>
      <c r="EL388" s="532"/>
      <c r="EM388" s="532"/>
      <c r="EN388" s="532"/>
      <c r="EO388" s="532"/>
      <c r="EP388" s="532"/>
      <c r="EQ388" s="532"/>
      <c r="ER388" s="532"/>
      <c r="ES388" s="532"/>
      <c r="ET388" s="532"/>
      <c r="EU388" s="532"/>
      <c r="EV388" s="532"/>
      <c r="EW388" s="532"/>
      <c r="EX388" s="532"/>
      <c r="EY388" s="532"/>
      <c r="EZ388" s="532"/>
      <c r="FA388" s="532"/>
      <c r="FB388" s="532"/>
      <c r="FC388" s="532"/>
      <c r="FD388" s="532"/>
      <c r="FE388" s="532"/>
      <c r="FF388" s="532"/>
      <c r="FG388" s="532"/>
      <c r="FH388" s="532"/>
      <c r="FI388" s="532"/>
      <c r="FJ388" s="532"/>
      <c r="FK388" s="532"/>
      <c r="FL388" s="532"/>
      <c r="FM388" s="338"/>
      <c r="FN388" s="338"/>
      <c r="FO388" s="338"/>
      <c r="FP388" s="47"/>
      <c r="FQ388" s="47"/>
      <c r="FR388" s="47"/>
      <c r="FS388" s="47"/>
      <c r="FT388" s="47"/>
      <c r="FU388" s="338"/>
      <c r="FV388" s="338"/>
      <c r="FW388" s="338"/>
      <c r="FX388" s="338"/>
      <c r="FY388" s="32"/>
      <c r="FZ388" s="32"/>
      <c r="GA388" s="32"/>
      <c r="GB388" s="32"/>
      <c r="GC388" s="32"/>
      <c r="GD388" s="32"/>
      <c r="GE388" s="32"/>
      <c r="GF388" s="32"/>
      <c r="GG388" s="32"/>
      <c r="GH388" s="32"/>
      <c r="GI388" s="32"/>
      <c r="GJ388" s="32"/>
      <c r="GK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99"/>
      <c r="HO388" s="399"/>
      <c r="HP388" s="399"/>
      <c r="HQ388" s="13"/>
      <c r="HR388" s="13"/>
      <c r="HS388" s="13"/>
      <c r="HT388" s="13"/>
      <c r="HU388" s="13"/>
      <c r="HV388" s="13"/>
      <c r="HW388" s="13"/>
      <c r="HX388" s="13"/>
      <c r="HY388" s="13"/>
      <c r="HZ388" s="13"/>
      <c r="IA388" s="13"/>
    </row>
    <row r="389" spans="1:235" ht="16.95" customHeight="1">
      <c r="A389" s="1"/>
      <c r="B389" s="3"/>
      <c r="C389" s="3"/>
      <c r="D389" s="532"/>
      <c r="E389" s="532"/>
      <c r="F389" s="532"/>
      <c r="G389" s="532"/>
      <c r="H389" s="532"/>
      <c r="I389" s="532"/>
      <c r="J389" s="532"/>
      <c r="K389" s="532"/>
      <c r="L389" s="532"/>
      <c r="M389" s="532"/>
      <c r="N389" s="532"/>
      <c r="O389" s="532"/>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c r="AM389" s="532"/>
      <c r="AN389" s="532"/>
      <c r="AO389" s="532"/>
      <c r="AP389" s="532"/>
      <c r="AQ389" s="532"/>
      <c r="AR389" s="532"/>
      <c r="AS389" s="532"/>
      <c r="AT389" s="532"/>
      <c r="AU389" s="532"/>
      <c r="AV389" s="532"/>
      <c r="AW389" s="532"/>
      <c r="AX389" s="532"/>
      <c r="AY389" s="532"/>
      <c r="AZ389" s="532"/>
      <c r="BA389" s="532"/>
      <c r="BB389" s="532"/>
      <c r="BC389" s="532"/>
      <c r="BD389" s="532"/>
      <c r="BE389" s="532"/>
      <c r="BF389" s="532"/>
      <c r="BG389" s="532"/>
      <c r="BH389" s="532"/>
      <c r="BI389" s="532"/>
      <c r="BJ389" s="532"/>
      <c r="BK389" s="532"/>
      <c r="BL389" s="532"/>
      <c r="BM389" s="532"/>
      <c r="BN389" s="532"/>
      <c r="BO389" s="532"/>
      <c r="BP389" s="532"/>
      <c r="BQ389" s="532"/>
      <c r="BR389" s="532"/>
      <c r="BS389" s="532"/>
      <c r="BT389" s="532"/>
      <c r="BU389" s="532"/>
      <c r="BV389" s="532"/>
      <c r="BW389" s="532"/>
      <c r="BX389" s="532"/>
      <c r="BY389" s="532"/>
      <c r="BZ389" s="532"/>
      <c r="CA389" s="532"/>
      <c r="CB389" s="532"/>
      <c r="CC389" s="532"/>
      <c r="CD389" s="532"/>
      <c r="CE389" s="532"/>
      <c r="CF389" s="532"/>
      <c r="CG389" s="532"/>
      <c r="CH389" s="532"/>
      <c r="CI389" s="532"/>
      <c r="CJ389" s="532"/>
      <c r="CK389" s="532"/>
      <c r="CL389" s="532"/>
      <c r="CM389" s="532"/>
      <c r="CN389" s="532"/>
      <c r="CO389" s="532"/>
      <c r="CP389" s="532"/>
      <c r="CQ389" s="532"/>
      <c r="CR389" s="532"/>
      <c r="CS389" s="532"/>
      <c r="CT389" s="532"/>
      <c r="CU389" s="532"/>
      <c r="CV389" s="532"/>
      <c r="CW389" s="532"/>
      <c r="CX389" s="532"/>
      <c r="CY389" s="532"/>
      <c r="CZ389" s="532"/>
      <c r="DA389" s="532"/>
      <c r="DB389" s="532"/>
      <c r="DC389" s="532"/>
      <c r="DD389" s="532"/>
      <c r="DE389" s="532"/>
      <c r="DF389" s="532"/>
      <c r="DG389" s="532"/>
      <c r="DH389" s="532"/>
      <c r="DI389" s="532"/>
      <c r="DJ389" s="532"/>
      <c r="DK389" s="532"/>
      <c r="DL389" s="532"/>
      <c r="DM389" s="532"/>
      <c r="DN389" s="532"/>
      <c r="DO389" s="532"/>
      <c r="DP389" s="532"/>
      <c r="DQ389" s="532"/>
      <c r="DR389" s="532"/>
      <c r="DS389" s="532"/>
      <c r="DT389" s="532"/>
      <c r="DU389" s="532"/>
      <c r="DV389" s="532"/>
      <c r="DW389" s="532"/>
      <c r="DX389" s="532"/>
      <c r="DY389" s="532"/>
      <c r="DZ389" s="532"/>
      <c r="EA389" s="532"/>
      <c r="EB389" s="532"/>
      <c r="EC389" s="532"/>
      <c r="ED389" s="532"/>
      <c r="EE389" s="532"/>
      <c r="EF389" s="532"/>
      <c r="EG389" s="532"/>
      <c r="EH389" s="532"/>
      <c r="EI389" s="532"/>
      <c r="EJ389" s="532"/>
      <c r="EK389" s="532"/>
      <c r="EL389" s="532"/>
      <c r="EM389" s="532"/>
      <c r="EN389" s="532"/>
      <c r="EO389" s="532"/>
      <c r="EP389" s="532"/>
      <c r="EQ389" s="532"/>
      <c r="ER389" s="532"/>
      <c r="ES389" s="532"/>
      <c r="ET389" s="532"/>
      <c r="EU389" s="532"/>
      <c r="EV389" s="532"/>
      <c r="EW389" s="532"/>
      <c r="EX389" s="532"/>
      <c r="EY389" s="532"/>
      <c r="EZ389" s="532"/>
      <c r="FA389" s="532"/>
      <c r="FB389" s="532"/>
      <c r="FC389" s="532"/>
      <c r="FD389" s="532"/>
      <c r="FE389" s="532"/>
      <c r="FF389" s="532"/>
      <c r="FG389" s="532"/>
      <c r="FH389" s="532"/>
      <c r="FI389" s="532"/>
      <c r="FJ389" s="532"/>
      <c r="FK389" s="532"/>
      <c r="FL389" s="532"/>
      <c r="FM389" s="338"/>
      <c r="FN389" s="338"/>
      <c r="FO389" s="338"/>
      <c r="FP389" s="47"/>
      <c r="FQ389" s="47"/>
      <c r="FR389" s="47"/>
      <c r="FS389" s="47"/>
      <c r="FT389" s="47"/>
      <c r="FU389" s="338"/>
      <c r="FV389" s="338"/>
      <c r="FW389" s="338"/>
      <c r="FX389" s="338"/>
      <c r="FY389" s="32"/>
      <c r="FZ389" s="32"/>
      <c r="GA389" s="32"/>
      <c r="GB389" s="32"/>
      <c r="GC389" s="32"/>
      <c r="GD389" s="32"/>
      <c r="GE389" s="32"/>
      <c r="GF389" s="32"/>
      <c r="GG389" s="32"/>
      <c r="GH389" s="32"/>
      <c r="GI389" s="32"/>
      <c r="GJ389" s="32"/>
      <c r="GK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99"/>
      <c r="HO389" s="399"/>
      <c r="HP389" s="399"/>
      <c r="HQ389" s="13"/>
      <c r="HR389" s="13"/>
      <c r="HS389" s="13"/>
      <c r="HT389" s="13"/>
      <c r="HU389" s="13"/>
      <c r="HV389" s="13"/>
      <c r="HW389" s="13"/>
      <c r="HX389" s="13"/>
      <c r="HY389" s="13"/>
      <c r="HZ389" s="13"/>
      <c r="IA389" s="13"/>
    </row>
    <row r="390" spans="1:235" ht="16.95" customHeight="1">
      <c r="A390" s="1"/>
      <c r="B390" s="3"/>
      <c r="C390" s="3"/>
      <c r="D390" s="532"/>
      <c r="E390" s="532"/>
      <c r="F390" s="532"/>
      <c r="G390" s="532"/>
      <c r="H390" s="532"/>
      <c r="I390" s="532"/>
      <c r="J390" s="532"/>
      <c r="K390" s="532"/>
      <c r="L390" s="532"/>
      <c r="M390" s="532"/>
      <c r="N390" s="532"/>
      <c r="O390" s="532"/>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c r="AM390" s="532"/>
      <c r="AN390" s="532"/>
      <c r="AO390" s="532"/>
      <c r="AP390" s="532"/>
      <c r="AQ390" s="532"/>
      <c r="AR390" s="532"/>
      <c r="AS390" s="532"/>
      <c r="AT390" s="532"/>
      <c r="AU390" s="532"/>
      <c r="AV390" s="532"/>
      <c r="AW390" s="532"/>
      <c r="AX390" s="532"/>
      <c r="AY390" s="532"/>
      <c r="AZ390" s="532"/>
      <c r="BA390" s="532"/>
      <c r="BB390" s="532"/>
      <c r="BC390" s="532"/>
      <c r="BD390" s="532"/>
      <c r="BE390" s="532"/>
      <c r="BF390" s="532"/>
      <c r="BG390" s="532"/>
      <c r="BH390" s="532"/>
      <c r="BI390" s="532"/>
      <c r="BJ390" s="532"/>
      <c r="BK390" s="532"/>
      <c r="BL390" s="532"/>
      <c r="BM390" s="532"/>
      <c r="BN390" s="532"/>
      <c r="BO390" s="532"/>
      <c r="BP390" s="532"/>
      <c r="BQ390" s="532"/>
      <c r="BR390" s="532"/>
      <c r="BS390" s="532"/>
      <c r="BT390" s="532"/>
      <c r="BU390" s="532"/>
      <c r="BV390" s="532"/>
      <c r="BW390" s="532"/>
      <c r="BX390" s="532"/>
      <c r="BY390" s="532"/>
      <c r="BZ390" s="532"/>
      <c r="CA390" s="532"/>
      <c r="CB390" s="532"/>
      <c r="CC390" s="532"/>
      <c r="CD390" s="532"/>
      <c r="CE390" s="532"/>
      <c r="CF390" s="532"/>
      <c r="CG390" s="532"/>
      <c r="CH390" s="532"/>
      <c r="CI390" s="532"/>
      <c r="CJ390" s="532"/>
      <c r="CK390" s="532"/>
      <c r="CL390" s="532"/>
      <c r="CM390" s="532"/>
      <c r="CN390" s="532"/>
      <c r="CO390" s="532"/>
      <c r="CP390" s="532"/>
      <c r="CQ390" s="532"/>
      <c r="CR390" s="532"/>
      <c r="CS390" s="532"/>
      <c r="CT390" s="532"/>
      <c r="CU390" s="532"/>
      <c r="CV390" s="532"/>
      <c r="CW390" s="532"/>
      <c r="CX390" s="532"/>
      <c r="CY390" s="532"/>
      <c r="CZ390" s="532"/>
      <c r="DA390" s="532"/>
      <c r="DB390" s="532"/>
      <c r="DC390" s="532"/>
      <c r="DD390" s="532"/>
      <c r="DE390" s="532"/>
      <c r="DF390" s="532"/>
      <c r="DG390" s="532"/>
      <c r="DH390" s="532"/>
      <c r="DI390" s="532"/>
      <c r="DJ390" s="532"/>
      <c r="DK390" s="532"/>
      <c r="DL390" s="532"/>
      <c r="DM390" s="532"/>
      <c r="DN390" s="532"/>
      <c r="DO390" s="532"/>
      <c r="DP390" s="532"/>
      <c r="DQ390" s="532"/>
      <c r="DR390" s="532"/>
      <c r="DS390" s="532"/>
      <c r="DT390" s="532"/>
      <c r="DU390" s="532"/>
      <c r="DV390" s="532"/>
      <c r="DW390" s="532"/>
      <c r="DX390" s="532"/>
      <c r="DY390" s="532"/>
      <c r="DZ390" s="532"/>
      <c r="EA390" s="532"/>
      <c r="EB390" s="532"/>
      <c r="EC390" s="532"/>
      <c r="ED390" s="532"/>
      <c r="EE390" s="532"/>
      <c r="EF390" s="532"/>
      <c r="EG390" s="532"/>
      <c r="EH390" s="532"/>
      <c r="EI390" s="532"/>
      <c r="EJ390" s="532"/>
      <c r="EK390" s="532"/>
      <c r="EL390" s="532"/>
      <c r="EM390" s="532"/>
      <c r="EN390" s="532"/>
      <c r="EO390" s="532"/>
      <c r="EP390" s="532"/>
      <c r="EQ390" s="532"/>
      <c r="ER390" s="532"/>
      <c r="ES390" s="532"/>
      <c r="ET390" s="532"/>
      <c r="EU390" s="532"/>
      <c r="EV390" s="532"/>
      <c r="EW390" s="532"/>
      <c r="EX390" s="532"/>
      <c r="EY390" s="532"/>
      <c r="EZ390" s="532"/>
      <c r="FA390" s="532"/>
      <c r="FB390" s="532"/>
      <c r="FC390" s="532"/>
      <c r="FD390" s="532"/>
      <c r="FE390" s="532"/>
      <c r="FF390" s="532"/>
      <c r="FG390" s="532"/>
      <c r="FH390" s="532"/>
      <c r="FI390" s="532"/>
      <c r="FJ390" s="532"/>
      <c r="FK390" s="532"/>
      <c r="FL390" s="532"/>
      <c r="FM390" s="338"/>
      <c r="FN390" s="338"/>
      <c r="FO390" s="338"/>
      <c r="FP390" s="47"/>
      <c r="FQ390" s="47"/>
      <c r="FR390" s="47"/>
      <c r="FS390" s="47"/>
      <c r="FT390" s="47"/>
      <c r="FU390" s="338"/>
      <c r="FV390" s="338"/>
      <c r="FW390" s="338"/>
      <c r="FX390" s="338"/>
      <c r="FY390" s="32"/>
      <c r="FZ390" s="32"/>
      <c r="GA390" s="32"/>
      <c r="GB390" s="32"/>
      <c r="GC390" s="32"/>
      <c r="GD390" s="32"/>
      <c r="GE390" s="32"/>
      <c r="GF390" s="32"/>
      <c r="GG390" s="32"/>
      <c r="GH390" s="32"/>
      <c r="GI390" s="32"/>
      <c r="GJ390" s="32"/>
      <c r="GK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99"/>
      <c r="HO390" s="399"/>
      <c r="HP390" s="399"/>
      <c r="HQ390" s="13"/>
      <c r="HR390" s="13"/>
      <c r="HS390" s="13"/>
      <c r="HT390" s="13"/>
      <c r="HU390" s="13"/>
      <c r="HV390" s="13"/>
      <c r="HW390" s="13"/>
      <c r="HX390" s="13"/>
      <c r="HY390" s="13"/>
      <c r="HZ390" s="13"/>
      <c r="IA390" s="13"/>
    </row>
    <row r="391" spans="1:235" ht="16.95" customHeight="1">
      <c r="A391" s="1"/>
      <c r="B391" s="3"/>
      <c r="C391" s="3"/>
      <c r="D391" s="532"/>
      <c r="E391" s="532"/>
      <c r="F391" s="532"/>
      <c r="G391" s="532"/>
      <c r="H391" s="532"/>
      <c r="I391" s="532"/>
      <c r="J391" s="532"/>
      <c r="K391" s="532"/>
      <c r="L391" s="532"/>
      <c r="M391" s="532"/>
      <c r="N391" s="532"/>
      <c r="O391" s="532"/>
      <c r="P391" s="532"/>
      <c r="Q391" s="532"/>
      <c r="R391" s="532"/>
      <c r="S391" s="532"/>
      <c r="T391" s="532"/>
      <c r="U391" s="532"/>
      <c r="V391" s="532"/>
      <c r="W391" s="532"/>
      <c r="X391" s="532"/>
      <c r="Y391" s="532"/>
      <c r="Z391" s="532"/>
      <c r="AA391" s="532"/>
      <c r="AB391" s="532"/>
      <c r="AC391" s="532"/>
      <c r="AD391" s="532"/>
      <c r="AE391" s="532"/>
      <c r="AF391" s="532"/>
      <c r="AG391" s="532"/>
      <c r="AH391" s="532"/>
      <c r="AI391" s="532"/>
      <c r="AJ391" s="532"/>
      <c r="AK391" s="532"/>
      <c r="AL391" s="532"/>
      <c r="AM391" s="532"/>
      <c r="AN391" s="532"/>
      <c r="AO391" s="532"/>
      <c r="AP391" s="532"/>
      <c r="AQ391" s="532"/>
      <c r="AR391" s="532"/>
      <c r="AS391" s="532"/>
      <c r="AT391" s="532"/>
      <c r="AU391" s="532"/>
      <c r="AV391" s="532"/>
      <c r="AW391" s="532"/>
      <c r="AX391" s="532"/>
      <c r="AY391" s="532"/>
      <c r="AZ391" s="532"/>
      <c r="BA391" s="532"/>
      <c r="BB391" s="532"/>
      <c r="BC391" s="532"/>
      <c r="BD391" s="532"/>
      <c r="BE391" s="532"/>
      <c r="BF391" s="532"/>
      <c r="BG391" s="532"/>
      <c r="BH391" s="532"/>
      <c r="BI391" s="532"/>
      <c r="BJ391" s="532"/>
      <c r="BK391" s="532"/>
      <c r="BL391" s="532"/>
      <c r="BM391" s="532"/>
      <c r="BN391" s="532"/>
      <c r="BO391" s="532"/>
      <c r="BP391" s="532"/>
      <c r="BQ391" s="532"/>
      <c r="BR391" s="532"/>
      <c r="BS391" s="532"/>
      <c r="BT391" s="532"/>
      <c r="BU391" s="532"/>
      <c r="BV391" s="532"/>
      <c r="BW391" s="532"/>
      <c r="BX391" s="532"/>
      <c r="BY391" s="532"/>
      <c r="BZ391" s="532"/>
      <c r="CA391" s="532"/>
      <c r="CB391" s="532"/>
      <c r="CC391" s="532"/>
      <c r="CD391" s="532"/>
      <c r="CE391" s="532"/>
      <c r="CF391" s="532"/>
      <c r="CG391" s="532"/>
      <c r="CH391" s="532"/>
      <c r="CI391" s="532"/>
      <c r="CJ391" s="532"/>
      <c r="CK391" s="532"/>
      <c r="CL391" s="532"/>
      <c r="CM391" s="532"/>
      <c r="CN391" s="532"/>
      <c r="CO391" s="532"/>
      <c r="CP391" s="532"/>
      <c r="CQ391" s="532"/>
      <c r="CR391" s="532"/>
      <c r="CS391" s="532"/>
      <c r="CT391" s="532"/>
      <c r="CU391" s="532"/>
      <c r="CV391" s="532"/>
      <c r="CW391" s="532"/>
      <c r="CX391" s="532"/>
      <c r="CY391" s="532"/>
      <c r="CZ391" s="532"/>
      <c r="DA391" s="532"/>
      <c r="DB391" s="532"/>
      <c r="DC391" s="532"/>
      <c r="DD391" s="532"/>
      <c r="DE391" s="532"/>
      <c r="DF391" s="532"/>
      <c r="DG391" s="532"/>
      <c r="DH391" s="532"/>
      <c r="DI391" s="532"/>
      <c r="DJ391" s="532"/>
      <c r="DK391" s="532"/>
      <c r="DL391" s="532"/>
      <c r="DM391" s="532"/>
      <c r="DN391" s="532"/>
      <c r="DO391" s="532"/>
      <c r="DP391" s="532"/>
      <c r="DQ391" s="532"/>
      <c r="DR391" s="532"/>
      <c r="DS391" s="532"/>
      <c r="DT391" s="532"/>
      <c r="DU391" s="532"/>
      <c r="DV391" s="532"/>
      <c r="DW391" s="532"/>
      <c r="DX391" s="532"/>
      <c r="DY391" s="532"/>
      <c r="DZ391" s="532"/>
      <c r="EA391" s="532"/>
      <c r="EB391" s="532"/>
      <c r="EC391" s="532"/>
      <c r="ED391" s="532"/>
      <c r="EE391" s="532"/>
      <c r="EF391" s="532"/>
      <c r="EG391" s="532"/>
      <c r="EH391" s="532"/>
      <c r="EI391" s="532"/>
      <c r="EJ391" s="532"/>
      <c r="EK391" s="532"/>
      <c r="EL391" s="532"/>
      <c r="EM391" s="532"/>
      <c r="EN391" s="532"/>
      <c r="EO391" s="532"/>
      <c r="EP391" s="532"/>
      <c r="EQ391" s="532"/>
      <c r="ER391" s="532"/>
      <c r="ES391" s="532"/>
      <c r="ET391" s="532"/>
      <c r="EU391" s="532"/>
      <c r="EV391" s="532"/>
      <c r="EW391" s="532"/>
      <c r="EX391" s="532"/>
      <c r="EY391" s="532"/>
      <c r="EZ391" s="532"/>
      <c r="FA391" s="532"/>
      <c r="FB391" s="532"/>
      <c r="FC391" s="532"/>
      <c r="FD391" s="532"/>
      <c r="FE391" s="532"/>
      <c r="FF391" s="532"/>
      <c r="FG391" s="532"/>
      <c r="FH391" s="532"/>
      <c r="FI391" s="532"/>
      <c r="FJ391" s="532"/>
      <c r="FK391" s="532"/>
      <c r="FL391" s="532"/>
      <c r="FM391" s="338"/>
      <c r="FN391" s="338"/>
      <c r="FO391" s="338"/>
      <c r="FP391" s="47"/>
      <c r="FQ391" s="47"/>
      <c r="FR391" s="47"/>
      <c r="FS391" s="47"/>
      <c r="FT391" s="47"/>
      <c r="FU391" s="338"/>
      <c r="FV391" s="338"/>
      <c r="FW391" s="338"/>
      <c r="FX391" s="338"/>
      <c r="FY391" s="32"/>
      <c r="FZ391" s="32"/>
      <c r="GA391" s="32"/>
      <c r="GB391" s="32"/>
      <c r="GC391" s="32"/>
      <c r="GD391" s="32"/>
      <c r="GE391" s="32"/>
      <c r="GF391" s="32"/>
      <c r="GG391" s="32"/>
      <c r="GH391" s="32"/>
      <c r="GI391" s="32"/>
      <c r="GJ391" s="32"/>
      <c r="GK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99"/>
      <c r="HO391" s="399"/>
      <c r="HP391" s="399"/>
      <c r="HQ391" s="13"/>
      <c r="HR391" s="13"/>
      <c r="HS391" s="13"/>
      <c r="HT391" s="13"/>
      <c r="HU391" s="13"/>
      <c r="HV391" s="13"/>
      <c r="HW391" s="13"/>
      <c r="HX391" s="13"/>
      <c r="HY391" s="13"/>
      <c r="HZ391" s="13"/>
      <c r="IA391" s="13"/>
    </row>
    <row r="392" spans="1:235" ht="16.95" customHeight="1">
      <c r="A392" s="1"/>
      <c r="B392" s="3"/>
      <c r="C392" s="3"/>
      <c r="D392" s="532"/>
      <c r="E392" s="532"/>
      <c r="F392" s="532"/>
      <c r="G392" s="532"/>
      <c r="H392" s="532"/>
      <c r="I392" s="532"/>
      <c r="J392" s="532"/>
      <c r="K392" s="532"/>
      <c r="L392" s="532"/>
      <c r="M392" s="532"/>
      <c r="N392" s="532"/>
      <c r="O392" s="532"/>
      <c r="P392" s="532"/>
      <c r="Q392" s="532"/>
      <c r="R392" s="532"/>
      <c r="S392" s="532"/>
      <c r="T392" s="532"/>
      <c r="U392" s="532"/>
      <c r="V392" s="532"/>
      <c r="W392" s="532"/>
      <c r="X392" s="532"/>
      <c r="Y392" s="532"/>
      <c r="Z392" s="532"/>
      <c r="AA392" s="532"/>
      <c r="AB392" s="532"/>
      <c r="AC392" s="532"/>
      <c r="AD392" s="532"/>
      <c r="AE392" s="532"/>
      <c r="AF392" s="532"/>
      <c r="AG392" s="532"/>
      <c r="AH392" s="532"/>
      <c r="AI392" s="532"/>
      <c r="AJ392" s="532"/>
      <c r="AK392" s="532"/>
      <c r="AL392" s="532"/>
      <c r="AM392" s="532"/>
      <c r="AN392" s="532"/>
      <c r="AO392" s="532"/>
      <c r="AP392" s="532"/>
      <c r="AQ392" s="532"/>
      <c r="AR392" s="532"/>
      <c r="AS392" s="532"/>
      <c r="AT392" s="532"/>
      <c r="AU392" s="532"/>
      <c r="AV392" s="532"/>
      <c r="AW392" s="532"/>
      <c r="AX392" s="532"/>
      <c r="AY392" s="532"/>
      <c r="AZ392" s="532"/>
      <c r="BA392" s="532"/>
      <c r="BB392" s="532"/>
      <c r="BC392" s="532"/>
      <c r="BD392" s="532"/>
      <c r="BE392" s="532"/>
      <c r="BF392" s="532"/>
      <c r="BG392" s="532"/>
      <c r="BH392" s="532"/>
      <c r="BI392" s="532"/>
      <c r="BJ392" s="532"/>
      <c r="BK392" s="532"/>
      <c r="BL392" s="532"/>
      <c r="BM392" s="532"/>
      <c r="BN392" s="532"/>
      <c r="BO392" s="532"/>
      <c r="BP392" s="532"/>
      <c r="BQ392" s="532"/>
      <c r="BR392" s="532"/>
      <c r="BS392" s="532"/>
      <c r="BT392" s="532"/>
      <c r="BU392" s="532"/>
      <c r="BV392" s="532"/>
      <c r="BW392" s="532"/>
      <c r="BX392" s="532"/>
      <c r="BY392" s="532"/>
      <c r="BZ392" s="532"/>
      <c r="CA392" s="532"/>
      <c r="CB392" s="532"/>
      <c r="CC392" s="532"/>
      <c r="CD392" s="532"/>
      <c r="CE392" s="532"/>
      <c r="CF392" s="532"/>
      <c r="CG392" s="532"/>
      <c r="CH392" s="532"/>
      <c r="CI392" s="532"/>
      <c r="CJ392" s="532"/>
      <c r="CK392" s="532"/>
      <c r="CL392" s="532"/>
      <c r="CM392" s="532"/>
      <c r="CN392" s="532"/>
      <c r="CO392" s="532"/>
      <c r="CP392" s="532"/>
      <c r="CQ392" s="532"/>
      <c r="CR392" s="532"/>
      <c r="CS392" s="532"/>
      <c r="CT392" s="532"/>
      <c r="CU392" s="532"/>
      <c r="CV392" s="532"/>
      <c r="CW392" s="532"/>
      <c r="CX392" s="532"/>
      <c r="CY392" s="532"/>
      <c r="CZ392" s="532"/>
      <c r="DA392" s="532"/>
      <c r="DB392" s="532"/>
      <c r="DC392" s="532"/>
      <c r="DD392" s="532"/>
      <c r="DE392" s="532"/>
      <c r="DF392" s="532"/>
      <c r="DG392" s="532"/>
      <c r="DH392" s="532"/>
      <c r="DI392" s="532"/>
      <c r="DJ392" s="532"/>
      <c r="DK392" s="532"/>
      <c r="DL392" s="532"/>
      <c r="DM392" s="532"/>
      <c r="DN392" s="532"/>
      <c r="DO392" s="532"/>
      <c r="DP392" s="532"/>
      <c r="DQ392" s="532"/>
      <c r="DR392" s="532"/>
      <c r="DS392" s="532"/>
      <c r="DT392" s="532"/>
      <c r="DU392" s="532"/>
      <c r="DV392" s="532"/>
      <c r="DW392" s="532"/>
      <c r="DX392" s="532"/>
      <c r="DY392" s="532"/>
      <c r="DZ392" s="532"/>
      <c r="EA392" s="532"/>
      <c r="EB392" s="532"/>
      <c r="EC392" s="532"/>
      <c r="ED392" s="532"/>
      <c r="EE392" s="532"/>
      <c r="EF392" s="532"/>
      <c r="EG392" s="532"/>
      <c r="EH392" s="532"/>
      <c r="EI392" s="532"/>
      <c r="EJ392" s="532"/>
      <c r="EK392" s="532"/>
      <c r="EL392" s="532"/>
      <c r="EM392" s="532"/>
      <c r="EN392" s="532"/>
      <c r="EO392" s="532"/>
      <c r="EP392" s="532"/>
      <c r="EQ392" s="532"/>
      <c r="ER392" s="532"/>
      <c r="ES392" s="532"/>
      <c r="ET392" s="532"/>
      <c r="EU392" s="532"/>
      <c r="EV392" s="532"/>
      <c r="EW392" s="532"/>
      <c r="EX392" s="532"/>
      <c r="EY392" s="532"/>
      <c r="EZ392" s="532"/>
      <c r="FA392" s="532"/>
      <c r="FB392" s="532"/>
      <c r="FC392" s="532"/>
      <c r="FD392" s="532"/>
      <c r="FE392" s="532"/>
      <c r="FF392" s="532"/>
      <c r="FG392" s="532"/>
      <c r="FH392" s="532"/>
      <c r="FI392" s="532"/>
      <c r="FJ392" s="532"/>
      <c r="FK392" s="532"/>
      <c r="FL392" s="532"/>
      <c r="FM392" s="338"/>
      <c r="FN392" s="338"/>
      <c r="FO392" s="338"/>
      <c r="FP392" s="47"/>
      <c r="FQ392" s="47"/>
      <c r="FR392" s="47"/>
      <c r="FS392" s="47"/>
      <c r="FT392" s="47"/>
      <c r="FU392" s="338"/>
      <c r="FV392" s="338"/>
      <c r="FW392" s="338"/>
      <c r="FX392" s="338"/>
      <c r="FY392" s="32"/>
      <c r="FZ392" s="32"/>
      <c r="GA392" s="32"/>
      <c r="GB392" s="32"/>
      <c r="GC392" s="32"/>
      <c r="GD392" s="32"/>
      <c r="GE392" s="32"/>
      <c r="GF392" s="32"/>
      <c r="GG392" s="32"/>
      <c r="GH392" s="32"/>
      <c r="GI392" s="32"/>
      <c r="GJ392" s="32"/>
      <c r="GK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99"/>
      <c r="HO392" s="399"/>
      <c r="HP392" s="399"/>
      <c r="HQ392" s="13"/>
      <c r="HR392" s="13"/>
      <c r="HS392" s="13"/>
      <c r="HT392" s="13"/>
      <c r="HU392" s="13"/>
      <c r="HV392" s="13"/>
      <c r="HW392" s="13"/>
      <c r="HX392" s="13"/>
      <c r="HY392" s="13"/>
      <c r="HZ392" s="13"/>
      <c r="IA392" s="13"/>
    </row>
    <row r="393" spans="1:235" ht="16.95" customHeight="1">
      <c r="A393" s="1"/>
      <c r="B393" s="3"/>
      <c r="C393" s="3"/>
      <c r="D393" s="124" t="str">
        <f ca="1">IF(FO367=0,"","Het komt eigenlijk niet voor dat je de prijsgroepen zelf zult moeten indelen.")</f>
        <v/>
      </c>
      <c r="E393" s="414"/>
      <c r="F393" s="414"/>
      <c r="G393" s="414"/>
      <c r="H393" s="414"/>
      <c r="I393" s="414"/>
      <c r="J393" s="376"/>
      <c r="K393" s="376"/>
      <c r="L393" s="376"/>
      <c r="M393" s="376"/>
      <c r="N393" s="376"/>
      <c r="O393" s="376"/>
      <c r="P393" s="376"/>
      <c r="Q393" s="376"/>
      <c r="R393" s="376"/>
      <c r="S393" s="376"/>
      <c r="T393" s="376"/>
      <c r="U393" s="376"/>
      <c r="V393" s="43"/>
      <c r="W393" s="43"/>
      <c r="X393" s="43"/>
      <c r="Y393" s="43"/>
      <c r="Z393" s="43"/>
      <c r="AA393" s="43"/>
      <c r="AB393" s="43"/>
      <c r="AC393" s="43"/>
      <c r="AD393" s="43"/>
      <c r="AE393" s="43"/>
      <c r="AF393" s="43"/>
      <c r="AG393" s="43"/>
      <c r="AH393" s="43"/>
      <c r="AI393" s="43"/>
      <c r="AJ393" s="43"/>
      <c r="AK393" s="43"/>
      <c r="AL393" s="43"/>
      <c r="AM393" s="43"/>
      <c r="AN393" s="43"/>
      <c r="CB393" s="43"/>
      <c r="CC393" s="43"/>
      <c r="CD393" s="43"/>
      <c r="CE393" s="43"/>
      <c r="CF393" s="43"/>
      <c r="CG393" s="43"/>
      <c r="CH393" s="43"/>
      <c r="CI393" s="43"/>
      <c r="CJ393" s="43"/>
      <c r="CK393" s="43"/>
      <c r="CL393" s="43"/>
      <c r="CM393" s="43"/>
      <c r="CN393" s="43"/>
      <c r="CO393" s="43"/>
      <c r="CP393" s="376"/>
      <c r="CQ393" s="376"/>
      <c r="CR393" s="376"/>
      <c r="CS393" s="376"/>
      <c r="CT393" s="376"/>
      <c r="CU393" s="376"/>
      <c r="CV393" s="376"/>
      <c r="CW393" s="376"/>
      <c r="CX393" s="376"/>
      <c r="CY393" s="376"/>
      <c r="CZ393" s="172"/>
      <c r="DA393" s="172"/>
      <c r="DB393" s="172"/>
      <c r="DC393" s="172"/>
      <c r="DD393" s="172"/>
      <c r="DE393" s="413"/>
      <c r="DF393" s="413"/>
      <c r="DG393" s="413"/>
      <c r="DH393" s="413"/>
      <c r="DI393" s="413"/>
      <c r="DJ393" s="413"/>
      <c r="DK393" s="413"/>
      <c r="DL393" s="413"/>
      <c r="DM393" s="413"/>
      <c r="DN393" s="413"/>
      <c r="DO393" s="413"/>
      <c r="DP393" s="413"/>
      <c r="DQ393" s="413"/>
      <c r="DR393" s="413"/>
      <c r="DS393" s="413"/>
      <c r="DT393" s="413"/>
      <c r="DU393" s="413"/>
      <c r="DV393" s="413"/>
      <c r="DW393" s="413"/>
      <c r="DX393" s="413"/>
      <c r="DY393" s="413"/>
      <c r="DZ393" s="413"/>
      <c r="EA393" s="413"/>
      <c r="EB393" s="413"/>
      <c r="EC393" s="413"/>
      <c r="ED393" s="413"/>
      <c r="EE393" s="413"/>
      <c r="EF393" s="413"/>
      <c r="EG393" s="413"/>
      <c r="EH393" s="413"/>
      <c r="EI393" s="413"/>
      <c r="EJ393" s="413"/>
      <c r="EK393" s="413"/>
      <c r="EL393" s="413"/>
      <c r="EM393" s="413"/>
      <c r="EN393" s="413"/>
      <c r="EO393" s="413"/>
      <c r="EP393" s="413"/>
      <c r="EQ393" s="413"/>
      <c r="ER393" s="413"/>
      <c r="ES393" s="413"/>
      <c r="ET393" s="413"/>
      <c r="EU393" s="413"/>
      <c r="EV393" s="413"/>
      <c r="EW393" s="413"/>
      <c r="EX393" s="413"/>
      <c r="EY393" s="413"/>
      <c r="EZ393" s="413"/>
      <c r="FA393" s="413"/>
      <c r="FB393" s="413"/>
      <c r="FC393" s="413"/>
      <c r="FD393" s="413"/>
      <c r="FE393" s="413"/>
      <c r="FF393" s="413"/>
      <c r="FG393" s="413"/>
      <c r="FH393" s="413"/>
      <c r="FI393" s="107"/>
      <c r="FJ393" s="107"/>
      <c r="FK393" s="107"/>
      <c r="FL393" s="107"/>
      <c r="FM393" s="338"/>
      <c r="FN393" s="338"/>
      <c r="FO393" s="338"/>
      <c r="FP393" s="47"/>
      <c r="FQ393" s="47"/>
      <c r="FR393" s="47"/>
      <c r="FS393" s="47"/>
      <c r="FT393" s="47"/>
      <c r="FU393" s="338"/>
      <c r="FV393" s="338"/>
      <c r="FW393" s="338"/>
      <c r="FX393" s="338"/>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38"/>
      <c r="HO393" s="338"/>
      <c r="HP393" s="338"/>
      <c r="HQ393" s="13"/>
      <c r="HR393" s="13"/>
      <c r="HS393" s="13"/>
      <c r="HT393" s="13"/>
      <c r="HU393" s="13"/>
      <c r="HV393" s="13"/>
      <c r="HW393" s="13"/>
      <c r="HX393" s="13"/>
      <c r="HY393" s="13"/>
      <c r="HZ393" s="13"/>
      <c r="IA393" s="13"/>
    </row>
    <row r="394" spans="1:235" ht="16.95" customHeight="1">
      <c r="A394" s="1"/>
      <c r="B394" s="3"/>
      <c r="C394" s="3"/>
      <c r="D394" s="124" t="str">
        <f ca="1">IF(FO367=0,"","Je zult alleen moeten aantonen dat door het werken met de gegeven prijs-")</f>
        <v/>
      </c>
      <c r="E394" s="414"/>
      <c r="F394" s="414"/>
      <c r="G394" s="414"/>
      <c r="H394" s="414"/>
      <c r="I394" s="414"/>
      <c r="J394" s="376"/>
      <c r="K394" s="376"/>
      <c r="L394" s="376"/>
      <c r="M394" s="376"/>
      <c r="N394" s="376"/>
      <c r="O394" s="376"/>
      <c r="P394" s="376"/>
      <c r="Q394" s="376"/>
      <c r="R394" s="376"/>
      <c r="S394" s="376"/>
      <c r="T394" s="376"/>
      <c r="U394" s="376"/>
      <c r="V394" s="43"/>
      <c r="W394" s="43"/>
      <c r="X394" s="43"/>
      <c r="Y394" s="43"/>
      <c r="Z394" s="43"/>
      <c r="AA394" s="43"/>
      <c r="AB394" s="43"/>
      <c r="AC394" s="43"/>
      <c r="AD394" s="43"/>
      <c r="AE394" s="43"/>
      <c r="AF394" s="43"/>
      <c r="AG394" s="43"/>
      <c r="AH394" s="43"/>
      <c r="AI394" s="43"/>
      <c r="AJ394" s="43"/>
      <c r="AK394" s="43"/>
      <c r="AL394" s="43"/>
      <c r="AM394" s="43"/>
      <c r="AN394" s="43"/>
      <c r="CB394" s="43"/>
      <c r="CC394" s="43"/>
      <c r="CD394" s="43"/>
      <c r="CE394" s="43"/>
      <c r="CF394" s="43"/>
      <c r="CG394" s="43"/>
      <c r="CH394" s="43"/>
      <c r="CI394" s="43"/>
      <c r="CJ394" s="43"/>
      <c r="CK394" s="43"/>
      <c r="CL394" s="43"/>
      <c r="CM394" s="43"/>
      <c r="CN394" s="43"/>
      <c r="CO394" s="43"/>
      <c r="CP394" s="376"/>
      <c r="CQ394" s="376"/>
      <c r="CR394" s="376"/>
      <c r="CS394" s="376"/>
      <c r="CT394" s="376"/>
      <c r="CU394" s="376"/>
      <c r="CV394" s="376"/>
      <c r="CW394" s="376"/>
      <c r="CX394" s="376"/>
      <c r="CY394" s="376"/>
      <c r="CZ394" s="172"/>
      <c r="DA394" s="172"/>
      <c r="DB394" s="172"/>
      <c r="DC394" s="172"/>
      <c r="DD394" s="172"/>
      <c r="DE394" s="413"/>
      <c r="DF394" s="413"/>
      <c r="DG394" s="413"/>
      <c r="DH394" s="413"/>
      <c r="DI394" s="413"/>
      <c r="DJ394" s="413"/>
      <c r="DK394" s="413"/>
      <c r="DL394" s="413"/>
      <c r="DM394" s="413"/>
      <c r="DN394" s="413"/>
      <c r="DO394" s="413"/>
      <c r="DP394" s="413"/>
      <c r="DQ394" s="413"/>
      <c r="DR394" s="413"/>
      <c r="DS394" s="413"/>
      <c r="DT394" s="413"/>
      <c r="DU394" s="413"/>
      <c r="DV394" s="413"/>
      <c r="DW394" s="413"/>
      <c r="DX394" s="413"/>
      <c r="DY394" s="413"/>
      <c r="DZ394" s="413"/>
      <c r="EA394" s="413"/>
      <c r="EB394" s="413"/>
      <c r="EC394" s="413"/>
      <c r="ED394" s="413"/>
      <c r="EE394" s="413"/>
      <c r="EF394" s="413"/>
      <c r="EG394" s="413"/>
      <c r="EH394" s="413"/>
      <c r="EI394" s="413"/>
      <c r="EJ394" s="413"/>
      <c r="EK394" s="413"/>
      <c r="EL394" s="413"/>
      <c r="EM394" s="413"/>
      <c r="EN394" s="413"/>
      <c r="EO394" s="413"/>
      <c r="EP394" s="413"/>
      <c r="EQ394" s="413"/>
      <c r="ER394" s="413"/>
      <c r="ES394" s="413"/>
      <c r="ET394" s="413"/>
      <c r="EU394" s="413"/>
      <c r="EV394" s="413"/>
      <c r="EW394" s="413"/>
      <c r="EX394" s="413"/>
      <c r="EY394" s="413"/>
      <c r="EZ394" s="413"/>
      <c r="FA394" s="413"/>
      <c r="FB394" s="413"/>
      <c r="FC394" s="413"/>
      <c r="FD394" s="413"/>
      <c r="FE394" s="413"/>
      <c r="FF394" s="413"/>
      <c r="FG394" s="413"/>
      <c r="FH394" s="413"/>
      <c r="FI394" s="107"/>
      <c r="FJ394" s="107"/>
      <c r="FK394" s="107"/>
      <c r="FL394" s="107"/>
      <c r="FM394" s="338"/>
      <c r="FN394" s="338"/>
      <c r="FO394" s="338"/>
      <c r="FP394" s="47"/>
      <c r="FQ394" s="47"/>
      <c r="FR394" s="47"/>
      <c r="FS394" s="47"/>
      <c r="FT394" s="47"/>
      <c r="FU394" s="338"/>
      <c r="FV394" s="338"/>
      <c r="FW394" s="338"/>
      <c r="FX394" s="338"/>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38"/>
      <c r="HO394" s="338"/>
      <c r="HP394" s="338"/>
      <c r="HQ394" s="13"/>
      <c r="HR394" s="13"/>
      <c r="HS394" s="13"/>
      <c r="HT394" s="13"/>
      <c r="HU394" s="13"/>
      <c r="HV394" s="13"/>
      <c r="HW394" s="13"/>
      <c r="HX394" s="13"/>
      <c r="HY394" s="13"/>
      <c r="HZ394" s="13"/>
      <c r="IA394" s="13"/>
    </row>
    <row r="395" spans="1:235" ht="16.95" customHeight="1">
      <c r="A395" s="1"/>
      <c r="B395" s="3"/>
      <c r="C395" s="3"/>
      <c r="D395" s="124" t="str">
        <f ca="1">IF(FO367=0,"","groepen de winst en daarmee de totale dekkingsbijdrage en het totale")</f>
        <v/>
      </c>
      <c r="E395" s="414"/>
      <c r="F395" s="414"/>
      <c r="G395" s="414"/>
      <c r="H395" s="414"/>
      <c r="I395" s="414"/>
      <c r="J395" s="376"/>
      <c r="K395" s="376"/>
      <c r="L395" s="376"/>
      <c r="M395" s="376"/>
      <c r="N395" s="376"/>
      <c r="O395" s="376"/>
      <c r="P395" s="376"/>
      <c r="Q395" s="376"/>
      <c r="R395" s="376"/>
      <c r="S395" s="376"/>
      <c r="T395" s="376"/>
      <c r="U395" s="376"/>
      <c r="V395" s="43"/>
      <c r="W395" s="43"/>
      <c r="X395" s="43"/>
      <c r="Y395" s="43"/>
      <c r="Z395" s="43"/>
      <c r="AA395" s="43"/>
      <c r="AB395" s="43"/>
      <c r="AC395" s="43"/>
      <c r="AD395" s="43"/>
      <c r="AE395" s="43"/>
      <c r="AF395" s="43"/>
      <c r="AG395" s="43"/>
      <c r="AH395" s="43"/>
      <c r="AI395" s="43"/>
      <c r="AJ395" s="43"/>
      <c r="AK395" s="43"/>
      <c r="AL395" s="43"/>
      <c r="AM395" s="43"/>
      <c r="AN395" s="43"/>
      <c r="CB395" s="43"/>
      <c r="CC395" s="43"/>
      <c r="CD395" s="43"/>
      <c r="CE395" s="43"/>
      <c r="CF395" s="43"/>
      <c r="CG395" s="43"/>
      <c r="CH395" s="43"/>
      <c r="CI395" s="43"/>
      <c r="CJ395" s="43"/>
      <c r="CK395" s="43"/>
      <c r="CL395" s="43"/>
      <c r="CM395" s="43"/>
      <c r="CN395" s="43"/>
      <c r="CO395" s="43"/>
      <c r="CP395" s="376"/>
      <c r="CQ395" s="376"/>
      <c r="CR395" s="376"/>
      <c r="CS395" s="376"/>
      <c r="CT395" s="376"/>
      <c r="CU395" s="376"/>
      <c r="CV395" s="376"/>
      <c r="CW395" s="376"/>
      <c r="CX395" s="376"/>
      <c r="CY395" s="376"/>
      <c r="CZ395" s="172"/>
      <c r="DA395" s="172"/>
      <c r="DB395" s="172"/>
      <c r="DC395" s="172"/>
      <c r="DD395" s="172"/>
      <c r="DE395" s="413"/>
      <c r="DF395" s="413"/>
      <c r="DG395" s="413"/>
      <c r="DH395" s="413"/>
      <c r="DI395" s="413"/>
      <c r="DJ395" s="413"/>
      <c r="DK395" s="413"/>
      <c r="DL395" s="413"/>
      <c r="DM395" s="413"/>
      <c r="DN395" s="413"/>
      <c r="DO395" s="413"/>
      <c r="DP395" s="413"/>
      <c r="DQ395" s="413"/>
      <c r="DR395" s="413"/>
      <c r="DS395" s="413"/>
      <c r="DT395" s="413"/>
      <c r="DU395" s="413"/>
      <c r="DV395" s="413"/>
      <c r="DW395" s="413"/>
      <c r="DX395" s="413"/>
      <c r="DY395" s="413"/>
      <c r="DZ395" s="413"/>
      <c r="EA395" s="413"/>
      <c r="EB395" s="413"/>
      <c r="EC395" s="413"/>
      <c r="ED395" s="413"/>
      <c r="EE395" s="413"/>
      <c r="EF395" s="413"/>
      <c r="EG395" s="413"/>
      <c r="EH395" s="413"/>
      <c r="EI395" s="413"/>
      <c r="EJ395" s="413"/>
      <c r="EK395" s="413"/>
      <c r="EL395" s="413"/>
      <c r="EM395" s="413"/>
      <c r="EN395" s="413"/>
      <c r="EO395" s="413"/>
      <c r="EP395" s="413"/>
      <c r="EQ395" s="413"/>
      <c r="ER395" s="413"/>
      <c r="ES395" s="413"/>
      <c r="ET395" s="413"/>
      <c r="EU395" s="413"/>
      <c r="EV395" s="413"/>
      <c r="EW395" s="413"/>
      <c r="EX395" s="413"/>
      <c r="EY395" s="413"/>
      <c r="EZ395" s="413"/>
      <c r="FA395" s="413"/>
      <c r="FB395" s="413"/>
      <c r="FC395" s="413"/>
      <c r="FD395" s="413"/>
      <c r="FE395" s="413"/>
      <c r="FF395" s="413"/>
      <c r="FG395" s="413"/>
      <c r="FH395" s="413"/>
      <c r="FI395" s="107"/>
      <c r="FJ395" s="107"/>
      <c r="FK395" s="107"/>
      <c r="FL395" s="107"/>
      <c r="FM395" s="338"/>
      <c r="FN395" s="338"/>
      <c r="FO395" s="338"/>
      <c r="FP395" s="47"/>
      <c r="FQ395" s="47"/>
      <c r="FR395" s="47"/>
      <c r="FS395" s="47"/>
      <c r="FT395" s="47"/>
      <c r="FU395" s="338"/>
      <c r="FV395" s="338"/>
      <c r="FW395" s="338"/>
      <c r="FX395" s="338"/>
      <c r="FY395" s="32"/>
      <c r="FZ395" s="32"/>
      <c r="GA395" s="32"/>
      <c r="GB395" s="32"/>
      <c r="GC395" s="32"/>
      <c r="GD395" s="32"/>
      <c r="GE395" s="32"/>
      <c r="GF395" s="32"/>
      <c r="GG395" s="32"/>
      <c r="GH395" s="32"/>
      <c r="GI395" s="32"/>
      <c r="GJ395" s="32"/>
      <c r="GK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38"/>
      <c r="HO395" s="338"/>
      <c r="HP395" s="338"/>
      <c r="HQ395" s="13"/>
      <c r="HR395" s="13"/>
      <c r="HS395" s="13"/>
      <c r="HT395" s="13"/>
      <c r="HU395" s="13"/>
      <c r="HV395" s="13"/>
      <c r="HW395" s="13"/>
      <c r="HX395" s="13"/>
      <c r="HY395" s="13"/>
      <c r="HZ395" s="13"/>
      <c r="IA395" s="13"/>
    </row>
    <row r="396" spans="1:235" ht="16.95" customHeight="1">
      <c r="A396" s="1"/>
      <c r="B396" s="3"/>
      <c r="C396" s="3"/>
      <c r="D396" s="124" t="str">
        <f ca="1">IF(FO367=0,"","producentensurplus gestegen is.")</f>
        <v/>
      </c>
      <c r="E396" s="414"/>
      <c r="F396" s="414"/>
      <c r="G396" s="414"/>
      <c r="H396" s="414"/>
      <c r="I396" s="414"/>
      <c r="J396" s="376"/>
      <c r="K396" s="376"/>
      <c r="L396" s="376"/>
      <c r="M396" s="376"/>
      <c r="N396" s="376"/>
      <c r="O396" s="376"/>
      <c r="P396" s="376"/>
      <c r="Q396" s="376"/>
      <c r="R396" s="376"/>
      <c r="S396" s="376"/>
      <c r="T396" s="376"/>
      <c r="U396" s="376"/>
      <c r="V396" s="43"/>
      <c r="W396" s="43"/>
      <c r="X396" s="43"/>
      <c r="Y396" s="43"/>
      <c r="Z396" s="43"/>
      <c r="AA396" s="43"/>
      <c r="AB396" s="43"/>
      <c r="AC396" s="43"/>
      <c r="AD396" s="43"/>
      <c r="AE396" s="43"/>
      <c r="AF396" s="43"/>
      <c r="AG396" s="43"/>
      <c r="AH396" s="43"/>
      <c r="AI396" s="43"/>
      <c r="AJ396" s="43"/>
      <c r="AK396" s="43"/>
      <c r="AL396" s="43"/>
      <c r="AM396" s="43"/>
      <c r="AN396" s="43"/>
      <c r="CB396" s="43"/>
      <c r="CC396" s="43"/>
      <c r="CD396" s="43"/>
      <c r="CE396" s="43"/>
      <c r="CF396" s="43"/>
      <c r="CG396" s="43"/>
      <c r="CH396" s="43"/>
      <c r="CI396" s="43"/>
      <c r="CJ396" s="43"/>
      <c r="CK396" s="43"/>
      <c r="CL396" s="43"/>
      <c r="CM396" s="43"/>
      <c r="CN396" s="43"/>
      <c r="CO396" s="43"/>
      <c r="CP396" s="376"/>
      <c r="CQ396" s="376"/>
      <c r="CR396" s="376"/>
      <c r="CS396" s="376"/>
      <c r="CT396" s="376"/>
      <c r="CU396" s="376"/>
      <c r="CV396" s="376"/>
      <c r="CW396" s="376"/>
      <c r="CX396" s="376"/>
      <c r="CY396" s="376"/>
      <c r="CZ396" s="172"/>
      <c r="DA396" s="172"/>
      <c r="DB396" s="172"/>
      <c r="DC396" s="172"/>
      <c r="DD396" s="172"/>
      <c r="DE396" s="413"/>
      <c r="DF396" s="413"/>
      <c r="DG396" s="413"/>
      <c r="DH396" s="413"/>
      <c r="DI396" s="413"/>
      <c r="DJ396" s="413"/>
      <c r="DK396" s="413"/>
      <c r="DL396" s="413"/>
      <c r="DM396" s="413"/>
      <c r="DN396" s="413"/>
      <c r="DO396" s="413"/>
      <c r="DP396" s="413"/>
      <c r="DQ396" s="413"/>
      <c r="DR396" s="413"/>
      <c r="DS396" s="413"/>
      <c r="DT396" s="413"/>
      <c r="DU396" s="413"/>
      <c r="DV396" s="413"/>
      <c r="DW396" s="413"/>
      <c r="DX396" s="413"/>
      <c r="DY396" s="413"/>
      <c r="DZ396" s="413"/>
      <c r="EA396" s="413"/>
      <c r="EB396" s="413"/>
      <c r="EC396" s="413"/>
      <c r="ED396" s="413"/>
      <c r="EE396" s="413"/>
      <c r="EF396" s="413"/>
      <c r="EG396" s="413"/>
      <c r="EH396" s="413"/>
      <c r="EI396" s="413"/>
      <c r="EJ396" s="413"/>
      <c r="EK396" s="413"/>
      <c r="EL396" s="413"/>
      <c r="EM396" s="413"/>
      <c r="EN396" s="413"/>
      <c r="EO396" s="413"/>
      <c r="EP396" s="413"/>
      <c r="EQ396" s="413"/>
      <c r="ER396" s="413"/>
      <c r="ES396" s="413"/>
      <c r="ET396" s="413"/>
      <c r="EU396" s="413"/>
      <c r="EV396" s="413"/>
      <c r="EW396" s="413"/>
      <c r="EX396" s="413"/>
      <c r="EY396" s="413"/>
      <c r="EZ396" s="413"/>
      <c r="FA396" s="413"/>
      <c r="FB396" s="413"/>
      <c r="FC396" s="413"/>
      <c r="FD396" s="413"/>
      <c r="FE396" s="413"/>
      <c r="FF396" s="413"/>
      <c r="FG396" s="413"/>
      <c r="FH396" s="413"/>
      <c r="FI396" s="107"/>
      <c r="FJ396" s="107"/>
      <c r="FK396" s="107"/>
      <c r="FL396" s="107"/>
      <c r="FM396" s="338"/>
      <c r="FN396" s="338"/>
      <c r="FO396" s="338"/>
      <c r="FP396" s="47"/>
      <c r="FQ396" s="47"/>
      <c r="FR396" s="47"/>
      <c r="FS396" s="47"/>
      <c r="FT396" s="47"/>
      <c r="FU396" s="338"/>
      <c r="FV396" s="338"/>
      <c r="FW396" s="338"/>
      <c r="FX396" s="338"/>
      <c r="FY396" s="32"/>
      <c r="FZ396" s="32"/>
      <c r="GA396" s="32"/>
      <c r="GB396" s="32"/>
      <c r="GC396" s="32"/>
      <c r="GD396" s="32"/>
      <c r="GE396" s="32"/>
      <c r="GF396" s="32"/>
      <c r="GG396" s="32"/>
      <c r="GH396" s="32"/>
      <c r="GI396" s="32"/>
      <c r="GJ396" s="32"/>
      <c r="GK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38"/>
      <c r="HO396" s="338"/>
      <c r="HP396" s="338"/>
      <c r="HQ396" s="13"/>
      <c r="HR396" s="13"/>
      <c r="HS396" s="13"/>
      <c r="HT396" s="13"/>
      <c r="HU396" s="13"/>
      <c r="HV396" s="13"/>
      <c r="HW396" s="13"/>
      <c r="HX396" s="13"/>
      <c r="HY396" s="13"/>
      <c r="HZ396" s="13"/>
      <c r="IA396" s="13"/>
    </row>
    <row r="397" spans="1:235" ht="16.95" customHeight="1">
      <c r="A397" s="1"/>
      <c r="B397" s="3"/>
      <c r="C397" s="3"/>
      <c r="D397" s="124"/>
      <c r="E397" s="414"/>
      <c r="F397" s="414"/>
      <c r="G397" s="414"/>
      <c r="H397" s="414"/>
      <c r="I397" s="414"/>
      <c r="J397" s="376"/>
      <c r="K397" s="376"/>
      <c r="L397" s="376"/>
      <c r="M397" s="376"/>
      <c r="N397" s="376"/>
      <c r="O397" s="376"/>
      <c r="P397" s="376"/>
      <c r="Q397" s="376"/>
      <c r="R397" s="376"/>
      <c r="S397" s="376"/>
      <c r="T397" s="376"/>
      <c r="U397" s="376"/>
      <c r="V397" s="43"/>
      <c r="W397" s="43"/>
      <c r="X397" s="43"/>
      <c r="Y397" s="43"/>
      <c r="Z397" s="43"/>
      <c r="AA397" s="43"/>
      <c r="AB397" s="43"/>
      <c r="AC397" s="43"/>
      <c r="AD397" s="43"/>
      <c r="AE397" s="43"/>
      <c r="AF397" s="43"/>
      <c r="AG397" s="43"/>
      <c r="AH397" s="43"/>
      <c r="AI397" s="43"/>
      <c r="AJ397" s="43"/>
      <c r="AK397" s="43"/>
      <c r="AL397" s="43"/>
      <c r="AM397" s="43"/>
      <c r="AN397" s="43"/>
      <c r="CB397" s="43"/>
      <c r="CC397" s="43"/>
      <c r="CD397" s="43"/>
      <c r="CE397" s="43"/>
      <c r="CF397" s="43"/>
      <c r="CG397" s="43"/>
      <c r="CH397" s="43"/>
      <c r="CI397" s="43"/>
      <c r="CJ397" s="43"/>
      <c r="CK397" s="43"/>
      <c r="CL397" s="43"/>
      <c r="CM397" s="43"/>
      <c r="CN397" s="43"/>
      <c r="CO397" s="43"/>
      <c r="CP397" s="376"/>
      <c r="CQ397" s="376"/>
      <c r="CR397" s="376"/>
      <c r="CS397" s="376"/>
      <c r="CT397" s="376"/>
      <c r="CU397" s="376"/>
      <c r="CV397" s="376"/>
      <c r="CW397" s="376"/>
      <c r="CX397" s="376"/>
      <c r="CY397" s="376"/>
      <c r="CZ397" s="172"/>
      <c r="DA397" s="172"/>
      <c r="DB397" s="172"/>
      <c r="DC397" s="172"/>
      <c r="DD397" s="172"/>
      <c r="DE397" s="413"/>
      <c r="DF397" s="413"/>
      <c r="DG397" s="413"/>
      <c r="DH397" s="413"/>
      <c r="DI397" s="413"/>
      <c r="DJ397" s="413"/>
      <c r="DK397" s="413"/>
      <c r="DL397" s="413"/>
      <c r="DM397" s="413"/>
      <c r="DN397" s="413"/>
      <c r="DO397" s="413"/>
      <c r="DP397" s="413"/>
      <c r="DQ397" s="413"/>
      <c r="DR397" s="413"/>
      <c r="DS397" s="413"/>
      <c r="DT397" s="413"/>
      <c r="DU397" s="413"/>
      <c r="DV397" s="413"/>
      <c r="DW397" s="413"/>
      <c r="DX397" s="413"/>
      <c r="DY397" s="413"/>
      <c r="DZ397" s="413"/>
      <c r="EA397" s="413"/>
      <c r="EB397" s="413"/>
      <c r="EC397" s="413"/>
      <c r="ED397" s="413"/>
      <c r="EE397" s="413"/>
      <c r="EF397" s="413"/>
      <c r="EG397" s="413"/>
      <c r="EH397" s="413"/>
      <c r="EI397" s="413"/>
      <c r="EJ397" s="413"/>
      <c r="EK397" s="413"/>
      <c r="EL397" s="413"/>
      <c r="EM397" s="413"/>
      <c r="EN397" s="413"/>
      <c r="EO397" s="413"/>
      <c r="EP397" s="413"/>
      <c r="EQ397" s="413"/>
      <c r="ER397" s="413"/>
      <c r="ES397" s="413"/>
      <c r="ET397" s="413"/>
      <c r="EU397" s="413"/>
      <c r="EV397" s="413"/>
      <c r="EW397" s="413"/>
      <c r="EX397" s="413"/>
      <c r="EY397" s="413"/>
      <c r="EZ397" s="413"/>
      <c r="FA397" s="413"/>
      <c r="FB397" s="413"/>
      <c r="FC397" s="413"/>
      <c r="FD397" s="413"/>
      <c r="FE397" s="413"/>
      <c r="FF397" s="107"/>
      <c r="FG397" s="107"/>
      <c r="FH397" s="107"/>
      <c r="FI397" s="107"/>
      <c r="FJ397" s="107"/>
      <c r="FK397" s="107"/>
      <c r="FL397" s="107"/>
      <c r="FM397" s="338"/>
      <c r="FN397" s="338"/>
      <c r="FO397" s="338"/>
      <c r="FP397" s="47"/>
      <c r="FQ397" s="47"/>
      <c r="FR397" s="47"/>
      <c r="FS397" s="47"/>
      <c r="FT397" s="47"/>
      <c r="FU397" s="338"/>
      <c r="FV397" s="338"/>
      <c r="FW397" s="338"/>
      <c r="FX397" s="338"/>
      <c r="FY397" s="32"/>
      <c r="FZ397" s="32"/>
      <c r="GA397" s="32"/>
      <c r="GB397" s="32"/>
      <c r="GC397" s="32"/>
      <c r="GD397" s="32"/>
      <c r="GE397" s="32"/>
      <c r="GF397" s="32"/>
      <c r="GG397" s="32"/>
      <c r="GH397" s="32"/>
      <c r="GI397" s="32"/>
      <c r="GJ397" s="32"/>
      <c r="GK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38"/>
      <c r="HO397" s="338"/>
      <c r="HP397" s="338"/>
      <c r="HQ397" s="13"/>
      <c r="HR397" s="13"/>
      <c r="HS397" s="13"/>
      <c r="HT397" s="13"/>
      <c r="HU397" s="13"/>
      <c r="HV397" s="13"/>
      <c r="HW397" s="13"/>
      <c r="HX397" s="13"/>
      <c r="HY397" s="13"/>
      <c r="HZ397" s="13"/>
      <c r="IA397" s="13"/>
    </row>
    <row r="398" spans="1:235" s="66" customFormat="1" ht="16.95" customHeight="1">
      <c r="A398" s="60"/>
      <c r="B398" s="3"/>
      <c r="C398" s="273"/>
      <c r="D398" s="409" t="str">
        <f ca="1">IF(FO367=0,"","De functie van de gemiddelde totale kosten luidt GTK = "&amp;FS398&amp;" + "&amp;FT398&amp;"/q")</f>
        <v/>
      </c>
      <c r="E398" s="274"/>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75"/>
      <c r="AE398" s="275"/>
      <c r="AF398" s="275"/>
      <c r="AG398" s="275"/>
      <c r="AH398" s="275"/>
      <c r="AI398" s="275"/>
      <c r="AJ398" s="275"/>
      <c r="AK398" s="275"/>
      <c r="AL398" s="275"/>
      <c r="AM398" s="275"/>
      <c r="AN398" s="275"/>
      <c r="AO398" s="275"/>
      <c r="AP398" s="275"/>
      <c r="AQ398" s="275"/>
      <c r="AR398" s="275"/>
      <c r="AS398" s="275"/>
      <c r="AT398" s="275"/>
      <c r="AU398" s="275"/>
      <c r="AV398" s="275"/>
      <c r="AW398" s="275"/>
      <c r="AX398" s="275"/>
      <c r="AY398" s="275"/>
      <c r="AZ398" s="275"/>
      <c r="BA398" s="275"/>
      <c r="BB398" s="275"/>
      <c r="BC398" s="275"/>
      <c r="BD398" s="275"/>
      <c r="BE398" s="275"/>
      <c r="BF398" s="275"/>
      <c r="BG398" s="275"/>
      <c r="BH398" s="275"/>
      <c r="BI398" s="275"/>
      <c r="BJ398" s="275"/>
      <c r="BK398" s="275"/>
      <c r="BL398" s="275"/>
      <c r="BM398" s="275"/>
      <c r="BN398" s="275"/>
      <c r="BO398" s="276"/>
      <c r="BP398" s="276"/>
      <c r="BQ398" s="276"/>
      <c r="BR398" s="276"/>
      <c r="BS398" s="276"/>
      <c r="BT398" s="276"/>
      <c r="BU398" s="276"/>
      <c r="BV398" s="276"/>
      <c r="BW398" s="276"/>
      <c r="BX398" s="276"/>
      <c r="BY398" s="276"/>
      <c r="BZ398" s="276"/>
      <c r="CA398" s="276"/>
      <c r="CB398" s="276"/>
      <c r="CC398" s="276"/>
      <c r="CD398" s="276"/>
      <c r="CE398" s="276"/>
      <c r="CF398" s="276"/>
      <c r="CG398" s="276"/>
      <c r="CH398" s="275"/>
      <c r="CI398" s="275"/>
      <c r="CJ398" s="275"/>
      <c r="CK398" s="275"/>
      <c r="CL398" s="265"/>
      <c r="CM398" s="265"/>
      <c r="CN398" s="265"/>
      <c r="CO398" s="265"/>
      <c r="CP398" s="265"/>
      <c r="CQ398" s="265"/>
      <c r="CR398" s="265"/>
      <c r="CS398" s="265"/>
      <c r="CT398" s="265"/>
      <c r="CU398" s="265"/>
      <c r="CV398" s="265"/>
      <c r="CW398" s="265"/>
      <c r="CX398" s="265"/>
      <c r="CY398" s="265"/>
      <c r="CZ398" s="265"/>
      <c r="DA398" s="265"/>
      <c r="DB398" s="265"/>
      <c r="DC398" s="265"/>
      <c r="DD398" s="265"/>
      <c r="DE398" s="265"/>
      <c r="DF398" s="265"/>
      <c r="DG398" s="265"/>
      <c r="DH398" s="265"/>
      <c r="DI398" s="265"/>
      <c r="DJ398" s="265"/>
      <c r="DK398" s="265"/>
      <c r="DL398" s="268"/>
      <c r="DM398" s="268"/>
      <c r="DN398" s="268"/>
      <c r="DO398" s="268"/>
      <c r="DP398" s="268"/>
      <c r="DQ398" s="268"/>
      <c r="DR398" s="268"/>
      <c r="DS398" s="268"/>
      <c r="DT398" s="268"/>
      <c r="DU398" s="268"/>
      <c r="DV398" s="268"/>
      <c r="DW398" s="268"/>
      <c r="DX398" s="268"/>
      <c r="DY398" s="268"/>
      <c r="DZ398" s="268"/>
      <c r="EA398" s="268"/>
      <c r="EB398" s="268"/>
      <c r="EC398" s="265"/>
      <c r="ED398" s="265"/>
      <c r="EE398" s="265"/>
      <c r="EF398" s="265"/>
      <c r="EG398" s="265"/>
      <c r="EH398" s="265"/>
      <c r="EI398" s="265"/>
      <c r="EJ398" s="265"/>
      <c r="EK398" s="265"/>
      <c r="EL398" s="265"/>
      <c r="EM398" s="265"/>
      <c r="EN398" s="265"/>
      <c r="EO398" s="265"/>
      <c r="EP398" s="265"/>
      <c r="EQ398" s="265"/>
      <c r="ER398" s="265"/>
      <c r="ES398" s="265"/>
      <c r="ET398" s="265"/>
      <c r="EU398" s="265"/>
      <c r="EV398" s="265"/>
      <c r="EW398" s="265"/>
      <c r="EX398" s="265"/>
      <c r="EY398" s="265"/>
      <c r="EZ398" s="265"/>
      <c r="FA398" s="265"/>
      <c r="FB398" s="265"/>
      <c r="FC398" s="265"/>
      <c r="FD398" s="265"/>
      <c r="FE398" s="265"/>
      <c r="FF398" s="107"/>
      <c r="FG398" s="107"/>
      <c r="FH398" s="107"/>
      <c r="FI398" s="107"/>
      <c r="FJ398" s="107"/>
      <c r="FK398" s="107"/>
      <c r="FL398" s="107"/>
      <c r="FM398" s="258"/>
      <c r="FN398" s="258"/>
      <c r="FO398" s="258"/>
      <c r="FP398" s="258"/>
      <c r="FQ398" s="258"/>
      <c r="FR398" s="258"/>
      <c r="FS398" s="396">
        <f ca="1">CEILING(Blad1!AA12/Blad1!Z24^0.4+40*Blad1!AA1,10)+5</f>
        <v>265</v>
      </c>
      <c r="FT398" s="396">
        <f ca="1">ROUND(0.65*(0.5*FU398*FQ405^2+FZ398*FQ405-FS398*FQ405),-2)</f>
        <v>453900</v>
      </c>
      <c r="FU398" s="396">
        <f ca="1">IF(AND(FV398&gt;-0.5-0.0001,FV398&lt;-0.5+0.0001),-0.6,IF(AND(FV398&gt;-1-0.0001,FV398&lt;-1+0.0001),-0.9,FV398))</f>
        <v>-6.6</v>
      </c>
      <c r="FV398" s="396">
        <f ca="1">-ROUND(FS398/40,1)</f>
        <v>-6.6</v>
      </c>
      <c r="FW398" s="66">
        <f ca="1">IF(100*ROUND((-Blad1!Z24+0.5*Blad1!AA8),1)&gt;10000,ROUND((-Blad1!Z24+0.5*Blad1!AA8),-1),IF(100*ROUND((-Blad1!Z24+0.5*Blad1!AA8),1)&gt;1800,ROUND(20*(-Blad1!Z24+0.5*Blad1!AA8),-1),IF(100*ROUND((-Blad1!Z24+0.5*Blad1!AA8),1)&gt;500,ROUND(30*(-Blad1!Z24+0.5*Blad1!AA8),-1),100*ROUND((-Blad1!Z24+0.5*Blad1!AA8),1))))</f>
        <v>570</v>
      </c>
      <c r="FX398" s="396">
        <f ca="1">ROUND(0.8*FW398,-1)</f>
        <v>460</v>
      </c>
      <c r="FY398" s="32">
        <f ca="1">100*ROUND((-Blad1!Z24+0.5*Blad1!AA8),1)</f>
        <v>2850</v>
      </c>
      <c r="FZ398" s="32">
        <f ca="1">FS398-FU398*FX398</f>
        <v>3301</v>
      </c>
      <c r="GA398" s="32"/>
      <c r="GB398" s="32"/>
      <c r="GC398" s="32"/>
      <c r="GD398" s="32"/>
      <c r="GE398" s="32"/>
      <c r="GF398" s="32"/>
      <c r="GG398" s="32"/>
      <c r="GH398" s="32"/>
      <c r="GI398" s="32"/>
      <c r="GJ398" s="32"/>
      <c r="GK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38"/>
      <c r="HO398" s="338"/>
      <c r="HP398" s="338"/>
      <c r="HQ398" s="13"/>
      <c r="HR398" s="13"/>
      <c r="HS398" s="13"/>
      <c r="HT398" s="13"/>
      <c r="HU398" s="13"/>
      <c r="HV398" s="13"/>
      <c r="HW398" s="13"/>
      <c r="HX398" s="13"/>
      <c r="HY398" s="13"/>
      <c r="HZ398" s="13"/>
      <c r="IA398" s="13"/>
    </row>
    <row r="399" spans="1:235" s="66" customFormat="1" ht="16.95" customHeight="1">
      <c r="A399" s="60"/>
      <c r="B399" s="3"/>
      <c r="C399" s="69"/>
      <c r="D399" s="409" t="str">
        <f ca="1">IF(FO367=0,"","(q luidt in stuks en GTK in euro's) en de functie van de gemiddelde opbrengst")</f>
        <v/>
      </c>
      <c r="E399" s="409"/>
      <c r="F399" s="89"/>
      <c r="G399" s="89"/>
      <c r="H399" s="89"/>
      <c r="I399" s="89"/>
      <c r="J399" s="89"/>
      <c r="K399" s="89"/>
      <c r="L399" s="89"/>
      <c r="M399" s="89"/>
      <c r="N399" s="89"/>
      <c r="O399" s="89"/>
      <c r="P399" s="89"/>
      <c r="Q399" s="89"/>
      <c r="R399" s="89"/>
      <c r="S399" s="89"/>
      <c r="T399" s="89"/>
      <c r="U399" s="89"/>
      <c r="V399" s="89"/>
      <c r="W399" s="89"/>
      <c r="X399" s="89"/>
      <c r="Y399" s="141"/>
      <c r="Z399" s="141"/>
      <c r="AA399" s="141"/>
      <c r="AB399" s="141"/>
      <c r="AC399" s="141"/>
      <c r="AD399" s="141"/>
      <c r="AE399" s="141"/>
      <c r="AF399" s="141"/>
      <c r="AG399" s="141"/>
      <c r="AH399" s="141"/>
      <c r="AI399" s="141"/>
      <c r="AJ399" s="141"/>
      <c r="AK399" s="141"/>
      <c r="AL399" s="141"/>
      <c r="AM399" s="141"/>
      <c r="AN399" s="141"/>
      <c r="AO399" s="141"/>
      <c r="AP399" s="141"/>
      <c r="AQ399" s="141"/>
      <c r="AR399" s="141"/>
      <c r="AS399" s="141"/>
      <c r="AT399" s="141"/>
      <c r="AU399" s="141"/>
      <c r="AV399" s="141"/>
      <c r="AW399" s="141"/>
      <c r="AX399" s="141"/>
      <c r="AY399" s="141"/>
      <c r="AZ399" s="141"/>
      <c r="BA399" s="141"/>
      <c r="BB399" s="141"/>
      <c r="BC399" s="141"/>
      <c r="BD399" s="89"/>
      <c r="BE399" s="89"/>
      <c r="BF399" s="89"/>
      <c r="BG399" s="89"/>
      <c r="BH399" s="89"/>
      <c r="BI399" s="89"/>
      <c r="BJ399" s="89"/>
      <c r="BK399" s="89"/>
      <c r="BL399" s="89"/>
      <c r="BM399" s="89"/>
      <c r="BN399" s="89"/>
      <c r="BO399" s="89"/>
      <c r="BP399" s="89"/>
      <c r="BQ399" s="89"/>
      <c r="BR399" s="89"/>
      <c r="BS399" s="89"/>
      <c r="BT399" s="89"/>
      <c r="BU399" s="89"/>
      <c r="BV399" s="89"/>
      <c r="BW399" s="89"/>
      <c r="BX399" s="89"/>
      <c r="BY399" s="89"/>
      <c r="BZ399" s="89"/>
      <c r="CA399" s="89"/>
      <c r="CB399" s="89"/>
      <c r="CC399" s="89"/>
      <c r="CD399" s="89"/>
      <c r="CE399" s="89"/>
      <c r="CF399" s="89"/>
      <c r="CG399" s="89"/>
      <c r="CH399" s="89"/>
      <c r="CI399" s="89"/>
      <c r="CJ399" s="89"/>
      <c r="CK399" s="89"/>
      <c r="CL399" s="89"/>
      <c r="CM399" s="89"/>
      <c r="CN399" s="89"/>
      <c r="CO399" s="89"/>
      <c r="CP399" s="89"/>
      <c r="CQ399" s="89"/>
      <c r="CR399" s="89"/>
      <c r="CS399" s="89"/>
      <c r="CT399" s="89"/>
      <c r="CU399" s="89"/>
      <c r="CV399" s="89"/>
      <c r="CW399" s="89"/>
      <c r="CX399" s="89"/>
      <c r="CY399" s="89"/>
      <c r="CZ399" s="89"/>
      <c r="DA399" s="89"/>
      <c r="DB399" s="89"/>
      <c r="DC399" s="89"/>
      <c r="DD399" s="89"/>
      <c r="DE399" s="89"/>
      <c r="DF399" s="89"/>
      <c r="DG399" s="89"/>
      <c r="DH399" s="89"/>
      <c r="DI399" s="89"/>
      <c r="DJ399" s="89"/>
      <c r="DK399" s="89"/>
      <c r="DL399" s="89"/>
      <c r="DM399" s="89"/>
      <c r="DN399" s="89"/>
      <c r="DO399" s="89"/>
      <c r="DP399" s="89"/>
      <c r="DQ399" s="89"/>
      <c r="DR399" s="89"/>
      <c r="DS399" s="89"/>
      <c r="DT399" s="89"/>
      <c r="DU399" s="89"/>
      <c r="DV399" s="89"/>
      <c r="DW399" s="89"/>
      <c r="DX399" s="89"/>
      <c r="DY399" s="89"/>
      <c r="DZ399" s="89"/>
      <c r="EA399" s="89"/>
      <c r="EB399" s="89"/>
      <c r="EC399" s="89"/>
      <c r="ED399" s="89"/>
      <c r="EE399" s="89"/>
      <c r="EF399" s="89"/>
      <c r="EG399" s="89"/>
      <c r="EH399" s="89"/>
      <c r="EI399" s="89"/>
      <c r="EJ399" s="89"/>
      <c r="EK399" s="89"/>
      <c r="EL399" s="89"/>
      <c r="EM399" s="89"/>
      <c r="EN399" s="89"/>
      <c r="EO399" s="89"/>
      <c r="EP399" s="89"/>
      <c r="EQ399" s="89"/>
      <c r="ER399" s="89"/>
      <c r="ES399" s="89"/>
      <c r="ET399" s="89"/>
      <c r="EU399" s="89"/>
      <c r="EV399" s="89"/>
      <c r="EW399" s="268"/>
      <c r="EX399" s="268"/>
      <c r="EY399" s="268"/>
      <c r="EZ399" s="268"/>
      <c r="FA399" s="268"/>
      <c r="FB399" s="268"/>
      <c r="FC399" s="268"/>
      <c r="FD399" s="268"/>
      <c r="FE399" s="268"/>
      <c r="FF399" s="107"/>
      <c r="FG399" s="107"/>
      <c r="FH399" s="107"/>
      <c r="FI399" s="107"/>
      <c r="FJ399" s="107"/>
      <c r="FK399" s="107"/>
      <c r="FL399" s="107"/>
      <c r="FM399" s="377"/>
      <c r="FN399" s="377"/>
      <c r="FO399" s="377"/>
      <c r="FP399" s="377"/>
      <c r="FQ399" s="377"/>
      <c r="FR399" s="377"/>
      <c r="FS399" s="396"/>
      <c r="FT399" s="396"/>
      <c r="FU399" s="396"/>
      <c r="FV399" s="396"/>
      <c r="FW399" s="396"/>
      <c r="FX399" s="396"/>
      <c r="FY399" s="32"/>
      <c r="FZ399" s="32"/>
      <c r="GA399" s="32"/>
      <c r="GB399" s="32"/>
      <c r="GC399" s="32"/>
      <c r="GD399" s="32"/>
      <c r="GE399" s="32"/>
      <c r="GF399" s="32"/>
      <c r="GG399" s="32"/>
      <c r="GH399" s="32"/>
      <c r="GI399" s="32"/>
      <c r="GJ399" s="32"/>
      <c r="GK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38"/>
      <c r="HO399" s="338"/>
      <c r="HP399" s="338"/>
      <c r="HQ399" s="13"/>
      <c r="HR399" s="13"/>
      <c r="HS399" s="13"/>
      <c r="HT399" s="13"/>
      <c r="HU399" s="13"/>
      <c r="HV399" s="13"/>
      <c r="HW399" s="13"/>
      <c r="HX399" s="13"/>
      <c r="HY399" s="13"/>
      <c r="HZ399" s="13"/>
      <c r="IA399" s="13"/>
    </row>
    <row r="400" spans="1:235" s="66" customFormat="1" ht="16.95" customHeight="1">
      <c r="A400" s="60"/>
      <c r="B400" s="3"/>
      <c r="C400" s="69"/>
      <c r="D400" s="409" t="str">
        <f ca="1">IF(FO367=0,"","luidt GO = "&amp;FU398/2&amp;"q + "&amp;FZ398&amp;". De productiecapaciteit is "&amp;CEILING(1.8*FX398,100)&amp;" stuks. De MK = "&amp;FS398&amp;"")</f>
        <v/>
      </c>
      <c r="E400" s="409"/>
      <c r="F400" s="89"/>
      <c r="G400" s="89"/>
      <c r="H400" s="89"/>
      <c r="I400" s="89"/>
      <c r="J400" s="89"/>
      <c r="K400" s="89"/>
      <c r="L400" s="89"/>
      <c r="M400" s="89"/>
      <c r="N400" s="89"/>
      <c r="O400" s="89"/>
      <c r="P400" s="89"/>
      <c r="Q400" s="89"/>
      <c r="R400" s="89"/>
      <c r="S400" s="89"/>
      <c r="T400" s="89"/>
      <c r="U400" s="89"/>
      <c r="V400" s="89"/>
      <c r="W400" s="89"/>
      <c r="X400" s="89"/>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89"/>
      <c r="BE400" s="89"/>
      <c r="BF400" s="89"/>
      <c r="BG400" s="89"/>
      <c r="BH400" s="89"/>
      <c r="BI400" s="89"/>
      <c r="BJ400" s="89"/>
      <c r="BK400" s="89"/>
      <c r="BL400" s="89"/>
      <c r="BM400" s="89"/>
      <c r="BN400" s="89"/>
      <c r="BO400" s="89"/>
      <c r="BP400" s="89"/>
      <c r="BQ400" s="89"/>
      <c r="BR400" s="89"/>
      <c r="BS400" s="89"/>
      <c r="BT400" s="89"/>
      <c r="BU400" s="89"/>
      <c r="BV400" s="89"/>
      <c r="BW400" s="89"/>
      <c r="BX400" s="89"/>
      <c r="BY400" s="89"/>
      <c r="BZ400" s="89"/>
      <c r="CA400" s="89"/>
      <c r="CB400" s="89"/>
      <c r="CC400" s="89"/>
      <c r="CD400" s="89"/>
      <c r="CE400" s="89"/>
      <c r="CF400" s="89"/>
      <c r="CG400" s="89"/>
      <c r="CH400" s="89"/>
      <c r="CI400" s="89"/>
      <c r="CJ400" s="89"/>
      <c r="CK400" s="89"/>
      <c r="CL400" s="89"/>
      <c r="CM400" s="89"/>
      <c r="CN400" s="89"/>
      <c r="CO400" s="89"/>
      <c r="CP400" s="89"/>
      <c r="CQ400" s="89"/>
      <c r="CR400" s="89"/>
      <c r="CS400" s="89"/>
      <c r="CT400" s="89"/>
      <c r="CU400" s="89"/>
      <c r="CV400" s="89"/>
      <c r="CW400" s="89"/>
      <c r="CX400" s="89"/>
      <c r="CY400" s="89"/>
      <c r="CZ400" s="89"/>
      <c r="DA400" s="89"/>
      <c r="DB400" s="89"/>
      <c r="DC400" s="89"/>
      <c r="DD400" s="89"/>
      <c r="DE400" s="89"/>
      <c r="DF400" s="89"/>
      <c r="DG400" s="89"/>
      <c r="DH400" s="89"/>
      <c r="DI400" s="89"/>
      <c r="DJ400" s="89"/>
      <c r="DK400" s="89"/>
      <c r="DL400" s="89"/>
      <c r="DM400" s="89"/>
      <c r="DN400" s="89"/>
      <c r="DO400" s="89"/>
      <c r="DP400" s="89"/>
      <c r="DQ400" s="89"/>
      <c r="DR400" s="89"/>
      <c r="DS400" s="89"/>
      <c r="DT400" s="89"/>
      <c r="DU400" s="89"/>
      <c r="DV400" s="89"/>
      <c r="DW400" s="89"/>
      <c r="DX400" s="89"/>
      <c r="DY400" s="89"/>
      <c r="DZ400" s="89"/>
      <c r="EA400" s="89"/>
      <c r="EB400" s="89"/>
      <c r="EC400" s="89"/>
      <c r="ED400" s="89"/>
      <c r="EE400" s="89"/>
      <c r="EF400" s="89"/>
      <c r="EG400" s="89"/>
      <c r="EH400" s="89"/>
      <c r="EI400" s="89"/>
      <c r="EJ400" s="89"/>
      <c r="EK400" s="89"/>
      <c r="EL400" s="89"/>
      <c r="EM400" s="89"/>
      <c r="EN400" s="89"/>
      <c r="EO400" s="89"/>
      <c r="EP400" s="89"/>
      <c r="EQ400" s="89"/>
      <c r="ER400" s="89"/>
      <c r="ES400" s="89"/>
      <c r="ET400" s="89"/>
      <c r="EU400" s="89"/>
      <c r="EV400" s="89"/>
      <c r="EW400" s="268"/>
      <c r="EX400" s="268"/>
      <c r="EY400" s="268"/>
      <c r="EZ400" s="268"/>
      <c r="FA400" s="268"/>
      <c r="FB400" s="268"/>
      <c r="FC400" s="268"/>
      <c r="FD400" s="268"/>
      <c r="FE400" s="268"/>
      <c r="FF400" s="107"/>
      <c r="FG400" s="107"/>
      <c r="FH400" s="107"/>
      <c r="FI400" s="107"/>
      <c r="FJ400" s="107"/>
      <c r="FK400" s="107"/>
      <c r="FL400" s="107"/>
      <c r="FM400" s="377"/>
      <c r="FN400" s="377"/>
      <c r="FO400" s="377"/>
      <c r="FP400" s="377"/>
      <c r="FQ400" s="377"/>
      <c r="FR400" s="377"/>
      <c r="FS400" s="377"/>
      <c r="FT400" s="377"/>
      <c r="FU400" s="377"/>
      <c r="FV400" s="377"/>
      <c r="FW400" s="377"/>
      <c r="FX400" s="377"/>
      <c r="FY400" s="32"/>
      <c r="FZ400" s="32"/>
      <c r="GA400" s="32"/>
      <c r="GB400" s="32"/>
      <c r="GC400" s="32"/>
      <c r="GD400" s="32"/>
      <c r="GE400" s="32"/>
      <c r="GF400" s="32"/>
      <c r="GG400" s="32"/>
      <c r="GH400" s="32"/>
      <c r="GI400" s="32"/>
      <c r="GJ400" s="32"/>
      <c r="GK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38"/>
      <c r="HO400" s="338"/>
      <c r="HP400" s="338"/>
      <c r="HQ400" s="13"/>
      <c r="HR400" s="13"/>
      <c r="HS400" s="13"/>
      <c r="HT400" s="13"/>
      <c r="HU400" s="13"/>
      <c r="HV400" s="13"/>
      <c r="HW400" s="13"/>
      <c r="HX400" s="13"/>
      <c r="HY400" s="13"/>
      <c r="HZ400" s="13"/>
      <c r="IA400" s="13"/>
    </row>
    <row r="401" spans="1:235" s="66" customFormat="1" ht="16.95" customHeight="1">
      <c r="A401" s="60"/>
      <c r="B401" s="3"/>
      <c r="C401" s="69"/>
      <c r="D401" s="472" t="str">
        <f ca="1">IF(FO367=0,"","functie luidt MK = "&amp;FS398&amp;" en MO = "&amp;FU398&amp;"q + "&amp;FZ398&amp;". Bij welke hoeveelheid wordt")</f>
        <v/>
      </c>
      <c r="E401" s="472"/>
      <c r="F401" s="89"/>
      <c r="G401" s="89"/>
      <c r="H401" s="89"/>
      <c r="I401" s="89"/>
      <c r="J401" s="89"/>
      <c r="K401" s="89"/>
      <c r="L401" s="89"/>
      <c r="M401" s="89"/>
      <c r="N401" s="89"/>
      <c r="O401" s="89"/>
      <c r="P401" s="89"/>
      <c r="Q401" s="89"/>
      <c r="R401" s="89"/>
      <c r="S401" s="89"/>
      <c r="T401" s="89"/>
      <c r="U401" s="89"/>
      <c r="V401" s="89"/>
      <c r="W401" s="89"/>
      <c r="X401" s="89"/>
      <c r="Y401" s="141"/>
      <c r="Z401" s="141"/>
      <c r="AA401" s="141"/>
      <c r="AB401" s="141"/>
      <c r="AC401" s="141"/>
      <c r="AD401" s="141"/>
      <c r="AE401" s="141"/>
      <c r="AF401" s="141"/>
      <c r="AG401" s="141"/>
      <c r="AH401" s="141"/>
      <c r="AI401" s="141"/>
      <c r="AJ401" s="141"/>
      <c r="AK401" s="141"/>
      <c r="AL401" s="141"/>
      <c r="AM401" s="141"/>
      <c r="AN401" s="141"/>
      <c r="AO401" s="141"/>
      <c r="AP401" s="141"/>
      <c r="AQ401" s="141"/>
      <c r="AR401" s="141"/>
      <c r="AS401" s="141"/>
      <c r="AT401" s="141"/>
      <c r="AU401" s="141"/>
      <c r="AV401" s="141"/>
      <c r="AW401" s="141"/>
      <c r="AX401" s="141"/>
      <c r="AY401" s="141"/>
      <c r="AZ401" s="141"/>
      <c r="BA401" s="141"/>
      <c r="BB401" s="141"/>
      <c r="BC401" s="141"/>
      <c r="BD401" s="89"/>
      <c r="BE401" s="89"/>
      <c r="BF401" s="89"/>
      <c r="BG401" s="89"/>
      <c r="BH401" s="89"/>
      <c r="BI401" s="89"/>
      <c r="BJ401" s="89"/>
      <c r="BK401" s="89"/>
      <c r="BL401" s="89"/>
      <c r="BM401" s="89"/>
      <c r="BN401" s="89"/>
      <c r="BO401" s="89"/>
      <c r="BP401" s="89"/>
      <c r="BQ401" s="89"/>
      <c r="BR401" s="89"/>
      <c r="BS401" s="89"/>
      <c r="BT401" s="89"/>
      <c r="BU401" s="89"/>
      <c r="BV401" s="89"/>
      <c r="BW401" s="89"/>
      <c r="BX401" s="89"/>
      <c r="BY401" s="89"/>
      <c r="BZ401" s="89"/>
      <c r="CA401" s="89"/>
      <c r="CB401" s="89"/>
      <c r="CC401" s="89"/>
      <c r="CD401" s="89"/>
      <c r="CE401" s="89"/>
      <c r="CF401" s="89"/>
      <c r="CG401" s="89"/>
      <c r="CH401" s="89"/>
      <c r="CI401" s="89"/>
      <c r="CJ401" s="89"/>
      <c r="CK401" s="89"/>
      <c r="CL401" s="89"/>
      <c r="CM401" s="89"/>
      <c r="CN401" s="89"/>
      <c r="CO401" s="89"/>
      <c r="CP401" s="89"/>
      <c r="CQ401" s="89"/>
      <c r="CR401" s="89"/>
      <c r="CS401" s="89"/>
      <c r="CT401" s="89"/>
      <c r="CU401" s="89"/>
      <c r="CV401" s="89"/>
      <c r="CW401" s="89"/>
      <c r="CX401" s="89"/>
      <c r="CY401" s="89"/>
      <c r="CZ401" s="89"/>
      <c r="DA401" s="89"/>
      <c r="DB401" s="89"/>
      <c r="DC401" s="89"/>
      <c r="DD401" s="89"/>
      <c r="DE401" s="89"/>
      <c r="DF401" s="89"/>
      <c r="DG401" s="89"/>
      <c r="DH401" s="89"/>
      <c r="DI401" s="89"/>
      <c r="DJ401" s="89"/>
      <c r="DK401" s="89"/>
      <c r="DL401" s="89"/>
      <c r="DM401" s="89"/>
      <c r="DN401" s="89"/>
      <c r="DO401" s="89"/>
      <c r="DP401" s="89"/>
      <c r="DQ401" s="89"/>
      <c r="DR401" s="89"/>
      <c r="DS401" s="89"/>
      <c r="DT401" s="89"/>
      <c r="DU401" s="89"/>
      <c r="DV401" s="89"/>
      <c r="DW401" s="89"/>
      <c r="DX401" s="89"/>
      <c r="DY401" s="89"/>
      <c r="DZ401" s="89"/>
      <c r="EA401" s="89"/>
      <c r="EB401" s="89"/>
      <c r="EC401" s="89"/>
      <c r="ED401" s="89"/>
      <c r="EE401" s="89"/>
      <c r="EF401" s="89"/>
      <c r="EG401" s="89"/>
      <c r="EH401" s="89"/>
      <c r="EI401" s="89"/>
      <c r="EJ401" s="89"/>
      <c r="EK401" s="89"/>
      <c r="EL401" s="89"/>
      <c r="EM401" s="89"/>
      <c r="EN401" s="89"/>
      <c r="EO401" s="89"/>
      <c r="EP401" s="89"/>
      <c r="EQ401" s="89"/>
      <c r="ER401" s="89"/>
      <c r="ES401" s="89"/>
      <c r="ET401" s="89"/>
      <c r="EU401" s="89"/>
      <c r="EV401" s="89"/>
      <c r="EW401" s="268"/>
      <c r="EX401" s="268"/>
      <c r="EY401" s="268"/>
      <c r="EZ401" s="268"/>
      <c r="FA401" s="268"/>
      <c r="FB401" s="268"/>
      <c r="FC401" s="268"/>
      <c r="FD401" s="268"/>
      <c r="FE401" s="268"/>
      <c r="FF401" s="107"/>
      <c r="FG401" s="107"/>
      <c r="FH401" s="107"/>
      <c r="FI401" s="107"/>
      <c r="FJ401" s="107"/>
      <c r="FK401" s="107"/>
      <c r="FL401" s="107"/>
      <c r="FM401" s="377"/>
      <c r="FN401" s="377"/>
      <c r="FO401" s="377"/>
      <c r="FP401" s="377"/>
      <c r="FQ401" s="377"/>
      <c r="FR401" s="377"/>
      <c r="FS401" s="377"/>
      <c r="FT401" s="377"/>
      <c r="FU401" s="377"/>
      <c r="FV401" s="377"/>
      <c r="FW401" s="377"/>
      <c r="FX401" s="377"/>
      <c r="FY401" s="32"/>
      <c r="FZ401" s="32"/>
      <c r="GA401" s="32"/>
      <c r="GB401" s="32"/>
      <c r="GC401" s="32"/>
      <c r="GD401" s="32"/>
      <c r="GE401" s="32"/>
      <c r="GF401" s="32"/>
      <c r="GG401" s="32"/>
      <c r="GH401" s="32"/>
      <c r="GI401" s="32"/>
      <c r="GJ401" s="32"/>
      <c r="GK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38"/>
      <c r="HO401" s="338"/>
      <c r="HP401" s="338"/>
      <c r="HQ401" s="13"/>
      <c r="HR401" s="13"/>
      <c r="HS401" s="13"/>
      <c r="HT401" s="13"/>
      <c r="HU401" s="13"/>
      <c r="HV401" s="13"/>
      <c r="HW401" s="13"/>
      <c r="HX401" s="13"/>
      <c r="HY401" s="13"/>
      <c r="HZ401" s="13"/>
      <c r="IA401" s="13"/>
    </row>
    <row r="402" spans="1:235" s="66" customFormat="1" ht="16.95" customHeight="1">
      <c r="A402" s="60"/>
      <c r="B402" s="69"/>
      <c r="C402" s="69"/>
      <c r="D402" s="409" t="str">
        <f ca="1">IF(FO367=0,"","maximale winst gemaakt? Rond af op hele stuks.")</f>
        <v/>
      </c>
      <c r="E402" s="409"/>
      <c r="F402" s="89"/>
      <c r="G402" s="89"/>
      <c r="H402" s="89"/>
      <c r="I402" s="89"/>
      <c r="J402" s="89"/>
      <c r="K402" s="89"/>
      <c r="L402" s="89"/>
      <c r="M402" s="89"/>
      <c r="N402" s="89"/>
      <c r="O402" s="89"/>
      <c r="P402" s="89"/>
      <c r="Q402" s="89"/>
      <c r="R402" s="89"/>
      <c r="S402" s="89"/>
      <c r="T402" s="89"/>
      <c r="U402" s="89"/>
      <c r="V402" s="89"/>
      <c r="W402" s="89"/>
      <c r="X402" s="89"/>
      <c r="Y402" s="141"/>
      <c r="Z402" s="141"/>
      <c r="AA402" s="141"/>
      <c r="AB402" s="141"/>
      <c r="AC402" s="141"/>
      <c r="AD402" s="141"/>
      <c r="AE402" s="141"/>
      <c r="AF402" s="141"/>
      <c r="AG402" s="141"/>
      <c r="AH402" s="141"/>
      <c r="AI402" s="141"/>
      <c r="AJ402" s="141"/>
      <c r="AK402" s="141"/>
      <c r="AL402" s="141"/>
      <c r="AM402" s="141"/>
      <c r="AN402" s="141"/>
      <c r="AO402" s="141"/>
      <c r="AP402" s="141"/>
      <c r="AQ402" s="141"/>
      <c r="AR402" s="141"/>
      <c r="AS402" s="141"/>
      <c r="AT402" s="141"/>
      <c r="AU402" s="141"/>
      <c r="AV402" s="141"/>
      <c r="AW402" s="141"/>
      <c r="AX402" s="141"/>
      <c r="AY402" s="141"/>
      <c r="AZ402" s="141"/>
      <c r="BA402" s="141"/>
      <c r="BB402" s="141"/>
      <c r="BC402" s="141"/>
      <c r="BD402" s="89"/>
      <c r="BE402" s="89"/>
      <c r="BF402" s="89"/>
      <c r="BG402" s="89"/>
      <c r="BH402" s="89"/>
      <c r="BI402" s="89"/>
      <c r="BJ402" s="89"/>
      <c r="BK402" s="89"/>
      <c r="BL402" s="89"/>
      <c r="BM402" s="89"/>
      <c r="BN402" s="89"/>
      <c r="BO402" s="89"/>
      <c r="BP402" s="89"/>
      <c r="BQ402" s="89"/>
      <c r="BR402" s="89"/>
      <c r="BS402" s="89"/>
      <c r="BT402" s="89"/>
      <c r="BU402" s="89"/>
      <c r="BV402" s="89"/>
      <c r="BW402" s="89"/>
      <c r="BX402" s="89"/>
      <c r="BY402" s="89"/>
      <c r="BZ402" s="89"/>
      <c r="CA402" s="89"/>
      <c r="CB402" s="89"/>
      <c r="CC402" s="89"/>
      <c r="CD402" s="89"/>
      <c r="CE402" s="89"/>
      <c r="CF402" s="89"/>
      <c r="CG402" s="89"/>
      <c r="CH402" s="89"/>
      <c r="CI402" s="89"/>
      <c r="CJ402" s="89"/>
      <c r="CK402" s="89"/>
      <c r="CL402" s="89"/>
      <c r="CM402" s="89"/>
      <c r="CN402" s="89"/>
      <c r="CO402" s="89"/>
      <c r="CP402" s="89"/>
      <c r="CQ402" s="89"/>
      <c r="CR402" s="89"/>
      <c r="CS402" s="89"/>
      <c r="CT402" s="89"/>
      <c r="CU402" s="89"/>
      <c r="CV402" s="89"/>
      <c r="CW402" s="89"/>
      <c r="CX402" s="89"/>
      <c r="CY402" s="89"/>
      <c r="CZ402" s="89"/>
      <c r="DA402" s="89"/>
      <c r="DB402" s="89"/>
      <c r="DC402" s="89"/>
      <c r="DD402" s="89"/>
      <c r="DE402" s="89"/>
      <c r="DF402" s="89"/>
      <c r="DG402" s="89"/>
      <c r="DH402" s="89"/>
      <c r="DI402" s="89"/>
      <c r="DJ402" s="89"/>
      <c r="DK402" s="89"/>
      <c r="DL402" s="89"/>
      <c r="DM402" s="89"/>
      <c r="DN402" s="89"/>
      <c r="DO402" s="89"/>
      <c r="DP402" s="89"/>
      <c r="DQ402" s="89"/>
      <c r="DR402" s="89"/>
      <c r="DS402" s="89"/>
      <c r="DT402" s="89"/>
      <c r="DU402" s="89"/>
      <c r="DV402" s="89"/>
      <c r="DW402" s="89"/>
      <c r="DX402" s="89"/>
      <c r="DY402" s="89"/>
      <c r="DZ402" s="89"/>
      <c r="EA402" s="89"/>
      <c r="EB402" s="89"/>
      <c r="EC402" s="89"/>
      <c r="ED402" s="89"/>
      <c r="EE402" s="89"/>
      <c r="EF402" s="89"/>
      <c r="EG402" s="89"/>
      <c r="EH402" s="89"/>
      <c r="EI402" s="89"/>
      <c r="EJ402" s="89"/>
      <c r="EK402" s="89"/>
      <c r="EL402" s="89"/>
      <c r="EM402" s="89"/>
      <c r="EN402" s="89"/>
      <c r="EO402" s="89"/>
      <c r="EP402" s="89"/>
      <c r="EQ402" s="89"/>
      <c r="ER402" s="89"/>
      <c r="ES402" s="89"/>
      <c r="ET402" s="89"/>
      <c r="EU402" s="89"/>
      <c r="EV402" s="89"/>
      <c r="EW402" s="268"/>
      <c r="EX402" s="268"/>
      <c r="EY402" s="268"/>
      <c r="EZ402" s="268"/>
      <c r="FA402" s="268"/>
      <c r="FB402" s="268"/>
      <c r="FC402" s="268"/>
      <c r="FD402" s="268"/>
      <c r="FE402" s="268"/>
      <c r="FF402" s="107"/>
      <c r="FG402" s="107"/>
      <c r="FH402" s="107"/>
      <c r="FI402" s="107"/>
      <c r="FJ402" s="107"/>
      <c r="FK402" s="107"/>
      <c r="FL402" s="107"/>
      <c r="FM402" s="377"/>
      <c r="FN402" s="377"/>
      <c r="FO402" s="377"/>
      <c r="FP402" s="377"/>
      <c r="FQ402" s="377"/>
      <c r="FR402" s="377"/>
      <c r="FS402" s="377"/>
      <c r="FT402" s="377"/>
      <c r="FU402" s="377"/>
      <c r="FV402" s="377"/>
      <c r="FW402" s="377"/>
      <c r="FX402" s="377"/>
      <c r="FY402" s="32"/>
      <c r="FZ402" s="32"/>
      <c r="GA402" s="32"/>
      <c r="GB402" s="32"/>
      <c r="GC402" s="32"/>
      <c r="GD402" s="32"/>
      <c r="GE402" s="32"/>
      <c r="GF402" s="32"/>
      <c r="GG402" s="32"/>
      <c r="GH402" s="32"/>
      <c r="GI402" s="32"/>
      <c r="GJ402" s="32"/>
      <c r="GK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38"/>
      <c r="HO402" s="338"/>
      <c r="HP402" s="338"/>
      <c r="HQ402" s="13"/>
      <c r="HR402" s="13"/>
      <c r="HS402" s="13"/>
      <c r="HT402" s="13"/>
      <c r="HU402" s="13"/>
      <c r="HV402" s="13"/>
      <c r="HW402" s="13"/>
      <c r="HX402" s="13"/>
      <c r="HY402" s="13"/>
      <c r="HZ402" s="13"/>
      <c r="IA402" s="13"/>
    </row>
    <row r="403" spans="1:235" s="66" customFormat="1" ht="12" customHeight="1">
      <c r="A403" s="60"/>
      <c r="B403" s="69"/>
      <c r="C403" s="69"/>
      <c r="D403" s="409"/>
      <c r="E403" s="409"/>
      <c r="F403" s="409"/>
      <c r="G403" s="409"/>
      <c r="H403" s="409"/>
      <c r="I403" s="409"/>
      <c r="J403" s="409"/>
      <c r="K403" s="409"/>
      <c r="L403" s="409"/>
      <c r="M403" s="409"/>
      <c r="N403" s="409"/>
      <c r="O403" s="409"/>
      <c r="P403" s="409"/>
      <c r="Q403" s="409"/>
      <c r="R403" s="409"/>
      <c r="S403" s="409"/>
      <c r="T403" s="409"/>
      <c r="U403" s="409"/>
      <c r="V403" s="409"/>
      <c r="W403" s="409"/>
      <c r="X403" s="409"/>
      <c r="Y403" s="409"/>
      <c r="Z403" s="409"/>
      <c r="AA403" s="409"/>
      <c r="AB403" s="409"/>
      <c r="AC403" s="409"/>
      <c r="AD403" s="409"/>
      <c r="AE403" s="409"/>
      <c r="AF403" s="409"/>
      <c r="AG403" s="409"/>
      <c r="AH403" s="409"/>
      <c r="AI403" s="89"/>
      <c r="AJ403" s="409"/>
      <c r="AK403" s="409"/>
      <c r="AL403" s="409"/>
      <c r="AM403" s="409"/>
      <c r="AN403" s="409"/>
      <c r="AO403" s="409"/>
      <c r="AP403" s="409"/>
      <c r="AQ403" s="409"/>
      <c r="AR403" s="409"/>
      <c r="AS403" s="409"/>
      <c r="AT403" s="409"/>
      <c r="AU403" s="409"/>
      <c r="AV403" s="409"/>
      <c r="AW403" s="409"/>
      <c r="AX403" s="409"/>
      <c r="AY403" s="409"/>
      <c r="AZ403" s="409"/>
      <c r="BA403" s="409"/>
      <c r="BB403" s="409"/>
      <c r="BC403" s="89"/>
      <c r="BD403" s="89"/>
      <c r="BE403" s="89"/>
      <c r="BF403" s="89"/>
      <c r="BG403" s="89"/>
      <c r="BH403" s="89"/>
      <c r="BI403" s="89"/>
      <c r="BJ403" s="89"/>
      <c r="BK403" s="89"/>
      <c r="BL403" s="89"/>
      <c r="BM403" s="89"/>
      <c r="BN403" s="89"/>
      <c r="BO403" s="89"/>
      <c r="BP403" s="89"/>
      <c r="BQ403" s="89"/>
      <c r="BR403" s="89"/>
      <c r="BS403" s="89"/>
      <c r="BT403" s="89"/>
      <c r="BU403" s="89"/>
      <c r="BV403" s="89"/>
      <c r="BW403" s="89"/>
      <c r="BX403" s="89"/>
      <c r="BY403" s="89"/>
      <c r="BZ403" s="89"/>
      <c r="CA403" s="89"/>
      <c r="CB403" s="89"/>
      <c r="CC403" s="89"/>
      <c r="CD403" s="89"/>
      <c r="CE403" s="89"/>
      <c r="CF403" s="89"/>
      <c r="CG403" s="89"/>
      <c r="CH403" s="89"/>
      <c r="CI403" s="89"/>
      <c r="CJ403" s="89"/>
      <c r="CK403" s="89"/>
      <c r="CL403" s="89"/>
      <c r="CM403" s="89"/>
      <c r="CN403" s="89"/>
      <c r="CO403" s="89"/>
      <c r="CP403" s="89"/>
      <c r="CQ403" s="89"/>
      <c r="CR403" s="89"/>
      <c r="CS403" s="89"/>
      <c r="CT403" s="89"/>
      <c r="CU403" s="89"/>
      <c r="CV403" s="89"/>
      <c r="CW403" s="89"/>
      <c r="CX403" s="89"/>
      <c r="CY403" s="268"/>
      <c r="CZ403" s="268"/>
      <c r="DA403" s="268"/>
      <c r="DB403" s="268"/>
      <c r="DC403" s="268"/>
      <c r="DD403" s="268"/>
      <c r="DE403" s="268"/>
      <c r="DF403" s="268"/>
      <c r="DG403" s="268"/>
      <c r="DH403" s="268"/>
      <c r="DI403" s="268"/>
      <c r="DJ403" s="268"/>
      <c r="DK403" s="268"/>
      <c r="DL403" s="268"/>
      <c r="DM403" s="268"/>
      <c r="DN403" s="268"/>
      <c r="DO403" s="268"/>
      <c r="DP403" s="268"/>
      <c r="DQ403" s="268"/>
      <c r="DR403" s="268"/>
      <c r="DS403" s="268"/>
      <c r="DU403" s="479"/>
      <c r="DV403" s="479"/>
      <c r="DW403" s="479"/>
      <c r="DX403" s="479"/>
      <c r="DY403" s="479"/>
      <c r="DZ403" s="479"/>
      <c r="EA403" s="479"/>
      <c r="EB403" s="479"/>
      <c r="EC403" s="479"/>
      <c r="ED403" s="479"/>
      <c r="EE403" s="479"/>
      <c r="EF403" s="479"/>
      <c r="EG403" s="479"/>
      <c r="EH403" s="479"/>
      <c r="EI403" s="479"/>
      <c r="EJ403" s="479"/>
      <c r="EK403" s="479"/>
      <c r="EL403" s="479"/>
      <c r="EM403" s="479"/>
      <c r="EN403" s="479"/>
      <c r="EO403" s="479"/>
      <c r="EP403" s="479"/>
      <c r="EQ403" s="479"/>
      <c r="ER403" s="479"/>
      <c r="ES403" s="479"/>
      <c r="ET403" s="479"/>
      <c r="EU403" s="479"/>
      <c r="EV403" s="479"/>
      <c r="EW403" s="479"/>
      <c r="EX403" s="479"/>
      <c r="EY403" s="479"/>
      <c r="EZ403" s="479"/>
      <c r="FA403" s="479"/>
      <c r="FB403" s="479"/>
      <c r="FC403" s="479"/>
      <c r="FD403" s="479"/>
      <c r="FE403" s="479"/>
      <c r="FF403" s="479"/>
      <c r="FG403" s="479"/>
      <c r="FH403" s="479"/>
      <c r="FI403" s="479"/>
      <c r="FJ403" s="479"/>
      <c r="FK403" s="479"/>
      <c r="FL403" s="479"/>
      <c r="FM403" s="300"/>
      <c r="FN403" s="300"/>
      <c r="FO403" s="108"/>
      <c r="FP403" s="108"/>
      <c r="FQ403" s="108"/>
      <c r="FR403" s="108"/>
      <c r="FS403" s="108"/>
      <c r="FT403" s="108"/>
      <c r="FU403" s="108"/>
      <c r="FV403" s="108"/>
      <c r="FW403" s="108"/>
      <c r="FX403" s="108"/>
      <c r="FY403" s="32"/>
      <c r="FZ403" s="32"/>
      <c r="GA403" s="32"/>
      <c r="GB403" s="32"/>
      <c r="GC403" s="32"/>
      <c r="GD403" s="32"/>
      <c r="GE403" s="32"/>
      <c r="GF403" s="32"/>
      <c r="GG403" s="32"/>
      <c r="GH403" s="32"/>
      <c r="GI403" s="32"/>
      <c r="GJ403" s="32"/>
      <c r="GK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38"/>
      <c r="HO403" s="338"/>
      <c r="HP403" s="338"/>
      <c r="HQ403" s="13"/>
      <c r="HR403" s="13"/>
      <c r="HS403" s="13"/>
      <c r="HT403" s="13"/>
      <c r="HU403" s="13"/>
      <c r="HV403" s="13"/>
      <c r="HW403" s="13"/>
      <c r="HX403" s="13"/>
      <c r="HY403" s="13"/>
      <c r="HZ403" s="13"/>
      <c r="IA403" s="13"/>
    </row>
    <row r="404" spans="1:235" s="66" customFormat="1" ht="3.6" customHeight="1">
      <c r="A404" s="60"/>
      <c r="B404" s="69"/>
      <c r="C404" s="69"/>
      <c r="D404" s="409"/>
      <c r="E404" s="409"/>
      <c r="F404" s="409"/>
      <c r="G404" s="409"/>
      <c r="H404" s="409"/>
      <c r="I404" s="409"/>
      <c r="J404" s="409"/>
      <c r="K404" s="409"/>
      <c r="L404" s="409"/>
      <c r="M404" s="409"/>
      <c r="N404" s="409"/>
      <c r="O404" s="409"/>
      <c r="P404" s="409"/>
      <c r="Q404" s="409"/>
      <c r="R404" s="409"/>
      <c r="S404" s="409"/>
      <c r="T404" s="409"/>
      <c r="U404" s="409"/>
      <c r="V404" s="409"/>
      <c r="W404" s="409"/>
      <c r="X404" s="410"/>
      <c r="Y404" s="410"/>
      <c r="Z404" s="410"/>
      <c r="AA404" s="410"/>
      <c r="AB404" s="410"/>
      <c r="AC404" s="410"/>
      <c r="AD404" s="410"/>
      <c r="AE404" s="410"/>
      <c r="AF404" s="89"/>
      <c r="AG404" s="89"/>
      <c r="AH404" s="409"/>
      <c r="AI404" s="410"/>
      <c r="BT404" s="410"/>
      <c r="BU404" s="410"/>
      <c r="BV404" s="410"/>
      <c r="BW404" s="410"/>
      <c r="BX404" s="410"/>
      <c r="BY404" s="410"/>
      <c r="BZ404" s="410"/>
      <c r="CA404" s="410"/>
      <c r="CB404" s="410"/>
      <c r="CC404" s="410"/>
      <c r="CD404" s="268"/>
      <c r="CE404" s="268"/>
      <c r="CF404" s="268"/>
      <c r="CG404" s="268"/>
      <c r="CH404" s="268"/>
      <c r="CI404" s="268"/>
      <c r="CJ404" s="268"/>
      <c r="CK404" s="268"/>
      <c r="CL404" s="268"/>
      <c r="CM404" s="268"/>
      <c r="CN404" s="268"/>
      <c r="CO404" s="141"/>
      <c r="CP404" s="141"/>
      <c r="CQ404" s="141"/>
      <c r="CR404" s="89"/>
      <c r="CS404" s="89"/>
      <c r="CT404" s="553" t="str">
        <f ca="1">IF(FO367=0,"",".")</f>
        <v/>
      </c>
      <c r="CU404" s="541" t="e">
        <f>IF(#REF!=0,"","+")</f>
        <v>#REF!</v>
      </c>
      <c r="CV404" s="541" t="e">
        <f>IF(#REF!=0,"","+")</f>
        <v>#REF!</v>
      </c>
      <c r="CW404" s="541" t="e">
        <f>IF(#REF!=0,"","+")</f>
        <v>#REF!</v>
      </c>
      <c r="CX404" s="541" t="e">
        <f>IF(#REF!=0,"","+")</f>
        <v>#REF!</v>
      </c>
      <c r="CY404" s="541"/>
      <c r="CZ404" s="541"/>
      <c r="DA404" s="541"/>
      <c r="DB404" s="541" t="e">
        <f>IF(#REF!=0,"","+")</f>
        <v>#REF!</v>
      </c>
      <c r="DC404" s="541" t="e">
        <f>IF(#REF!=0,"","+")</f>
        <v>#REF!</v>
      </c>
      <c r="DD404" s="541" t="e">
        <f>IF(#REF!=0,"","+")</f>
        <v>#REF!</v>
      </c>
      <c r="DE404" s="541" t="e">
        <f>IF(#REF!=0,"","+")</f>
        <v>#REF!</v>
      </c>
      <c r="DF404" s="541" t="e">
        <f>IF(#REF!=0,"","+")</f>
        <v>#REF!</v>
      </c>
      <c r="DG404" s="541" t="e">
        <f>IF(#REF!=0,"","+")</f>
        <v>#REF!</v>
      </c>
      <c r="DH404" s="541"/>
      <c r="DI404" s="541"/>
      <c r="DJ404" s="541"/>
      <c r="DK404" s="541"/>
      <c r="DL404" s="541"/>
      <c r="DM404" s="541"/>
      <c r="DN404" s="541" t="e">
        <f>IF(#REF!=0,"","+")</f>
        <v>#REF!</v>
      </c>
      <c r="DO404" s="541" t="e">
        <f>IF(#REF!=0,"","+")</f>
        <v>#REF!</v>
      </c>
      <c r="DP404" s="541" t="e">
        <f>IF(#REF!=0,"","+")</f>
        <v>#REF!</v>
      </c>
      <c r="DQ404" s="541" t="e">
        <f>IF(#REF!=0,"","+")</f>
        <v>#REF!</v>
      </c>
      <c r="DR404" s="541" t="e">
        <f>IF(#REF!=0,"","+")</f>
        <v>#REF!</v>
      </c>
      <c r="DS404" s="89"/>
      <c r="DT404" s="479"/>
      <c r="DU404" s="479"/>
      <c r="DV404" s="479"/>
      <c r="DW404" s="479"/>
      <c r="DX404" s="479"/>
      <c r="DY404" s="479"/>
      <c r="DZ404" s="479"/>
      <c r="EA404" s="479"/>
      <c r="EB404" s="479"/>
      <c r="EC404" s="479"/>
      <c r="ED404" s="479"/>
      <c r="EE404" s="479"/>
      <c r="EF404" s="479"/>
      <c r="EG404" s="479"/>
      <c r="EH404" s="479"/>
      <c r="EI404" s="479"/>
      <c r="EJ404" s="479"/>
      <c r="EK404" s="479"/>
      <c r="EL404" s="479"/>
      <c r="EM404" s="479"/>
      <c r="EN404" s="479"/>
      <c r="EO404" s="479"/>
      <c r="EP404" s="479"/>
      <c r="EQ404" s="479"/>
      <c r="ER404" s="479"/>
      <c r="ES404" s="479"/>
      <c r="ET404" s="479"/>
      <c r="EU404" s="479"/>
      <c r="EV404" s="479"/>
      <c r="EW404" s="479"/>
      <c r="EX404" s="479"/>
      <c r="EY404" s="479"/>
      <c r="EZ404" s="479"/>
      <c r="FA404" s="479"/>
      <c r="FB404" s="479"/>
      <c r="FC404" s="479"/>
      <c r="FD404" s="479"/>
      <c r="FE404" s="479"/>
      <c r="FF404" s="479"/>
      <c r="FG404" s="479"/>
      <c r="FH404" s="479"/>
      <c r="FI404" s="479"/>
      <c r="FJ404" s="479"/>
      <c r="FK404" s="479"/>
      <c r="FL404" s="479"/>
      <c r="FM404" s="300"/>
      <c r="FN404" s="300"/>
      <c r="FO404" s="108"/>
      <c r="FP404" s="108"/>
      <c r="FQ404" s="108"/>
      <c r="FR404" s="108"/>
      <c r="FS404" s="108"/>
      <c r="FT404" s="108"/>
      <c r="FU404" s="108"/>
      <c r="FV404" s="108"/>
      <c r="FW404" s="108"/>
      <c r="FX404" s="108"/>
      <c r="FY404" s="32"/>
      <c r="FZ404" s="32"/>
      <c r="GA404" s="32"/>
      <c r="GB404" s="32"/>
      <c r="GC404" s="32"/>
      <c r="GD404" s="32"/>
      <c r="GE404" s="32"/>
      <c r="GF404" s="32"/>
      <c r="GG404" s="32"/>
      <c r="GH404" s="32"/>
      <c r="GI404" s="32"/>
      <c r="GJ404" s="32"/>
      <c r="GK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38"/>
      <c r="HO404" s="338"/>
      <c r="HP404" s="338"/>
      <c r="HQ404" s="13"/>
      <c r="HR404" s="13"/>
      <c r="HS404" s="13"/>
      <c r="HT404" s="13"/>
      <c r="HU404" s="13"/>
      <c r="HV404" s="13"/>
      <c r="HW404" s="13"/>
      <c r="HX404" s="13"/>
      <c r="HY404" s="13"/>
      <c r="HZ404" s="13"/>
      <c r="IA404" s="13"/>
    </row>
    <row r="405" spans="1:235" s="66" customFormat="1" ht="16.5" customHeight="1">
      <c r="A405" s="60"/>
      <c r="B405" s="476"/>
      <c r="C405" s="69"/>
      <c r="D405" s="268"/>
      <c r="E405" s="268"/>
      <c r="F405" s="268"/>
      <c r="G405" s="268"/>
      <c r="H405" s="268"/>
      <c r="I405" s="268"/>
      <c r="J405" s="268"/>
      <c r="K405" s="268"/>
      <c r="L405" s="268"/>
      <c r="M405" s="268"/>
      <c r="N405" s="268"/>
      <c r="O405" s="268"/>
      <c r="P405" s="268"/>
      <c r="Q405" s="268"/>
      <c r="R405" s="410"/>
      <c r="S405" s="410"/>
      <c r="T405" s="410"/>
      <c r="U405" s="410"/>
      <c r="V405" s="410"/>
      <c r="W405" s="410"/>
      <c r="X405" s="410"/>
      <c r="Y405" s="410"/>
      <c r="Z405" s="410"/>
      <c r="AA405" s="410"/>
      <c r="AB405" s="410"/>
      <c r="AC405" s="410"/>
      <c r="AD405" s="410"/>
      <c r="AE405" s="410"/>
      <c r="AF405" s="302"/>
      <c r="AG405" s="89"/>
      <c r="AH405" s="409"/>
      <c r="AI405" s="325"/>
      <c r="BT405" s="410"/>
      <c r="BU405" s="410"/>
      <c r="BV405" s="410"/>
      <c r="BW405" s="410"/>
      <c r="BX405" s="410"/>
      <c r="BY405" s="410"/>
      <c r="BZ405" s="410"/>
      <c r="CA405" s="410"/>
      <c r="CB405" s="410"/>
      <c r="CC405" s="410"/>
      <c r="CD405" s="268"/>
      <c r="CE405" s="268"/>
      <c r="CF405" s="268"/>
      <c r="CG405" s="268"/>
      <c r="CH405" s="268"/>
      <c r="CI405" s="268"/>
      <c r="CJ405" s="268"/>
      <c r="CK405" s="268"/>
      <c r="CL405" s="268"/>
      <c r="CM405" s="268"/>
      <c r="CN405" s="268"/>
      <c r="CO405" s="141"/>
      <c r="CP405" s="141"/>
      <c r="CQ405" s="141"/>
      <c r="CR405" s="302" t="str">
        <f ca="1">IF(FO367=0,"","de hoeveelheid waarbij maximale winst wordt gemaakt, is:")</f>
        <v/>
      </c>
      <c r="CS405" s="89"/>
      <c r="CT405" s="409" t="str">
        <f ca="1">IF(FO367=0,"",".")</f>
        <v/>
      </c>
      <c r="CU405" s="559"/>
      <c r="CV405" s="560"/>
      <c r="CW405" s="560"/>
      <c r="CX405" s="560"/>
      <c r="CY405" s="560"/>
      <c r="CZ405" s="560"/>
      <c r="DA405" s="560"/>
      <c r="DB405" s="560"/>
      <c r="DC405" s="560"/>
      <c r="DD405" s="560"/>
      <c r="DE405" s="560"/>
      <c r="DF405" s="560"/>
      <c r="DG405" s="560"/>
      <c r="DH405" s="560"/>
      <c r="DI405" s="560"/>
      <c r="DJ405" s="560"/>
      <c r="DK405" s="560"/>
      <c r="DL405" s="560"/>
      <c r="DM405" s="560"/>
      <c r="DN405" s="560"/>
      <c r="DO405" s="560"/>
      <c r="DP405" s="560"/>
      <c r="DQ405" s="560"/>
      <c r="DR405" s="409" t="str">
        <f ca="1">IF(FO367=0,"",".")</f>
        <v/>
      </c>
      <c r="DS405" s="384" t="s">
        <v>131</v>
      </c>
      <c r="DT405" s="186" t="str">
        <f ca="1">IF(FO367=0,"",IF(CU405="","",IF(AND(programma!$A$301="uitwerking",$B405="X"),FM405,IF(FP405=1,"Goed!",IF(AND(CU405&gt;FQ405-1,CU405&lt;FQ405+1),"Je hebt verkeerd afgerond.",IF(AND(CU405&gt;FR405-1,CU405&lt;FR405+1),"Fout! Je hebt GO = MK ipv MO = MK berekend.","Fout! Heb je wel MO = MK berekend?"))))))</f>
        <v/>
      </c>
      <c r="DU405" s="479"/>
      <c r="DV405" s="479"/>
      <c r="DW405" s="479"/>
      <c r="DX405" s="479"/>
      <c r="DY405" s="479"/>
      <c r="DZ405" s="479"/>
      <c r="EA405" s="479"/>
      <c r="EB405" s="479"/>
      <c r="EC405" s="479"/>
      <c r="ED405" s="479"/>
      <c r="EE405" s="479"/>
      <c r="EF405" s="479"/>
      <c r="EG405" s="479"/>
      <c r="EH405" s="479"/>
      <c r="EI405" s="479"/>
      <c r="EJ405" s="479"/>
      <c r="EK405" s="479"/>
      <c r="EL405" s="479"/>
      <c r="EM405" s="479"/>
      <c r="EN405" s="479"/>
      <c r="EO405" s="479"/>
      <c r="EP405" s="479"/>
      <c r="EQ405" s="479"/>
      <c r="ER405" s="479"/>
      <c r="ES405" s="479"/>
      <c r="ET405" s="479"/>
      <c r="EU405" s="479"/>
      <c r="EV405" s="479"/>
      <c r="EW405" s="479"/>
      <c r="EX405" s="479"/>
      <c r="EY405" s="479"/>
      <c r="EZ405" s="479"/>
      <c r="FA405" s="479"/>
      <c r="FB405" s="479"/>
      <c r="FC405" s="479"/>
      <c r="FD405" s="479"/>
      <c r="FE405" s="479"/>
      <c r="FF405" s="479"/>
      <c r="FG405" s="479"/>
      <c r="FH405" s="479"/>
      <c r="FI405" s="479"/>
      <c r="FJ405" s="479"/>
      <c r="FK405" s="479"/>
      <c r="FL405" s="479"/>
      <c r="FM405" s="300" t="str">
        <f ca="1" xml:space="preserve"> ""&amp;FU398&amp;"q + "&amp;FZ398&amp;" = "&amp;FS398&amp;" dus  "&amp;FZ398-FS398&amp;" / "&amp;-FU398&amp;" = "&amp;FQ405</f>
        <v>-6,6q + 3301 = 265 dus  3036 / 6,6 = 460</v>
      </c>
      <c r="FN405" s="300"/>
      <c r="FO405" s="300"/>
      <c r="FP405" s="300">
        <f ca="1">IF(programma!B1="X",1,IF(FO367=0,0,IF(AND(CU405&gt;FQ405-0.01,CU405&lt;FQ405+0.01),1,0)))</f>
        <v>0</v>
      </c>
      <c r="FQ405" s="339">
        <f ca="1">IF(FO1=0,"",ROUND((FS398-FZ398)/FU398,0))</f>
        <v>460</v>
      </c>
      <c r="FR405" s="300">
        <f ca="1">ROUND((FS398-FZ398)/(0.5*FU398),0)</f>
        <v>920</v>
      </c>
      <c r="FS405" s="108"/>
      <c r="FT405" s="108"/>
      <c r="FU405" s="108"/>
      <c r="FV405" s="108"/>
      <c r="FW405" s="108"/>
      <c r="FX405" s="108"/>
      <c r="FY405" s="32"/>
      <c r="FZ405" s="32"/>
      <c r="GA405" s="32"/>
      <c r="GB405" s="32"/>
      <c r="GC405" s="32"/>
      <c r="GD405" s="32"/>
      <c r="GE405" s="32"/>
      <c r="GF405" s="32"/>
      <c r="GG405" s="32"/>
      <c r="GH405" s="32"/>
      <c r="GI405" s="32"/>
      <c r="GJ405" s="32"/>
      <c r="GK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38"/>
      <c r="HO405" s="338"/>
      <c r="HP405" s="338"/>
      <c r="HQ405" s="13"/>
      <c r="HR405" s="13"/>
      <c r="HS405" s="13"/>
      <c r="HT405" s="13"/>
      <c r="HU405" s="13"/>
      <c r="HV405" s="13"/>
      <c r="HW405" s="13"/>
      <c r="HX405" s="13"/>
      <c r="HY405" s="13"/>
      <c r="HZ405" s="13"/>
      <c r="IA405" s="13"/>
    </row>
    <row r="406" spans="1:235" s="66" customFormat="1" ht="3.6" customHeight="1">
      <c r="A406" s="60"/>
      <c r="B406" s="69"/>
      <c r="C406" s="69"/>
      <c r="D406" s="409"/>
      <c r="E406" s="409"/>
      <c r="F406" s="409"/>
      <c r="G406" s="409"/>
      <c r="H406" s="409"/>
      <c r="I406" s="409"/>
      <c r="J406" s="409"/>
      <c r="K406" s="409"/>
      <c r="L406" s="409"/>
      <c r="M406" s="409"/>
      <c r="N406" s="409"/>
      <c r="O406" s="409"/>
      <c r="P406" s="409"/>
      <c r="Q406" s="409"/>
      <c r="R406" s="409"/>
      <c r="S406" s="409"/>
      <c r="T406" s="409"/>
      <c r="U406" s="409"/>
      <c r="V406" s="409"/>
      <c r="W406" s="409"/>
      <c r="X406" s="410"/>
      <c r="Y406" s="410"/>
      <c r="Z406" s="410"/>
      <c r="AA406" s="410"/>
      <c r="AB406" s="410"/>
      <c r="AC406" s="410"/>
      <c r="AD406" s="410"/>
      <c r="AE406" s="410"/>
      <c r="AF406" s="89"/>
      <c r="AG406" s="89"/>
      <c r="AH406" s="409"/>
      <c r="AI406" s="410"/>
      <c r="BT406" s="410"/>
      <c r="BU406" s="410"/>
      <c r="BV406" s="410"/>
      <c r="BW406" s="410"/>
      <c r="BX406" s="410"/>
      <c r="BY406" s="410"/>
      <c r="BZ406" s="410"/>
      <c r="CA406" s="410"/>
      <c r="CB406" s="410"/>
      <c r="CC406" s="410"/>
      <c r="CD406" s="268"/>
      <c r="CE406" s="268"/>
      <c r="CF406" s="268"/>
      <c r="CG406" s="268"/>
      <c r="CH406" s="268"/>
      <c r="CI406" s="268"/>
      <c r="CJ406" s="268"/>
      <c r="CK406" s="268"/>
      <c r="CL406" s="268"/>
      <c r="CM406" s="268"/>
      <c r="CN406" s="268"/>
      <c r="CO406" s="141"/>
      <c r="CP406" s="141"/>
      <c r="CQ406" s="141"/>
      <c r="CR406" s="89"/>
      <c r="CS406" s="89"/>
      <c r="CT406" s="553" t="str">
        <f ca="1">IF(FO367=0,"",".")</f>
        <v/>
      </c>
      <c r="CU406" s="541" t="e">
        <f>IF(#REF!=0,"","+")</f>
        <v>#REF!</v>
      </c>
      <c r="CV406" s="541" t="e">
        <f>IF(#REF!=0,"","+")</f>
        <v>#REF!</v>
      </c>
      <c r="CW406" s="541" t="e">
        <f>IF(#REF!=0,"","+")</f>
        <v>#REF!</v>
      </c>
      <c r="CX406" s="541" t="e">
        <f>IF(#REF!=0,"","+")</f>
        <v>#REF!</v>
      </c>
      <c r="CY406" s="541"/>
      <c r="CZ406" s="541"/>
      <c r="DA406" s="541"/>
      <c r="DB406" s="541" t="e">
        <f>IF(#REF!=0,"","+")</f>
        <v>#REF!</v>
      </c>
      <c r="DC406" s="541" t="e">
        <f>IF(#REF!=0,"","+")</f>
        <v>#REF!</v>
      </c>
      <c r="DD406" s="541" t="e">
        <f>IF(#REF!=0,"","+")</f>
        <v>#REF!</v>
      </c>
      <c r="DE406" s="541" t="e">
        <f>IF(#REF!=0,"","+")</f>
        <v>#REF!</v>
      </c>
      <c r="DF406" s="541" t="e">
        <f>IF(#REF!=0,"","+")</f>
        <v>#REF!</v>
      </c>
      <c r="DG406" s="541" t="e">
        <f>IF(#REF!=0,"","+")</f>
        <v>#REF!</v>
      </c>
      <c r="DH406" s="541"/>
      <c r="DI406" s="541"/>
      <c r="DJ406" s="541"/>
      <c r="DK406" s="541"/>
      <c r="DL406" s="541"/>
      <c r="DM406" s="541"/>
      <c r="DN406" s="541" t="e">
        <f>IF(#REF!=0,"","+")</f>
        <v>#REF!</v>
      </c>
      <c r="DO406" s="541" t="e">
        <f>IF(#REF!=0,"","+")</f>
        <v>#REF!</v>
      </c>
      <c r="DP406" s="541" t="e">
        <f>IF(#REF!=0,"","+")</f>
        <v>#REF!</v>
      </c>
      <c r="DQ406" s="541" t="e">
        <f>IF(#REF!=0,"","+")</f>
        <v>#REF!</v>
      </c>
      <c r="DR406" s="541" t="e">
        <f>IF(#REF!=0,"","+")</f>
        <v>#REF!</v>
      </c>
      <c r="DS406" s="89"/>
      <c r="DT406" s="479"/>
      <c r="DU406" s="479"/>
      <c r="DV406" s="479"/>
      <c r="DW406" s="479"/>
      <c r="DX406" s="479"/>
      <c r="DY406" s="479"/>
      <c r="DZ406" s="479"/>
      <c r="EA406" s="479"/>
      <c r="EB406" s="479"/>
      <c r="EC406" s="479"/>
      <c r="ED406" s="479"/>
      <c r="EE406" s="479"/>
      <c r="EF406" s="479"/>
      <c r="EG406" s="479"/>
      <c r="EH406" s="479"/>
      <c r="EI406" s="479"/>
      <c r="EJ406" s="479"/>
      <c r="EK406" s="479"/>
      <c r="EL406" s="479"/>
      <c r="EM406" s="479"/>
      <c r="EN406" s="479"/>
      <c r="EO406" s="479"/>
      <c r="EP406" s="479"/>
      <c r="EQ406" s="479"/>
      <c r="ER406" s="479"/>
      <c r="ES406" s="479"/>
      <c r="ET406" s="479"/>
      <c r="EU406" s="479"/>
      <c r="EV406" s="479"/>
      <c r="EW406" s="479"/>
      <c r="EX406" s="479"/>
      <c r="EY406" s="479"/>
      <c r="EZ406" s="479"/>
      <c r="FA406" s="479"/>
      <c r="FB406" s="479"/>
      <c r="FC406" s="479"/>
      <c r="FD406" s="479"/>
      <c r="FE406" s="479"/>
      <c r="FF406" s="479"/>
      <c r="FG406" s="479"/>
      <c r="FH406" s="479"/>
      <c r="FI406" s="479"/>
      <c r="FJ406" s="479"/>
      <c r="FK406" s="479"/>
      <c r="FL406" s="479"/>
      <c r="FM406" s="300"/>
      <c r="FN406" s="300"/>
      <c r="FO406" s="300"/>
      <c r="FP406" s="300"/>
      <c r="FQ406" s="300"/>
      <c r="FR406" s="108"/>
      <c r="FS406" s="108"/>
      <c r="FT406" s="108"/>
      <c r="FU406" s="108"/>
      <c r="FV406" s="108"/>
      <c r="FW406" s="108"/>
      <c r="FX406" s="108"/>
      <c r="FY406" s="32"/>
      <c r="FZ406" s="32"/>
      <c r="GA406" s="32"/>
      <c r="GB406" s="32"/>
      <c r="GC406" s="32"/>
      <c r="GD406" s="32"/>
      <c r="GE406" s="32"/>
      <c r="GF406" s="32"/>
      <c r="GG406" s="32"/>
      <c r="GH406" s="32"/>
      <c r="GI406" s="32"/>
      <c r="GJ406" s="32"/>
      <c r="GK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38"/>
      <c r="HO406" s="338"/>
      <c r="HP406" s="338"/>
      <c r="HQ406" s="13"/>
      <c r="HR406" s="13"/>
      <c r="HS406" s="13"/>
      <c r="HT406" s="13"/>
      <c r="HU406" s="13"/>
      <c r="HV406" s="13"/>
      <c r="HW406" s="13"/>
      <c r="HX406" s="13"/>
      <c r="HY406" s="13"/>
      <c r="HZ406" s="13"/>
      <c r="IA406" s="13"/>
    </row>
    <row r="407" spans="1:235" s="66" customFormat="1" ht="9" customHeight="1">
      <c r="A407" s="60"/>
      <c r="B407" s="69"/>
      <c r="C407" s="69"/>
      <c r="D407" s="409"/>
      <c r="E407" s="409"/>
      <c r="F407" s="409"/>
      <c r="G407" s="409"/>
      <c r="H407" s="472"/>
      <c r="I407" s="409"/>
      <c r="J407" s="409"/>
      <c r="K407" s="409"/>
      <c r="L407" s="409"/>
      <c r="M407" s="409"/>
      <c r="N407" s="409"/>
      <c r="O407" s="409"/>
      <c r="P407" s="409"/>
      <c r="Q407" s="409"/>
      <c r="R407" s="409"/>
      <c r="S407" s="409"/>
      <c r="T407" s="409"/>
      <c r="U407" s="409"/>
      <c r="V407" s="409"/>
      <c r="W407" s="409"/>
      <c r="X407" s="89"/>
      <c r="Y407" s="89"/>
      <c r="Z407" s="89"/>
      <c r="AA407" s="89"/>
      <c r="AB407" s="89"/>
      <c r="AC407" s="89"/>
      <c r="AD407" s="89"/>
      <c r="AE407" s="89"/>
      <c r="AF407" s="89"/>
      <c r="AG407" s="89"/>
      <c r="AH407" s="89"/>
      <c r="AI407" s="89"/>
      <c r="BT407" s="89"/>
      <c r="BU407" s="89"/>
      <c r="BV407" s="89"/>
      <c r="BW407" s="89"/>
      <c r="BX407" s="89"/>
      <c r="BY407" s="89"/>
      <c r="BZ407" s="89"/>
      <c r="CA407" s="89"/>
      <c r="CB407" s="89"/>
      <c r="CC407" s="89"/>
      <c r="CD407" s="89"/>
      <c r="CE407" s="89"/>
      <c r="CF407" s="89"/>
      <c r="CG407" s="89"/>
      <c r="CH407" s="89"/>
      <c r="CI407" s="89"/>
      <c r="CJ407" s="89"/>
      <c r="CK407" s="89"/>
      <c r="CL407" s="89"/>
      <c r="CM407" s="89"/>
      <c r="CN407" s="89"/>
      <c r="CO407" s="89"/>
      <c r="CP407" s="89"/>
      <c r="CQ407" s="89"/>
      <c r="CR407" s="89"/>
      <c r="CS407" s="89"/>
      <c r="CT407" s="89"/>
      <c r="CU407" s="89"/>
      <c r="CV407" s="89"/>
      <c r="CW407" s="89"/>
      <c r="CX407" s="89"/>
      <c r="CY407" s="89"/>
      <c r="CZ407" s="89"/>
      <c r="DA407" s="89"/>
      <c r="DB407" s="89"/>
      <c r="DC407" s="89"/>
      <c r="DD407" s="89"/>
      <c r="DE407" s="89"/>
      <c r="DF407" s="89"/>
      <c r="DG407" s="89"/>
      <c r="DH407" s="89"/>
      <c r="DI407" s="89"/>
      <c r="DJ407" s="89"/>
      <c r="DK407" s="89"/>
      <c r="DL407" s="89"/>
      <c r="DM407" s="89"/>
      <c r="DN407" s="89"/>
      <c r="DO407" s="89"/>
      <c r="DP407" s="89"/>
      <c r="DQ407" s="89"/>
      <c r="DR407" s="89"/>
      <c r="DS407" s="89"/>
      <c r="DT407" s="479"/>
      <c r="DU407" s="479"/>
      <c r="DV407" s="479"/>
      <c r="DW407" s="479"/>
      <c r="DX407" s="479"/>
      <c r="DY407" s="479"/>
      <c r="DZ407" s="479"/>
      <c r="EA407" s="479"/>
      <c r="EB407" s="479"/>
      <c r="EC407" s="479"/>
      <c r="ED407" s="479"/>
      <c r="EE407" s="479"/>
      <c r="EF407" s="479"/>
      <c r="EG407" s="479"/>
      <c r="EH407" s="479"/>
      <c r="EI407" s="479"/>
      <c r="EJ407" s="479"/>
      <c r="EK407" s="479"/>
      <c r="EL407" s="479"/>
      <c r="EM407" s="479"/>
      <c r="EN407" s="479"/>
      <c r="EO407" s="479"/>
      <c r="EP407" s="479"/>
      <c r="EQ407" s="479"/>
      <c r="ER407" s="479"/>
      <c r="ES407" s="479"/>
      <c r="ET407" s="479"/>
      <c r="EU407" s="479"/>
      <c r="EV407" s="479"/>
      <c r="EW407" s="479"/>
      <c r="EX407" s="479"/>
      <c r="EY407" s="479"/>
      <c r="EZ407" s="479"/>
      <c r="FA407" s="479"/>
      <c r="FB407" s="479"/>
      <c r="FC407" s="479"/>
      <c r="FD407" s="479"/>
      <c r="FE407" s="479"/>
      <c r="FF407" s="479"/>
      <c r="FG407" s="479"/>
      <c r="FH407" s="479"/>
      <c r="FI407" s="479"/>
      <c r="FJ407" s="479"/>
      <c r="FK407" s="479"/>
      <c r="FL407" s="479"/>
      <c r="FM407" s="300"/>
      <c r="FN407" s="300"/>
      <c r="FO407" s="300"/>
      <c r="FP407" s="300"/>
      <c r="FQ407" s="300"/>
      <c r="FR407" s="108"/>
      <c r="FS407" s="108"/>
      <c r="FT407" s="108"/>
      <c r="FU407" s="108"/>
      <c r="FV407" s="108"/>
      <c r="FW407" s="108"/>
      <c r="FX407" s="108"/>
      <c r="FY407" s="32"/>
      <c r="FZ407" s="32"/>
      <c r="GA407" s="32"/>
      <c r="GB407" s="32"/>
      <c r="GC407" s="32"/>
      <c r="GD407" s="32"/>
      <c r="GE407" s="32"/>
      <c r="GF407" s="32"/>
      <c r="GG407" s="32"/>
      <c r="GH407" s="32"/>
      <c r="GI407" s="32"/>
      <c r="GJ407" s="32"/>
      <c r="GK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38"/>
      <c r="HO407" s="338"/>
      <c r="HP407" s="338"/>
      <c r="HQ407" s="13"/>
      <c r="HR407" s="13"/>
      <c r="HS407" s="13"/>
      <c r="HT407" s="13"/>
      <c r="HU407" s="13"/>
      <c r="HV407" s="13"/>
      <c r="HW407" s="13"/>
      <c r="HX407" s="13"/>
      <c r="HY407" s="13"/>
      <c r="HZ407" s="13"/>
      <c r="IA407" s="13"/>
    </row>
    <row r="408" spans="1:235" s="66" customFormat="1" ht="16.95" customHeight="1">
      <c r="A408" s="60"/>
      <c r="B408" s="3"/>
      <c r="C408" s="69"/>
      <c r="D408" s="409" t="str">
        <f ca="1">IF(FP405=0,"","Hoeveelheid bedraagt de verkooprijs dan? Rond af op hele eurocenten.")</f>
        <v/>
      </c>
      <c r="E408" s="409"/>
      <c r="F408" s="89"/>
      <c r="G408" s="89"/>
      <c r="H408" s="89"/>
      <c r="I408" s="89"/>
      <c r="J408" s="89"/>
      <c r="K408" s="89"/>
      <c r="L408" s="89"/>
      <c r="M408" s="89"/>
      <c r="N408" s="89"/>
      <c r="O408" s="89"/>
      <c r="P408" s="89"/>
      <c r="Q408" s="89"/>
      <c r="R408" s="89"/>
      <c r="S408" s="89"/>
      <c r="T408" s="89"/>
      <c r="U408" s="89"/>
      <c r="V408" s="89"/>
      <c r="W408" s="89"/>
      <c r="X408" s="89"/>
      <c r="Y408" s="141"/>
      <c r="Z408" s="141"/>
      <c r="AA408" s="141"/>
      <c r="AB408" s="141"/>
      <c r="AC408" s="141"/>
      <c r="AD408" s="141"/>
      <c r="AE408" s="141"/>
      <c r="AF408" s="141"/>
      <c r="AG408" s="141"/>
      <c r="AH408" s="141"/>
      <c r="AI408" s="141"/>
      <c r="BT408" s="89"/>
      <c r="BU408" s="89"/>
      <c r="BV408" s="89"/>
      <c r="BW408" s="89"/>
      <c r="BX408" s="89"/>
      <c r="BY408" s="89"/>
      <c r="BZ408" s="89"/>
      <c r="CA408" s="89"/>
      <c r="CB408" s="89"/>
      <c r="CC408" s="89"/>
      <c r="CD408" s="89"/>
      <c r="CE408" s="89"/>
      <c r="CF408" s="89"/>
      <c r="CG408" s="89"/>
      <c r="CH408" s="89"/>
      <c r="CI408" s="89"/>
      <c r="CJ408" s="89"/>
      <c r="CK408" s="89"/>
      <c r="CL408" s="89"/>
      <c r="CM408" s="89"/>
      <c r="CN408" s="89"/>
      <c r="CO408" s="89"/>
      <c r="CP408" s="89"/>
      <c r="CQ408" s="89"/>
      <c r="CR408" s="89"/>
      <c r="CS408" s="89"/>
      <c r="CT408" s="89"/>
      <c r="CU408" s="89"/>
      <c r="CV408" s="89"/>
      <c r="CW408" s="89"/>
      <c r="CX408" s="89"/>
      <c r="CY408" s="89"/>
      <c r="CZ408" s="89"/>
      <c r="DA408" s="89"/>
      <c r="DB408" s="89"/>
      <c r="DC408" s="89"/>
      <c r="DD408" s="89"/>
      <c r="DE408" s="89"/>
      <c r="DF408" s="89"/>
      <c r="DG408" s="89"/>
      <c r="DH408" s="89"/>
      <c r="DI408" s="89"/>
      <c r="DJ408" s="89"/>
      <c r="DK408" s="89"/>
      <c r="DL408" s="89"/>
      <c r="DM408" s="89"/>
      <c r="DN408" s="89"/>
      <c r="DO408" s="89"/>
      <c r="DP408" s="89"/>
      <c r="DQ408" s="89"/>
      <c r="DR408" s="89"/>
      <c r="DS408" s="89"/>
      <c r="DT408" s="89"/>
      <c r="DU408" s="89"/>
      <c r="DV408" s="89"/>
      <c r="DW408" s="89"/>
      <c r="DX408" s="89"/>
      <c r="DY408" s="268"/>
      <c r="DZ408" s="268"/>
      <c r="EA408" s="268"/>
      <c r="EB408" s="268"/>
      <c r="EC408" s="268"/>
      <c r="ED408" s="268"/>
      <c r="EE408" s="268"/>
      <c r="EF408" s="268"/>
      <c r="EG408" s="268"/>
      <c r="EI408" s="89"/>
      <c r="EJ408" s="89"/>
      <c r="EK408" s="89"/>
      <c r="EL408" s="89"/>
      <c r="EM408" s="89"/>
      <c r="EN408" s="89"/>
      <c r="EO408" s="89"/>
      <c r="EP408" s="89"/>
      <c r="EQ408" s="89"/>
      <c r="ER408" s="89"/>
      <c r="ES408" s="89"/>
      <c r="ET408" s="89"/>
      <c r="EU408" s="89"/>
      <c r="EV408" s="89"/>
      <c r="EW408" s="268"/>
      <c r="EX408" s="268"/>
      <c r="EY408" s="268"/>
      <c r="EZ408" s="268"/>
      <c r="FA408" s="268"/>
      <c r="FB408" s="268"/>
      <c r="FC408" s="268"/>
      <c r="FD408" s="268"/>
      <c r="FE408" s="268"/>
      <c r="FF408" s="107"/>
      <c r="FG408" s="107"/>
      <c r="FH408" s="107"/>
      <c r="FI408" s="107"/>
      <c r="FJ408" s="107"/>
      <c r="FK408" s="107"/>
      <c r="FL408" s="107"/>
      <c r="FM408" s="377"/>
      <c r="FN408" s="377"/>
      <c r="FO408" s="377"/>
      <c r="FP408" s="377"/>
      <c r="FQ408" s="377"/>
      <c r="FR408" s="377"/>
      <c r="FS408" s="396"/>
      <c r="FT408" s="396"/>
      <c r="FU408" s="396"/>
      <c r="FV408" s="396"/>
      <c r="FW408" s="396"/>
      <c r="FX408" s="396"/>
      <c r="FY408" s="32"/>
      <c r="FZ408" s="32"/>
      <c r="GA408" s="32"/>
      <c r="GB408" s="32"/>
      <c r="GC408" s="32"/>
      <c r="GD408" s="32"/>
      <c r="GE408" s="32"/>
      <c r="GF408" s="32"/>
      <c r="GG408" s="32"/>
      <c r="GH408" s="32"/>
      <c r="GI408" s="32"/>
      <c r="GJ408" s="32"/>
      <c r="GK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38"/>
      <c r="HO408" s="338"/>
      <c r="HP408" s="338"/>
      <c r="HQ408" s="13"/>
      <c r="HR408" s="13"/>
      <c r="HS408" s="13"/>
      <c r="HT408" s="13"/>
      <c r="HU408" s="13"/>
      <c r="HV408" s="13"/>
      <c r="HW408" s="13"/>
      <c r="HX408" s="13"/>
      <c r="HY408" s="13"/>
      <c r="HZ408" s="13"/>
      <c r="IA408" s="13"/>
    </row>
    <row r="409" spans="1:235" s="66" customFormat="1" ht="9" customHeight="1">
      <c r="A409" s="60"/>
      <c r="B409" s="69"/>
      <c r="C409" s="69"/>
      <c r="D409" s="409"/>
      <c r="E409" s="409"/>
      <c r="F409" s="409"/>
      <c r="G409" s="409"/>
      <c r="H409" s="409"/>
      <c r="I409" s="409"/>
      <c r="J409" s="409"/>
      <c r="K409" s="409"/>
      <c r="L409" s="409"/>
      <c r="M409" s="409"/>
      <c r="N409" s="409"/>
      <c r="O409" s="409"/>
      <c r="P409" s="409"/>
      <c r="Q409" s="409"/>
      <c r="R409" s="409"/>
      <c r="S409" s="409"/>
      <c r="T409" s="409"/>
      <c r="U409" s="409"/>
      <c r="V409" s="409"/>
      <c r="W409" s="409"/>
      <c r="X409" s="89"/>
      <c r="Y409" s="89"/>
      <c r="Z409" s="89"/>
      <c r="AA409" s="89"/>
      <c r="AB409" s="89"/>
      <c r="AC409" s="89"/>
      <c r="AD409" s="89"/>
      <c r="AE409" s="89"/>
      <c r="AF409" s="89"/>
      <c r="AG409" s="89"/>
      <c r="AH409" s="89"/>
      <c r="AI409" s="89"/>
      <c r="BT409" s="89"/>
      <c r="BU409" s="89"/>
      <c r="BV409" s="89"/>
      <c r="BW409" s="89"/>
      <c r="BX409" s="89"/>
      <c r="BY409" s="89"/>
      <c r="BZ409" s="89"/>
      <c r="CA409" s="89"/>
      <c r="CB409" s="89"/>
      <c r="CC409" s="89"/>
      <c r="CD409" s="89"/>
      <c r="CE409" s="89"/>
      <c r="CF409" s="89"/>
      <c r="CG409" s="89"/>
      <c r="CH409" s="89"/>
      <c r="CI409" s="89"/>
      <c r="CJ409" s="89"/>
      <c r="CK409" s="89"/>
      <c r="CL409" s="89"/>
      <c r="CM409" s="89"/>
      <c r="CN409" s="89"/>
      <c r="CO409" s="89"/>
      <c r="CP409" s="89"/>
      <c r="CQ409" s="89"/>
      <c r="CR409" s="89"/>
      <c r="CS409" s="89"/>
      <c r="CT409" s="89"/>
      <c r="CU409" s="89"/>
      <c r="CV409" s="89"/>
      <c r="CW409" s="89"/>
      <c r="CX409" s="89"/>
      <c r="CY409" s="89"/>
      <c r="CZ409" s="89"/>
      <c r="DA409" s="89"/>
      <c r="DB409" s="89"/>
      <c r="DC409" s="89"/>
      <c r="DD409" s="89"/>
      <c r="DE409" s="89"/>
      <c r="DF409" s="89"/>
      <c r="DG409" s="89"/>
      <c r="DH409" s="89"/>
      <c r="DI409" s="89"/>
      <c r="DJ409" s="89"/>
      <c r="DK409" s="89"/>
      <c r="DL409" s="89"/>
      <c r="DM409" s="89"/>
      <c r="DN409" s="89"/>
      <c r="DO409" s="89"/>
      <c r="DP409" s="89"/>
      <c r="DQ409" s="89"/>
      <c r="DR409" s="89"/>
      <c r="DS409" s="89"/>
      <c r="DT409" s="89"/>
      <c r="DU409" s="288"/>
      <c r="DV409" s="288"/>
      <c r="DW409" s="288"/>
      <c r="DX409" s="288"/>
      <c r="DY409" s="268"/>
      <c r="DZ409" s="268"/>
      <c r="EA409" s="268"/>
      <c r="EB409" s="268"/>
      <c r="EC409" s="268"/>
      <c r="ED409" s="268"/>
      <c r="EE409" s="268"/>
      <c r="EF409" s="268"/>
      <c r="EG409" s="268"/>
      <c r="EI409" s="395"/>
      <c r="EJ409" s="395"/>
      <c r="EK409" s="395"/>
      <c r="EL409" s="395"/>
      <c r="EM409" s="395"/>
      <c r="EN409" s="395"/>
      <c r="EO409" s="395"/>
      <c r="EP409" s="395"/>
      <c r="EQ409" s="395"/>
      <c r="ER409" s="395"/>
      <c r="ES409" s="395"/>
      <c r="ET409" s="395"/>
      <c r="EU409" s="395"/>
      <c r="EV409" s="395"/>
      <c r="EW409" s="395"/>
      <c r="EX409" s="395"/>
      <c r="EY409" s="395"/>
      <c r="EZ409" s="395"/>
      <c r="FA409" s="395"/>
      <c r="FB409" s="395"/>
      <c r="FC409" s="395"/>
      <c r="FD409" s="395"/>
      <c r="FE409" s="395"/>
      <c r="FF409" s="107"/>
      <c r="FG409" s="107"/>
      <c r="FH409" s="107"/>
      <c r="FI409" s="107"/>
      <c r="FJ409" s="107"/>
      <c r="FK409" s="107"/>
      <c r="FL409" s="107"/>
      <c r="FM409" s="300"/>
      <c r="FN409" s="300"/>
      <c r="FO409" s="300"/>
      <c r="FP409" s="300"/>
      <c r="FQ409" s="300"/>
      <c r="FR409" s="108"/>
      <c r="FS409" s="108"/>
      <c r="FT409" s="108"/>
      <c r="FU409" s="108"/>
      <c r="FV409" s="108"/>
      <c r="FW409" s="108"/>
      <c r="FX409" s="108"/>
      <c r="FY409" s="32"/>
      <c r="FZ409" s="32"/>
      <c r="GA409" s="32"/>
      <c r="GB409" s="32"/>
      <c r="GC409" s="32"/>
      <c r="GD409" s="32"/>
      <c r="GE409" s="32"/>
      <c r="GF409" s="32"/>
      <c r="GG409" s="32"/>
      <c r="GH409" s="32"/>
      <c r="GI409" s="32"/>
      <c r="GJ409" s="32"/>
      <c r="GK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38"/>
      <c r="HO409" s="338"/>
      <c r="HP409" s="338"/>
      <c r="HQ409" s="13"/>
      <c r="HR409" s="13"/>
      <c r="HS409" s="13"/>
      <c r="HT409" s="13"/>
      <c r="HU409" s="13"/>
      <c r="HV409" s="13"/>
      <c r="HW409" s="13"/>
      <c r="HX409" s="13"/>
      <c r="HY409" s="13"/>
      <c r="HZ409" s="13"/>
      <c r="IA409" s="13"/>
    </row>
    <row r="410" spans="1:235" s="66" customFormat="1" ht="3.6" customHeight="1">
      <c r="A410" s="60"/>
      <c r="B410" s="69"/>
      <c r="C410" s="69"/>
      <c r="D410" s="409"/>
      <c r="E410" s="409"/>
      <c r="F410" s="409"/>
      <c r="G410" s="409"/>
      <c r="H410" s="409"/>
      <c r="I410" s="409"/>
      <c r="J410" s="409"/>
      <c r="K410" s="409"/>
      <c r="L410" s="409"/>
      <c r="M410" s="409"/>
      <c r="N410" s="409"/>
      <c r="O410" s="409"/>
      <c r="P410" s="409"/>
      <c r="Q410" s="409"/>
      <c r="R410" s="409"/>
      <c r="S410" s="409"/>
      <c r="T410" s="409"/>
      <c r="U410" s="409"/>
      <c r="V410" s="409"/>
      <c r="W410" s="409"/>
      <c r="X410" s="410"/>
      <c r="Y410" s="410"/>
      <c r="Z410" s="410"/>
      <c r="AA410" s="297"/>
      <c r="AB410" s="297"/>
      <c r="AC410" s="297"/>
      <c r="AD410" s="297"/>
      <c r="AE410" s="297"/>
      <c r="AF410" s="297"/>
      <c r="AG410" s="297"/>
      <c r="AH410" s="297"/>
      <c r="AI410" s="297"/>
      <c r="AO410" s="89"/>
      <c r="AP410" s="89"/>
      <c r="AQ410" s="553" t="str">
        <f ca="1">IF(FP405=0,"",".")</f>
        <v/>
      </c>
      <c r="AR410" s="541" t="e">
        <f>IF(#REF!=0,"","+")</f>
        <v>#REF!</v>
      </c>
      <c r="AS410" s="541" t="e">
        <f>IF(#REF!=0,"","+")</f>
        <v>#REF!</v>
      </c>
      <c r="AT410" s="541" t="e">
        <f>IF(#REF!=0,"","+")</f>
        <v>#REF!</v>
      </c>
      <c r="AU410" s="541" t="e">
        <f>IF(#REF!=0,"","+")</f>
        <v>#REF!</v>
      </c>
      <c r="AV410" s="541"/>
      <c r="AW410" s="541"/>
      <c r="AX410" s="541"/>
      <c r="AY410" s="541" t="e">
        <f>IF(#REF!=0,"","+")</f>
        <v>#REF!</v>
      </c>
      <c r="AZ410" s="541" t="e">
        <f>IF(#REF!=0,"","+")</f>
        <v>#REF!</v>
      </c>
      <c r="BA410" s="541" t="e">
        <f>IF(#REF!=0,"","+")</f>
        <v>#REF!</v>
      </c>
      <c r="BB410" s="541" t="e">
        <f>IF(#REF!=0,"","+")</f>
        <v>#REF!</v>
      </c>
      <c r="BC410" s="541" t="e">
        <f>IF(#REF!=0,"","+")</f>
        <v>#REF!</v>
      </c>
      <c r="BD410" s="541" t="e">
        <f>IF(#REF!=0,"","+")</f>
        <v>#REF!</v>
      </c>
      <c r="BE410" s="541"/>
      <c r="BF410" s="541"/>
      <c r="BG410" s="541"/>
      <c r="BH410" s="541"/>
      <c r="BI410" s="541"/>
      <c r="BJ410" s="541"/>
      <c r="BK410" s="541" t="e">
        <f>IF(#REF!=0,"","+")</f>
        <v>#REF!</v>
      </c>
      <c r="BL410" s="541" t="e">
        <f>IF(#REF!=0,"","+")</f>
        <v>#REF!</v>
      </c>
      <c r="BM410" s="541" t="e">
        <f>IF(#REF!=0,"","+")</f>
        <v>#REF!</v>
      </c>
      <c r="BN410" s="541" t="e">
        <f>IF(#REF!=0,"","+")</f>
        <v>#REF!</v>
      </c>
      <c r="BO410" s="541" t="e">
        <f>IF(#REF!=0,"","+")</f>
        <v>#REF!</v>
      </c>
      <c r="BP410" s="89"/>
      <c r="BQ410" s="89"/>
      <c r="BR410" s="268"/>
      <c r="BS410" s="141"/>
      <c r="BT410" s="141"/>
      <c r="BU410" s="141"/>
      <c r="BV410" s="268"/>
      <c r="EB410" s="268"/>
      <c r="EC410" s="268"/>
      <c r="ED410" s="268"/>
      <c r="EE410" s="268"/>
      <c r="EF410" s="268"/>
      <c r="EG410" s="268"/>
      <c r="EI410" s="141"/>
      <c r="EJ410" s="141"/>
      <c r="EK410" s="141"/>
      <c r="EL410" s="141"/>
      <c r="EM410" s="141"/>
      <c r="EN410" s="141"/>
      <c r="EO410" s="141"/>
      <c r="EP410" s="141"/>
      <c r="EQ410" s="141"/>
      <c r="ER410" s="141"/>
      <c r="ES410" s="141"/>
      <c r="ET410" s="141"/>
      <c r="EU410" s="141"/>
      <c r="EV410" s="141"/>
      <c r="EW410" s="141"/>
      <c r="EX410" s="141"/>
      <c r="EY410" s="141"/>
      <c r="EZ410" s="141"/>
      <c r="FA410" s="141"/>
      <c r="FB410" s="141"/>
      <c r="FC410" s="141"/>
      <c r="FD410" s="141"/>
      <c r="FE410" s="141"/>
      <c r="FF410" s="107"/>
      <c r="FG410" s="107"/>
      <c r="FH410" s="107"/>
      <c r="FI410" s="107"/>
      <c r="FJ410" s="107"/>
      <c r="FK410" s="107"/>
      <c r="FL410" s="107"/>
      <c r="FM410" s="300"/>
      <c r="FN410" s="300"/>
      <c r="FO410" s="300"/>
      <c r="FP410" s="300"/>
      <c r="FQ410" s="300"/>
      <c r="FR410" s="108"/>
      <c r="FS410" s="108"/>
      <c r="FT410" s="108"/>
      <c r="FU410" s="108"/>
      <c r="FV410" s="108"/>
      <c r="FW410" s="108"/>
      <c r="FX410" s="108"/>
      <c r="FY410" s="32"/>
      <c r="FZ410" s="32"/>
      <c r="GA410" s="32"/>
      <c r="GB410" s="32"/>
      <c r="GC410" s="32"/>
      <c r="GD410" s="32"/>
      <c r="GE410" s="32"/>
      <c r="GF410" s="32"/>
      <c r="GG410" s="32"/>
      <c r="GH410" s="32"/>
      <c r="GI410" s="32"/>
      <c r="GJ410" s="32"/>
      <c r="GK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38"/>
      <c r="HO410" s="338"/>
      <c r="HP410" s="338"/>
      <c r="HQ410" s="13"/>
      <c r="HR410" s="13"/>
      <c r="HS410" s="13"/>
      <c r="HT410" s="13"/>
      <c r="HU410" s="13"/>
      <c r="HV410" s="13"/>
      <c r="HW410" s="13"/>
      <c r="HX410" s="13"/>
      <c r="HY410" s="13"/>
      <c r="HZ410" s="13"/>
      <c r="IA410" s="13"/>
    </row>
    <row r="411" spans="1:235" s="66" customFormat="1" ht="16.5" customHeight="1">
      <c r="A411" s="60"/>
      <c r="B411" s="476"/>
      <c r="C411" s="69"/>
      <c r="D411" s="268"/>
      <c r="E411" s="268"/>
      <c r="F411" s="268"/>
      <c r="G411" s="268"/>
      <c r="H411" s="268"/>
      <c r="I411" s="268"/>
      <c r="J411" s="268"/>
      <c r="K411" s="268"/>
      <c r="L411" s="268"/>
      <c r="M411" s="268"/>
      <c r="N411" s="268"/>
      <c r="O411" s="268"/>
      <c r="P411" s="268"/>
      <c r="Q411" s="268"/>
      <c r="R411" s="410"/>
      <c r="S411" s="410"/>
      <c r="T411" s="410"/>
      <c r="U411" s="410"/>
      <c r="V411" s="410"/>
      <c r="W411" s="410"/>
      <c r="X411" s="410"/>
      <c r="Y411" s="410"/>
      <c r="Z411" s="410"/>
      <c r="AA411" s="297"/>
      <c r="AB411" s="297"/>
      <c r="AC411" s="297"/>
      <c r="AD411" s="297"/>
      <c r="AE411" s="297"/>
      <c r="AF411" s="297"/>
      <c r="AG411" s="297"/>
      <c r="AH411" s="297"/>
      <c r="AI411" s="297"/>
      <c r="AO411" s="302" t="str">
        <f ca="1">IF(FP405=0,"","de verkoopprijs is:")</f>
        <v/>
      </c>
      <c r="AP411" s="89"/>
      <c r="AQ411" s="409" t="str">
        <f ca="1">IF(FP405=0,"",".")</f>
        <v/>
      </c>
      <c r="AR411" s="556"/>
      <c r="AS411" s="557"/>
      <c r="AT411" s="557"/>
      <c r="AU411" s="557"/>
      <c r="AV411" s="557"/>
      <c r="AW411" s="557"/>
      <c r="AX411" s="557"/>
      <c r="AY411" s="557"/>
      <c r="AZ411" s="557"/>
      <c r="BA411" s="557"/>
      <c r="BB411" s="557"/>
      <c r="BC411" s="557"/>
      <c r="BD411" s="557"/>
      <c r="BE411" s="557"/>
      <c r="BF411" s="557"/>
      <c r="BG411" s="557"/>
      <c r="BH411" s="557"/>
      <c r="BI411" s="557"/>
      <c r="BJ411" s="557"/>
      <c r="BK411" s="557"/>
      <c r="BL411" s="557"/>
      <c r="BM411" s="557"/>
      <c r="BN411" s="557"/>
      <c r="BO411" s="409" t="str">
        <f ca="1">IF(FP405=0,"",".")</f>
        <v/>
      </c>
      <c r="BP411" s="384" t="s">
        <v>131</v>
      </c>
      <c r="BQ411" s="416" t="str">
        <f ca="1">IF(FP405=0,"",IF(AR411="","",IF(AND(programma!$A$301="uitwerking",$B411="X"),FM411,IF(AND(programma!$A$301="uitwerking",$B411="X"),FM411,IF(FP411=1,"Goed!",IF(AND(AR411&gt;FQ411-1,AR411&lt;FQ411+1),"Je hebt verkeerd afgerond.",IF(AND(AR411&gt;FR411-1,AR411&lt;FR411+1),"Fout! Je hebt GO = MK ipv MO = MK berekend.","Fout! Heb je wel MO = MK berekend?")))))))</f>
        <v/>
      </c>
      <c r="BR411" s="298"/>
      <c r="BS411" s="410"/>
      <c r="BT411" s="89"/>
      <c r="BU411" s="89"/>
      <c r="BV411" s="268"/>
      <c r="EB411" s="268"/>
      <c r="EC411" s="268"/>
      <c r="ED411" s="268"/>
      <c r="EE411" s="268"/>
      <c r="EF411" s="268"/>
      <c r="EG411" s="268"/>
      <c r="EI411" s="89"/>
      <c r="EJ411" s="89"/>
      <c r="EK411" s="89"/>
      <c r="EL411" s="89"/>
      <c r="EM411" s="89"/>
      <c r="EN411" s="89"/>
      <c r="EO411" s="89"/>
      <c r="EP411" s="89"/>
      <c r="EQ411" s="89"/>
      <c r="ER411" s="89"/>
      <c r="ES411" s="89"/>
      <c r="ET411" s="89"/>
      <c r="EU411" s="89"/>
      <c r="EV411" s="89"/>
      <c r="EW411" s="89"/>
      <c r="EX411" s="89"/>
      <c r="EY411" s="89"/>
      <c r="EZ411" s="89"/>
      <c r="FA411" s="89"/>
      <c r="FB411" s="89"/>
      <c r="FC411" s="89"/>
      <c r="FD411" s="89"/>
      <c r="FE411" s="89"/>
      <c r="FF411" s="107"/>
      <c r="FG411" s="107"/>
      <c r="FH411" s="107"/>
      <c r="FI411" s="107"/>
      <c r="FJ411" s="107"/>
      <c r="FK411" s="107"/>
      <c r="FL411" s="107"/>
      <c r="FM411" s="300" t="str">
        <f ca="1">""&amp;FU398/2&amp;" x "&amp;FQ405&amp;" + "&amp;FZ398&amp;" = "&amp;FQ411</f>
        <v>-3,3 x 460 + 3301 = 1783</v>
      </c>
      <c r="FN411" s="300"/>
      <c r="FO411" s="300"/>
      <c r="FP411" s="96">
        <f ca="1">IF(programma!B1="X",1,IF(FP405=0,0,IF(AND(AR411&gt;FQ411-0.01,AR411&lt;FQ411+0.01),1,0)))</f>
        <v>0</v>
      </c>
      <c r="FQ411" s="339">
        <f ca="1">IF(FO1=0,"",ROUND(FU398/2*FQ405+FZ398,2))</f>
        <v>1783</v>
      </c>
      <c r="FR411" s="300"/>
      <c r="FS411" s="108"/>
      <c r="FT411" s="108"/>
      <c r="FU411" s="108"/>
      <c r="FV411" s="108"/>
      <c r="FW411" s="108"/>
      <c r="FX411" s="108"/>
      <c r="FY411" s="32"/>
      <c r="FZ411" s="32"/>
      <c r="GA411" s="32"/>
      <c r="GB411" s="32"/>
      <c r="GC411" s="32"/>
      <c r="GD411" s="32"/>
      <c r="GE411" s="32"/>
      <c r="GF411" s="32"/>
      <c r="GG411" s="32"/>
      <c r="GH411" s="32"/>
      <c r="GI411" s="32"/>
      <c r="GJ411" s="32"/>
      <c r="GK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38"/>
      <c r="HO411" s="338"/>
      <c r="HP411" s="338"/>
      <c r="HQ411" s="13"/>
      <c r="HR411" s="13"/>
      <c r="HS411" s="13"/>
      <c r="HT411" s="13"/>
      <c r="HU411" s="13"/>
      <c r="HV411" s="13"/>
      <c r="HW411" s="13"/>
      <c r="HX411" s="13"/>
      <c r="HY411" s="13"/>
      <c r="HZ411" s="13"/>
      <c r="IA411" s="13"/>
    </row>
    <row r="412" spans="1:235" s="66" customFormat="1" ht="3.6" customHeight="1">
      <c r="A412" s="60"/>
      <c r="B412" s="69"/>
      <c r="C412" s="69"/>
      <c r="D412" s="409"/>
      <c r="E412" s="409"/>
      <c r="F412" s="409"/>
      <c r="G412" s="409"/>
      <c r="H412" s="409"/>
      <c r="I412" s="409"/>
      <c r="J412" s="409"/>
      <c r="K412" s="409"/>
      <c r="L412" s="409"/>
      <c r="M412" s="409"/>
      <c r="N412" s="409"/>
      <c r="O412" s="409"/>
      <c r="P412" s="409"/>
      <c r="Q412" s="409"/>
      <c r="R412" s="409"/>
      <c r="S412" s="409"/>
      <c r="T412" s="409"/>
      <c r="U412" s="409"/>
      <c r="V412" s="409"/>
      <c r="W412" s="409"/>
      <c r="X412" s="410"/>
      <c r="Y412" s="410"/>
      <c r="Z412" s="410"/>
      <c r="AA412" s="297"/>
      <c r="AB412" s="297"/>
      <c r="AC412" s="297"/>
      <c r="AD412" s="297"/>
      <c r="AE412" s="297"/>
      <c r="AF412" s="297"/>
      <c r="AG412" s="297"/>
      <c r="AH412" s="297"/>
      <c r="AI412" s="297"/>
      <c r="AJ412" s="297"/>
      <c r="AK412" s="297"/>
      <c r="AL412" s="297"/>
      <c r="AM412" s="297"/>
      <c r="AN412" s="297"/>
      <c r="AO412" s="268"/>
      <c r="AP412" s="268"/>
      <c r="AQ412" s="553" t="str">
        <f ca="1">IF(FP405=0,"",".")</f>
        <v/>
      </c>
      <c r="AR412" s="541" t="e">
        <f>IF(#REF!=0,"","+")</f>
        <v>#REF!</v>
      </c>
      <c r="AS412" s="541" t="e">
        <f>IF(#REF!=0,"","+")</f>
        <v>#REF!</v>
      </c>
      <c r="AT412" s="541" t="e">
        <f>IF(#REF!=0,"","+")</f>
        <v>#REF!</v>
      </c>
      <c r="AU412" s="541" t="e">
        <f>IF(#REF!=0,"","+")</f>
        <v>#REF!</v>
      </c>
      <c r="AV412" s="541"/>
      <c r="AW412" s="541"/>
      <c r="AX412" s="541"/>
      <c r="AY412" s="541" t="e">
        <f>IF(#REF!=0,"","+")</f>
        <v>#REF!</v>
      </c>
      <c r="AZ412" s="541" t="e">
        <f>IF(#REF!=0,"","+")</f>
        <v>#REF!</v>
      </c>
      <c r="BA412" s="541" t="e">
        <f>IF(#REF!=0,"","+")</f>
        <v>#REF!</v>
      </c>
      <c r="BB412" s="541" t="e">
        <f>IF(#REF!=0,"","+")</f>
        <v>#REF!</v>
      </c>
      <c r="BC412" s="541" t="e">
        <f>IF(#REF!=0,"","+")</f>
        <v>#REF!</v>
      </c>
      <c r="BD412" s="541" t="e">
        <f>IF(#REF!=0,"","+")</f>
        <v>#REF!</v>
      </c>
      <c r="BE412" s="541"/>
      <c r="BF412" s="541"/>
      <c r="BG412" s="541"/>
      <c r="BH412" s="541"/>
      <c r="BI412" s="541"/>
      <c r="BJ412" s="541"/>
      <c r="BK412" s="541" t="e">
        <f>IF(#REF!=0,"","+")</f>
        <v>#REF!</v>
      </c>
      <c r="BL412" s="541" t="e">
        <f>IF(#REF!=0,"","+")</f>
        <v>#REF!</v>
      </c>
      <c r="BM412" s="541" t="e">
        <f>IF(#REF!=0,"","+")</f>
        <v>#REF!</v>
      </c>
      <c r="BN412" s="541" t="e">
        <f>IF(#REF!=0,"","+")</f>
        <v>#REF!</v>
      </c>
      <c r="BO412" s="541" t="e">
        <f>IF(#REF!=0,"","+")</f>
        <v>#REF!</v>
      </c>
      <c r="BP412" s="268"/>
      <c r="BQ412" s="268"/>
      <c r="BR412" s="268"/>
      <c r="BS412" s="268"/>
      <c r="BT412" s="268"/>
      <c r="BU412" s="268"/>
      <c r="BV412" s="268"/>
      <c r="EB412" s="268"/>
      <c r="EC412" s="89"/>
      <c r="ED412" s="89"/>
      <c r="EE412" s="89"/>
      <c r="EF412" s="89"/>
      <c r="EG412" s="89"/>
      <c r="EH412" s="89"/>
      <c r="EI412" s="89"/>
      <c r="EJ412" s="89"/>
      <c r="EK412" s="89"/>
      <c r="EL412" s="89"/>
      <c r="EM412" s="89"/>
      <c r="EN412" s="89"/>
      <c r="EO412" s="89"/>
      <c r="EP412" s="89"/>
      <c r="EQ412" s="89"/>
      <c r="ER412" s="89"/>
      <c r="ES412" s="89"/>
      <c r="ET412" s="89"/>
      <c r="EU412" s="89"/>
      <c r="EV412" s="89"/>
      <c r="EW412" s="89"/>
      <c r="EX412" s="89"/>
      <c r="EY412" s="89"/>
      <c r="EZ412" s="89"/>
      <c r="FA412" s="89"/>
      <c r="FB412" s="89"/>
      <c r="FC412" s="89"/>
      <c r="FD412" s="89"/>
      <c r="FE412" s="89"/>
      <c r="FF412" s="107"/>
      <c r="FG412" s="107"/>
      <c r="FH412" s="107"/>
      <c r="FI412" s="107"/>
      <c r="FJ412" s="107"/>
      <c r="FK412" s="107"/>
      <c r="FL412" s="107"/>
      <c r="FM412" s="96"/>
      <c r="FN412" s="96"/>
      <c r="FO412" s="96"/>
      <c r="FP412" s="96"/>
      <c r="FQ412" s="108"/>
      <c r="FR412" s="108"/>
      <c r="FS412" s="108"/>
      <c r="FT412" s="108"/>
      <c r="FU412" s="108"/>
      <c r="FV412" s="108"/>
      <c r="FW412" s="108"/>
      <c r="FX412" s="108"/>
      <c r="FY412" s="32"/>
      <c r="FZ412" s="32"/>
      <c r="GA412" s="32"/>
      <c r="GB412" s="32"/>
      <c r="GC412" s="32"/>
      <c r="GD412" s="32"/>
      <c r="GE412" s="32"/>
      <c r="GF412" s="32"/>
      <c r="GG412" s="32"/>
      <c r="GH412" s="32"/>
      <c r="GI412" s="32"/>
      <c r="GJ412" s="32"/>
      <c r="GK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38"/>
      <c r="HO412" s="338"/>
      <c r="HP412" s="338"/>
      <c r="HQ412" s="13"/>
      <c r="HR412" s="13"/>
      <c r="HS412" s="13"/>
      <c r="HT412" s="13"/>
      <c r="HU412" s="13"/>
      <c r="HV412" s="13"/>
      <c r="HW412" s="13"/>
      <c r="HX412" s="13"/>
      <c r="HY412" s="13"/>
      <c r="HZ412" s="13"/>
      <c r="IA412" s="13"/>
    </row>
    <row r="413" spans="1:235" s="66" customFormat="1" ht="9" customHeight="1">
      <c r="A413" s="60"/>
      <c r="B413" s="69"/>
      <c r="C413" s="69"/>
      <c r="D413" s="409"/>
      <c r="E413" s="409"/>
      <c r="F413" s="409"/>
      <c r="G413" s="409"/>
      <c r="H413" s="409"/>
      <c r="I413" s="409"/>
      <c r="J413" s="409"/>
      <c r="K413" s="409"/>
      <c r="L413" s="409"/>
      <c r="M413" s="409"/>
      <c r="N413" s="409"/>
      <c r="O413" s="409"/>
      <c r="P413" s="409"/>
      <c r="Q413" s="409"/>
      <c r="R413" s="409"/>
      <c r="S413" s="409"/>
      <c r="T413" s="409"/>
      <c r="U413" s="409"/>
      <c r="V413" s="409"/>
      <c r="W413" s="409"/>
      <c r="X413" s="89"/>
      <c r="Y413" s="89"/>
      <c r="Z413" s="89"/>
      <c r="AA413" s="89"/>
      <c r="AB413" s="89"/>
      <c r="AC413" s="89"/>
      <c r="AD413" s="89"/>
      <c r="AE413" s="89"/>
      <c r="AF413" s="89"/>
      <c r="AG413" s="89"/>
      <c r="AH413" s="89"/>
      <c r="AI413" s="89"/>
      <c r="AO413" s="89"/>
      <c r="AP413" s="89"/>
      <c r="AQ413" s="89"/>
      <c r="AR413" s="89"/>
      <c r="AS413" s="89"/>
      <c r="AT413" s="89"/>
      <c r="AU413" s="89"/>
      <c r="AV413" s="89"/>
      <c r="AW413" s="89"/>
      <c r="AX413" s="89"/>
      <c r="AY413" s="89"/>
      <c r="AZ413" s="89"/>
      <c r="BA413" s="89"/>
      <c r="BB413" s="89"/>
      <c r="BC413" s="89"/>
      <c r="BD413" s="89"/>
      <c r="BE413" s="89"/>
      <c r="BF413" s="89"/>
      <c r="BG413" s="89"/>
      <c r="BH413" s="89"/>
      <c r="BI413" s="89"/>
      <c r="BJ413" s="89"/>
      <c r="BK413" s="89"/>
      <c r="BL413" s="89"/>
      <c r="BM413" s="89"/>
      <c r="BN413" s="89"/>
      <c r="BO413" s="89"/>
      <c r="BP413" s="89"/>
      <c r="BQ413" s="89"/>
      <c r="BR413" s="288"/>
      <c r="BS413" s="288"/>
      <c r="BT413" s="288"/>
      <c r="BU413" s="288"/>
      <c r="BV413" s="268"/>
      <c r="EB413" s="268"/>
      <c r="EC413" s="268"/>
      <c r="ED413" s="268"/>
      <c r="EE413" s="268"/>
      <c r="EF413" s="268"/>
      <c r="EG413" s="268"/>
      <c r="EI413" s="395"/>
      <c r="EJ413" s="395"/>
      <c r="EK413" s="395"/>
      <c r="EL413" s="395"/>
      <c r="EM413" s="395"/>
      <c r="EN413" s="395"/>
      <c r="EO413" s="395"/>
      <c r="EP413" s="395"/>
      <c r="EQ413" s="395"/>
      <c r="ER413" s="395"/>
      <c r="ES413" s="395"/>
      <c r="ET413" s="395"/>
      <c r="EU413" s="395"/>
      <c r="EV413" s="395"/>
      <c r="EW413" s="395"/>
      <c r="EX413" s="395"/>
      <c r="EY413" s="395"/>
      <c r="EZ413" s="395"/>
      <c r="FA413" s="395"/>
      <c r="FB413" s="395"/>
      <c r="FC413" s="395"/>
      <c r="FD413" s="395"/>
      <c r="FE413" s="395"/>
      <c r="FF413" s="107"/>
      <c r="FG413" s="107"/>
      <c r="FH413" s="107"/>
      <c r="FI413" s="107"/>
      <c r="FJ413" s="107"/>
      <c r="FK413" s="107"/>
      <c r="FL413" s="107"/>
      <c r="FM413" s="300"/>
      <c r="FN413" s="300"/>
      <c r="FO413" s="300"/>
      <c r="FP413" s="300"/>
      <c r="FQ413" s="300"/>
      <c r="FR413" s="108"/>
      <c r="FS413" s="108"/>
      <c r="FT413" s="108"/>
      <c r="FU413" s="108"/>
      <c r="FV413" s="108"/>
      <c r="FW413" s="108"/>
      <c r="FX413" s="108"/>
      <c r="FY413" s="32"/>
      <c r="FZ413" s="32"/>
      <c r="GA413" s="32"/>
      <c r="GB413" s="32"/>
      <c r="GC413" s="32"/>
      <c r="GD413" s="32"/>
      <c r="GE413" s="32"/>
      <c r="GF413" s="32"/>
      <c r="GG413" s="32"/>
      <c r="GH413" s="32"/>
      <c r="GI413" s="32"/>
      <c r="GJ413" s="32"/>
      <c r="GK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38"/>
      <c r="HO413" s="338"/>
      <c r="HP413" s="338"/>
      <c r="HQ413" s="13"/>
      <c r="HR413" s="13"/>
      <c r="HS413" s="13"/>
      <c r="HT413" s="13"/>
      <c r="HU413" s="13"/>
      <c r="HV413" s="13"/>
      <c r="HW413" s="13"/>
      <c r="HX413" s="13"/>
      <c r="HY413" s="13"/>
      <c r="HZ413" s="13"/>
      <c r="IA413" s="13"/>
    </row>
    <row r="414" spans="1:235" s="66" customFormat="1" ht="16.95" customHeight="1">
      <c r="A414" s="60"/>
      <c r="B414" s="3"/>
      <c r="C414" s="69"/>
      <c r="D414" s="409" t="str">
        <f ca="1">IF(FP411=0,"","Hoeveelheid bedraagt die maximale winst? Rond af op hele eurocenten.")</f>
        <v/>
      </c>
      <c r="E414" s="409"/>
      <c r="F414" s="89"/>
      <c r="G414" s="89"/>
      <c r="H414" s="89"/>
      <c r="I414" s="89"/>
      <c r="J414" s="89"/>
      <c r="K414" s="89"/>
      <c r="L414" s="89"/>
      <c r="M414" s="89"/>
      <c r="N414" s="89"/>
      <c r="O414" s="89"/>
      <c r="P414" s="89"/>
      <c r="Q414" s="89"/>
      <c r="R414" s="89"/>
      <c r="S414" s="89"/>
      <c r="T414" s="89"/>
      <c r="U414" s="89"/>
      <c r="V414" s="89"/>
      <c r="W414" s="89"/>
      <c r="X414" s="89"/>
      <c r="Y414" s="141"/>
      <c r="Z414" s="141"/>
      <c r="AA414" s="141"/>
      <c r="AB414" s="141"/>
      <c r="AC414" s="141"/>
      <c r="AD414" s="141"/>
      <c r="AE414" s="141"/>
      <c r="AF414" s="141"/>
      <c r="AG414" s="141"/>
      <c r="AH414" s="141"/>
      <c r="AI414" s="141"/>
      <c r="AO414" s="89"/>
      <c r="AP414" s="89"/>
      <c r="AQ414" s="89"/>
      <c r="AR414" s="89"/>
      <c r="AS414" s="89"/>
      <c r="AT414" s="89"/>
      <c r="AU414" s="89"/>
      <c r="AV414" s="89"/>
      <c r="AW414" s="89"/>
      <c r="AX414" s="89"/>
      <c r="AY414" s="89"/>
      <c r="AZ414" s="89"/>
      <c r="BA414" s="89"/>
      <c r="BB414" s="89"/>
      <c r="BC414" s="89"/>
      <c r="BD414" s="89"/>
      <c r="BE414" s="89"/>
      <c r="BF414" s="89"/>
      <c r="BG414" s="89"/>
      <c r="BH414" s="89"/>
      <c r="BI414" s="89"/>
      <c r="BJ414" s="89"/>
      <c r="BK414" s="89"/>
      <c r="BL414" s="89"/>
      <c r="BM414" s="89"/>
      <c r="BN414" s="89"/>
      <c r="BO414" s="89"/>
      <c r="BP414" s="89"/>
      <c r="BQ414" s="89"/>
      <c r="BR414" s="89"/>
      <c r="BS414" s="89"/>
      <c r="BT414" s="89"/>
      <c r="BU414" s="89"/>
      <c r="BV414" s="268"/>
      <c r="EB414" s="268"/>
      <c r="EC414" s="268"/>
      <c r="ED414" s="268"/>
      <c r="EE414" s="268"/>
      <c r="EF414" s="268"/>
      <c r="EG414" s="268"/>
      <c r="EI414" s="89"/>
      <c r="EJ414" s="89"/>
      <c r="EK414" s="89"/>
      <c r="EL414" s="89"/>
      <c r="EM414" s="89"/>
      <c r="EN414" s="89"/>
      <c r="EO414" s="89"/>
      <c r="EP414" s="89"/>
      <c r="EQ414" s="89"/>
      <c r="ER414" s="89"/>
      <c r="ES414" s="89"/>
      <c r="ET414" s="89"/>
      <c r="EU414" s="89"/>
      <c r="EV414" s="89"/>
      <c r="EW414" s="268"/>
      <c r="EX414" s="268"/>
      <c r="EY414" s="268"/>
      <c r="EZ414" s="268"/>
      <c r="FA414" s="268"/>
      <c r="FB414" s="268"/>
      <c r="FC414" s="268"/>
      <c r="FD414" s="268"/>
      <c r="FE414" s="268"/>
      <c r="FF414" s="107"/>
      <c r="FG414" s="107"/>
      <c r="FH414" s="107"/>
      <c r="FI414" s="107"/>
      <c r="FJ414" s="107"/>
      <c r="FK414" s="107"/>
      <c r="FL414" s="107"/>
      <c r="FM414" s="377"/>
      <c r="FN414" s="377"/>
      <c r="FO414" s="377"/>
      <c r="FP414" s="377"/>
      <c r="FQ414" s="377"/>
      <c r="FR414" s="377"/>
      <c r="FS414" s="396"/>
      <c r="FT414" s="396"/>
      <c r="FU414" s="396"/>
      <c r="FV414" s="396"/>
      <c r="FW414" s="396"/>
      <c r="FX414" s="396"/>
      <c r="FY414" s="32"/>
      <c r="FZ414" s="32"/>
      <c r="GA414" s="32"/>
      <c r="GB414" s="32"/>
      <c r="GC414" s="32"/>
      <c r="GD414" s="32"/>
      <c r="GE414" s="32"/>
      <c r="GF414" s="32"/>
      <c r="GG414" s="32"/>
      <c r="GH414" s="32"/>
      <c r="GI414" s="32"/>
      <c r="GJ414" s="32"/>
      <c r="GK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38"/>
      <c r="HO414" s="338"/>
      <c r="HP414" s="338"/>
      <c r="HQ414" s="13"/>
      <c r="HR414" s="13"/>
      <c r="HS414" s="13"/>
      <c r="HT414" s="13"/>
      <c r="HU414" s="13"/>
      <c r="HV414" s="13"/>
      <c r="HW414" s="13"/>
      <c r="HX414" s="13"/>
      <c r="HY414" s="13"/>
      <c r="HZ414" s="13"/>
      <c r="IA414" s="13"/>
    </row>
    <row r="415" spans="1:235" s="66" customFormat="1" ht="9" customHeight="1">
      <c r="A415" s="60"/>
      <c r="B415" s="69"/>
      <c r="C415" s="69"/>
      <c r="D415" s="409"/>
      <c r="E415" s="409"/>
      <c r="F415" s="409"/>
      <c r="G415" s="409"/>
      <c r="H415" s="409"/>
      <c r="I415" s="409"/>
      <c r="J415" s="409"/>
      <c r="K415" s="409"/>
      <c r="L415" s="409"/>
      <c r="M415" s="409"/>
      <c r="N415" s="409"/>
      <c r="O415" s="409"/>
      <c r="P415" s="409"/>
      <c r="Q415" s="409"/>
      <c r="R415" s="409"/>
      <c r="S415" s="409"/>
      <c r="T415" s="409"/>
      <c r="U415" s="409"/>
      <c r="V415" s="409"/>
      <c r="W415" s="409"/>
      <c r="X415" s="89"/>
      <c r="Y415" s="89"/>
      <c r="Z415" s="89"/>
      <c r="AA415" s="89"/>
      <c r="AB415" s="89"/>
      <c r="AC415" s="89"/>
      <c r="AD415" s="89"/>
      <c r="AE415" s="89"/>
      <c r="AF415" s="89"/>
      <c r="AG415" s="89"/>
      <c r="AH415" s="89"/>
      <c r="AI415" s="89"/>
      <c r="AO415" s="89"/>
      <c r="AP415" s="89"/>
      <c r="AQ415" s="89"/>
      <c r="AR415" s="89"/>
      <c r="AS415" s="89"/>
      <c r="AT415" s="89"/>
      <c r="AU415" s="89"/>
      <c r="AV415" s="89"/>
      <c r="AW415" s="89"/>
      <c r="AX415" s="89"/>
      <c r="AY415" s="89"/>
      <c r="AZ415" s="89"/>
      <c r="BA415" s="89"/>
      <c r="BB415" s="89"/>
      <c r="BC415" s="89"/>
      <c r="BD415" s="89"/>
      <c r="BE415" s="89"/>
      <c r="BF415" s="89"/>
      <c r="BG415" s="89"/>
      <c r="BH415" s="89"/>
      <c r="BI415" s="89"/>
      <c r="BJ415" s="89"/>
      <c r="BK415" s="89"/>
      <c r="BL415" s="89"/>
      <c r="BM415" s="89"/>
      <c r="BN415" s="89"/>
      <c r="BO415" s="89"/>
      <c r="BP415" s="89"/>
      <c r="BQ415" s="89"/>
      <c r="BR415" s="288"/>
      <c r="BS415" s="288"/>
      <c r="BT415" s="288"/>
      <c r="BU415" s="288"/>
      <c r="BV415" s="268"/>
      <c r="EB415" s="268"/>
      <c r="EC415" s="268"/>
      <c r="ED415" s="268"/>
      <c r="EE415" s="268"/>
      <c r="EF415" s="268"/>
      <c r="EG415" s="268"/>
      <c r="EI415" s="395"/>
      <c r="EJ415" s="395"/>
      <c r="EK415" s="395"/>
      <c r="EL415" s="395"/>
      <c r="EM415" s="395"/>
      <c r="EN415" s="395"/>
      <c r="EO415" s="395"/>
      <c r="EP415" s="395"/>
      <c r="EQ415" s="395"/>
      <c r="ER415" s="395"/>
      <c r="ES415" s="395"/>
      <c r="ET415" s="395"/>
      <c r="EU415" s="395"/>
      <c r="EV415" s="395"/>
      <c r="EW415" s="395"/>
      <c r="EX415" s="395"/>
      <c r="EY415" s="395"/>
      <c r="EZ415" s="395"/>
      <c r="FA415" s="395"/>
      <c r="FB415" s="395"/>
      <c r="FC415" s="395"/>
      <c r="FD415" s="395"/>
      <c r="FE415" s="395"/>
      <c r="FF415" s="107"/>
      <c r="FG415" s="107"/>
      <c r="FH415" s="107"/>
      <c r="FI415" s="107"/>
      <c r="FJ415" s="107"/>
      <c r="FK415" s="107"/>
      <c r="FL415" s="107"/>
      <c r="FM415" s="300"/>
      <c r="FN415" s="300"/>
      <c r="FO415" s="300"/>
      <c r="FP415" s="300"/>
      <c r="FQ415" s="300"/>
      <c r="FR415" s="108"/>
      <c r="FS415" s="108"/>
      <c r="FT415" s="108"/>
      <c r="FU415" s="108"/>
      <c r="FV415" s="108"/>
      <c r="FW415" s="108"/>
      <c r="FX415" s="108"/>
      <c r="FY415" s="32"/>
      <c r="FZ415" s="32"/>
      <c r="GA415" s="32"/>
      <c r="GB415" s="32"/>
      <c r="GC415" s="32"/>
      <c r="GD415" s="32"/>
      <c r="GE415" s="32"/>
      <c r="GF415" s="32"/>
      <c r="GG415" s="32"/>
      <c r="GH415" s="32"/>
      <c r="GI415" s="32"/>
      <c r="GJ415" s="32"/>
      <c r="GK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38"/>
      <c r="HO415" s="338"/>
      <c r="HP415" s="338"/>
      <c r="HQ415" s="13"/>
      <c r="HR415" s="13"/>
      <c r="HS415" s="13"/>
      <c r="HT415" s="13"/>
      <c r="HU415" s="13"/>
      <c r="HV415" s="13"/>
      <c r="HW415" s="13"/>
      <c r="HX415" s="13"/>
      <c r="HY415" s="13"/>
      <c r="HZ415" s="13"/>
      <c r="IA415" s="13"/>
    </row>
    <row r="416" spans="1:235" s="66" customFormat="1" ht="3.6" customHeight="1">
      <c r="A416" s="60"/>
      <c r="B416" s="69"/>
      <c r="C416" s="69"/>
      <c r="D416" s="409"/>
      <c r="E416" s="409"/>
      <c r="F416" s="409"/>
      <c r="G416" s="409"/>
      <c r="H416" s="409"/>
      <c r="I416" s="409"/>
      <c r="J416" s="409"/>
      <c r="K416" s="409"/>
      <c r="L416" s="409"/>
      <c r="M416" s="409"/>
      <c r="N416" s="409"/>
      <c r="O416" s="409"/>
      <c r="P416" s="409"/>
      <c r="Q416" s="409"/>
      <c r="R416" s="409"/>
      <c r="S416" s="409"/>
      <c r="T416" s="409"/>
      <c r="U416" s="409"/>
      <c r="V416" s="409"/>
      <c r="W416" s="409"/>
      <c r="X416" s="410"/>
      <c r="Y416" s="410"/>
      <c r="Z416" s="410"/>
      <c r="AA416" s="297"/>
      <c r="AB416" s="297"/>
      <c r="AC416" s="297"/>
      <c r="AD416" s="297"/>
      <c r="AE416" s="297"/>
      <c r="AF416" s="297"/>
      <c r="AG416" s="297"/>
      <c r="AH416" s="297"/>
      <c r="AI416" s="297"/>
      <c r="AO416" s="89"/>
      <c r="AP416" s="89"/>
      <c r="AQ416" s="553" t="str">
        <f ca="1">IF(FP411=0,"",".")</f>
        <v/>
      </c>
      <c r="AR416" s="541" t="e">
        <f>IF(#REF!=0,"","+")</f>
        <v>#REF!</v>
      </c>
      <c r="AS416" s="541" t="e">
        <f>IF(#REF!=0,"","+")</f>
        <v>#REF!</v>
      </c>
      <c r="AT416" s="541" t="e">
        <f>IF(#REF!=0,"","+")</f>
        <v>#REF!</v>
      </c>
      <c r="AU416" s="541" t="e">
        <f>IF(#REF!=0,"","+")</f>
        <v>#REF!</v>
      </c>
      <c r="AV416" s="541"/>
      <c r="AW416" s="541"/>
      <c r="AX416" s="541"/>
      <c r="AY416" s="541" t="e">
        <f>IF(#REF!=0,"","+")</f>
        <v>#REF!</v>
      </c>
      <c r="AZ416" s="541" t="e">
        <f>IF(#REF!=0,"","+")</f>
        <v>#REF!</v>
      </c>
      <c r="BA416" s="541" t="e">
        <f>IF(#REF!=0,"","+")</f>
        <v>#REF!</v>
      </c>
      <c r="BB416" s="541" t="e">
        <f>IF(#REF!=0,"","+")</f>
        <v>#REF!</v>
      </c>
      <c r="BC416" s="541" t="e">
        <f>IF(#REF!=0,"","+")</f>
        <v>#REF!</v>
      </c>
      <c r="BD416" s="541" t="e">
        <f>IF(#REF!=0,"","+")</f>
        <v>#REF!</v>
      </c>
      <c r="BE416" s="541"/>
      <c r="BF416" s="541"/>
      <c r="BG416" s="541"/>
      <c r="BH416" s="541"/>
      <c r="BI416" s="541"/>
      <c r="BJ416" s="541"/>
      <c r="BK416" s="541" t="e">
        <f>IF(#REF!=0,"","+")</f>
        <v>#REF!</v>
      </c>
      <c r="BL416" s="541" t="e">
        <f>IF(#REF!=0,"","+")</f>
        <v>#REF!</v>
      </c>
      <c r="BM416" s="541" t="e">
        <f>IF(#REF!=0,"","+")</f>
        <v>#REF!</v>
      </c>
      <c r="BN416" s="541" t="e">
        <f>IF(#REF!=0,"","+")</f>
        <v>#REF!</v>
      </c>
      <c r="BO416" s="541" t="e">
        <f>IF(#REF!=0,"","+")</f>
        <v>#REF!</v>
      </c>
      <c r="BP416" s="89"/>
      <c r="BQ416" s="89"/>
      <c r="BR416" s="268"/>
      <c r="BS416" s="141"/>
      <c r="BT416" s="141"/>
      <c r="BU416" s="141"/>
      <c r="BV416" s="268"/>
      <c r="EB416" s="268"/>
      <c r="EC416" s="268"/>
      <c r="ED416" s="268"/>
      <c r="EE416" s="268"/>
      <c r="EF416" s="268"/>
      <c r="EG416" s="268"/>
      <c r="EI416" s="141"/>
      <c r="EJ416" s="141"/>
      <c r="EK416" s="141"/>
      <c r="EL416" s="141"/>
      <c r="EM416" s="141"/>
      <c r="EN416" s="141"/>
      <c r="EO416" s="141"/>
      <c r="EP416" s="141"/>
      <c r="EQ416" s="141"/>
      <c r="ER416" s="141"/>
      <c r="ES416" s="141"/>
      <c r="ET416" s="141"/>
      <c r="EU416" s="141"/>
      <c r="EV416" s="141"/>
      <c r="EW416" s="141"/>
      <c r="EX416" s="141"/>
      <c r="EY416" s="141"/>
      <c r="EZ416" s="141"/>
      <c r="FA416" s="141"/>
      <c r="FB416" s="141"/>
      <c r="FC416" s="141"/>
      <c r="FD416" s="141"/>
      <c r="FE416" s="141"/>
      <c r="FF416" s="107"/>
      <c r="FG416" s="107"/>
      <c r="FH416" s="107"/>
      <c r="FI416" s="107"/>
      <c r="FJ416" s="107"/>
      <c r="FK416" s="107"/>
      <c r="FL416" s="107"/>
      <c r="FM416" s="300"/>
      <c r="FN416" s="300"/>
      <c r="FO416" s="300"/>
      <c r="FP416" s="300"/>
      <c r="FQ416" s="300"/>
      <c r="FR416" s="108"/>
      <c r="FS416" s="108"/>
      <c r="FT416" s="108"/>
      <c r="FU416" s="108"/>
      <c r="FV416" s="108"/>
      <c r="FW416" s="108"/>
      <c r="FX416" s="108"/>
      <c r="FY416" s="32"/>
      <c r="FZ416" s="32"/>
      <c r="GA416" s="32"/>
      <c r="GB416" s="32"/>
      <c r="GC416" s="32"/>
      <c r="GD416" s="32"/>
      <c r="GE416" s="32"/>
      <c r="GF416" s="32"/>
      <c r="GG416" s="32"/>
      <c r="GH416" s="32"/>
      <c r="GI416" s="32"/>
      <c r="GJ416" s="32"/>
      <c r="GK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38"/>
      <c r="HO416" s="338"/>
      <c r="HP416" s="338"/>
      <c r="HQ416" s="13"/>
      <c r="HR416" s="13"/>
      <c r="HS416" s="13"/>
      <c r="HT416" s="13"/>
      <c r="HU416" s="13"/>
      <c r="HV416" s="13"/>
      <c r="HW416" s="13"/>
      <c r="HX416" s="13"/>
      <c r="HY416" s="13"/>
      <c r="HZ416" s="13"/>
      <c r="IA416" s="13"/>
    </row>
    <row r="417" spans="1:236" s="66" customFormat="1" ht="16.5" customHeight="1">
      <c r="A417" s="60"/>
      <c r="B417" s="476"/>
      <c r="C417" s="69"/>
      <c r="D417" s="268"/>
      <c r="E417" s="268"/>
      <c r="F417" s="268"/>
      <c r="G417" s="268"/>
      <c r="H417" s="268"/>
      <c r="I417" s="268"/>
      <c r="J417" s="268"/>
      <c r="K417" s="268"/>
      <c r="L417" s="268"/>
      <c r="M417" s="268"/>
      <c r="N417" s="268"/>
      <c r="O417" s="268"/>
      <c r="P417" s="268"/>
      <c r="Q417" s="268"/>
      <c r="R417" s="410"/>
      <c r="S417" s="410"/>
      <c r="T417" s="410"/>
      <c r="U417" s="410"/>
      <c r="V417" s="410"/>
      <c r="W417" s="410"/>
      <c r="X417" s="410"/>
      <c r="Y417" s="410"/>
      <c r="Z417" s="410"/>
      <c r="AA417" s="297"/>
      <c r="AB417" s="297"/>
      <c r="AC417" s="297"/>
      <c r="AD417" s="297"/>
      <c r="AE417" s="297"/>
      <c r="AF417" s="297"/>
      <c r="AG417" s="297"/>
      <c r="AH417" s="297"/>
      <c r="AI417" s="297"/>
      <c r="AO417" s="302" t="str">
        <f ca="1">IF(FP411=0,"","de maximale winst is:")</f>
        <v/>
      </c>
      <c r="AP417" s="89"/>
      <c r="AQ417" s="409" t="str">
        <f ca="1">IF(FP411=0,"",".")</f>
        <v/>
      </c>
      <c r="AR417" s="556"/>
      <c r="AS417" s="557"/>
      <c r="AT417" s="557"/>
      <c r="AU417" s="557"/>
      <c r="AV417" s="557"/>
      <c r="AW417" s="557"/>
      <c r="AX417" s="557"/>
      <c r="AY417" s="557"/>
      <c r="AZ417" s="557"/>
      <c r="BA417" s="557"/>
      <c r="BB417" s="557"/>
      <c r="BC417" s="557"/>
      <c r="BD417" s="557"/>
      <c r="BE417" s="557"/>
      <c r="BF417" s="557"/>
      <c r="BG417" s="557"/>
      <c r="BH417" s="557"/>
      <c r="BI417" s="557"/>
      <c r="BJ417" s="557"/>
      <c r="BK417" s="557"/>
      <c r="BL417" s="557"/>
      <c r="BM417" s="557"/>
      <c r="BN417" s="557"/>
      <c r="BO417" s="409" t="str">
        <f ca="1">IF(FP411=0,"",".")</f>
        <v/>
      </c>
      <c r="BP417" s="384" t="s">
        <v>131</v>
      </c>
      <c r="BQ417" s="416" t="str">
        <f ca="1">IF(FP411=0,"",IF(AR417="","",IF(AND(programma!$A$301="uitwerking",$B417="X"),FM417,IF(FP417=1,"Goed!",IF(AND(AR417&gt;FQ417-1,AR417&lt;FQ417+1),"Je hebt verkeerd afgerond.",IF(AND(AR417&gt;FR417-1,AR417&lt;FR417+1),"Fout! Je hebt GO = MK ipv MO = MK berekend.","Fout! Heb je wel MO = MK berekend?"))))))</f>
        <v/>
      </c>
      <c r="BR417" s="298"/>
      <c r="BS417" s="410"/>
      <c r="BT417" s="89"/>
      <c r="BU417" s="89"/>
      <c r="BV417" s="268"/>
      <c r="EB417" s="268"/>
      <c r="EC417" s="268"/>
      <c r="ED417" s="268"/>
      <c r="EE417" s="268"/>
      <c r="EF417" s="268"/>
      <c r="EG417" s="268"/>
      <c r="EI417" s="89"/>
      <c r="EJ417" s="89"/>
      <c r="EK417" s="89"/>
      <c r="EL417" s="89"/>
      <c r="EM417" s="89"/>
      <c r="EN417" s="89"/>
      <c r="EO417" s="89"/>
      <c r="EP417" s="89"/>
      <c r="EQ417" s="89"/>
      <c r="ER417" s="89"/>
      <c r="ES417" s="89"/>
      <c r="ET417" s="89"/>
      <c r="EU417" s="89"/>
      <c r="EV417" s="89"/>
      <c r="EW417" s="89"/>
      <c r="EX417" s="89"/>
      <c r="EY417" s="89"/>
      <c r="EZ417" s="89"/>
      <c r="FA417" s="89"/>
      <c r="FB417" s="89"/>
      <c r="FC417" s="89"/>
      <c r="FD417" s="89"/>
      <c r="FE417" s="89"/>
      <c r="FF417" s="107"/>
      <c r="FG417" s="107"/>
      <c r="FH417" s="107"/>
      <c r="FI417" s="107"/>
      <c r="FJ417" s="107"/>
      <c r="FK417" s="107"/>
      <c r="FL417" s="480"/>
      <c r="FM417" s="300" t="str">
        <f ca="1">"TO = "&amp;FQ405&amp;" x "&amp;FQ411&amp;" en TK = "&amp;FS398&amp;" x "&amp;FQ405&amp;" + "&amp;FT398&amp;" dus TW = "&amp;FQ405*FQ411&amp;" - "&amp;FS398*FQ405+FT398&amp;" = "&amp;FQ417</f>
        <v>TO = 460 x 1783 en TK = 265 x 460 + 453900 dus TW = 820180 - 575800 = 244380</v>
      </c>
      <c r="FN417" s="300"/>
      <c r="FO417" s="300"/>
      <c r="FP417" s="96">
        <f ca="1">IF(programma!B1="X",1,IF(FP411=0,0,IF(AND(AR417&gt;FQ417-0.01,AR417&lt;FQ417+0.01),1,0)))</f>
        <v>0</v>
      </c>
      <c r="FQ417" s="339">
        <f ca="1">IF(FO1=0,"",ROUND(ROUND(0.5*FU398*FQ405^2+FZ398*FQ405,2)-(FS398*FQ405+FT398),2))</f>
        <v>244380</v>
      </c>
      <c r="FR417" s="300"/>
      <c r="FS417" s="108"/>
      <c r="FT417" s="108"/>
      <c r="FU417" s="108"/>
      <c r="FV417" s="108"/>
      <c r="FW417" s="108"/>
      <c r="FX417" s="108"/>
      <c r="FY417" s="32"/>
      <c r="FZ417" s="32"/>
      <c r="GA417" s="32"/>
      <c r="GB417" s="32"/>
      <c r="GC417" s="32"/>
      <c r="GD417" s="32"/>
      <c r="GE417" s="32"/>
      <c r="GF417" s="32"/>
      <c r="GG417" s="32"/>
      <c r="GH417" s="32"/>
      <c r="GI417" s="32"/>
      <c r="GJ417" s="32"/>
      <c r="GK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38"/>
      <c r="HO417" s="338"/>
      <c r="HP417" s="338"/>
      <c r="HQ417" s="13"/>
      <c r="HR417" s="13"/>
      <c r="HS417" s="13"/>
      <c r="HT417" s="13"/>
      <c r="HU417" s="13"/>
      <c r="HV417" s="13"/>
      <c r="HW417" s="13"/>
      <c r="HX417" s="13"/>
      <c r="HY417" s="13"/>
      <c r="HZ417" s="13"/>
      <c r="IA417" s="13"/>
    </row>
    <row r="418" spans="1:236" s="66" customFormat="1" ht="3.6" customHeight="1">
      <c r="A418" s="60"/>
      <c r="B418" s="69"/>
      <c r="C418" s="69"/>
      <c r="D418" s="409"/>
      <c r="E418" s="409"/>
      <c r="F418" s="409"/>
      <c r="G418" s="409"/>
      <c r="H418" s="409"/>
      <c r="I418" s="409"/>
      <c r="J418" s="409"/>
      <c r="K418" s="409"/>
      <c r="L418" s="409"/>
      <c r="M418" s="409"/>
      <c r="N418" s="409"/>
      <c r="O418" s="409"/>
      <c r="P418" s="409"/>
      <c r="Q418" s="409"/>
      <c r="R418" s="409"/>
      <c r="S418" s="409"/>
      <c r="T418" s="409"/>
      <c r="U418" s="409"/>
      <c r="V418" s="409"/>
      <c r="W418" s="409"/>
      <c r="X418" s="410"/>
      <c r="Y418" s="410"/>
      <c r="Z418" s="410"/>
      <c r="AA418" s="297"/>
      <c r="AB418" s="297"/>
      <c r="AC418" s="297"/>
      <c r="AD418" s="297"/>
      <c r="AE418" s="297"/>
      <c r="AF418" s="297"/>
      <c r="AG418" s="297"/>
      <c r="AH418" s="297"/>
      <c r="AI418" s="297"/>
      <c r="AJ418" s="297"/>
      <c r="AK418" s="297"/>
      <c r="AL418" s="297"/>
      <c r="AM418" s="297"/>
      <c r="AN418" s="297"/>
      <c r="AO418" s="268"/>
      <c r="AP418" s="268"/>
      <c r="AQ418" s="553" t="str">
        <f ca="1">IF(FP411=0,"",".")</f>
        <v/>
      </c>
      <c r="AR418" s="541" t="e">
        <f>IF(#REF!=0,"","+")</f>
        <v>#REF!</v>
      </c>
      <c r="AS418" s="541" t="e">
        <f>IF(#REF!=0,"","+")</f>
        <v>#REF!</v>
      </c>
      <c r="AT418" s="541" t="e">
        <f>IF(#REF!=0,"","+")</f>
        <v>#REF!</v>
      </c>
      <c r="AU418" s="541" t="e">
        <f>IF(#REF!=0,"","+")</f>
        <v>#REF!</v>
      </c>
      <c r="AV418" s="541"/>
      <c r="AW418" s="541"/>
      <c r="AX418" s="541"/>
      <c r="AY418" s="541" t="e">
        <f>IF(#REF!=0,"","+")</f>
        <v>#REF!</v>
      </c>
      <c r="AZ418" s="541" t="e">
        <f>IF(#REF!=0,"","+")</f>
        <v>#REF!</v>
      </c>
      <c r="BA418" s="541" t="e">
        <f>IF(#REF!=0,"","+")</f>
        <v>#REF!</v>
      </c>
      <c r="BB418" s="541" t="e">
        <f>IF(#REF!=0,"","+")</f>
        <v>#REF!</v>
      </c>
      <c r="BC418" s="541" t="e">
        <f>IF(#REF!=0,"","+")</f>
        <v>#REF!</v>
      </c>
      <c r="BD418" s="541" t="e">
        <f>IF(#REF!=0,"","+")</f>
        <v>#REF!</v>
      </c>
      <c r="BE418" s="541"/>
      <c r="BF418" s="541"/>
      <c r="BG418" s="541"/>
      <c r="BH418" s="541"/>
      <c r="BI418" s="541"/>
      <c r="BJ418" s="541"/>
      <c r="BK418" s="541" t="e">
        <f>IF(#REF!=0,"","+")</f>
        <v>#REF!</v>
      </c>
      <c r="BL418" s="541" t="e">
        <f>IF(#REF!=0,"","+")</f>
        <v>#REF!</v>
      </c>
      <c r="BM418" s="541" t="e">
        <f>IF(#REF!=0,"","+")</f>
        <v>#REF!</v>
      </c>
      <c r="BN418" s="541" t="e">
        <f>IF(#REF!=0,"","+")</f>
        <v>#REF!</v>
      </c>
      <c r="BO418" s="541" t="e">
        <f>IF(#REF!=0,"","+")</f>
        <v>#REF!</v>
      </c>
      <c r="BP418" s="268"/>
      <c r="BQ418" s="268"/>
      <c r="BR418" s="268"/>
      <c r="BS418" s="268"/>
      <c r="BT418" s="268"/>
      <c r="BU418" s="268"/>
      <c r="BV418" s="268"/>
      <c r="EB418" s="268"/>
      <c r="EC418" s="89"/>
      <c r="ED418" s="89"/>
      <c r="EE418" s="89"/>
      <c r="EF418" s="89"/>
      <c r="EG418" s="89"/>
      <c r="EH418" s="89"/>
      <c r="EI418" s="89"/>
      <c r="EJ418" s="89"/>
      <c r="EK418" s="89"/>
      <c r="EL418" s="89"/>
      <c r="EM418" s="89"/>
      <c r="EN418" s="89"/>
      <c r="EO418" s="89"/>
      <c r="EP418" s="89"/>
      <c r="EQ418" s="89"/>
      <c r="ER418" s="89"/>
      <c r="ES418" s="89"/>
      <c r="ET418" s="89"/>
      <c r="EU418" s="89"/>
      <c r="EV418" s="89"/>
      <c r="EW418" s="89"/>
      <c r="EX418" s="89"/>
      <c r="EY418" s="89"/>
      <c r="EZ418" s="89"/>
      <c r="FA418" s="89"/>
      <c r="FB418" s="89"/>
      <c r="FC418" s="89"/>
      <c r="FD418" s="89"/>
      <c r="FE418" s="89"/>
      <c r="FF418" s="107"/>
      <c r="FG418" s="107"/>
      <c r="FH418" s="107"/>
      <c r="FI418" s="107"/>
      <c r="FJ418" s="107"/>
      <c r="FK418" s="107"/>
      <c r="FL418" s="107"/>
      <c r="FM418" s="96"/>
      <c r="FN418" s="96"/>
      <c r="FO418" s="96"/>
      <c r="FP418" s="96"/>
      <c r="FQ418" s="108"/>
      <c r="FR418" s="108"/>
      <c r="FS418" s="108"/>
      <c r="FT418" s="108"/>
      <c r="FU418" s="108"/>
      <c r="FV418" s="108"/>
      <c r="FW418" s="108"/>
      <c r="FX418" s="108"/>
      <c r="FY418" s="32"/>
      <c r="FZ418" s="32"/>
      <c r="GA418" s="32"/>
      <c r="GB418" s="32"/>
      <c r="GC418" s="32"/>
      <c r="GD418" s="32"/>
      <c r="GE418" s="32"/>
      <c r="GF418" s="32"/>
      <c r="GG418" s="32"/>
      <c r="GH418" s="32"/>
      <c r="GI418" s="32"/>
      <c r="GJ418" s="32"/>
      <c r="GK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38"/>
      <c r="HO418" s="338"/>
      <c r="HP418" s="338"/>
      <c r="HQ418" s="13"/>
      <c r="HR418" s="13"/>
      <c r="HS418" s="13"/>
      <c r="HT418" s="13"/>
      <c r="HU418" s="13"/>
      <c r="HV418" s="13"/>
      <c r="HW418" s="13"/>
      <c r="HX418" s="13"/>
      <c r="HY418" s="13"/>
      <c r="HZ418" s="13"/>
      <c r="IA418" s="13"/>
    </row>
    <row r="419" spans="1:236" s="268" customFormat="1" ht="13.2" customHeight="1">
      <c r="A419" s="60"/>
      <c r="B419" s="69"/>
      <c r="C419" s="69"/>
      <c r="D419" s="409"/>
      <c r="E419" s="141"/>
      <c r="F419" s="141"/>
      <c r="G419" s="141"/>
      <c r="H419" s="141"/>
      <c r="I419" s="141"/>
      <c r="J419" s="141"/>
      <c r="K419" s="141"/>
      <c r="L419" s="141"/>
      <c r="M419" s="141"/>
      <c r="N419" s="141"/>
      <c r="O419" s="141"/>
      <c r="P419" s="141"/>
      <c r="Q419" s="141"/>
      <c r="R419" s="410"/>
      <c r="S419" s="410"/>
      <c r="T419" s="410"/>
      <c r="U419" s="410"/>
      <c r="V419" s="410"/>
      <c r="W419" s="410"/>
      <c r="X419" s="410"/>
      <c r="Y419" s="410"/>
      <c r="Z419" s="410"/>
      <c r="AA419" s="410"/>
      <c r="AB419" s="410"/>
      <c r="AC419" s="410"/>
      <c r="AD419" s="410"/>
      <c r="AE419" s="410"/>
      <c r="AF419" s="410"/>
      <c r="AG419" s="410"/>
      <c r="AH419" s="410"/>
      <c r="AI419" s="410"/>
      <c r="AJ419" s="410"/>
      <c r="AK419" s="410"/>
      <c r="AL419" s="410"/>
      <c r="AM419" s="410"/>
      <c r="AN419" s="410"/>
      <c r="AO419" s="410"/>
      <c r="AP419" s="410"/>
      <c r="AQ419" s="410"/>
      <c r="AR419" s="410"/>
      <c r="AS419" s="410"/>
      <c r="AT419" s="410"/>
      <c r="AU419" s="410"/>
      <c r="AV419" s="410"/>
      <c r="AW419" s="410"/>
      <c r="AX419" s="410"/>
      <c r="AY419" s="410"/>
      <c r="AZ419" s="410"/>
      <c r="BA419" s="410"/>
      <c r="BB419" s="410"/>
      <c r="BC419" s="409"/>
      <c r="BD419" s="409"/>
      <c r="BE419" s="409"/>
      <c r="BF419" s="409"/>
      <c r="BG419" s="409"/>
      <c r="BH419" s="409"/>
      <c r="BI419" s="409"/>
      <c r="BJ419" s="409"/>
      <c r="BK419" s="409"/>
      <c r="BL419" s="409"/>
      <c r="BM419" s="409"/>
      <c r="BN419" s="409"/>
      <c r="BO419" s="409"/>
      <c r="BP419" s="409"/>
      <c r="BQ419" s="409"/>
      <c r="BR419" s="409"/>
      <c r="BS419" s="409"/>
      <c r="BT419" s="409"/>
      <c r="BU419" s="409"/>
      <c r="BV419" s="410"/>
      <c r="BW419" s="410"/>
      <c r="BX419" s="410"/>
      <c r="BY419" s="410"/>
      <c r="BZ419" s="410"/>
      <c r="CA419" s="410"/>
      <c r="CB419" s="410"/>
      <c r="CC419" s="410"/>
      <c r="CD419" s="141"/>
      <c r="CE419" s="141"/>
      <c r="CF419" s="141"/>
      <c r="CG419" s="141"/>
      <c r="CH419" s="141"/>
      <c r="CI419" s="141"/>
      <c r="CJ419" s="141"/>
      <c r="CK419" s="141"/>
      <c r="CL419" s="141"/>
      <c r="CM419" s="141"/>
      <c r="CN419" s="141"/>
      <c r="CO419" s="141"/>
      <c r="CP419" s="141"/>
      <c r="CQ419" s="141"/>
      <c r="CR419" s="141"/>
      <c r="CS419" s="141"/>
      <c r="DS419" s="141"/>
      <c r="DT419" s="141"/>
      <c r="DU419" s="141"/>
      <c r="DV419" s="141"/>
      <c r="DW419" s="141"/>
      <c r="DX419" s="141"/>
      <c r="DY419" s="141"/>
      <c r="DZ419" s="141"/>
      <c r="EA419" s="141"/>
      <c r="EB419" s="141"/>
      <c r="EC419" s="141"/>
      <c r="ED419" s="141"/>
      <c r="EE419" s="141"/>
      <c r="EF419" s="141"/>
      <c r="EG419" s="141"/>
      <c r="EH419" s="141"/>
      <c r="EI419" s="141"/>
      <c r="EJ419" s="141"/>
      <c r="EK419" s="141"/>
      <c r="EL419" s="141"/>
      <c r="EM419" s="141"/>
      <c r="EN419" s="141"/>
      <c r="EO419" s="141"/>
      <c r="EP419" s="141"/>
      <c r="EQ419" s="141"/>
      <c r="ER419" s="141"/>
      <c r="ES419" s="141"/>
      <c r="ET419" s="141"/>
      <c r="EU419" s="141"/>
      <c r="EV419" s="141"/>
      <c r="EW419" s="141"/>
      <c r="EX419" s="141"/>
      <c r="EY419" s="141"/>
      <c r="EZ419" s="141"/>
      <c r="FA419" s="141"/>
      <c r="FB419" s="141"/>
      <c r="FC419" s="141"/>
      <c r="FD419" s="141"/>
      <c r="FE419" s="141"/>
      <c r="FF419" s="107"/>
      <c r="FG419" s="107"/>
      <c r="FH419" s="107"/>
      <c r="FI419" s="107"/>
      <c r="FJ419" s="107"/>
      <c r="FK419" s="107"/>
      <c r="FL419" s="107"/>
      <c r="FM419" s="377"/>
      <c r="FN419" s="377"/>
      <c r="FO419" s="377"/>
      <c r="FP419" s="377"/>
      <c r="FQ419" s="377"/>
      <c r="FR419" s="377"/>
      <c r="FS419" s="377"/>
      <c r="FT419" s="377"/>
      <c r="FU419" s="377"/>
      <c r="FV419" s="377"/>
      <c r="FW419" s="377"/>
      <c r="FX419" s="377"/>
      <c r="FY419" s="32"/>
      <c r="FZ419" s="32"/>
      <c r="GA419" s="32"/>
      <c r="GB419" s="32"/>
      <c r="GC419" s="32"/>
      <c r="GD419" s="32"/>
      <c r="GE419" s="32"/>
      <c r="GF419" s="32"/>
      <c r="GG419" s="32"/>
      <c r="GH419" s="32"/>
      <c r="GI419" s="32"/>
      <c r="GJ419" s="32"/>
      <c r="GK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38"/>
      <c r="HO419" s="338"/>
      <c r="HP419" s="338"/>
      <c r="HQ419" s="13"/>
      <c r="HR419" s="13"/>
      <c r="HS419" s="13"/>
      <c r="HT419" s="13"/>
      <c r="HU419" s="13"/>
      <c r="HV419" s="13"/>
      <c r="HW419" s="13"/>
      <c r="HX419" s="13"/>
      <c r="HY419" s="13"/>
      <c r="HZ419" s="13"/>
      <c r="IA419" s="13"/>
      <c r="IB419" s="66"/>
    </row>
    <row r="420" spans="1:236" ht="16.95" customHeight="1">
      <c r="A420" s="1"/>
      <c r="B420" s="3"/>
      <c r="C420" s="3"/>
      <c r="D420" s="409" t="str">
        <f ca="1">IF(FP417=0,"","De monopolist slaagt erin zijn doelgroep in twee prijsgroepen in te delen:")</f>
        <v/>
      </c>
      <c r="E420" s="414"/>
      <c r="F420" s="414"/>
      <c r="G420" s="414"/>
      <c r="H420" s="414"/>
      <c r="I420" s="414"/>
      <c r="J420" s="376"/>
      <c r="K420" s="376"/>
      <c r="L420" s="376"/>
      <c r="M420" s="376"/>
      <c r="N420" s="376"/>
      <c r="O420" s="376"/>
      <c r="P420" s="376"/>
      <c r="Q420" s="376"/>
      <c r="R420" s="376"/>
      <c r="S420" s="376"/>
      <c r="T420" s="376"/>
      <c r="U420" s="376"/>
      <c r="V420" s="43"/>
      <c r="W420" s="43"/>
      <c r="X420" s="43"/>
      <c r="Y420" s="43"/>
      <c r="Z420" s="43"/>
      <c r="AA420" s="43"/>
      <c r="AB420" s="43"/>
      <c r="AC420" s="43"/>
      <c r="AD420" s="43"/>
      <c r="AE420" s="43"/>
      <c r="AF420" s="43"/>
      <c r="AG420" s="43"/>
      <c r="AH420" s="43"/>
      <c r="AI420" s="43"/>
      <c r="AJ420" s="43"/>
      <c r="AK420" s="43"/>
      <c r="AL420" s="43"/>
      <c r="AM420" s="43"/>
      <c r="AN420" s="43"/>
      <c r="CB420" s="43"/>
      <c r="CC420" s="43"/>
      <c r="CD420" s="43"/>
      <c r="CE420" s="43"/>
      <c r="CF420" s="43"/>
      <c r="CG420" s="43"/>
      <c r="CH420" s="43"/>
      <c r="CI420" s="43"/>
      <c r="CJ420" s="43"/>
      <c r="CK420" s="43"/>
      <c r="CL420" s="43"/>
      <c r="CM420" s="43"/>
      <c r="CN420" s="43"/>
      <c r="CO420" s="43"/>
      <c r="CP420" s="376"/>
      <c r="CQ420" s="376"/>
      <c r="CR420" s="376"/>
      <c r="CS420" s="376"/>
      <c r="CT420" s="376"/>
      <c r="CU420" s="376"/>
      <c r="CV420" s="376"/>
      <c r="CW420" s="376"/>
      <c r="CX420" s="376"/>
      <c r="CY420" s="376"/>
      <c r="CZ420" s="172"/>
      <c r="DA420" s="172"/>
      <c r="DB420" s="172"/>
      <c r="DC420" s="172"/>
      <c r="DD420" s="172"/>
      <c r="DE420" s="413"/>
      <c r="DF420" s="413"/>
      <c r="DG420" s="413"/>
      <c r="DH420" s="413"/>
      <c r="DI420" s="413"/>
      <c r="DJ420" s="413"/>
      <c r="DK420" s="413"/>
      <c r="DL420" s="413"/>
      <c r="DM420" s="413"/>
      <c r="DN420" s="413"/>
      <c r="DO420" s="413"/>
      <c r="DP420" s="413"/>
      <c r="DQ420" s="413"/>
      <c r="DR420" s="413"/>
      <c r="DS420" s="413"/>
      <c r="DT420" s="413"/>
      <c r="DU420" s="413"/>
      <c r="DV420" s="413"/>
      <c r="DW420" s="413"/>
      <c r="DX420" s="413"/>
      <c r="DY420" s="413"/>
      <c r="DZ420" s="413"/>
      <c r="EA420" s="413"/>
      <c r="EB420" s="413"/>
      <c r="EC420" s="413"/>
      <c r="ED420" s="413"/>
      <c r="EE420" s="413"/>
      <c r="EF420" s="413"/>
      <c r="EG420" s="413"/>
      <c r="EH420" s="413"/>
      <c r="EI420" s="413"/>
      <c r="EJ420" s="413"/>
      <c r="EK420" s="413"/>
      <c r="EL420" s="413"/>
      <c r="EM420" s="413"/>
      <c r="EN420" s="413"/>
      <c r="EO420" s="413"/>
      <c r="EP420" s="413"/>
      <c r="EQ420" s="413"/>
      <c r="ER420" s="413"/>
      <c r="ES420" s="413"/>
      <c r="ET420" s="413"/>
      <c r="EU420" s="413"/>
      <c r="EV420" s="413"/>
      <c r="EW420" s="413"/>
      <c r="EX420" s="413"/>
      <c r="EY420" s="413"/>
      <c r="EZ420" s="413"/>
      <c r="FA420" s="413"/>
      <c r="FB420" s="413"/>
      <c r="FC420" s="413"/>
      <c r="FD420" s="413"/>
      <c r="FE420" s="413"/>
      <c r="FF420" s="107"/>
      <c r="FG420" s="107"/>
      <c r="FH420" s="107"/>
      <c r="FI420" s="107"/>
      <c r="FJ420" s="107"/>
      <c r="FK420" s="107"/>
      <c r="FL420" s="107"/>
      <c r="FM420" s="338"/>
      <c r="FN420" s="338"/>
      <c r="FO420" s="338"/>
      <c r="FP420" s="48">
        <f ca="1">FU398/2*FQ405+FZ398</f>
        <v>1783</v>
      </c>
      <c r="FQ420" s="94">
        <f ca="1">50*ROUND((FU398/2*FR405/3+FZ398)/50,0)</f>
        <v>2300</v>
      </c>
      <c r="FR420" s="48">
        <f ca="1">50*ROUND((FU398*FR405/3+FZ398)/50,0)</f>
        <v>1300</v>
      </c>
      <c r="FS420" s="48"/>
      <c r="FT420" s="48"/>
      <c r="FU420" s="338"/>
      <c r="FV420" s="338"/>
      <c r="FW420" s="338"/>
      <c r="FX420" s="338"/>
      <c r="FY420" s="32"/>
      <c r="FZ420" s="32"/>
      <c r="GA420" s="32"/>
      <c r="GB420" s="32"/>
      <c r="GC420" s="32"/>
      <c r="GD420" s="32"/>
      <c r="GE420" s="32"/>
      <c r="GF420" s="32"/>
      <c r="GG420" s="32"/>
      <c r="GH420" s="32"/>
      <c r="GI420" s="32"/>
      <c r="GJ420" s="32"/>
      <c r="GK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38"/>
      <c r="HO420" s="338"/>
      <c r="HP420" s="338"/>
      <c r="HQ420" s="13"/>
      <c r="HR420" s="13"/>
      <c r="HS420" s="13"/>
      <c r="HT420" s="13"/>
      <c r="HU420" s="13"/>
      <c r="HV420" s="13"/>
      <c r="HW420" s="13"/>
      <c r="HX420" s="13"/>
      <c r="HY420" s="13"/>
      <c r="HZ420" s="13"/>
      <c r="IA420" s="13"/>
    </row>
    <row r="421" spans="1:236" ht="16.95" customHeight="1">
      <c r="A421" s="1"/>
      <c r="B421" s="3"/>
      <c r="C421" s="3"/>
      <c r="D421" s="409" t="str">
        <f ca="1">IF(FP417=0,"","de kopers met de hoogste betalingsbereidheid en de rest. Omdat hij met")</f>
        <v/>
      </c>
      <c r="E421" s="414"/>
      <c r="F421" s="414"/>
      <c r="G421" s="414"/>
      <c r="H421" s="414"/>
      <c r="I421" s="414"/>
      <c r="J421" s="376"/>
      <c r="K421" s="376"/>
      <c r="L421" s="376"/>
      <c r="M421" s="376"/>
      <c r="N421" s="376"/>
      <c r="O421" s="376"/>
      <c r="P421" s="376"/>
      <c r="Q421" s="376"/>
      <c r="R421" s="376"/>
      <c r="S421" s="376"/>
      <c r="T421" s="376"/>
      <c r="U421" s="376"/>
      <c r="V421" s="43"/>
      <c r="W421" s="43"/>
      <c r="X421" s="43"/>
      <c r="Y421" s="43"/>
      <c r="Z421" s="43"/>
      <c r="AA421" s="43"/>
      <c r="AB421" s="43"/>
      <c r="AC421" s="43"/>
      <c r="AD421" s="43"/>
      <c r="AE421" s="43"/>
      <c r="AF421" s="43"/>
      <c r="AG421" s="43"/>
      <c r="AH421" s="43"/>
      <c r="AI421" s="43"/>
      <c r="AJ421" s="43"/>
      <c r="AK421" s="43"/>
      <c r="AL421" s="43"/>
      <c r="AM421" s="43"/>
      <c r="AN421" s="43"/>
      <c r="CB421" s="43"/>
      <c r="CC421" s="43"/>
      <c r="CD421" s="43"/>
      <c r="CE421" s="43"/>
      <c r="CF421" s="43"/>
      <c r="CG421" s="43"/>
      <c r="CH421" s="43"/>
      <c r="CI421" s="43"/>
      <c r="CJ421" s="43"/>
      <c r="CK421" s="43"/>
      <c r="CL421" s="43"/>
      <c r="CM421" s="43"/>
      <c r="CN421" s="43"/>
      <c r="CO421" s="43"/>
      <c r="CP421" s="376"/>
      <c r="CQ421" s="376"/>
      <c r="CR421" s="376"/>
      <c r="CS421" s="376"/>
      <c r="CT421" s="376"/>
      <c r="CU421" s="376"/>
      <c r="CV421" s="376"/>
      <c r="CW421" s="376"/>
      <c r="CX421" s="376"/>
      <c r="CY421" s="376"/>
      <c r="CZ421" s="172"/>
      <c r="DA421" s="172"/>
      <c r="DB421" s="172"/>
      <c r="DC421" s="172"/>
      <c r="DD421" s="172"/>
      <c r="DE421" s="413"/>
      <c r="DF421" s="413"/>
      <c r="DG421" s="413"/>
      <c r="DH421" s="413"/>
      <c r="DI421" s="413"/>
      <c r="DJ421" s="413"/>
      <c r="DK421" s="413"/>
      <c r="DL421" s="413"/>
      <c r="DM421" s="413"/>
      <c r="DN421" s="413"/>
      <c r="DO421" s="413"/>
      <c r="DP421" s="413"/>
      <c r="DQ421" s="413"/>
      <c r="DR421" s="413"/>
      <c r="DS421" s="413"/>
      <c r="DT421" s="413"/>
      <c r="DU421" s="413"/>
      <c r="DV421" s="413"/>
      <c r="DW421" s="413"/>
      <c r="DX421" s="413"/>
      <c r="DY421" s="413"/>
      <c r="DZ421" s="413"/>
      <c r="EA421" s="413"/>
      <c r="EB421" s="413"/>
      <c r="EC421" s="413"/>
      <c r="ED421" s="413"/>
      <c r="EE421" s="413"/>
      <c r="EF421" s="413"/>
      <c r="EG421" s="413"/>
      <c r="EH421" s="413"/>
      <c r="EI421" s="413"/>
      <c r="EJ421" s="413"/>
      <c r="EK421" s="413"/>
      <c r="EL421" s="413"/>
      <c r="EM421" s="413"/>
      <c r="EN421" s="413"/>
      <c r="EO421" s="413"/>
      <c r="EP421" s="413"/>
      <c r="EQ421" s="413"/>
      <c r="ER421" s="413"/>
      <c r="ES421" s="413"/>
      <c r="ET421" s="413"/>
      <c r="EU421" s="413"/>
      <c r="EV421" s="413"/>
      <c r="EW421" s="413"/>
      <c r="EX421" s="413"/>
      <c r="EY421" s="413"/>
      <c r="EZ421" s="413"/>
      <c r="FA421" s="413"/>
      <c r="FB421" s="413"/>
      <c r="FC421" s="413"/>
      <c r="FD421" s="413"/>
      <c r="FE421" s="413"/>
      <c r="FF421" s="107"/>
      <c r="FG421" s="107"/>
      <c r="FH421" s="107"/>
      <c r="FI421" s="107"/>
      <c r="FJ421" s="107"/>
      <c r="FK421" s="107"/>
      <c r="FL421" s="107"/>
      <c r="FM421" s="338"/>
      <c r="FN421" s="338"/>
      <c r="FO421" s="338"/>
      <c r="FP421" s="94"/>
      <c r="FQ421" s="94"/>
      <c r="FR421" s="48"/>
      <c r="FS421" s="47"/>
      <c r="FT421" s="47"/>
      <c r="FU421" s="338"/>
      <c r="FV421" s="338"/>
      <c r="FW421" s="338"/>
      <c r="FX421" s="338"/>
      <c r="FY421" s="32"/>
      <c r="FZ421" s="32"/>
      <c r="GA421" s="32"/>
      <c r="GB421" s="32"/>
      <c r="GC421" s="32"/>
      <c r="GD421" s="32"/>
      <c r="GE421" s="32"/>
      <c r="GF421" s="32"/>
      <c r="GG421" s="32"/>
      <c r="GH421" s="32"/>
      <c r="GI421" s="32"/>
      <c r="GJ421" s="32"/>
      <c r="GK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38"/>
      <c r="HO421" s="338"/>
      <c r="HP421" s="338"/>
      <c r="HQ421" s="13"/>
      <c r="HR421" s="13"/>
      <c r="HS421" s="13"/>
      <c r="HT421" s="13"/>
      <c r="HU421" s="13"/>
      <c r="HV421" s="13"/>
      <c r="HW421" s="13"/>
      <c r="HX421" s="13"/>
      <c r="HY421" s="13"/>
      <c r="HZ421" s="13"/>
      <c r="IA421" s="13"/>
    </row>
    <row r="422" spans="1:236" ht="16.95" customHeight="1">
      <c r="A422" s="1"/>
      <c r="B422" s="3"/>
      <c r="C422" s="3"/>
      <c r="D422" s="409" t="str">
        <f ca="1">IF(FP417=0,"","mooie ronde getallen wil werken vraagt hij aan de mensen uit de eerste")</f>
        <v/>
      </c>
      <c r="E422" s="414"/>
      <c r="F422" s="414"/>
      <c r="G422" s="414"/>
      <c r="H422" s="414"/>
      <c r="I422" s="414"/>
      <c r="J422" s="376"/>
      <c r="K422" s="376"/>
      <c r="L422" s="376"/>
      <c r="M422" s="376"/>
      <c r="N422" s="376"/>
      <c r="O422" s="376"/>
      <c r="P422" s="376"/>
      <c r="Q422" s="376"/>
      <c r="R422" s="376"/>
      <c r="S422" s="376"/>
      <c r="T422" s="376"/>
      <c r="U422" s="376"/>
      <c r="V422" s="43"/>
      <c r="W422" s="43"/>
      <c r="X422" s="43"/>
      <c r="Y422" s="43"/>
      <c r="Z422" s="43"/>
      <c r="AA422" s="43"/>
      <c r="AB422" s="43"/>
      <c r="AC422" s="43"/>
      <c r="AD422" s="43"/>
      <c r="AE422" s="43"/>
      <c r="AF422" s="43"/>
      <c r="AG422" s="43"/>
      <c r="AH422" s="43"/>
      <c r="AI422" s="43"/>
      <c r="AJ422" s="43"/>
      <c r="AK422" s="43"/>
      <c r="AL422" s="43"/>
      <c r="AM422" s="43"/>
      <c r="AN422" s="43"/>
      <c r="CB422" s="43"/>
      <c r="CC422" s="43"/>
      <c r="CD422" s="43"/>
      <c r="CE422" s="43"/>
      <c r="CF422" s="43"/>
      <c r="CG422" s="43"/>
      <c r="CH422" s="43"/>
      <c r="CI422" s="43"/>
      <c r="CJ422" s="43"/>
      <c r="CK422" s="43"/>
      <c r="CL422" s="43"/>
      <c r="CM422" s="43"/>
      <c r="CN422" s="43"/>
      <c r="CO422" s="43"/>
      <c r="CP422" s="376"/>
      <c r="CQ422" s="376"/>
      <c r="CR422" s="376"/>
      <c r="CS422" s="376"/>
      <c r="CT422" s="376"/>
      <c r="CU422" s="376"/>
      <c r="CV422" s="376"/>
      <c r="CW422" s="376"/>
      <c r="CX422" s="376"/>
      <c r="CY422" s="376"/>
      <c r="CZ422" s="172"/>
      <c r="DA422" s="172"/>
      <c r="DB422" s="172"/>
      <c r="DC422" s="172"/>
      <c r="DD422" s="172"/>
      <c r="DE422" s="413"/>
      <c r="DF422" s="413"/>
      <c r="DG422" s="413"/>
      <c r="DH422" s="413"/>
      <c r="DI422" s="413"/>
      <c r="DJ422" s="413"/>
      <c r="DK422" s="413"/>
      <c r="DL422" s="413"/>
      <c r="DM422" s="413"/>
      <c r="DN422" s="413"/>
      <c r="DO422" s="413"/>
      <c r="DP422" s="413"/>
      <c r="DQ422" s="413"/>
      <c r="DR422" s="413"/>
      <c r="DS422" s="413"/>
      <c r="DT422" s="413"/>
      <c r="DU422" s="413"/>
      <c r="DV422" s="413"/>
      <c r="DW422" s="413"/>
      <c r="DX422" s="413"/>
      <c r="DY422" s="413"/>
      <c r="DZ422" s="413"/>
      <c r="EA422" s="413"/>
      <c r="EB422" s="413"/>
      <c r="EC422" s="413"/>
      <c r="ED422" s="413"/>
      <c r="EE422" s="413"/>
      <c r="EF422" s="413"/>
      <c r="EG422" s="413"/>
      <c r="EH422" s="413"/>
      <c r="EI422" s="413"/>
      <c r="EJ422" s="413"/>
      <c r="EK422" s="413"/>
      <c r="EL422" s="413"/>
      <c r="EM422" s="413"/>
      <c r="EN422" s="413"/>
      <c r="EO422" s="413"/>
      <c r="EP422" s="413"/>
      <c r="EQ422" s="413"/>
      <c r="ER422" s="413"/>
      <c r="ES422" s="413"/>
      <c r="ET422" s="413"/>
      <c r="EU422" s="413"/>
      <c r="EV422" s="413"/>
      <c r="EW422" s="413"/>
      <c r="EX422" s="413"/>
      <c r="EY422" s="413"/>
      <c r="EZ422" s="413"/>
      <c r="FA422" s="413"/>
      <c r="FB422" s="413"/>
      <c r="FC422" s="413"/>
      <c r="FD422" s="413"/>
      <c r="FE422" s="413"/>
      <c r="FF422" s="107"/>
      <c r="FG422" s="107"/>
      <c r="FH422" s="107"/>
      <c r="FI422" s="107"/>
      <c r="FJ422" s="107"/>
      <c r="FK422" s="107"/>
      <c r="FL422" s="107"/>
      <c r="FM422" s="338"/>
      <c r="FN422" s="338"/>
      <c r="FO422" s="338"/>
      <c r="FP422" s="93"/>
      <c r="FQ422" s="94"/>
      <c r="FR422" s="48"/>
      <c r="FS422" s="47"/>
      <c r="FT422" s="47"/>
      <c r="FU422" s="338"/>
      <c r="FV422" s="338"/>
      <c r="FW422" s="338"/>
      <c r="FX422" s="338"/>
      <c r="FY422" s="32"/>
      <c r="FZ422" s="32"/>
      <c r="GA422" s="32"/>
      <c r="GB422" s="32"/>
      <c r="GC422" s="32"/>
      <c r="GD422" s="32"/>
      <c r="GE422" s="32"/>
      <c r="GF422" s="32"/>
      <c r="GG422" s="32"/>
      <c r="GH422" s="32"/>
      <c r="GI422" s="32"/>
      <c r="GJ422" s="32"/>
      <c r="GK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38"/>
      <c r="HO422" s="338"/>
      <c r="HP422" s="338"/>
      <c r="HQ422" s="13"/>
      <c r="HR422" s="13"/>
      <c r="HS422" s="13"/>
      <c r="HT422" s="13"/>
      <c r="HU422" s="13"/>
      <c r="HV422" s="13"/>
      <c r="HW422" s="13"/>
      <c r="HX422" s="13"/>
      <c r="HY422" s="13"/>
      <c r="HZ422" s="13"/>
      <c r="IA422" s="13"/>
    </row>
    <row r="423" spans="1:236" ht="16.95" customHeight="1">
      <c r="A423" s="1"/>
      <c r="B423" s="3"/>
      <c r="C423" s="3"/>
      <c r="D423" s="409" t="str">
        <f ca="1">IF(FP417=0,"","groep een prijs van € "&amp;FQ420&amp;" en aan de rest een prijs van € "&amp;FR420&amp;".")</f>
        <v/>
      </c>
      <c r="E423" s="414"/>
      <c r="F423" s="414"/>
      <c r="G423" s="414"/>
      <c r="H423" s="414"/>
      <c r="I423" s="414"/>
      <c r="J423" s="376"/>
      <c r="K423" s="376"/>
      <c r="L423" s="376"/>
      <c r="M423" s="376"/>
      <c r="N423" s="376"/>
      <c r="O423" s="376"/>
      <c r="P423" s="376"/>
      <c r="Q423" s="376"/>
      <c r="R423" s="376"/>
      <c r="S423" s="376"/>
      <c r="T423" s="376"/>
      <c r="U423" s="376"/>
      <c r="V423" s="43"/>
      <c r="W423" s="43"/>
      <c r="X423" s="43"/>
      <c r="Y423" s="43"/>
      <c r="Z423" s="43"/>
      <c r="AA423" s="43"/>
      <c r="AB423" s="43"/>
      <c r="AC423" s="43"/>
      <c r="AD423" s="43"/>
      <c r="AE423" s="43"/>
      <c r="AF423" s="43"/>
      <c r="AG423" s="43"/>
      <c r="AH423" s="43"/>
      <c r="AI423" s="43"/>
      <c r="AJ423" s="43"/>
      <c r="AK423" s="43"/>
      <c r="AL423" s="43"/>
      <c r="AM423" s="43"/>
      <c r="AN423" s="43"/>
      <c r="CB423" s="43"/>
      <c r="CC423" s="43"/>
      <c r="CD423" s="43"/>
      <c r="CE423" s="43"/>
      <c r="CF423" s="43"/>
      <c r="CG423" s="43"/>
      <c r="CH423" s="43"/>
      <c r="CI423" s="43"/>
      <c r="CJ423" s="43"/>
      <c r="CK423" s="43"/>
      <c r="CL423" s="43"/>
      <c r="CM423" s="43"/>
      <c r="CN423" s="43"/>
      <c r="CO423" s="43"/>
      <c r="CP423" s="376"/>
      <c r="CQ423" s="376"/>
      <c r="CR423" s="376"/>
      <c r="CS423" s="376"/>
      <c r="CT423" s="376"/>
      <c r="CU423" s="376"/>
      <c r="CV423" s="376"/>
      <c r="CW423" s="376"/>
      <c r="CX423" s="376"/>
      <c r="CY423" s="376"/>
      <c r="CZ423" s="172"/>
      <c r="DA423" s="172"/>
      <c r="DB423" s="172"/>
      <c r="DC423" s="172"/>
      <c r="DD423" s="172"/>
      <c r="DE423" s="413"/>
      <c r="DF423" s="413"/>
      <c r="DG423" s="413"/>
      <c r="DH423" s="413"/>
      <c r="DI423" s="413"/>
      <c r="DJ423" s="413"/>
      <c r="DK423" s="413"/>
      <c r="DL423" s="413"/>
      <c r="DM423" s="413"/>
      <c r="DN423" s="413"/>
      <c r="DO423" s="413"/>
      <c r="DP423" s="413"/>
      <c r="DQ423" s="413"/>
      <c r="DR423" s="413"/>
      <c r="DS423" s="413"/>
      <c r="DT423" s="413"/>
      <c r="DU423" s="413"/>
      <c r="DV423" s="413"/>
      <c r="DW423" s="413"/>
      <c r="DX423" s="413"/>
      <c r="DY423" s="413"/>
      <c r="DZ423" s="413"/>
      <c r="EA423" s="413"/>
      <c r="EB423" s="413"/>
      <c r="EC423" s="413"/>
      <c r="ED423" s="413"/>
      <c r="EE423" s="413"/>
      <c r="EF423" s="413"/>
      <c r="EG423" s="413"/>
      <c r="EH423" s="413"/>
      <c r="EI423" s="413"/>
      <c r="EJ423" s="413"/>
      <c r="EK423" s="413"/>
      <c r="EL423" s="413"/>
      <c r="EM423" s="413"/>
      <c r="EN423" s="413"/>
      <c r="EO423" s="413"/>
      <c r="EP423" s="413"/>
      <c r="EQ423" s="413"/>
      <c r="ER423" s="413"/>
      <c r="ES423" s="413"/>
      <c r="ET423" s="413"/>
      <c r="EU423" s="413"/>
      <c r="EV423" s="413"/>
      <c r="EW423" s="413"/>
      <c r="EX423" s="413"/>
      <c r="EY423" s="413"/>
      <c r="EZ423" s="413"/>
      <c r="FA423" s="413"/>
      <c r="FB423" s="413"/>
      <c r="FC423" s="413"/>
      <c r="FD423" s="413"/>
      <c r="FE423" s="413"/>
      <c r="FF423" s="107"/>
      <c r="FG423" s="107"/>
      <c r="FH423" s="107"/>
      <c r="FI423" s="107"/>
      <c r="FJ423" s="107"/>
      <c r="FK423" s="107"/>
      <c r="FL423" s="107"/>
      <c r="FM423" s="338"/>
      <c r="FN423" s="338"/>
      <c r="FO423" s="338"/>
      <c r="FP423" s="48"/>
      <c r="FQ423" s="94"/>
      <c r="FR423" s="48"/>
      <c r="FS423" s="47"/>
      <c r="FT423" s="47"/>
      <c r="FU423" s="338"/>
      <c r="FV423" s="338"/>
      <c r="FW423" s="338"/>
      <c r="FX423" s="338"/>
      <c r="FY423" s="32"/>
      <c r="FZ423" s="32"/>
      <c r="GA423" s="32"/>
      <c r="GB423" s="32"/>
      <c r="GC423" s="32"/>
      <c r="GD423" s="32"/>
      <c r="GE423" s="32"/>
      <c r="GF423" s="32"/>
      <c r="GG423" s="32"/>
      <c r="GH423" s="32"/>
      <c r="GI423" s="32"/>
      <c r="GJ423" s="32"/>
      <c r="GK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38"/>
      <c r="HO423" s="338"/>
      <c r="HP423" s="338"/>
      <c r="HQ423" s="13"/>
      <c r="HR423" s="13"/>
      <c r="HS423" s="13"/>
      <c r="HT423" s="13"/>
      <c r="HU423" s="13"/>
      <c r="HV423" s="13"/>
      <c r="HW423" s="13"/>
      <c r="HX423" s="13"/>
      <c r="HY423" s="13"/>
      <c r="HZ423" s="13"/>
      <c r="IA423" s="13"/>
    </row>
    <row r="424" spans="1:236" ht="16.95" customHeight="1">
      <c r="A424" s="1"/>
      <c r="B424" s="3"/>
      <c r="C424" s="3"/>
      <c r="D424" s="409"/>
      <c r="E424" s="414"/>
      <c r="F424" s="414"/>
      <c r="G424" s="414"/>
      <c r="H424" s="414"/>
      <c r="I424" s="414"/>
      <c r="J424" s="376"/>
      <c r="K424" s="376"/>
      <c r="L424" s="376"/>
      <c r="M424" s="376"/>
      <c r="N424" s="376"/>
      <c r="O424" s="376"/>
      <c r="P424" s="376"/>
      <c r="Q424" s="376"/>
      <c r="R424" s="376"/>
      <c r="S424" s="376"/>
      <c r="T424" s="376"/>
      <c r="U424" s="376"/>
      <c r="V424" s="43"/>
      <c r="W424" s="43"/>
      <c r="X424" s="43"/>
      <c r="Y424" s="43"/>
      <c r="Z424" s="43"/>
      <c r="AA424" s="43"/>
      <c r="AB424" s="43"/>
      <c r="AC424" s="43"/>
      <c r="AD424" s="43"/>
      <c r="AE424" s="43"/>
      <c r="AF424" s="43"/>
      <c r="AG424" s="43"/>
      <c r="AH424" s="43"/>
      <c r="AI424" s="43"/>
      <c r="AJ424" s="43"/>
      <c r="AK424" s="43"/>
      <c r="AL424" s="43"/>
      <c r="AM424" s="43"/>
      <c r="AN424" s="43"/>
      <c r="CB424" s="43"/>
      <c r="CC424" s="43"/>
      <c r="CD424" s="43"/>
      <c r="CE424" s="43"/>
      <c r="CF424" s="43"/>
      <c r="CG424" s="43"/>
      <c r="CH424" s="43"/>
      <c r="CI424" s="43"/>
      <c r="CJ424" s="43"/>
      <c r="CK424" s="43"/>
      <c r="CL424" s="43"/>
      <c r="CM424" s="43"/>
      <c r="CN424" s="43"/>
      <c r="CO424" s="43"/>
      <c r="CP424" s="376"/>
      <c r="CQ424" s="376"/>
      <c r="CR424" s="376"/>
      <c r="CS424" s="376"/>
      <c r="CT424" s="376"/>
      <c r="CU424" s="376"/>
      <c r="CV424" s="376"/>
      <c r="CW424" s="376"/>
      <c r="CX424" s="376"/>
      <c r="CY424" s="376"/>
      <c r="CZ424" s="172"/>
      <c r="DA424" s="172"/>
      <c r="DB424" s="172"/>
      <c r="DC424" s="172"/>
      <c r="DD424" s="172"/>
      <c r="DE424" s="413"/>
      <c r="DF424" s="413"/>
      <c r="DG424" s="413"/>
      <c r="DH424" s="413"/>
      <c r="DI424" s="413"/>
      <c r="DJ424" s="413"/>
      <c r="DK424" s="413"/>
      <c r="DL424" s="413"/>
      <c r="DM424" s="413"/>
      <c r="DN424" s="413"/>
      <c r="DO424" s="413"/>
      <c r="DP424" s="413"/>
      <c r="DQ424" s="413"/>
      <c r="DR424" s="413"/>
      <c r="DS424" s="413"/>
      <c r="DT424" s="413"/>
      <c r="DU424" s="413"/>
      <c r="DV424" s="413"/>
      <c r="DW424" s="413"/>
      <c r="DX424" s="413"/>
      <c r="DY424" s="413"/>
      <c r="DZ424" s="413"/>
      <c r="EA424" s="413"/>
      <c r="EB424" s="413"/>
      <c r="EC424" s="413"/>
      <c r="ED424" s="413"/>
      <c r="EE424" s="413"/>
      <c r="EF424" s="413"/>
      <c r="EG424" s="413"/>
      <c r="EH424" s="413"/>
      <c r="EI424" s="413"/>
      <c r="EJ424" s="413"/>
      <c r="EK424" s="413"/>
      <c r="EL424" s="413"/>
      <c r="EM424" s="413"/>
      <c r="EN424" s="413"/>
      <c r="EO424" s="413"/>
      <c r="EP424" s="413"/>
      <c r="EQ424" s="413"/>
      <c r="ER424" s="413"/>
      <c r="ES424" s="413"/>
      <c r="ET424" s="413"/>
      <c r="EU424" s="413"/>
      <c r="EV424" s="413"/>
      <c r="EW424" s="413"/>
      <c r="EX424" s="413"/>
      <c r="EY424" s="413"/>
      <c r="EZ424" s="413"/>
      <c r="FA424" s="413"/>
      <c r="FB424" s="413"/>
      <c r="FC424" s="413"/>
      <c r="FD424" s="413"/>
      <c r="FE424" s="413"/>
      <c r="FF424" s="107"/>
      <c r="FG424" s="107"/>
      <c r="FH424" s="107"/>
      <c r="FI424" s="107"/>
      <c r="FJ424" s="107"/>
      <c r="FK424" s="107"/>
      <c r="FL424" s="107"/>
      <c r="FM424" s="338"/>
      <c r="FN424" s="338"/>
      <c r="FO424" s="338"/>
      <c r="FP424" s="48"/>
      <c r="FQ424" s="94"/>
      <c r="FR424" s="94"/>
      <c r="FS424" s="47"/>
      <c r="FT424" s="47"/>
      <c r="FU424" s="338"/>
      <c r="FV424" s="338"/>
      <c r="FW424" s="338"/>
      <c r="FX424" s="338"/>
      <c r="FY424" s="32"/>
      <c r="FZ424" s="32"/>
      <c r="GA424" s="32"/>
      <c r="GB424" s="32"/>
      <c r="GC424" s="32"/>
      <c r="GD424" s="32"/>
      <c r="GE424" s="32"/>
      <c r="GF424" s="32"/>
      <c r="GG424" s="32"/>
      <c r="GH424" s="32"/>
      <c r="GI424" s="32"/>
      <c r="GJ424" s="32"/>
      <c r="GK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38"/>
      <c r="HO424" s="338"/>
      <c r="HP424" s="338"/>
      <c r="HQ424" s="13"/>
      <c r="HR424" s="13"/>
      <c r="HS424" s="13"/>
      <c r="HT424" s="13"/>
      <c r="HU424" s="13"/>
      <c r="HV424" s="13"/>
      <c r="HW424" s="13"/>
      <c r="HX424" s="13"/>
      <c r="HY424" s="13"/>
      <c r="HZ424" s="13"/>
      <c r="IA424" s="13"/>
    </row>
    <row r="425" spans="1:236" s="66" customFormat="1" ht="16.95" customHeight="1">
      <c r="A425" s="60"/>
      <c r="B425" s="69"/>
      <c r="C425" s="69"/>
      <c r="D425" s="409" t="str">
        <f ca="1">IF(FP417=0,"","Hoeveelheid stuks zal hij aan de kopers uit de eerste groep verkopen? Rond")</f>
        <v/>
      </c>
      <c r="E425" s="409"/>
      <c r="F425" s="89"/>
      <c r="G425" s="89"/>
      <c r="H425" s="89"/>
      <c r="I425" s="89"/>
      <c r="J425" s="89"/>
      <c r="K425" s="89"/>
      <c r="L425" s="89"/>
      <c r="M425" s="89"/>
      <c r="N425" s="89"/>
      <c r="O425" s="89"/>
      <c r="P425" s="89"/>
      <c r="Q425" s="89"/>
      <c r="R425" s="89"/>
      <c r="S425" s="89"/>
      <c r="T425" s="89"/>
      <c r="U425" s="89"/>
      <c r="V425" s="89"/>
      <c r="W425" s="89"/>
      <c r="X425" s="89"/>
      <c r="Y425" s="141"/>
      <c r="Z425" s="141"/>
      <c r="AA425" s="141"/>
      <c r="AB425" s="141"/>
      <c r="AC425" s="141"/>
      <c r="AD425" s="141"/>
      <c r="AE425" s="141"/>
      <c r="AF425" s="141"/>
      <c r="AG425" s="141"/>
      <c r="AH425" s="141"/>
      <c r="AI425" s="141"/>
      <c r="AJ425" s="141"/>
      <c r="AK425" s="141"/>
      <c r="AL425" s="141"/>
      <c r="AM425" s="141"/>
      <c r="AN425" s="141"/>
      <c r="AO425" s="141"/>
      <c r="AP425" s="141"/>
      <c r="AQ425" s="141"/>
      <c r="AR425" s="141"/>
      <c r="AS425" s="141"/>
      <c r="AT425" s="141"/>
      <c r="AU425" s="141"/>
      <c r="AV425" s="141"/>
      <c r="AW425" s="141"/>
      <c r="AX425" s="141"/>
      <c r="AY425" s="141"/>
      <c r="AZ425" s="141"/>
      <c r="BA425" s="141"/>
      <c r="BB425" s="141"/>
      <c r="BC425" s="141"/>
      <c r="BD425" s="89"/>
      <c r="BE425" s="89"/>
      <c r="BF425" s="89"/>
      <c r="BG425" s="89"/>
      <c r="BH425" s="89"/>
      <c r="BI425" s="89"/>
      <c r="BJ425" s="89"/>
      <c r="BK425" s="89"/>
      <c r="BL425" s="89"/>
      <c r="BM425" s="89"/>
      <c r="BN425" s="89"/>
      <c r="BO425" s="89"/>
      <c r="BP425" s="89"/>
      <c r="BQ425" s="89"/>
      <c r="BR425" s="89"/>
      <c r="BS425" s="89"/>
      <c r="BT425" s="89"/>
      <c r="BU425" s="89"/>
      <c r="BV425" s="89"/>
      <c r="BW425" s="89"/>
      <c r="BX425" s="89"/>
      <c r="BY425" s="89"/>
      <c r="BZ425" s="89"/>
      <c r="CA425" s="89"/>
      <c r="CB425" s="89"/>
      <c r="CC425" s="89"/>
      <c r="CD425" s="89"/>
      <c r="CE425" s="89"/>
      <c r="CF425" s="89"/>
      <c r="CG425" s="89"/>
      <c r="CH425" s="89"/>
      <c r="CI425" s="89"/>
      <c r="CJ425" s="89"/>
      <c r="CK425" s="89"/>
      <c r="CL425" s="89"/>
      <c r="CM425" s="89"/>
      <c r="CN425" s="89"/>
      <c r="CO425" s="89"/>
      <c r="CP425" s="89"/>
      <c r="CQ425" s="89"/>
      <c r="CR425" s="89"/>
      <c r="CS425" s="89"/>
      <c r="CT425" s="89"/>
      <c r="CU425" s="89"/>
      <c r="CV425" s="89"/>
      <c r="CW425" s="89"/>
      <c r="CX425" s="89"/>
      <c r="CY425" s="89"/>
      <c r="CZ425" s="89"/>
      <c r="DA425" s="89"/>
      <c r="DB425" s="89"/>
      <c r="DC425" s="89"/>
      <c r="DD425" s="89"/>
      <c r="DE425" s="89"/>
      <c r="DF425" s="89"/>
      <c r="DG425" s="89"/>
      <c r="DH425" s="89"/>
      <c r="DI425" s="89"/>
      <c r="DJ425" s="89"/>
      <c r="DK425" s="89"/>
      <c r="DL425" s="89"/>
      <c r="DM425" s="89"/>
      <c r="DN425" s="89"/>
      <c r="DO425" s="89"/>
      <c r="DP425" s="89"/>
      <c r="DQ425" s="89"/>
      <c r="DR425" s="89"/>
      <c r="DS425" s="89"/>
      <c r="DT425" s="89"/>
      <c r="DU425" s="89"/>
      <c r="DV425" s="89"/>
      <c r="DW425" s="89"/>
      <c r="DX425" s="89"/>
      <c r="DY425" s="89"/>
      <c r="DZ425" s="89"/>
      <c r="EA425" s="89"/>
      <c r="EB425" s="89"/>
      <c r="EC425" s="89"/>
      <c r="ED425" s="89"/>
      <c r="EE425" s="89"/>
      <c r="EF425" s="89"/>
      <c r="EG425" s="89"/>
      <c r="EH425" s="89"/>
      <c r="EI425" s="89"/>
      <c r="EJ425" s="89"/>
      <c r="EK425" s="89"/>
      <c r="EL425" s="89"/>
      <c r="EM425" s="89"/>
      <c r="EN425" s="89"/>
      <c r="EO425" s="89"/>
      <c r="EP425" s="89"/>
      <c r="EQ425" s="89"/>
      <c r="ER425" s="89"/>
      <c r="ES425" s="89"/>
      <c r="ET425" s="89"/>
      <c r="EU425" s="89"/>
      <c r="EV425" s="89"/>
      <c r="EW425" s="268"/>
      <c r="EX425" s="268"/>
      <c r="EY425" s="268"/>
      <c r="EZ425" s="268"/>
      <c r="FA425" s="268"/>
      <c r="FB425" s="268"/>
      <c r="FC425" s="268"/>
      <c r="FD425" s="268"/>
      <c r="FE425" s="268"/>
      <c r="FF425" s="107"/>
      <c r="FG425" s="107"/>
      <c r="FH425" s="107"/>
      <c r="FI425" s="107"/>
      <c r="FJ425" s="107"/>
      <c r="FK425" s="107"/>
      <c r="FL425" s="107"/>
      <c r="FM425" s="377"/>
      <c r="FN425" s="377"/>
      <c r="FO425" s="377"/>
      <c r="FP425" s="377"/>
      <c r="FQ425" s="96"/>
      <c r="FR425" s="377"/>
      <c r="FS425" s="377"/>
      <c r="FT425" s="377"/>
      <c r="FU425" s="377"/>
      <c r="FV425" s="377"/>
      <c r="FW425" s="377"/>
      <c r="FX425" s="377"/>
      <c r="FY425" s="32"/>
      <c r="FZ425" s="32"/>
      <c r="GA425" s="32"/>
      <c r="GB425" s="32"/>
      <c r="GC425" s="32"/>
      <c r="GD425" s="32"/>
      <c r="GE425" s="32"/>
      <c r="GF425" s="32"/>
      <c r="GG425" s="32"/>
      <c r="GH425" s="32"/>
      <c r="GI425" s="32"/>
      <c r="GJ425" s="32"/>
      <c r="GK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38"/>
      <c r="HO425" s="338"/>
      <c r="HP425" s="338"/>
      <c r="HQ425" s="13"/>
      <c r="HR425" s="13"/>
      <c r="HS425" s="13"/>
      <c r="HT425" s="13"/>
      <c r="HU425" s="13"/>
      <c r="HV425" s="13"/>
      <c r="HW425" s="13"/>
      <c r="HX425" s="13"/>
      <c r="HY425" s="13"/>
      <c r="HZ425" s="13"/>
      <c r="IA425" s="13"/>
    </row>
    <row r="426" spans="1:236" s="66" customFormat="1" ht="16.95" customHeight="1">
      <c r="A426" s="60"/>
      <c r="B426" s="69"/>
      <c r="C426" s="69"/>
      <c r="D426" s="409" t="str">
        <f ca="1">IF(FP417=0,"","naar beneden (! - want niemand wil zijn betalingsbereidheid ook maar één")</f>
        <v/>
      </c>
      <c r="E426" s="409"/>
      <c r="F426" s="89"/>
      <c r="G426" s="89"/>
      <c r="H426" s="89"/>
      <c r="I426" s="89"/>
      <c r="J426" s="89"/>
      <c r="K426" s="89"/>
      <c r="L426" s="89"/>
      <c r="M426" s="89"/>
      <c r="N426" s="89"/>
      <c r="O426" s="89"/>
      <c r="P426" s="89"/>
      <c r="Q426" s="89"/>
      <c r="R426" s="89"/>
      <c r="S426" s="89"/>
      <c r="T426" s="89"/>
      <c r="U426" s="89"/>
      <c r="V426" s="89"/>
      <c r="W426" s="89"/>
      <c r="X426" s="89"/>
      <c r="Y426" s="141"/>
      <c r="Z426" s="141"/>
      <c r="AA426" s="141"/>
      <c r="AB426" s="141"/>
      <c r="AC426" s="141"/>
      <c r="AD426" s="141"/>
      <c r="AE426" s="141"/>
      <c r="AF426" s="141"/>
      <c r="AG426" s="141"/>
      <c r="AH426" s="141"/>
      <c r="AI426" s="141"/>
      <c r="AJ426" s="141"/>
      <c r="AK426" s="141"/>
      <c r="AL426" s="141"/>
      <c r="AM426" s="141"/>
      <c r="AN426" s="141"/>
      <c r="AO426" s="141"/>
      <c r="AP426" s="141"/>
      <c r="AQ426" s="141"/>
      <c r="AR426" s="141"/>
      <c r="AS426" s="141"/>
      <c r="AT426" s="141"/>
      <c r="AU426" s="141"/>
      <c r="AV426" s="141"/>
      <c r="AW426" s="141"/>
      <c r="AX426" s="141"/>
      <c r="AY426" s="141"/>
      <c r="AZ426" s="141"/>
      <c r="BA426" s="141"/>
      <c r="BB426" s="141"/>
      <c r="BC426" s="141"/>
      <c r="BD426" s="89"/>
      <c r="BE426" s="89"/>
      <c r="BF426" s="89"/>
      <c r="BG426" s="89"/>
      <c r="BH426" s="89"/>
      <c r="BI426" s="89"/>
      <c r="BJ426" s="89"/>
      <c r="BK426" s="89"/>
      <c r="BL426" s="89"/>
      <c r="BM426" s="89"/>
      <c r="BN426" s="89"/>
      <c r="BO426" s="89"/>
      <c r="BP426" s="89"/>
      <c r="BQ426" s="89"/>
      <c r="BR426" s="89"/>
      <c r="BS426" s="89"/>
      <c r="BT426" s="89"/>
      <c r="BU426" s="89"/>
      <c r="BV426" s="89"/>
      <c r="BW426" s="89"/>
      <c r="BX426" s="89"/>
      <c r="BY426" s="89"/>
      <c r="BZ426" s="89"/>
      <c r="CA426" s="89"/>
      <c r="CB426" s="89"/>
      <c r="CC426" s="89"/>
      <c r="CD426" s="89"/>
      <c r="CE426" s="89"/>
      <c r="CF426" s="89"/>
      <c r="CG426" s="89"/>
      <c r="CH426" s="89"/>
      <c r="CI426" s="89"/>
      <c r="CJ426" s="89"/>
      <c r="CK426" s="89"/>
      <c r="CL426" s="89"/>
      <c r="CM426" s="89"/>
      <c r="CN426" s="89"/>
      <c r="CO426" s="89"/>
      <c r="CP426" s="89"/>
      <c r="CQ426" s="89"/>
      <c r="CR426" s="89"/>
      <c r="CS426" s="89"/>
      <c r="CT426" s="89"/>
      <c r="CU426" s="89"/>
      <c r="CV426" s="89"/>
      <c r="CW426" s="89"/>
      <c r="CX426" s="89"/>
      <c r="CY426" s="89"/>
      <c r="CZ426" s="89"/>
      <c r="DA426" s="89"/>
      <c r="DB426" s="89"/>
      <c r="DC426" s="89"/>
      <c r="DD426" s="89"/>
      <c r="DE426" s="89"/>
      <c r="DF426" s="89"/>
      <c r="DG426" s="89"/>
      <c r="DH426" s="89"/>
      <c r="DI426" s="89"/>
      <c r="DJ426" s="89"/>
      <c r="DK426" s="89"/>
      <c r="DL426" s="89"/>
      <c r="DM426" s="89"/>
      <c r="DN426" s="89"/>
      <c r="DO426" s="89"/>
      <c r="DP426" s="89"/>
      <c r="DQ426" s="89"/>
      <c r="DR426" s="89"/>
      <c r="DS426" s="89"/>
      <c r="DT426" s="89"/>
      <c r="DU426" s="89"/>
      <c r="DV426" s="89"/>
      <c r="DW426" s="89"/>
      <c r="DX426" s="89"/>
      <c r="DY426" s="89"/>
      <c r="DZ426" s="89"/>
      <c r="EA426" s="89"/>
      <c r="EB426" s="89"/>
      <c r="EC426" s="89"/>
      <c r="ED426" s="89"/>
      <c r="EE426" s="89"/>
      <c r="EF426" s="89"/>
      <c r="EG426" s="89"/>
      <c r="EH426" s="89"/>
      <c r="EI426" s="89"/>
      <c r="EJ426" s="89"/>
      <c r="EK426" s="89"/>
      <c r="EL426" s="89"/>
      <c r="EM426" s="89"/>
      <c r="EN426" s="89"/>
      <c r="EO426" s="89"/>
      <c r="EP426" s="89"/>
      <c r="EQ426" s="89"/>
      <c r="ER426" s="89"/>
      <c r="ES426" s="89"/>
      <c r="ET426" s="89"/>
      <c r="EU426" s="89"/>
      <c r="EV426" s="89"/>
      <c r="EW426" s="268"/>
      <c r="EX426" s="268"/>
      <c r="EY426" s="268"/>
      <c r="EZ426" s="268"/>
      <c r="FA426" s="268"/>
      <c r="FB426" s="268"/>
      <c r="FC426" s="268"/>
      <c r="FD426" s="268"/>
      <c r="FE426" s="268"/>
      <c r="FF426" s="107"/>
      <c r="FG426" s="107"/>
      <c r="FH426" s="107"/>
      <c r="FI426" s="107"/>
      <c r="FJ426" s="107"/>
      <c r="FK426" s="107"/>
      <c r="FL426" s="107"/>
      <c r="FM426" s="377"/>
      <c r="FN426" s="377"/>
      <c r="FO426" s="377"/>
      <c r="FP426" s="377"/>
      <c r="FQ426" s="377"/>
      <c r="FR426" s="377"/>
      <c r="FS426" s="377"/>
      <c r="FT426" s="377"/>
      <c r="FU426" s="377"/>
      <c r="FV426" s="377"/>
      <c r="FW426" s="377"/>
      <c r="FX426" s="377"/>
      <c r="FY426" s="32"/>
      <c r="FZ426" s="32"/>
      <c r="GA426" s="32"/>
      <c r="GB426" s="32"/>
      <c r="GC426" s="32"/>
      <c r="GD426" s="32"/>
      <c r="GE426" s="32"/>
      <c r="GF426" s="32"/>
      <c r="GG426" s="32"/>
      <c r="GH426" s="32"/>
      <c r="GI426" s="32"/>
      <c r="GJ426" s="32"/>
      <c r="GK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38"/>
      <c r="HO426" s="338"/>
      <c r="HP426" s="338"/>
      <c r="HQ426" s="13"/>
      <c r="HR426" s="13"/>
      <c r="HS426" s="13"/>
      <c r="HT426" s="13"/>
      <c r="HU426" s="13"/>
      <c r="HV426" s="13"/>
      <c r="HW426" s="13"/>
      <c r="HX426" s="13"/>
      <c r="HY426" s="13"/>
      <c r="HZ426" s="13"/>
      <c r="IA426" s="13"/>
    </row>
    <row r="427" spans="1:236" s="66" customFormat="1" ht="16.95" customHeight="1">
      <c r="A427" s="60"/>
      <c r="B427" s="69"/>
      <c r="C427" s="69"/>
      <c r="D427" s="409" t="str">
        <f ca="1">IF(FP417=0,"","cent naar boven bijstellen) af op hele stuks.")</f>
        <v/>
      </c>
      <c r="E427" s="409"/>
      <c r="F427" s="89"/>
      <c r="G427" s="89"/>
      <c r="H427" s="89"/>
      <c r="I427" s="89"/>
      <c r="J427" s="89"/>
      <c r="K427" s="89"/>
      <c r="L427" s="89"/>
      <c r="M427" s="89"/>
      <c r="N427" s="89"/>
      <c r="O427" s="89"/>
      <c r="P427" s="89"/>
      <c r="Q427" s="89"/>
      <c r="R427" s="89"/>
      <c r="S427" s="89"/>
      <c r="T427" s="89"/>
      <c r="U427" s="89"/>
      <c r="V427" s="89"/>
      <c r="W427" s="89"/>
      <c r="X427" s="89"/>
      <c r="Y427" s="141"/>
      <c r="Z427" s="141"/>
      <c r="AA427" s="141"/>
      <c r="AB427" s="141"/>
      <c r="AC427" s="141"/>
      <c r="AD427" s="141"/>
      <c r="AE427" s="141"/>
      <c r="AF427" s="141"/>
      <c r="AG427" s="141"/>
      <c r="AH427" s="141"/>
      <c r="AI427" s="141"/>
      <c r="AJ427" s="141"/>
      <c r="AK427" s="141"/>
      <c r="AL427" s="141"/>
      <c r="AM427" s="141"/>
      <c r="AN427" s="141"/>
      <c r="AO427" s="141"/>
      <c r="AP427" s="141"/>
      <c r="AQ427" s="141"/>
      <c r="AR427" s="141"/>
      <c r="AS427" s="141"/>
      <c r="AT427" s="141"/>
      <c r="AU427" s="141"/>
      <c r="AV427" s="141"/>
      <c r="AW427" s="141"/>
      <c r="AX427" s="141"/>
      <c r="AY427" s="141"/>
      <c r="AZ427" s="141"/>
      <c r="BA427" s="141"/>
      <c r="BB427" s="141"/>
      <c r="BC427" s="141"/>
      <c r="BD427" s="89"/>
      <c r="BE427" s="89"/>
      <c r="BF427" s="89"/>
      <c r="BG427" s="89"/>
      <c r="BH427" s="89"/>
      <c r="BI427" s="89"/>
      <c r="BJ427" s="89"/>
      <c r="BK427" s="89"/>
      <c r="BL427" s="89"/>
      <c r="BM427" s="89"/>
      <c r="BN427" s="89"/>
      <c r="BO427" s="89"/>
      <c r="BP427" s="89"/>
      <c r="BQ427" s="89"/>
      <c r="BR427" s="89"/>
      <c r="BS427" s="89"/>
      <c r="BT427" s="89"/>
      <c r="BU427" s="89"/>
      <c r="BV427" s="89"/>
      <c r="BW427" s="89"/>
      <c r="BX427" s="89"/>
      <c r="BY427" s="89"/>
      <c r="BZ427" s="89"/>
      <c r="CA427" s="89"/>
      <c r="CB427" s="89"/>
      <c r="CC427" s="89"/>
      <c r="CD427" s="89"/>
      <c r="CE427" s="89"/>
      <c r="CF427" s="89"/>
      <c r="CG427" s="89"/>
      <c r="CH427" s="89"/>
      <c r="CI427" s="89"/>
      <c r="CJ427" s="89"/>
      <c r="CK427" s="89"/>
      <c r="CL427" s="89"/>
      <c r="CM427" s="89"/>
      <c r="CN427" s="89"/>
      <c r="CO427" s="89"/>
      <c r="CP427" s="89"/>
      <c r="CQ427" s="89"/>
      <c r="CR427" s="89"/>
      <c r="CS427" s="89"/>
      <c r="CT427" s="89"/>
      <c r="CU427" s="89"/>
      <c r="CV427" s="89"/>
      <c r="CW427" s="89"/>
      <c r="CX427" s="89"/>
      <c r="CY427" s="89"/>
      <c r="CZ427" s="89"/>
      <c r="DA427" s="89"/>
      <c r="DB427" s="89"/>
      <c r="DC427" s="89"/>
      <c r="DD427" s="89"/>
      <c r="DE427" s="89"/>
      <c r="DF427" s="89"/>
      <c r="DG427" s="89"/>
      <c r="DH427" s="89"/>
      <c r="DI427" s="89"/>
      <c r="DJ427" s="89"/>
      <c r="DK427" s="89"/>
      <c r="DL427" s="89"/>
      <c r="DM427" s="89"/>
      <c r="DN427" s="89"/>
      <c r="DO427" s="89"/>
      <c r="DP427" s="89"/>
      <c r="DQ427" s="89"/>
      <c r="DR427" s="89"/>
      <c r="DS427" s="89"/>
      <c r="DT427" s="89"/>
      <c r="DU427" s="89"/>
      <c r="DV427" s="89"/>
      <c r="DW427" s="89"/>
      <c r="DX427" s="89"/>
      <c r="DY427" s="89"/>
      <c r="DZ427" s="89"/>
      <c r="EA427" s="89"/>
      <c r="EB427" s="89"/>
      <c r="EC427" s="89"/>
      <c r="ED427" s="89"/>
      <c r="EE427" s="89"/>
      <c r="EF427" s="89"/>
      <c r="EG427" s="89"/>
      <c r="EH427" s="89"/>
      <c r="EI427" s="89"/>
      <c r="EJ427" s="89"/>
      <c r="EK427" s="89"/>
      <c r="EL427" s="89"/>
      <c r="EM427" s="89"/>
      <c r="EN427" s="89"/>
      <c r="EO427" s="89"/>
      <c r="EP427" s="89"/>
      <c r="EQ427" s="89"/>
      <c r="ER427" s="89"/>
      <c r="ES427" s="89"/>
      <c r="ET427" s="89"/>
      <c r="EU427" s="89"/>
      <c r="EV427" s="89"/>
      <c r="EW427" s="268"/>
      <c r="EX427" s="268"/>
      <c r="EY427" s="268"/>
      <c r="EZ427" s="268"/>
      <c r="FA427" s="268"/>
      <c r="FB427" s="268"/>
      <c r="FC427" s="268"/>
      <c r="FD427" s="268"/>
      <c r="FE427" s="268"/>
      <c r="FF427" s="107"/>
      <c r="FG427" s="107"/>
      <c r="FH427" s="107"/>
      <c r="FI427" s="107"/>
      <c r="FJ427" s="107"/>
      <c r="FK427" s="107"/>
      <c r="FL427" s="107"/>
      <c r="FM427" s="377"/>
      <c r="FN427" s="377"/>
      <c r="FO427" s="377"/>
      <c r="FP427" s="377"/>
      <c r="FQ427" s="377"/>
      <c r="FR427" s="377"/>
      <c r="FS427" s="377"/>
      <c r="FT427" s="377"/>
      <c r="FU427" s="377"/>
      <c r="FV427" s="377"/>
      <c r="FW427" s="377"/>
      <c r="FX427" s="377"/>
      <c r="FY427" s="32"/>
      <c r="FZ427" s="32"/>
      <c r="GA427" s="32"/>
      <c r="GB427" s="32"/>
      <c r="GC427" s="32"/>
      <c r="GD427" s="32"/>
      <c r="GE427" s="32"/>
      <c r="GF427" s="32"/>
      <c r="GG427" s="32"/>
      <c r="GH427" s="32"/>
      <c r="GI427" s="32"/>
      <c r="GJ427" s="32"/>
      <c r="GK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38"/>
      <c r="HO427" s="338"/>
      <c r="HP427" s="338"/>
      <c r="HQ427" s="13"/>
      <c r="HR427" s="13"/>
      <c r="HS427" s="13"/>
      <c r="HT427" s="13"/>
      <c r="HU427" s="13"/>
      <c r="HV427" s="13"/>
      <c r="HW427" s="13"/>
      <c r="HX427" s="13"/>
      <c r="HY427" s="13"/>
      <c r="HZ427" s="13"/>
      <c r="IA427" s="13"/>
    </row>
    <row r="428" spans="1:236" s="66" customFormat="1" ht="12" customHeight="1">
      <c r="A428" s="60"/>
      <c r="B428" s="69"/>
      <c r="C428" s="69"/>
      <c r="D428" s="409"/>
      <c r="E428" s="409"/>
      <c r="F428" s="409"/>
      <c r="G428" s="409"/>
      <c r="H428" s="409"/>
      <c r="I428" s="409"/>
      <c r="J428" s="409"/>
      <c r="K428" s="409"/>
      <c r="L428" s="409"/>
      <c r="M428" s="409"/>
      <c r="N428" s="409"/>
      <c r="O428" s="409"/>
      <c r="P428" s="409"/>
      <c r="Q428" s="409"/>
      <c r="R428" s="409"/>
      <c r="S428" s="409"/>
      <c r="T428" s="409"/>
      <c r="U428" s="409"/>
      <c r="V428" s="409"/>
      <c r="W428" s="409"/>
      <c r="X428" s="409"/>
      <c r="Y428" s="409"/>
      <c r="Z428" s="409"/>
      <c r="AA428" s="409"/>
      <c r="AB428" s="409"/>
      <c r="AC428" s="409"/>
      <c r="AD428" s="409"/>
      <c r="AE428" s="409"/>
      <c r="AF428" s="409"/>
      <c r="AG428" s="409"/>
      <c r="AH428" s="409"/>
      <c r="AI428" s="89"/>
      <c r="AJ428" s="409"/>
      <c r="AK428" s="409"/>
      <c r="AL428" s="409"/>
      <c r="AM428" s="409"/>
      <c r="AN428" s="409"/>
      <c r="AO428" s="409"/>
      <c r="AP428" s="409"/>
      <c r="AQ428" s="409"/>
      <c r="AR428" s="409"/>
      <c r="AS428" s="409"/>
      <c r="AT428" s="409"/>
      <c r="AU428" s="409"/>
      <c r="AV428" s="409"/>
      <c r="AW428" s="409"/>
      <c r="AX428" s="409"/>
      <c r="AY428" s="409"/>
      <c r="AZ428" s="409"/>
      <c r="BA428" s="409"/>
      <c r="BB428" s="409"/>
      <c r="BC428" s="89"/>
      <c r="BD428" s="89"/>
      <c r="BE428" s="89"/>
      <c r="BF428" s="89"/>
      <c r="BG428" s="89"/>
      <c r="BH428" s="89"/>
      <c r="BI428" s="89"/>
      <c r="BJ428" s="89"/>
      <c r="BK428" s="89"/>
      <c r="BL428" s="89"/>
      <c r="BM428" s="89"/>
      <c r="BN428" s="89"/>
      <c r="BO428" s="89"/>
      <c r="BP428" s="89"/>
      <c r="BQ428" s="89"/>
      <c r="BR428" s="89"/>
      <c r="BS428" s="89"/>
      <c r="BT428" s="89"/>
      <c r="BU428" s="89"/>
      <c r="BV428" s="89"/>
      <c r="BW428" s="89"/>
      <c r="BX428" s="89"/>
      <c r="BY428" s="89"/>
      <c r="BZ428" s="89"/>
      <c r="CA428" s="89"/>
      <c r="CB428" s="89"/>
      <c r="CC428" s="89"/>
      <c r="CD428" s="89"/>
      <c r="CE428" s="89"/>
      <c r="CF428" s="89"/>
      <c r="CG428" s="89"/>
      <c r="CH428" s="89"/>
      <c r="CI428" s="89"/>
      <c r="CJ428" s="89"/>
      <c r="CK428" s="89"/>
      <c r="CL428" s="89"/>
      <c r="CM428" s="89"/>
      <c r="CN428" s="89"/>
      <c r="CO428" s="89"/>
      <c r="CP428" s="89"/>
      <c r="CQ428" s="89"/>
      <c r="CR428" s="89"/>
      <c r="CS428" s="89"/>
      <c r="CT428" s="89"/>
      <c r="CU428" s="89"/>
      <c r="CV428" s="89"/>
      <c r="CW428" s="89"/>
      <c r="CX428" s="89"/>
      <c r="CY428" s="268"/>
      <c r="CZ428" s="268"/>
      <c r="DA428" s="268"/>
      <c r="DB428" s="268"/>
      <c r="DC428" s="268"/>
      <c r="DD428" s="268"/>
      <c r="DE428" s="268"/>
      <c r="DF428" s="268"/>
      <c r="DG428" s="268"/>
      <c r="DH428" s="268"/>
      <c r="DI428" s="268"/>
      <c r="DJ428" s="268"/>
      <c r="DK428" s="268"/>
      <c r="DL428" s="268"/>
      <c r="DM428" s="268"/>
      <c r="DN428" s="268"/>
      <c r="DO428" s="268"/>
      <c r="DP428" s="268"/>
      <c r="DQ428" s="268"/>
      <c r="DR428" s="268"/>
      <c r="DS428" s="268"/>
      <c r="DT428" s="268"/>
      <c r="DU428" s="268"/>
      <c r="DV428" s="268"/>
      <c r="DW428" s="268"/>
      <c r="DX428" s="268"/>
      <c r="DY428" s="268"/>
      <c r="DZ428" s="268"/>
      <c r="EA428" s="268"/>
      <c r="EB428" s="268"/>
      <c r="EC428" s="89"/>
      <c r="ED428" s="89"/>
      <c r="EE428" s="89"/>
      <c r="EF428" s="89"/>
      <c r="EG428" s="89"/>
      <c r="EH428" s="89"/>
      <c r="EI428" s="89"/>
      <c r="EJ428" s="89"/>
      <c r="EK428" s="89"/>
      <c r="EL428" s="89"/>
      <c r="EM428" s="89"/>
      <c r="EN428" s="89"/>
      <c r="EO428" s="89"/>
      <c r="EP428" s="89"/>
      <c r="EQ428" s="89"/>
      <c r="ER428" s="89"/>
      <c r="ES428" s="89"/>
      <c r="ET428" s="89"/>
      <c r="EU428" s="89"/>
      <c r="EV428" s="89"/>
      <c r="EW428" s="89"/>
      <c r="EX428" s="89"/>
      <c r="EY428" s="89"/>
      <c r="EZ428" s="89"/>
      <c r="FA428" s="89"/>
      <c r="FB428" s="89"/>
      <c r="FC428" s="89"/>
      <c r="FD428" s="89"/>
      <c r="FE428" s="89"/>
      <c r="FF428" s="107"/>
      <c r="FG428" s="107"/>
      <c r="FH428" s="107"/>
      <c r="FI428" s="107"/>
      <c r="FJ428" s="107"/>
      <c r="FK428" s="107"/>
      <c r="FL428" s="107"/>
      <c r="FM428" s="300"/>
      <c r="FN428" s="300"/>
      <c r="FO428" s="108"/>
      <c r="FP428" s="108"/>
      <c r="FQ428" s="108"/>
      <c r="FR428" s="108"/>
      <c r="FS428" s="108"/>
      <c r="FT428" s="108"/>
      <c r="FU428" s="108"/>
      <c r="FV428" s="108"/>
      <c r="FW428" s="108"/>
      <c r="FX428" s="108"/>
      <c r="FY428" s="32"/>
      <c r="FZ428" s="32"/>
      <c r="GA428" s="32"/>
      <c r="GB428" s="32"/>
      <c r="GC428" s="32"/>
      <c r="GD428" s="32"/>
      <c r="GE428" s="32"/>
      <c r="GF428" s="32"/>
      <c r="GG428" s="32"/>
      <c r="GH428" s="32"/>
      <c r="GI428" s="32"/>
      <c r="GJ428" s="32"/>
      <c r="GK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38"/>
      <c r="HO428" s="338"/>
      <c r="HP428" s="338"/>
      <c r="HQ428" s="13"/>
      <c r="HR428" s="13"/>
      <c r="HS428" s="13"/>
      <c r="HT428" s="13"/>
      <c r="HU428" s="13"/>
      <c r="HV428" s="13"/>
      <c r="HW428" s="13"/>
      <c r="HX428" s="13"/>
      <c r="HY428" s="13"/>
      <c r="HZ428" s="13"/>
      <c r="IA428" s="13"/>
    </row>
    <row r="429" spans="1:236" s="66" customFormat="1" ht="3.6" customHeight="1">
      <c r="A429" s="60"/>
      <c r="B429" s="69"/>
      <c r="C429" s="69"/>
      <c r="D429" s="409"/>
      <c r="E429" s="409"/>
      <c r="F429" s="409"/>
      <c r="G429" s="409"/>
      <c r="H429" s="409"/>
      <c r="I429" s="409"/>
      <c r="J429" s="409"/>
      <c r="K429" s="409"/>
      <c r="L429" s="409"/>
      <c r="M429" s="409"/>
      <c r="N429" s="409"/>
      <c r="O429" s="409"/>
      <c r="P429" s="409"/>
      <c r="Q429" s="409"/>
      <c r="R429" s="409"/>
      <c r="S429" s="409"/>
      <c r="T429" s="409"/>
      <c r="U429" s="409"/>
      <c r="V429" s="409"/>
      <c r="W429" s="409"/>
      <c r="X429" s="410"/>
      <c r="Y429" s="410"/>
      <c r="Z429" s="410"/>
      <c r="AA429" s="410"/>
      <c r="AB429" s="410"/>
      <c r="AC429" s="410"/>
      <c r="AD429" s="410"/>
      <c r="AE429" s="410"/>
      <c r="AF429" s="89"/>
      <c r="AG429" s="89"/>
      <c r="AH429" s="409"/>
      <c r="AI429" s="410"/>
      <c r="BT429" s="410"/>
      <c r="BU429" s="410"/>
      <c r="BV429" s="410"/>
      <c r="BW429" s="410"/>
      <c r="BX429" s="268"/>
      <c r="BY429" s="268"/>
      <c r="BZ429" s="141"/>
      <c r="CA429" s="89"/>
      <c r="CB429" s="89"/>
      <c r="CC429" s="553" t="str">
        <f ca="1">IF(FP417=0,"",".")</f>
        <v/>
      </c>
      <c r="CD429" s="541" t="e">
        <f>IF(#REF!=0,"","+")</f>
        <v>#REF!</v>
      </c>
      <c r="CE429" s="541" t="e">
        <f>IF(#REF!=0,"","+")</f>
        <v>#REF!</v>
      </c>
      <c r="CF429" s="541" t="e">
        <f>IF(#REF!=0,"","+")</f>
        <v>#REF!</v>
      </c>
      <c r="CG429" s="541" t="e">
        <f>IF(#REF!=0,"","+")</f>
        <v>#REF!</v>
      </c>
      <c r="CH429" s="541"/>
      <c r="CI429" s="541"/>
      <c r="CJ429" s="541"/>
      <c r="CK429" s="541" t="e">
        <f>IF(#REF!=0,"","+")</f>
        <v>#REF!</v>
      </c>
      <c r="CL429" s="541" t="e">
        <f>IF(#REF!=0,"","+")</f>
        <v>#REF!</v>
      </c>
      <c r="CM429" s="541" t="e">
        <f>IF(#REF!=0,"","+")</f>
        <v>#REF!</v>
      </c>
      <c r="CN429" s="541" t="e">
        <f>IF(#REF!=0,"","+")</f>
        <v>#REF!</v>
      </c>
      <c r="CO429" s="541" t="e">
        <f>IF(#REF!=0,"","+")</f>
        <v>#REF!</v>
      </c>
      <c r="CP429" s="541" t="e">
        <f>IF(#REF!=0,"","+")</f>
        <v>#REF!</v>
      </c>
      <c r="CQ429" s="541"/>
      <c r="CR429" s="541"/>
      <c r="CS429" s="541"/>
      <c r="CT429" s="541"/>
      <c r="CU429" s="541"/>
      <c r="CV429" s="541"/>
      <c r="CW429" s="541" t="e">
        <f>IF(#REF!=0,"","+")</f>
        <v>#REF!</v>
      </c>
      <c r="CX429" s="541" t="e">
        <f>IF(#REF!=0,"","+")</f>
        <v>#REF!</v>
      </c>
      <c r="CY429" s="541" t="e">
        <f>IF(#REF!=0,"","+")</f>
        <v>#REF!</v>
      </c>
      <c r="CZ429" s="541" t="e">
        <f>IF(#REF!=0,"","+")</f>
        <v>#REF!</v>
      </c>
      <c r="DA429" s="541" t="e">
        <f>IF(#REF!=0,"","+")</f>
        <v>#REF!</v>
      </c>
      <c r="DB429" s="89"/>
      <c r="DC429" s="89"/>
      <c r="DD429" s="268"/>
      <c r="DE429" s="268"/>
      <c r="DF429" s="268"/>
      <c r="DG429" s="268"/>
      <c r="DH429" s="268"/>
      <c r="DI429" s="268"/>
      <c r="DJ429" s="268"/>
      <c r="DK429" s="268"/>
      <c r="DX429" s="268"/>
      <c r="DY429" s="268"/>
      <c r="DZ429" s="268"/>
      <c r="EA429" s="268"/>
      <c r="EB429" s="268"/>
      <c r="FA429" s="107"/>
      <c r="FB429" s="107"/>
      <c r="FC429" s="107"/>
      <c r="FD429" s="107"/>
      <c r="FE429" s="107"/>
      <c r="FF429" s="107"/>
      <c r="FG429" s="107"/>
      <c r="FM429" s="300"/>
      <c r="FN429" s="300"/>
      <c r="FO429" s="108"/>
      <c r="FP429" s="108"/>
      <c r="FQ429" s="108"/>
      <c r="FR429" s="108"/>
      <c r="FS429" s="108"/>
      <c r="FT429" s="108"/>
      <c r="FU429" s="108"/>
      <c r="FV429" s="108"/>
      <c r="FW429" s="108"/>
      <c r="FX429" s="108"/>
      <c r="FY429" s="32"/>
      <c r="FZ429" s="32"/>
      <c r="GA429" s="32"/>
      <c r="GB429" s="32"/>
      <c r="GC429" s="32"/>
      <c r="GD429" s="32"/>
      <c r="GE429" s="32"/>
      <c r="GF429" s="32"/>
      <c r="GG429" s="32"/>
      <c r="GH429" s="32"/>
      <c r="GI429" s="32"/>
      <c r="GJ429" s="32"/>
      <c r="GK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38"/>
      <c r="HO429" s="338"/>
      <c r="HP429" s="338"/>
      <c r="HQ429" s="13"/>
      <c r="HR429" s="13"/>
      <c r="HS429" s="13"/>
      <c r="HT429" s="13"/>
      <c r="HU429" s="13"/>
      <c r="HV429" s="13"/>
      <c r="HW429" s="13"/>
      <c r="HX429" s="13"/>
      <c r="HY429" s="13"/>
      <c r="HZ429" s="13"/>
      <c r="IA429" s="13"/>
    </row>
    <row r="430" spans="1:236" s="66" customFormat="1" ht="16.5" customHeight="1">
      <c r="A430" s="60"/>
      <c r="B430" s="476"/>
      <c r="C430" s="69"/>
      <c r="D430" s="268"/>
      <c r="E430" s="268"/>
      <c r="F430" s="268"/>
      <c r="G430" s="268"/>
      <c r="H430" s="268"/>
      <c r="I430" s="268"/>
      <c r="J430" s="268"/>
      <c r="K430" s="268"/>
      <c r="L430" s="268"/>
      <c r="M430" s="268"/>
      <c r="N430" s="268"/>
      <c r="O430" s="268"/>
      <c r="P430" s="268"/>
      <c r="Q430" s="268"/>
      <c r="R430" s="410"/>
      <c r="S430" s="410"/>
      <c r="T430" s="410"/>
      <c r="U430" s="410"/>
      <c r="V430" s="410"/>
      <c r="W430" s="410"/>
      <c r="X430" s="410"/>
      <c r="Y430" s="410"/>
      <c r="Z430" s="410"/>
      <c r="AA430" s="410"/>
      <c r="AB430" s="410"/>
      <c r="AC430" s="410"/>
      <c r="AD430" s="410"/>
      <c r="AE430" s="410"/>
      <c r="AF430" s="302"/>
      <c r="AG430" s="89"/>
      <c r="AH430" s="409"/>
      <c r="AI430" s="325"/>
      <c r="BT430" s="410"/>
      <c r="BU430" s="410"/>
      <c r="BV430" s="410"/>
      <c r="BW430" s="410"/>
      <c r="BX430" s="268"/>
      <c r="BY430" s="268"/>
      <c r="BZ430" s="141"/>
      <c r="CA430" s="302" t="str">
        <f ca="1">IF(FP417=0,"","het aantal dat hij aan de eerste groep verkoopt is:")</f>
        <v/>
      </c>
      <c r="CB430" s="89"/>
      <c r="CC430" s="472" t="str">
        <f ca="1">IF(FP417=0,"",".")</f>
        <v/>
      </c>
      <c r="CD430" s="559"/>
      <c r="CE430" s="560"/>
      <c r="CF430" s="560"/>
      <c r="CG430" s="560"/>
      <c r="CH430" s="560"/>
      <c r="CI430" s="560"/>
      <c r="CJ430" s="560"/>
      <c r="CK430" s="560"/>
      <c r="CL430" s="560"/>
      <c r="CM430" s="560"/>
      <c r="CN430" s="560"/>
      <c r="CO430" s="560"/>
      <c r="CP430" s="560"/>
      <c r="CQ430" s="560"/>
      <c r="CR430" s="560"/>
      <c r="CS430" s="560"/>
      <c r="CT430" s="560"/>
      <c r="CU430" s="560"/>
      <c r="CV430" s="560"/>
      <c r="CW430" s="560"/>
      <c r="CX430" s="560"/>
      <c r="CY430" s="560"/>
      <c r="CZ430" s="560"/>
      <c r="DA430" s="472" t="str">
        <f ca="1">IF(FP417=0,"",".")</f>
        <v/>
      </c>
      <c r="DB430" s="384" t="s">
        <v>131</v>
      </c>
      <c r="DC430" s="719" t="str">
        <f ca="1">IF(FP417=0,"",IF(CD430="","",IF(AND(programma!$A$301="uitwerking",$B430="X"),FM430,IF(FP430=1,"Goed!",IF(AND(CD430&gt;FR430-1,CD430&lt;FR430+1),"Je hebt verkeerd afgerond.","Fout! Heb je GO wel op "&amp;FQ420&amp;" gesteld en q uitgerekend?")))))</f>
        <v/>
      </c>
      <c r="DD430" s="669"/>
      <c r="DE430" s="669"/>
      <c r="DF430" s="669"/>
      <c r="DG430" s="669"/>
      <c r="DH430" s="669"/>
      <c r="DI430" s="669"/>
      <c r="DJ430" s="669"/>
      <c r="DK430" s="669"/>
      <c r="DL430" s="669"/>
      <c r="DM430" s="669"/>
      <c r="DN430" s="669"/>
      <c r="DO430" s="669"/>
      <c r="DP430" s="669"/>
      <c r="DQ430" s="669"/>
      <c r="DR430" s="669"/>
      <c r="DS430" s="669"/>
      <c r="DT430" s="669"/>
      <c r="DU430" s="669"/>
      <c r="DV430" s="669"/>
      <c r="DW430" s="669"/>
      <c r="DX430" s="669"/>
      <c r="DY430" s="669"/>
      <c r="DZ430" s="669"/>
      <c r="EA430" s="669"/>
      <c r="EB430" s="669"/>
      <c r="EC430" s="669"/>
      <c r="ED430" s="669"/>
      <c r="EE430" s="669"/>
      <c r="EF430" s="669"/>
      <c r="EG430" s="669"/>
      <c r="EH430" s="669"/>
      <c r="EI430" s="669"/>
      <c r="EJ430" s="669"/>
      <c r="EK430" s="669"/>
      <c r="EL430" s="669"/>
      <c r="EM430" s="669"/>
      <c r="EN430" s="669"/>
      <c r="EO430" s="669"/>
      <c r="EP430" s="669"/>
      <c r="EQ430" s="669"/>
      <c r="ER430" s="669"/>
      <c r="ES430" s="669"/>
      <c r="ET430" s="669"/>
      <c r="EU430" s="669"/>
      <c r="EV430" s="669"/>
      <c r="EW430" s="669"/>
      <c r="EX430" s="669"/>
      <c r="EY430" s="669"/>
      <c r="EZ430" s="669"/>
      <c r="FA430" s="669"/>
      <c r="FB430" s="669"/>
      <c r="FC430" s="669"/>
      <c r="FD430" s="669"/>
      <c r="FE430" s="669"/>
      <c r="FF430" s="669"/>
      <c r="FG430" s="669"/>
      <c r="FH430" s="669"/>
      <c r="FI430" s="669"/>
      <c r="FJ430" s="669"/>
      <c r="FK430" s="669"/>
      <c r="FL430" s="669"/>
      <c r="FM430" s="300" t="str">
        <f ca="1">""&amp;FQ420&amp;" (p) = "&amp;FU398/2&amp;"q + "&amp;FZ398&amp;" (GO) en ("&amp;FZ398&amp;" - "&amp;FQ420&amp;") / "&amp;-FU398/2&amp;" wordt "&amp;FQ430</f>
        <v>2300 (p) = -3,3q + 3301 (GO) en (3301 - 2300) / 3,3 wordt 303</v>
      </c>
      <c r="FN430" s="300"/>
      <c r="FO430" s="300"/>
      <c r="FP430" s="300">
        <f ca="1">IF(programma!B1="X",1,IF(FP417=0,0,IF(AND(CD430&gt;FQ430-0.01,CD430&lt;FQ430+0.01),1,0)))</f>
        <v>0</v>
      </c>
      <c r="FQ430" s="339">
        <f ca="1">IF(FO1=0,"",FLOOR((FZ398-FQ420)/(-FU398/2),1))</f>
        <v>303</v>
      </c>
      <c r="FR430" s="300">
        <f ca="1">CEILING((FZ398-FQ420)/(-FU398/2),1)</f>
        <v>304</v>
      </c>
      <c r="FS430" s="108"/>
      <c r="FT430" s="108"/>
      <c r="FU430" s="108"/>
      <c r="FV430" s="108"/>
      <c r="FW430" s="108"/>
      <c r="FX430" s="108"/>
      <c r="FY430" s="32"/>
      <c r="FZ430" s="32"/>
      <c r="GA430" s="32"/>
      <c r="GB430" s="32"/>
      <c r="GC430" s="32"/>
      <c r="GD430" s="32"/>
      <c r="GE430" s="32"/>
      <c r="GF430" s="32"/>
      <c r="GG430" s="32"/>
      <c r="GH430" s="32"/>
      <c r="GI430" s="32"/>
      <c r="GJ430" s="32"/>
      <c r="GK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38"/>
      <c r="HO430" s="338"/>
      <c r="HP430" s="338"/>
      <c r="HQ430" s="13"/>
      <c r="HR430" s="13"/>
      <c r="HS430" s="13"/>
      <c r="HT430" s="13"/>
      <c r="HU430" s="13"/>
      <c r="HV430" s="13"/>
      <c r="HW430" s="13"/>
      <c r="HX430" s="13"/>
      <c r="HY430" s="13"/>
      <c r="HZ430" s="13"/>
      <c r="IA430" s="13"/>
    </row>
    <row r="431" spans="1:236" s="66" customFormat="1" ht="3.6" customHeight="1">
      <c r="A431" s="60"/>
      <c r="B431" s="69"/>
      <c r="C431" s="69"/>
      <c r="D431" s="409"/>
      <c r="E431" s="409"/>
      <c r="F431" s="409"/>
      <c r="G431" s="409"/>
      <c r="H431" s="409"/>
      <c r="I431" s="409"/>
      <c r="J431" s="409"/>
      <c r="K431" s="409"/>
      <c r="L431" s="409"/>
      <c r="M431" s="409"/>
      <c r="N431" s="409"/>
      <c r="O431" s="409"/>
      <c r="P431" s="409"/>
      <c r="Q431" s="409"/>
      <c r="R431" s="409"/>
      <c r="S431" s="409"/>
      <c r="T431" s="409"/>
      <c r="U431" s="409"/>
      <c r="V431" s="409"/>
      <c r="W431" s="409"/>
      <c r="X431" s="410"/>
      <c r="Y431" s="410"/>
      <c r="Z431" s="410"/>
      <c r="AA431" s="410"/>
      <c r="AB431" s="410"/>
      <c r="AC431" s="410"/>
      <c r="AD431" s="410"/>
      <c r="AE431" s="410"/>
      <c r="AF431" s="89"/>
      <c r="AG431" s="89"/>
      <c r="AH431" s="409"/>
      <c r="AI431" s="410"/>
      <c r="BT431" s="410"/>
      <c r="BU431" s="410"/>
      <c r="BV431" s="410"/>
      <c r="BW431" s="410"/>
      <c r="BX431" s="268"/>
      <c r="BY431" s="268"/>
      <c r="BZ431" s="141"/>
      <c r="CA431" s="89"/>
      <c r="CB431" s="89"/>
      <c r="CC431" s="553" t="str">
        <f ca="1">IF(FP417=0,"",".")</f>
        <v/>
      </c>
      <c r="CD431" s="541" t="e">
        <f>IF(#REF!=0,"","+")</f>
        <v>#REF!</v>
      </c>
      <c r="CE431" s="541" t="e">
        <f>IF(#REF!=0,"","+")</f>
        <v>#REF!</v>
      </c>
      <c r="CF431" s="541" t="e">
        <f>IF(#REF!=0,"","+")</f>
        <v>#REF!</v>
      </c>
      <c r="CG431" s="541" t="e">
        <f>IF(#REF!=0,"","+")</f>
        <v>#REF!</v>
      </c>
      <c r="CH431" s="541"/>
      <c r="CI431" s="541"/>
      <c r="CJ431" s="541"/>
      <c r="CK431" s="541" t="e">
        <f>IF(#REF!=0,"","+")</f>
        <v>#REF!</v>
      </c>
      <c r="CL431" s="541" t="e">
        <f>IF(#REF!=0,"","+")</f>
        <v>#REF!</v>
      </c>
      <c r="CM431" s="541" t="e">
        <f>IF(#REF!=0,"","+")</f>
        <v>#REF!</v>
      </c>
      <c r="CN431" s="541" t="e">
        <f>IF(#REF!=0,"","+")</f>
        <v>#REF!</v>
      </c>
      <c r="CO431" s="541" t="e">
        <f>IF(#REF!=0,"","+")</f>
        <v>#REF!</v>
      </c>
      <c r="CP431" s="541" t="e">
        <f>IF(#REF!=0,"","+")</f>
        <v>#REF!</v>
      </c>
      <c r="CQ431" s="541"/>
      <c r="CR431" s="541"/>
      <c r="CS431" s="541"/>
      <c r="CT431" s="541"/>
      <c r="CU431" s="541"/>
      <c r="CV431" s="541"/>
      <c r="CW431" s="541" t="e">
        <f>IF(#REF!=0,"","+")</f>
        <v>#REF!</v>
      </c>
      <c r="CX431" s="541" t="e">
        <f>IF(#REF!=0,"","+")</f>
        <v>#REF!</v>
      </c>
      <c r="CY431" s="541" t="e">
        <f>IF(#REF!=0,"","+")</f>
        <v>#REF!</v>
      </c>
      <c r="CZ431" s="541" t="e">
        <f>IF(#REF!=0,"","+")</f>
        <v>#REF!</v>
      </c>
      <c r="DA431" s="541" t="e">
        <f>IF(#REF!=0,"","+")</f>
        <v>#REF!</v>
      </c>
      <c r="DB431" s="89"/>
      <c r="DC431" s="89"/>
      <c r="DD431" s="268"/>
      <c r="DE431" s="268"/>
      <c r="DF431" s="268"/>
      <c r="DG431" s="268"/>
      <c r="DH431" s="268"/>
      <c r="DI431" s="268"/>
      <c r="DJ431" s="268"/>
      <c r="DK431" s="268"/>
      <c r="DX431" s="268"/>
      <c r="DY431" s="268"/>
      <c r="DZ431" s="268"/>
      <c r="EA431" s="268"/>
      <c r="EB431" s="268"/>
      <c r="FA431" s="107"/>
      <c r="FB431" s="107"/>
      <c r="FC431" s="107"/>
      <c r="FD431" s="107"/>
      <c r="FE431" s="107"/>
      <c r="FF431" s="107"/>
      <c r="FG431" s="107"/>
      <c r="FM431" s="300"/>
      <c r="FN431" s="300"/>
      <c r="FO431" s="300"/>
      <c r="FP431" s="300"/>
      <c r="FQ431" s="300"/>
      <c r="FR431" s="108"/>
      <c r="FS431" s="108"/>
      <c r="FT431" s="108"/>
      <c r="FU431" s="108"/>
      <c r="FV431" s="108"/>
      <c r="FW431" s="108"/>
      <c r="FX431" s="108"/>
      <c r="FY431" s="32"/>
      <c r="FZ431" s="32"/>
      <c r="GA431" s="32"/>
      <c r="GB431" s="32"/>
      <c r="GC431" s="32"/>
      <c r="GD431" s="32"/>
      <c r="GE431" s="32"/>
      <c r="GF431" s="32"/>
      <c r="GG431" s="32"/>
      <c r="GH431" s="32"/>
      <c r="GI431" s="32"/>
      <c r="GJ431" s="32"/>
      <c r="GK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38"/>
      <c r="HO431" s="338"/>
      <c r="HP431" s="338"/>
      <c r="HQ431" s="13"/>
      <c r="HR431" s="13"/>
      <c r="HS431" s="13"/>
      <c r="HT431" s="13"/>
      <c r="HU431" s="13"/>
      <c r="HV431" s="13"/>
      <c r="HW431" s="13"/>
      <c r="HX431" s="13"/>
      <c r="HY431" s="13"/>
      <c r="HZ431" s="13"/>
      <c r="IA431" s="13"/>
    </row>
    <row r="432" spans="1:236" s="66" customFormat="1" ht="9" customHeight="1">
      <c r="A432" s="60"/>
      <c r="B432" s="69"/>
      <c r="C432" s="69"/>
      <c r="D432" s="409"/>
      <c r="E432" s="409"/>
      <c r="F432" s="409"/>
      <c r="G432" s="409"/>
      <c r="H432" s="409"/>
      <c r="I432" s="409"/>
      <c r="J432" s="409"/>
      <c r="K432" s="409"/>
      <c r="L432" s="409"/>
      <c r="M432" s="409"/>
      <c r="N432" s="409"/>
      <c r="O432" s="409"/>
      <c r="P432" s="409"/>
      <c r="Q432" s="409"/>
      <c r="R432" s="409"/>
      <c r="S432" s="409"/>
      <c r="T432" s="409"/>
      <c r="U432" s="409"/>
      <c r="V432" s="409"/>
      <c r="W432" s="409"/>
      <c r="X432" s="89"/>
      <c r="Y432" s="89"/>
      <c r="Z432" s="89"/>
      <c r="AA432" s="89"/>
      <c r="AB432" s="89"/>
      <c r="AC432" s="89"/>
      <c r="AD432" s="89"/>
      <c r="AE432" s="89"/>
      <c r="AF432" s="89"/>
      <c r="AG432" s="89"/>
      <c r="AH432" s="89"/>
      <c r="AI432" s="89"/>
      <c r="BT432" s="89"/>
      <c r="BU432" s="89"/>
      <c r="BV432" s="89"/>
      <c r="BW432" s="89"/>
      <c r="CA432" s="268"/>
      <c r="CB432" s="268"/>
      <c r="CC432" s="268"/>
      <c r="CD432" s="268"/>
      <c r="CE432" s="268"/>
      <c r="CF432" s="268"/>
      <c r="CG432" s="268"/>
      <c r="CH432" s="268"/>
      <c r="CI432" s="268"/>
      <c r="CJ432" s="268"/>
      <c r="CK432" s="268"/>
      <c r="CL432" s="268"/>
      <c r="CM432" s="268"/>
      <c r="CN432" s="268"/>
      <c r="CO432" s="268"/>
      <c r="CP432" s="268"/>
      <c r="CQ432" s="268"/>
      <c r="CR432" s="268"/>
      <c r="CS432" s="268"/>
      <c r="CT432" s="268"/>
      <c r="CU432" s="268"/>
      <c r="CV432" s="268"/>
      <c r="CW432" s="268"/>
      <c r="CX432" s="268"/>
      <c r="CY432" s="268"/>
      <c r="CZ432" s="268"/>
      <c r="DA432" s="268"/>
      <c r="FI432" s="107"/>
      <c r="FJ432" s="107"/>
      <c r="FK432" s="107"/>
      <c r="FL432" s="107"/>
      <c r="FM432" s="300"/>
      <c r="FN432" s="300"/>
      <c r="FO432" s="300"/>
      <c r="FP432" s="300"/>
      <c r="FQ432" s="300"/>
      <c r="FR432" s="108"/>
      <c r="FS432" s="108"/>
      <c r="FT432" s="108"/>
      <c r="FU432" s="108"/>
      <c r="FV432" s="108"/>
      <c r="FW432" s="108"/>
      <c r="FX432" s="108"/>
      <c r="FY432" s="32"/>
      <c r="FZ432" s="32"/>
      <c r="GA432" s="32"/>
      <c r="GB432" s="32"/>
      <c r="GC432" s="32"/>
      <c r="GD432" s="32"/>
      <c r="GE432" s="32"/>
      <c r="GF432" s="32"/>
      <c r="GG432" s="32"/>
      <c r="GH432" s="32"/>
      <c r="GI432" s="32"/>
      <c r="GJ432" s="32"/>
      <c r="GK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38"/>
      <c r="HO432" s="338"/>
      <c r="HP432" s="338"/>
      <c r="HQ432" s="13"/>
      <c r="HR432" s="13"/>
      <c r="HS432" s="13"/>
      <c r="HT432" s="13"/>
      <c r="HU432" s="13"/>
      <c r="HV432" s="13"/>
      <c r="HW432" s="13"/>
      <c r="HX432" s="13"/>
      <c r="HY432" s="13"/>
      <c r="HZ432" s="13"/>
      <c r="IA432" s="13"/>
    </row>
    <row r="433" spans="1:235" s="66" customFormat="1" ht="16.95" customHeight="1">
      <c r="A433" s="60"/>
      <c r="B433" s="69"/>
      <c r="C433" s="69"/>
      <c r="D433" s="409" t="str">
        <f ca="1">IF(FP430=0,"","Hoeveelheid stuks zal hij aan de rest van de kopers verkopen? Rond weer")</f>
        <v/>
      </c>
      <c r="E433" s="409"/>
      <c r="F433" s="89"/>
      <c r="G433" s="89"/>
      <c r="H433" s="89"/>
      <c r="I433" s="89"/>
      <c r="J433" s="89"/>
      <c r="K433" s="89"/>
      <c r="L433" s="89"/>
      <c r="M433" s="89"/>
      <c r="N433" s="89"/>
      <c r="O433" s="89"/>
      <c r="P433" s="89"/>
      <c r="Q433" s="89"/>
      <c r="R433" s="89"/>
      <c r="S433" s="89"/>
      <c r="T433" s="89"/>
      <c r="U433" s="89"/>
      <c r="V433" s="89"/>
      <c r="W433" s="89"/>
      <c r="X433" s="89"/>
      <c r="Y433" s="141"/>
      <c r="Z433" s="141"/>
      <c r="AA433" s="141"/>
      <c r="AB433" s="141"/>
      <c r="AC433" s="141"/>
      <c r="AD433" s="141"/>
      <c r="AE433" s="141"/>
      <c r="AF433" s="141"/>
      <c r="AG433" s="141"/>
      <c r="AH433" s="141"/>
      <c r="AI433" s="141"/>
      <c r="AJ433" s="141"/>
      <c r="BQ433" s="89"/>
      <c r="BR433" s="89"/>
      <c r="BS433" s="89"/>
      <c r="BT433" s="89"/>
      <c r="BU433" s="89"/>
      <c r="BV433" s="89"/>
      <c r="BW433" s="89"/>
      <c r="BX433" s="89"/>
      <c r="BY433" s="89"/>
      <c r="BZ433" s="89"/>
      <c r="FI433" s="107"/>
      <c r="FJ433" s="107"/>
      <c r="FK433" s="107"/>
      <c r="FL433" s="107"/>
      <c r="FM433" s="377"/>
      <c r="FN433" s="377"/>
      <c r="FO433" s="377"/>
      <c r="FP433" s="377"/>
      <c r="FQ433" s="377"/>
      <c r="FR433" s="377"/>
      <c r="FS433" s="377"/>
      <c r="FT433" s="377"/>
      <c r="FU433" s="377"/>
      <c r="FV433" s="377"/>
      <c r="FW433" s="377"/>
      <c r="FX433" s="377"/>
      <c r="FY433" s="32"/>
      <c r="FZ433" s="32"/>
      <c r="GA433" s="32"/>
      <c r="GB433" s="32"/>
      <c r="GC433" s="32"/>
      <c r="GD433" s="32"/>
      <c r="GE433" s="32"/>
      <c r="GF433" s="32"/>
      <c r="GG433" s="32"/>
      <c r="GH433" s="32"/>
      <c r="GI433" s="32"/>
      <c r="GJ433" s="32"/>
      <c r="GK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38"/>
      <c r="HO433" s="338"/>
      <c r="HP433" s="338"/>
      <c r="HQ433" s="13"/>
      <c r="HR433" s="13"/>
      <c r="HS433" s="13"/>
      <c r="HT433" s="13"/>
      <c r="HU433" s="13"/>
      <c r="HV433" s="13"/>
      <c r="HW433" s="13"/>
      <c r="HX433" s="13"/>
      <c r="HY433" s="13"/>
      <c r="HZ433" s="13"/>
      <c r="IA433" s="13"/>
    </row>
    <row r="434" spans="1:235" s="66" customFormat="1" ht="16.95" customHeight="1">
      <c r="A434" s="60"/>
      <c r="B434" s="69"/>
      <c r="C434" s="69"/>
      <c r="D434" s="409" t="str">
        <f ca="1">IF(FP430=0,"","naar beneden (!) af op hele stuks.")</f>
        <v/>
      </c>
      <c r="E434" s="409"/>
      <c r="F434" s="89"/>
      <c r="G434" s="89"/>
      <c r="H434" s="89"/>
      <c r="I434" s="89"/>
      <c r="J434" s="89"/>
      <c r="K434" s="89"/>
      <c r="L434" s="89"/>
      <c r="M434" s="89"/>
      <c r="N434" s="89"/>
      <c r="O434" s="89"/>
      <c r="P434" s="89"/>
      <c r="Q434" s="89"/>
      <c r="R434" s="89"/>
      <c r="S434" s="89"/>
      <c r="T434" s="89"/>
      <c r="U434" s="89"/>
      <c r="V434" s="89"/>
      <c r="W434" s="89"/>
      <c r="X434" s="89"/>
      <c r="Y434" s="141"/>
      <c r="Z434" s="141"/>
      <c r="AA434" s="141"/>
      <c r="AB434" s="141"/>
      <c r="AC434" s="141"/>
      <c r="AD434" s="141"/>
      <c r="AE434" s="141"/>
      <c r="AF434" s="141"/>
      <c r="AG434" s="141"/>
      <c r="AH434" s="141"/>
      <c r="AI434" s="141"/>
      <c r="AJ434" s="141"/>
      <c r="BN434" s="268"/>
      <c r="BO434" s="268"/>
      <c r="BP434" s="268"/>
      <c r="BQ434" s="89"/>
      <c r="BR434" s="89"/>
      <c r="BS434" s="89"/>
      <c r="BT434" s="89"/>
      <c r="BU434" s="89"/>
      <c r="BV434" s="89"/>
      <c r="BW434" s="89"/>
      <c r="BX434" s="89"/>
      <c r="BY434" s="89"/>
      <c r="BZ434" s="89"/>
      <c r="CA434" s="268"/>
      <c r="CB434" s="268"/>
      <c r="CC434" s="268"/>
      <c r="CD434" s="268"/>
      <c r="CE434" s="268"/>
      <c r="CF434" s="268"/>
      <c r="CG434" s="268"/>
      <c r="CH434" s="268"/>
      <c r="CI434" s="268"/>
      <c r="CJ434" s="268"/>
      <c r="CK434" s="268"/>
      <c r="CL434" s="268"/>
      <c r="CM434" s="268"/>
      <c r="CN434" s="268"/>
      <c r="CO434" s="268"/>
      <c r="CP434" s="268"/>
      <c r="CQ434" s="268"/>
      <c r="CR434" s="268"/>
      <c r="CS434" s="268"/>
      <c r="FI434" s="107"/>
      <c r="FJ434" s="107"/>
      <c r="FK434" s="107"/>
      <c r="FL434" s="107"/>
      <c r="FM434" s="377"/>
      <c r="FN434" s="377"/>
      <c r="FO434" s="377"/>
      <c r="FP434" s="377"/>
      <c r="FQ434" s="377"/>
      <c r="FR434" s="377"/>
      <c r="FS434" s="377"/>
      <c r="FT434" s="377"/>
      <c r="FU434" s="377"/>
      <c r="FV434" s="377"/>
      <c r="FW434" s="377"/>
      <c r="FX434" s="377"/>
      <c r="FY434" s="32"/>
      <c r="FZ434" s="32"/>
      <c r="GA434" s="32"/>
      <c r="GB434" s="32"/>
      <c r="GC434" s="32"/>
      <c r="GD434" s="32"/>
      <c r="GE434" s="32"/>
      <c r="GF434" s="32"/>
      <c r="GG434" s="32"/>
      <c r="GH434" s="32"/>
      <c r="GI434" s="32"/>
      <c r="GJ434" s="32"/>
      <c r="GK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38"/>
      <c r="HO434" s="338"/>
      <c r="HP434" s="338"/>
      <c r="HQ434" s="13"/>
      <c r="HR434" s="13"/>
      <c r="HS434" s="13"/>
      <c r="HT434" s="13"/>
      <c r="HU434" s="13"/>
      <c r="HV434" s="13"/>
      <c r="HW434" s="13"/>
      <c r="HX434" s="13"/>
      <c r="HY434" s="13"/>
      <c r="HZ434" s="13"/>
      <c r="IA434" s="13"/>
    </row>
    <row r="435" spans="1:235" s="66" customFormat="1" ht="12" customHeight="1">
      <c r="A435" s="60"/>
      <c r="B435" s="69"/>
      <c r="C435" s="69"/>
      <c r="D435" s="409"/>
      <c r="E435" s="409"/>
      <c r="F435" s="409"/>
      <c r="G435" s="409"/>
      <c r="H435" s="409"/>
      <c r="I435" s="409"/>
      <c r="J435" s="409"/>
      <c r="K435" s="409"/>
      <c r="L435" s="409"/>
      <c r="M435" s="409"/>
      <c r="N435" s="409"/>
      <c r="O435" s="409"/>
      <c r="P435" s="409"/>
      <c r="Q435" s="409"/>
      <c r="R435" s="409"/>
      <c r="S435" s="409"/>
      <c r="T435" s="409"/>
      <c r="U435" s="409"/>
      <c r="V435" s="409"/>
      <c r="W435" s="409"/>
      <c r="X435" s="409"/>
      <c r="Y435" s="409"/>
      <c r="Z435" s="409"/>
      <c r="AA435" s="409"/>
      <c r="AB435" s="409"/>
      <c r="AC435" s="409"/>
      <c r="AD435" s="409"/>
      <c r="AE435" s="409"/>
      <c r="AF435" s="409"/>
      <c r="AG435" s="409"/>
      <c r="AH435" s="409"/>
      <c r="AI435" s="89"/>
      <c r="AJ435" s="409"/>
      <c r="BN435" s="268"/>
      <c r="BO435" s="268"/>
      <c r="BP435" s="268"/>
      <c r="BQ435" s="89"/>
      <c r="BR435" s="89"/>
      <c r="BS435" s="89"/>
      <c r="BT435" s="89"/>
      <c r="BU435" s="89"/>
      <c r="BV435" s="89"/>
      <c r="BW435" s="89"/>
      <c r="BX435" s="89"/>
      <c r="BY435" s="89"/>
      <c r="BZ435" s="89"/>
      <c r="CA435" s="89"/>
      <c r="CB435" s="89"/>
      <c r="CC435" s="89"/>
      <c r="CD435" s="89"/>
      <c r="CE435" s="89"/>
      <c r="CF435" s="89"/>
      <c r="CG435" s="89"/>
      <c r="CH435" s="89"/>
      <c r="CI435" s="89"/>
      <c r="CJ435" s="89"/>
      <c r="CK435" s="89"/>
      <c r="CL435" s="89"/>
      <c r="CM435" s="89"/>
      <c r="CN435" s="89"/>
      <c r="CO435" s="89"/>
      <c r="CP435" s="89"/>
      <c r="CQ435" s="89"/>
      <c r="CR435" s="89"/>
      <c r="CS435" s="89"/>
      <c r="CT435" s="89"/>
      <c r="CU435" s="89"/>
      <c r="CV435" s="89"/>
      <c r="CW435" s="89"/>
      <c r="CX435" s="89"/>
      <c r="CY435" s="268"/>
      <c r="CZ435" s="268"/>
      <c r="DA435" s="268"/>
      <c r="DB435" s="268"/>
      <c r="DC435" s="268"/>
      <c r="DD435" s="268"/>
      <c r="DE435" s="268"/>
      <c r="DF435" s="268"/>
      <c r="DG435" s="268"/>
      <c r="DH435" s="268"/>
      <c r="DI435" s="268"/>
      <c r="DJ435" s="268"/>
      <c r="DK435" s="268"/>
      <c r="DL435" s="268"/>
      <c r="DM435" s="268"/>
      <c r="DN435" s="268"/>
      <c r="DO435" s="268"/>
      <c r="DP435" s="268"/>
      <c r="DQ435" s="268"/>
      <c r="DR435" s="268"/>
      <c r="DS435" s="268"/>
      <c r="DT435" s="268"/>
      <c r="DU435" s="268"/>
      <c r="DV435" s="268"/>
      <c r="DW435" s="268"/>
      <c r="DX435" s="268"/>
      <c r="DY435" s="268"/>
      <c r="DZ435" s="268"/>
      <c r="EA435" s="268"/>
      <c r="EB435" s="268"/>
      <c r="EC435" s="89"/>
      <c r="ED435" s="89"/>
      <c r="EE435" s="89"/>
      <c r="EF435" s="89"/>
      <c r="EG435" s="89"/>
      <c r="EH435" s="89"/>
      <c r="EI435" s="89"/>
      <c r="EJ435" s="89"/>
      <c r="EK435" s="89"/>
      <c r="EL435" s="89"/>
      <c r="EM435" s="89"/>
      <c r="EN435" s="89"/>
      <c r="EO435" s="89"/>
      <c r="EP435" s="89"/>
      <c r="EQ435" s="89"/>
      <c r="ER435" s="89"/>
      <c r="ES435" s="89"/>
      <c r="ET435" s="89"/>
      <c r="EU435" s="89"/>
      <c r="EV435" s="89"/>
      <c r="EW435" s="89"/>
      <c r="EX435" s="89"/>
      <c r="EY435" s="89"/>
      <c r="EZ435" s="89"/>
      <c r="FA435" s="89"/>
      <c r="FB435" s="89"/>
      <c r="FC435" s="89"/>
      <c r="FD435" s="89"/>
      <c r="FE435" s="89"/>
      <c r="FF435" s="107"/>
      <c r="FG435" s="107"/>
      <c r="FH435" s="107"/>
      <c r="FI435" s="107"/>
      <c r="FJ435" s="107"/>
      <c r="FK435" s="107"/>
      <c r="FL435" s="107"/>
      <c r="FM435" s="300"/>
      <c r="FN435" s="300"/>
      <c r="FO435" s="108"/>
      <c r="FP435" s="108"/>
      <c r="FQ435" s="108"/>
      <c r="FR435" s="108"/>
      <c r="FS435" s="108"/>
      <c r="FT435" s="108"/>
      <c r="FU435" s="108"/>
      <c r="FV435" s="108"/>
      <c r="FW435" s="108"/>
      <c r="FX435" s="108"/>
      <c r="FY435" s="32"/>
      <c r="FZ435" s="32"/>
      <c r="GA435" s="32"/>
      <c r="GB435" s="32"/>
      <c r="GC435" s="32"/>
      <c r="GD435" s="32"/>
      <c r="GE435" s="32"/>
      <c r="GF435" s="32"/>
      <c r="GG435" s="32"/>
      <c r="GH435" s="32"/>
      <c r="GI435" s="32"/>
      <c r="GJ435" s="32"/>
      <c r="GK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38"/>
      <c r="HO435" s="338"/>
      <c r="HP435" s="338"/>
      <c r="HQ435" s="13"/>
      <c r="HR435" s="13"/>
      <c r="HS435" s="13"/>
      <c r="HT435" s="13"/>
      <c r="HU435" s="13"/>
      <c r="HV435" s="13"/>
      <c r="HW435" s="13"/>
      <c r="HX435" s="13"/>
      <c r="HY435" s="13"/>
      <c r="HZ435" s="13"/>
      <c r="IA435" s="13"/>
    </row>
    <row r="436" spans="1:235" s="66" customFormat="1" ht="3.6" customHeight="1">
      <c r="A436" s="60"/>
      <c r="B436" s="69"/>
      <c r="C436" s="69"/>
      <c r="D436" s="409"/>
      <c r="E436" s="409"/>
      <c r="F436" s="409"/>
      <c r="G436" s="409"/>
      <c r="H436" s="409"/>
      <c r="I436" s="409"/>
      <c r="J436" s="409"/>
      <c r="K436" s="409"/>
      <c r="L436" s="409"/>
      <c r="M436" s="409"/>
      <c r="N436" s="409"/>
      <c r="O436" s="409"/>
      <c r="P436" s="409"/>
      <c r="Q436" s="409"/>
      <c r="R436" s="409"/>
      <c r="S436" s="409"/>
      <c r="T436" s="409"/>
      <c r="U436" s="409"/>
      <c r="V436" s="409"/>
      <c r="W436" s="409"/>
      <c r="X436" s="410"/>
      <c r="Y436" s="410"/>
      <c r="Z436" s="410"/>
      <c r="AA436" s="410"/>
      <c r="AB436" s="410"/>
      <c r="AC436" s="410"/>
      <c r="AD436" s="410"/>
      <c r="AE436" s="410"/>
      <c r="AF436" s="89"/>
      <c r="AG436" s="89"/>
      <c r="AH436" s="409"/>
      <c r="AI436" s="410"/>
      <c r="BM436" s="268"/>
      <c r="BN436" s="89"/>
      <c r="BO436" s="89"/>
      <c r="BP436" s="553" t="str">
        <f ca="1">IF(FP430=0,"",".")</f>
        <v/>
      </c>
      <c r="BQ436" s="541" t="e">
        <f>IF(#REF!=0,"","+")</f>
        <v>#REF!</v>
      </c>
      <c r="BR436" s="541" t="e">
        <f>IF(#REF!=0,"","+")</f>
        <v>#REF!</v>
      </c>
      <c r="BS436" s="541" t="e">
        <f>IF(#REF!=0,"","+")</f>
        <v>#REF!</v>
      </c>
      <c r="BT436" s="541" t="e">
        <f>IF(#REF!=0,"","+")</f>
        <v>#REF!</v>
      </c>
      <c r="BU436" s="541"/>
      <c r="BV436" s="541"/>
      <c r="BW436" s="541"/>
      <c r="BX436" s="541" t="e">
        <f>IF(#REF!=0,"","+")</f>
        <v>#REF!</v>
      </c>
      <c r="BY436" s="541" t="e">
        <f>IF(#REF!=0,"","+")</f>
        <v>#REF!</v>
      </c>
      <c r="BZ436" s="541" t="e">
        <f>IF(#REF!=0,"","+")</f>
        <v>#REF!</v>
      </c>
      <c r="CA436" s="541" t="e">
        <f>IF(#REF!=0,"","+")</f>
        <v>#REF!</v>
      </c>
      <c r="CB436" s="541" t="e">
        <f>IF(#REF!=0,"","+")</f>
        <v>#REF!</v>
      </c>
      <c r="CC436" s="541" t="e">
        <f>IF(#REF!=0,"","+")</f>
        <v>#REF!</v>
      </c>
      <c r="CD436" s="541"/>
      <c r="CE436" s="541"/>
      <c r="CF436" s="541"/>
      <c r="CG436" s="541"/>
      <c r="CH436" s="541"/>
      <c r="CI436" s="541"/>
      <c r="CJ436" s="541" t="e">
        <f>IF(#REF!=0,"","+")</f>
        <v>#REF!</v>
      </c>
      <c r="CK436" s="541" t="e">
        <f>IF(#REF!=0,"","+")</f>
        <v>#REF!</v>
      </c>
      <c r="CL436" s="541" t="e">
        <f>IF(#REF!=0,"","+")</f>
        <v>#REF!</v>
      </c>
      <c r="CM436" s="541" t="e">
        <f>IF(#REF!=0,"","+")</f>
        <v>#REF!</v>
      </c>
      <c r="CN436" s="541" t="e">
        <f>IF(#REF!=0,"","+")</f>
        <v>#REF!</v>
      </c>
      <c r="CO436" s="89"/>
      <c r="CP436" s="89"/>
      <c r="CQ436" s="268"/>
      <c r="CR436" s="268"/>
      <c r="CS436" s="268"/>
      <c r="CX436" s="268"/>
      <c r="CY436" s="268"/>
      <c r="CZ436" s="268"/>
      <c r="DA436" s="268"/>
      <c r="DB436" s="268"/>
      <c r="DC436" s="268"/>
      <c r="DD436" s="268"/>
      <c r="DE436" s="268"/>
      <c r="DL436" s="268"/>
      <c r="DM436" s="268"/>
      <c r="DN436" s="268"/>
      <c r="DO436" s="268"/>
      <c r="DP436" s="268"/>
      <c r="EC436" s="268"/>
      <c r="ED436" s="268"/>
      <c r="EE436" s="268"/>
      <c r="EF436" s="268"/>
      <c r="EG436" s="268"/>
      <c r="FF436" s="107"/>
      <c r="FG436" s="107"/>
      <c r="FH436" s="107"/>
      <c r="FI436" s="107"/>
      <c r="FJ436" s="107"/>
      <c r="FK436" s="107"/>
      <c r="FL436" s="107"/>
      <c r="FM436" s="300"/>
      <c r="FN436" s="300"/>
      <c r="FO436" s="108"/>
      <c r="FP436" s="108"/>
      <c r="FQ436" s="108"/>
      <c r="FR436" s="108"/>
      <c r="FS436" s="108"/>
      <c r="FT436" s="108"/>
      <c r="FU436" s="108"/>
      <c r="FV436" s="108"/>
      <c r="FW436" s="108"/>
      <c r="FX436" s="108"/>
      <c r="FY436" s="32"/>
      <c r="FZ436" s="32"/>
      <c r="GA436" s="32"/>
      <c r="GB436" s="32"/>
      <c r="GC436" s="32"/>
      <c r="GD436" s="32"/>
      <c r="GE436" s="32"/>
      <c r="GF436" s="32"/>
      <c r="GG436" s="32"/>
      <c r="GH436" s="32"/>
      <c r="GI436" s="32"/>
      <c r="GJ436" s="32"/>
      <c r="GK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38"/>
      <c r="HO436" s="338"/>
      <c r="HP436" s="338"/>
      <c r="HQ436" s="13"/>
      <c r="HR436" s="13"/>
      <c r="HS436" s="13"/>
      <c r="HT436" s="13"/>
      <c r="HU436" s="13"/>
      <c r="HV436" s="13"/>
      <c r="HW436" s="13"/>
      <c r="HX436" s="13"/>
      <c r="HY436" s="13"/>
      <c r="HZ436" s="13"/>
      <c r="IA436" s="13"/>
    </row>
    <row r="437" spans="1:235" s="66" customFormat="1" ht="16.5" customHeight="1">
      <c r="A437" s="60"/>
      <c r="B437" s="476"/>
      <c r="C437" s="69"/>
      <c r="D437" s="268"/>
      <c r="E437" s="268"/>
      <c r="F437" s="268"/>
      <c r="G437" s="268"/>
      <c r="H437" s="268"/>
      <c r="I437" s="268"/>
      <c r="J437" s="268"/>
      <c r="K437" s="268"/>
      <c r="L437" s="268"/>
      <c r="M437" s="268"/>
      <c r="N437" s="268"/>
      <c r="O437" s="268"/>
      <c r="P437" s="268"/>
      <c r="Q437" s="268"/>
      <c r="R437" s="410"/>
      <c r="S437" s="410"/>
      <c r="T437" s="410"/>
      <c r="U437" s="410"/>
      <c r="V437" s="410"/>
      <c r="W437" s="410"/>
      <c r="X437" s="410"/>
      <c r="Y437" s="410"/>
      <c r="Z437" s="410"/>
      <c r="AA437" s="410"/>
      <c r="AB437" s="410"/>
      <c r="AC437" s="410"/>
      <c r="AD437" s="410"/>
      <c r="AE437" s="410"/>
      <c r="AF437" s="302"/>
      <c r="AG437" s="89"/>
      <c r="AH437" s="409"/>
      <c r="AI437" s="325"/>
      <c r="BM437" s="268"/>
      <c r="BN437" s="302" t="str">
        <f ca="1">IF(FP430=0,"","het aantal dat hij aan de rest verkoopt is:")</f>
        <v/>
      </c>
      <c r="BO437" s="89"/>
      <c r="BP437" s="472" t="str">
        <f ca="1">IF(FP430=0,"",".")</f>
        <v/>
      </c>
      <c r="BQ437" s="559"/>
      <c r="BR437" s="560"/>
      <c r="BS437" s="560"/>
      <c r="BT437" s="560"/>
      <c r="BU437" s="560"/>
      <c r="BV437" s="560"/>
      <c r="BW437" s="560"/>
      <c r="BX437" s="560"/>
      <c r="BY437" s="560"/>
      <c r="BZ437" s="560"/>
      <c r="CA437" s="560"/>
      <c r="CB437" s="560"/>
      <c r="CC437" s="560"/>
      <c r="CD437" s="560"/>
      <c r="CE437" s="560"/>
      <c r="CF437" s="560"/>
      <c r="CG437" s="560"/>
      <c r="CH437" s="560"/>
      <c r="CI437" s="560"/>
      <c r="CJ437" s="560"/>
      <c r="CK437" s="560"/>
      <c r="CL437" s="560"/>
      <c r="CM437" s="560"/>
      <c r="CN437" s="472" t="str">
        <f ca="1">IF(FP430=0,"",".")</f>
        <v/>
      </c>
      <c r="CO437" s="384" t="s">
        <v>131</v>
      </c>
      <c r="CP437" s="719" t="str">
        <f ca="1">IF(FP430=0,"",IF(BQ437="","",IF(AND(programma!$A$301="uitwerking",$B437="X"),FM437,IF(FP437=1,"Goed!",IF(AND(BQ437&gt;FS437-1,BQ437&lt;FS437+1),"Je hebt verkeerd afgerond.",IF(AND(BQ437&gt;FR437-0.01,BQ437&lt;FR437+0.01),"Fout! Je moet nog de kopers uit de eerst groep ervan aftrekken.","Fout! Heb je GO wel op "&amp;FR420&amp;" gesteld "))))))</f>
        <v/>
      </c>
      <c r="CQ437" s="669"/>
      <c r="CR437" s="669"/>
      <c r="CS437" s="669"/>
      <c r="CT437" s="669"/>
      <c r="CU437" s="669"/>
      <c r="CV437" s="669"/>
      <c r="CW437" s="669"/>
      <c r="CX437" s="669"/>
      <c r="CY437" s="669"/>
      <c r="CZ437" s="669"/>
      <c r="DA437" s="669"/>
      <c r="DB437" s="669"/>
      <c r="DC437" s="669"/>
      <c r="DD437" s="669"/>
      <c r="DE437" s="669"/>
      <c r="DF437" s="669"/>
      <c r="DG437" s="669"/>
      <c r="DH437" s="669"/>
      <c r="DI437" s="669"/>
      <c r="DJ437" s="669"/>
      <c r="DK437" s="669"/>
      <c r="DL437" s="669"/>
      <c r="DM437" s="669"/>
      <c r="DN437" s="669"/>
      <c r="DO437" s="669"/>
      <c r="DP437" s="669"/>
      <c r="DQ437" s="669"/>
      <c r="DR437" s="669"/>
      <c r="DS437" s="669"/>
      <c r="DT437" s="669"/>
      <c r="DU437" s="669"/>
      <c r="DV437" s="669"/>
      <c r="DW437" s="669"/>
      <c r="DX437" s="669"/>
      <c r="DY437" s="669"/>
      <c r="DZ437" s="669"/>
      <c r="EA437" s="669"/>
      <c r="EB437" s="669"/>
      <c r="EC437" s="669"/>
      <c r="ED437" s="669"/>
      <c r="EE437" s="669"/>
      <c r="EF437" s="669"/>
      <c r="EG437" s="669"/>
      <c r="EH437" s="669"/>
      <c r="EI437" s="669"/>
      <c r="EJ437" s="669"/>
      <c r="EK437" s="669"/>
      <c r="EL437" s="669"/>
      <c r="EM437" s="669"/>
      <c r="EN437" s="669"/>
      <c r="EO437" s="669"/>
      <c r="EP437" s="669"/>
      <c r="EQ437" s="669"/>
      <c r="ER437" s="669"/>
      <c r="ES437" s="669"/>
      <c r="ET437" s="669"/>
      <c r="EU437" s="669"/>
      <c r="EV437" s="669"/>
      <c r="EW437" s="669"/>
      <c r="EX437" s="669"/>
      <c r="EY437" s="669"/>
      <c r="EZ437" s="669"/>
      <c r="FA437" s="669"/>
      <c r="FB437" s="669"/>
      <c r="FC437" s="669"/>
      <c r="FD437" s="669"/>
      <c r="FE437" s="669"/>
      <c r="FF437" s="669"/>
      <c r="FG437" s="669"/>
      <c r="FH437" s="669"/>
      <c r="FI437" s="669"/>
      <c r="FJ437" s="669"/>
      <c r="FK437" s="669"/>
      <c r="FL437" s="669"/>
      <c r="FM437" s="300" t="str">
        <f ca="1">""&amp;FR420&amp;" = "&amp;FU398/2&amp;"q + "&amp;FZ398&amp;" en ("&amp;FZ398&amp;" - "&amp;FR420&amp;") / "&amp;-FU398/2&amp;" wordt "&amp;FR437&amp;" minus "&amp;FQ430&amp;" = "&amp;FQ437</f>
        <v>1300 = -3,3q + 3301 en (3301 - 1300) / 3,3 wordt 606 minus 303 = 303</v>
      </c>
      <c r="FN437" s="300"/>
      <c r="FO437" s="300"/>
      <c r="FP437" s="300">
        <f ca="1">IF(programma!B1="X",1,IF(FP430=0,0,IF(AND(BQ437&gt;FQ437-0.01,BQ437&lt;FQ437+0.01),1,0)))</f>
        <v>0</v>
      </c>
      <c r="FQ437" s="339">
        <f ca="1">IF(FO1=0,"",FR437-FQ430)</f>
        <v>303</v>
      </c>
      <c r="FR437" s="300">
        <f ca="1">FLOOR((FZ398-FR420)/(-FU398/2),1)</f>
        <v>606</v>
      </c>
      <c r="FS437" s="300">
        <f ca="1">CEILING((FZ398-FR420)/(-FU398/2),1)-FQ430</f>
        <v>304</v>
      </c>
      <c r="FT437" s="108"/>
      <c r="FU437" s="108"/>
      <c r="FV437" s="108"/>
      <c r="FW437" s="108"/>
      <c r="FX437" s="108"/>
      <c r="FY437" s="32"/>
      <c r="FZ437" s="32"/>
      <c r="GA437" s="32"/>
      <c r="GB437" s="32"/>
      <c r="GC437" s="32"/>
      <c r="GD437" s="32"/>
      <c r="GE437" s="32"/>
      <c r="GF437" s="32"/>
      <c r="GG437" s="32"/>
      <c r="GH437" s="32"/>
      <c r="GI437" s="32"/>
      <c r="GJ437" s="32"/>
      <c r="GK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38"/>
      <c r="HO437" s="338"/>
      <c r="HP437" s="338"/>
      <c r="HQ437" s="13"/>
      <c r="HR437" s="13"/>
      <c r="HS437" s="13"/>
      <c r="HT437" s="13"/>
      <c r="HU437" s="13"/>
      <c r="HV437" s="13"/>
      <c r="HW437" s="13"/>
      <c r="HX437" s="13"/>
      <c r="HY437" s="13"/>
      <c r="HZ437" s="13"/>
      <c r="IA437" s="13"/>
    </row>
    <row r="438" spans="1:235" s="66" customFormat="1" ht="3.6" customHeight="1">
      <c r="A438" s="60"/>
      <c r="B438" s="69"/>
      <c r="C438" s="69"/>
      <c r="D438" s="409"/>
      <c r="E438" s="409"/>
      <c r="F438" s="409"/>
      <c r="G438" s="409"/>
      <c r="H438" s="409"/>
      <c r="I438" s="409"/>
      <c r="J438" s="409"/>
      <c r="K438" s="409"/>
      <c r="L438" s="409"/>
      <c r="M438" s="409"/>
      <c r="N438" s="409"/>
      <c r="O438" s="409"/>
      <c r="P438" s="409"/>
      <c r="Q438" s="409"/>
      <c r="R438" s="409"/>
      <c r="S438" s="409"/>
      <c r="T438" s="409"/>
      <c r="U438" s="409"/>
      <c r="V438" s="409"/>
      <c r="W438" s="409"/>
      <c r="X438" s="410"/>
      <c r="Y438" s="410"/>
      <c r="Z438" s="410"/>
      <c r="AA438" s="410"/>
      <c r="AB438" s="410"/>
      <c r="AC438" s="410"/>
      <c r="AD438" s="410"/>
      <c r="AE438" s="410"/>
      <c r="AF438" s="89"/>
      <c r="AG438" s="89"/>
      <c r="AH438" s="409"/>
      <c r="AI438" s="410"/>
      <c r="BM438" s="268"/>
      <c r="BN438" s="89"/>
      <c r="BO438" s="89"/>
      <c r="BP438" s="553" t="str">
        <f ca="1">IF(FP430=0,"",".")</f>
        <v/>
      </c>
      <c r="BQ438" s="541" t="e">
        <f>IF(#REF!=0,"","+")</f>
        <v>#REF!</v>
      </c>
      <c r="BR438" s="541" t="e">
        <f>IF(#REF!=0,"","+")</f>
        <v>#REF!</v>
      </c>
      <c r="BS438" s="541" t="e">
        <f>IF(#REF!=0,"","+")</f>
        <v>#REF!</v>
      </c>
      <c r="BT438" s="541" t="e">
        <f>IF(#REF!=0,"","+")</f>
        <v>#REF!</v>
      </c>
      <c r="BU438" s="541"/>
      <c r="BV438" s="541"/>
      <c r="BW438" s="541"/>
      <c r="BX438" s="541" t="e">
        <f>IF(#REF!=0,"","+")</f>
        <v>#REF!</v>
      </c>
      <c r="BY438" s="541" t="e">
        <f>IF(#REF!=0,"","+")</f>
        <v>#REF!</v>
      </c>
      <c r="BZ438" s="541" t="e">
        <f>IF(#REF!=0,"","+")</f>
        <v>#REF!</v>
      </c>
      <c r="CA438" s="541" t="e">
        <f>IF(#REF!=0,"","+")</f>
        <v>#REF!</v>
      </c>
      <c r="CB438" s="541" t="e">
        <f>IF(#REF!=0,"","+")</f>
        <v>#REF!</v>
      </c>
      <c r="CC438" s="541" t="e">
        <f>IF(#REF!=0,"","+")</f>
        <v>#REF!</v>
      </c>
      <c r="CD438" s="541"/>
      <c r="CE438" s="541"/>
      <c r="CF438" s="541"/>
      <c r="CG438" s="541"/>
      <c r="CH438" s="541"/>
      <c r="CI438" s="541"/>
      <c r="CJ438" s="541" t="e">
        <f>IF(#REF!=0,"","+")</f>
        <v>#REF!</v>
      </c>
      <c r="CK438" s="541" t="e">
        <f>IF(#REF!=0,"","+")</f>
        <v>#REF!</v>
      </c>
      <c r="CL438" s="541" t="e">
        <f>IF(#REF!=0,"","+")</f>
        <v>#REF!</v>
      </c>
      <c r="CM438" s="541" t="e">
        <f>IF(#REF!=0,"","+")</f>
        <v>#REF!</v>
      </c>
      <c r="CN438" s="541" t="e">
        <f>IF(#REF!=0,"","+")</f>
        <v>#REF!</v>
      </c>
      <c r="CO438" s="89"/>
      <c r="CP438" s="89"/>
      <c r="CQ438" s="268"/>
      <c r="CR438" s="268"/>
      <c r="CS438" s="268"/>
      <c r="CX438" s="268"/>
      <c r="CY438" s="268"/>
      <c r="CZ438" s="268"/>
      <c r="DA438" s="268"/>
      <c r="DB438" s="268"/>
      <c r="DC438" s="268"/>
      <c r="DD438" s="268"/>
      <c r="DE438" s="268"/>
      <c r="DL438" s="268"/>
      <c r="DM438" s="268"/>
      <c r="DN438" s="268"/>
      <c r="DO438" s="268"/>
      <c r="DP438" s="268"/>
      <c r="EC438" s="268"/>
      <c r="ED438" s="268"/>
      <c r="EE438" s="268"/>
      <c r="EF438" s="268"/>
      <c r="EG438" s="268"/>
      <c r="FF438" s="107"/>
      <c r="FG438" s="107"/>
      <c r="FH438" s="107"/>
      <c r="FI438" s="107"/>
      <c r="FJ438" s="107"/>
      <c r="FK438" s="107"/>
      <c r="FL438" s="107"/>
      <c r="FM438" s="300"/>
      <c r="FN438" s="300"/>
      <c r="FO438" s="300"/>
      <c r="FP438" s="300"/>
      <c r="FQ438" s="300"/>
      <c r="FR438" s="108"/>
      <c r="FS438" s="108"/>
      <c r="FT438" s="108"/>
      <c r="FU438" s="108"/>
      <c r="FV438" s="108"/>
      <c r="FW438" s="108"/>
      <c r="FX438" s="108"/>
      <c r="FY438" s="32"/>
      <c r="FZ438" s="32"/>
      <c r="GA438" s="32"/>
      <c r="GB438" s="32"/>
      <c r="GC438" s="32"/>
      <c r="GD438" s="32"/>
      <c r="GE438" s="32"/>
      <c r="GF438" s="32"/>
      <c r="GG438" s="32"/>
      <c r="GH438" s="32"/>
      <c r="GI438" s="32"/>
      <c r="GJ438" s="32"/>
      <c r="GK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38"/>
      <c r="HO438" s="338"/>
      <c r="HP438" s="338"/>
      <c r="HQ438" s="13"/>
      <c r="HR438" s="13"/>
      <c r="HS438" s="13"/>
      <c r="HT438" s="13"/>
      <c r="HU438" s="13"/>
      <c r="HV438" s="13"/>
      <c r="HW438" s="13"/>
      <c r="HX438" s="13"/>
      <c r="HY438" s="13"/>
      <c r="HZ438" s="13"/>
      <c r="IA438" s="13"/>
    </row>
    <row r="439" spans="1:235" ht="16.95" customHeight="1">
      <c r="A439" s="1"/>
      <c r="B439" s="3"/>
      <c r="C439" s="3"/>
      <c r="D439" s="409"/>
      <c r="E439" s="414"/>
      <c r="F439" s="414"/>
      <c r="G439" s="414"/>
      <c r="H439" s="414"/>
      <c r="I439" s="414"/>
      <c r="J439" s="376"/>
      <c r="K439" s="376"/>
      <c r="L439" s="376"/>
      <c r="M439" s="376"/>
      <c r="N439" s="376"/>
      <c r="O439" s="376"/>
      <c r="P439" s="376"/>
      <c r="Q439" s="376"/>
      <c r="R439" s="376"/>
      <c r="S439" s="376"/>
      <c r="T439" s="376"/>
      <c r="U439" s="376"/>
      <c r="V439" s="43"/>
      <c r="W439" s="43"/>
      <c r="X439" s="43"/>
      <c r="Y439" s="43"/>
      <c r="Z439" s="43"/>
      <c r="AA439" s="43"/>
      <c r="AB439" s="43"/>
      <c r="AC439" s="43"/>
      <c r="AD439" s="43"/>
      <c r="AE439" s="43"/>
      <c r="AF439" s="43"/>
      <c r="AG439" s="43"/>
      <c r="AH439" s="43"/>
      <c r="AI439" s="43"/>
      <c r="AJ439" s="43"/>
      <c r="AK439" s="43"/>
      <c r="AL439" s="43"/>
      <c r="AM439" s="43"/>
      <c r="AN439" s="43"/>
      <c r="BN439" s="351"/>
      <c r="BO439" s="351"/>
      <c r="BP439" s="351"/>
      <c r="BQ439" s="351"/>
      <c r="BR439" s="351"/>
      <c r="BS439" s="351"/>
      <c r="BT439" s="351"/>
      <c r="BU439" s="351"/>
      <c r="BV439" s="351"/>
      <c r="BW439" s="351"/>
      <c r="BX439" s="351"/>
      <c r="BY439" s="351"/>
      <c r="BZ439" s="351"/>
      <c r="CA439" s="351"/>
      <c r="CB439" s="351"/>
      <c r="CC439" s="351"/>
      <c r="CD439" s="351"/>
      <c r="CE439" s="351"/>
      <c r="CF439" s="351"/>
      <c r="CG439" s="351"/>
      <c r="CH439" s="351"/>
      <c r="CI439" s="351"/>
      <c r="CJ439" s="351"/>
      <c r="CK439" s="351"/>
      <c r="CL439" s="351"/>
      <c r="CM439" s="351"/>
      <c r="CN439" s="351"/>
      <c r="CO439" s="351"/>
      <c r="CP439" s="351"/>
      <c r="CQ439" s="351"/>
      <c r="CR439" s="351"/>
      <c r="CS439" s="351"/>
      <c r="CU439" s="376"/>
      <c r="CV439" s="376"/>
      <c r="CW439" s="376"/>
      <c r="CX439" s="376"/>
      <c r="CY439" s="376"/>
      <c r="CZ439" s="172"/>
      <c r="DA439" s="172"/>
      <c r="DB439" s="172"/>
      <c r="DC439" s="172"/>
      <c r="DD439" s="172"/>
      <c r="DE439" s="413"/>
      <c r="DF439" s="413"/>
      <c r="DG439" s="413"/>
      <c r="DH439" s="413"/>
      <c r="DI439" s="413"/>
      <c r="DJ439" s="413"/>
      <c r="DK439" s="413"/>
      <c r="DL439" s="413"/>
      <c r="DM439" s="413"/>
      <c r="DN439" s="413"/>
      <c r="DO439" s="413"/>
      <c r="DP439" s="413"/>
      <c r="DQ439" s="413"/>
      <c r="DR439" s="413"/>
      <c r="DS439" s="413"/>
      <c r="DT439" s="413"/>
      <c r="DU439" s="413"/>
      <c r="DV439" s="413"/>
      <c r="DW439" s="413"/>
      <c r="DX439" s="413"/>
      <c r="DY439" s="413"/>
      <c r="DZ439" s="413"/>
      <c r="EA439" s="413"/>
      <c r="EB439" s="413"/>
      <c r="EC439" s="413"/>
      <c r="ED439" s="413"/>
      <c r="EE439" s="413"/>
      <c r="EF439" s="413"/>
      <c r="EG439" s="413"/>
      <c r="EH439" s="413"/>
      <c r="EI439" s="413"/>
      <c r="EJ439" s="413"/>
      <c r="EK439" s="413"/>
      <c r="EL439" s="413"/>
      <c r="EM439" s="413"/>
      <c r="EN439" s="413"/>
      <c r="EO439" s="413"/>
      <c r="EP439" s="413"/>
      <c r="EQ439" s="413"/>
      <c r="ER439" s="413"/>
      <c r="ES439" s="413"/>
      <c r="ET439" s="413"/>
      <c r="EU439" s="413"/>
      <c r="EV439" s="413"/>
      <c r="EW439" s="413"/>
      <c r="EX439" s="413"/>
      <c r="EY439" s="413"/>
      <c r="EZ439" s="413"/>
      <c r="FA439" s="413"/>
      <c r="FB439" s="413"/>
      <c r="FC439" s="413"/>
      <c r="FD439" s="413"/>
      <c r="FE439" s="413"/>
      <c r="FF439" s="107"/>
      <c r="FG439" s="107"/>
      <c r="FH439" s="107"/>
      <c r="FI439" s="107"/>
      <c r="FJ439" s="107"/>
      <c r="FK439" s="107"/>
      <c r="FL439" s="107"/>
      <c r="FM439" s="338"/>
      <c r="FN439" s="338"/>
      <c r="FO439" s="338"/>
      <c r="FP439" s="48"/>
      <c r="FQ439" s="94"/>
      <c r="FR439" s="48"/>
      <c r="FS439" s="47"/>
      <c r="FT439" s="47"/>
      <c r="FU439" s="338"/>
      <c r="FV439" s="338"/>
      <c r="FW439" s="338"/>
      <c r="FX439" s="338"/>
      <c r="FY439" s="32"/>
      <c r="FZ439" s="32"/>
      <c r="GA439" s="32"/>
      <c r="GB439" s="32"/>
      <c r="GC439" s="32"/>
      <c r="GD439" s="32"/>
      <c r="GE439" s="32"/>
      <c r="GF439" s="32"/>
      <c r="GG439" s="32"/>
      <c r="GH439" s="32"/>
      <c r="GI439" s="32"/>
      <c r="GJ439" s="32"/>
      <c r="GK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38"/>
      <c r="HO439" s="338"/>
      <c r="HP439" s="338"/>
      <c r="HQ439" s="13"/>
      <c r="HR439" s="13"/>
      <c r="HS439" s="13"/>
      <c r="HT439" s="13"/>
      <c r="HU439" s="13"/>
      <c r="HV439" s="13"/>
      <c r="HW439" s="13"/>
      <c r="HX439" s="13"/>
      <c r="HY439" s="13"/>
      <c r="HZ439" s="13"/>
      <c r="IA439" s="13"/>
    </row>
    <row r="440" spans="1:235" s="66" customFormat="1" ht="16.95" customHeight="1">
      <c r="A440" s="60"/>
      <c r="B440" s="3"/>
      <c r="C440" s="69"/>
      <c r="D440" s="409" t="str">
        <f ca="1">IF(FP437=0,"","Hoeveelheid bedraagt dan zijn totale omzet? Rond af op hele eurocenten.")</f>
        <v/>
      </c>
      <c r="E440" s="409"/>
      <c r="F440" s="89"/>
      <c r="G440" s="89"/>
      <c r="H440" s="89"/>
      <c r="I440" s="89"/>
      <c r="J440" s="89"/>
      <c r="K440" s="89"/>
      <c r="L440" s="89"/>
      <c r="M440" s="89"/>
      <c r="N440" s="89"/>
      <c r="O440" s="89"/>
      <c r="P440" s="89"/>
      <c r="Q440" s="89"/>
      <c r="R440" s="89"/>
      <c r="S440" s="89"/>
      <c r="T440" s="89"/>
      <c r="U440" s="89"/>
      <c r="V440" s="89"/>
      <c r="W440" s="89"/>
      <c r="X440" s="89"/>
      <c r="Y440" s="141"/>
      <c r="Z440" s="141"/>
      <c r="AA440" s="141"/>
      <c r="AB440" s="141"/>
      <c r="AC440" s="141"/>
      <c r="AD440" s="141"/>
      <c r="AE440" s="141"/>
      <c r="AF440" s="141"/>
      <c r="AG440" s="141"/>
      <c r="AH440" s="141"/>
      <c r="AI440" s="141"/>
      <c r="CU440" s="89"/>
      <c r="CV440" s="89"/>
      <c r="CW440" s="89"/>
      <c r="CX440" s="89"/>
      <c r="CY440" s="89"/>
      <c r="CZ440" s="89"/>
      <c r="DA440" s="89"/>
      <c r="DB440" s="89"/>
      <c r="DC440" s="89"/>
      <c r="DD440" s="89"/>
      <c r="DE440" s="89"/>
      <c r="DF440" s="89"/>
      <c r="DG440" s="89"/>
      <c r="DH440" s="89"/>
      <c r="DI440" s="89"/>
      <c r="DJ440" s="89"/>
      <c r="DK440" s="89"/>
      <c r="DL440" s="89"/>
      <c r="DM440" s="89"/>
      <c r="DN440" s="89"/>
      <c r="DO440" s="89"/>
      <c r="DP440" s="89"/>
      <c r="DQ440" s="89"/>
      <c r="DR440" s="89"/>
      <c r="DS440" s="89"/>
      <c r="DT440" s="89"/>
      <c r="DU440" s="89"/>
      <c r="DV440" s="89"/>
      <c r="DW440" s="89"/>
      <c r="DX440" s="89"/>
      <c r="DY440" s="268"/>
      <c r="DZ440" s="268"/>
      <c r="EA440" s="268"/>
      <c r="EB440" s="268"/>
      <c r="EC440" s="268"/>
      <c r="ED440" s="268"/>
      <c r="EE440" s="268"/>
      <c r="EF440" s="268"/>
      <c r="EG440" s="268"/>
      <c r="EI440" s="89"/>
      <c r="EJ440" s="89"/>
      <c r="EK440" s="89"/>
      <c r="EL440" s="89"/>
      <c r="EM440" s="89"/>
      <c r="EN440" s="89"/>
      <c r="EO440" s="89"/>
      <c r="EP440" s="89"/>
      <c r="EQ440" s="89"/>
      <c r="ER440" s="89"/>
      <c r="ES440" s="89"/>
      <c r="ET440" s="89"/>
      <c r="EU440" s="89"/>
      <c r="EV440" s="89"/>
      <c r="EW440" s="268"/>
      <c r="EX440" s="268"/>
      <c r="EY440" s="268"/>
      <c r="EZ440" s="268"/>
      <c r="FA440" s="268"/>
      <c r="FB440" s="268"/>
      <c r="FC440" s="268"/>
      <c r="FD440" s="268"/>
      <c r="FE440" s="268"/>
      <c r="FF440" s="107"/>
      <c r="FG440" s="107"/>
      <c r="FH440" s="107"/>
      <c r="FI440" s="107"/>
      <c r="FJ440" s="107"/>
      <c r="FK440" s="107"/>
      <c r="FL440" s="107"/>
      <c r="FM440" s="377"/>
      <c r="FN440" s="377"/>
      <c r="FO440" s="377"/>
      <c r="FP440" s="377"/>
      <c r="FQ440" s="377"/>
      <c r="FR440" s="377"/>
      <c r="FS440" s="396"/>
      <c r="FT440" s="396"/>
      <c r="FU440" s="396"/>
      <c r="FV440" s="396"/>
      <c r="FW440" s="396"/>
      <c r="FX440" s="396"/>
      <c r="FY440" s="32"/>
      <c r="FZ440" s="32"/>
      <c r="GA440" s="32"/>
      <c r="GB440" s="32"/>
      <c r="GC440" s="32"/>
      <c r="GD440" s="32"/>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38"/>
      <c r="HO440" s="338"/>
      <c r="HP440" s="338"/>
      <c r="HQ440" s="13"/>
      <c r="HR440" s="13"/>
      <c r="HS440" s="13"/>
      <c r="HT440" s="13"/>
      <c r="HU440" s="13"/>
      <c r="HV440" s="13"/>
      <c r="HW440" s="13"/>
      <c r="HX440" s="13"/>
      <c r="HY440" s="13"/>
      <c r="HZ440" s="13"/>
      <c r="IA440" s="13"/>
    </row>
    <row r="441" spans="1:235" s="66" customFormat="1" ht="9" customHeight="1">
      <c r="A441" s="60"/>
      <c r="B441" s="69"/>
      <c r="C441" s="69"/>
      <c r="D441" s="409"/>
      <c r="E441" s="409"/>
      <c r="F441" s="409"/>
      <c r="G441" s="409"/>
      <c r="H441" s="409"/>
      <c r="I441" s="409"/>
      <c r="J441" s="409"/>
      <c r="K441" s="409"/>
      <c r="L441" s="409"/>
      <c r="M441" s="409"/>
      <c r="N441" s="409"/>
      <c r="O441" s="409"/>
      <c r="P441" s="409"/>
      <c r="Q441" s="409"/>
      <c r="R441" s="409"/>
      <c r="S441" s="409"/>
      <c r="T441" s="409"/>
      <c r="U441" s="409"/>
      <c r="V441" s="409"/>
      <c r="W441" s="409"/>
      <c r="X441" s="89"/>
      <c r="Y441" s="89"/>
      <c r="Z441" s="89"/>
      <c r="AA441" s="89"/>
      <c r="AB441" s="89"/>
      <c r="AC441" s="89"/>
      <c r="AD441" s="89"/>
      <c r="AE441" s="89"/>
      <c r="AF441" s="89"/>
      <c r="AG441" s="89"/>
      <c r="AH441" s="89"/>
      <c r="AI441" s="89"/>
      <c r="CU441" s="89"/>
      <c r="CV441" s="89"/>
      <c r="CW441" s="89"/>
      <c r="CX441" s="89"/>
      <c r="CY441" s="89"/>
      <c r="CZ441" s="89"/>
      <c r="DA441" s="89"/>
      <c r="DB441" s="89"/>
      <c r="DC441" s="89"/>
      <c r="DD441" s="89"/>
      <c r="DE441" s="89"/>
      <c r="DF441" s="89"/>
      <c r="DG441" s="89"/>
      <c r="DH441" s="89"/>
      <c r="DI441" s="89"/>
      <c r="DJ441" s="89"/>
      <c r="DK441" s="89"/>
      <c r="DL441" s="89"/>
      <c r="DM441" s="89"/>
      <c r="DN441" s="89"/>
      <c r="DO441" s="89"/>
      <c r="DP441" s="89"/>
      <c r="DQ441" s="89"/>
      <c r="DR441" s="89"/>
      <c r="DS441" s="89"/>
      <c r="DT441" s="89"/>
      <c r="DU441" s="288"/>
      <c r="DV441" s="288"/>
      <c r="DW441" s="288"/>
      <c r="DX441" s="288"/>
      <c r="DY441" s="268"/>
      <c r="DZ441" s="268"/>
      <c r="EA441" s="268"/>
      <c r="EB441" s="268"/>
      <c r="EC441" s="268"/>
      <c r="ED441" s="268"/>
      <c r="EE441" s="268"/>
      <c r="EF441" s="268"/>
      <c r="EG441" s="268"/>
      <c r="EI441" s="395"/>
      <c r="EJ441" s="395"/>
      <c r="EK441" s="395"/>
      <c r="EL441" s="395"/>
      <c r="EM441" s="395"/>
      <c r="EN441" s="395"/>
      <c r="EO441" s="395"/>
      <c r="EP441" s="395"/>
      <c r="EQ441" s="395"/>
      <c r="ER441" s="395"/>
      <c r="ES441" s="395"/>
      <c r="ET441" s="395"/>
      <c r="EU441" s="395"/>
      <c r="EV441" s="395"/>
      <c r="EW441" s="395"/>
      <c r="EX441" s="395"/>
      <c r="EY441" s="395"/>
      <c r="EZ441" s="395"/>
      <c r="FA441" s="395"/>
      <c r="FB441" s="395"/>
      <c r="FC441" s="395"/>
      <c r="FD441" s="395"/>
      <c r="FE441" s="395"/>
      <c r="FF441" s="107"/>
      <c r="FG441" s="107"/>
      <c r="FH441" s="107"/>
      <c r="FI441" s="107"/>
      <c r="FJ441" s="107"/>
      <c r="FK441" s="107"/>
      <c r="FL441" s="107"/>
      <c r="FM441" s="300"/>
      <c r="FN441" s="300"/>
      <c r="FO441" s="300"/>
      <c r="FP441" s="300"/>
      <c r="FQ441" s="300"/>
      <c r="FR441" s="108"/>
      <c r="FS441" s="108"/>
      <c r="FT441" s="108"/>
      <c r="FU441" s="108"/>
      <c r="FV441" s="108"/>
      <c r="FW441" s="108"/>
      <c r="FX441" s="108"/>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38"/>
      <c r="HO441" s="338"/>
      <c r="HP441" s="338"/>
      <c r="HQ441" s="13"/>
      <c r="HR441" s="13"/>
      <c r="HS441" s="13"/>
      <c r="HT441" s="13"/>
      <c r="HU441" s="13"/>
      <c r="HV441" s="13"/>
      <c r="HW441" s="13"/>
      <c r="HX441" s="13"/>
      <c r="HY441" s="13"/>
      <c r="HZ441" s="13"/>
      <c r="IA441" s="13"/>
    </row>
    <row r="442" spans="1:235" s="66" customFormat="1" ht="3.6" customHeight="1">
      <c r="A442" s="60"/>
      <c r="B442" s="69"/>
      <c r="C442" s="69"/>
      <c r="D442" s="409"/>
      <c r="E442" s="409"/>
      <c r="F442" s="409"/>
      <c r="G442" s="409"/>
      <c r="H442" s="409"/>
      <c r="I442" s="409"/>
      <c r="J442" s="409"/>
      <c r="K442" s="409"/>
      <c r="L442" s="409"/>
      <c r="M442" s="409"/>
      <c r="N442" s="409"/>
      <c r="O442" s="409"/>
      <c r="P442" s="409"/>
      <c r="Q442" s="409"/>
      <c r="R442" s="409"/>
      <c r="S442" s="409"/>
      <c r="T442" s="409"/>
      <c r="U442" s="409"/>
      <c r="V442" s="409"/>
      <c r="W442" s="409"/>
      <c r="X442" s="410"/>
      <c r="Y442" s="410"/>
      <c r="BT442" s="410"/>
      <c r="BU442" s="410"/>
      <c r="BV442" s="410"/>
      <c r="BW442" s="410"/>
      <c r="BX442" s="410"/>
      <c r="BY442" s="410"/>
      <c r="BZ442" s="410"/>
      <c r="CA442" s="410"/>
      <c r="CB442" s="268"/>
      <c r="CC442" s="268"/>
      <c r="CD442" s="141"/>
      <c r="CE442" s="141"/>
      <c r="CF442" s="141"/>
      <c r="CG442" s="89"/>
      <c r="CH442" s="89"/>
      <c r="CI442" s="553" t="str">
        <f ca="1">IF(FP437=0,"",".")</f>
        <v/>
      </c>
      <c r="CJ442" s="541" t="e">
        <f>IF(#REF!=0,"","+")</f>
        <v>#REF!</v>
      </c>
      <c r="CK442" s="541" t="e">
        <f>IF(#REF!=0,"","+")</f>
        <v>#REF!</v>
      </c>
      <c r="CL442" s="541" t="e">
        <f>IF(#REF!=0,"","+")</f>
        <v>#REF!</v>
      </c>
      <c r="CM442" s="541" t="e">
        <f>IF(#REF!=0,"","+")</f>
        <v>#REF!</v>
      </c>
      <c r="CN442" s="541"/>
      <c r="CO442" s="541"/>
      <c r="CP442" s="541"/>
      <c r="CQ442" s="541" t="e">
        <f>IF(#REF!=0,"","+")</f>
        <v>#REF!</v>
      </c>
      <c r="CR442" s="541" t="e">
        <f>IF(#REF!=0,"","+")</f>
        <v>#REF!</v>
      </c>
      <c r="CS442" s="541" t="e">
        <f>IF(#REF!=0,"","+")</f>
        <v>#REF!</v>
      </c>
      <c r="CT442" s="541" t="e">
        <f>IF(#REF!=0,"","+")</f>
        <v>#REF!</v>
      </c>
      <c r="CU442" s="541" t="e">
        <f>IF(#REF!=0,"","+")</f>
        <v>#REF!</v>
      </c>
      <c r="CV442" s="541" t="e">
        <f>IF(#REF!=0,"","+")</f>
        <v>#REF!</v>
      </c>
      <c r="CW442" s="541"/>
      <c r="CX442" s="541"/>
      <c r="CY442" s="541"/>
      <c r="CZ442" s="541"/>
      <c r="DA442" s="541"/>
      <c r="DB442" s="541"/>
      <c r="DC442" s="541" t="e">
        <f>IF(#REF!=0,"","+")</f>
        <v>#REF!</v>
      </c>
      <c r="DD442" s="541" t="e">
        <f>IF(#REF!=0,"","+")</f>
        <v>#REF!</v>
      </c>
      <c r="DE442" s="541" t="e">
        <f>IF(#REF!=0,"","+")</f>
        <v>#REF!</v>
      </c>
      <c r="DF442" s="541" t="e">
        <f>IF(#REF!=0,"","+")</f>
        <v>#REF!</v>
      </c>
      <c r="DG442" s="541" t="e">
        <f>IF(#REF!=0,"","+")</f>
        <v>#REF!</v>
      </c>
      <c r="DH442" s="89"/>
      <c r="DI442" s="89"/>
      <c r="DJ442" s="268"/>
      <c r="DK442" s="141"/>
      <c r="DL442" s="141"/>
      <c r="DM442" s="141"/>
      <c r="DN442" s="268"/>
      <c r="DO442" s="268"/>
      <c r="DP442" s="268"/>
      <c r="DQ442" s="268"/>
      <c r="DR442" s="268"/>
      <c r="DS442" s="268"/>
      <c r="EE442" s="268"/>
      <c r="EF442" s="268"/>
      <c r="EG442" s="268"/>
      <c r="EI442" s="141"/>
      <c r="EJ442" s="141"/>
      <c r="EK442" s="141"/>
      <c r="EL442" s="141"/>
      <c r="EM442" s="141"/>
      <c r="EN442" s="141"/>
      <c r="EO442" s="141"/>
      <c r="EP442" s="141"/>
      <c r="EQ442" s="141"/>
      <c r="ER442" s="141"/>
      <c r="ES442" s="141"/>
      <c r="ET442" s="141"/>
      <c r="EU442" s="141"/>
      <c r="EV442" s="141"/>
      <c r="EW442" s="141"/>
      <c r="EX442" s="141"/>
      <c r="EY442" s="141"/>
      <c r="EZ442" s="141"/>
      <c r="FA442" s="141"/>
      <c r="FB442" s="141"/>
      <c r="FC442" s="141"/>
      <c r="FD442" s="141"/>
      <c r="FE442" s="141"/>
      <c r="FF442" s="107"/>
      <c r="FG442" s="107"/>
      <c r="FH442" s="107"/>
      <c r="FI442" s="107"/>
      <c r="FJ442" s="107"/>
      <c r="FK442" s="107"/>
      <c r="FL442" s="107"/>
      <c r="FM442" s="300"/>
      <c r="FN442" s="300"/>
      <c r="FO442" s="300"/>
      <c r="FP442" s="300"/>
      <c r="FQ442" s="300"/>
      <c r="FR442" s="108"/>
      <c r="FS442" s="108"/>
      <c r="FT442" s="108"/>
      <c r="FU442" s="108"/>
      <c r="FV442" s="108"/>
      <c r="FW442" s="108"/>
      <c r="FX442" s="108"/>
      <c r="FY442" s="32"/>
      <c r="FZ442" s="32"/>
      <c r="GA442" s="32"/>
      <c r="GB442" s="32"/>
      <c r="GC442" s="32"/>
      <c r="GD442" s="32"/>
      <c r="GE442" s="32"/>
      <c r="GF442" s="32"/>
      <c r="GG442" s="32"/>
      <c r="GH442" s="32"/>
      <c r="GI442" s="32"/>
      <c r="GJ442" s="32"/>
      <c r="GK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38"/>
      <c r="HO442" s="338"/>
      <c r="HP442" s="338"/>
      <c r="HQ442" s="13"/>
      <c r="HR442" s="13"/>
      <c r="HS442" s="13"/>
      <c r="HT442" s="13"/>
      <c r="HU442" s="13"/>
      <c r="HV442" s="13"/>
      <c r="HW442" s="13"/>
      <c r="HX442" s="13"/>
      <c r="HY442" s="13"/>
      <c r="HZ442" s="13"/>
      <c r="IA442" s="13"/>
    </row>
    <row r="443" spans="1:235" s="66" customFormat="1" ht="16.5" customHeight="1">
      <c r="A443" s="60"/>
      <c r="B443" s="476"/>
      <c r="C443" s="69"/>
      <c r="D443" s="268"/>
      <c r="E443" s="268"/>
      <c r="F443" s="268"/>
      <c r="G443" s="268"/>
      <c r="H443" s="268"/>
      <c r="I443" s="268"/>
      <c r="J443" s="268"/>
      <c r="K443" s="268"/>
      <c r="L443" s="268"/>
      <c r="M443" s="268"/>
      <c r="N443" s="268"/>
      <c r="O443" s="268"/>
      <c r="P443" s="268"/>
      <c r="Q443" s="268"/>
      <c r="R443" s="410"/>
      <c r="S443" s="410"/>
      <c r="T443" s="410"/>
      <c r="U443" s="410"/>
      <c r="V443" s="410"/>
      <c r="W443" s="410"/>
      <c r="X443" s="410"/>
      <c r="Y443" s="410"/>
      <c r="BT443" s="410"/>
      <c r="BU443" s="410"/>
      <c r="BV443" s="410"/>
      <c r="BW443" s="410"/>
      <c r="BX443" s="410"/>
      <c r="BY443" s="410"/>
      <c r="BZ443" s="410"/>
      <c r="CA443" s="410"/>
      <c r="CB443" s="268"/>
      <c r="CC443" s="268"/>
      <c r="CD443" s="141"/>
      <c r="CE443" s="141"/>
      <c r="CF443" s="141"/>
      <c r="CG443" s="302" t="str">
        <f ca="1">IF(FP437=0,"","zijn totale omzet is:")</f>
        <v/>
      </c>
      <c r="CH443" s="89"/>
      <c r="CI443" s="409" t="str">
        <f ca="1">IF(FP437=0,"",".")</f>
        <v/>
      </c>
      <c r="CJ443" s="556"/>
      <c r="CK443" s="557"/>
      <c r="CL443" s="557"/>
      <c r="CM443" s="557"/>
      <c r="CN443" s="557"/>
      <c r="CO443" s="557"/>
      <c r="CP443" s="557"/>
      <c r="CQ443" s="557"/>
      <c r="CR443" s="557"/>
      <c r="CS443" s="557"/>
      <c r="CT443" s="557"/>
      <c r="CU443" s="557"/>
      <c r="CV443" s="557"/>
      <c r="CW443" s="557"/>
      <c r="CX443" s="557"/>
      <c r="CY443" s="557"/>
      <c r="CZ443" s="557"/>
      <c r="DA443" s="557"/>
      <c r="DB443" s="557"/>
      <c r="DC443" s="557"/>
      <c r="DD443" s="557"/>
      <c r="DE443" s="557"/>
      <c r="DF443" s="557"/>
      <c r="DG443" s="409" t="str">
        <f ca="1">IF(FP437=0,"",".")</f>
        <v/>
      </c>
      <c r="DH443" s="384" t="s">
        <v>131</v>
      </c>
      <c r="DI443" s="416" t="str">
        <f ca="1">IF(FP437=0,"",IF(CJ443="","",IF(AND(programma!$A$301="uitwerking",$B443="X"),FM443,IF(FP443=1,"Goed!","Fout! Omzet de p x q, maar nu voor twee groepen samen."))))</f>
        <v/>
      </c>
      <c r="DJ443" s="298"/>
      <c r="DK443" s="410"/>
      <c r="DL443" s="89"/>
      <c r="DM443" s="89"/>
      <c r="DN443" s="268"/>
      <c r="DO443" s="268"/>
      <c r="DP443" s="268"/>
      <c r="DQ443" s="268"/>
      <c r="DR443" s="268"/>
      <c r="DS443" s="268"/>
      <c r="EE443" s="268"/>
      <c r="EF443" s="268"/>
      <c r="EG443" s="268"/>
      <c r="EI443" s="89"/>
      <c r="EJ443" s="89"/>
      <c r="EK443" s="89"/>
      <c r="EL443" s="89"/>
      <c r="EM443" s="89"/>
      <c r="EN443" s="89"/>
      <c r="EO443" s="89"/>
      <c r="EP443" s="89"/>
      <c r="EQ443" s="89"/>
      <c r="ER443" s="89"/>
      <c r="ES443" s="89"/>
      <c r="ET443" s="89"/>
      <c r="EU443" s="89"/>
      <c r="EV443" s="89"/>
      <c r="EW443" s="89"/>
      <c r="EX443" s="89"/>
      <c r="EY443" s="89"/>
      <c r="EZ443" s="89"/>
      <c r="FA443" s="89"/>
      <c r="FB443" s="89"/>
      <c r="FC443" s="89"/>
      <c r="FD443" s="89"/>
      <c r="FE443" s="89"/>
      <c r="FF443" s="107"/>
      <c r="FG443" s="107"/>
      <c r="FH443" s="107"/>
      <c r="FI443" s="107"/>
      <c r="FJ443" s="107"/>
      <c r="FK443" s="107"/>
      <c r="FL443" s="107"/>
      <c r="FM443" s="300" t="str">
        <f ca="1">""&amp;FQ430&amp;" x "&amp;FQ420&amp;" + "&amp;FR420&amp;" x "&amp;FQ437&amp;" = "&amp;FQ443</f>
        <v>303 x 2300 + 1300 x 303 = 1090800</v>
      </c>
      <c r="FN443" s="300"/>
      <c r="FO443" s="300"/>
      <c r="FP443" s="96">
        <f ca="1">IF(programma!B1="X",1,IF(FP437=0,0,IF(AND(CJ443&gt;FQ443-0.01,CJ443&lt;FQ443+0.01),1,0)))</f>
        <v>0</v>
      </c>
      <c r="FQ443" s="339">
        <f ca="1">IF(FO1=0,"",FQ430*FQ420+FR420*FQ437)</f>
        <v>1090800</v>
      </c>
      <c r="FR443" s="300"/>
      <c r="FS443" s="108"/>
      <c r="FT443" s="108"/>
      <c r="FU443" s="108"/>
      <c r="FV443" s="108"/>
      <c r="FW443" s="108"/>
      <c r="FX443" s="108"/>
      <c r="FY443" s="32"/>
      <c r="FZ443" s="32"/>
      <c r="GA443" s="32"/>
      <c r="GB443" s="32"/>
      <c r="GC443" s="32"/>
      <c r="GD443" s="32"/>
      <c r="GE443" s="32"/>
      <c r="GF443" s="32"/>
      <c r="GG443" s="32"/>
      <c r="GH443" s="32"/>
      <c r="GI443" s="32"/>
      <c r="GJ443" s="32"/>
      <c r="GK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38"/>
      <c r="HO443" s="338"/>
      <c r="HP443" s="338"/>
      <c r="HQ443" s="13"/>
      <c r="HR443" s="13"/>
      <c r="HS443" s="13"/>
      <c r="HT443" s="13"/>
      <c r="HU443" s="13"/>
      <c r="HV443" s="13"/>
      <c r="HW443" s="13"/>
      <c r="HX443" s="13"/>
      <c r="HY443" s="13"/>
      <c r="HZ443" s="13"/>
      <c r="IA443" s="13"/>
    </row>
    <row r="444" spans="1:235" s="66" customFormat="1" ht="3.6" customHeight="1">
      <c r="A444" s="60"/>
      <c r="B444" s="69"/>
      <c r="C444" s="69"/>
      <c r="D444" s="409"/>
      <c r="E444" s="409"/>
      <c r="F444" s="409"/>
      <c r="G444" s="409"/>
      <c r="H444" s="409"/>
      <c r="I444" s="409"/>
      <c r="J444" s="409"/>
      <c r="K444" s="409"/>
      <c r="L444" s="409"/>
      <c r="M444" s="409"/>
      <c r="N444" s="409"/>
      <c r="O444" s="409"/>
      <c r="P444" s="409"/>
      <c r="Q444" s="409"/>
      <c r="R444" s="409"/>
      <c r="S444" s="409"/>
      <c r="T444" s="409"/>
      <c r="U444" s="409"/>
      <c r="V444" s="409"/>
      <c r="W444" s="409"/>
      <c r="X444" s="410"/>
      <c r="Y444" s="410"/>
      <c r="BR444" s="410"/>
      <c r="BS444" s="410"/>
      <c r="BT444" s="410"/>
      <c r="BU444" s="410"/>
      <c r="BV444" s="410"/>
      <c r="BW444" s="410"/>
      <c r="BX444" s="410"/>
      <c r="BY444" s="410"/>
      <c r="BZ444" s="410"/>
      <c r="CA444" s="410"/>
      <c r="CB444" s="268"/>
      <c r="CC444" s="268"/>
      <c r="CD444" s="268"/>
      <c r="CE444" s="268"/>
      <c r="CF444" s="268"/>
      <c r="CG444" s="268"/>
      <c r="CH444" s="268"/>
      <c r="CI444" s="553" t="str">
        <f ca="1">IF(FP437=0,"",".")</f>
        <v/>
      </c>
      <c r="CJ444" s="541" t="e">
        <f>IF(#REF!=0,"","+")</f>
        <v>#REF!</v>
      </c>
      <c r="CK444" s="541" t="e">
        <f>IF(#REF!=0,"","+")</f>
        <v>#REF!</v>
      </c>
      <c r="CL444" s="541" t="e">
        <f>IF(#REF!=0,"","+")</f>
        <v>#REF!</v>
      </c>
      <c r="CM444" s="541" t="e">
        <f>IF(#REF!=0,"","+")</f>
        <v>#REF!</v>
      </c>
      <c r="CN444" s="541"/>
      <c r="CO444" s="541"/>
      <c r="CP444" s="541"/>
      <c r="CQ444" s="541" t="e">
        <f>IF(#REF!=0,"","+")</f>
        <v>#REF!</v>
      </c>
      <c r="CR444" s="541" t="e">
        <f>IF(#REF!=0,"","+")</f>
        <v>#REF!</v>
      </c>
      <c r="CS444" s="541" t="e">
        <f>IF(#REF!=0,"","+")</f>
        <v>#REF!</v>
      </c>
      <c r="CT444" s="541" t="e">
        <f>IF(#REF!=0,"","+")</f>
        <v>#REF!</v>
      </c>
      <c r="CU444" s="541" t="e">
        <f>IF(#REF!=0,"","+")</f>
        <v>#REF!</v>
      </c>
      <c r="CV444" s="541" t="e">
        <f>IF(#REF!=0,"","+")</f>
        <v>#REF!</v>
      </c>
      <c r="CW444" s="541"/>
      <c r="CX444" s="541"/>
      <c r="CY444" s="541"/>
      <c r="CZ444" s="541"/>
      <c r="DA444" s="541"/>
      <c r="DB444" s="541"/>
      <c r="DC444" s="541" t="e">
        <f>IF(#REF!=0,"","+")</f>
        <v>#REF!</v>
      </c>
      <c r="DD444" s="541" t="e">
        <f>IF(#REF!=0,"","+")</f>
        <v>#REF!</v>
      </c>
      <c r="DE444" s="541" t="e">
        <f>IF(#REF!=0,"","+")</f>
        <v>#REF!</v>
      </c>
      <c r="DF444" s="541" t="e">
        <f>IF(#REF!=0,"","+")</f>
        <v>#REF!</v>
      </c>
      <c r="DG444" s="541" t="e">
        <f>IF(#REF!=0,"","+")</f>
        <v>#REF!</v>
      </c>
      <c r="DH444" s="268"/>
      <c r="DI444" s="268"/>
      <c r="DJ444" s="268"/>
      <c r="DK444" s="268"/>
      <c r="DL444" s="268"/>
      <c r="DM444" s="268"/>
      <c r="DN444" s="268"/>
      <c r="DO444" s="268"/>
      <c r="DP444" s="268"/>
      <c r="DQ444" s="268"/>
      <c r="DR444" s="89"/>
      <c r="DS444" s="89"/>
      <c r="EE444" s="89"/>
      <c r="EF444" s="89"/>
      <c r="EG444" s="89"/>
      <c r="EH444" s="89"/>
      <c r="EI444" s="89"/>
      <c r="EJ444" s="89"/>
      <c r="EK444" s="89"/>
      <c r="EL444" s="89"/>
      <c r="EM444" s="89"/>
      <c r="EN444" s="89"/>
      <c r="EO444" s="89"/>
      <c r="EP444" s="89"/>
      <c r="EQ444" s="89"/>
      <c r="ER444" s="89"/>
      <c r="ES444" s="89"/>
      <c r="ET444" s="89"/>
      <c r="EU444" s="89"/>
      <c r="EV444" s="89"/>
      <c r="EW444" s="89"/>
      <c r="EX444" s="89"/>
      <c r="EY444" s="89"/>
      <c r="EZ444" s="89"/>
      <c r="FA444" s="89"/>
      <c r="FB444" s="89"/>
      <c r="FC444" s="89"/>
      <c r="FD444" s="89"/>
      <c r="FE444" s="89"/>
      <c r="FF444" s="107"/>
      <c r="FG444" s="107"/>
      <c r="FH444" s="107"/>
      <c r="FI444" s="107"/>
      <c r="FJ444" s="107"/>
      <c r="FK444" s="107"/>
      <c r="FL444" s="107"/>
      <c r="FM444" s="96"/>
      <c r="FN444" s="96"/>
      <c r="FO444" s="96"/>
      <c r="FP444" s="96"/>
      <c r="FQ444" s="108"/>
      <c r="FR444" s="108"/>
      <c r="FS444" s="108"/>
      <c r="FT444" s="108"/>
      <c r="FU444" s="108"/>
      <c r="FV444" s="108"/>
      <c r="FW444" s="108"/>
      <c r="FX444" s="108"/>
      <c r="FY444" s="32"/>
      <c r="FZ444" s="32"/>
      <c r="GA444" s="32"/>
      <c r="GB444" s="32"/>
      <c r="GC444" s="32"/>
      <c r="GD444" s="32"/>
      <c r="GE444" s="32"/>
      <c r="GF444" s="32"/>
      <c r="GG444" s="32"/>
      <c r="GH444" s="32"/>
      <c r="GI444" s="32"/>
      <c r="GJ444" s="32"/>
      <c r="GK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38"/>
      <c r="HO444" s="338"/>
      <c r="HP444" s="338"/>
      <c r="HQ444" s="13"/>
      <c r="HR444" s="13"/>
      <c r="HS444" s="13"/>
      <c r="HT444" s="13"/>
      <c r="HU444" s="13"/>
      <c r="HV444" s="13"/>
      <c r="HW444" s="13"/>
      <c r="HX444" s="13"/>
      <c r="HY444" s="13"/>
      <c r="HZ444" s="13"/>
      <c r="IA444" s="13"/>
    </row>
    <row r="445" spans="1:235" s="66" customFormat="1" ht="9" customHeight="1">
      <c r="A445" s="60"/>
      <c r="B445" s="69"/>
      <c r="C445" s="69"/>
      <c r="D445" s="409"/>
      <c r="E445" s="409"/>
      <c r="F445" s="409"/>
      <c r="G445" s="409"/>
      <c r="H445" s="409"/>
      <c r="I445" s="409"/>
      <c r="J445" s="409"/>
      <c r="K445" s="409"/>
      <c r="L445" s="409"/>
      <c r="M445" s="409"/>
      <c r="N445" s="409"/>
      <c r="O445" s="409"/>
      <c r="P445" s="409"/>
      <c r="Q445" s="409"/>
      <c r="R445" s="409"/>
      <c r="S445" s="409"/>
      <c r="T445" s="409"/>
      <c r="U445" s="409"/>
      <c r="V445" s="409"/>
      <c r="W445" s="409"/>
      <c r="X445" s="89"/>
      <c r="Y445" s="89"/>
      <c r="Z445" s="89"/>
      <c r="AA445" s="89"/>
      <c r="AB445" s="89"/>
      <c r="AC445" s="89"/>
      <c r="AD445" s="89"/>
      <c r="AE445" s="89"/>
      <c r="AF445" s="89"/>
      <c r="AG445" s="89"/>
      <c r="AH445" s="89"/>
      <c r="AI445" s="89"/>
      <c r="BT445" s="89"/>
      <c r="BU445" s="89"/>
      <c r="BV445" s="89"/>
      <c r="BW445" s="89"/>
      <c r="CE445" s="268"/>
      <c r="CF445" s="268"/>
      <c r="CG445" s="268"/>
      <c r="CH445" s="268"/>
      <c r="CI445" s="268"/>
      <c r="CJ445" s="268"/>
      <c r="CK445" s="268"/>
      <c r="CL445" s="268"/>
      <c r="CM445" s="268"/>
      <c r="CN445" s="268"/>
      <c r="CO445" s="268"/>
      <c r="CP445" s="268"/>
      <c r="CQ445" s="268"/>
      <c r="CR445" s="268"/>
      <c r="CS445" s="268"/>
      <c r="CT445" s="268"/>
      <c r="CU445" s="268"/>
      <c r="CV445" s="268"/>
      <c r="CW445" s="268"/>
      <c r="CX445" s="268"/>
      <c r="CY445" s="268"/>
      <c r="CZ445" s="268"/>
      <c r="DA445" s="268"/>
      <c r="DB445" s="268"/>
      <c r="DC445" s="268"/>
      <c r="DD445" s="268"/>
      <c r="DE445" s="268"/>
      <c r="DF445" s="268"/>
      <c r="DG445" s="268"/>
      <c r="DH445" s="268"/>
      <c r="DI445" s="268"/>
      <c r="DJ445" s="268"/>
      <c r="DK445" s="268"/>
      <c r="DQ445" s="89"/>
      <c r="DR445" s="89"/>
      <c r="DS445" s="89"/>
      <c r="DT445" s="89"/>
      <c r="DU445" s="288"/>
      <c r="DV445" s="288"/>
      <c r="DW445" s="288"/>
      <c r="DX445" s="288"/>
      <c r="DY445" s="268"/>
      <c r="DZ445" s="268"/>
      <c r="EA445" s="268"/>
      <c r="EB445" s="268"/>
      <c r="EC445" s="268"/>
      <c r="ED445" s="268"/>
      <c r="EE445" s="268"/>
      <c r="EF445" s="268"/>
      <c r="EG445" s="268"/>
      <c r="EI445" s="395"/>
      <c r="EJ445" s="395"/>
      <c r="EK445" s="395"/>
      <c r="EL445" s="395"/>
      <c r="EM445" s="395"/>
      <c r="EN445" s="395"/>
      <c r="EO445" s="395"/>
      <c r="EP445" s="395"/>
      <c r="EQ445" s="395"/>
      <c r="ER445" s="395"/>
      <c r="ES445" s="395"/>
      <c r="ET445" s="395"/>
      <c r="EU445" s="395"/>
      <c r="EV445" s="395"/>
      <c r="EW445" s="395"/>
      <c r="EX445" s="395"/>
      <c r="EY445" s="395"/>
      <c r="EZ445" s="395"/>
      <c r="FA445" s="395"/>
      <c r="FB445" s="395"/>
      <c r="FC445" s="395"/>
      <c r="FD445" s="395"/>
      <c r="FE445" s="395"/>
      <c r="FF445" s="107"/>
      <c r="FG445" s="107"/>
      <c r="FH445" s="107"/>
      <c r="FI445" s="107"/>
      <c r="FJ445" s="107"/>
      <c r="FK445" s="107"/>
      <c r="FL445" s="107"/>
      <c r="FM445" s="300"/>
      <c r="FN445" s="300"/>
      <c r="FO445" s="300"/>
      <c r="FP445" s="300"/>
      <c r="FQ445" s="300"/>
      <c r="FR445" s="108"/>
      <c r="FS445" s="108"/>
      <c r="FT445" s="108"/>
      <c r="FU445" s="108"/>
      <c r="FV445" s="108"/>
      <c r="FW445" s="108"/>
      <c r="FX445" s="108"/>
      <c r="FY445" s="32"/>
      <c r="FZ445" s="32"/>
      <c r="GA445" s="32"/>
      <c r="GB445" s="32"/>
      <c r="GC445" s="32"/>
      <c r="GD445" s="32"/>
      <c r="GE445" s="32"/>
      <c r="GF445" s="32"/>
      <c r="GG445" s="32"/>
      <c r="GH445" s="32"/>
      <c r="GI445" s="32"/>
      <c r="GJ445" s="32"/>
      <c r="GK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38"/>
      <c r="HO445" s="338"/>
      <c r="HP445" s="338"/>
      <c r="HQ445" s="13"/>
      <c r="HR445" s="13"/>
      <c r="HS445" s="13"/>
      <c r="HT445" s="13"/>
      <c r="HU445" s="13"/>
      <c r="HV445" s="13"/>
      <c r="HW445" s="13"/>
      <c r="HX445" s="13"/>
      <c r="HY445" s="13"/>
      <c r="HZ445" s="13"/>
      <c r="IA445" s="13"/>
    </row>
    <row r="446" spans="1:235" s="66" customFormat="1" ht="16.95" customHeight="1">
      <c r="A446" s="60"/>
      <c r="B446" s="3"/>
      <c r="C446" s="69"/>
      <c r="D446" s="409" t="str">
        <f ca="1">IF(FP443=0,"","Hoeveelheid bedragen zijn totale kosten? Rond af op hele eurocenten.")</f>
        <v/>
      </c>
      <c r="E446" s="409"/>
      <c r="F446" s="89"/>
      <c r="G446" s="89"/>
      <c r="H446" s="89"/>
      <c r="I446" s="89"/>
      <c r="J446" s="89"/>
      <c r="K446" s="89"/>
      <c r="L446" s="89"/>
      <c r="M446" s="89"/>
      <c r="N446" s="89"/>
      <c r="O446" s="89"/>
      <c r="P446" s="89"/>
      <c r="Q446" s="89"/>
      <c r="R446" s="89"/>
      <c r="S446" s="89"/>
      <c r="T446" s="89"/>
      <c r="U446" s="89"/>
      <c r="V446" s="89"/>
      <c r="W446" s="89"/>
      <c r="X446" s="89"/>
      <c r="Y446" s="141"/>
      <c r="BT446" s="89"/>
      <c r="BU446" s="89"/>
      <c r="BV446" s="89"/>
      <c r="BW446" s="89"/>
      <c r="BX446" s="89"/>
      <c r="BY446" s="89"/>
      <c r="BZ446" s="89"/>
      <c r="CA446" s="89"/>
      <c r="CB446" s="89"/>
      <c r="CC446" s="89"/>
      <c r="CD446" s="89"/>
      <c r="CE446" s="89"/>
      <c r="CF446" s="89"/>
      <c r="CG446" s="89"/>
      <c r="CH446" s="89"/>
      <c r="CI446" s="89"/>
      <c r="CJ446" s="89"/>
      <c r="CK446" s="89"/>
      <c r="CL446" s="89"/>
      <c r="CM446" s="89"/>
      <c r="CN446" s="89"/>
      <c r="CO446" s="89"/>
      <c r="CP446" s="89"/>
      <c r="CQ446" s="89"/>
      <c r="CR446" s="89"/>
      <c r="CS446" s="89"/>
      <c r="CT446" s="89"/>
      <c r="CU446" s="89"/>
      <c r="CV446" s="89"/>
      <c r="CW446" s="89"/>
      <c r="CX446" s="89"/>
      <c r="CY446" s="89"/>
      <c r="CZ446" s="89"/>
      <c r="DA446" s="89"/>
      <c r="DB446" s="89"/>
      <c r="DC446" s="89"/>
      <c r="DD446" s="89"/>
      <c r="DE446" s="89"/>
      <c r="DF446" s="89"/>
      <c r="DG446" s="89"/>
      <c r="DH446" s="89"/>
      <c r="DI446" s="89"/>
      <c r="DJ446" s="89"/>
      <c r="DK446" s="89"/>
      <c r="DL446" s="89"/>
      <c r="DM446" s="89"/>
      <c r="DN446" s="268"/>
      <c r="DO446" s="268"/>
      <c r="DP446" s="268"/>
      <c r="DQ446" s="268"/>
      <c r="DR446" s="268"/>
      <c r="DS446" s="268"/>
      <c r="EE446" s="268"/>
      <c r="EF446" s="268"/>
      <c r="EG446" s="268"/>
      <c r="EI446" s="89"/>
      <c r="EJ446" s="89"/>
      <c r="EK446" s="89"/>
      <c r="EL446" s="89"/>
      <c r="EM446" s="89"/>
      <c r="EN446" s="89"/>
      <c r="EO446" s="89"/>
      <c r="EP446" s="89"/>
      <c r="EQ446" s="89"/>
      <c r="ER446" s="89"/>
      <c r="ES446" s="89"/>
      <c r="ET446" s="89"/>
      <c r="EU446" s="89"/>
      <c r="EV446" s="89"/>
      <c r="EW446" s="268"/>
      <c r="EX446" s="268"/>
      <c r="EY446" s="268"/>
      <c r="EZ446" s="268"/>
      <c r="FA446" s="268"/>
      <c r="FB446" s="268"/>
      <c r="FC446" s="268"/>
      <c r="FD446" s="268"/>
      <c r="FE446" s="268"/>
      <c r="FF446" s="107"/>
      <c r="FG446" s="107"/>
      <c r="FH446" s="107"/>
      <c r="FI446" s="107"/>
      <c r="FJ446" s="107"/>
      <c r="FK446" s="107"/>
      <c r="FL446" s="107"/>
      <c r="FM446" s="377"/>
      <c r="FN446" s="377"/>
      <c r="FO446" s="377"/>
      <c r="FP446" s="377"/>
      <c r="FQ446" s="377"/>
      <c r="FR446" s="377"/>
      <c r="FS446" s="396"/>
      <c r="FT446" s="396"/>
      <c r="FU446" s="396"/>
      <c r="FV446" s="396"/>
      <c r="FW446" s="396"/>
      <c r="FX446" s="396"/>
      <c r="FY446" s="32"/>
      <c r="FZ446" s="32"/>
      <c r="GA446" s="32"/>
      <c r="GB446" s="32"/>
      <c r="GC446" s="32"/>
      <c r="GD446" s="32"/>
      <c r="GE446" s="32"/>
      <c r="GF446" s="32"/>
      <c r="GG446" s="32"/>
      <c r="GH446" s="32"/>
      <c r="GI446" s="32"/>
      <c r="GJ446" s="32"/>
      <c r="GK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38"/>
      <c r="HO446" s="338"/>
      <c r="HP446" s="338"/>
      <c r="HQ446" s="13"/>
      <c r="HR446" s="13"/>
      <c r="HS446" s="13"/>
      <c r="HT446" s="13"/>
      <c r="HU446" s="13"/>
      <c r="HV446" s="13"/>
      <c r="HW446" s="13"/>
      <c r="HX446" s="13"/>
      <c r="HY446" s="13"/>
      <c r="HZ446" s="13"/>
      <c r="IA446" s="13"/>
    </row>
    <row r="447" spans="1:235" s="66" customFormat="1" ht="9" customHeight="1">
      <c r="A447" s="60"/>
      <c r="B447" s="69"/>
      <c r="C447" s="69"/>
      <c r="D447" s="409"/>
      <c r="E447" s="409"/>
      <c r="F447" s="409"/>
      <c r="G447" s="409"/>
      <c r="H447" s="409"/>
      <c r="I447" s="409"/>
      <c r="J447" s="409"/>
      <c r="K447" s="409"/>
      <c r="L447" s="409"/>
      <c r="M447" s="409"/>
      <c r="N447" s="409"/>
      <c r="O447" s="409"/>
      <c r="P447" s="409"/>
      <c r="Q447" s="409"/>
      <c r="R447" s="409"/>
      <c r="S447" s="409"/>
      <c r="T447" s="409"/>
      <c r="U447" s="409"/>
      <c r="V447" s="409"/>
      <c r="W447" s="409"/>
      <c r="X447" s="89"/>
      <c r="Y447" s="89"/>
      <c r="BT447" s="89"/>
      <c r="BU447" s="89"/>
      <c r="BV447" s="89"/>
      <c r="BW447" s="89"/>
      <c r="BX447" s="89"/>
      <c r="BY447" s="89"/>
      <c r="BZ447" s="89"/>
      <c r="CA447" s="89"/>
      <c r="CB447" s="89"/>
      <c r="CC447" s="89"/>
      <c r="CD447" s="89"/>
      <c r="CE447" s="89"/>
      <c r="CF447" s="89"/>
      <c r="CG447" s="89"/>
      <c r="CH447" s="89"/>
      <c r="CI447" s="89"/>
      <c r="CJ447" s="89"/>
      <c r="CK447" s="89"/>
      <c r="CL447" s="89"/>
      <c r="CM447" s="89"/>
      <c r="CN447" s="89"/>
      <c r="CO447" s="89"/>
      <c r="CP447" s="89"/>
      <c r="CQ447" s="89"/>
      <c r="CR447" s="89"/>
      <c r="CS447" s="89"/>
      <c r="CT447" s="89"/>
      <c r="CU447" s="89"/>
      <c r="CV447" s="89"/>
      <c r="CW447" s="89"/>
      <c r="CX447" s="89"/>
      <c r="CY447" s="89"/>
      <c r="CZ447" s="89"/>
      <c r="DA447" s="89"/>
      <c r="DB447" s="89"/>
      <c r="DC447" s="89"/>
      <c r="DD447" s="89"/>
      <c r="DE447" s="89"/>
      <c r="DF447" s="89"/>
      <c r="DG447" s="89"/>
      <c r="DH447" s="89"/>
      <c r="DI447" s="89"/>
      <c r="DJ447" s="288"/>
      <c r="DK447" s="288"/>
      <c r="DL447" s="288"/>
      <c r="DM447" s="288"/>
      <c r="DN447" s="268"/>
      <c r="DO447" s="268"/>
      <c r="DP447" s="268"/>
      <c r="DQ447" s="268"/>
      <c r="DR447" s="268"/>
      <c r="DS447" s="268"/>
      <c r="EE447" s="268"/>
      <c r="EF447" s="268"/>
      <c r="EG447" s="268"/>
      <c r="EI447" s="395"/>
      <c r="EJ447" s="395"/>
      <c r="EK447" s="395"/>
      <c r="EL447" s="395"/>
      <c r="EM447" s="395"/>
      <c r="EN447" s="395"/>
      <c r="EO447" s="395"/>
      <c r="EP447" s="395"/>
      <c r="EQ447" s="395"/>
      <c r="ER447" s="395"/>
      <c r="ES447" s="395"/>
      <c r="ET447" s="395"/>
      <c r="EU447" s="395"/>
      <c r="EV447" s="395"/>
      <c r="EW447" s="395"/>
      <c r="EX447" s="395"/>
      <c r="EY447" s="395"/>
      <c r="EZ447" s="395"/>
      <c r="FA447" s="395"/>
      <c r="FB447" s="395"/>
      <c r="FC447" s="395"/>
      <c r="FD447" s="395"/>
      <c r="FE447" s="395"/>
      <c r="FF447" s="107"/>
      <c r="FG447" s="107"/>
      <c r="FH447" s="107"/>
      <c r="FI447" s="107"/>
      <c r="FJ447" s="107"/>
      <c r="FK447" s="107"/>
      <c r="FL447" s="107"/>
      <c r="FM447" s="300"/>
      <c r="FN447" s="300"/>
      <c r="FO447" s="300"/>
      <c r="FP447" s="300"/>
      <c r="FQ447" s="300"/>
      <c r="FR447" s="108"/>
      <c r="FS447" s="108"/>
      <c r="FT447" s="108"/>
      <c r="FU447" s="108"/>
      <c r="FV447" s="108"/>
      <c r="FW447" s="108"/>
      <c r="FX447" s="108"/>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38"/>
      <c r="HO447" s="338"/>
      <c r="HP447" s="338"/>
      <c r="HQ447" s="13"/>
      <c r="HR447" s="13"/>
      <c r="HS447" s="13"/>
      <c r="HT447" s="13"/>
      <c r="HU447" s="13"/>
      <c r="HV447" s="13"/>
      <c r="HW447" s="13"/>
      <c r="HX447" s="13"/>
      <c r="HY447" s="13"/>
      <c r="HZ447" s="13"/>
      <c r="IA447" s="13"/>
    </row>
    <row r="448" spans="1:235" s="66" customFormat="1" ht="3.6" customHeight="1">
      <c r="A448" s="60"/>
      <c r="B448" s="69"/>
      <c r="C448" s="69"/>
      <c r="D448" s="409"/>
      <c r="E448" s="409"/>
      <c r="F448" s="409"/>
      <c r="G448" s="409"/>
      <c r="H448" s="409"/>
      <c r="I448" s="409"/>
      <c r="J448" s="409"/>
      <c r="K448" s="409"/>
      <c r="L448" s="409"/>
      <c r="M448" s="409"/>
      <c r="N448" s="409"/>
      <c r="O448" s="409"/>
      <c r="P448" s="409"/>
      <c r="Q448" s="409"/>
      <c r="R448" s="409"/>
      <c r="S448" s="409"/>
      <c r="T448" s="409"/>
      <c r="U448" s="409"/>
      <c r="V448" s="409"/>
      <c r="W448" s="409"/>
      <c r="X448" s="410"/>
      <c r="Y448" s="410"/>
      <c r="BT448" s="410"/>
      <c r="BU448" s="410"/>
      <c r="BV448" s="410"/>
      <c r="BW448" s="410"/>
      <c r="BX448" s="410"/>
      <c r="BY448" s="410"/>
      <c r="BZ448" s="410"/>
      <c r="CA448" s="410"/>
      <c r="CB448" s="268"/>
      <c r="CC448" s="268"/>
      <c r="CD448" s="141"/>
      <c r="CE448" s="141"/>
      <c r="CF448" s="141"/>
      <c r="CG448" s="89"/>
      <c r="CH448" s="89"/>
      <c r="CI448" s="553" t="str">
        <f ca="1">IF(FP443=0,"",".")</f>
        <v/>
      </c>
      <c r="CJ448" s="541" t="e">
        <f>IF(#REF!=0,"","+")</f>
        <v>#REF!</v>
      </c>
      <c r="CK448" s="541" t="e">
        <f>IF(#REF!=0,"","+")</f>
        <v>#REF!</v>
      </c>
      <c r="CL448" s="541" t="e">
        <f>IF(#REF!=0,"","+")</f>
        <v>#REF!</v>
      </c>
      <c r="CM448" s="541" t="e">
        <f>IF(#REF!=0,"","+")</f>
        <v>#REF!</v>
      </c>
      <c r="CN448" s="541"/>
      <c r="CO448" s="541"/>
      <c r="CP448" s="541"/>
      <c r="CQ448" s="541" t="e">
        <f>IF(#REF!=0,"","+")</f>
        <v>#REF!</v>
      </c>
      <c r="CR448" s="541" t="e">
        <f>IF(#REF!=0,"","+")</f>
        <v>#REF!</v>
      </c>
      <c r="CS448" s="541" t="e">
        <f>IF(#REF!=0,"","+")</f>
        <v>#REF!</v>
      </c>
      <c r="CT448" s="541" t="e">
        <f>IF(#REF!=0,"","+")</f>
        <v>#REF!</v>
      </c>
      <c r="CU448" s="541" t="e">
        <f>IF(#REF!=0,"","+")</f>
        <v>#REF!</v>
      </c>
      <c r="CV448" s="541" t="e">
        <f>IF(#REF!=0,"","+")</f>
        <v>#REF!</v>
      </c>
      <c r="CW448" s="541"/>
      <c r="CX448" s="541"/>
      <c r="CY448" s="541"/>
      <c r="CZ448" s="541"/>
      <c r="DA448" s="541"/>
      <c r="DB448" s="541"/>
      <c r="DC448" s="541" t="e">
        <f>IF(#REF!=0,"","+")</f>
        <v>#REF!</v>
      </c>
      <c r="DD448" s="541" t="e">
        <f>IF(#REF!=0,"","+")</f>
        <v>#REF!</v>
      </c>
      <c r="DE448" s="541" t="e">
        <f>IF(#REF!=0,"","+")</f>
        <v>#REF!</v>
      </c>
      <c r="DF448" s="541" t="e">
        <f>IF(#REF!=0,"","+")</f>
        <v>#REF!</v>
      </c>
      <c r="DG448" s="541" t="e">
        <f>IF(#REF!=0,"","+")</f>
        <v>#REF!</v>
      </c>
      <c r="DH448" s="89"/>
      <c r="DI448" s="89"/>
      <c r="DJ448" s="268"/>
      <c r="DK448" s="141"/>
      <c r="DL448" s="141"/>
      <c r="DM448" s="141"/>
      <c r="DN448" s="268"/>
      <c r="DO448" s="268"/>
      <c r="DP448" s="268"/>
      <c r="DQ448" s="268"/>
      <c r="DR448" s="268"/>
      <c r="DS448" s="268"/>
      <c r="EE448" s="268"/>
      <c r="EF448" s="268"/>
      <c r="EG448" s="268"/>
      <c r="EI448" s="141"/>
      <c r="EJ448" s="141"/>
      <c r="EK448" s="141"/>
      <c r="EL448" s="141"/>
      <c r="EM448" s="141"/>
      <c r="EN448" s="141"/>
      <c r="EO448" s="141"/>
      <c r="EP448" s="141"/>
      <c r="EQ448" s="141"/>
      <c r="ER448" s="141"/>
      <c r="ES448" s="141"/>
      <c r="ET448" s="141"/>
      <c r="EU448" s="141"/>
      <c r="EV448" s="141"/>
      <c r="EW448" s="141"/>
      <c r="EX448" s="141"/>
      <c r="EY448" s="141"/>
      <c r="EZ448" s="141"/>
      <c r="FA448" s="141"/>
      <c r="FB448" s="141"/>
      <c r="FC448" s="141"/>
      <c r="FD448" s="141"/>
      <c r="FE448" s="141"/>
      <c r="FF448" s="107"/>
      <c r="FG448" s="107"/>
      <c r="FH448" s="107"/>
      <c r="FI448" s="107"/>
      <c r="FJ448" s="107"/>
      <c r="FK448" s="107"/>
      <c r="FL448" s="107"/>
      <c r="FM448" s="300"/>
      <c r="FN448" s="300"/>
      <c r="FO448" s="300"/>
      <c r="FP448" s="300"/>
      <c r="FQ448" s="300"/>
      <c r="FR448" s="108"/>
      <c r="FS448" s="108"/>
      <c r="FT448" s="108"/>
      <c r="FU448" s="108"/>
      <c r="FV448" s="108"/>
      <c r="FW448" s="108"/>
      <c r="FX448" s="108"/>
      <c r="FY448" s="32"/>
      <c r="FZ448" s="32"/>
      <c r="GA448" s="32"/>
      <c r="GB448" s="32"/>
      <c r="GC448" s="32"/>
      <c r="GD448" s="32"/>
      <c r="GE448" s="32"/>
      <c r="GF448" s="32"/>
      <c r="GG448" s="32"/>
      <c r="GH448" s="32"/>
      <c r="GI448" s="32"/>
      <c r="GJ448" s="32"/>
      <c r="GK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38"/>
      <c r="HO448" s="338"/>
      <c r="HP448" s="338"/>
      <c r="HQ448" s="13"/>
      <c r="HR448" s="13"/>
      <c r="HS448" s="13"/>
      <c r="HT448" s="13"/>
      <c r="HU448" s="13"/>
      <c r="HV448" s="13"/>
      <c r="HW448" s="13"/>
      <c r="HX448" s="13"/>
      <c r="HY448" s="13"/>
      <c r="HZ448" s="13"/>
      <c r="IA448" s="13"/>
    </row>
    <row r="449" spans="1:235" s="66" customFormat="1" ht="16.5" customHeight="1">
      <c r="A449" s="60"/>
      <c r="B449" s="476"/>
      <c r="C449" s="69"/>
      <c r="D449" s="268"/>
      <c r="E449" s="268"/>
      <c r="F449" s="268"/>
      <c r="G449" s="268"/>
      <c r="H449" s="268"/>
      <c r="I449" s="268"/>
      <c r="J449" s="268"/>
      <c r="K449" s="268"/>
      <c r="L449" s="268"/>
      <c r="M449" s="268"/>
      <c r="N449" s="268"/>
      <c r="O449" s="268"/>
      <c r="P449" s="268"/>
      <c r="Q449" s="268"/>
      <c r="R449" s="410"/>
      <c r="S449" s="410"/>
      <c r="T449" s="410"/>
      <c r="U449" s="410"/>
      <c r="V449" s="410"/>
      <c r="W449" s="410"/>
      <c r="X449" s="410"/>
      <c r="Y449" s="410"/>
      <c r="BT449" s="410"/>
      <c r="BU449" s="410"/>
      <c r="BV449" s="410"/>
      <c r="BW449" s="410"/>
      <c r="BX449" s="410"/>
      <c r="BY449" s="410"/>
      <c r="BZ449" s="410"/>
      <c r="CA449" s="410"/>
      <c r="CB449" s="268"/>
      <c r="CC449" s="268"/>
      <c r="CD449" s="141"/>
      <c r="CE449" s="141"/>
      <c r="CF449" s="141"/>
      <c r="CG449" s="302" t="str">
        <f ca="1">IF(FP443=0,"","zijn totale kosten zijn:")</f>
        <v/>
      </c>
      <c r="CH449" s="89"/>
      <c r="CI449" s="409" t="str">
        <f ca="1">IF(FP443=0,"",".")</f>
        <v/>
      </c>
      <c r="CJ449" s="556"/>
      <c r="CK449" s="557"/>
      <c r="CL449" s="557"/>
      <c r="CM449" s="557"/>
      <c r="CN449" s="557"/>
      <c r="CO449" s="557"/>
      <c r="CP449" s="557"/>
      <c r="CQ449" s="557"/>
      <c r="CR449" s="557"/>
      <c r="CS449" s="557"/>
      <c r="CT449" s="557"/>
      <c r="CU449" s="557"/>
      <c r="CV449" s="557"/>
      <c r="CW449" s="557"/>
      <c r="CX449" s="557"/>
      <c r="CY449" s="557"/>
      <c r="CZ449" s="557"/>
      <c r="DA449" s="557"/>
      <c r="DB449" s="557"/>
      <c r="DC449" s="557"/>
      <c r="DD449" s="557"/>
      <c r="DE449" s="557"/>
      <c r="DF449" s="557"/>
      <c r="DG449" s="409" t="str">
        <f ca="1">IF(FP443=0,"",".")</f>
        <v/>
      </c>
      <c r="DH449" s="384" t="s">
        <v>131</v>
      </c>
      <c r="DI449" s="416" t="str">
        <f ca="1">IF(FP443=0,"",IF(CJ449="","",IF(AND(programma!$A$301="uitwerking",$B449="X"),FM449,IF(FP449=1,"Goed!",IF(AND(CJ449&gt;FR449-1.1,CJ449&lt;FR449+1.1),"Fout! Je hebt twee keer de constante kosten genomen.","Fout! Heb je GTK x q gedaan?")))))</f>
        <v/>
      </c>
      <c r="DJ449" s="298"/>
      <c r="DK449" s="410"/>
      <c r="DL449" s="89"/>
      <c r="DM449" s="89"/>
      <c r="DN449" s="268"/>
      <c r="DO449" s="268"/>
      <c r="DP449" s="268"/>
      <c r="DQ449" s="268"/>
      <c r="DR449" s="268"/>
      <c r="DS449" s="268"/>
      <c r="EE449" s="268"/>
      <c r="EF449" s="268"/>
      <c r="EG449" s="268"/>
      <c r="EI449" s="89"/>
      <c r="EJ449" s="89"/>
      <c r="EK449" s="89"/>
      <c r="EL449" s="89"/>
      <c r="EM449" s="89"/>
      <c r="EN449" s="89"/>
      <c r="EO449" s="89"/>
      <c r="EP449" s="89"/>
      <c r="EQ449" s="89"/>
      <c r="ER449" s="89"/>
      <c r="ES449" s="89"/>
      <c r="ET449" s="89"/>
      <c r="EU449" s="89"/>
      <c r="EV449" s="89"/>
      <c r="EW449" s="89"/>
      <c r="EX449" s="89"/>
      <c r="EY449" s="89"/>
      <c r="EZ449" s="89"/>
      <c r="FA449" s="89"/>
      <c r="FB449" s="89"/>
      <c r="FC449" s="89"/>
      <c r="FD449" s="89"/>
      <c r="FE449" s="89"/>
      <c r="FF449" s="107"/>
      <c r="FG449" s="107"/>
      <c r="FH449" s="107"/>
      <c r="FI449" s="107"/>
      <c r="FJ449" s="107"/>
      <c r="FK449" s="107"/>
      <c r="FL449" s="107"/>
      <c r="FM449" s="300" t="str">
        <f ca="1">"("&amp;FQ430&amp;" + "&amp;FQ437&amp;") x "&amp;FS398&amp;" + "&amp;FT398&amp;" = "&amp;FQ449</f>
        <v>(303 + 303) x 265 + 453900 = 614490</v>
      </c>
      <c r="FN449" s="300"/>
      <c r="FO449" s="300"/>
      <c r="FP449" s="96">
        <f ca="1">IF(programma!B1="X",1,IF(FP443=0,0,IF(AND(CJ449&gt;FQ449-0.01,CJ449&lt;FQ449+0.01),1,0)))</f>
        <v>0</v>
      </c>
      <c r="FQ449" s="339">
        <f ca="1">IF(FO1=0,"",FR437*FS398+FT398)</f>
        <v>614490</v>
      </c>
      <c r="FR449" s="300">
        <f ca="1">FQ449+FT398</f>
        <v>1068390</v>
      </c>
      <c r="FS449" s="108"/>
      <c r="FT449" s="108"/>
      <c r="FU449" s="108"/>
      <c r="FV449" s="108"/>
      <c r="FW449" s="108"/>
      <c r="FX449" s="108"/>
      <c r="FY449" s="32"/>
      <c r="FZ449" s="32"/>
      <c r="GA449" s="32"/>
      <c r="GB449" s="32"/>
      <c r="GC449" s="32"/>
      <c r="GD449" s="32"/>
      <c r="GE449" s="32"/>
      <c r="GF449" s="32"/>
      <c r="GG449" s="32"/>
      <c r="GH449" s="32"/>
      <c r="GI449" s="32"/>
      <c r="GJ449" s="32"/>
      <c r="GK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38"/>
      <c r="HO449" s="338"/>
      <c r="HP449" s="338"/>
      <c r="HQ449" s="13"/>
      <c r="HR449" s="13"/>
      <c r="HS449" s="13"/>
      <c r="HT449" s="13"/>
      <c r="HU449" s="13"/>
      <c r="HV449" s="13"/>
      <c r="HW449" s="13"/>
      <c r="HX449" s="13"/>
      <c r="HY449" s="13"/>
      <c r="HZ449" s="13"/>
      <c r="IA449" s="13"/>
    </row>
    <row r="450" spans="1:235" s="66" customFormat="1" ht="3.6" customHeight="1">
      <c r="A450" s="60"/>
      <c r="B450" s="69"/>
      <c r="C450" s="69"/>
      <c r="D450" s="409"/>
      <c r="E450" s="409"/>
      <c r="F450" s="409"/>
      <c r="G450" s="409"/>
      <c r="H450" s="409"/>
      <c r="I450" s="409"/>
      <c r="J450" s="409"/>
      <c r="K450" s="409"/>
      <c r="L450" s="409"/>
      <c r="M450" s="409"/>
      <c r="N450" s="409"/>
      <c r="O450" s="409"/>
      <c r="P450" s="409"/>
      <c r="Q450" s="409"/>
      <c r="R450" s="409"/>
      <c r="S450" s="409"/>
      <c r="T450" s="409"/>
      <c r="U450" s="409"/>
      <c r="V450" s="409"/>
      <c r="W450" s="409"/>
      <c r="X450" s="410"/>
      <c r="Y450" s="410"/>
      <c r="BR450" s="410"/>
      <c r="BS450" s="410"/>
      <c r="BT450" s="410"/>
      <c r="BU450" s="410"/>
      <c r="BV450" s="410"/>
      <c r="BW450" s="410"/>
      <c r="BX450" s="410"/>
      <c r="BY450" s="410"/>
      <c r="BZ450" s="410"/>
      <c r="CA450" s="410"/>
      <c r="CB450" s="268"/>
      <c r="CC450" s="268"/>
      <c r="CD450" s="268"/>
      <c r="CE450" s="268"/>
      <c r="CF450" s="268"/>
      <c r="CG450" s="268"/>
      <c r="CH450" s="268"/>
      <c r="CI450" s="553" t="str">
        <f ca="1">IF(FP443=0,"",".")</f>
        <v/>
      </c>
      <c r="CJ450" s="541" t="e">
        <f>IF(#REF!=0,"","+")</f>
        <v>#REF!</v>
      </c>
      <c r="CK450" s="541" t="e">
        <f>IF(#REF!=0,"","+")</f>
        <v>#REF!</v>
      </c>
      <c r="CL450" s="541" t="e">
        <f>IF(#REF!=0,"","+")</f>
        <v>#REF!</v>
      </c>
      <c r="CM450" s="541" t="e">
        <f>IF(#REF!=0,"","+")</f>
        <v>#REF!</v>
      </c>
      <c r="CN450" s="541"/>
      <c r="CO450" s="541"/>
      <c r="CP450" s="541"/>
      <c r="CQ450" s="541" t="e">
        <f>IF(#REF!=0,"","+")</f>
        <v>#REF!</v>
      </c>
      <c r="CR450" s="541" t="e">
        <f>IF(#REF!=0,"","+")</f>
        <v>#REF!</v>
      </c>
      <c r="CS450" s="541" t="e">
        <f>IF(#REF!=0,"","+")</f>
        <v>#REF!</v>
      </c>
      <c r="CT450" s="541" t="e">
        <f>IF(#REF!=0,"","+")</f>
        <v>#REF!</v>
      </c>
      <c r="CU450" s="541" t="e">
        <f>IF(#REF!=0,"","+")</f>
        <v>#REF!</v>
      </c>
      <c r="CV450" s="541" t="e">
        <f>IF(#REF!=0,"","+")</f>
        <v>#REF!</v>
      </c>
      <c r="CW450" s="541"/>
      <c r="CX450" s="541"/>
      <c r="CY450" s="541"/>
      <c r="CZ450" s="541"/>
      <c r="DA450" s="541"/>
      <c r="DB450" s="541"/>
      <c r="DC450" s="541" t="e">
        <f>IF(#REF!=0,"","+")</f>
        <v>#REF!</v>
      </c>
      <c r="DD450" s="541" t="e">
        <f>IF(#REF!=0,"","+")</f>
        <v>#REF!</v>
      </c>
      <c r="DE450" s="541" t="e">
        <f>IF(#REF!=0,"","+")</f>
        <v>#REF!</v>
      </c>
      <c r="DF450" s="541" t="e">
        <f>IF(#REF!=0,"","+")</f>
        <v>#REF!</v>
      </c>
      <c r="DG450" s="541" t="e">
        <f>IF(#REF!=0,"","+")</f>
        <v>#REF!</v>
      </c>
      <c r="DH450" s="268"/>
      <c r="DI450" s="268"/>
      <c r="DJ450" s="268"/>
      <c r="DK450" s="268"/>
      <c r="DL450" s="268"/>
      <c r="DM450" s="268"/>
      <c r="DN450" s="268"/>
      <c r="DO450" s="268"/>
      <c r="DP450" s="268"/>
      <c r="DQ450" s="268"/>
      <c r="DR450" s="89"/>
      <c r="DS450" s="89"/>
      <c r="EE450" s="89"/>
      <c r="EF450" s="89"/>
      <c r="EG450" s="89"/>
      <c r="EH450" s="89"/>
      <c r="EI450" s="89"/>
      <c r="EJ450" s="89"/>
      <c r="EK450" s="89"/>
      <c r="EL450" s="89"/>
      <c r="EM450" s="89"/>
      <c r="EN450" s="89"/>
      <c r="EO450" s="89"/>
      <c r="EP450" s="89"/>
      <c r="EQ450" s="89"/>
      <c r="ER450" s="89"/>
      <c r="ES450" s="89"/>
      <c r="ET450" s="89"/>
      <c r="EU450" s="89"/>
      <c r="EV450" s="89"/>
      <c r="EW450" s="89"/>
      <c r="EX450" s="89"/>
      <c r="EY450" s="89"/>
      <c r="EZ450" s="89"/>
      <c r="FA450" s="89"/>
      <c r="FB450" s="89"/>
      <c r="FC450" s="89"/>
      <c r="FD450" s="89"/>
      <c r="FE450" s="89"/>
      <c r="FF450" s="107"/>
      <c r="FG450" s="107"/>
      <c r="FH450" s="107"/>
      <c r="FI450" s="107"/>
      <c r="FJ450" s="107"/>
      <c r="FK450" s="107"/>
      <c r="FL450" s="107"/>
      <c r="FM450" s="96"/>
      <c r="FN450" s="96"/>
      <c r="FO450" s="96"/>
      <c r="FP450" s="96"/>
      <c r="FQ450" s="108"/>
      <c r="FR450" s="108"/>
      <c r="FS450" s="108"/>
      <c r="FT450" s="108"/>
      <c r="FU450" s="108"/>
      <c r="FV450" s="108"/>
      <c r="FW450" s="108"/>
      <c r="FX450" s="108"/>
      <c r="FY450" s="32"/>
      <c r="FZ450" s="32"/>
      <c r="GA450" s="32"/>
      <c r="GB450" s="32"/>
      <c r="GC450" s="32"/>
      <c r="GD450" s="32"/>
      <c r="GE450" s="32"/>
      <c r="GF450" s="32"/>
      <c r="GG450" s="32"/>
      <c r="GH450" s="32"/>
      <c r="GI450" s="32"/>
      <c r="GJ450" s="32"/>
      <c r="GK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38"/>
      <c r="HO450" s="338"/>
      <c r="HP450" s="338"/>
      <c r="HQ450" s="13"/>
      <c r="HR450" s="13"/>
      <c r="HS450" s="13"/>
      <c r="HT450" s="13"/>
      <c r="HU450" s="13"/>
      <c r="HV450" s="13"/>
      <c r="HW450" s="13"/>
      <c r="HX450" s="13"/>
      <c r="HY450" s="13"/>
      <c r="HZ450" s="13"/>
      <c r="IA450" s="13"/>
    </row>
    <row r="451" spans="1:235" s="66" customFormat="1" ht="9" customHeight="1">
      <c r="A451" s="60"/>
      <c r="B451" s="69"/>
      <c r="C451" s="69"/>
      <c r="D451" s="409"/>
      <c r="E451" s="409"/>
      <c r="F451" s="409"/>
      <c r="G451" s="409"/>
      <c r="H451" s="409"/>
      <c r="I451" s="409"/>
      <c r="J451" s="409"/>
      <c r="K451" s="409"/>
      <c r="L451" s="409"/>
      <c r="M451" s="409"/>
      <c r="N451" s="409"/>
      <c r="O451" s="409"/>
      <c r="P451" s="409"/>
      <c r="Q451" s="409"/>
      <c r="R451" s="409"/>
      <c r="S451" s="409"/>
      <c r="T451" s="409"/>
      <c r="U451" s="409"/>
      <c r="V451" s="409"/>
      <c r="W451" s="409"/>
      <c r="X451" s="89"/>
      <c r="Y451" s="89"/>
      <c r="Z451" s="89"/>
      <c r="AA451" s="89"/>
      <c r="AB451" s="89"/>
      <c r="AC451" s="89"/>
      <c r="AD451" s="89"/>
      <c r="AE451" s="89"/>
      <c r="AF451" s="89"/>
      <c r="AG451" s="89"/>
      <c r="AH451" s="89"/>
      <c r="AI451" s="89"/>
      <c r="BT451" s="89"/>
      <c r="BU451" s="89"/>
      <c r="BV451" s="89"/>
      <c r="BW451" s="89"/>
      <c r="CE451" s="268"/>
      <c r="CF451" s="268"/>
      <c r="CG451" s="268"/>
      <c r="CH451" s="268"/>
      <c r="CI451" s="268"/>
      <c r="CJ451" s="268"/>
      <c r="CK451" s="268"/>
      <c r="CL451" s="268"/>
      <c r="CM451" s="268"/>
      <c r="CN451" s="268"/>
      <c r="CO451" s="268"/>
      <c r="CP451" s="268"/>
      <c r="CQ451" s="268"/>
      <c r="CR451" s="268"/>
      <c r="CS451" s="268"/>
      <c r="CT451" s="268"/>
      <c r="CU451" s="268"/>
      <c r="CV451" s="268"/>
      <c r="CW451" s="268"/>
      <c r="CX451" s="268"/>
      <c r="CY451" s="268"/>
      <c r="CZ451" s="268"/>
      <c r="DA451" s="268"/>
      <c r="DB451" s="268"/>
      <c r="DC451" s="268"/>
      <c r="DD451" s="268"/>
      <c r="DE451" s="268"/>
      <c r="DF451" s="268"/>
      <c r="DG451" s="268"/>
      <c r="DH451" s="268"/>
      <c r="DI451" s="268"/>
      <c r="DJ451" s="268"/>
      <c r="DK451" s="268"/>
      <c r="DQ451" s="89"/>
      <c r="DR451" s="89"/>
      <c r="DS451" s="89"/>
      <c r="DT451" s="89"/>
      <c r="DU451" s="288"/>
      <c r="DV451" s="288"/>
      <c r="DW451" s="288"/>
      <c r="DX451" s="288"/>
      <c r="DY451" s="268"/>
      <c r="DZ451" s="268"/>
      <c r="EA451" s="268"/>
      <c r="EB451" s="268"/>
      <c r="EC451" s="268"/>
      <c r="ED451" s="268"/>
      <c r="EE451" s="268"/>
      <c r="EF451" s="268"/>
      <c r="EG451" s="268"/>
      <c r="EI451" s="395"/>
      <c r="EJ451" s="395"/>
      <c r="EK451" s="395"/>
      <c r="EL451" s="395"/>
      <c r="EM451" s="395"/>
      <c r="EN451" s="395"/>
      <c r="EO451" s="395"/>
      <c r="EP451" s="395"/>
      <c r="EQ451" s="395"/>
      <c r="ER451" s="395"/>
      <c r="ES451" s="395"/>
      <c r="ET451" s="395"/>
      <c r="EU451" s="395"/>
      <c r="EV451" s="395"/>
      <c r="EW451" s="395"/>
      <c r="EX451" s="395"/>
      <c r="EY451" s="395"/>
      <c r="EZ451" s="395"/>
      <c r="FA451" s="395"/>
      <c r="FB451" s="395"/>
      <c r="FC451" s="395"/>
      <c r="FD451" s="395"/>
      <c r="FE451" s="395"/>
      <c r="FF451" s="107"/>
      <c r="FG451" s="107"/>
      <c r="FH451" s="107"/>
      <c r="FI451" s="107"/>
      <c r="FJ451" s="107"/>
      <c r="FK451" s="107"/>
      <c r="FL451" s="107"/>
      <c r="FM451" s="300"/>
      <c r="FN451" s="300"/>
      <c r="FO451" s="300"/>
      <c r="FP451" s="300"/>
      <c r="FQ451" s="300"/>
      <c r="FR451" s="108"/>
      <c r="FS451" s="108"/>
      <c r="FT451" s="108"/>
      <c r="FU451" s="108"/>
      <c r="FV451" s="108"/>
      <c r="FW451" s="108"/>
      <c r="FX451" s="108"/>
      <c r="FY451" s="32"/>
      <c r="FZ451" s="32"/>
      <c r="GA451" s="32"/>
      <c r="GB451" s="32"/>
      <c r="GC451" s="32"/>
      <c r="GD451" s="32"/>
      <c r="GE451" s="32"/>
      <c r="GF451" s="32"/>
      <c r="GG451" s="32"/>
      <c r="GH451" s="32"/>
      <c r="GI451" s="32"/>
      <c r="GJ451" s="32"/>
      <c r="GK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38"/>
      <c r="HO451" s="338"/>
      <c r="HP451" s="338"/>
      <c r="HQ451" s="13"/>
      <c r="HR451" s="13"/>
      <c r="HS451" s="13"/>
      <c r="HT451" s="13"/>
      <c r="HU451" s="13"/>
      <c r="HV451" s="13"/>
      <c r="HW451" s="13"/>
      <c r="HX451" s="13"/>
      <c r="HY451" s="13"/>
      <c r="HZ451" s="13"/>
      <c r="IA451" s="13"/>
    </row>
    <row r="452" spans="1:235" s="66" customFormat="1" ht="16.95" customHeight="1">
      <c r="A452" s="60"/>
      <c r="B452" s="3"/>
      <c r="C452" s="69"/>
      <c r="D452" s="409" t="str">
        <f ca="1">IF(FP449=0,"","Hoeveelheid wordt zijn totale winst? Rond af op hele eurocenten.")</f>
        <v/>
      </c>
      <c r="E452" s="409"/>
      <c r="F452" s="89"/>
      <c r="G452" s="89"/>
      <c r="H452" s="89"/>
      <c r="I452" s="89"/>
      <c r="J452" s="89"/>
      <c r="K452" s="89"/>
      <c r="L452" s="89"/>
      <c r="M452" s="89"/>
      <c r="N452" s="89"/>
      <c r="O452" s="89"/>
      <c r="P452" s="89"/>
      <c r="Q452" s="89"/>
      <c r="R452" s="89"/>
      <c r="S452" s="89"/>
      <c r="T452" s="89"/>
      <c r="U452" s="89"/>
      <c r="V452" s="89"/>
      <c r="W452" s="89"/>
      <c r="X452" s="89"/>
      <c r="Y452" s="141"/>
      <c r="BT452" s="89"/>
      <c r="BU452" s="89"/>
      <c r="BV452" s="89"/>
      <c r="BW452" s="89"/>
      <c r="BX452" s="89"/>
      <c r="BY452" s="89"/>
      <c r="BZ452" s="89"/>
      <c r="CA452" s="89"/>
      <c r="CB452" s="89"/>
      <c r="CC452" s="89"/>
      <c r="CD452" s="89"/>
      <c r="CE452" s="89"/>
      <c r="CF452" s="89"/>
      <c r="CG452" s="89"/>
      <c r="CH452" s="89"/>
      <c r="CI452" s="89"/>
      <c r="CJ452" s="89"/>
      <c r="CK452" s="89"/>
      <c r="CL452" s="89"/>
      <c r="CM452" s="89"/>
      <c r="CN452" s="89"/>
      <c r="CO452" s="89"/>
      <c r="CP452" s="89"/>
      <c r="CQ452" s="89"/>
      <c r="CR452" s="89"/>
      <c r="CS452" s="89"/>
      <c r="CT452" s="89"/>
      <c r="CU452" s="89"/>
      <c r="CV452" s="89"/>
      <c r="CW452" s="89"/>
      <c r="CX452" s="89"/>
      <c r="CY452" s="89"/>
      <c r="CZ452" s="89"/>
      <c r="DA452" s="89"/>
      <c r="DB452" s="89"/>
      <c r="DC452" s="89"/>
      <c r="DD452" s="89"/>
      <c r="DE452" s="89"/>
      <c r="DF452" s="89"/>
      <c r="DG452" s="89"/>
      <c r="DH452" s="89"/>
      <c r="DI452" s="89"/>
      <c r="DJ452" s="89"/>
      <c r="DK452" s="89"/>
      <c r="DL452" s="89"/>
      <c r="DM452" s="89"/>
      <c r="DN452" s="268"/>
      <c r="DO452" s="268"/>
      <c r="DP452" s="268"/>
      <c r="DQ452" s="268"/>
      <c r="DR452" s="268"/>
      <c r="DS452" s="268"/>
      <c r="EE452" s="268"/>
      <c r="EF452" s="268"/>
      <c r="EG452" s="268"/>
      <c r="EI452" s="89"/>
      <c r="EJ452" s="89"/>
      <c r="EK452" s="89"/>
      <c r="EL452" s="89"/>
      <c r="EM452" s="89"/>
      <c r="EN452" s="89"/>
      <c r="EO452" s="89"/>
      <c r="EP452" s="89"/>
      <c r="EQ452" s="89"/>
      <c r="ER452" s="89"/>
      <c r="ES452" s="89"/>
      <c r="ET452" s="89"/>
      <c r="EU452" s="89"/>
      <c r="EV452" s="89"/>
      <c r="EW452" s="268"/>
      <c r="EX452" s="268"/>
      <c r="EY452" s="268"/>
      <c r="EZ452" s="268"/>
      <c r="FA452" s="268"/>
      <c r="FB452" s="268"/>
      <c r="FC452" s="268"/>
      <c r="FD452" s="268"/>
      <c r="FE452" s="268"/>
      <c r="FF452" s="107"/>
      <c r="FG452" s="107"/>
      <c r="FH452" s="107"/>
      <c r="FI452" s="107"/>
      <c r="FJ452" s="107"/>
      <c r="FK452" s="107"/>
      <c r="FL452" s="107"/>
      <c r="FM452" s="377"/>
      <c r="FN452" s="377"/>
      <c r="FO452" s="377"/>
      <c r="FP452" s="377"/>
      <c r="FQ452" s="377"/>
      <c r="FR452" s="377"/>
      <c r="FS452" s="396"/>
      <c r="FT452" s="396"/>
      <c r="FU452" s="396"/>
      <c r="FV452" s="396"/>
      <c r="FW452" s="396"/>
      <c r="FX452" s="396"/>
      <c r="FY452" s="32"/>
      <c r="FZ452" s="32"/>
      <c r="GA452" s="32"/>
      <c r="GB452" s="32"/>
      <c r="GC452" s="32"/>
      <c r="GD452" s="32"/>
      <c r="GE452" s="32"/>
      <c r="GF452" s="32"/>
      <c r="GG452" s="32"/>
      <c r="GH452" s="32"/>
      <c r="GI452" s="32"/>
      <c r="GJ452" s="32"/>
      <c r="GK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38"/>
      <c r="HO452" s="338"/>
      <c r="HP452" s="338"/>
      <c r="HQ452" s="13"/>
      <c r="HR452" s="13"/>
      <c r="HS452" s="13"/>
      <c r="HT452" s="13"/>
      <c r="HU452" s="13"/>
      <c r="HV452" s="13"/>
      <c r="HW452" s="13"/>
      <c r="HX452" s="13"/>
      <c r="HY452" s="13"/>
      <c r="HZ452" s="13"/>
      <c r="IA452" s="13"/>
    </row>
    <row r="453" spans="1:235" s="66" customFormat="1" ht="9" customHeight="1">
      <c r="A453" s="60"/>
      <c r="B453" s="69"/>
      <c r="C453" s="69"/>
      <c r="D453" s="409"/>
      <c r="E453" s="409"/>
      <c r="F453" s="409"/>
      <c r="G453" s="409"/>
      <c r="H453" s="409"/>
      <c r="I453" s="409"/>
      <c r="J453" s="409"/>
      <c r="K453" s="409"/>
      <c r="L453" s="409"/>
      <c r="M453" s="409"/>
      <c r="N453" s="409"/>
      <c r="O453" s="409"/>
      <c r="P453" s="409"/>
      <c r="Q453" s="409"/>
      <c r="R453" s="409"/>
      <c r="S453" s="409"/>
      <c r="T453" s="409"/>
      <c r="U453" s="409"/>
      <c r="V453" s="409"/>
      <c r="W453" s="409"/>
      <c r="X453" s="89"/>
      <c r="Y453" s="89"/>
      <c r="BT453" s="89"/>
      <c r="BU453" s="89"/>
      <c r="BV453" s="89"/>
      <c r="BW453" s="89"/>
      <c r="BX453" s="89"/>
      <c r="BY453" s="89"/>
      <c r="BZ453" s="89"/>
      <c r="CA453" s="89"/>
      <c r="CB453" s="89"/>
      <c r="CC453" s="89"/>
      <c r="CD453" s="89"/>
      <c r="CE453" s="89"/>
      <c r="CF453" s="89"/>
      <c r="CG453" s="89"/>
      <c r="CH453" s="89"/>
      <c r="CI453" s="89"/>
      <c r="CJ453" s="89"/>
      <c r="CK453" s="89"/>
      <c r="CL453" s="89"/>
      <c r="CM453" s="89"/>
      <c r="CN453" s="89"/>
      <c r="CO453" s="89"/>
      <c r="CP453" s="89"/>
      <c r="CQ453" s="89"/>
      <c r="CR453" s="89"/>
      <c r="CS453" s="89"/>
      <c r="CT453" s="89"/>
      <c r="CU453" s="89"/>
      <c r="CV453" s="89"/>
      <c r="CW453" s="89"/>
      <c r="CX453" s="89"/>
      <c r="CY453" s="89"/>
      <c r="CZ453" s="89"/>
      <c r="DA453" s="89"/>
      <c r="DB453" s="89"/>
      <c r="DC453" s="89"/>
      <c r="DD453" s="89"/>
      <c r="DE453" s="89"/>
      <c r="DF453" s="89"/>
      <c r="DG453" s="89"/>
      <c r="DH453" s="89"/>
      <c r="DI453" s="89"/>
      <c r="DJ453" s="288"/>
      <c r="DK453" s="288"/>
      <c r="DL453" s="288"/>
      <c r="DM453" s="288"/>
      <c r="DN453" s="268"/>
      <c r="DO453" s="268"/>
      <c r="DP453" s="268"/>
      <c r="DQ453" s="268"/>
      <c r="DR453" s="268"/>
      <c r="DS453" s="268"/>
      <c r="EE453" s="268"/>
      <c r="EF453" s="268"/>
      <c r="EG453" s="268"/>
      <c r="EI453" s="395"/>
      <c r="EJ453" s="395"/>
      <c r="EK453" s="395"/>
      <c r="EL453" s="395"/>
      <c r="EM453" s="395"/>
      <c r="EN453" s="395"/>
      <c r="EO453" s="395"/>
      <c r="EP453" s="395"/>
      <c r="EQ453" s="395"/>
      <c r="ER453" s="395"/>
      <c r="ES453" s="395"/>
      <c r="ET453" s="395"/>
      <c r="EU453" s="395"/>
      <c r="EV453" s="395"/>
      <c r="EW453" s="395"/>
      <c r="EX453" s="395"/>
      <c r="EY453" s="395"/>
      <c r="EZ453" s="395"/>
      <c r="FA453" s="395"/>
      <c r="FB453" s="395"/>
      <c r="FC453" s="395"/>
      <c r="FD453" s="395"/>
      <c r="FE453" s="395"/>
      <c r="FF453" s="107"/>
      <c r="FG453" s="107"/>
      <c r="FH453" s="107"/>
      <c r="FI453" s="107"/>
      <c r="FJ453" s="107"/>
      <c r="FK453" s="107"/>
      <c r="FL453" s="107"/>
      <c r="FM453" s="300"/>
      <c r="FN453" s="300"/>
      <c r="FO453" s="300"/>
      <c r="FP453" s="300"/>
      <c r="FQ453" s="300"/>
      <c r="FR453" s="108"/>
      <c r="FS453" s="108"/>
      <c r="FT453" s="108"/>
      <c r="FU453" s="108"/>
      <c r="FV453" s="108"/>
      <c r="FW453" s="108"/>
      <c r="FX453" s="108"/>
      <c r="FY453" s="32"/>
      <c r="FZ453" s="32"/>
      <c r="GA453" s="32"/>
      <c r="GB453" s="32"/>
      <c r="GC453" s="32"/>
      <c r="GD453" s="32"/>
      <c r="GE453" s="32"/>
      <c r="GF453" s="32"/>
      <c r="GG453" s="32"/>
      <c r="GH453" s="32"/>
      <c r="GI453" s="32"/>
      <c r="GJ453" s="32"/>
      <c r="GK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38"/>
      <c r="HO453" s="338"/>
      <c r="HP453" s="338"/>
      <c r="HQ453" s="13"/>
      <c r="HR453" s="13"/>
      <c r="HS453" s="13"/>
      <c r="HT453" s="13"/>
      <c r="HU453" s="13"/>
      <c r="HV453" s="13"/>
      <c r="HW453" s="13"/>
      <c r="HX453" s="13"/>
      <c r="HY453" s="13"/>
      <c r="HZ453" s="13"/>
      <c r="IA453" s="13"/>
    </row>
    <row r="454" spans="1:235" s="66" customFormat="1" ht="3.6" customHeight="1">
      <c r="A454" s="60"/>
      <c r="B454" s="69"/>
      <c r="C454" s="69"/>
      <c r="D454" s="409"/>
      <c r="E454" s="409"/>
      <c r="F454" s="409"/>
      <c r="G454" s="409"/>
      <c r="H454" s="409"/>
      <c r="I454" s="409"/>
      <c r="J454" s="409"/>
      <c r="K454" s="409"/>
      <c r="L454" s="409"/>
      <c r="M454" s="409"/>
      <c r="N454" s="409"/>
      <c r="O454" s="409"/>
      <c r="P454" s="409"/>
      <c r="Q454" s="409"/>
      <c r="R454" s="409"/>
      <c r="S454" s="409"/>
      <c r="T454" s="409"/>
      <c r="U454" s="409"/>
      <c r="V454" s="409"/>
      <c r="W454" s="409"/>
      <c r="X454" s="410"/>
      <c r="Y454" s="410"/>
      <c r="BT454" s="410"/>
      <c r="BU454" s="410"/>
      <c r="BV454" s="410"/>
      <c r="BW454" s="410"/>
      <c r="BX454" s="410"/>
      <c r="BY454" s="410"/>
      <c r="BZ454" s="410"/>
      <c r="CA454" s="410"/>
      <c r="CB454" s="268"/>
      <c r="CC454" s="268"/>
      <c r="CD454" s="141"/>
      <c r="CE454" s="141"/>
      <c r="CF454" s="141"/>
      <c r="CG454" s="89"/>
      <c r="CH454" s="89"/>
      <c r="CI454" s="553" t="str">
        <f ca="1">IF(FP449=0,"",".")</f>
        <v/>
      </c>
      <c r="CJ454" s="541" t="e">
        <f>IF(#REF!=0,"","+")</f>
        <v>#REF!</v>
      </c>
      <c r="CK454" s="541" t="e">
        <f>IF(#REF!=0,"","+")</f>
        <v>#REF!</v>
      </c>
      <c r="CL454" s="541" t="e">
        <f>IF(#REF!=0,"","+")</f>
        <v>#REF!</v>
      </c>
      <c r="CM454" s="541" t="e">
        <f>IF(#REF!=0,"","+")</f>
        <v>#REF!</v>
      </c>
      <c r="CN454" s="541"/>
      <c r="CO454" s="541"/>
      <c r="CP454" s="541"/>
      <c r="CQ454" s="541" t="e">
        <f>IF(#REF!=0,"","+")</f>
        <v>#REF!</v>
      </c>
      <c r="CR454" s="541" t="e">
        <f>IF(#REF!=0,"","+")</f>
        <v>#REF!</v>
      </c>
      <c r="CS454" s="541" t="e">
        <f>IF(#REF!=0,"","+")</f>
        <v>#REF!</v>
      </c>
      <c r="CT454" s="541" t="e">
        <f>IF(#REF!=0,"","+")</f>
        <v>#REF!</v>
      </c>
      <c r="CU454" s="541" t="e">
        <f>IF(#REF!=0,"","+")</f>
        <v>#REF!</v>
      </c>
      <c r="CV454" s="541" t="e">
        <f>IF(#REF!=0,"","+")</f>
        <v>#REF!</v>
      </c>
      <c r="CW454" s="541"/>
      <c r="CX454" s="541"/>
      <c r="CY454" s="541"/>
      <c r="CZ454" s="541"/>
      <c r="DA454" s="541"/>
      <c r="DB454" s="541"/>
      <c r="DC454" s="541" t="e">
        <f>IF(#REF!=0,"","+")</f>
        <v>#REF!</v>
      </c>
      <c r="DD454" s="541" t="e">
        <f>IF(#REF!=0,"","+")</f>
        <v>#REF!</v>
      </c>
      <c r="DE454" s="541" t="e">
        <f>IF(#REF!=0,"","+")</f>
        <v>#REF!</v>
      </c>
      <c r="DF454" s="541" t="e">
        <f>IF(#REF!=0,"","+")</f>
        <v>#REF!</v>
      </c>
      <c r="DG454" s="541" t="e">
        <f>IF(#REF!=0,"","+")</f>
        <v>#REF!</v>
      </c>
      <c r="DH454" s="89"/>
      <c r="DI454" s="89"/>
      <c r="DJ454" s="268"/>
      <c r="DK454" s="141"/>
      <c r="DL454" s="141"/>
      <c r="DM454" s="141"/>
      <c r="DN454" s="268"/>
      <c r="DO454" s="268"/>
      <c r="DP454" s="268"/>
      <c r="DQ454" s="268"/>
      <c r="DR454" s="268"/>
      <c r="DS454" s="268"/>
      <c r="EE454" s="268"/>
      <c r="EF454" s="268"/>
      <c r="EG454" s="268"/>
      <c r="EI454" s="141"/>
      <c r="EJ454" s="141"/>
      <c r="EK454" s="141"/>
      <c r="EL454" s="141"/>
      <c r="EM454" s="141"/>
      <c r="EN454" s="141"/>
      <c r="EO454" s="141"/>
      <c r="EP454" s="141"/>
      <c r="EQ454" s="141"/>
      <c r="ER454" s="141"/>
      <c r="ES454" s="141"/>
      <c r="ET454" s="141"/>
      <c r="EU454" s="141"/>
      <c r="EV454" s="141"/>
      <c r="EW454" s="141"/>
      <c r="EX454" s="141"/>
      <c r="EY454" s="141"/>
      <c r="EZ454" s="141"/>
      <c r="FA454" s="141"/>
      <c r="FB454" s="141"/>
      <c r="FC454" s="141"/>
      <c r="FD454" s="141"/>
      <c r="FE454" s="141"/>
      <c r="FF454" s="107"/>
      <c r="FG454" s="107"/>
      <c r="FH454" s="107"/>
      <c r="FI454" s="107"/>
      <c r="FJ454" s="107"/>
      <c r="FK454" s="107"/>
      <c r="FL454" s="107"/>
      <c r="FM454" s="300"/>
      <c r="FN454" s="300"/>
      <c r="FO454" s="300"/>
      <c r="FP454" s="300"/>
      <c r="FQ454" s="300"/>
      <c r="FR454" s="108"/>
      <c r="FS454" s="108"/>
      <c r="FT454" s="108"/>
      <c r="FU454" s="108"/>
      <c r="FV454" s="108"/>
      <c r="FW454" s="108"/>
      <c r="FX454" s="108"/>
      <c r="FY454" s="32"/>
      <c r="FZ454" s="32"/>
      <c r="GA454" s="32"/>
      <c r="GB454" s="32"/>
      <c r="GC454" s="32"/>
      <c r="GD454" s="32"/>
      <c r="GE454" s="32"/>
      <c r="GF454" s="32"/>
      <c r="GG454" s="32"/>
      <c r="GH454" s="32"/>
      <c r="GI454" s="32"/>
      <c r="GJ454" s="32"/>
      <c r="GK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38"/>
      <c r="HO454" s="338"/>
      <c r="HP454" s="338"/>
      <c r="HQ454" s="13"/>
      <c r="HR454" s="13"/>
      <c r="HS454" s="13"/>
      <c r="HT454" s="13"/>
      <c r="HU454" s="13"/>
      <c r="HV454" s="13"/>
      <c r="HW454" s="13"/>
      <c r="HX454" s="13"/>
      <c r="HY454" s="13"/>
      <c r="HZ454" s="13"/>
      <c r="IA454" s="13"/>
    </row>
    <row r="455" spans="1:235" s="66" customFormat="1" ht="16.5" customHeight="1">
      <c r="A455" s="60"/>
      <c r="B455" s="476"/>
      <c r="C455" s="69"/>
      <c r="D455" s="268"/>
      <c r="E455" s="268"/>
      <c r="F455" s="268"/>
      <c r="G455" s="268"/>
      <c r="H455" s="268"/>
      <c r="I455" s="268"/>
      <c r="J455" s="268"/>
      <c r="K455" s="268"/>
      <c r="L455" s="268"/>
      <c r="M455" s="268"/>
      <c r="N455" s="268"/>
      <c r="O455" s="268"/>
      <c r="P455" s="268"/>
      <c r="Q455" s="268"/>
      <c r="R455" s="410"/>
      <c r="S455" s="410"/>
      <c r="T455" s="410"/>
      <c r="U455" s="410"/>
      <c r="V455" s="410"/>
      <c r="W455" s="410"/>
      <c r="X455" s="410"/>
      <c r="Y455" s="410"/>
      <c r="BT455" s="410"/>
      <c r="BU455" s="410"/>
      <c r="BV455" s="410"/>
      <c r="BW455" s="410"/>
      <c r="BX455" s="410"/>
      <c r="BY455" s="410"/>
      <c r="BZ455" s="410"/>
      <c r="CA455" s="410"/>
      <c r="CB455" s="268"/>
      <c r="CC455" s="268"/>
      <c r="CD455" s="141"/>
      <c r="CE455" s="141"/>
      <c r="CF455" s="141"/>
      <c r="CG455" s="302" t="str">
        <f ca="1">IF(FP449=0,"","zijn totale winst is:")</f>
        <v/>
      </c>
      <c r="CH455" s="89"/>
      <c r="CI455" s="409" t="str">
        <f ca="1">IF(FP449=0,"",".")</f>
        <v/>
      </c>
      <c r="CJ455" s="556"/>
      <c r="CK455" s="557"/>
      <c r="CL455" s="557"/>
      <c r="CM455" s="557"/>
      <c r="CN455" s="557"/>
      <c r="CO455" s="557"/>
      <c r="CP455" s="557"/>
      <c r="CQ455" s="557"/>
      <c r="CR455" s="557"/>
      <c r="CS455" s="557"/>
      <c r="CT455" s="557"/>
      <c r="CU455" s="557"/>
      <c r="CV455" s="557"/>
      <c r="CW455" s="557"/>
      <c r="CX455" s="557"/>
      <c r="CY455" s="557"/>
      <c r="CZ455" s="557"/>
      <c r="DA455" s="557"/>
      <c r="DB455" s="557"/>
      <c r="DC455" s="557"/>
      <c r="DD455" s="557"/>
      <c r="DE455" s="557"/>
      <c r="DF455" s="557"/>
      <c r="DG455" s="409" t="str">
        <f ca="1">IF(FP449=0,"",".")</f>
        <v/>
      </c>
      <c r="DH455" s="384" t="s">
        <v>131</v>
      </c>
      <c r="DI455" s="416" t="str">
        <f ca="1">IF(FP449=0,"",IF(CJ455="","",IF(AND(programma!$A$301="uitwerking",$B455="X"),FM455,IF(FP455=1,"Goed!",IF(AND(CJ455&gt;FQ455-1,CJ455&lt;FQ455+1),"Je hebt verkeerd afgerond.","Fout! TW = TO - TK dus kiujk eens goed.")))))</f>
        <v/>
      </c>
      <c r="DJ455" s="298"/>
      <c r="DK455" s="410"/>
      <c r="DL455" s="89"/>
      <c r="DM455" s="89"/>
      <c r="DN455" s="268"/>
      <c r="DO455" s="268"/>
      <c r="DP455" s="268"/>
      <c r="DQ455" s="268"/>
      <c r="DR455" s="268"/>
      <c r="DS455" s="268"/>
      <c r="EE455" s="268"/>
      <c r="EF455" s="268"/>
      <c r="EG455" s="268"/>
      <c r="EI455" s="89"/>
      <c r="EJ455" s="89"/>
      <c r="EK455" s="89"/>
      <c r="EL455" s="89"/>
      <c r="EM455" s="89"/>
      <c r="EN455" s="89"/>
      <c r="EO455" s="89"/>
      <c r="EP455" s="89"/>
      <c r="EQ455" s="89"/>
      <c r="ER455" s="89"/>
      <c r="ES455" s="89"/>
      <c r="ET455" s="89"/>
      <c r="EU455" s="89"/>
      <c r="EV455" s="89"/>
      <c r="EW455" s="89"/>
      <c r="EX455" s="89"/>
      <c r="EY455" s="89"/>
      <c r="EZ455" s="89"/>
      <c r="FA455" s="89"/>
      <c r="FB455" s="89"/>
      <c r="FC455" s="89"/>
      <c r="FD455" s="89"/>
      <c r="FE455" s="89"/>
      <c r="FF455" s="107"/>
      <c r="FG455" s="107"/>
      <c r="FH455" s="107"/>
      <c r="FI455" s="107"/>
      <c r="FJ455" s="107"/>
      <c r="FK455" s="107"/>
      <c r="FL455" s="107"/>
      <c r="FM455" s="300" t="str">
        <f ca="1">""&amp;FQ443&amp;" - "&amp;FQ449&amp;" = "&amp;FQ455</f>
        <v>1090800 - 614490 = 476310</v>
      </c>
      <c r="FN455" s="300"/>
      <c r="FO455" s="300"/>
      <c r="FP455" s="96">
        <f ca="1">IF(programma!B1="X",1,IF(FP449=0,0,IF(AND(CJ455&gt;FQ455-0.01,CJ455&lt;FQ455+0.01),1,0)))</f>
        <v>0</v>
      </c>
      <c r="FQ455" s="339">
        <f ca="1">IF(FO1=0,"",FQ443-FQ449)</f>
        <v>476310</v>
      </c>
      <c r="FR455" s="300"/>
      <c r="FS455" s="108"/>
      <c r="FT455" s="108"/>
      <c r="FU455" s="108"/>
      <c r="FV455" s="108"/>
      <c r="FW455" s="108"/>
      <c r="FX455" s="108"/>
      <c r="FY455" s="32"/>
      <c r="FZ455" s="32"/>
      <c r="GA455" s="32"/>
      <c r="GB455" s="32"/>
      <c r="GC455" s="32"/>
      <c r="GD455" s="32"/>
      <c r="GE455" s="32"/>
      <c r="GF455" s="32"/>
      <c r="GG455" s="32"/>
      <c r="GH455" s="32"/>
      <c r="GI455" s="32"/>
      <c r="GJ455" s="32"/>
      <c r="GK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38"/>
      <c r="HO455" s="338"/>
      <c r="HP455" s="338"/>
      <c r="HQ455" s="13"/>
      <c r="HR455" s="13"/>
      <c r="HS455" s="13"/>
      <c r="HT455" s="13"/>
      <c r="HU455" s="13"/>
      <c r="HV455" s="13"/>
      <c r="HW455" s="13"/>
      <c r="HX455" s="13"/>
      <c r="HY455" s="13"/>
      <c r="HZ455" s="13"/>
      <c r="IA455" s="13"/>
    </row>
    <row r="456" spans="1:235" s="66" customFormat="1" ht="3.6" customHeight="1">
      <c r="A456" s="60"/>
      <c r="B456" s="69"/>
      <c r="C456" s="69"/>
      <c r="D456" s="409"/>
      <c r="E456" s="409"/>
      <c r="F456" s="409"/>
      <c r="G456" s="409"/>
      <c r="H456" s="409"/>
      <c r="I456" s="409"/>
      <c r="J456" s="409"/>
      <c r="K456" s="409"/>
      <c r="L456" s="409"/>
      <c r="M456" s="409"/>
      <c r="N456" s="409"/>
      <c r="O456" s="409"/>
      <c r="P456" s="409"/>
      <c r="Q456" s="409"/>
      <c r="R456" s="409"/>
      <c r="S456" s="409"/>
      <c r="T456" s="409"/>
      <c r="U456" s="409"/>
      <c r="V456" s="409"/>
      <c r="W456" s="409"/>
      <c r="X456" s="410"/>
      <c r="Y456" s="410"/>
      <c r="BR456" s="410"/>
      <c r="BS456" s="410"/>
      <c r="BT456" s="410"/>
      <c r="BU456" s="410"/>
      <c r="BV456" s="410"/>
      <c r="BW456" s="410"/>
      <c r="BX456" s="410"/>
      <c r="BY456" s="410"/>
      <c r="BZ456" s="410"/>
      <c r="CA456" s="410"/>
      <c r="CB456" s="268"/>
      <c r="CC456" s="268"/>
      <c r="CD456" s="268"/>
      <c r="CE456" s="268"/>
      <c r="CF456" s="268"/>
      <c r="CG456" s="268"/>
      <c r="CH456" s="268"/>
      <c r="CI456" s="553" t="str">
        <f ca="1">IF(FP449=0,"",".")</f>
        <v/>
      </c>
      <c r="CJ456" s="541" t="e">
        <f>IF(#REF!=0,"","+")</f>
        <v>#REF!</v>
      </c>
      <c r="CK456" s="541" t="e">
        <f>IF(#REF!=0,"","+")</f>
        <v>#REF!</v>
      </c>
      <c r="CL456" s="541" t="e">
        <f>IF(#REF!=0,"","+")</f>
        <v>#REF!</v>
      </c>
      <c r="CM456" s="541" t="e">
        <f>IF(#REF!=0,"","+")</f>
        <v>#REF!</v>
      </c>
      <c r="CN456" s="541"/>
      <c r="CO456" s="541"/>
      <c r="CP456" s="541"/>
      <c r="CQ456" s="541" t="e">
        <f>IF(#REF!=0,"","+")</f>
        <v>#REF!</v>
      </c>
      <c r="CR456" s="541" t="e">
        <f>IF(#REF!=0,"","+")</f>
        <v>#REF!</v>
      </c>
      <c r="CS456" s="541" t="e">
        <f>IF(#REF!=0,"","+")</f>
        <v>#REF!</v>
      </c>
      <c r="CT456" s="541" t="e">
        <f>IF(#REF!=0,"","+")</f>
        <v>#REF!</v>
      </c>
      <c r="CU456" s="541" t="e">
        <f>IF(#REF!=0,"","+")</f>
        <v>#REF!</v>
      </c>
      <c r="CV456" s="541" t="e">
        <f>IF(#REF!=0,"","+")</f>
        <v>#REF!</v>
      </c>
      <c r="CW456" s="541"/>
      <c r="CX456" s="541"/>
      <c r="CY456" s="541"/>
      <c r="CZ456" s="541"/>
      <c r="DA456" s="541"/>
      <c r="DB456" s="541"/>
      <c r="DC456" s="541" t="e">
        <f>IF(#REF!=0,"","+")</f>
        <v>#REF!</v>
      </c>
      <c r="DD456" s="541" t="e">
        <f>IF(#REF!=0,"","+")</f>
        <v>#REF!</v>
      </c>
      <c r="DE456" s="541" t="e">
        <f>IF(#REF!=0,"","+")</f>
        <v>#REF!</v>
      </c>
      <c r="DF456" s="541" t="e">
        <f>IF(#REF!=0,"","+")</f>
        <v>#REF!</v>
      </c>
      <c r="DG456" s="541" t="e">
        <f>IF(#REF!=0,"","+")</f>
        <v>#REF!</v>
      </c>
      <c r="DH456" s="268"/>
      <c r="DI456" s="268"/>
      <c r="DJ456" s="268"/>
      <c r="DK456" s="268"/>
      <c r="DL456" s="268"/>
      <c r="DM456" s="268"/>
      <c r="DN456" s="268"/>
      <c r="DO456" s="268"/>
      <c r="DP456" s="268"/>
      <c r="DQ456" s="268"/>
      <c r="DR456" s="89"/>
      <c r="DS456" s="89"/>
      <c r="EE456" s="89"/>
      <c r="EF456" s="89"/>
      <c r="EG456" s="89"/>
      <c r="EH456" s="89"/>
      <c r="EI456" s="89"/>
      <c r="EJ456" s="89"/>
      <c r="EK456" s="89"/>
      <c r="EL456" s="89"/>
      <c r="EM456" s="89"/>
      <c r="EN456" s="89"/>
      <c r="EO456" s="89"/>
      <c r="EP456" s="89"/>
      <c r="EQ456" s="89"/>
      <c r="ER456" s="89"/>
      <c r="ES456" s="89"/>
      <c r="ET456" s="89"/>
      <c r="EU456" s="89"/>
      <c r="EV456" s="89"/>
      <c r="EW456" s="89"/>
      <c r="EX456" s="89"/>
      <c r="EY456" s="89"/>
      <c r="EZ456" s="89"/>
      <c r="FA456" s="89"/>
      <c r="FB456" s="89"/>
      <c r="FC456" s="89"/>
      <c r="FD456" s="89"/>
      <c r="FE456" s="89"/>
      <c r="FF456" s="107"/>
      <c r="FG456" s="107"/>
      <c r="FH456" s="107"/>
      <c r="FI456" s="107"/>
      <c r="FJ456" s="107"/>
      <c r="FK456" s="107"/>
      <c r="FL456" s="107"/>
      <c r="FM456" s="96"/>
      <c r="FN456" s="96"/>
      <c r="FO456" s="96"/>
      <c r="FP456" s="96"/>
      <c r="FQ456" s="108"/>
      <c r="FR456" s="108"/>
      <c r="FS456" s="108"/>
      <c r="FT456" s="108"/>
      <c r="FU456" s="108"/>
      <c r="FV456" s="108"/>
      <c r="FW456" s="108"/>
      <c r="FX456" s="108"/>
      <c r="FY456" s="32"/>
      <c r="FZ456" s="32"/>
      <c r="GA456" s="32"/>
      <c r="GB456" s="32"/>
      <c r="GC456" s="32"/>
      <c r="GD456" s="32"/>
      <c r="GE456" s="32"/>
      <c r="GF456" s="32"/>
      <c r="GG456" s="32"/>
      <c r="GH456" s="32"/>
      <c r="GI456" s="32"/>
      <c r="GJ456" s="32"/>
      <c r="GK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38"/>
      <c r="HO456" s="338"/>
      <c r="HP456" s="338"/>
      <c r="HQ456" s="13"/>
      <c r="HR456" s="13"/>
      <c r="HS456" s="13"/>
      <c r="HT456" s="13"/>
      <c r="HU456" s="13"/>
      <c r="HV456" s="13"/>
      <c r="HW456" s="13"/>
      <c r="HX456" s="13"/>
      <c r="HY456" s="13"/>
      <c r="HZ456" s="13"/>
      <c r="IA456" s="13"/>
    </row>
    <row r="457" spans="1:235" ht="16.95" customHeight="1">
      <c r="A457" s="1"/>
      <c r="B457" s="3"/>
      <c r="C457" s="3"/>
      <c r="D457" s="124"/>
      <c r="E457" s="414"/>
      <c r="F457" s="414"/>
      <c r="G457" s="414"/>
      <c r="H457" s="414"/>
      <c r="I457" s="414"/>
      <c r="J457" s="376"/>
      <c r="K457" s="376"/>
      <c r="L457" s="376"/>
      <c r="M457" s="376"/>
      <c r="N457" s="376"/>
      <c r="O457" s="376"/>
      <c r="P457" s="376"/>
      <c r="Q457" s="376"/>
      <c r="R457" s="376"/>
      <c r="S457" s="376"/>
      <c r="T457" s="376"/>
      <c r="U457" s="376"/>
      <c r="V457" s="43"/>
      <c r="W457" s="43"/>
      <c r="X457" s="43"/>
      <c r="Y457" s="43"/>
      <c r="Z457" s="43"/>
      <c r="AA457" s="43"/>
      <c r="AB457" s="43"/>
      <c r="AC457" s="43"/>
      <c r="AD457" s="43"/>
      <c r="AE457" s="43"/>
      <c r="AF457" s="43"/>
      <c r="AG457" s="43"/>
      <c r="AH457" s="43"/>
      <c r="AI457" s="43"/>
      <c r="AJ457" s="43"/>
      <c r="AK457" s="43"/>
      <c r="AL457" s="43"/>
      <c r="AM457" s="43"/>
      <c r="AN457" s="43"/>
      <c r="CB457" s="43"/>
      <c r="CC457" s="43"/>
      <c r="CD457" s="43"/>
      <c r="CE457" s="43"/>
      <c r="CF457" s="43"/>
      <c r="CG457" s="43"/>
      <c r="CH457" s="43"/>
      <c r="CI457" s="43"/>
      <c r="CJ457" s="43"/>
      <c r="CK457" s="43"/>
      <c r="CL457" s="43"/>
      <c r="CM457" s="43"/>
      <c r="CN457" s="43"/>
      <c r="CO457" s="43"/>
      <c r="CP457" s="376"/>
      <c r="CQ457" s="376"/>
      <c r="CR457" s="376"/>
      <c r="CS457" s="376"/>
      <c r="CT457" s="376"/>
      <c r="CU457" s="376"/>
      <c r="CV457" s="376"/>
      <c r="CW457" s="376"/>
      <c r="CX457" s="376"/>
      <c r="CY457" s="376"/>
      <c r="CZ457" s="172"/>
      <c r="DA457" s="172"/>
      <c r="DB457" s="172"/>
      <c r="DC457" s="172"/>
      <c r="DD457" s="172"/>
      <c r="DE457" s="413"/>
      <c r="DF457" s="413"/>
      <c r="DG457" s="413"/>
      <c r="DH457" s="413"/>
      <c r="DI457" s="413"/>
      <c r="DJ457" s="413"/>
      <c r="DK457" s="413"/>
      <c r="DL457" s="413"/>
      <c r="DM457" s="413"/>
      <c r="DN457" s="413"/>
      <c r="DO457" s="413"/>
      <c r="DP457" s="413"/>
      <c r="DQ457" s="413"/>
      <c r="DR457" s="413"/>
      <c r="DS457" s="413"/>
      <c r="DT457" s="413"/>
      <c r="DU457" s="413"/>
      <c r="DV457" s="413"/>
      <c r="DW457" s="413"/>
      <c r="DX457" s="413"/>
      <c r="DY457" s="413"/>
      <c r="DZ457" s="413"/>
      <c r="EA457" s="413"/>
      <c r="EB457" s="413"/>
      <c r="EC457" s="413"/>
      <c r="ED457" s="413"/>
      <c r="EE457" s="413"/>
      <c r="EF457" s="413"/>
      <c r="EG457" s="413"/>
      <c r="EH457" s="413"/>
      <c r="EI457" s="413"/>
      <c r="EJ457" s="413"/>
      <c r="EK457" s="413"/>
      <c r="EL457" s="413"/>
      <c r="EM457" s="413"/>
      <c r="EN457" s="413"/>
      <c r="EO457" s="413"/>
      <c r="EP457" s="413"/>
      <c r="EQ457" s="413"/>
      <c r="ER457" s="413"/>
      <c r="ES457" s="413"/>
      <c r="ET457" s="413"/>
      <c r="EU457" s="413"/>
      <c r="EV457" s="413"/>
      <c r="EW457" s="413"/>
      <c r="EX457" s="413"/>
      <c r="EY457" s="413"/>
      <c r="EZ457" s="413"/>
      <c r="FA457" s="413"/>
      <c r="FB457" s="413"/>
      <c r="FC457" s="413"/>
      <c r="FD457" s="413"/>
      <c r="FE457" s="413"/>
      <c r="FF457" s="413"/>
      <c r="FG457" s="413"/>
      <c r="FH457" s="413"/>
      <c r="FI457" s="107"/>
      <c r="FJ457" s="107"/>
      <c r="FK457" s="107"/>
      <c r="FL457" s="107"/>
      <c r="FM457" s="338"/>
      <c r="FN457" s="338"/>
      <c r="FO457" s="338"/>
      <c r="FP457" s="47"/>
      <c r="FQ457" s="47"/>
      <c r="FR457" s="47"/>
      <c r="FS457" s="47"/>
      <c r="FT457" s="47"/>
      <c r="FU457" s="338"/>
      <c r="FV457" s="338"/>
      <c r="FW457" s="338"/>
      <c r="FX457" s="338"/>
      <c r="FY457" s="32"/>
      <c r="FZ457" s="32"/>
      <c r="GA457" s="32"/>
      <c r="GB457" s="32"/>
      <c r="GC457" s="32"/>
      <c r="GD457" s="32"/>
      <c r="GE457" s="32"/>
      <c r="GF457" s="32"/>
      <c r="GG457" s="32"/>
      <c r="GH457" s="32"/>
      <c r="GI457" s="32"/>
      <c r="GJ457" s="32"/>
      <c r="GK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38"/>
      <c r="HO457" s="338"/>
      <c r="HP457" s="338"/>
      <c r="HQ457" s="13"/>
      <c r="HR457" s="13"/>
      <c r="HS457" s="13"/>
      <c r="HT457" s="13"/>
      <c r="HU457" s="13"/>
      <c r="HV457" s="13"/>
      <c r="HW457" s="13"/>
      <c r="HX457" s="13"/>
      <c r="HY457" s="13"/>
      <c r="HZ457" s="13"/>
      <c r="IA457" s="13"/>
    </row>
    <row r="458" spans="1:235" ht="16.95" customHeight="1">
      <c r="A458" s="1"/>
      <c r="B458" s="3"/>
      <c r="C458" s="3"/>
      <c r="D458" s="124" t="str">
        <f ca="1">IF(FP455=0,"","Zoals je ziet is de winst fors gestegen dankzij de prijsdiscriminatie. Wat kun")</f>
        <v/>
      </c>
      <c r="E458" s="414"/>
      <c r="F458" s="414"/>
      <c r="G458" s="414"/>
      <c r="H458" s="414"/>
      <c r="I458" s="414"/>
      <c r="J458" s="376"/>
      <c r="K458" s="376"/>
      <c r="L458" s="376"/>
      <c r="M458" s="376"/>
      <c r="N458" s="376"/>
      <c r="O458" s="376"/>
      <c r="P458" s="376"/>
      <c r="Q458" s="376"/>
      <c r="R458" s="376"/>
      <c r="S458" s="376"/>
      <c r="T458" s="376"/>
      <c r="U458" s="376"/>
      <c r="V458" s="43"/>
      <c r="W458" s="43"/>
      <c r="X458" s="43"/>
      <c r="Y458" s="43"/>
      <c r="Z458" s="43"/>
      <c r="AA458" s="43"/>
      <c r="AB458" s="43"/>
      <c r="AC458" s="43"/>
      <c r="AD458" s="43"/>
      <c r="AE458" s="43"/>
      <c r="AF458" s="43"/>
      <c r="AG458" s="43"/>
      <c r="AH458" s="43"/>
      <c r="AI458" s="43"/>
      <c r="AJ458" s="43"/>
      <c r="AK458" s="43"/>
      <c r="AL458" s="43"/>
      <c r="AM458" s="43"/>
      <c r="AN458" s="43"/>
      <c r="CB458" s="43"/>
      <c r="CC458" s="43"/>
      <c r="CD458" s="43"/>
      <c r="CE458" s="43"/>
      <c r="CF458" s="43"/>
      <c r="CG458" s="43"/>
      <c r="CH458" s="43"/>
      <c r="CI458" s="43"/>
      <c r="CJ458" s="43"/>
      <c r="CK458" s="43"/>
      <c r="CL458" s="43"/>
      <c r="CM458" s="43"/>
      <c r="CN458" s="43"/>
      <c r="CO458" s="43"/>
      <c r="CP458" s="376"/>
      <c r="CQ458" s="376"/>
      <c r="CR458" s="376"/>
      <c r="CS458" s="376"/>
      <c r="CT458" s="376"/>
      <c r="CU458" s="376"/>
      <c r="CV458" s="376"/>
      <c r="CW458" s="376"/>
      <c r="CX458" s="376"/>
      <c r="CY458" s="376"/>
      <c r="CZ458" s="172"/>
      <c r="DA458" s="172"/>
      <c r="DB458" s="172"/>
      <c r="DC458" s="172"/>
      <c r="DD458" s="172"/>
      <c r="DE458" s="413"/>
      <c r="DF458" s="413"/>
      <c r="DG458" s="413"/>
      <c r="DH458" s="413"/>
      <c r="DI458" s="413"/>
      <c r="DJ458" s="413"/>
      <c r="DK458" s="413"/>
      <c r="DL458" s="413"/>
      <c r="DM458" s="413"/>
      <c r="DN458" s="413"/>
      <c r="DO458" s="413"/>
      <c r="DP458" s="413"/>
      <c r="DQ458" s="413"/>
      <c r="DR458" s="413"/>
      <c r="DS458" s="413"/>
      <c r="DT458" s="413"/>
      <c r="DU458" s="413"/>
      <c r="DV458" s="413"/>
      <c r="DW458" s="413"/>
      <c r="DX458" s="413"/>
      <c r="DY458" s="413"/>
      <c r="DZ458" s="413"/>
      <c r="EA458" s="413"/>
      <c r="EB458" s="413"/>
      <c r="EC458" s="413"/>
      <c r="ED458" s="413"/>
      <c r="EE458" s="413"/>
      <c r="EF458" s="413"/>
      <c r="EG458" s="413"/>
      <c r="EH458" s="413"/>
      <c r="EI458" s="413"/>
      <c r="EJ458" s="413"/>
      <c r="EK458" s="413"/>
      <c r="EL458" s="413"/>
      <c r="EM458" s="413"/>
      <c r="EN458" s="413"/>
      <c r="EO458" s="413"/>
      <c r="EP458" s="413"/>
      <c r="EQ458" s="413"/>
      <c r="ER458" s="413"/>
      <c r="ES458" s="413"/>
      <c r="ET458" s="413"/>
      <c r="EU458" s="413"/>
      <c r="EV458" s="413"/>
      <c r="EW458" s="413"/>
      <c r="EX458" s="413"/>
      <c r="EY458" s="413"/>
      <c r="EZ458" s="413"/>
      <c r="FA458" s="413"/>
      <c r="FB458" s="413"/>
      <c r="FC458" s="413"/>
      <c r="FD458" s="413"/>
      <c r="FE458" s="413"/>
      <c r="FF458" s="413"/>
      <c r="FG458" s="413"/>
      <c r="FH458" s="413"/>
      <c r="FI458" s="107"/>
      <c r="FJ458" s="107"/>
      <c r="FK458" s="107"/>
      <c r="FL458" s="107"/>
      <c r="FM458" s="338"/>
      <c r="FN458" s="338"/>
      <c r="FO458" s="338"/>
      <c r="FP458" s="47"/>
      <c r="FQ458" s="47"/>
      <c r="FR458" s="47"/>
      <c r="FS458" s="47"/>
      <c r="FT458" s="47"/>
      <c r="FU458" s="338"/>
      <c r="FV458" s="338"/>
      <c r="FW458" s="338"/>
      <c r="FX458" s="338"/>
      <c r="FY458" s="32"/>
      <c r="FZ458" s="32"/>
      <c r="GA458" s="32"/>
      <c r="GB458" s="32"/>
      <c r="GC458" s="32"/>
      <c r="GD458" s="32"/>
      <c r="GE458" s="32"/>
      <c r="GF458" s="32"/>
      <c r="GG458" s="32"/>
      <c r="GH458" s="32"/>
      <c r="GI458" s="32"/>
      <c r="GJ458" s="32"/>
      <c r="GK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38"/>
      <c r="HO458" s="338"/>
      <c r="HP458" s="338"/>
      <c r="HQ458" s="13"/>
      <c r="HR458" s="13"/>
      <c r="HS458" s="13"/>
      <c r="HT458" s="13"/>
      <c r="HU458" s="13"/>
      <c r="HV458" s="13"/>
      <c r="HW458" s="13"/>
      <c r="HX458" s="13"/>
      <c r="HY458" s="13"/>
      <c r="HZ458" s="13"/>
      <c r="IA458" s="13"/>
    </row>
    <row r="459" spans="1:235" ht="16.95" customHeight="1">
      <c r="A459" s="1"/>
      <c r="B459" s="3"/>
      <c r="C459" s="3"/>
      <c r="D459" s="124" t="str">
        <f ca="1">IF(FP455=0,"","je over zijn surplus zeggen?")</f>
        <v/>
      </c>
      <c r="E459" s="414"/>
      <c r="F459" s="414"/>
      <c r="G459" s="414"/>
      <c r="H459" s="414"/>
      <c r="I459" s="414"/>
      <c r="J459" s="376"/>
      <c r="K459" s="376"/>
      <c r="L459" s="376"/>
      <c r="M459" s="376"/>
      <c r="N459" s="376"/>
      <c r="O459" s="376"/>
      <c r="P459" s="376"/>
      <c r="Q459" s="376"/>
      <c r="R459" s="376"/>
      <c r="S459" s="376"/>
      <c r="T459" s="376"/>
      <c r="U459" s="376"/>
      <c r="V459" s="43"/>
      <c r="W459" s="43"/>
      <c r="X459" s="43"/>
      <c r="Y459" s="43"/>
      <c r="Z459" s="43"/>
      <c r="AA459" s="43"/>
      <c r="AB459" s="43"/>
      <c r="AC459" s="43"/>
      <c r="AD459" s="43"/>
      <c r="AE459" s="43"/>
      <c r="AF459" s="43"/>
      <c r="AG459" s="43"/>
      <c r="AH459" s="43"/>
      <c r="AI459" s="43"/>
      <c r="AJ459" s="43"/>
      <c r="AK459" s="43"/>
      <c r="AL459" s="43"/>
      <c r="AM459" s="43"/>
      <c r="AN459" s="43"/>
      <c r="AO459" s="351"/>
      <c r="AP459" s="351"/>
      <c r="AQ459" s="351"/>
      <c r="AR459" s="351"/>
      <c r="AS459" s="351"/>
      <c r="AT459" s="351"/>
      <c r="AU459" s="351"/>
      <c r="AV459" s="351"/>
      <c r="AW459" s="351"/>
      <c r="AX459" s="351"/>
      <c r="AY459" s="351"/>
      <c r="AZ459" s="351"/>
      <c r="BA459" s="351"/>
      <c r="BB459" s="351"/>
      <c r="BC459" s="351"/>
      <c r="BD459" s="351"/>
      <c r="BE459" s="351"/>
      <c r="BF459" s="351"/>
      <c r="BG459" s="351"/>
      <c r="BH459" s="351"/>
      <c r="BI459" s="351"/>
      <c r="BJ459" s="351"/>
      <c r="BK459" s="351"/>
      <c r="BL459" s="351"/>
      <c r="BM459" s="351"/>
      <c r="BN459" s="351"/>
      <c r="BO459" s="351"/>
      <c r="BP459" s="351"/>
      <c r="BQ459" s="351"/>
      <c r="BR459" s="351"/>
      <c r="BS459" s="351"/>
      <c r="BT459" s="351"/>
      <c r="BU459" s="351"/>
      <c r="BV459" s="351"/>
      <c r="BW459" s="351"/>
      <c r="BX459" s="351"/>
      <c r="BY459" s="351"/>
      <c r="BZ459" s="351"/>
      <c r="CA459" s="351"/>
      <c r="CB459" s="43"/>
      <c r="CC459" s="43"/>
      <c r="CD459" s="43"/>
      <c r="CE459" s="43"/>
      <c r="CF459" s="43"/>
      <c r="CG459" s="43"/>
      <c r="CH459" s="43"/>
      <c r="CI459" s="43"/>
      <c r="CJ459" s="43"/>
      <c r="CK459" s="43"/>
      <c r="CL459" s="43"/>
      <c r="CM459" s="43"/>
      <c r="CN459" s="43"/>
      <c r="CO459" s="43"/>
      <c r="CP459" s="376"/>
      <c r="CQ459" s="376"/>
      <c r="CR459" s="376"/>
      <c r="CS459" s="376"/>
      <c r="CT459" s="376"/>
      <c r="CU459" s="376"/>
      <c r="CV459" s="376"/>
      <c r="CW459" s="376"/>
      <c r="CX459" s="376"/>
      <c r="CY459" s="376"/>
      <c r="CZ459" s="172"/>
      <c r="DA459" s="172"/>
      <c r="DB459" s="172"/>
      <c r="DC459" s="172"/>
      <c r="DD459" s="172"/>
      <c r="DE459" s="413"/>
      <c r="DF459" s="413"/>
      <c r="DG459" s="413"/>
      <c r="DH459" s="413"/>
      <c r="DI459" s="413"/>
      <c r="DJ459" s="413"/>
      <c r="DK459" s="413"/>
      <c r="DL459" s="413"/>
      <c r="DM459" s="413"/>
      <c r="DN459" s="413"/>
      <c r="DO459" s="413"/>
      <c r="DP459" s="413"/>
      <c r="DQ459" s="413"/>
      <c r="DR459" s="413"/>
      <c r="DS459" s="413"/>
      <c r="DT459" s="413"/>
      <c r="DU459" s="413"/>
      <c r="DV459" s="413"/>
      <c r="DW459" s="413"/>
      <c r="DX459" s="413"/>
      <c r="DY459" s="413"/>
      <c r="DZ459" s="413"/>
      <c r="EA459" s="413"/>
      <c r="EB459" s="413"/>
      <c r="EC459" s="413"/>
      <c r="ED459" s="413"/>
      <c r="EE459" s="413"/>
      <c r="EF459" s="413"/>
      <c r="EG459" s="413"/>
      <c r="EH459" s="413"/>
      <c r="EI459" s="413"/>
      <c r="EJ459" s="413"/>
      <c r="EK459" s="413"/>
      <c r="EL459" s="413"/>
      <c r="EM459" s="413"/>
      <c r="EN459" s="413"/>
      <c r="EO459" s="413"/>
      <c r="EP459" s="413"/>
      <c r="EQ459" s="413"/>
      <c r="ER459" s="413"/>
      <c r="ES459" s="413"/>
      <c r="ET459" s="413"/>
      <c r="EU459" s="413"/>
      <c r="EV459" s="413"/>
      <c r="EW459" s="413"/>
      <c r="EX459" s="413"/>
      <c r="EY459" s="413"/>
      <c r="EZ459" s="413"/>
      <c r="FA459" s="413"/>
      <c r="FB459" s="413"/>
      <c r="FC459" s="413"/>
      <c r="FD459" s="413"/>
      <c r="FE459" s="413"/>
      <c r="FF459" s="413"/>
      <c r="FG459" s="413"/>
      <c r="FH459" s="413"/>
      <c r="FI459" s="407"/>
      <c r="FJ459" s="407"/>
      <c r="FK459" s="407"/>
      <c r="FL459" s="407"/>
      <c r="FM459" s="338"/>
      <c r="FN459" s="338"/>
      <c r="FO459" s="338"/>
      <c r="FP459" s="47"/>
      <c r="FQ459" s="47"/>
      <c r="FR459" s="47"/>
      <c r="FS459" s="47"/>
      <c r="FT459" s="47"/>
      <c r="FU459" s="338"/>
      <c r="FV459" s="338"/>
      <c r="FW459" s="338"/>
      <c r="FX459" s="338"/>
      <c r="FY459" s="32"/>
      <c r="FZ459" s="32"/>
      <c r="GA459" s="32"/>
      <c r="GB459" s="32"/>
      <c r="GC459" s="32"/>
      <c r="GD459" s="32"/>
      <c r="GE459" s="32"/>
      <c r="GF459" s="32"/>
      <c r="GG459" s="32"/>
      <c r="GH459" s="32"/>
      <c r="GI459" s="32"/>
      <c r="GJ459" s="32"/>
      <c r="GK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38"/>
      <c r="HO459" s="338"/>
      <c r="HP459" s="338"/>
      <c r="HQ459" s="13"/>
      <c r="HR459" s="13"/>
      <c r="HS459" s="13"/>
      <c r="HT459" s="13"/>
      <c r="HU459" s="13"/>
      <c r="HV459" s="13"/>
      <c r="HW459" s="13"/>
      <c r="HX459" s="13"/>
      <c r="HY459" s="13"/>
      <c r="HZ459" s="13"/>
      <c r="IA459" s="13"/>
    </row>
    <row r="460" spans="1:235" ht="8.25" customHeight="1">
      <c r="A460" s="1"/>
      <c r="B460" s="3"/>
      <c r="C460" s="3"/>
      <c r="D460" s="124"/>
      <c r="E460" s="414"/>
      <c r="F460" s="414"/>
      <c r="G460" s="415"/>
      <c r="H460" s="414"/>
      <c r="I460" s="414"/>
      <c r="J460" s="376"/>
      <c r="K460" s="376"/>
      <c r="L460" s="376"/>
      <c r="M460" s="376"/>
      <c r="N460" s="376"/>
      <c r="O460" s="376"/>
      <c r="P460" s="376"/>
      <c r="Q460" s="376"/>
      <c r="R460" s="376"/>
      <c r="S460" s="376"/>
      <c r="T460" s="376"/>
      <c r="U460" s="376"/>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376"/>
      <c r="CQ460" s="376"/>
      <c r="CR460" s="376"/>
      <c r="CS460" s="376"/>
      <c r="CT460" s="376"/>
      <c r="CU460" s="376"/>
      <c r="CV460" s="376"/>
      <c r="CW460" s="376"/>
      <c r="CX460" s="376"/>
      <c r="CY460" s="376"/>
      <c r="CZ460" s="376"/>
      <c r="DA460" s="376"/>
      <c r="DB460" s="376"/>
      <c r="DC460" s="376"/>
      <c r="DD460" s="376"/>
      <c r="DE460" s="376"/>
      <c r="DF460" s="376"/>
      <c r="DG460" s="376"/>
      <c r="DH460" s="376"/>
      <c r="DI460" s="376"/>
      <c r="DJ460" s="376"/>
      <c r="DK460" s="376"/>
      <c r="DL460" s="376"/>
      <c r="DM460" s="376"/>
      <c r="DN460" s="376"/>
      <c r="DO460" s="376"/>
      <c r="DP460" s="376"/>
      <c r="DQ460" s="376"/>
      <c r="DR460" s="376"/>
      <c r="DS460" s="376"/>
      <c r="DT460" s="376"/>
      <c r="DU460" s="376"/>
      <c r="DV460" s="376"/>
      <c r="DW460" s="376"/>
      <c r="DX460" s="376"/>
      <c r="DY460" s="376"/>
      <c r="DZ460" s="376"/>
      <c r="EA460" s="376"/>
      <c r="EB460" s="376"/>
      <c r="EC460" s="376"/>
      <c r="ED460" s="376"/>
      <c r="EE460" s="376"/>
      <c r="EF460" s="376"/>
      <c r="EG460" s="376"/>
      <c r="EH460" s="376"/>
      <c r="EI460" s="376"/>
      <c r="EJ460" s="376"/>
      <c r="EK460" s="376"/>
      <c r="EL460" s="376"/>
      <c r="EM460" s="376"/>
      <c r="EN460" s="376"/>
      <c r="EO460" s="376"/>
      <c r="EP460" s="717" t="str">
        <f ca="1">IF(FP455=0,"",IF(G462="","",IF(FO462=1,"Goed! Want producentensurplus = winst + TCK (die niet veranderd zijn)",IF(G462=FR462,"Fout! Producentensurplus = winst + TCK (die niet zijn veranderd).","Fout! De hogere afzet is ook verrekend in de winst."))))</f>
        <v/>
      </c>
      <c r="EQ460" s="718"/>
      <c r="ER460" s="718"/>
      <c r="ES460" s="718"/>
      <c r="ET460" s="718"/>
      <c r="EU460" s="718"/>
      <c r="EV460" s="718"/>
      <c r="EW460" s="718"/>
      <c r="EX460" s="718"/>
      <c r="EY460" s="718"/>
      <c r="EZ460" s="718"/>
      <c r="FA460" s="718"/>
      <c r="FB460" s="718"/>
      <c r="FC460" s="718"/>
      <c r="FD460" s="718"/>
      <c r="FE460" s="718"/>
      <c r="FF460" s="718"/>
      <c r="FG460" s="718"/>
      <c r="FH460" s="718"/>
      <c r="FI460" s="718"/>
      <c r="FJ460" s="718"/>
      <c r="FK460" s="718"/>
      <c r="FL460" s="718"/>
      <c r="FM460" s="338"/>
      <c r="FN460" s="338"/>
      <c r="FO460" s="338"/>
      <c r="FP460" s="338"/>
      <c r="FQ460" s="338"/>
      <c r="FR460" s="338"/>
      <c r="FS460" s="338"/>
      <c r="FT460" s="338"/>
      <c r="FU460" s="338"/>
      <c r="FV460" s="338"/>
      <c r="FW460" s="338"/>
      <c r="FX460" s="338"/>
      <c r="FY460" s="32"/>
      <c r="FZ460" s="32"/>
      <c r="GA460" s="32"/>
      <c r="GB460" s="32"/>
      <c r="GC460" s="32"/>
      <c r="GD460" s="32"/>
      <c r="GE460" s="32"/>
      <c r="GF460" s="32"/>
      <c r="GG460" s="32"/>
      <c r="GH460" s="32"/>
      <c r="GI460" s="32"/>
      <c r="GJ460" s="32"/>
      <c r="GK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38"/>
      <c r="HO460" s="338"/>
      <c r="HP460" s="338"/>
      <c r="HQ460" s="13"/>
      <c r="HR460" s="13"/>
      <c r="HS460" s="13"/>
      <c r="HT460" s="13"/>
      <c r="HU460" s="13"/>
      <c r="HV460" s="13"/>
      <c r="HW460" s="13"/>
      <c r="HX460" s="13"/>
      <c r="HY460" s="13"/>
      <c r="HZ460" s="13"/>
      <c r="IA460" s="13"/>
    </row>
    <row r="461" spans="1:235" ht="3.75" customHeight="1">
      <c r="A461" s="1"/>
      <c r="B461" s="3"/>
      <c r="C461" s="3"/>
      <c r="D461" s="414"/>
      <c r="E461" s="376"/>
      <c r="F461" s="538" t="str">
        <f ca="1">IF(FP455=0,"",".")</f>
        <v/>
      </c>
      <c r="G461" s="545"/>
      <c r="H461" s="545"/>
      <c r="I461" s="545"/>
      <c r="J461" s="545"/>
      <c r="K461" s="545"/>
      <c r="L461" s="545"/>
      <c r="M461" s="545"/>
      <c r="N461" s="545"/>
      <c r="O461" s="545"/>
      <c r="P461" s="545"/>
      <c r="Q461" s="545"/>
      <c r="R461" s="545"/>
      <c r="S461" s="545"/>
      <c r="T461" s="545"/>
      <c r="U461" s="545"/>
      <c r="V461" s="545"/>
      <c r="W461" s="545"/>
      <c r="X461" s="545"/>
      <c r="Y461" s="545"/>
      <c r="Z461" s="545"/>
      <c r="AA461" s="545"/>
      <c r="AB461" s="545"/>
      <c r="AC461" s="545"/>
      <c r="AD461" s="545"/>
      <c r="AE461" s="545"/>
      <c r="AF461" s="545"/>
      <c r="AG461" s="545"/>
      <c r="AH461" s="545"/>
      <c r="AI461" s="545"/>
      <c r="AJ461" s="545"/>
      <c r="AK461" s="545"/>
      <c r="AL461" s="545"/>
      <c r="AM461" s="545"/>
      <c r="AN461" s="545"/>
      <c r="AO461" s="545"/>
      <c r="AP461" s="545"/>
      <c r="AQ461" s="545"/>
      <c r="AR461" s="545"/>
      <c r="AS461" s="545"/>
      <c r="AT461" s="545"/>
      <c r="AU461" s="545"/>
      <c r="AV461" s="545"/>
      <c r="AW461" s="545"/>
      <c r="AX461" s="545"/>
      <c r="AY461" s="545"/>
      <c r="AZ461" s="545"/>
      <c r="BA461" s="545"/>
      <c r="BB461" s="545"/>
      <c r="BC461" s="545"/>
      <c r="BD461" s="545"/>
      <c r="BE461" s="545"/>
      <c r="BF461" s="545"/>
      <c r="BG461" s="545"/>
      <c r="BH461" s="545"/>
      <c r="BI461" s="545"/>
      <c r="BJ461" s="545"/>
      <c r="BK461" s="545"/>
      <c r="BL461" s="545"/>
      <c r="BM461" s="545"/>
      <c r="BN461" s="545"/>
      <c r="BO461" s="545"/>
      <c r="BP461" s="545"/>
      <c r="BQ461" s="545"/>
      <c r="BR461" s="545"/>
      <c r="BS461" s="545"/>
      <c r="BT461" s="545"/>
      <c r="BU461" s="545"/>
      <c r="BV461" s="545"/>
      <c r="BW461" s="545"/>
      <c r="BX461" s="545"/>
      <c r="BY461" s="545"/>
      <c r="BZ461" s="545"/>
      <c r="CA461" s="545"/>
      <c r="CB461" s="545"/>
      <c r="CC461" s="545"/>
      <c r="CD461" s="545"/>
      <c r="CE461" s="545"/>
      <c r="CF461" s="545"/>
      <c r="CG461" s="545"/>
      <c r="CH461" s="545"/>
      <c r="CI461" s="545"/>
      <c r="CJ461" s="545"/>
      <c r="CK461" s="545"/>
      <c r="CL461" s="545"/>
      <c r="CM461" s="545"/>
      <c r="CN461" s="545"/>
      <c r="CO461" s="545"/>
      <c r="CP461" s="545"/>
      <c r="CQ461" s="545"/>
      <c r="CR461" s="545"/>
      <c r="CS461" s="545"/>
      <c r="CT461" s="545"/>
      <c r="CU461" s="545"/>
      <c r="CV461" s="545"/>
      <c r="CW461" s="545"/>
      <c r="CX461" s="545"/>
      <c r="CY461" s="545"/>
      <c r="CZ461" s="545"/>
      <c r="DA461" s="545"/>
      <c r="DB461" s="545"/>
      <c r="DC461" s="545"/>
      <c r="DD461" s="545"/>
      <c r="DE461" s="545"/>
      <c r="DF461" s="545"/>
      <c r="DG461" s="545"/>
      <c r="DH461" s="545"/>
      <c r="DI461" s="545"/>
      <c r="DJ461" s="545"/>
      <c r="DK461" s="545"/>
      <c r="DL461" s="545"/>
      <c r="DM461" s="545"/>
      <c r="DN461" s="545"/>
      <c r="DO461" s="545"/>
      <c r="DP461" s="545"/>
      <c r="DQ461" s="545"/>
      <c r="DR461" s="545"/>
      <c r="DS461" s="545"/>
      <c r="DT461" s="545"/>
      <c r="DU461" s="545"/>
      <c r="DV461" s="545"/>
      <c r="DW461" s="545"/>
      <c r="DX461" s="545"/>
      <c r="DY461" s="545"/>
      <c r="DZ461" s="545"/>
      <c r="EA461" s="545"/>
      <c r="EB461" s="545"/>
      <c r="EC461" s="545"/>
      <c r="ED461" s="545"/>
      <c r="EE461" s="545"/>
      <c r="EF461" s="545"/>
      <c r="EG461" s="545"/>
      <c r="EH461" s="545"/>
      <c r="EI461" s="545"/>
      <c r="EJ461" s="545"/>
      <c r="EK461" s="545"/>
      <c r="EL461" s="545"/>
      <c r="EM461" s="545"/>
      <c r="EN461" s="545"/>
      <c r="EO461" s="43"/>
      <c r="EP461" s="718"/>
      <c r="EQ461" s="718"/>
      <c r="ER461" s="718"/>
      <c r="ES461" s="718"/>
      <c r="ET461" s="718"/>
      <c r="EU461" s="718"/>
      <c r="EV461" s="718"/>
      <c r="EW461" s="718"/>
      <c r="EX461" s="718"/>
      <c r="EY461" s="718"/>
      <c r="EZ461" s="718"/>
      <c r="FA461" s="718"/>
      <c r="FB461" s="718"/>
      <c r="FC461" s="718"/>
      <c r="FD461" s="718"/>
      <c r="FE461" s="718"/>
      <c r="FF461" s="718"/>
      <c r="FG461" s="718"/>
      <c r="FH461" s="718"/>
      <c r="FI461" s="718"/>
      <c r="FJ461" s="718"/>
      <c r="FK461" s="718"/>
      <c r="FL461" s="718"/>
      <c r="FM461" s="47"/>
      <c r="FN461" s="47"/>
      <c r="FO461" s="47"/>
      <c r="FP461" s="47"/>
      <c r="FQ461" s="47"/>
      <c r="FR461" s="48"/>
      <c r="FS461" s="48"/>
      <c r="FT461" s="48"/>
      <c r="FU461" s="49"/>
      <c r="FV461" s="49"/>
      <c r="FW461" s="49"/>
      <c r="FX461" s="49"/>
      <c r="FY461" s="32"/>
      <c r="FZ461" s="32"/>
      <c r="GA461" s="32"/>
      <c r="GB461" s="32"/>
      <c r="GC461" s="32"/>
      <c r="GD461" s="32"/>
      <c r="GE461" s="32"/>
      <c r="GF461" s="32"/>
      <c r="GG461" s="32"/>
      <c r="GH461" s="32"/>
      <c r="GI461" s="32"/>
      <c r="GJ461" s="32"/>
      <c r="GK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38"/>
      <c r="HO461" s="338"/>
      <c r="HP461" s="338"/>
      <c r="HQ461" s="13"/>
      <c r="HR461" s="13"/>
      <c r="HS461" s="13"/>
      <c r="HT461" s="13"/>
      <c r="HU461" s="13"/>
      <c r="HV461" s="13"/>
      <c r="HW461" s="13"/>
      <c r="HX461" s="13"/>
      <c r="HY461" s="13"/>
      <c r="HZ461" s="13"/>
      <c r="IA461" s="13"/>
    </row>
    <row r="462" spans="1:235" ht="16.5" customHeight="1">
      <c r="A462" s="1"/>
      <c r="B462" s="3"/>
      <c r="C462" s="3"/>
      <c r="D462" s="43"/>
      <c r="E462" s="376"/>
      <c r="F462" s="408" t="str">
        <f ca="1">IF(FP455=0,"",".")</f>
        <v/>
      </c>
      <c r="G462" s="707"/>
      <c r="H462" s="720"/>
      <c r="I462" s="720"/>
      <c r="J462" s="720"/>
      <c r="K462" s="720"/>
      <c r="L462" s="720"/>
      <c r="M462" s="720"/>
      <c r="N462" s="720"/>
      <c r="O462" s="720"/>
      <c r="P462" s="720"/>
      <c r="Q462" s="720"/>
      <c r="R462" s="720"/>
      <c r="S462" s="720"/>
      <c r="T462" s="720"/>
      <c r="U462" s="720"/>
      <c r="V462" s="720"/>
      <c r="W462" s="720"/>
      <c r="X462" s="720"/>
      <c r="Y462" s="720"/>
      <c r="Z462" s="720"/>
      <c r="AA462" s="720"/>
      <c r="AB462" s="720"/>
      <c r="AC462" s="720"/>
      <c r="AD462" s="720"/>
      <c r="AE462" s="720"/>
      <c r="AF462" s="720"/>
      <c r="AG462" s="720"/>
      <c r="AH462" s="720"/>
      <c r="AI462" s="720"/>
      <c r="AJ462" s="720"/>
      <c r="AK462" s="720"/>
      <c r="AL462" s="720"/>
      <c r="AM462" s="720"/>
      <c r="AN462" s="720"/>
      <c r="AO462" s="720"/>
      <c r="AP462" s="720"/>
      <c r="AQ462" s="720"/>
      <c r="AR462" s="720"/>
      <c r="AS462" s="720"/>
      <c r="AT462" s="720"/>
      <c r="AU462" s="720"/>
      <c r="AV462" s="720"/>
      <c r="AW462" s="720"/>
      <c r="AX462" s="720"/>
      <c r="AY462" s="720"/>
      <c r="AZ462" s="720"/>
      <c r="BA462" s="720"/>
      <c r="BB462" s="720"/>
      <c r="BC462" s="720"/>
      <c r="BD462" s="720"/>
      <c r="BE462" s="720"/>
      <c r="BF462" s="720"/>
      <c r="BG462" s="720"/>
      <c r="BH462" s="720"/>
      <c r="BI462" s="720"/>
      <c r="BJ462" s="720"/>
      <c r="BK462" s="720"/>
      <c r="BL462" s="720"/>
      <c r="BM462" s="720"/>
      <c r="BN462" s="720"/>
      <c r="BO462" s="720"/>
      <c r="BP462" s="720"/>
      <c r="BQ462" s="720"/>
      <c r="BR462" s="720"/>
      <c r="BS462" s="720"/>
      <c r="BT462" s="720"/>
      <c r="BU462" s="720"/>
      <c r="BV462" s="720"/>
      <c r="BW462" s="720"/>
      <c r="BX462" s="720"/>
      <c r="BY462" s="720"/>
      <c r="BZ462" s="720"/>
      <c r="CA462" s="720"/>
      <c r="CB462" s="720"/>
      <c r="CC462" s="720"/>
      <c r="CD462" s="720"/>
      <c r="CE462" s="720"/>
      <c r="CF462" s="720"/>
      <c r="CG462" s="720"/>
      <c r="CH462" s="720"/>
      <c r="CI462" s="720"/>
      <c r="CJ462" s="720"/>
      <c r="CK462" s="720"/>
      <c r="CL462" s="720"/>
      <c r="CM462" s="720"/>
      <c r="CN462" s="720"/>
      <c r="CO462" s="720"/>
      <c r="CP462" s="720"/>
      <c r="CQ462" s="720"/>
      <c r="CR462" s="720"/>
      <c r="CS462" s="720"/>
      <c r="CT462" s="720"/>
      <c r="CU462" s="720"/>
      <c r="CV462" s="720"/>
      <c r="CW462" s="720"/>
      <c r="CX462" s="720"/>
      <c r="CY462" s="720"/>
      <c r="CZ462" s="720"/>
      <c r="DA462" s="720"/>
      <c r="DB462" s="720"/>
      <c r="DC462" s="720"/>
      <c r="DD462" s="720"/>
      <c r="DE462" s="720"/>
      <c r="DF462" s="720"/>
      <c r="DG462" s="720"/>
      <c r="DH462" s="720"/>
      <c r="DI462" s="720"/>
      <c r="DJ462" s="720"/>
      <c r="DK462" s="720"/>
      <c r="DL462" s="720"/>
      <c r="DM462" s="720"/>
      <c r="DN462" s="720"/>
      <c r="DO462" s="720"/>
      <c r="DP462" s="720"/>
      <c r="DQ462" s="720"/>
      <c r="DR462" s="720"/>
      <c r="DS462" s="720"/>
      <c r="DT462" s="720"/>
      <c r="DU462" s="720"/>
      <c r="DV462" s="720"/>
      <c r="DW462" s="720"/>
      <c r="DX462" s="720"/>
      <c r="DY462" s="720"/>
      <c r="DZ462" s="720"/>
      <c r="EA462" s="720"/>
      <c r="EB462" s="720"/>
      <c r="EC462" s="720"/>
      <c r="ED462" s="720"/>
      <c r="EE462" s="720"/>
      <c r="EF462" s="720"/>
      <c r="EG462" s="720"/>
      <c r="EH462" s="720"/>
      <c r="EI462" s="720"/>
      <c r="EJ462" s="720"/>
      <c r="EK462" s="720"/>
      <c r="EL462" s="720"/>
      <c r="EM462" s="720"/>
      <c r="EN462" s="408" t="str">
        <f ca="1">IF(FP455=0,"",".")</f>
        <v/>
      </c>
      <c r="EO462" s="376"/>
      <c r="EP462" s="718"/>
      <c r="EQ462" s="718"/>
      <c r="ER462" s="718"/>
      <c r="ES462" s="718"/>
      <c r="ET462" s="718"/>
      <c r="EU462" s="718"/>
      <c r="EV462" s="718"/>
      <c r="EW462" s="718"/>
      <c r="EX462" s="718"/>
      <c r="EY462" s="718"/>
      <c r="EZ462" s="718"/>
      <c r="FA462" s="718"/>
      <c r="FB462" s="718"/>
      <c r="FC462" s="718"/>
      <c r="FD462" s="718"/>
      <c r="FE462" s="718"/>
      <c r="FF462" s="718"/>
      <c r="FG462" s="718"/>
      <c r="FH462" s="718"/>
      <c r="FI462" s="718"/>
      <c r="FJ462" s="718"/>
      <c r="FK462" s="718"/>
      <c r="FL462" s="718"/>
      <c r="FM462" s="47"/>
      <c r="FN462" s="47"/>
      <c r="FO462" s="48">
        <f ca="1">IF(programma!B1="X",1,IF(FP455=0,0,IF(G462=FS462,1,0)))</f>
        <v>0</v>
      </c>
      <c r="FP462" s="120"/>
      <c r="FQ462" s="185" t="str">
        <f ca="1">IF(FO1=0,"",FS462)</f>
        <v>het producentensurplus is gestegen met precies evenveel euro's als de winst</v>
      </c>
      <c r="FR462" s="48" t="s">
        <v>219</v>
      </c>
      <c r="FS462" s="48" t="s">
        <v>218</v>
      </c>
      <c r="FT462" s="48" t="s">
        <v>220</v>
      </c>
      <c r="FU462" s="48"/>
      <c r="FV462" s="48"/>
      <c r="FW462" s="48"/>
      <c r="FX462" s="48"/>
      <c r="FY462" s="32"/>
      <c r="FZ462" s="32"/>
      <c r="GA462" s="32"/>
      <c r="GB462" s="32"/>
      <c r="GC462" s="32"/>
      <c r="GD462" s="32"/>
      <c r="GE462" s="32"/>
      <c r="GF462" s="32"/>
      <c r="GG462" s="32"/>
      <c r="GH462" s="32"/>
      <c r="GI462" s="32"/>
      <c r="GJ462" s="32"/>
      <c r="GK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38"/>
      <c r="HO462" s="338"/>
      <c r="HP462" s="338"/>
      <c r="HQ462" s="13"/>
      <c r="HR462" s="13"/>
      <c r="HS462" s="13"/>
      <c r="HT462" s="13"/>
      <c r="HU462" s="13"/>
      <c r="HV462" s="13"/>
      <c r="HW462" s="13"/>
      <c r="HX462" s="13"/>
      <c r="HY462" s="13"/>
      <c r="HZ462" s="13"/>
      <c r="IA462" s="13"/>
    </row>
    <row r="463" spans="1:235" ht="3.75" customHeight="1">
      <c r="A463" s="1"/>
      <c r="B463" s="3"/>
      <c r="C463" s="3"/>
      <c r="D463" s="414"/>
      <c r="E463" s="376"/>
      <c r="F463" s="538" t="str">
        <f ca="1">IF(FP455=0,"",".")</f>
        <v/>
      </c>
      <c r="G463" s="554"/>
      <c r="H463" s="554"/>
      <c r="I463" s="554"/>
      <c r="J463" s="554"/>
      <c r="K463" s="554"/>
      <c r="L463" s="554"/>
      <c r="M463" s="554"/>
      <c r="N463" s="554"/>
      <c r="O463" s="554"/>
      <c r="P463" s="554"/>
      <c r="Q463" s="554"/>
      <c r="R463" s="554"/>
      <c r="S463" s="554"/>
      <c r="T463" s="554"/>
      <c r="U463" s="554"/>
      <c r="V463" s="554"/>
      <c r="W463" s="554"/>
      <c r="X463" s="554"/>
      <c r="Y463" s="554"/>
      <c r="Z463" s="554"/>
      <c r="AA463" s="554"/>
      <c r="AB463" s="554"/>
      <c r="AC463" s="554"/>
      <c r="AD463" s="554"/>
      <c r="AE463" s="554"/>
      <c r="AF463" s="554"/>
      <c r="AG463" s="554"/>
      <c r="AH463" s="554"/>
      <c r="AI463" s="554"/>
      <c r="AJ463" s="554"/>
      <c r="AK463" s="554"/>
      <c r="AL463" s="554"/>
      <c r="AM463" s="554"/>
      <c r="AN463" s="554"/>
      <c r="AO463" s="554"/>
      <c r="AP463" s="554"/>
      <c r="AQ463" s="554"/>
      <c r="AR463" s="554"/>
      <c r="AS463" s="554"/>
      <c r="AT463" s="554"/>
      <c r="AU463" s="554"/>
      <c r="AV463" s="554"/>
      <c r="AW463" s="554"/>
      <c r="AX463" s="554"/>
      <c r="AY463" s="554"/>
      <c r="AZ463" s="554"/>
      <c r="BA463" s="554"/>
      <c r="BB463" s="554"/>
      <c r="BC463" s="554"/>
      <c r="BD463" s="554"/>
      <c r="BE463" s="554"/>
      <c r="BF463" s="554"/>
      <c r="BG463" s="554"/>
      <c r="BH463" s="554"/>
      <c r="BI463" s="554"/>
      <c r="BJ463" s="554"/>
      <c r="BK463" s="554"/>
      <c r="BL463" s="554"/>
      <c r="BM463" s="554"/>
      <c r="BN463" s="554"/>
      <c r="BO463" s="554"/>
      <c r="BP463" s="554"/>
      <c r="BQ463" s="554"/>
      <c r="BR463" s="554"/>
      <c r="BS463" s="554"/>
      <c r="BT463" s="554"/>
      <c r="BU463" s="554"/>
      <c r="BV463" s="554"/>
      <c r="BW463" s="554"/>
      <c r="BX463" s="554"/>
      <c r="BY463" s="554"/>
      <c r="BZ463" s="554"/>
      <c r="CA463" s="554"/>
      <c r="CB463" s="554"/>
      <c r="CC463" s="554"/>
      <c r="CD463" s="554"/>
      <c r="CE463" s="554"/>
      <c r="CF463" s="554"/>
      <c r="CG463" s="554"/>
      <c r="CH463" s="554"/>
      <c r="CI463" s="554"/>
      <c r="CJ463" s="554"/>
      <c r="CK463" s="554"/>
      <c r="CL463" s="554"/>
      <c r="CM463" s="554"/>
      <c r="CN463" s="554"/>
      <c r="CO463" s="554"/>
      <c r="CP463" s="554"/>
      <c r="CQ463" s="554"/>
      <c r="CR463" s="554"/>
      <c r="CS463" s="554"/>
      <c r="CT463" s="554"/>
      <c r="CU463" s="554"/>
      <c r="CV463" s="554"/>
      <c r="CW463" s="554"/>
      <c r="CX463" s="554"/>
      <c r="CY463" s="554"/>
      <c r="CZ463" s="554"/>
      <c r="DA463" s="554"/>
      <c r="DB463" s="554"/>
      <c r="DC463" s="554"/>
      <c r="DD463" s="554"/>
      <c r="DE463" s="554"/>
      <c r="DF463" s="554"/>
      <c r="DG463" s="554"/>
      <c r="DH463" s="554"/>
      <c r="DI463" s="554"/>
      <c r="DJ463" s="554"/>
      <c r="DK463" s="554"/>
      <c r="DL463" s="554"/>
      <c r="DM463" s="554"/>
      <c r="DN463" s="554"/>
      <c r="DO463" s="554"/>
      <c r="DP463" s="554"/>
      <c r="DQ463" s="554"/>
      <c r="DR463" s="554"/>
      <c r="DS463" s="554"/>
      <c r="DT463" s="554"/>
      <c r="DU463" s="554"/>
      <c r="DV463" s="554"/>
      <c r="DW463" s="554"/>
      <c r="DX463" s="554"/>
      <c r="DY463" s="554"/>
      <c r="DZ463" s="554"/>
      <c r="EA463" s="554"/>
      <c r="EB463" s="554"/>
      <c r="EC463" s="554"/>
      <c r="ED463" s="554"/>
      <c r="EE463" s="554"/>
      <c r="EF463" s="554"/>
      <c r="EG463" s="554"/>
      <c r="EH463" s="554"/>
      <c r="EI463" s="554"/>
      <c r="EJ463" s="554"/>
      <c r="EK463" s="554"/>
      <c r="EL463" s="554"/>
      <c r="EM463" s="554"/>
      <c r="EN463" s="554"/>
      <c r="EO463" s="43"/>
      <c r="EP463" s="718"/>
      <c r="EQ463" s="718"/>
      <c r="ER463" s="718"/>
      <c r="ES463" s="718"/>
      <c r="ET463" s="718"/>
      <c r="EU463" s="718"/>
      <c r="EV463" s="718"/>
      <c r="EW463" s="718"/>
      <c r="EX463" s="718"/>
      <c r="EY463" s="718"/>
      <c r="EZ463" s="718"/>
      <c r="FA463" s="718"/>
      <c r="FB463" s="718"/>
      <c r="FC463" s="718"/>
      <c r="FD463" s="718"/>
      <c r="FE463" s="718"/>
      <c r="FF463" s="718"/>
      <c r="FG463" s="718"/>
      <c r="FH463" s="718"/>
      <c r="FI463" s="718"/>
      <c r="FJ463" s="718"/>
      <c r="FK463" s="718"/>
      <c r="FL463" s="718"/>
      <c r="FM463" s="47"/>
      <c r="FN463" s="47"/>
      <c r="FO463" s="47"/>
      <c r="FP463" s="47"/>
      <c r="FQ463" s="47"/>
      <c r="FR463" s="47"/>
      <c r="FS463" s="49"/>
      <c r="FT463" s="49"/>
      <c r="FU463" s="49"/>
      <c r="FV463" s="49"/>
      <c r="FW463" s="49"/>
      <c r="FX463" s="49"/>
      <c r="FY463" s="32"/>
      <c r="FZ463" s="32"/>
      <c r="GA463" s="32"/>
      <c r="GB463" s="32"/>
      <c r="GC463" s="32"/>
      <c r="GD463" s="32"/>
      <c r="GE463" s="32"/>
      <c r="GF463" s="32"/>
      <c r="GG463" s="32"/>
      <c r="GH463" s="32"/>
      <c r="GI463" s="32"/>
      <c r="GJ463" s="32"/>
      <c r="GK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38"/>
      <c r="HO463" s="338"/>
      <c r="HP463" s="338"/>
      <c r="HQ463" s="13"/>
      <c r="HR463" s="13"/>
      <c r="HS463" s="13"/>
      <c r="HT463" s="13"/>
      <c r="HU463" s="13"/>
      <c r="HV463" s="13"/>
      <c r="HW463" s="13"/>
      <c r="HX463" s="13"/>
      <c r="HY463" s="13"/>
      <c r="HZ463" s="13"/>
      <c r="IA463" s="13"/>
    </row>
    <row r="464" spans="1:235" ht="9.75" customHeight="1">
      <c r="A464" s="1"/>
      <c r="B464" s="3"/>
      <c r="C464" s="3"/>
      <c r="D464" s="414"/>
      <c r="E464" s="376"/>
      <c r="F464" s="351"/>
      <c r="G464" s="351"/>
      <c r="H464" s="351"/>
      <c r="I464" s="351"/>
      <c r="J464" s="351"/>
      <c r="K464" s="351"/>
      <c r="L464" s="351"/>
      <c r="M464" s="351"/>
      <c r="N464" s="351"/>
      <c r="O464" s="351"/>
      <c r="P464" s="351"/>
      <c r="Q464" s="351"/>
      <c r="R464" s="351"/>
      <c r="S464" s="351"/>
      <c r="T464" s="351"/>
      <c r="U464" s="351"/>
      <c r="V464" s="351"/>
      <c r="W464" s="351"/>
      <c r="X464" s="351"/>
      <c r="Y464" s="351"/>
      <c r="Z464" s="351"/>
      <c r="AA464" s="351"/>
      <c r="AB464" s="351"/>
      <c r="AC464" s="351"/>
      <c r="AD464" s="351"/>
      <c r="AE464" s="351"/>
      <c r="AF464" s="351"/>
      <c r="AG464" s="351"/>
      <c r="AH464" s="351"/>
      <c r="AI464" s="351"/>
      <c r="AJ464" s="351"/>
      <c r="AK464" s="351"/>
      <c r="AL464" s="351"/>
      <c r="AM464" s="351"/>
      <c r="AN464" s="351"/>
      <c r="AO464" s="351"/>
      <c r="AP464" s="351"/>
      <c r="AQ464" s="351"/>
      <c r="AR464" s="351"/>
      <c r="AS464" s="351"/>
      <c r="AT464" s="351"/>
      <c r="AU464" s="351"/>
      <c r="AV464" s="351"/>
      <c r="AW464" s="351"/>
      <c r="AX464" s="351"/>
      <c r="AY464" s="351"/>
      <c r="AZ464" s="351"/>
      <c r="BA464" s="351"/>
      <c r="BB464" s="351"/>
      <c r="BC464" s="351"/>
      <c r="BD464" s="351"/>
      <c r="BE464" s="351"/>
      <c r="BF464" s="351"/>
      <c r="BG464" s="351"/>
      <c r="BH464" s="351"/>
      <c r="BI464" s="351"/>
      <c r="BJ464" s="351"/>
      <c r="BK464" s="351"/>
      <c r="BL464" s="351"/>
      <c r="BM464" s="351"/>
      <c r="BN464" s="351"/>
      <c r="BO464" s="351"/>
      <c r="BP464" s="351"/>
      <c r="BQ464" s="351"/>
      <c r="BR464" s="351"/>
      <c r="BS464" s="351"/>
      <c r="BT464" s="351"/>
      <c r="BU464" s="351"/>
      <c r="BV464" s="351"/>
      <c r="BW464" s="351"/>
      <c r="BX464" s="351"/>
      <c r="BY464" s="351"/>
      <c r="BZ464" s="351"/>
      <c r="CA464" s="351"/>
      <c r="CB464" s="351"/>
      <c r="CC464" s="351"/>
      <c r="CD464" s="351"/>
      <c r="CE464" s="351"/>
      <c r="CF464" s="351"/>
      <c r="CG464" s="351"/>
      <c r="CH464" s="351"/>
      <c r="CI464" s="351"/>
      <c r="CJ464" s="351"/>
      <c r="CK464" s="351"/>
      <c r="CL464" s="351"/>
      <c r="CM464" s="351"/>
      <c r="CN464" s="351"/>
      <c r="CO464" s="351"/>
      <c r="CP464" s="351"/>
      <c r="CQ464" s="351"/>
      <c r="CR464" s="351"/>
      <c r="CS464" s="351"/>
      <c r="CT464" s="351"/>
      <c r="CU464" s="351"/>
      <c r="CV464" s="351"/>
      <c r="CW464" s="351"/>
      <c r="CX464" s="351"/>
      <c r="CY464" s="351"/>
      <c r="CZ464" s="351"/>
      <c r="DA464" s="351"/>
      <c r="DB464" s="351"/>
      <c r="DC464" s="351"/>
      <c r="DD464" s="351"/>
      <c r="DE464" s="351"/>
      <c r="DF464" s="351"/>
      <c r="DG464" s="351"/>
      <c r="DH464" s="351"/>
      <c r="DI464" s="351"/>
      <c r="DJ464" s="351"/>
      <c r="DK464" s="351"/>
      <c r="DL464" s="351"/>
      <c r="DM464" s="351"/>
      <c r="DN464" s="351"/>
      <c r="DO464" s="351"/>
      <c r="DP464" s="351"/>
      <c r="DQ464" s="351"/>
      <c r="DR464" s="351"/>
      <c r="DS464" s="351"/>
      <c r="DT464" s="351"/>
      <c r="DU464" s="351"/>
      <c r="DV464" s="351"/>
      <c r="DW464" s="351"/>
      <c r="DX464" s="351"/>
      <c r="DY464" s="351"/>
      <c r="DZ464" s="351"/>
      <c r="EA464" s="351"/>
      <c r="EB464" s="351"/>
      <c r="EC464" s="351"/>
      <c r="ED464" s="351"/>
      <c r="EE464" s="351"/>
      <c r="EF464" s="351"/>
      <c r="EG464" s="351"/>
      <c r="EH464" s="351"/>
      <c r="EI464" s="351"/>
      <c r="EJ464" s="351"/>
      <c r="EK464" s="351"/>
      <c r="EL464" s="351"/>
      <c r="EM464" s="351"/>
      <c r="EN464" s="351"/>
      <c r="EO464" s="351"/>
      <c r="EP464" s="718"/>
      <c r="EQ464" s="718"/>
      <c r="ER464" s="718"/>
      <c r="ES464" s="718"/>
      <c r="ET464" s="718"/>
      <c r="EU464" s="718"/>
      <c r="EV464" s="718"/>
      <c r="EW464" s="718"/>
      <c r="EX464" s="718"/>
      <c r="EY464" s="718"/>
      <c r="EZ464" s="718"/>
      <c r="FA464" s="718"/>
      <c r="FB464" s="718"/>
      <c r="FC464" s="718"/>
      <c r="FD464" s="718"/>
      <c r="FE464" s="718"/>
      <c r="FF464" s="718"/>
      <c r="FG464" s="718"/>
      <c r="FH464" s="718"/>
      <c r="FI464" s="718"/>
      <c r="FJ464" s="718"/>
      <c r="FK464" s="718"/>
      <c r="FL464" s="718"/>
      <c r="FM464" s="47"/>
      <c r="FN464" s="47"/>
      <c r="FO464" s="47"/>
      <c r="FP464" s="47"/>
      <c r="FQ464" s="47"/>
      <c r="FR464" s="47"/>
      <c r="FS464" s="49"/>
      <c r="FT464" s="49"/>
      <c r="FU464" s="49"/>
      <c r="FV464" s="49"/>
      <c r="FW464" s="49"/>
      <c r="FX464" s="49"/>
      <c r="FY464" s="32"/>
      <c r="FZ464" s="32"/>
      <c r="GA464" s="32"/>
      <c r="GB464" s="32"/>
      <c r="GC464" s="32"/>
      <c r="GD464" s="32"/>
      <c r="GE464" s="32"/>
      <c r="GF464" s="32"/>
      <c r="GG464" s="32"/>
      <c r="GH464" s="32"/>
      <c r="GI464" s="32"/>
      <c r="GJ464" s="32"/>
      <c r="GK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38"/>
      <c r="HO464" s="338"/>
      <c r="HP464" s="338"/>
      <c r="HQ464" s="13"/>
      <c r="HR464" s="13"/>
      <c r="HS464" s="13"/>
      <c r="HT464" s="13"/>
      <c r="HU464" s="13"/>
      <c r="HV464" s="13"/>
      <c r="HW464" s="13"/>
      <c r="HX464" s="13"/>
      <c r="HY464" s="13"/>
      <c r="HZ464" s="13"/>
      <c r="IA464" s="13"/>
    </row>
    <row r="465" spans="1:235" ht="16.95" customHeight="1">
      <c r="A465" s="1"/>
      <c r="B465" s="3"/>
      <c r="C465" s="3"/>
      <c r="D465" s="124" t="str">
        <f ca="1">IF(FO462=0,"","Je bent nu klaar met dit onderwerp. Ga naar het volgende onderwerp door")</f>
        <v/>
      </c>
      <c r="E465" s="414"/>
      <c r="EP465" s="413"/>
      <c r="EQ465" s="413"/>
      <c r="ER465" s="413"/>
      <c r="ES465" s="413"/>
      <c r="ET465" s="413"/>
      <c r="EU465" s="413"/>
      <c r="EV465" s="413"/>
      <c r="EW465" s="413"/>
      <c r="EX465" s="413"/>
      <c r="EY465" s="413"/>
      <c r="EZ465" s="413"/>
      <c r="FA465" s="413"/>
      <c r="FB465" s="413"/>
      <c r="FC465" s="413"/>
      <c r="FD465" s="413"/>
      <c r="FE465" s="413"/>
      <c r="FF465" s="413"/>
      <c r="FG465" s="413"/>
      <c r="FH465" s="413"/>
      <c r="FI465" s="107"/>
      <c r="FJ465" s="107"/>
      <c r="FK465" s="107"/>
      <c r="FL465" s="107"/>
      <c r="FM465" s="338"/>
      <c r="FN465" s="338"/>
      <c r="FO465" s="338"/>
      <c r="FP465" s="47"/>
      <c r="FQ465" s="47"/>
      <c r="FR465" s="47"/>
      <c r="FS465" s="47"/>
      <c r="FT465" s="47"/>
      <c r="FU465" s="338"/>
      <c r="FV465" s="338"/>
      <c r="FW465" s="338"/>
      <c r="FX465" s="338"/>
      <c r="FY465" s="32"/>
      <c r="FZ465" s="32"/>
      <c r="GA465" s="32"/>
      <c r="GB465" s="32"/>
      <c r="GC465" s="32"/>
      <c r="GD465" s="32"/>
      <c r="GE465" s="32"/>
      <c r="GF465" s="32"/>
      <c r="GG465" s="32"/>
      <c r="GH465" s="32"/>
      <c r="GI465" s="32"/>
      <c r="GJ465" s="32"/>
      <c r="GK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38"/>
      <c r="HO465" s="338"/>
      <c r="HP465" s="338"/>
      <c r="HQ465" s="13"/>
      <c r="HR465" s="13"/>
      <c r="HS465" s="13"/>
      <c r="HT465" s="13"/>
      <c r="HU465" s="13"/>
      <c r="HV465" s="13"/>
      <c r="HW465" s="13"/>
      <c r="HX465" s="13"/>
      <c r="HY465" s="13"/>
      <c r="HZ465" s="13"/>
      <c r="IA465" s="13"/>
    </row>
    <row r="466" spans="1:235" ht="16.95" customHeight="1">
      <c r="A466" s="1"/>
      <c r="B466" s="3"/>
      <c r="C466" s="3"/>
      <c r="D466" s="124" t="str">
        <f ca="1">IF(FO462=0,"","op het betreffende tabblad te klikken.")</f>
        <v/>
      </c>
      <c r="E466" s="414"/>
      <c r="EP466" s="413"/>
      <c r="EQ466" s="413"/>
      <c r="ER466" s="413"/>
      <c r="ES466" s="413"/>
      <c r="ET466" s="413"/>
      <c r="EU466" s="413"/>
      <c r="EV466" s="413"/>
      <c r="EW466" s="413"/>
      <c r="EX466" s="413"/>
      <c r="EY466" s="413"/>
      <c r="EZ466" s="413"/>
      <c r="FA466" s="413"/>
      <c r="FB466" s="413"/>
      <c r="FC466" s="413"/>
      <c r="FD466" s="413"/>
      <c r="FE466" s="413"/>
      <c r="FF466" s="413"/>
      <c r="FG466" s="413"/>
      <c r="FH466" s="413"/>
      <c r="FI466" s="107"/>
      <c r="FJ466" s="107"/>
      <c r="FK466" s="107"/>
      <c r="FL466" s="107"/>
      <c r="FM466" s="338"/>
      <c r="FN466" s="338"/>
      <c r="FO466" s="338"/>
      <c r="FP466" s="47"/>
      <c r="FQ466" s="47"/>
      <c r="FR466" s="47"/>
      <c r="FS466" s="47"/>
      <c r="FT466" s="47"/>
      <c r="FU466" s="338"/>
      <c r="FV466" s="338"/>
      <c r="FW466" s="338"/>
      <c r="FX466" s="338"/>
      <c r="FY466" s="32"/>
      <c r="FZ466" s="32"/>
      <c r="GA466" s="32"/>
      <c r="GB466" s="32"/>
      <c r="GC466" s="32"/>
      <c r="GD466" s="32"/>
      <c r="GE466" s="32"/>
      <c r="GF466" s="32"/>
      <c r="GG466" s="32"/>
      <c r="GH466" s="32"/>
      <c r="GI466" s="32"/>
      <c r="GJ466" s="32"/>
      <c r="GK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38"/>
      <c r="HO466" s="338"/>
      <c r="HP466" s="338"/>
      <c r="HQ466" s="13"/>
      <c r="HR466" s="13"/>
      <c r="HS466" s="13"/>
      <c r="HT466" s="13"/>
      <c r="HU466" s="13"/>
      <c r="HV466" s="13"/>
      <c r="HW466" s="13"/>
      <c r="HX466" s="13"/>
      <c r="HY466" s="13"/>
      <c r="HZ466" s="13"/>
      <c r="IA466" s="13"/>
    </row>
    <row r="467" spans="1:235" ht="17.25" customHeight="1">
      <c r="A467" s="1"/>
      <c r="B467" s="3"/>
      <c r="C467" s="3"/>
      <c r="D467" s="43"/>
      <c r="E467" s="38"/>
      <c r="F467" s="38"/>
      <c r="G467" s="38"/>
      <c r="H467" s="38"/>
      <c r="I467" s="38"/>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c r="BY467" s="126"/>
      <c r="BZ467" s="126"/>
      <c r="CA467" s="126"/>
      <c r="CB467" s="126"/>
      <c r="CC467" s="126"/>
      <c r="CD467" s="126"/>
      <c r="CE467" s="126"/>
      <c r="CF467" s="126"/>
      <c r="CG467" s="126"/>
      <c r="CH467" s="126"/>
      <c r="CI467" s="126"/>
      <c r="CJ467" s="126"/>
      <c r="CK467" s="126"/>
      <c r="CL467" s="126"/>
      <c r="CM467" s="126"/>
      <c r="CN467" s="126"/>
      <c r="CO467" s="126"/>
      <c r="CP467" s="126"/>
      <c r="CQ467" s="126"/>
      <c r="CR467" s="126"/>
      <c r="CS467" s="126"/>
      <c r="CT467" s="126"/>
      <c r="CU467" s="126"/>
      <c r="CV467" s="126"/>
      <c r="CW467" s="126"/>
      <c r="CX467" s="126"/>
      <c r="CY467" s="126"/>
      <c r="CZ467" s="126"/>
      <c r="DA467" s="126"/>
      <c r="DB467" s="126"/>
      <c r="DC467" s="126"/>
      <c r="DD467" s="126"/>
      <c r="DE467" s="126"/>
      <c r="DF467" s="126"/>
      <c r="DG467" s="126"/>
      <c r="DH467" s="126"/>
      <c r="DI467" s="126"/>
      <c r="DJ467" s="126"/>
      <c r="DK467" s="126"/>
      <c r="DL467" s="126"/>
      <c r="DM467" s="126"/>
      <c r="DN467" s="126"/>
      <c r="DO467" s="126"/>
      <c r="DP467" s="126"/>
      <c r="DQ467" s="126"/>
      <c r="DR467" s="126"/>
      <c r="DS467" s="126"/>
      <c r="DT467" s="126"/>
      <c r="DU467" s="126"/>
      <c r="DV467" s="126"/>
      <c r="DW467" s="126"/>
      <c r="DX467" s="126"/>
      <c r="DY467" s="126"/>
      <c r="DZ467" s="126"/>
      <c r="EA467" s="126"/>
      <c r="EB467" s="126"/>
      <c r="EC467" s="126"/>
      <c r="ED467" s="126"/>
      <c r="EE467" s="126"/>
      <c r="EF467" s="126"/>
      <c r="EG467" s="126"/>
      <c r="EH467" s="126"/>
      <c r="EI467" s="126"/>
      <c r="EJ467" s="126"/>
      <c r="EK467" s="126"/>
      <c r="EL467" s="126"/>
      <c r="EM467" s="126"/>
      <c r="EN467" s="126"/>
      <c r="EO467" s="126"/>
      <c r="EP467" s="126"/>
      <c r="EQ467" s="126"/>
      <c r="ER467" s="126"/>
      <c r="ES467" s="126"/>
      <c r="ET467" s="43"/>
      <c r="EU467" s="43"/>
      <c r="EV467" s="43"/>
      <c r="EW467" s="43"/>
      <c r="EX467" s="43"/>
      <c r="EY467" s="43"/>
      <c r="EZ467" s="43"/>
      <c r="FA467" s="43"/>
      <c r="FB467" s="43"/>
      <c r="FC467" s="43"/>
      <c r="FD467" s="43"/>
      <c r="FE467" s="43"/>
      <c r="FF467" s="126"/>
      <c r="FG467" s="126"/>
      <c r="FH467" s="126"/>
      <c r="FI467" s="126"/>
      <c r="FJ467" s="126"/>
      <c r="FK467" s="126"/>
      <c r="FL467" s="79"/>
      <c r="FM467" s="179"/>
      <c r="FN467" s="179"/>
      <c r="FO467" s="170"/>
      <c r="FP467" s="170"/>
      <c r="FQ467" s="179"/>
      <c r="FR467" s="49"/>
      <c r="FS467" s="49"/>
      <c r="FT467" s="49"/>
      <c r="FU467" s="49"/>
      <c r="FV467" s="49"/>
      <c r="FW467" s="49"/>
      <c r="FX467" s="49"/>
      <c r="FY467" s="32"/>
      <c r="FZ467" s="32"/>
      <c r="GA467" s="32"/>
      <c r="GB467" s="32"/>
      <c r="GC467" s="32"/>
      <c r="GD467" s="32"/>
      <c r="GE467" s="32"/>
      <c r="GF467" s="32"/>
      <c r="GG467" s="32"/>
      <c r="GH467" s="32"/>
      <c r="GI467" s="32"/>
      <c r="GJ467" s="32"/>
      <c r="GK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38"/>
      <c r="HO467" s="338"/>
      <c r="HP467" s="338"/>
      <c r="HQ467" s="13"/>
      <c r="HR467" s="13"/>
      <c r="HS467" s="13"/>
      <c r="HT467" s="13"/>
      <c r="HU467" s="13"/>
      <c r="HV467" s="13"/>
      <c r="HW467" s="13"/>
      <c r="HX467" s="13"/>
      <c r="HY467" s="13"/>
      <c r="HZ467" s="13"/>
      <c r="IA467" s="13"/>
    </row>
    <row r="468" spans="1:235" ht="16.2" customHeight="1">
      <c r="A468" s="1"/>
      <c r="B468" s="3"/>
      <c r="C468" s="3"/>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30"/>
      <c r="FI468" s="31"/>
      <c r="FJ468" s="31"/>
      <c r="FK468" s="31"/>
      <c r="FL468" s="31"/>
      <c r="FM468" s="338"/>
      <c r="FN468" s="78"/>
      <c r="FO468" s="78"/>
      <c r="FP468" s="78"/>
      <c r="FQ468" s="78"/>
      <c r="FR468" s="78"/>
      <c r="FS468" s="78"/>
      <c r="FT468" s="78"/>
      <c r="FU468" s="78"/>
      <c r="FV468" s="78"/>
      <c r="FW468" s="78"/>
      <c r="FX468" s="78"/>
      <c r="FY468" s="32"/>
      <c r="FZ468" s="32"/>
      <c r="GA468" s="32"/>
      <c r="GB468" s="32"/>
      <c r="GC468" s="32"/>
      <c r="GD468" s="32"/>
      <c r="GE468" s="32"/>
      <c r="GF468" s="32"/>
      <c r="GG468" s="32"/>
      <c r="GH468" s="32"/>
      <c r="GI468" s="32"/>
      <c r="GJ468" s="32"/>
      <c r="GK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38"/>
      <c r="HO468" s="338"/>
      <c r="HP468" s="338"/>
      <c r="HQ468" s="13"/>
      <c r="HR468" s="13"/>
      <c r="HS468" s="13"/>
      <c r="HT468" s="13"/>
      <c r="HU468" s="13"/>
      <c r="HV468" s="13"/>
      <c r="HW468" s="13"/>
      <c r="HX468" s="13"/>
      <c r="HY468" s="13"/>
      <c r="HZ468" s="13"/>
      <c r="IA468" s="13"/>
    </row>
    <row r="469" spans="1:235" ht="16.2" customHeight="1">
      <c r="A469" s="1"/>
      <c r="B469" s="3"/>
      <c r="C469" s="3"/>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30"/>
      <c r="FI469" s="31"/>
      <c r="FJ469" s="31"/>
      <c r="FK469" s="31"/>
      <c r="FL469" s="31"/>
      <c r="FM469" s="338"/>
      <c r="FN469" s="240"/>
      <c r="FO469" s="240"/>
      <c r="FP469" s="240"/>
      <c r="FQ469" s="240"/>
      <c r="FR469" s="240"/>
      <c r="FS469" s="240"/>
      <c r="FT469" s="240"/>
      <c r="FU469" s="240"/>
      <c r="FV469" s="240"/>
      <c r="FW469" s="240"/>
      <c r="FX469" s="240"/>
      <c r="FY469" s="32"/>
      <c r="FZ469" s="32"/>
      <c r="GA469" s="32"/>
      <c r="GB469" s="32"/>
      <c r="GC469" s="32"/>
      <c r="GD469" s="32"/>
      <c r="GE469" s="32"/>
      <c r="GF469" s="32"/>
      <c r="GG469" s="32"/>
      <c r="GH469" s="32"/>
      <c r="GI469" s="32"/>
      <c r="GJ469" s="32"/>
      <c r="GK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38"/>
      <c r="HO469" s="338"/>
      <c r="HP469" s="338"/>
      <c r="HQ469" s="13"/>
      <c r="HR469" s="13"/>
      <c r="HS469" s="13"/>
      <c r="HT469" s="13"/>
      <c r="HU469" s="13"/>
      <c r="HV469" s="13"/>
      <c r="HW469" s="13"/>
      <c r="HX469" s="13"/>
      <c r="HY469" s="13"/>
      <c r="HZ469" s="13"/>
      <c r="IA469" s="13"/>
    </row>
    <row r="470" spans="1:235" ht="16.2" customHeight="1">
      <c r="A470" s="1"/>
      <c r="B470" s="3"/>
      <c r="C470" s="3"/>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30"/>
      <c r="FI470" s="31"/>
      <c r="FJ470" s="31"/>
      <c r="FK470" s="31"/>
      <c r="FL470" s="31"/>
      <c r="FM470" s="338"/>
      <c r="FN470" s="240"/>
      <c r="FO470" s="240"/>
      <c r="FP470" s="240"/>
      <c r="FQ470" s="240"/>
      <c r="FR470" s="240"/>
      <c r="FS470" s="240"/>
      <c r="FT470" s="240"/>
      <c r="FU470" s="240"/>
      <c r="FV470" s="240"/>
      <c r="FW470" s="240"/>
      <c r="FX470" s="240"/>
      <c r="FY470" s="32"/>
      <c r="FZ470" s="32"/>
      <c r="GA470" s="32"/>
      <c r="GB470" s="32"/>
      <c r="GC470" s="32"/>
      <c r="GD470" s="32"/>
      <c r="GE470" s="32"/>
      <c r="GF470" s="32"/>
      <c r="GG470" s="32"/>
      <c r="GH470" s="32"/>
      <c r="GI470" s="32"/>
      <c r="GJ470" s="32"/>
      <c r="GK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240"/>
      <c r="HO470" s="240"/>
      <c r="HP470" s="240"/>
      <c r="HQ470" s="13"/>
      <c r="HR470" s="13"/>
      <c r="HS470" s="13"/>
      <c r="HT470" s="13"/>
      <c r="HU470" s="13"/>
      <c r="HV470" s="13"/>
      <c r="HW470" s="13"/>
      <c r="HX470" s="13"/>
      <c r="HY470" s="13"/>
      <c r="HZ470" s="13"/>
      <c r="IA470" s="13"/>
    </row>
    <row r="471" spans="1:235" ht="16.2" customHeight="1">
      <c r="A471" s="1"/>
      <c r="B471" s="3"/>
      <c r="C471" s="3"/>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30"/>
      <c r="FI471" s="31"/>
      <c r="FJ471" s="31"/>
      <c r="FK471" s="31"/>
      <c r="FL471" s="31"/>
      <c r="FM471" s="338"/>
      <c r="FN471" s="240"/>
      <c r="FO471" s="240"/>
      <c r="FP471" s="240"/>
      <c r="FQ471" s="240"/>
      <c r="FR471" s="240"/>
      <c r="FS471" s="240"/>
      <c r="FT471" s="240"/>
      <c r="FU471" s="240"/>
      <c r="FV471" s="240"/>
      <c r="FW471" s="240"/>
      <c r="FX471" s="240"/>
      <c r="FY471" s="32"/>
      <c r="FZ471" s="32"/>
      <c r="GA471" s="32"/>
      <c r="GB471" s="32"/>
      <c r="GC471" s="32"/>
      <c r="GD471" s="32"/>
      <c r="GE471" s="32"/>
      <c r="GF471" s="32"/>
      <c r="GG471" s="32"/>
      <c r="GH471" s="32"/>
      <c r="GI471" s="32"/>
      <c r="GJ471" s="32"/>
      <c r="GK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240"/>
      <c r="HO471" s="240"/>
      <c r="HP471" s="240"/>
      <c r="HQ471" s="13"/>
      <c r="HR471" s="13"/>
      <c r="HS471" s="13"/>
      <c r="HT471" s="13"/>
      <c r="HU471" s="13"/>
      <c r="HV471" s="13"/>
      <c r="HW471" s="13"/>
      <c r="HX471" s="13"/>
      <c r="HY471" s="13"/>
      <c r="HZ471" s="13"/>
      <c r="IA471" s="13"/>
    </row>
    <row r="472" spans="1:235" ht="16.2" customHeight="1">
      <c r="A472" s="1"/>
      <c r="B472" s="3"/>
      <c r="C472" s="3"/>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30"/>
      <c r="FI472" s="31"/>
      <c r="FJ472" s="31"/>
      <c r="FK472" s="31"/>
      <c r="FL472" s="31"/>
      <c r="FM472" s="338"/>
      <c r="FN472" s="240"/>
      <c r="FO472" s="240"/>
      <c r="FP472" s="240"/>
      <c r="FQ472" s="240"/>
      <c r="FR472" s="240"/>
      <c r="FS472" s="240"/>
      <c r="FT472" s="240"/>
      <c r="FU472" s="240"/>
      <c r="FV472" s="240"/>
      <c r="FW472" s="240"/>
      <c r="FX472" s="240"/>
      <c r="FY472" s="32"/>
      <c r="FZ472" s="32"/>
      <c r="GA472" s="32"/>
      <c r="GB472" s="32"/>
      <c r="GC472" s="32"/>
      <c r="GD472" s="32"/>
      <c r="GE472" s="32"/>
      <c r="GF472" s="32"/>
      <c r="GG472" s="32"/>
      <c r="GH472" s="32"/>
      <c r="GI472" s="32"/>
      <c r="GJ472" s="32"/>
      <c r="GK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240"/>
      <c r="HO472" s="240"/>
      <c r="HP472" s="240"/>
    </row>
    <row r="473" spans="1:235" ht="16.2" customHeight="1">
      <c r="A473" s="1"/>
      <c r="B473" s="3"/>
      <c r="C473" s="3"/>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30"/>
      <c r="FI473" s="31"/>
      <c r="FJ473" s="31"/>
      <c r="FK473" s="31"/>
      <c r="FL473" s="31"/>
      <c r="FM473" s="338"/>
      <c r="FN473" s="240"/>
      <c r="FO473" s="240"/>
      <c r="FP473" s="240"/>
      <c r="FQ473" s="240"/>
      <c r="FR473" s="240"/>
      <c r="FS473" s="240"/>
      <c r="FT473" s="240"/>
      <c r="FU473" s="240"/>
      <c r="FV473" s="240"/>
      <c r="FW473" s="240"/>
      <c r="FX473" s="240"/>
      <c r="FY473" s="32"/>
      <c r="FZ473" s="32"/>
      <c r="GA473" s="32"/>
      <c r="GB473" s="32"/>
      <c r="GC473" s="32"/>
      <c r="GD473" s="32"/>
      <c r="GE473" s="32"/>
      <c r="GF473" s="32"/>
      <c r="GG473" s="32"/>
      <c r="GH473" s="32"/>
      <c r="GI473" s="32"/>
      <c r="GJ473" s="32"/>
      <c r="GK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240"/>
      <c r="HO473" s="240"/>
      <c r="HP473" s="240"/>
    </row>
    <row r="474" spans="1:235" ht="16.2" customHeight="1">
      <c r="A474" s="1"/>
      <c r="B474" s="3"/>
      <c r="C474" s="3"/>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30"/>
      <c r="FI474" s="31"/>
      <c r="FJ474" s="31"/>
      <c r="FK474" s="31"/>
      <c r="FL474" s="31"/>
      <c r="FM474" s="338"/>
      <c r="FN474" s="240"/>
      <c r="FO474" s="240"/>
      <c r="FP474" s="240"/>
      <c r="FQ474" s="240"/>
      <c r="FR474" s="240"/>
      <c r="FS474" s="240"/>
      <c r="FT474" s="240"/>
      <c r="FU474" s="240"/>
      <c r="FV474" s="240"/>
      <c r="FW474" s="240"/>
      <c r="FX474" s="240"/>
      <c r="FY474" s="32"/>
      <c r="FZ474" s="32"/>
      <c r="GA474" s="32"/>
      <c r="GB474" s="32"/>
      <c r="GC474" s="32"/>
      <c r="GD474" s="32"/>
      <c r="GE474" s="32"/>
      <c r="GF474" s="32"/>
      <c r="GG474" s="32"/>
      <c r="GH474" s="32"/>
      <c r="GI474" s="32"/>
      <c r="GJ474" s="32"/>
      <c r="GK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240"/>
      <c r="HO474" s="240"/>
      <c r="HP474" s="240"/>
    </row>
    <row r="475" spans="1:235" ht="16.2" customHeight="1">
      <c r="A475" s="1"/>
      <c r="B475" s="3"/>
      <c r="C475" s="3"/>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30"/>
      <c r="FI475" s="31"/>
      <c r="FJ475" s="31"/>
      <c r="FK475" s="31"/>
      <c r="FL475" s="31"/>
      <c r="FM475" s="338"/>
      <c r="FN475" s="240"/>
      <c r="FO475" s="240"/>
      <c r="FP475" s="240"/>
      <c r="FQ475" s="240"/>
      <c r="FR475" s="240"/>
      <c r="FS475" s="240"/>
      <c r="FT475" s="240"/>
      <c r="FU475" s="240"/>
      <c r="FV475" s="240"/>
      <c r="FW475" s="240"/>
      <c r="FX475" s="240"/>
      <c r="FY475" s="32"/>
      <c r="FZ475" s="32"/>
      <c r="GA475" s="32"/>
      <c r="GB475" s="32"/>
      <c r="GC475" s="32"/>
      <c r="GD475" s="32"/>
      <c r="GE475" s="32"/>
      <c r="GF475" s="32"/>
      <c r="GG475" s="32"/>
      <c r="GH475" s="32"/>
      <c r="GI475" s="32"/>
      <c r="GJ475" s="32"/>
      <c r="GK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240"/>
      <c r="HO475" s="240"/>
      <c r="HP475" s="240"/>
    </row>
    <row r="476" spans="1:235" ht="16.2" customHeight="1">
      <c r="A476" s="1"/>
      <c r="B476" s="3"/>
      <c r="C476" s="3"/>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30"/>
      <c r="FI476" s="31"/>
      <c r="FJ476" s="31"/>
      <c r="FK476" s="31"/>
      <c r="FL476" s="31"/>
      <c r="FM476" s="338"/>
      <c r="FN476" s="240"/>
      <c r="FO476" s="240"/>
      <c r="FP476" s="240"/>
      <c r="FQ476" s="240"/>
      <c r="FR476" s="240"/>
      <c r="FS476" s="240"/>
      <c r="FT476" s="240"/>
      <c r="FU476" s="240"/>
      <c r="FV476" s="240"/>
      <c r="FW476" s="240"/>
      <c r="FX476" s="240"/>
      <c r="FY476" s="32"/>
      <c r="FZ476" s="32"/>
      <c r="GA476" s="32"/>
      <c r="GB476" s="32"/>
      <c r="GC476" s="32"/>
      <c r="GD476" s="32"/>
      <c r="GE476" s="32"/>
      <c r="GF476" s="32"/>
      <c r="GG476" s="32"/>
      <c r="GH476" s="32"/>
      <c r="GI476" s="32"/>
      <c r="GJ476" s="32"/>
      <c r="GK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240"/>
      <c r="HO476" s="240"/>
      <c r="HP476" s="240"/>
    </row>
    <row r="477" spans="1:235" ht="16.2" customHeight="1">
      <c r="A477" s="1"/>
      <c r="B477" s="3"/>
      <c r="C477" s="3"/>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30"/>
      <c r="FI477" s="31"/>
      <c r="FJ477" s="31"/>
      <c r="FK477" s="31"/>
      <c r="FL477" s="31"/>
      <c r="FM477" s="338"/>
      <c r="FN477" s="240"/>
      <c r="FO477" s="240"/>
      <c r="FP477" s="240"/>
      <c r="FQ477" s="240"/>
      <c r="FR477" s="240"/>
      <c r="FS477" s="240"/>
      <c r="FT477" s="240"/>
      <c r="FU477" s="240"/>
      <c r="FV477" s="240"/>
      <c r="FW477" s="240"/>
      <c r="FX477" s="240"/>
      <c r="FY477" s="32"/>
      <c r="FZ477" s="32"/>
      <c r="GA477" s="32"/>
      <c r="GB477" s="32"/>
      <c r="GC477" s="32"/>
      <c r="GD477" s="32"/>
      <c r="GE477" s="32"/>
      <c r="GF477" s="32"/>
      <c r="GG477" s="32"/>
      <c r="GH477" s="32"/>
      <c r="GI477" s="32"/>
      <c r="GJ477" s="32"/>
      <c r="GK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240"/>
      <c r="HO477" s="240"/>
      <c r="HP477" s="240"/>
    </row>
    <row r="478" spans="1:235" ht="16.2" customHeight="1">
      <c r="A478" s="1"/>
      <c r="B478" s="3"/>
      <c r="C478" s="3"/>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30"/>
      <c r="FI478" s="31"/>
      <c r="FJ478" s="31"/>
      <c r="FK478" s="31"/>
      <c r="FL478" s="31"/>
      <c r="FM478" s="338"/>
      <c r="FN478" s="240"/>
      <c r="FO478" s="240"/>
      <c r="FP478" s="240"/>
      <c r="FQ478" s="240"/>
      <c r="FR478" s="240"/>
      <c r="FS478" s="240"/>
      <c r="FT478" s="240"/>
      <c r="FU478" s="240"/>
      <c r="FV478" s="240"/>
      <c r="FW478" s="240"/>
      <c r="FX478" s="240"/>
      <c r="FY478" s="32"/>
      <c r="FZ478" s="32"/>
      <c r="GA478" s="32"/>
      <c r="GB478" s="32"/>
      <c r="GC478" s="32"/>
      <c r="GD478" s="32"/>
      <c r="GE478" s="32"/>
      <c r="GF478" s="32"/>
      <c r="GG478" s="32"/>
      <c r="GH478" s="32"/>
      <c r="GI478" s="32"/>
      <c r="GJ478" s="32"/>
      <c r="GK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240"/>
      <c r="HO478" s="240"/>
      <c r="HP478" s="240"/>
    </row>
    <row r="479" spans="1:235" ht="16.2" customHeight="1">
      <c r="A479" s="1"/>
      <c r="B479" s="3"/>
      <c r="C479" s="3"/>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30"/>
      <c r="FI479" s="31"/>
      <c r="FJ479" s="31"/>
      <c r="FK479" s="31"/>
      <c r="FL479" s="31"/>
      <c r="FM479" s="338"/>
      <c r="FN479" s="240"/>
      <c r="FO479" s="240"/>
      <c r="FP479" s="240"/>
      <c r="FQ479" s="240"/>
      <c r="FR479" s="240"/>
      <c r="FS479" s="240"/>
      <c r="FT479" s="240"/>
      <c r="FU479" s="240"/>
      <c r="FV479" s="240"/>
      <c r="FW479" s="240"/>
      <c r="FX479" s="240"/>
      <c r="FY479" s="32"/>
      <c r="FZ479" s="32"/>
      <c r="GA479" s="32"/>
      <c r="GB479" s="32"/>
      <c r="GC479" s="32"/>
      <c r="GD479" s="32"/>
      <c r="GE479" s="32"/>
      <c r="GF479" s="32"/>
      <c r="GG479" s="32"/>
      <c r="GH479" s="32"/>
      <c r="GI479" s="32"/>
      <c r="GJ479" s="32"/>
      <c r="GK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240"/>
      <c r="HO479" s="240"/>
      <c r="HP479" s="240"/>
    </row>
    <row r="480" spans="1:23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c r="CT480" s="32"/>
      <c r="CU480" s="32"/>
      <c r="CV480" s="32"/>
      <c r="CW480" s="32"/>
      <c r="CX480" s="32"/>
      <c r="CY480" s="32"/>
      <c r="CZ480" s="32"/>
      <c r="DA480" s="32"/>
      <c r="DB480" s="32"/>
      <c r="DC480" s="32"/>
      <c r="DD480" s="32"/>
      <c r="DE480" s="32"/>
      <c r="DF480" s="32"/>
      <c r="DG480" s="32"/>
      <c r="DH480" s="32"/>
      <c r="DI480" s="32"/>
      <c r="DJ480" s="32"/>
      <c r="DK480" s="32"/>
      <c r="DL480" s="32"/>
      <c r="DM480" s="32"/>
      <c r="DN480" s="32"/>
      <c r="DO480" s="32"/>
      <c r="DP480" s="32"/>
      <c r="DQ480" s="32"/>
      <c r="DR480" s="32"/>
      <c r="DS480" s="32"/>
      <c r="DT480" s="32"/>
      <c r="DU480" s="32"/>
      <c r="DV480" s="32"/>
      <c r="DW480" s="32"/>
      <c r="DX480" s="32"/>
      <c r="DY480" s="32"/>
      <c r="DZ480" s="32"/>
      <c r="EA480" s="32"/>
      <c r="EB480" s="32"/>
      <c r="EC480" s="32"/>
      <c r="ED480" s="32"/>
      <c r="EE480" s="32"/>
      <c r="EF480" s="32"/>
      <c r="EG480" s="32"/>
      <c r="EH480" s="32"/>
      <c r="EI480" s="32"/>
      <c r="EJ480" s="32"/>
      <c r="EK480" s="32"/>
      <c r="EL480" s="32"/>
      <c r="EM480" s="32"/>
      <c r="EN480" s="32"/>
      <c r="EO480" s="32"/>
      <c r="EP480" s="32"/>
      <c r="EQ480" s="32"/>
      <c r="ER480" s="32"/>
      <c r="ES480" s="32"/>
      <c r="ET480" s="32"/>
      <c r="EU480" s="32"/>
      <c r="EV480" s="32"/>
      <c r="EW480" s="32"/>
      <c r="EX480" s="32"/>
      <c r="EY480" s="32"/>
      <c r="EZ480" s="32"/>
      <c r="FA480" s="32"/>
      <c r="FB480" s="32"/>
      <c r="FC480" s="32"/>
      <c r="FD480" s="32"/>
      <c r="FE480" s="32"/>
      <c r="FF480" s="32"/>
      <c r="FG480" s="32"/>
      <c r="FH480" s="32"/>
      <c r="FI480" s="32"/>
      <c r="FJ480" s="32"/>
      <c r="FK480" s="32"/>
      <c r="FL480" s="32"/>
      <c r="FM480" s="338"/>
      <c r="FN480" s="78"/>
      <c r="FO480" s="78"/>
      <c r="FP480" s="78"/>
      <c r="FQ480" s="78"/>
      <c r="FR480" s="78"/>
      <c r="FS480" s="78"/>
      <c r="FT480" s="78"/>
      <c r="FU480" s="78"/>
      <c r="FV480" s="78"/>
      <c r="FW480" s="78"/>
      <c r="FX480" s="78"/>
      <c r="FY480" s="32"/>
      <c r="FZ480" s="32"/>
      <c r="GA480" s="32"/>
      <c r="GB480" s="32"/>
      <c r="GC480" s="32"/>
      <c r="GD480" s="32"/>
      <c r="GE480" s="32"/>
      <c r="GF480" s="32"/>
      <c r="GG480" s="32"/>
      <c r="GH480" s="32"/>
      <c r="GI480" s="32"/>
      <c r="GJ480" s="32"/>
      <c r="GK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78"/>
      <c r="HO480" s="78"/>
      <c r="HP480" s="78"/>
    </row>
    <row r="481" spans="1:224">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c r="CX481" s="32"/>
      <c r="CY481" s="32"/>
      <c r="CZ481" s="32"/>
      <c r="DA481" s="32"/>
      <c r="DB481" s="32"/>
      <c r="DC481" s="32"/>
      <c r="DD481" s="32"/>
      <c r="DE481" s="32"/>
      <c r="DF481" s="32"/>
      <c r="DG481" s="32"/>
      <c r="DH481" s="32"/>
      <c r="DI481" s="32"/>
      <c r="DJ481" s="32"/>
      <c r="DK481" s="32"/>
      <c r="DL481" s="32"/>
      <c r="DM481" s="32"/>
      <c r="DN481" s="32"/>
      <c r="DO481" s="32"/>
      <c r="DP481" s="32"/>
      <c r="DQ481" s="32"/>
      <c r="DR481" s="32"/>
      <c r="DS481" s="32"/>
      <c r="DT481" s="32"/>
      <c r="DU481" s="32"/>
      <c r="DV481" s="32"/>
      <c r="DW481" s="32"/>
      <c r="DX481" s="32"/>
      <c r="DY481" s="32"/>
      <c r="DZ481" s="32"/>
      <c r="EA481" s="32"/>
      <c r="EB481" s="32"/>
      <c r="EC481" s="32"/>
      <c r="ED481" s="32"/>
      <c r="EE481" s="32"/>
      <c r="EF481" s="32"/>
      <c r="EG481" s="32"/>
      <c r="EH481" s="32"/>
      <c r="EI481" s="32"/>
      <c r="EJ481" s="32"/>
      <c r="EK481" s="32"/>
      <c r="EL481" s="32"/>
      <c r="EM481" s="32"/>
      <c r="EN481" s="32"/>
      <c r="EO481" s="32"/>
      <c r="EP481" s="32"/>
      <c r="EQ481" s="32"/>
      <c r="ER481" s="32"/>
      <c r="ES481" s="32"/>
      <c r="ET481" s="32"/>
      <c r="EU481" s="32"/>
      <c r="EV481" s="32"/>
      <c r="EW481" s="32"/>
      <c r="EX481" s="32"/>
      <c r="EY481" s="32"/>
      <c r="EZ481" s="32"/>
      <c r="FA481" s="32"/>
      <c r="FB481" s="32"/>
      <c r="FC481" s="32"/>
      <c r="FD481" s="32"/>
      <c r="FE481" s="32"/>
      <c r="FF481" s="32"/>
      <c r="FG481" s="32"/>
      <c r="FH481" s="32"/>
      <c r="FI481" s="32"/>
      <c r="FJ481" s="32"/>
      <c r="FK481" s="32"/>
      <c r="FL481" s="32"/>
      <c r="FM481" s="338"/>
      <c r="FN481" s="78"/>
      <c r="FO481" s="78"/>
      <c r="FP481" s="78"/>
      <c r="FQ481" s="78"/>
      <c r="FR481" s="78"/>
      <c r="FS481" s="78"/>
      <c r="FT481" s="78"/>
      <c r="FU481" s="78"/>
      <c r="FV481" s="78"/>
      <c r="FW481" s="78"/>
      <c r="FX481" s="78"/>
      <c r="FY481" s="32"/>
      <c r="FZ481" s="32"/>
      <c r="GA481" s="32"/>
      <c r="GB481" s="32"/>
      <c r="GC481" s="32"/>
      <c r="GD481" s="32"/>
      <c r="GE481" s="32"/>
      <c r="GF481" s="32"/>
      <c r="GG481" s="32"/>
      <c r="GH481" s="32"/>
      <c r="GI481" s="32"/>
      <c r="GJ481" s="32"/>
      <c r="GK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78"/>
      <c r="HO481" s="78"/>
      <c r="HP481" s="78"/>
    </row>
    <row r="482" spans="1:224">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c r="CT482" s="32"/>
      <c r="CU482" s="32"/>
      <c r="CV482" s="32"/>
      <c r="CW482" s="32"/>
      <c r="CX482" s="32"/>
      <c r="CY482" s="32"/>
      <c r="CZ482" s="32"/>
      <c r="DA482" s="32"/>
      <c r="DB482" s="32"/>
      <c r="DC482" s="32"/>
      <c r="DD482" s="32"/>
      <c r="DE482" s="32"/>
      <c r="DF482" s="32"/>
      <c r="DG482" s="32"/>
      <c r="DH482" s="32"/>
      <c r="DI482" s="32"/>
      <c r="DJ482" s="32"/>
      <c r="DK482" s="32"/>
      <c r="DL482" s="32"/>
      <c r="DM482" s="32"/>
      <c r="DN482" s="32"/>
      <c r="DO482" s="32"/>
      <c r="DP482" s="32"/>
      <c r="DQ482" s="32"/>
      <c r="DR482" s="32"/>
      <c r="DS482" s="32"/>
      <c r="DT482" s="32"/>
      <c r="DU482" s="32"/>
      <c r="DV482" s="32"/>
      <c r="DW482" s="32"/>
      <c r="DX482" s="32"/>
      <c r="DY482" s="32"/>
      <c r="DZ482" s="32"/>
      <c r="EA482" s="32"/>
      <c r="EB482" s="32"/>
      <c r="EC482" s="32"/>
      <c r="ED482" s="32"/>
      <c r="EE482" s="32"/>
      <c r="EF482" s="32"/>
      <c r="EG482" s="32"/>
      <c r="EH482" s="32"/>
      <c r="EI482" s="32"/>
      <c r="EJ482" s="32"/>
      <c r="EK482" s="32"/>
      <c r="EL482" s="32"/>
      <c r="EM482" s="32"/>
      <c r="EN482" s="32"/>
      <c r="EO482" s="32"/>
      <c r="EP482" s="32"/>
      <c r="EQ482" s="32"/>
      <c r="ER482" s="32"/>
      <c r="ES482" s="32"/>
      <c r="ET482" s="32"/>
      <c r="EU482" s="32"/>
      <c r="EV482" s="32"/>
      <c r="EW482" s="32"/>
      <c r="EX482" s="32"/>
      <c r="EY482" s="32"/>
      <c r="EZ482" s="32"/>
      <c r="FA482" s="32"/>
      <c r="FB482" s="32"/>
      <c r="FC482" s="32"/>
      <c r="FD482" s="32"/>
      <c r="FE482" s="32"/>
      <c r="FF482" s="32"/>
      <c r="FG482" s="32"/>
      <c r="FH482" s="32"/>
      <c r="FI482" s="32"/>
      <c r="FJ482" s="32"/>
      <c r="FK482" s="32"/>
      <c r="FL482" s="32"/>
      <c r="FM482" s="338"/>
      <c r="FN482" s="78"/>
      <c r="FO482" s="78"/>
      <c r="FP482" s="78"/>
      <c r="FQ482" s="78"/>
      <c r="FR482" s="78"/>
      <c r="FS482" s="78"/>
      <c r="FT482" s="78"/>
      <c r="FU482" s="78"/>
      <c r="FV482" s="78"/>
      <c r="FW482" s="78"/>
      <c r="FX482" s="78"/>
      <c r="FY482" s="32"/>
      <c r="FZ482" s="32"/>
      <c r="GA482" s="32"/>
      <c r="GB482" s="32"/>
      <c r="GC482" s="32"/>
      <c r="GD482" s="32"/>
      <c r="GE482" s="32"/>
      <c r="GF482" s="32"/>
      <c r="GG482" s="32"/>
      <c r="GH482" s="32"/>
      <c r="GI482" s="32"/>
      <c r="GJ482" s="32"/>
      <c r="GK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78"/>
      <c r="HO482" s="78"/>
      <c r="HP482" s="78"/>
    </row>
    <row r="483" spans="1:224">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c r="CT483" s="32"/>
      <c r="CU483" s="32"/>
      <c r="CV483" s="32"/>
      <c r="CW483" s="32"/>
      <c r="CX483" s="32"/>
      <c r="CY483" s="32"/>
      <c r="CZ483" s="32"/>
      <c r="DA483" s="32"/>
      <c r="DB483" s="32"/>
      <c r="DC483" s="32"/>
      <c r="DD483" s="32"/>
      <c r="DE483" s="32"/>
      <c r="DF483" s="32"/>
      <c r="DG483" s="32"/>
      <c r="DH483" s="32"/>
      <c r="DI483" s="32"/>
      <c r="DJ483" s="32"/>
      <c r="DK483" s="32"/>
      <c r="DL483" s="32"/>
      <c r="DM483" s="32"/>
      <c r="DN483" s="32"/>
      <c r="DO483" s="32"/>
      <c r="DP483" s="32"/>
      <c r="DQ483" s="32"/>
      <c r="DR483" s="32"/>
      <c r="DS483" s="32"/>
      <c r="DT483" s="32"/>
      <c r="DU483" s="32"/>
      <c r="DV483" s="32"/>
      <c r="DW483" s="32"/>
      <c r="DX483" s="32"/>
      <c r="DY483" s="32"/>
      <c r="DZ483" s="32"/>
      <c r="EA483" s="32"/>
      <c r="EB483" s="32"/>
      <c r="EC483" s="32"/>
      <c r="ED483" s="32"/>
      <c r="EE483" s="32"/>
      <c r="EF483" s="32"/>
      <c r="EG483" s="32"/>
      <c r="EH483" s="32"/>
      <c r="EI483" s="32"/>
      <c r="EJ483" s="32"/>
      <c r="EK483" s="32"/>
      <c r="EL483" s="32"/>
      <c r="EM483" s="32"/>
      <c r="EN483" s="32"/>
      <c r="EO483" s="32"/>
      <c r="EP483" s="32"/>
      <c r="EQ483" s="32"/>
      <c r="ER483" s="32"/>
      <c r="ES483" s="32"/>
      <c r="ET483" s="32"/>
      <c r="EU483" s="32"/>
      <c r="EV483" s="32"/>
      <c r="EW483" s="32"/>
      <c r="EX483" s="32"/>
      <c r="EY483" s="32"/>
      <c r="EZ483" s="32"/>
      <c r="FA483" s="32"/>
      <c r="FB483" s="32"/>
      <c r="FC483" s="32"/>
      <c r="FD483" s="32"/>
      <c r="FE483" s="32"/>
      <c r="FF483" s="32"/>
      <c r="FG483" s="32"/>
      <c r="FH483" s="32"/>
      <c r="FI483" s="32"/>
      <c r="FJ483" s="32"/>
      <c r="FK483" s="32"/>
      <c r="FL483" s="32"/>
      <c r="FM483" s="338"/>
      <c r="FN483" s="78"/>
      <c r="FO483" s="78"/>
      <c r="FP483" s="78"/>
      <c r="FQ483" s="78"/>
      <c r="FR483" s="78"/>
      <c r="FS483" s="78"/>
      <c r="FT483" s="78"/>
      <c r="FU483" s="78"/>
      <c r="FV483" s="78"/>
      <c r="FW483" s="78"/>
      <c r="FX483" s="78"/>
      <c r="FY483" s="32"/>
      <c r="FZ483" s="32"/>
      <c r="GA483" s="32"/>
      <c r="GB483" s="32"/>
      <c r="GC483" s="32"/>
      <c r="GD483" s="32"/>
      <c r="GE483" s="32"/>
      <c r="GF483" s="32"/>
      <c r="GG483" s="32"/>
      <c r="GH483" s="32"/>
      <c r="GI483" s="32"/>
      <c r="GJ483" s="32"/>
      <c r="GK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78"/>
      <c r="HO483" s="78"/>
      <c r="HP483" s="78"/>
    </row>
    <row r="484" spans="1:224">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c r="CT484" s="32"/>
      <c r="CU484" s="32"/>
      <c r="CV484" s="32"/>
      <c r="CW484" s="32"/>
      <c r="CX484" s="32"/>
      <c r="CY484" s="32"/>
      <c r="CZ484" s="32"/>
      <c r="DA484" s="32"/>
      <c r="DB484" s="32"/>
      <c r="DC484" s="32"/>
      <c r="DD484" s="32"/>
      <c r="DE484" s="32"/>
      <c r="DF484" s="32"/>
      <c r="DG484" s="32"/>
      <c r="DH484" s="32"/>
      <c r="DI484" s="32"/>
      <c r="DJ484" s="32"/>
      <c r="DK484" s="32"/>
      <c r="DL484" s="32"/>
      <c r="DM484" s="32"/>
      <c r="DN484" s="32"/>
      <c r="DO484" s="32"/>
      <c r="DP484" s="32"/>
      <c r="DQ484" s="32"/>
      <c r="DR484" s="32"/>
      <c r="DS484" s="32"/>
      <c r="DT484" s="32"/>
      <c r="DU484" s="32"/>
      <c r="DV484" s="32"/>
      <c r="DW484" s="32"/>
      <c r="DX484" s="32"/>
      <c r="DY484" s="32"/>
      <c r="DZ484" s="32"/>
      <c r="EA484" s="32"/>
      <c r="EB484" s="32"/>
      <c r="EC484" s="32"/>
      <c r="ED484" s="32"/>
      <c r="EE484" s="32"/>
      <c r="EF484" s="32"/>
      <c r="EG484" s="32"/>
      <c r="EH484" s="32"/>
      <c r="EI484" s="32"/>
      <c r="EJ484" s="32"/>
      <c r="EK484" s="32"/>
      <c r="EL484" s="32"/>
      <c r="EM484" s="32"/>
      <c r="EN484" s="32"/>
      <c r="EO484" s="32"/>
      <c r="EP484" s="32"/>
      <c r="EQ484" s="32"/>
      <c r="ER484" s="32"/>
      <c r="ES484" s="32"/>
      <c r="ET484" s="32"/>
      <c r="EU484" s="32"/>
      <c r="EV484" s="32"/>
      <c r="EW484" s="32"/>
      <c r="EX484" s="32"/>
      <c r="EY484" s="32"/>
      <c r="EZ484" s="32"/>
      <c r="FA484" s="32"/>
      <c r="FB484" s="32"/>
      <c r="FC484" s="32"/>
      <c r="FD484" s="32"/>
      <c r="FE484" s="32"/>
      <c r="FF484" s="32"/>
      <c r="FG484" s="32"/>
      <c r="FH484" s="32"/>
      <c r="FI484" s="32"/>
      <c r="FJ484" s="32"/>
      <c r="FK484" s="32"/>
      <c r="FL484" s="32"/>
      <c r="FM484" s="338"/>
      <c r="FN484" s="78"/>
      <c r="FO484" s="78"/>
      <c r="FP484" s="78"/>
      <c r="FQ484" s="78"/>
      <c r="FR484" s="78"/>
      <c r="FS484" s="78"/>
      <c r="FT484" s="78"/>
      <c r="FU484" s="78"/>
      <c r="FV484" s="78"/>
      <c r="FW484" s="78"/>
      <c r="FX484" s="78"/>
      <c r="FY484" s="32"/>
      <c r="FZ484" s="32"/>
      <c r="GA484" s="32"/>
      <c r="GB484" s="32"/>
      <c r="GC484" s="32"/>
      <c r="GD484" s="32"/>
      <c r="GE484" s="32"/>
      <c r="GF484" s="32"/>
      <c r="GG484" s="32"/>
      <c r="GH484" s="32"/>
      <c r="GI484" s="32"/>
      <c r="GJ484" s="32"/>
      <c r="GK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78"/>
      <c r="HO484" s="78"/>
      <c r="HP484" s="78"/>
    </row>
    <row r="485" spans="1:224">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c r="CT485" s="32"/>
      <c r="CU485" s="32"/>
      <c r="CV485" s="32"/>
      <c r="CW485" s="32"/>
      <c r="CX485" s="32"/>
      <c r="CY485" s="32"/>
      <c r="CZ485" s="32"/>
      <c r="DA485" s="32"/>
      <c r="DB485" s="32"/>
      <c r="DC485" s="32"/>
      <c r="DD485" s="32"/>
      <c r="DE485" s="32"/>
      <c r="DF485" s="32"/>
      <c r="DG485" s="32"/>
      <c r="DH485" s="32"/>
      <c r="DI485" s="32"/>
      <c r="DJ485" s="32"/>
      <c r="DK485" s="32"/>
      <c r="DL485" s="32"/>
      <c r="DM485" s="32"/>
      <c r="DN485" s="32"/>
      <c r="DO485" s="32"/>
      <c r="DP485" s="32"/>
      <c r="DQ485" s="32"/>
      <c r="DR485" s="32"/>
      <c r="DS485" s="32"/>
      <c r="DT485" s="32"/>
      <c r="DU485" s="32"/>
      <c r="DV485" s="32"/>
      <c r="DW485" s="32"/>
      <c r="DX485" s="32"/>
      <c r="DY485" s="32"/>
      <c r="DZ485" s="32"/>
      <c r="EA485" s="32"/>
      <c r="EB485" s="32"/>
      <c r="EC485" s="32"/>
      <c r="ED485" s="32"/>
      <c r="EE485" s="32"/>
      <c r="EF485" s="32"/>
      <c r="EG485" s="32"/>
      <c r="EH485" s="32"/>
      <c r="EI485" s="32"/>
      <c r="EJ485" s="32"/>
      <c r="EK485" s="32"/>
      <c r="EL485" s="32"/>
      <c r="EM485" s="32"/>
      <c r="EN485" s="32"/>
      <c r="EO485" s="32"/>
      <c r="EP485" s="32"/>
      <c r="EQ485" s="32"/>
      <c r="ER485" s="32"/>
      <c r="ES485" s="32"/>
      <c r="ET485" s="32"/>
      <c r="EU485" s="32"/>
      <c r="EV485" s="32"/>
      <c r="EW485" s="32"/>
      <c r="EX485" s="32"/>
      <c r="EY485" s="32"/>
      <c r="EZ485" s="32"/>
      <c r="FA485" s="32"/>
      <c r="FB485" s="32"/>
      <c r="FC485" s="32"/>
      <c r="FD485" s="32"/>
      <c r="FE485" s="32"/>
      <c r="FF485" s="32"/>
      <c r="FG485" s="32"/>
      <c r="FH485" s="32"/>
      <c r="FI485" s="32"/>
      <c r="FJ485" s="32"/>
      <c r="FK485" s="32"/>
      <c r="FL485" s="32"/>
      <c r="FM485" s="338"/>
      <c r="FN485" s="78"/>
      <c r="FO485" s="78"/>
      <c r="FP485" s="78"/>
      <c r="FQ485" s="78"/>
      <c r="FR485" s="78"/>
      <c r="FS485" s="78"/>
      <c r="FT485" s="78"/>
      <c r="FU485" s="78"/>
      <c r="FV485" s="78"/>
      <c r="FW485" s="78"/>
      <c r="FX485" s="78"/>
      <c r="FY485" s="32"/>
      <c r="FZ485" s="32"/>
      <c r="GA485" s="32"/>
      <c r="GB485" s="32"/>
      <c r="GC485" s="32"/>
      <c r="GD485" s="32"/>
      <c r="GE485" s="32"/>
      <c r="GF485" s="32"/>
      <c r="GG485" s="32"/>
      <c r="GH485" s="32"/>
      <c r="GI485" s="32"/>
      <c r="GJ485" s="32"/>
      <c r="GK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78"/>
      <c r="HO485" s="78"/>
      <c r="HP485" s="78"/>
    </row>
    <row r="486" spans="1:224">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c r="CT486" s="32"/>
      <c r="CU486" s="32"/>
      <c r="CV486" s="32"/>
      <c r="CW486" s="32"/>
      <c r="CX486" s="32"/>
      <c r="CY486" s="32"/>
      <c r="CZ486" s="32"/>
      <c r="DA486" s="32"/>
      <c r="DB486" s="32"/>
      <c r="DC486" s="32"/>
      <c r="DD486" s="32"/>
      <c r="DE486" s="32"/>
      <c r="DF486" s="32"/>
      <c r="DG486" s="32"/>
      <c r="DH486" s="32"/>
      <c r="DI486" s="32"/>
      <c r="DJ486" s="32"/>
      <c r="DK486" s="32"/>
      <c r="DL486" s="32"/>
      <c r="DM486" s="32"/>
      <c r="DN486" s="32"/>
      <c r="DO486" s="32"/>
      <c r="DP486" s="32"/>
      <c r="DQ486" s="32"/>
      <c r="DR486" s="32"/>
      <c r="DS486" s="32"/>
      <c r="DT486" s="32"/>
      <c r="DU486" s="32"/>
      <c r="DV486" s="32"/>
      <c r="DW486" s="32"/>
      <c r="DX486" s="32"/>
      <c r="DY486" s="32"/>
      <c r="DZ486" s="32"/>
      <c r="EA486" s="32"/>
      <c r="EB486" s="32"/>
      <c r="EC486" s="32"/>
      <c r="ED486" s="32"/>
      <c r="EE486" s="32"/>
      <c r="EF486" s="32"/>
      <c r="EG486" s="32"/>
      <c r="EH486" s="32"/>
      <c r="EI486" s="32"/>
      <c r="EJ486" s="32"/>
      <c r="EK486" s="32"/>
      <c r="EL486" s="32"/>
      <c r="EM486" s="32"/>
      <c r="EN486" s="32"/>
      <c r="EO486" s="32"/>
      <c r="EP486" s="32"/>
      <c r="EQ486" s="32"/>
      <c r="ER486" s="32"/>
      <c r="ES486" s="32"/>
      <c r="ET486" s="32"/>
      <c r="EU486" s="32"/>
      <c r="EV486" s="32"/>
      <c r="EW486" s="32"/>
      <c r="EX486" s="32"/>
      <c r="EY486" s="32"/>
      <c r="EZ486" s="32"/>
      <c r="FA486" s="32"/>
      <c r="FB486" s="32"/>
      <c r="FC486" s="32"/>
      <c r="FD486" s="32"/>
      <c r="FE486" s="32"/>
      <c r="FF486" s="32"/>
      <c r="FG486" s="32"/>
      <c r="FH486" s="32"/>
      <c r="FI486" s="32"/>
      <c r="FJ486" s="32"/>
      <c r="FK486" s="32"/>
      <c r="FL486" s="32"/>
      <c r="FM486" s="338"/>
      <c r="FN486" s="78"/>
      <c r="FO486" s="78"/>
      <c r="FP486" s="78"/>
      <c r="FQ486" s="78"/>
      <c r="FR486" s="78"/>
      <c r="FS486" s="78"/>
      <c r="FT486" s="78"/>
      <c r="FU486" s="78"/>
      <c r="FV486" s="78"/>
      <c r="FW486" s="78"/>
      <c r="FX486" s="78"/>
      <c r="FY486" s="32"/>
      <c r="FZ486" s="32"/>
      <c r="GA486" s="32"/>
      <c r="GB486" s="32"/>
      <c r="GC486" s="32"/>
      <c r="GD486" s="32"/>
      <c r="GE486" s="32"/>
      <c r="GF486" s="32"/>
      <c r="GG486" s="32"/>
      <c r="GH486" s="32"/>
      <c r="GI486" s="32"/>
      <c r="GJ486" s="32"/>
      <c r="GK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78"/>
      <c r="HO486" s="78"/>
      <c r="HP486" s="78"/>
    </row>
    <row r="487" spans="1:224">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c r="CX487" s="32"/>
      <c r="CY487" s="32"/>
      <c r="CZ487" s="32"/>
      <c r="DA487" s="32"/>
      <c r="DB487" s="32"/>
      <c r="DC487" s="32"/>
      <c r="DD487" s="32"/>
      <c r="DE487" s="32"/>
      <c r="DF487" s="32"/>
      <c r="DG487" s="32"/>
      <c r="DH487" s="32"/>
      <c r="DI487" s="32"/>
      <c r="DJ487" s="32"/>
      <c r="DK487" s="32"/>
      <c r="DL487" s="32"/>
      <c r="DM487" s="32"/>
      <c r="DN487" s="32"/>
      <c r="DO487" s="32"/>
      <c r="DP487" s="32"/>
      <c r="DQ487" s="32"/>
      <c r="DR487" s="32"/>
      <c r="DS487" s="32"/>
      <c r="DT487" s="32"/>
      <c r="DU487" s="32"/>
      <c r="DV487" s="32"/>
      <c r="DW487" s="32"/>
      <c r="DX487" s="32"/>
      <c r="DY487" s="32"/>
      <c r="DZ487" s="32"/>
      <c r="EA487" s="32"/>
      <c r="EB487" s="32"/>
      <c r="EC487" s="32"/>
      <c r="ED487" s="32"/>
      <c r="EE487" s="32"/>
      <c r="EF487" s="32"/>
      <c r="EG487" s="32"/>
      <c r="EH487" s="32"/>
      <c r="EI487" s="32"/>
      <c r="EJ487" s="32"/>
      <c r="EK487" s="32"/>
      <c r="EL487" s="32"/>
      <c r="EM487" s="32"/>
      <c r="EN487" s="32"/>
      <c r="EO487" s="32"/>
      <c r="EP487" s="32"/>
      <c r="EQ487" s="32"/>
      <c r="ER487" s="32"/>
      <c r="ES487" s="32"/>
      <c r="ET487" s="32"/>
      <c r="EU487" s="32"/>
      <c r="EV487" s="32"/>
      <c r="EW487" s="32"/>
      <c r="EX487" s="32"/>
      <c r="EY487" s="32"/>
      <c r="EZ487" s="32"/>
      <c r="FA487" s="32"/>
      <c r="FB487" s="32"/>
      <c r="FC487" s="32"/>
      <c r="FD487" s="32"/>
      <c r="FE487" s="32"/>
      <c r="FF487" s="32"/>
      <c r="FG487" s="32"/>
      <c r="FH487" s="32"/>
      <c r="FI487" s="32"/>
      <c r="FJ487" s="32"/>
      <c r="FK487" s="32"/>
      <c r="FL487" s="32"/>
      <c r="FM487" s="338"/>
      <c r="FN487" s="78"/>
      <c r="FO487" s="78"/>
      <c r="FP487" s="78"/>
      <c r="FQ487" s="78"/>
      <c r="FR487" s="78"/>
      <c r="FS487" s="78"/>
      <c r="FT487" s="78"/>
      <c r="FU487" s="78"/>
      <c r="FV487" s="78"/>
      <c r="FW487" s="78"/>
      <c r="FX487" s="78"/>
      <c r="FY487" s="32"/>
      <c r="FZ487" s="32"/>
      <c r="GA487" s="32"/>
      <c r="GB487" s="32"/>
      <c r="GC487" s="32"/>
      <c r="GD487" s="32"/>
      <c r="GE487" s="32"/>
      <c r="GF487" s="32"/>
      <c r="GG487" s="32"/>
      <c r="GH487" s="32"/>
      <c r="GI487" s="32"/>
      <c r="GJ487" s="32"/>
      <c r="GK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78"/>
      <c r="HO487" s="78"/>
      <c r="HP487" s="78"/>
    </row>
    <row r="488" spans="1:224">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c r="CT488" s="32"/>
      <c r="CU488" s="32"/>
      <c r="CV488" s="32"/>
      <c r="CW488" s="32"/>
      <c r="CX488" s="32"/>
      <c r="CY488" s="32"/>
      <c r="CZ488" s="32"/>
      <c r="DA488" s="32"/>
      <c r="DB488" s="32"/>
      <c r="DC488" s="32"/>
      <c r="DD488" s="32"/>
      <c r="DE488" s="32"/>
      <c r="DF488" s="32"/>
      <c r="DG488" s="32"/>
      <c r="DH488" s="32"/>
      <c r="DI488" s="32"/>
      <c r="DJ488" s="32"/>
      <c r="DK488" s="32"/>
      <c r="DL488" s="32"/>
      <c r="DM488" s="32"/>
      <c r="DN488" s="32"/>
      <c r="DO488" s="32"/>
      <c r="DP488" s="32"/>
      <c r="DQ488" s="32"/>
      <c r="DR488" s="32"/>
      <c r="DS488" s="32"/>
      <c r="DT488" s="32"/>
      <c r="DU488" s="32"/>
      <c r="DV488" s="32"/>
      <c r="DW488" s="32"/>
      <c r="DX488" s="32"/>
      <c r="DY488" s="32"/>
      <c r="DZ488" s="32"/>
      <c r="EA488" s="32"/>
      <c r="EB488" s="32"/>
      <c r="EC488" s="32"/>
      <c r="ED488" s="32"/>
      <c r="EE488" s="32"/>
      <c r="EF488" s="32"/>
      <c r="EG488" s="32"/>
      <c r="EH488" s="32"/>
      <c r="EI488" s="32"/>
      <c r="EJ488" s="32"/>
      <c r="EK488" s="32"/>
      <c r="EL488" s="32"/>
      <c r="EM488" s="32"/>
      <c r="EN488" s="32"/>
      <c r="EO488" s="32"/>
      <c r="EP488" s="32"/>
      <c r="EQ488" s="32"/>
      <c r="ER488" s="32"/>
      <c r="ES488" s="32"/>
      <c r="ET488" s="32"/>
      <c r="EU488" s="32"/>
      <c r="EV488" s="32"/>
      <c r="EW488" s="32"/>
      <c r="EX488" s="32"/>
      <c r="EY488" s="32"/>
      <c r="EZ488" s="32"/>
      <c r="FA488" s="32"/>
      <c r="FB488" s="32"/>
      <c r="FC488" s="32"/>
      <c r="FD488" s="32"/>
      <c r="FE488" s="32"/>
      <c r="FF488" s="32"/>
      <c r="FG488" s="32"/>
      <c r="FH488" s="32"/>
      <c r="FI488" s="32"/>
      <c r="FJ488" s="32"/>
      <c r="FK488" s="32"/>
      <c r="FL488" s="32"/>
      <c r="FM488" s="338"/>
      <c r="FN488" s="78"/>
      <c r="FO488" s="78"/>
      <c r="FP488" s="78"/>
      <c r="FQ488" s="78"/>
      <c r="FR488" s="78"/>
      <c r="FS488" s="78"/>
      <c r="FT488" s="78"/>
      <c r="FU488" s="78"/>
      <c r="FV488" s="78"/>
      <c r="FW488" s="78"/>
      <c r="FX488" s="78"/>
      <c r="FY488" s="32"/>
      <c r="FZ488" s="32"/>
      <c r="GA488" s="32"/>
      <c r="GB488" s="32"/>
      <c r="GC488" s="32"/>
      <c r="GD488" s="32"/>
      <c r="GE488" s="32"/>
      <c r="GF488" s="32"/>
      <c r="GG488" s="32"/>
      <c r="GH488" s="32"/>
      <c r="GI488" s="32"/>
      <c r="GJ488" s="32"/>
      <c r="GK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78"/>
      <c r="HO488" s="78"/>
      <c r="HP488" s="78"/>
    </row>
    <row r="489" spans="1:224">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c r="CX489" s="32"/>
      <c r="CY489" s="32"/>
      <c r="CZ489" s="32"/>
      <c r="DA489" s="32"/>
      <c r="DB489" s="32"/>
      <c r="DC489" s="32"/>
      <c r="DD489" s="32"/>
      <c r="DE489" s="32"/>
      <c r="DF489" s="32"/>
      <c r="DG489" s="32"/>
      <c r="DH489" s="32"/>
      <c r="DI489" s="32"/>
      <c r="DJ489" s="32"/>
      <c r="DK489" s="32"/>
      <c r="DL489" s="32"/>
      <c r="DM489" s="32"/>
      <c r="DN489" s="32"/>
      <c r="DO489" s="32"/>
      <c r="DP489" s="32"/>
      <c r="DQ489" s="32"/>
      <c r="DR489" s="32"/>
      <c r="DS489" s="32"/>
      <c r="DT489" s="32"/>
      <c r="DU489" s="32"/>
      <c r="DV489" s="32"/>
      <c r="DW489" s="32"/>
      <c r="DX489" s="32"/>
      <c r="DY489" s="32"/>
      <c r="DZ489" s="32"/>
      <c r="EA489" s="32"/>
      <c r="EB489" s="32"/>
      <c r="EC489" s="32"/>
      <c r="ED489" s="32"/>
      <c r="EE489" s="32"/>
      <c r="EF489" s="32"/>
      <c r="EG489" s="32"/>
      <c r="EH489" s="32"/>
      <c r="EI489" s="32"/>
      <c r="EJ489" s="32"/>
      <c r="EK489" s="32"/>
      <c r="EL489" s="32"/>
      <c r="EM489" s="32"/>
      <c r="EN489" s="32"/>
      <c r="EO489" s="32"/>
      <c r="EP489" s="32"/>
      <c r="EQ489" s="32"/>
      <c r="ER489" s="32"/>
      <c r="ES489" s="32"/>
      <c r="ET489" s="32"/>
      <c r="EU489" s="32"/>
      <c r="EV489" s="32"/>
      <c r="EW489" s="32"/>
      <c r="EX489" s="32"/>
      <c r="EY489" s="32"/>
      <c r="EZ489" s="32"/>
      <c r="FA489" s="32"/>
      <c r="FB489" s="32"/>
      <c r="FC489" s="32"/>
      <c r="FD489" s="32"/>
      <c r="FE489" s="32"/>
      <c r="FF489" s="32"/>
      <c r="FG489" s="32"/>
      <c r="FH489" s="32"/>
      <c r="FI489" s="32"/>
      <c r="FJ489" s="32"/>
      <c r="FK489" s="32"/>
      <c r="FL489" s="32"/>
      <c r="FM489" s="338"/>
      <c r="FN489" s="78"/>
      <c r="FO489" s="78"/>
      <c r="FP489" s="78"/>
      <c r="FQ489" s="78"/>
      <c r="FR489" s="78"/>
      <c r="FS489" s="78"/>
      <c r="FT489" s="78"/>
      <c r="FU489" s="78"/>
      <c r="FV489" s="78"/>
      <c r="FW489" s="78"/>
      <c r="FX489" s="78"/>
      <c r="FY489" s="32"/>
      <c r="FZ489" s="32"/>
      <c r="GA489" s="32"/>
      <c r="GB489" s="32"/>
      <c r="GC489" s="32"/>
      <c r="GD489" s="32"/>
      <c r="GE489" s="32"/>
      <c r="GF489" s="32"/>
      <c r="GG489" s="32"/>
      <c r="GH489" s="32"/>
      <c r="GI489" s="32"/>
      <c r="GJ489" s="32"/>
      <c r="GK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78"/>
      <c r="HO489" s="78"/>
      <c r="HP489" s="78"/>
    </row>
    <row r="490" spans="1:224">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c r="CX490" s="32"/>
      <c r="CY490" s="32"/>
      <c r="CZ490" s="32"/>
      <c r="DA490" s="32"/>
      <c r="DB490" s="32"/>
      <c r="DC490" s="32"/>
      <c r="DD490" s="32"/>
      <c r="DE490" s="32"/>
      <c r="DF490" s="32"/>
      <c r="DG490" s="32"/>
      <c r="DH490" s="32"/>
      <c r="DI490" s="32"/>
      <c r="DJ490" s="32"/>
      <c r="DK490" s="32"/>
      <c r="DL490" s="32"/>
      <c r="DM490" s="32"/>
      <c r="DN490" s="32"/>
      <c r="DO490" s="32"/>
      <c r="DP490" s="32"/>
      <c r="DQ490" s="32"/>
      <c r="DR490" s="32"/>
      <c r="DS490" s="32"/>
      <c r="DT490" s="32"/>
      <c r="DU490" s="32"/>
      <c r="DV490" s="32"/>
      <c r="DW490" s="32"/>
      <c r="DX490" s="32"/>
      <c r="DY490" s="32"/>
      <c r="DZ490" s="32"/>
      <c r="EA490" s="32"/>
      <c r="EB490" s="32"/>
      <c r="EC490" s="32"/>
      <c r="ED490" s="32"/>
      <c r="EE490" s="32"/>
      <c r="EF490" s="32"/>
      <c r="EG490" s="32"/>
      <c r="EH490" s="32"/>
      <c r="EI490" s="32"/>
      <c r="EJ490" s="32"/>
      <c r="EK490" s="32"/>
      <c r="EL490" s="32"/>
      <c r="EM490" s="32"/>
      <c r="EN490" s="32"/>
      <c r="EO490" s="32"/>
      <c r="EP490" s="32"/>
      <c r="EQ490" s="32"/>
      <c r="ER490" s="32"/>
      <c r="ES490" s="32"/>
      <c r="ET490" s="32"/>
      <c r="EU490" s="32"/>
      <c r="EV490" s="32"/>
      <c r="EW490" s="32"/>
      <c r="EX490" s="32"/>
      <c r="EY490" s="32"/>
      <c r="EZ490" s="32"/>
      <c r="FA490" s="32"/>
      <c r="FB490" s="32"/>
      <c r="FC490" s="32"/>
      <c r="FD490" s="32"/>
      <c r="FE490" s="32"/>
      <c r="FF490" s="32"/>
      <c r="FG490" s="32"/>
      <c r="FH490" s="32"/>
      <c r="FI490" s="32"/>
      <c r="FJ490" s="32"/>
      <c r="FK490" s="32"/>
      <c r="FL490" s="32"/>
      <c r="FM490" s="338"/>
      <c r="FN490" s="78"/>
      <c r="FO490" s="78"/>
      <c r="FP490" s="78"/>
      <c r="FQ490" s="78"/>
      <c r="FR490" s="78"/>
      <c r="FS490" s="78"/>
      <c r="FT490" s="78"/>
      <c r="FU490" s="78"/>
      <c r="FV490" s="78"/>
      <c r="FW490" s="78"/>
      <c r="FX490" s="78"/>
      <c r="FY490" s="32"/>
      <c r="FZ490" s="32"/>
      <c r="GA490" s="32"/>
      <c r="GB490" s="32"/>
      <c r="GC490" s="32"/>
      <c r="GD490" s="32"/>
      <c r="GE490" s="32"/>
      <c r="GF490" s="32"/>
      <c r="GG490" s="32"/>
      <c r="GH490" s="32"/>
      <c r="GI490" s="32"/>
      <c r="GJ490" s="32"/>
      <c r="GK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78"/>
      <c r="HO490" s="78"/>
      <c r="HP490" s="78"/>
    </row>
    <row r="491" spans="1:224">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c r="CT491" s="32"/>
      <c r="CU491" s="32"/>
      <c r="CV491" s="32"/>
      <c r="CW491" s="32"/>
      <c r="CX491" s="32"/>
      <c r="CY491" s="32"/>
      <c r="CZ491" s="32"/>
      <c r="DA491" s="32"/>
      <c r="DB491" s="32"/>
      <c r="DC491" s="32"/>
      <c r="DD491" s="32"/>
      <c r="DE491" s="32"/>
      <c r="DF491" s="32"/>
      <c r="DG491" s="32"/>
      <c r="DH491" s="32"/>
      <c r="DI491" s="32"/>
      <c r="DJ491" s="32"/>
      <c r="DK491" s="32"/>
      <c r="DL491" s="32"/>
      <c r="DM491" s="32"/>
      <c r="DN491" s="32"/>
      <c r="DO491" s="32"/>
      <c r="DP491" s="32"/>
      <c r="DQ491" s="32"/>
      <c r="DR491" s="32"/>
      <c r="DS491" s="32"/>
      <c r="DT491" s="32"/>
      <c r="DU491" s="32"/>
      <c r="DV491" s="32"/>
      <c r="DW491" s="32"/>
      <c r="DX491" s="32"/>
      <c r="DY491" s="32"/>
      <c r="DZ491" s="32"/>
      <c r="EA491" s="32"/>
      <c r="EB491" s="32"/>
      <c r="EC491" s="32"/>
      <c r="ED491" s="32"/>
      <c r="EE491" s="32"/>
      <c r="EF491" s="32"/>
      <c r="EG491" s="32"/>
      <c r="EH491" s="32"/>
      <c r="EI491" s="32"/>
      <c r="EJ491" s="32"/>
      <c r="EK491" s="32"/>
      <c r="EL491" s="32"/>
      <c r="EM491" s="32"/>
      <c r="EN491" s="32"/>
      <c r="EO491" s="32"/>
      <c r="EP491" s="32"/>
      <c r="EQ491" s="32"/>
      <c r="ER491" s="32"/>
      <c r="ES491" s="32"/>
      <c r="ET491" s="32"/>
      <c r="EU491" s="32"/>
      <c r="EV491" s="32"/>
      <c r="EW491" s="32"/>
      <c r="EX491" s="32"/>
      <c r="EY491" s="32"/>
      <c r="EZ491" s="32"/>
      <c r="FA491" s="32"/>
      <c r="FB491" s="32"/>
      <c r="FC491" s="32"/>
      <c r="FD491" s="32"/>
      <c r="FE491" s="32"/>
      <c r="FF491" s="32"/>
      <c r="FG491" s="32"/>
      <c r="FH491" s="32"/>
      <c r="FI491" s="32"/>
      <c r="FJ491" s="32"/>
      <c r="FK491" s="32"/>
      <c r="FL491" s="32"/>
      <c r="FM491" s="338"/>
      <c r="FN491" s="78"/>
      <c r="FO491" s="78"/>
      <c r="FP491" s="78"/>
      <c r="FQ491" s="78"/>
      <c r="FR491" s="78"/>
      <c r="FS491" s="78"/>
      <c r="FT491" s="78"/>
      <c r="FU491" s="78"/>
      <c r="FV491" s="78"/>
      <c r="FW491" s="78"/>
      <c r="FX491" s="78"/>
      <c r="FY491" s="32"/>
      <c r="FZ491" s="32"/>
      <c r="GA491" s="32"/>
      <c r="GB491" s="32"/>
      <c r="GC491" s="32"/>
      <c r="GD491" s="32"/>
      <c r="GE491" s="32"/>
      <c r="GF491" s="32"/>
      <c r="GG491" s="32"/>
      <c r="GH491" s="32"/>
      <c r="GI491" s="32"/>
      <c r="GJ491" s="32"/>
      <c r="GK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78"/>
      <c r="HO491" s="78"/>
      <c r="HP491" s="78"/>
    </row>
    <row r="492" spans="1:224">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c r="CX492" s="32"/>
      <c r="CY492" s="32"/>
      <c r="CZ492" s="32"/>
      <c r="DA492" s="32"/>
      <c r="DB492" s="32"/>
      <c r="DC492" s="32"/>
      <c r="DD492" s="32"/>
      <c r="DE492" s="32"/>
      <c r="DF492" s="32"/>
      <c r="DG492" s="32"/>
      <c r="DH492" s="32"/>
      <c r="DI492" s="32"/>
      <c r="DJ492" s="32"/>
      <c r="DK492" s="32"/>
      <c r="DL492" s="32"/>
      <c r="DM492" s="32"/>
      <c r="DN492" s="32"/>
      <c r="DO492" s="32"/>
      <c r="DP492" s="32"/>
      <c r="DQ492" s="32"/>
      <c r="DR492" s="32"/>
      <c r="DS492" s="32"/>
      <c r="DT492" s="32"/>
      <c r="DU492" s="32"/>
      <c r="DV492" s="32"/>
      <c r="DW492" s="32"/>
      <c r="DX492" s="32"/>
      <c r="DY492" s="32"/>
      <c r="DZ492" s="32"/>
      <c r="EA492" s="32"/>
      <c r="EB492" s="32"/>
      <c r="EC492" s="32"/>
      <c r="ED492" s="32"/>
      <c r="EE492" s="32"/>
      <c r="EF492" s="32"/>
      <c r="EG492" s="32"/>
      <c r="EH492" s="32"/>
      <c r="EI492" s="32"/>
      <c r="EJ492" s="32"/>
      <c r="EK492" s="32"/>
      <c r="EL492" s="32"/>
      <c r="EM492" s="32"/>
      <c r="EN492" s="32"/>
      <c r="EO492" s="32"/>
      <c r="EP492" s="32"/>
      <c r="EQ492" s="32"/>
      <c r="ER492" s="32"/>
      <c r="ES492" s="32"/>
      <c r="ET492" s="32"/>
      <c r="EU492" s="32"/>
      <c r="EV492" s="32"/>
      <c r="EW492" s="32"/>
      <c r="EX492" s="32"/>
      <c r="EY492" s="32"/>
      <c r="EZ492" s="32"/>
      <c r="FA492" s="32"/>
      <c r="FB492" s="32"/>
      <c r="FC492" s="32"/>
      <c r="FD492" s="32"/>
      <c r="FE492" s="32"/>
      <c r="FF492" s="32"/>
      <c r="FG492" s="32"/>
      <c r="FH492" s="32"/>
      <c r="FI492" s="32"/>
      <c r="FJ492" s="32"/>
      <c r="FK492" s="32"/>
      <c r="FL492" s="32"/>
      <c r="FM492" s="338"/>
      <c r="FN492" s="78"/>
      <c r="FO492" s="78"/>
      <c r="FP492" s="78"/>
      <c r="FQ492" s="78"/>
      <c r="FR492" s="78"/>
      <c r="FS492" s="78"/>
      <c r="FT492" s="78"/>
      <c r="FU492" s="78"/>
      <c r="FV492" s="78"/>
      <c r="FW492" s="78"/>
      <c r="FX492" s="78"/>
      <c r="FY492" s="32"/>
      <c r="FZ492" s="32"/>
      <c r="GA492" s="32"/>
      <c r="GB492" s="32"/>
      <c r="GC492" s="32"/>
      <c r="GD492" s="32"/>
      <c r="GE492" s="32"/>
      <c r="GF492" s="32"/>
      <c r="GG492" s="32"/>
      <c r="GH492" s="32"/>
      <c r="GI492" s="32"/>
      <c r="GJ492" s="32"/>
      <c r="GK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78"/>
      <c r="HO492" s="78"/>
      <c r="HP492" s="78"/>
    </row>
    <row r="493" spans="1:224">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c r="CX493" s="32"/>
      <c r="CY493" s="32"/>
      <c r="CZ493" s="32"/>
      <c r="DA493" s="32"/>
      <c r="DB493" s="32"/>
      <c r="DC493" s="32"/>
      <c r="DD493" s="32"/>
      <c r="DE493" s="32"/>
      <c r="DF493" s="32"/>
      <c r="DG493" s="32"/>
      <c r="DH493" s="32"/>
      <c r="DI493" s="32"/>
      <c r="DJ493" s="32"/>
      <c r="DK493" s="32"/>
      <c r="DL493" s="32"/>
      <c r="DM493" s="32"/>
      <c r="DN493" s="32"/>
      <c r="DO493" s="32"/>
      <c r="DP493" s="32"/>
      <c r="DQ493" s="32"/>
      <c r="DR493" s="32"/>
      <c r="DS493" s="32"/>
      <c r="DT493" s="32"/>
      <c r="DU493" s="32"/>
      <c r="DV493" s="32"/>
      <c r="DW493" s="32"/>
      <c r="DX493" s="32"/>
      <c r="DY493" s="32"/>
      <c r="DZ493" s="32"/>
      <c r="EA493" s="32"/>
      <c r="EB493" s="32"/>
      <c r="EC493" s="32"/>
      <c r="ED493" s="32"/>
      <c r="EE493" s="32"/>
      <c r="EF493" s="32"/>
      <c r="EG493" s="32"/>
      <c r="EH493" s="32"/>
      <c r="EI493" s="32"/>
      <c r="EJ493" s="32"/>
      <c r="EK493" s="32"/>
      <c r="EL493" s="32"/>
      <c r="EM493" s="32"/>
      <c r="EN493" s="32"/>
      <c r="EO493" s="32"/>
      <c r="EP493" s="32"/>
      <c r="EQ493" s="32"/>
      <c r="ER493" s="32"/>
      <c r="ES493" s="32"/>
      <c r="ET493" s="32"/>
      <c r="EU493" s="32"/>
      <c r="EV493" s="32"/>
      <c r="EW493" s="32"/>
      <c r="EX493" s="32"/>
      <c r="EY493" s="32"/>
      <c r="EZ493" s="32"/>
      <c r="FA493" s="32"/>
      <c r="FB493" s="32"/>
      <c r="FC493" s="32"/>
      <c r="FD493" s="32"/>
      <c r="FE493" s="32"/>
      <c r="FF493" s="32"/>
      <c r="FG493" s="32"/>
      <c r="FH493" s="32"/>
      <c r="FI493" s="32"/>
      <c r="FJ493" s="32"/>
      <c r="FK493" s="32"/>
      <c r="FL493" s="32"/>
      <c r="FM493" s="338"/>
      <c r="FN493" s="78"/>
      <c r="FO493" s="78"/>
      <c r="FP493" s="78"/>
      <c r="FQ493" s="78"/>
      <c r="FR493" s="78"/>
      <c r="FS493" s="78"/>
      <c r="FT493" s="78"/>
      <c r="FU493" s="78"/>
      <c r="FV493" s="78"/>
      <c r="FW493" s="78"/>
      <c r="FX493" s="78"/>
      <c r="FY493" s="32"/>
      <c r="FZ493" s="32"/>
      <c r="GA493" s="32"/>
      <c r="GB493" s="32"/>
      <c r="GC493" s="32"/>
      <c r="GD493" s="32"/>
      <c r="GE493" s="32"/>
      <c r="GF493" s="32"/>
      <c r="GG493" s="32"/>
      <c r="GH493" s="32"/>
      <c r="GI493" s="32"/>
      <c r="GJ493" s="32"/>
      <c r="GK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78"/>
      <c r="HO493" s="78"/>
      <c r="HP493" s="78"/>
    </row>
    <row r="494" spans="1:224">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32"/>
      <c r="EB494" s="32"/>
      <c r="EC494" s="32"/>
      <c r="ED494" s="32"/>
      <c r="EE494" s="32"/>
      <c r="EF494" s="32"/>
      <c r="EG494" s="32"/>
      <c r="EH494" s="32"/>
      <c r="EI494" s="32"/>
      <c r="EJ494" s="32"/>
      <c r="EK494" s="32"/>
      <c r="EL494" s="32"/>
      <c r="EM494" s="32"/>
      <c r="EN494" s="32"/>
      <c r="EO494" s="32"/>
      <c r="EP494" s="32"/>
      <c r="EQ494" s="32"/>
      <c r="ER494" s="32"/>
      <c r="ES494" s="32"/>
      <c r="ET494" s="32"/>
      <c r="EU494" s="32"/>
      <c r="EV494" s="32"/>
      <c r="EW494" s="32"/>
      <c r="EX494" s="32"/>
      <c r="EY494" s="32"/>
      <c r="EZ494" s="32"/>
      <c r="FA494" s="32"/>
      <c r="FB494" s="32"/>
      <c r="FC494" s="32"/>
      <c r="FD494" s="32"/>
      <c r="FE494" s="32"/>
      <c r="FF494" s="32"/>
      <c r="FG494" s="32"/>
      <c r="FH494" s="32"/>
      <c r="FI494" s="32"/>
      <c r="FJ494" s="32"/>
      <c r="FK494" s="32"/>
      <c r="FL494" s="32"/>
      <c r="FM494" s="338"/>
      <c r="FN494" s="78"/>
      <c r="FO494" s="78"/>
      <c r="FP494" s="78"/>
      <c r="FQ494" s="78"/>
      <c r="FR494" s="78"/>
      <c r="FS494" s="78"/>
      <c r="FT494" s="78"/>
      <c r="FU494" s="78"/>
      <c r="FV494" s="78"/>
      <c r="FW494" s="78"/>
      <c r="FX494" s="78"/>
      <c r="FY494" s="32"/>
      <c r="FZ494" s="32"/>
      <c r="GA494" s="32"/>
      <c r="GB494" s="32"/>
      <c r="GC494" s="32"/>
      <c r="GD494" s="32"/>
      <c r="GE494" s="32"/>
      <c r="GF494" s="32"/>
      <c r="GG494" s="32"/>
      <c r="GH494" s="32"/>
      <c r="GI494" s="32"/>
      <c r="GJ494" s="32"/>
      <c r="GK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78"/>
      <c r="HO494" s="78"/>
      <c r="HP494" s="78"/>
    </row>
    <row r="495" spans="1:224">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c r="CX495" s="32"/>
      <c r="CY495" s="32"/>
      <c r="CZ495" s="32"/>
      <c r="DA495" s="32"/>
      <c r="DB495" s="32"/>
      <c r="DC495" s="32"/>
      <c r="DD495" s="32"/>
      <c r="DE495" s="32"/>
      <c r="DF495" s="32"/>
      <c r="DG495" s="32"/>
      <c r="DH495" s="32"/>
      <c r="DI495" s="32"/>
      <c r="DJ495" s="32"/>
      <c r="DK495" s="32"/>
      <c r="DL495" s="32"/>
      <c r="DM495" s="32"/>
      <c r="DN495" s="32"/>
      <c r="DO495" s="32"/>
      <c r="DP495" s="32"/>
      <c r="DQ495" s="32"/>
      <c r="DR495" s="32"/>
      <c r="DS495" s="32"/>
      <c r="DT495" s="32"/>
      <c r="DU495" s="32"/>
      <c r="DV495" s="32"/>
      <c r="DW495" s="32"/>
      <c r="DX495" s="32"/>
      <c r="DY495" s="32"/>
      <c r="DZ495" s="32"/>
      <c r="EA495" s="32"/>
      <c r="EB495" s="32"/>
      <c r="EC495" s="32"/>
      <c r="ED495" s="32"/>
      <c r="EE495" s="32"/>
      <c r="EF495" s="32"/>
      <c r="EG495" s="32"/>
      <c r="EH495" s="32"/>
      <c r="EI495" s="32"/>
      <c r="EJ495" s="32"/>
      <c r="EK495" s="32"/>
      <c r="EL495" s="32"/>
      <c r="EM495" s="32"/>
      <c r="EN495" s="32"/>
      <c r="EO495" s="32"/>
      <c r="EP495" s="32"/>
      <c r="EQ495" s="32"/>
      <c r="ER495" s="32"/>
      <c r="ES495" s="32"/>
      <c r="ET495" s="32"/>
      <c r="EU495" s="32"/>
      <c r="EV495" s="32"/>
      <c r="EW495" s="32"/>
      <c r="EX495" s="32"/>
      <c r="EY495" s="32"/>
      <c r="EZ495" s="32"/>
      <c r="FA495" s="32"/>
      <c r="FB495" s="32"/>
      <c r="FC495" s="32"/>
      <c r="FD495" s="32"/>
      <c r="FE495" s="32"/>
      <c r="FF495" s="32"/>
      <c r="FG495" s="32"/>
      <c r="FH495" s="32"/>
      <c r="FI495" s="32"/>
      <c r="FJ495" s="32"/>
      <c r="FK495" s="32"/>
      <c r="FL495" s="32"/>
      <c r="FM495" s="338"/>
      <c r="FN495" s="78"/>
      <c r="FO495" s="78"/>
      <c r="FP495" s="78"/>
      <c r="FQ495" s="78"/>
      <c r="FR495" s="78"/>
      <c r="FS495" s="78"/>
      <c r="FT495" s="78"/>
      <c r="FU495" s="78"/>
      <c r="FV495" s="78"/>
      <c r="FW495" s="78"/>
      <c r="FX495" s="78"/>
      <c r="FY495" s="32"/>
      <c r="FZ495" s="32"/>
      <c r="GA495" s="32"/>
      <c r="GB495" s="32"/>
      <c r="GC495" s="32"/>
      <c r="GD495" s="32"/>
      <c r="GE495" s="32"/>
      <c r="GF495" s="32"/>
      <c r="GG495" s="32"/>
      <c r="GH495" s="32"/>
      <c r="GI495" s="32"/>
      <c r="GJ495" s="32"/>
      <c r="GK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78"/>
      <c r="HO495" s="78"/>
      <c r="HP495" s="78"/>
    </row>
    <row r="496" spans="1:224">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c r="CT496" s="32"/>
      <c r="CU496" s="32"/>
      <c r="CV496" s="32"/>
      <c r="CW496" s="32"/>
      <c r="CX496" s="32"/>
      <c r="CY496" s="32"/>
      <c r="CZ496" s="32"/>
      <c r="DA496" s="32"/>
      <c r="DB496" s="32"/>
      <c r="DC496" s="32"/>
      <c r="DD496" s="32"/>
      <c r="DE496" s="32"/>
      <c r="DF496" s="32"/>
      <c r="DG496" s="32"/>
      <c r="DH496" s="32"/>
      <c r="DI496" s="32"/>
      <c r="DJ496" s="32"/>
      <c r="DK496" s="32"/>
      <c r="DL496" s="32"/>
      <c r="DM496" s="32"/>
      <c r="DN496" s="32"/>
      <c r="DO496" s="32"/>
      <c r="DP496" s="32"/>
      <c r="DQ496" s="32"/>
      <c r="DR496" s="32"/>
      <c r="DS496" s="32"/>
      <c r="DT496" s="32"/>
      <c r="DU496" s="32"/>
      <c r="DV496" s="32"/>
      <c r="DW496" s="32"/>
      <c r="DX496" s="32"/>
      <c r="DY496" s="32"/>
      <c r="DZ496" s="32"/>
      <c r="EA496" s="32"/>
      <c r="EB496" s="32"/>
      <c r="EC496" s="32"/>
      <c r="ED496" s="32"/>
      <c r="EE496" s="32"/>
      <c r="EF496" s="32"/>
      <c r="EG496" s="32"/>
      <c r="EH496" s="32"/>
      <c r="EI496" s="32"/>
      <c r="EJ496" s="32"/>
      <c r="EK496" s="32"/>
      <c r="EL496" s="32"/>
      <c r="EM496" s="32"/>
      <c r="EN496" s="32"/>
      <c r="EO496" s="32"/>
      <c r="EP496" s="32"/>
      <c r="EQ496" s="32"/>
      <c r="ER496" s="32"/>
      <c r="ES496" s="32"/>
      <c r="ET496" s="32"/>
      <c r="EU496" s="32"/>
      <c r="EV496" s="32"/>
      <c r="EW496" s="32"/>
      <c r="EX496" s="32"/>
      <c r="EY496" s="32"/>
      <c r="EZ496" s="32"/>
      <c r="FA496" s="32"/>
      <c r="FB496" s="32"/>
      <c r="FC496" s="32"/>
      <c r="FD496" s="32"/>
      <c r="FE496" s="32"/>
      <c r="FF496" s="32"/>
      <c r="FG496" s="32"/>
      <c r="FH496" s="32"/>
      <c r="FI496" s="32"/>
      <c r="FJ496" s="32"/>
      <c r="FK496" s="32"/>
      <c r="FL496" s="32"/>
      <c r="FM496" s="338"/>
      <c r="FN496" s="78"/>
      <c r="FO496" s="78"/>
      <c r="FP496" s="78"/>
      <c r="FQ496" s="78"/>
      <c r="FR496" s="78"/>
      <c r="FS496" s="78"/>
      <c r="FT496" s="78"/>
      <c r="FU496" s="78"/>
      <c r="FV496" s="78"/>
      <c r="FW496" s="78"/>
      <c r="FX496" s="78"/>
      <c r="FY496" s="32"/>
      <c r="FZ496" s="32"/>
      <c r="GA496" s="32"/>
      <c r="GB496" s="32"/>
      <c r="GC496" s="32"/>
      <c r="GD496" s="32"/>
      <c r="GE496" s="32"/>
      <c r="GF496" s="32"/>
      <c r="GG496" s="32"/>
      <c r="GH496" s="32"/>
      <c r="GI496" s="32"/>
      <c r="GJ496" s="32"/>
      <c r="GK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78"/>
      <c r="HO496" s="78"/>
      <c r="HP496" s="78"/>
    </row>
    <row r="497" spans="1:224">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c r="CX497" s="32"/>
      <c r="CY497" s="32"/>
      <c r="CZ497" s="32"/>
      <c r="DA497" s="32"/>
      <c r="DB497" s="32"/>
      <c r="DC497" s="32"/>
      <c r="DD497" s="32"/>
      <c r="DE497" s="32"/>
      <c r="DF497" s="32"/>
      <c r="DG497" s="32"/>
      <c r="DH497" s="32"/>
      <c r="DI497" s="32"/>
      <c r="DJ497" s="32"/>
      <c r="DK497" s="32"/>
      <c r="DL497" s="32"/>
      <c r="DM497" s="32"/>
      <c r="DN497" s="32"/>
      <c r="DO497" s="32"/>
      <c r="DP497" s="32"/>
      <c r="DQ497" s="32"/>
      <c r="DR497" s="32"/>
      <c r="DS497" s="32"/>
      <c r="DT497" s="32"/>
      <c r="DU497" s="32"/>
      <c r="DV497" s="32"/>
      <c r="DW497" s="32"/>
      <c r="DX497" s="32"/>
      <c r="DY497" s="32"/>
      <c r="DZ497" s="32"/>
      <c r="EA497" s="32"/>
      <c r="EB497" s="32"/>
      <c r="EC497" s="32"/>
      <c r="ED497" s="32"/>
      <c r="EE497" s="32"/>
      <c r="EF497" s="32"/>
      <c r="EG497" s="32"/>
      <c r="EH497" s="32"/>
      <c r="EI497" s="32"/>
      <c r="EJ497" s="32"/>
      <c r="EK497" s="32"/>
      <c r="EL497" s="32"/>
      <c r="EM497" s="32"/>
      <c r="EN497" s="32"/>
      <c r="EO497" s="32"/>
      <c r="EP497" s="32"/>
      <c r="EQ497" s="32"/>
      <c r="ER497" s="32"/>
      <c r="ES497" s="32"/>
      <c r="ET497" s="32"/>
      <c r="EU497" s="32"/>
      <c r="EV497" s="32"/>
      <c r="EW497" s="32"/>
      <c r="EX497" s="32"/>
      <c r="EY497" s="32"/>
      <c r="EZ497" s="32"/>
      <c r="FA497" s="32"/>
      <c r="FB497" s="32"/>
      <c r="FC497" s="32"/>
      <c r="FD497" s="32"/>
      <c r="FE497" s="32"/>
      <c r="FF497" s="32"/>
      <c r="FG497" s="32"/>
      <c r="FH497" s="32"/>
      <c r="FI497" s="32"/>
      <c r="FJ497" s="32"/>
      <c r="FK497" s="32"/>
      <c r="FL497" s="32"/>
      <c r="FM497" s="338"/>
      <c r="FN497" s="78"/>
      <c r="FO497" s="78"/>
      <c r="FP497" s="78"/>
      <c r="FQ497" s="78"/>
      <c r="FR497" s="78"/>
      <c r="FS497" s="78"/>
      <c r="FT497" s="78"/>
      <c r="FU497" s="78"/>
      <c r="FV497" s="78"/>
      <c r="FW497" s="78"/>
      <c r="FX497" s="78"/>
      <c r="FY497" s="32"/>
      <c r="FZ497" s="32"/>
      <c r="GA497" s="32"/>
      <c r="GB497" s="32"/>
      <c r="GC497" s="32"/>
      <c r="GD497" s="32"/>
      <c r="GE497" s="32"/>
      <c r="GF497" s="32"/>
      <c r="GG497" s="32"/>
      <c r="GH497" s="32"/>
      <c r="GI497" s="32"/>
      <c r="GJ497" s="32"/>
      <c r="GK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78"/>
      <c r="HO497" s="78"/>
      <c r="HP497" s="78"/>
    </row>
    <row r="498" spans="1:224">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c r="CT498" s="32"/>
      <c r="CU498" s="32"/>
      <c r="CV498" s="32"/>
      <c r="CW498" s="32"/>
      <c r="CX498" s="32"/>
      <c r="CY498" s="32"/>
      <c r="CZ498" s="32"/>
      <c r="DA498" s="32"/>
      <c r="DB498" s="32"/>
      <c r="DC498" s="32"/>
      <c r="DD498" s="32"/>
      <c r="DE498" s="32"/>
      <c r="DF498" s="32"/>
      <c r="DG498" s="32"/>
      <c r="DH498" s="32"/>
      <c r="DI498" s="32"/>
      <c r="DJ498" s="32"/>
      <c r="DK498" s="32"/>
      <c r="DL498" s="32"/>
      <c r="DM498" s="32"/>
      <c r="DN498" s="32"/>
      <c r="DO498" s="32"/>
      <c r="DP498" s="32"/>
      <c r="DQ498" s="32"/>
      <c r="DR498" s="32"/>
      <c r="DS498" s="32"/>
      <c r="DT498" s="32"/>
      <c r="DU498" s="32"/>
      <c r="DV498" s="32"/>
      <c r="DW498" s="32"/>
      <c r="DX498" s="32"/>
      <c r="DY498" s="32"/>
      <c r="DZ498" s="32"/>
      <c r="EA498" s="32"/>
      <c r="EB498" s="32"/>
      <c r="EC498" s="32"/>
      <c r="ED498" s="32"/>
      <c r="EE498" s="32"/>
      <c r="EF498" s="32"/>
      <c r="EG498" s="32"/>
      <c r="EH498" s="32"/>
      <c r="EI498" s="32"/>
      <c r="EJ498" s="32"/>
      <c r="EK498" s="32"/>
      <c r="EL498" s="32"/>
      <c r="EM498" s="32"/>
      <c r="EN498" s="32"/>
      <c r="EO498" s="32"/>
      <c r="EP498" s="32"/>
      <c r="EQ498" s="32"/>
      <c r="ER498" s="32"/>
      <c r="ES498" s="32"/>
      <c r="ET498" s="32"/>
      <c r="EU498" s="32"/>
      <c r="EV498" s="32"/>
      <c r="EW498" s="32"/>
      <c r="EX498" s="32"/>
      <c r="EY498" s="32"/>
      <c r="EZ498" s="32"/>
      <c r="FA498" s="32"/>
      <c r="FB498" s="32"/>
      <c r="FC498" s="32"/>
      <c r="FD498" s="32"/>
      <c r="FE498" s="32"/>
      <c r="FF498" s="32"/>
      <c r="FG498" s="32"/>
      <c r="FH498" s="32"/>
      <c r="FI498" s="32"/>
      <c r="FJ498" s="32"/>
      <c r="FK498" s="32"/>
      <c r="FL498" s="32"/>
      <c r="FM498" s="338"/>
      <c r="FN498" s="78"/>
      <c r="FO498" s="78"/>
      <c r="FP498" s="78"/>
      <c r="FQ498" s="78"/>
      <c r="FR498" s="78"/>
      <c r="FS498" s="78"/>
      <c r="FT498" s="78"/>
      <c r="FU498" s="78"/>
      <c r="FV498" s="78"/>
      <c r="FW498" s="78"/>
      <c r="FX498" s="78"/>
      <c r="FY498" s="32"/>
      <c r="FZ498" s="32"/>
      <c r="GA498" s="32"/>
      <c r="GB498" s="32"/>
      <c r="GC498" s="32"/>
      <c r="GD498" s="32"/>
      <c r="GE498" s="32"/>
      <c r="GF498" s="32"/>
      <c r="GG498" s="32"/>
      <c r="GH498" s="32"/>
      <c r="GI498" s="32"/>
      <c r="GJ498" s="32"/>
      <c r="GK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78"/>
      <c r="HO498" s="78"/>
      <c r="HP498" s="78"/>
    </row>
    <row r="499" spans="1:224">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c r="CX499" s="32"/>
      <c r="CY499" s="32"/>
      <c r="CZ499" s="32"/>
      <c r="DA499" s="32"/>
      <c r="DB499" s="32"/>
      <c r="DC499" s="32"/>
      <c r="DD499" s="32"/>
      <c r="DE499" s="32"/>
      <c r="DF499" s="32"/>
      <c r="DG499" s="32"/>
      <c r="DH499" s="32"/>
      <c r="DI499" s="32"/>
      <c r="DJ499" s="32"/>
      <c r="DK499" s="32"/>
      <c r="DL499" s="32"/>
      <c r="DM499" s="32"/>
      <c r="DN499" s="32"/>
      <c r="DO499" s="32"/>
      <c r="DP499" s="32"/>
      <c r="DQ499" s="32"/>
      <c r="DR499" s="32"/>
      <c r="DS499" s="32"/>
      <c r="DT499" s="32"/>
      <c r="DU499" s="32"/>
      <c r="DV499" s="32"/>
      <c r="DW499" s="32"/>
      <c r="DX499" s="32"/>
      <c r="DY499" s="32"/>
      <c r="DZ499" s="32"/>
      <c r="EA499" s="32"/>
      <c r="EB499" s="32"/>
      <c r="EC499" s="32"/>
      <c r="ED499" s="32"/>
      <c r="EE499" s="32"/>
      <c r="EF499" s="32"/>
      <c r="EG499" s="32"/>
      <c r="EH499" s="32"/>
      <c r="EI499" s="32"/>
      <c r="EJ499" s="32"/>
      <c r="EK499" s="32"/>
      <c r="EL499" s="32"/>
      <c r="EM499" s="32"/>
      <c r="EN499" s="32"/>
      <c r="EO499" s="32"/>
      <c r="EP499" s="32"/>
      <c r="EQ499" s="32"/>
      <c r="ER499" s="32"/>
      <c r="ES499" s="32"/>
      <c r="ET499" s="32"/>
      <c r="EU499" s="32"/>
      <c r="EV499" s="32"/>
      <c r="EW499" s="32"/>
      <c r="EX499" s="32"/>
      <c r="EY499" s="32"/>
      <c r="EZ499" s="32"/>
      <c r="FA499" s="32"/>
      <c r="FB499" s="32"/>
      <c r="FC499" s="32"/>
      <c r="FD499" s="32"/>
      <c r="FE499" s="32"/>
      <c r="FF499" s="32"/>
      <c r="FG499" s="32"/>
      <c r="FH499" s="32"/>
      <c r="FI499" s="32"/>
      <c r="FJ499" s="32"/>
      <c r="FK499" s="32"/>
      <c r="FL499" s="32"/>
      <c r="FM499" s="338"/>
      <c r="FN499" s="78"/>
      <c r="FO499" s="78"/>
      <c r="FP499" s="78"/>
      <c r="FQ499" s="78"/>
      <c r="FR499" s="78"/>
      <c r="FS499" s="78"/>
      <c r="FT499" s="78"/>
      <c r="FU499" s="78"/>
      <c r="FV499" s="78"/>
      <c r="FW499" s="78"/>
      <c r="FX499" s="78"/>
      <c r="FY499" s="32"/>
      <c r="FZ499" s="32"/>
      <c r="GA499" s="32"/>
      <c r="GB499" s="32"/>
      <c r="GC499" s="32"/>
      <c r="GD499" s="32"/>
      <c r="GE499" s="32"/>
      <c r="GF499" s="32"/>
      <c r="GG499" s="32"/>
      <c r="GH499" s="32"/>
      <c r="GI499" s="32"/>
      <c r="GJ499" s="32"/>
      <c r="GK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78"/>
      <c r="HO499" s="78"/>
      <c r="HP499" s="78"/>
    </row>
    <row r="500" spans="1:224">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c r="CX500" s="32"/>
      <c r="CY500" s="32"/>
      <c r="CZ500" s="32"/>
      <c r="DA500" s="32"/>
      <c r="DB500" s="32"/>
      <c r="DC500" s="32"/>
      <c r="DD500" s="32"/>
      <c r="DE500" s="32"/>
      <c r="DF500" s="32"/>
      <c r="DG500" s="32"/>
      <c r="DH500" s="32"/>
      <c r="DI500" s="32"/>
      <c r="DJ500" s="32"/>
      <c r="DK500" s="32"/>
      <c r="DL500" s="32"/>
      <c r="DM500" s="32"/>
      <c r="DN500" s="32"/>
      <c r="DO500" s="32"/>
      <c r="DP500" s="32"/>
      <c r="DQ500" s="32"/>
      <c r="DR500" s="32"/>
      <c r="DS500" s="32"/>
      <c r="DT500" s="32"/>
      <c r="DU500" s="32"/>
      <c r="DV500" s="32"/>
      <c r="DW500" s="32"/>
      <c r="DX500" s="32"/>
      <c r="DY500" s="32"/>
      <c r="DZ500" s="32"/>
      <c r="EA500" s="32"/>
      <c r="EB500" s="32"/>
      <c r="EC500" s="32"/>
      <c r="ED500" s="32"/>
      <c r="EE500" s="32"/>
      <c r="EF500" s="32"/>
      <c r="EG500" s="32"/>
      <c r="EH500" s="32"/>
      <c r="EI500" s="32"/>
      <c r="EJ500" s="32"/>
      <c r="EK500" s="32"/>
      <c r="EL500" s="32"/>
      <c r="EM500" s="32"/>
      <c r="EN500" s="32"/>
      <c r="EO500" s="32"/>
      <c r="EP500" s="32"/>
      <c r="EQ500" s="32"/>
      <c r="ER500" s="32"/>
      <c r="ES500" s="32"/>
      <c r="ET500" s="32"/>
      <c r="EU500" s="32"/>
      <c r="EV500" s="32"/>
      <c r="EW500" s="32"/>
      <c r="EX500" s="32"/>
      <c r="EY500" s="32"/>
      <c r="EZ500" s="32"/>
      <c r="FA500" s="32"/>
      <c r="FB500" s="32"/>
      <c r="FC500" s="32"/>
      <c r="FD500" s="32"/>
      <c r="FE500" s="32"/>
      <c r="FF500" s="32"/>
      <c r="FG500" s="32"/>
      <c r="FH500" s="32"/>
      <c r="FI500" s="32"/>
      <c r="FJ500" s="32"/>
      <c r="FK500" s="32"/>
      <c r="FL500" s="32"/>
      <c r="FM500" s="338"/>
      <c r="FN500" s="78"/>
      <c r="FO500" s="78"/>
      <c r="FP500" s="78"/>
      <c r="FQ500" s="78"/>
      <c r="FR500" s="78"/>
      <c r="FS500" s="78"/>
      <c r="FT500" s="78"/>
      <c r="FU500" s="78"/>
      <c r="FV500" s="78"/>
      <c r="FW500" s="78"/>
      <c r="FX500" s="78"/>
      <c r="FY500" s="32"/>
      <c r="FZ500" s="32"/>
      <c r="GA500" s="32"/>
      <c r="GB500" s="32"/>
      <c r="GC500" s="32"/>
      <c r="GD500" s="32"/>
      <c r="GE500" s="32"/>
      <c r="GF500" s="32"/>
      <c r="GG500" s="32"/>
      <c r="GH500" s="32"/>
      <c r="GI500" s="32"/>
      <c r="GJ500" s="32"/>
      <c r="GK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78"/>
      <c r="HO500" s="78"/>
      <c r="HP500" s="78"/>
    </row>
    <row r="501" spans="1:224">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c r="CX501" s="32"/>
      <c r="CY501" s="32"/>
      <c r="CZ501" s="32"/>
      <c r="DA501" s="32"/>
      <c r="DB501" s="32"/>
      <c r="DC501" s="32"/>
      <c r="DD501" s="32"/>
      <c r="DE501" s="32"/>
      <c r="DF501" s="32"/>
      <c r="DG501" s="32"/>
      <c r="DH501" s="32"/>
      <c r="DI501" s="32"/>
      <c r="DJ501" s="32"/>
      <c r="DK501" s="32"/>
      <c r="DL501" s="32"/>
      <c r="DM501" s="32"/>
      <c r="DN501" s="32"/>
      <c r="DO501" s="32"/>
      <c r="DP501" s="32"/>
      <c r="DQ501" s="32"/>
      <c r="DR501" s="32"/>
      <c r="DS501" s="32"/>
      <c r="DT501" s="32"/>
      <c r="DU501" s="32"/>
      <c r="DV501" s="32"/>
      <c r="DW501" s="32"/>
      <c r="DX501" s="32"/>
      <c r="DY501" s="32"/>
      <c r="DZ501" s="32"/>
      <c r="EA501" s="32"/>
      <c r="EB501" s="32"/>
      <c r="EC501" s="32"/>
      <c r="ED501" s="32"/>
      <c r="EE501" s="32"/>
      <c r="EF501" s="32"/>
      <c r="EG501" s="32"/>
      <c r="EH501" s="32"/>
      <c r="EI501" s="32"/>
      <c r="EJ501" s="32"/>
      <c r="EK501" s="32"/>
      <c r="EL501" s="32"/>
      <c r="EM501" s="32"/>
      <c r="EN501" s="32"/>
      <c r="EO501" s="32"/>
      <c r="EP501" s="32"/>
      <c r="EQ501" s="32"/>
      <c r="ER501" s="32"/>
      <c r="ES501" s="32"/>
      <c r="ET501" s="32"/>
      <c r="EU501" s="32"/>
      <c r="EV501" s="32"/>
      <c r="EW501" s="32"/>
      <c r="EX501" s="32"/>
      <c r="EY501" s="32"/>
      <c r="EZ501" s="32"/>
      <c r="FA501" s="32"/>
      <c r="FB501" s="32"/>
      <c r="FC501" s="32"/>
      <c r="FD501" s="32"/>
      <c r="FE501" s="32"/>
      <c r="FF501" s="32"/>
      <c r="FG501" s="32"/>
      <c r="FH501" s="32"/>
      <c r="FI501" s="32"/>
      <c r="FJ501" s="32"/>
      <c r="FK501" s="32"/>
      <c r="FL501" s="32"/>
      <c r="FM501" s="338"/>
      <c r="FN501" s="78"/>
      <c r="FO501" s="78"/>
      <c r="FP501" s="78"/>
      <c r="FQ501" s="78"/>
      <c r="FR501" s="78"/>
      <c r="FS501" s="78"/>
      <c r="FT501" s="78"/>
      <c r="FU501" s="78"/>
      <c r="FV501" s="78"/>
      <c r="FW501" s="78"/>
      <c r="FX501" s="78"/>
      <c r="FY501" s="32"/>
      <c r="FZ501" s="32"/>
      <c r="GA501" s="32"/>
      <c r="GB501" s="32"/>
      <c r="GC501" s="32"/>
      <c r="GD501" s="32"/>
      <c r="GE501" s="32"/>
      <c r="GF501" s="32"/>
      <c r="GG501" s="32"/>
      <c r="GH501" s="32"/>
      <c r="GI501" s="32"/>
      <c r="GJ501" s="32"/>
      <c r="GK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78"/>
      <c r="HO501" s="78"/>
      <c r="HP501" s="78"/>
    </row>
    <row r="502" spans="1:224">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32"/>
      <c r="EG502" s="32"/>
      <c r="EH502" s="32"/>
      <c r="EI502" s="32"/>
      <c r="EJ502" s="32"/>
      <c r="EK502" s="32"/>
      <c r="EL502" s="32"/>
      <c r="EM502" s="32"/>
      <c r="EN502" s="32"/>
      <c r="EO502" s="32"/>
      <c r="EP502" s="32"/>
      <c r="EQ502" s="32"/>
      <c r="ER502" s="32"/>
      <c r="ES502" s="32"/>
      <c r="ET502" s="32"/>
      <c r="EU502" s="32"/>
      <c r="EV502" s="32"/>
      <c r="EW502" s="32"/>
      <c r="EX502" s="32"/>
      <c r="EY502" s="32"/>
      <c r="EZ502" s="32"/>
      <c r="FA502" s="32"/>
      <c r="FB502" s="32"/>
      <c r="FC502" s="32"/>
      <c r="FD502" s="32"/>
      <c r="FE502" s="32"/>
      <c r="FF502" s="32"/>
      <c r="FG502" s="32"/>
      <c r="FH502" s="32"/>
      <c r="FI502" s="32"/>
      <c r="FJ502" s="32"/>
      <c r="FK502" s="32"/>
      <c r="FL502" s="32"/>
      <c r="FM502" s="338"/>
      <c r="FN502" s="78"/>
      <c r="FO502" s="78"/>
      <c r="FP502" s="78"/>
      <c r="FQ502" s="78"/>
      <c r="FR502" s="78"/>
      <c r="FS502" s="78"/>
      <c r="FT502" s="78"/>
      <c r="FU502" s="78"/>
      <c r="FV502" s="78"/>
      <c r="FW502" s="78"/>
      <c r="FX502" s="78"/>
      <c r="FY502" s="32"/>
      <c r="FZ502" s="32"/>
      <c r="GA502" s="32"/>
      <c r="GB502" s="32"/>
      <c r="GC502" s="32"/>
      <c r="GD502" s="32"/>
      <c r="GE502" s="32"/>
      <c r="GF502" s="32"/>
      <c r="GG502" s="32"/>
      <c r="GH502" s="32"/>
      <c r="GI502" s="32"/>
      <c r="GJ502" s="32"/>
      <c r="GK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78"/>
      <c r="HO502" s="78"/>
      <c r="HP502" s="78"/>
    </row>
    <row r="503" spans="1:224">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32"/>
      <c r="DD503" s="32"/>
      <c r="DE503" s="32"/>
      <c r="DF503" s="32"/>
      <c r="DG503" s="32"/>
      <c r="DH503" s="32"/>
      <c r="DI503" s="32"/>
      <c r="DJ503" s="32"/>
      <c r="DK503" s="32"/>
      <c r="DL503" s="32"/>
      <c r="DM503" s="32"/>
      <c r="DN503" s="32"/>
      <c r="DO503" s="32"/>
      <c r="DP503" s="32"/>
      <c r="DQ503" s="32"/>
      <c r="DR503" s="32"/>
      <c r="DS503" s="32"/>
      <c r="DT503" s="32"/>
      <c r="DU503" s="32"/>
      <c r="DV503" s="32"/>
      <c r="DW503" s="32"/>
      <c r="DX503" s="32"/>
      <c r="DY503" s="32"/>
      <c r="DZ503" s="32"/>
      <c r="EA503" s="32"/>
      <c r="EB503" s="32"/>
      <c r="EC503" s="32"/>
      <c r="ED503" s="32"/>
      <c r="EE503" s="32"/>
      <c r="EF503" s="32"/>
      <c r="EG503" s="32"/>
      <c r="EH503" s="32"/>
      <c r="EI503" s="32"/>
      <c r="EJ503" s="32"/>
      <c r="EK503" s="32"/>
      <c r="EL503" s="32"/>
      <c r="EM503" s="32"/>
      <c r="EN503" s="32"/>
      <c r="EO503" s="32"/>
      <c r="EP503" s="32"/>
      <c r="EQ503" s="32"/>
      <c r="ER503" s="32"/>
      <c r="ES503" s="32"/>
      <c r="ET503" s="32"/>
      <c r="EU503" s="32"/>
      <c r="EV503" s="32"/>
      <c r="EW503" s="32"/>
      <c r="EX503" s="32"/>
      <c r="EY503" s="32"/>
      <c r="EZ503" s="32"/>
      <c r="FA503" s="32"/>
      <c r="FB503" s="32"/>
      <c r="FC503" s="32"/>
      <c r="FD503" s="32"/>
      <c r="FE503" s="32"/>
      <c r="FF503" s="32"/>
      <c r="FG503" s="32"/>
      <c r="FH503" s="32"/>
      <c r="FI503" s="32"/>
      <c r="FJ503" s="32"/>
      <c r="FK503" s="32"/>
      <c r="FL503" s="32"/>
      <c r="FM503" s="338"/>
      <c r="FN503" s="78"/>
      <c r="FO503" s="78"/>
      <c r="FP503" s="78"/>
      <c r="FQ503" s="78"/>
      <c r="FR503" s="78"/>
      <c r="FS503" s="78"/>
      <c r="FT503" s="78"/>
      <c r="FU503" s="78"/>
      <c r="FV503" s="78"/>
      <c r="FW503" s="78"/>
      <c r="FX503" s="78"/>
      <c r="FY503" s="32"/>
      <c r="FZ503" s="32"/>
      <c r="GA503" s="32"/>
      <c r="GB503" s="32"/>
      <c r="GC503" s="32"/>
      <c r="GD503" s="32"/>
      <c r="GE503" s="32"/>
      <c r="GF503" s="32"/>
      <c r="GG503" s="32"/>
      <c r="GH503" s="32"/>
      <c r="GI503" s="32"/>
      <c r="GJ503" s="32"/>
      <c r="GK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78"/>
      <c r="HO503" s="78"/>
      <c r="HP503" s="78"/>
    </row>
    <row r="504" spans="1:224">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c r="CX504" s="32"/>
      <c r="CY504" s="32"/>
      <c r="CZ504" s="32"/>
      <c r="DA504" s="32"/>
      <c r="DB504" s="32"/>
      <c r="DC504" s="32"/>
      <c r="DD504" s="32"/>
      <c r="DE504" s="32"/>
      <c r="DF504" s="32"/>
      <c r="DG504" s="32"/>
      <c r="DH504" s="32"/>
      <c r="DI504" s="32"/>
      <c r="DJ504" s="32"/>
      <c r="DK504" s="32"/>
      <c r="DL504" s="32"/>
      <c r="DM504" s="32"/>
      <c r="DN504" s="32"/>
      <c r="DO504" s="32"/>
      <c r="DP504" s="32"/>
      <c r="DQ504" s="32"/>
      <c r="DR504" s="32"/>
      <c r="DS504" s="32"/>
      <c r="DT504" s="32"/>
      <c r="DU504" s="32"/>
      <c r="DV504" s="32"/>
      <c r="DW504" s="32"/>
      <c r="DX504" s="32"/>
      <c r="DY504" s="32"/>
      <c r="DZ504" s="32"/>
      <c r="EA504" s="32"/>
      <c r="EB504" s="32"/>
      <c r="EC504" s="32"/>
      <c r="ED504" s="32"/>
      <c r="EE504" s="32"/>
      <c r="EF504" s="32"/>
      <c r="EG504" s="32"/>
      <c r="EH504" s="32"/>
      <c r="EI504" s="32"/>
      <c r="EJ504" s="32"/>
      <c r="EK504" s="32"/>
      <c r="EL504" s="32"/>
      <c r="EM504" s="32"/>
      <c r="EN504" s="32"/>
      <c r="EO504" s="32"/>
      <c r="EP504" s="32"/>
      <c r="EQ504" s="32"/>
      <c r="ER504" s="32"/>
      <c r="ES504" s="32"/>
      <c r="ET504" s="32"/>
      <c r="EU504" s="32"/>
      <c r="EV504" s="32"/>
      <c r="EW504" s="32"/>
      <c r="EX504" s="32"/>
      <c r="EY504" s="32"/>
      <c r="EZ504" s="32"/>
      <c r="FA504" s="32"/>
      <c r="FB504" s="32"/>
      <c r="FC504" s="32"/>
      <c r="FD504" s="32"/>
      <c r="FE504" s="32"/>
      <c r="FF504" s="32"/>
      <c r="FG504" s="32"/>
      <c r="FH504" s="32"/>
      <c r="FI504" s="32"/>
      <c r="FJ504" s="32"/>
      <c r="FK504" s="32"/>
      <c r="FL504" s="32"/>
      <c r="FM504" s="338"/>
      <c r="FN504" s="78"/>
      <c r="FO504" s="78"/>
      <c r="FP504" s="78"/>
      <c r="FQ504" s="78"/>
      <c r="FR504" s="78"/>
      <c r="FS504" s="78"/>
      <c r="FT504" s="78"/>
      <c r="FU504" s="78"/>
      <c r="FV504" s="78"/>
      <c r="FW504" s="78"/>
      <c r="FX504" s="78"/>
      <c r="FY504" s="32"/>
      <c r="FZ504" s="32"/>
      <c r="GA504" s="32"/>
      <c r="GB504" s="32"/>
      <c r="GC504" s="32"/>
      <c r="GD504" s="32"/>
      <c r="GE504" s="32"/>
      <c r="GF504" s="32"/>
      <c r="GG504" s="32"/>
      <c r="GH504" s="32"/>
      <c r="GI504" s="32"/>
      <c r="GJ504" s="32"/>
      <c r="GK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78"/>
      <c r="HO504" s="78"/>
      <c r="HP504" s="78"/>
    </row>
    <row r="505" spans="1:224">
      <c r="B505" s="189"/>
    </row>
  </sheetData>
  <sheetProtection password="C484" sheet="1" objects="1" scenarios="1"/>
  <mergeCells count="247">
    <mergeCell ref="CI450:DG450"/>
    <mergeCell ref="CI454:DG454"/>
    <mergeCell ref="CJ455:DF455"/>
    <mergeCell ref="CI456:DG456"/>
    <mergeCell ref="EP460:FL464"/>
    <mergeCell ref="F461:EN461"/>
    <mergeCell ref="G462:EM462"/>
    <mergeCell ref="F463:EN463"/>
    <mergeCell ref="CC431:DA431"/>
    <mergeCell ref="BP436:CN436"/>
    <mergeCell ref="BQ437:CM437"/>
    <mergeCell ref="BP438:CN438"/>
    <mergeCell ref="CI442:DG442"/>
    <mergeCell ref="CJ443:DF443"/>
    <mergeCell ref="CI444:DG444"/>
    <mergeCell ref="CI448:DG448"/>
    <mergeCell ref="CJ449:DF449"/>
    <mergeCell ref="CP437:FL437"/>
    <mergeCell ref="CT406:DR406"/>
    <mergeCell ref="AQ410:BO410"/>
    <mergeCell ref="AR411:BN411"/>
    <mergeCell ref="AQ412:BO412"/>
    <mergeCell ref="AQ416:BO416"/>
    <mergeCell ref="AR417:BN417"/>
    <mergeCell ref="AQ418:BO418"/>
    <mergeCell ref="CC429:DA429"/>
    <mergeCell ref="CD430:CZ430"/>
    <mergeCell ref="DC430:FL430"/>
    <mergeCell ref="DS212:DY212"/>
    <mergeCell ref="EA210:EJ210"/>
    <mergeCell ref="BH211:BL211"/>
    <mergeCell ref="BP211:BT211"/>
    <mergeCell ref="BX211:CB211"/>
    <mergeCell ref="CF211:CJ211"/>
    <mergeCell ref="CN211:CR211"/>
    <mergeCell ref="CV211:CZ211"/>
    <mergeCell ref="DD211:DH211"/>
    <mergeCell ref="DL211:DP211"/>
    <mergeCell ref="EA212:EJ212"/>
    <mergeCell ref="EB211:EI211"/>
    <mergeCell ref="BG212:BM212"/>
    <mergeCell ref="BO212:BU212"/>
    <mergeCell ref="BW212:CC212"/>
    <mergeCell ref="CE212:CK212"/>
    <mergeCell ref="CM212:CS212"/>
    <mergeCell ref="CU212:DA212"/>
    <mergeCell ref="DC212:DI212"/>
    <mergeCell ref="DK212:DQ212"/>
    <mergeCell ref="DT211:DX211"/>
    <mergeCell ref="EA208:EJ208"/>
    <mergeCell ref="BG210:BM210"/>
    <mergeCell ref="BO210:BU210"/>
    <mergeCell ref="BW210:CC210"/>
    <mergeCell ref="CE210:CK210"/>
    <mergeCell ref="CM210:CS210"/>
    <mergeCell ref="CU210:DA210"/>
    <mergeCell ref="DC210:DI210"/>
    <mergeCell ref="DK210:DQ210"/>
    <mergeCell ref="DS210:DY210"/>
    <mergeCell ref="BG208:BM208"/>
    <mergeCell ref="BO208:BU208"/>
    <mergeCell ref="BW208:CC208"/>
    <mergeCell ref="CE208:CK208"/>
    <mergeCell ref="CM208:CS208"/>
    <mergeCell ref="CU208:DA208"/>
    <mergeCell ref="DC208:DI208"/>
    <mergeCell ref="DK208:DQ208"/>
    <mergeCell ref="DS208:DY208"/>
    <mergeCell ref="EA206:EJ206"/>
    <mergeCell ref="BH207:BL207"/>
    <mergeCell ref="BP207:BT207"/>
    <mergeCell ref="BX207:CB207"/>
    <mergeCell ref="CF207:CJ207"/>
    <mergeCell ref="CN207:CR207"/>
    <mergeCell ref="CV207:CZ207"/>
    <mergeCell ref="DD207:DH207"/>
    <mergeCell ref="DL207:DP207"/>
    <mergeCell ref="DT207:DX207"/>
    <mergeCell ref="EB207:EI207"/>
    <mergeCell ref="BG206:BM206"/>
    <mergeCell ref="BO206:BU206"/>
    <mergeCell ref="BW206:CC206"/>
    <mergeCell ref="CE206:CK206"/>
    <mergeCell ref="CM206:CS206"/>
    <mergeCell ref="CU206:DA206"/>
    <mergeCell ref="DC206:DI206"/>
    <mergeCell ref="DK206:DQ206"/>
    <mergeCell ref="DS206:DY206"/>
    <mergeCell ref="DS204:DY204"/>
    <mergeCell ref="EA202:EJ202"/>
    <mergeCell ref="BH203:BL203"/>
    <mergeCell ref="BP203:BT203"/>
    <mergeCell ref="BX203:CB203"/>
    <mergeCell ref="CF203:CJ203"/>
    <mergeCell ref="CN203:CR203"/>
    <mergeCell ref="CV203:CZ203"/>
    <mergeCell ref="DD203:DH203"/>
    <mergeCell ref="DL203:DP203"/>
    <mergeCell ref="EB203:EI203"/>
    <mergeCell ref="BG204:BM204"/>
    <mergeCell ref="BO204:BU204"/>
    <mergeCell ref="BW204:CC204"/>
    <mergeCell ref="CE204:CK204"/>
    <mergeCell ref="CM204:CS204"/>
    <mergeCell ref="CU204:DA204"/>
    <mergeCell ref="DC204:DI204"/>
    <mergeCell ref="DK204:DQ204"/>
    <mergeCell ref="EA204:EJ204"/>
    <mergeCell ref="N62:W66"/>
    <mergeCell ref="BV68:CD72"/>
    <mergeCell ref="N46:W50"/>
    <mergeCell ref="E260:FL277"/>
    <mergeCell ref="I281:EH281"/>
    <mergeCell ref="CM196:CS196"/>
    <mergeCell ref="CU196:DA196"/>
    <mergeCell ref="DC196:DI196"/>
    <mergeCell ref="DK196:DQ196"/>
    <mergeCell ref="CF195:CJ195"/>
    <mergeCell ref="DS200:DY200"/>
    <mergeCell ref="BH199:BL199"/>
    <mergeCell ref="BP199:BT199"/>
    <mergeCell ref="BX199:CB199"/>
    <mergeCell ref="CF199:CJ199"/>
    <mergeCell ref="CN199:CR199"/>
    <mergeCell ref="CV199:CZ199"/>
    <mergeCell ref="DC200:DI200"/>
    <mergeCell ref="DK200:DQ200"/>
    <mergeCell ref="BG198:BM198"/>
    <mergeCell ref="DS196:DY196"/>
    <mergeCell ref="DS202:DY202"/>
    <mergeCell ref="EB199:EI199"/>
    <mergeCell ref="BG200:BM200"/>
    <mergeCell ref="X31:AD34"/>
    <mergeCell ref="BD39:CR42"/>
    <mergeCell ref="DH59:ER62"/>
    <mergeCell ref="DD78:DU81"/>
    <mergeCell ref="DS194:DY194"/>
    <mergeCell ref="CU194:DA194"/>
    <mergeCell ref="AD129:CZ129"/>
    <mergeCell ref="BB107:CE107"/>
    <mergeCell ref="EA196:EJ196"/>
    <mergeCell ref="DT195:DX195"/>
    <mergeCell ref="EB195:EI195"/>
    <mergeCell ref="BG196:BM196"/>
    <mergeCell ref="BO196:BU196"/>
    <mergeCell ref="BW196:CC196"/>
    <mergeCell ref="CE196:CK196"/>
    <mergeCell ref="BP195:BT195"/>
    <mergeCell ref="CN195:CR195"/>
    <mergeCell ref="DL195:DP195"/>
    <mergeCell ref="H169:DB169"/>
    <mergeCell ref="G168:DC168"/>
    <mergeCell ref="DE167:FK171"/>
    <mergeCell ref="BB151:CE151"/>
    <mergeCell ref="BB145:CE145"/>
    <mergeCell ref="BB122:CE122"/>
    <mergeCell ref="EO3:FL3"/>
    <mergeCell ref="EO5:FL5"/>
    <mergeCell ref="FE4:FH4"/>
    <mergeCell ref="BB27:BH27"/>
    <mergeCell ref="BC28:BG28"/>
    <mergeCell ref="BB29:BH29"/>
    <mergeCell ref="DM27:FK58"/>
    <mergeCell ref="BC108:CD108"/>
    <mergeCell ref="CV195:CZ195"/>
    <mergeCell ref="DD195:DH195"/>
    <mergeCell ref="BB109:CE109"/>
    <mergeCell ref="BB113:CE113"/>
    <mergeCell ref="BC114:CD114"/>
    <mergeCell ref="BB115:CE115"/>
    <mergeCell ref="AD127:CZ127"/>
    <mergeCell ref="AE128:CY128"/>
    <mergeCell ref="BB120:CE120"/>
    <mergeCell ref="BC121:CD121"/>
    <mergeCell ref="G170:DC170"/>
    <mergeCell ref="DC158:EF158"/>
    <mergeCell ref="DD159:EE159"/>
    <mergeCell ref="AD133:CZ133"/>
    <mergeCell ref="AE134:CY134"/>
    <mergeCell ref="AD135:CZ135"/>
    <mergeCell ref="DC160:EF160"/>
    <mergeCell ref="EA194:EJ194"/>
    <mergeCell ref="BH195:BL195"/>
    <mergeCell ref="BO198:BU198"/>
    <mergeCell ref="BW198:CC198"/>
    <mergeCell ref="CE198:CK198"/>
    <mergeCell ref="CM198:CS198"/>
    <mergeCell ref="CU198:DA198"/>
    <mergeCell ref="DC194:DI194"/>
    <mergeCell ref="DK194:DQ194"/>
    <mergeCell ref="D174:FL188"/>
    <mergeCell ref="BC146:CD146"/>
    <mergeCell ref="BB147:CE147"/>
    <mergeCell ref="BB153:CE153"/>
    <mergeCell ref="CM194:CS194"/>
    <mergeCell ref="BG194:BM194"/>
    <mergeCell ref="BO194:BU194"/>
    <mergeCell ref="BW194:CC194"/>
    <mergeCell ref="CE194:CK194"/>
    <mergeCell ref="BX195:CB195"/>
    <mergeCell ref="BC152:CD152"/>
    <mergeCell ref="DD199:DH199"/>
    <mergeCell ref="DL199:DP199"/>
    <mergeCell ref="DT199:DX199"/>
    <mergeCell ref="EA311:EF311"/>
    <mergeCell ref="DC198:DI198"/>
    <mergeCell ref="J282:EG282"/>
    <mergeCell ref="DK198:DQ198"/>
    <mergeCell ref="DS198:DY198"/>
    <mergeCell ref="EA198:EJ198"/>
    <mergeCell ref="BO200:BU200"/>
    <mergeCell ref="BW200:CC200"/>
    <mergeCell ref="CE200:CK200"/>
    <mergeCell ref="CM200:CS200"/>
    <mergeCell ref="CU200:DA200"/>
    <mergeCell ref="DT203:DX203"/>
    <mergeCell ref="EA200:EJ200"/>
    <mergeCell ref="DC202:DI202"/>
    <mergeCell ref="DK202:DQ202"/>
    <mergeCell ref="BG202:BM202"/>
    <mergeCell ref="BO202:BU202"/>
    <mergeCell ref="BW202:CC202"/>
    <mergeCell ref="CE202:CK202"/>
    <mergeCell ref="CM202:CS202"/>
    <mergeCell ref="CU202:DA202"/>
    <mergeCell ref="I233:CR233"/>
    <mergeCell ref="J234:CQ234"/>
    <mergeCell ref="I235:CR235"/>
    <mergeCell ref="CS235:FB235"/>
    <mergeCell ref="EB312:EE312"/>
    <mergeCell ref="I283:EH283"/>
    <mergeCell ref="EA313:EF313"/>
    <mergeCell ref="EA315:EF315"/>
    <mergeCell ref="EB316:EE316"/>
    <mergeCell ref="D383:FL392"/>
    <mergeCell ref="CT404:DR404"/>
    <mergeCell ref="D298:FL307"/>
    <mergeCell ref="D354:FL364"/>
    <mergeCell ref="DE366:DK366"/>
    <mergeCell ref="DF367:DJ367"/>
    <mergeCell ref="DE368:DK368"/>
    <mergeCell ref="D340:CM352"/>
    <mergeCell ref="CU405:DQ405"/>
    <mergeCell ref="EA321:EF321"/>
    <mergeCell ref="EA317:EF317"/>
    <mergeCell ref="EA319:EF319"/>
    <mergeCell ref="EB320:EE320"/>
  </mergeCells>
  <conditionalFormatting sqref="FO367 FM234:FN235">
    <cfRule type="cellIs" dxfId="106" priority="237" stopIfTrue="1" operator="equal">
      <formula>";"</formula>
    </cfRule>
    <cfRule type="cellIs" dxfId="105" priority="238" stopIfTrue="1" operator="equal">
      <formula>"~"</formula>
    </cfRule>
    <cfRule type="cellIs" dxfId="104" priority="239" stopIfTrue="1" operator="equal">
      <formula>":"</formula>
    </cfRule>
    <cfRule type="cellIs" dxfId="103" priority="240" stopIfTrue="1" operator="equal">
      <formula>"`"</formula>
    </cfRule>
    <cfRule type="cellIs" dxfId="102" priority="241" operator="equal">
      <formula>"*"</formula>
    </cfRule>
    <cfRule type="cellIs" dxfId="101" priority="242" operator="equal">
      <formula>","</formula>
    </cfRule>
    <cfRule type="cellIs" dxfId="100" priority="243" stopIfTrue="1" operator="equal">
      <formula>"."</formula>
    </cfRule>
    <cfRule type="cellIs" dxfId="99" priority="244" stopIfTrue="1" operator="equal">
      <formula>"+"</formula>
    </cfRule>
    <cfRule type="cellIs" dxfId="98" priority="245" stopIfTrue="1" operator="equal">
      <formula>"-"</formula>
    </cfRule>
    <cfRule type="cellIs" dxfId="97" priority="246" stopIfTrue="1" operator="equal">
      <formula>"^"</formula>
    </cfRule>
    <cfRule type="cellIs" dxfId="96" priority="247" stopIfTrue="1" operator="equal">
      <formula>"&gt;"</formula>
    </cfRule>
    <cfRule type="cellIs" dxfId="95" priority="248" stopIfTrue="1" operator="equal">
      <formula>"!"</formula>
    </cfRule>
  </conditionalFormatting>
  <conditionalFormatting sqref="B398">
    <cfRule type="cellIs" dxfId="94" priority="35" stopIfTrue="1" operator="notEqual">
      <formula>""</formula>
    </cfRule>
  </conditionalFormatting>
  <conditionalFormatting sqref="D11:FL467">
    <cfRule type="cellIs" dxfId="93" priority="375" stopIfTrue="1" operator="equal">
      <formula>";"</formula>
    </cfRule>
    <cfRule type="cellIs" dxfId="92" priority="376" stopIfTrue="1" operator="equal">
      <formula>"~"</formula>
    </cfRule>
    <cfRule type="cellIs" dxfId="91" priority="377" stopIfTrue="1" operator="equal">
      <formula>":"</formula>
    </cfRule>
    <cfRule type="cellIs" dxfId="90" priority="378" stopIfTrue="1" operator="equal">
      <formula>"`"</formula>
    </cfRule>
    <cfRule type="cellIs" dxfId="89" priority="379" operator="equal">
      <formula>"*"</formula>
    </cfRule>
    <cfRule type="cellIs" dxfId="88" priority="380" operator="equal">
      <formula>","</formula>
    </cfRule>
    <cfRule type="cellIs" dxfId="87" priority="381" stopIfTrue="1" operator="equal">
      <formula>"."</formula>
    </cfRule>
    <cfRule type="cellIs" dxfId="86" priority="382" stopIfTrue="1" operator="equal">
      <formula>"+"</formula>
    </cfRule>
    <cfRule type="cellIs" dxfId="85" priority="383" stopIfTrue="1" operator="equal">
      <formula>"-"</formula>
    </cfRule>
    <cfRule type="cellIs" dxfId="84" priority="384" stopIfTrue="1" operator="equal">
      <formula>"^"</formula>
    </cfRule>
    <cfRule type="cellIs" dxfId="83" priority="385" stopIfTrue="1" operator="equal">
      <formula>"&gt;"</formula>
    </cfRule>
    <cfRule type="cellIs" dxfId="82" priority="386" stopIfTrue="1" operator="equal">
      <formula>"!"</formula>
    </cfRule>
  </conditionalFormatting>
  <dataValidations count="20">
    <dataValidation type="list" allowBlank="1" showInputMessage="1" showErrorMessage="1" sqref="G462:EM462">
      <formula1>$FR$462:$FT$462</formula1>
    </dataValidation>
    <dataValidation type="list" allowBlank="1" showInputMessage="1" showErrorMessage="1" sqref="B417 B411 B405 B108 B159 B152 B146 B121 B114 B430 B437 B443 B449 B455">
      <formula1>$FM$1</formula1>
    </dataValidation>
    <dataValidation type="list" allowBlank="1" showInputMessage="1" showErrorMessage="1" sqref="DF367:DJ367">
      <formula1>$FP$367:$FR$367</formula1>
    </dataValidation>
    <dataValidation type="list" allowBlank="1" showInputMessage="1" showErrorMessage="1" sqref="EB312:EE312 EB320:EE320 EB316:EE316">
      <formula1>$FQ$320:$FS$320</formula1>
    </dataValidation>
    <dataValidation type="list" allowBlank="1" showInputMessage="1" showErrorMessage="1" sqref="J282:CG282">
      <formula1>$FR$282:$FU$282</formula1>
    </dataValidation>
    <dataValidation type="list" allowBlank="1" showInputMessage="1" showErrorMessage="1" sqref="H169:DB169">
      <formula1>$FS$169:$FV$169</formula1>
    </dataValidation>
    <dataValidation type="list" allowBlank="1" showInputMessage="1" showErrorMessage="1" sqref="DL195:DP195 DL211:DP211 DL207:DP207 DL203:DP203 DL199:DP199">
      <formula1>$FX$195:$FX$196</formula1>
    </dataValidation>
    <dataValidation type="list" allowBlank="1" showInputMessage="1" showErrorMessage="1" sqref="DD195:DH195 DD207:DH207 DD203:DH203 DD199:DH199 DD211:DH211">
      <formula1>$FW$195:$FW$196</formula1>
    </dataValidation>
    <dataValidation type="list" allowBlank="1" showInputMessage="1" showErrorMessage="1" sqref="CV195:CZ195 CV211:CZ211 CV207:CZ207 CV203:CZ203 CV199:CZ199">
      <formula1>$FV$195:$FV$196</formula1>
    </dataValidation>
    <dataValidation type="list" allowBlank="1" showInputMessage="1" showErrorMessage="1" sqref="CN195:CR195 CN211:CR211 CN203:CR203 CN199:CR199 CN207:CR207">
      <formula1>$FU$195:$FU$196</formula1>
    </dataValidation>
    <dataValidation type="list" allowBlank="1" showInputMessage="1" showErrorMessage="1" sqref="CF195:CJ195 CF211:CJ211 CF207:CJ207 CF199:CJ199 CF203:CJ203">
      <formula1>$FT$195:$FT$196</formula1>
    </dataValidation>
    <dataValidation type="list" allowBlank="1" showInputMessage="1" showErrorMessage="1" sqref="BX195:CB195 BX211:CB211 BX207:CB207 BX203:CB203 BX199:CB199">
      <formula1>$FS$195:$FS$196</formula1>
    </dataValidation>
    <dataValidation type="list" allowBlank="1" showInputMessage="1" showErrorMessage="1" sqref="BP195:BT195 BP211:BT211 BP207:BT207 BP203:BT203 BP199:BT199">
      <formula1>$FR$195:$FR$196</formula1>
    </dataValidation>
    <dataValidation type="list" allowBlank="1" showInputMessage="1" showErrorMessage="1" sqref="BH195:BL195 BH211:BL211 BH207:BL207 BH203:BL203 BH199:BL199">
      <formula1>$FQ$195:$FQ$196</formula1>
    </dataValidation>
    <dataValidation type="list" allowBlank="1" showInputMessage="1" showErrorMessage="1" sqref="EB195:EI195 EB199:EI199 EB203:EI203 EB207:EI207 EB211:EI211">
      <formula1>$FO$191:$FP$191</formula1>
    </dataValidation>
    <dataValidation type="list" allowBlank="1" showInputMessage="1" showErrorMessage="1" sqref="DT195:DX195 DT211:DX211 DT207:DX207 DT203:DX203 DT199:DX199">
      <formula1>$FY$195:$FY$196</formula1>
    </dataValidation>
    <dataValidation type="list" allowBlank="1" showInputMessage="1" showErrorMessage="1" sqref="AE128:CY128">
      <formula1>$FS$128:$FY$128</formula1>
    </dataValidation>
    <dataValidation type="list" allowBlank="1" showInputMessage="1" showErrorMessage="1" sqref="AE134:CY134">
      <formula1>$FS$134:$FV$134</formula1>
    </dataValidation>
    <dataValidation type="list" allowBlank="1" showInputMessage="1" showErrorMessage="1" sqref="BC28:BG28">
      <formula1>$FP$28:$FU$28</formula1>
    </dataValidation>
    <dataValidation type="list" allowBlank="1" showInputMessage="1" showErrorMessage="1" sqref="J234:CQ234">
      <formula1>$FR$234:$FT$234</formula1>
    </dataValidation>
  </dataValidations>
  <pageMargins left="0.78740157480314965" right="0.78740157480314965" top="0.55118110236220474" bottom="0.67" header="0.51181102362204722" footer="0.51181102362204722"/>
  <pageSetup paperSize="9" scale="70" orientation="portrait" horizontalDpi="200" verticalDpi="200" r:id="rId1"/>
  <headerFooter alignWithMargins="0">
    <oddFooter>&amp;C- &amp;P -</oddFooter>
  </headerFooter>
  <drawing r:id="rId2"/>
</worksheet>
</file>

<file path=xl/worksheets/sheet9.xml><?xml version="1.0" encoding="utf-8"?>
<worksheet xmlns="http://schemas.openxmlformats.org/spreadsheetml/2006/main" xmlns:r="http://schemas.openxmlformats.org/officeDocument/2006/relationships">
  <dimension ref="A1:HY165"/>
  <sheetViews>
    <sheetView showGridLines="0" zoomScaleNormal="100" workbookViewId="0">
      <selection activeCell="B1" sqref="B1"/>
    </sheetView>
  </sheetViews>
  <sheetFormatPr defaultRowHeight="13.2"/>
  <cols>
    <col min="1" max="1" width="0.6640625" customWidth="1"/>
    <col min="2" max="2" width="3.33203125" customWidth="1"/>
    <col min="3" max="167" width="0.6640625" customWidth="1"/>
    <col min="168" max="168" width="14.6640625" customWidth="1"/>
    <col min="169" max="169" width="6.109375" hidden="1" customWidth="1"/>
    <col min="170" max="170" width="7.44140625" hidden="1" customWidth="1"/>
    <col min="171" max="171" width="5.88671875" hidden="1" customWidth="1"/>
    <col min="172" max="172" width="6.6640625" hidden="1" customWidth="1"/>
    <col min="173" max="173" width="12.44140625" hidden="1" customWidth="1"/>
    <col min="174" max="174" width="10.88671875" hidden="1" customWidth="1"/>
    <col min="175" max="175" width="10.33203125" hidden="1" customWidth="1"/>
    <col min="176" max="176" width="10.6640625" hidden="1" customWidth="1"/>
    <col min="177" max="177" width="10" hidden="1" customWidth="1"/>
    <col min="178" max="180" width="9.109375" hidden="1" customWidth="1"/>
    <col min="181" max="181" width="9.109375" customWidth="1"/>
    <col min="182" max="182" width="23.109375" bestFit="1" customWidth="1"/>
    <col min="183" max="183" width="14" bestFit="1" customWidth="1"/>
    <col min="184" max="185" width="17.109375" bestFit="1" customWidth="1"/>
    <col min="186" max="186" width="10" customWidth="1"/>
    <col min="187" max="187" width="11.44140625" customWidth="1"/>
    <col min="188" max="188" width="14.33203125" bestFit="1" customWidth="1"/>
    <col min="189" max="189" width="12.6640625" bestFit="1" customWidth="1"/>
    <col min="190" max="190" width="15" bestFit="1" customWidth="1"/>
    <col min="191" max="191" width="11.5546875" bestFit="1" customWidth="1"/>
    <col min="192" max="192" width="13" bestFit="1" customWidth="1"/>
    <col min="193" max="193" width="16.5546875" bestFit="1" customWidth="1"/>
    <col min="194" max="194" width="12.6640625" bestFit="1" customWidth="1"/>
    <col min="195" max="195" width="9.88671875" customWidth="1"/>
    <col min="196" max="196" width="12.88671875" bestFit="1" customWidth="1"/>
    <col min="197" max="197" width="16.5546875" bestFit="1" customWidth="1"/>
    <col min="198" max="198" width="14.109375" bestFit="1" customWidth="1"/>
    <col min="199" max="199" width="11" bestFit="1" customWidth="1"/>
    <col min="200" max="200" width="16.6640625" bestFit="1" customWidth="1"/>
    <col min="201" max="201" width="10" customWidth="1"/>
    <col min="202" max="206" width="9.44140625" bestFit="1" customWidth="1"/>
    <col min="207" max="207" width="13.44140625" bestFit="1" customWidth="1"/>
    <col min="208" max="208" width="12.88671875" bestFit="1" customWidth="1"/>
    <col min="209" max="209" width="11" bestFit="1" customWidth="1"/>
    <col min="210" max="210" width="11.109375" customWidth="1"/>
    <col min="211" max="211" width="9.44140625" bestFit="1" customWidth="1"/>
    <col min="212" max="212" width="16" bestFit="1" customWidth="1"/>
    <col min="213" max="213" width="9.44140625" bestFit="1" customWidth="1"/>
    <col min="214" max="214" width="9.33203125" bestFit="1" customWidth="1"/>
    <col min="215" max="215" width="14" bestFit="1" customWidth="1"/>
    <col min="216" max="216" width="10.88671875" bestFit="1" customWidth="1"/>
    <col min="217" max="217" width="9.33203125" bestFit="1" customWidth="1"/>
    <col min="218" max="218" width="14" bestFit="1" customWidth="1"/>
    <col min="219" max="219" width="10.88671875" bestFit="1" customWidth="1"/>
    <col min="220" max="220" width="9.33203125" bestFit="1" customWidth="1"/>
    <col min="221" max="221" width="14.6640625" bestFit="1" customWidth="1"/>
    <col min="222" max="223" width="9.33203125" bestFit="1" customWidth="1"/>
    <col min="224" max="224" width="17.88671875" bestFit="1" customWidth="1"/>
    <col min="225" max="228" width="9.33203125" bestFit="1" customWidth="1"/>
    <col min="229" max="229" width="12.88671875" bestFit="1" customWidth="1"/>
    <col min="230" max="230" width="11" bestFit="1" customWidth="1"/>
  </cols>
  <sheetData>
    <row r="1" spans="1:233" ht="24" customHeight="1">
      <c r="A1" s="1"/>
      <c r="B1" s="6"/>
      <c r="C1" s="4"/>
      <c r="D1" s="7" t="str">
        <f ca="1">IF(TODAY()&gt;=Blad1!$A$1,"Uw licentie is verlopen.","")</f>
        <v/>
      </c>
      <c r="E1" s="7"/>
      <c r="F1" s="7"/>
      <c r="G1" s="7"/>
      <c r="H1" s="7"/>
      <c r="I1" s="7"/>
      <c r="J1" s="7"/>
      <c r="K1" s="33"/>
      <c r="L1" s="33"/>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8"/>
      <c r="FL1" s="8"/>
      <c r="FM1" s="47">
        <f>programma!Q3</f>
        <v>1</v>
      </c>
      <c r="FN1" s="48">
        <f ca="1">IF(TODAY()&gt;=Blad1!A1,0,IF(AND(programma!E5="docentversie",programma!A300&lt;&gt;"goltsteindocentversie"),0,1))</f>
        <v>1</v>
      </c>
      <c r="FO1" s="48">
        <f ca="1">IF(programma!B1="X",1,IF(TODAY()&gt;=Blad1!$A$1,0,IF(OR(programma!Q3="",programma!N10="",programma!N12=""),0,1)))</f>
        <v>0</v>
      </c>
      <c r="FP1" s="47"/>
      <c r="FQ1" s="47"/>
      <c r="FR1" s="47"/>
      <c r="FS1" s="47"/>
      <c r="FT1" s="47"/>
      <c r="FU1" s="47"/>
      <c r="FV1" s="47"/>
      <c r="FW1" s="47"/>
      <c r="FX1" s="47"/>
      <c r="FY1" s="47"/>
      <c r="FZ1" s="49"/>
      <c r="GA1" s="49"/>
      <c r="GB1" s="49"/>
      <c r="GC1" s="49"/>
      <c r="GD1" s="49"/>
      <c r="GE1" s="49"/>
      <c r="GF1" s="49"/>
      <c r="GG1" s="49"/>
      <c r="GH1" s="49"/>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c r="HO1" s="49"/>
      <c r="HP1" s="49"/>
      <c r="HQ1" s="49"/>
      <c r="HR1" s="49"/>
      <c r="HS1" s="49"/>
      <c r="HT1" s="49"/>
      <c r="HU1" s="49"/>
      <c r="HV1" s="49"/>
      <c r="HW1" s="49"/>
      <c r="HX1" s="49"/>
      <c r="HY1" s="49"/>
    </row>
    <row r="2" spans="1:233" ht="5.25" customHeight="1">
      <c r="A2" s="1"/>
      <c r="B2" s="1"/>
      <c r="C2" s="1"/>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47"/>
      <c r="FN2" s="47"/>
      <c r="FO2" s="47"/>
      <c r="FP2" s="47"/>
      <c r="FQ2" s="47"/>
      <c r="FR2" s="47"/>
      <c r="FS2" s="47"/>
      <c r="FT2" s="47"/>
      <c r="FU2" s="47"/>
      <c r="FV2" s="47"/>
      <c r="FW2" s="47"/>
      <c r="FX2" s="47"/>
      <c r="FY2" s="47"/>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row>
    <row r="3" spans="1:233" ht="20.25" customHeight="1">
      <c r="A3" s="1"/>
      <c r="B3" s="1"/>
      <c r="C3" s="1"/>
      <c r="D3" s="8" t="str">
        <f ca="1">IF(TODAY()&gt;=Blad1!$A$1,"Neem contact op met goltstein@hotmail.com",programma!E3)</f>
        <v>Module: Resultaat bij prijszetting</v>
      </c>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7"/>
      <c r="BS3" s="7"/>
      <c r="BT3" s="7"/>
      <c r="BU3" s="7"/>
      <c r="BV3" s="7"/>
      <c r="BW3" s="7"/>
      <c r="BX3" s="7"/>
      <c r="BY3" s="7"/>
      <c r="BZ3" s="7"/>
      <c r="CA3" s="7"/>
      <c r="CB3" s="7"/>
      <c r="CC3" s="7"/>
      <c r="CD3" s="7"/>
      <c r="CE3" s="7"/>
      <c r="CF3" s="7"/>
      <c r="CG3" s="7"/>
      <c r="CH3" s="7"/>
      <c r="CI3" s="7"/>
      <c r="CJ3" s="7"/>
      <c r="CK3" s="7"/>
      <c r="CL3" s="7"/>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614" t="str">
        <f>"versienummer: "&amp;programma!Q3&amp;" "</f>
        <v xml:space="preserve">versienummer: 1 </v>
      </c>
      <c r="EP3" s="721"/>
      <c r="EQ3" s="721"/>
      <c r="ER3" s="721"/>
      <c r="ES3" s="721"/>
      <c r="ET3" s="721"/>
      <c r="EU3" s="721"/>
      <c r="EV3" s="721"/>
      <c r="EW3" s="721"/>
      <c r="EX3" s="721"/>
      <c r="EY3" s="721"/>
      <c r="EZ3" s="721"/>
      <c r="FA3" s="721"/>
      <c r="FB3" s="721"/>
      <c r="FC3" s="721"/>
      <c r="FD3" s="721"/>
      <c r="FE3" s="721"/>
      <c r="FF3" s="721"/>
      <c r="FG3" s="721"/>
      <c r="FH3" s="721"/>
      <c r="FI3" s="721"/>
      <c r="FJ3" s="721"/>
      <c r="FK3" s="721"/>
      <c r="FL3" s="721"/>
      <c r="FM3" s="47"/>
      <c r="FN3" s="47"/>
      <c r="FO3" s="47"/>
      <c r="FP3" s="47"/>
      <c r="FQ3" s="47"/>
      <c r="FR3" s="47"/>
      <c r="FS3" s="47"/>
      <c r="FT3" s="47"/>
      <c r="FU3" s="47"/>
      <c r="FV3" s="47"/>
      <c r="FW3" s="47"/>
      <c r="FX3" s="47"/>
      <c r="FY3" s="47"/>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row>
    <row r="4" spans="1:233" ht="16.5" customHeight="1">
      <c r="A4" s="1"/>
      <c r="B4" s="1"/>
      <c r="C4" s="1"/>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7"/>
      <c r="BS4" s="7"/>
      <c r="BT4" s="7"/>
      <c r="BU4" s="7"/>
      <c r="BV4" s="7"/>
      <c r="BW4" s="7"/>
      <c r="BX4" s="7"/>
      <c r="BY4" s="7"/>
      <c r="BZ4" s="7"/>
      <c r="CA4" s="7"/>
      <c r="CB4" s="7"/>
      <c r="CC4" s="7"/>
      <c r="CD4" s="7"/>
      <c r="CE4" s="7"/>
      <c r="CF4" s="7"/>
      <c r="CG4" s="7"/>
      <c r="CH4" s="7"/>
      <c r="CI4" s="7"/>
      <c r="CJ4" s="7"/>
      <c r="CK4" s="7"/>
      <c r="CL4" s="7"/>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616"/>
      <c r="EP4" s="617"/>
      <c r="EQ4" s="617"/>
      <c r="ER4" s="617"/>
      <c r="ES4" s="617"/>
      <c r="ET4" s="617"/>
      <c r="EU4" s="617"/>
      <c r="EV4" s="617"/>
      <c r="EW4" s="617"/>
      <c r="EX4" s="617"/>
      <c r="EY4" s="617"/>
      <c r="EZ4" s="617"/>
      <c r="FA4" s="617"/>
      <c r="FB4" s="617"/>
      <c r="FC4" s="617"/>
      <c r="FD4" s="617"/>
      <c r="FE4" s="617"/>
      <c r="FF4" s="617"/>
      <c r="FG4" s="617"/>
      <c r="FH4" s="617"/>
      <c r="FI4" s="617"/>
      <c r="FJ4" s="617"/>
      <c r="FK4" s="522"/>
      <c r="FL4" s="7"/>
      <c r="FM4" s="47"/>
      <c r="FN4" s="47"/>
      <c r="FO4" s="47"/>
      <c r="FP4" s="47"/>
      <c r="FQ4" s="47"/>
      <c r="FR4" s="47"/>
      <c r="FS4" s="47"/>
      <c r="FT4" s="47"/>
      <c r="FU4" s="47"/>
      <c r="FV4" s="47"/>
      <c r="FW4" s="47"/>
      <c r="FX4" s="47"/>
      <c r="FY4" s="47"/>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row>
    <row r="5" spans="1:233" ht="19.5" customHeight="1">
      <c r="A5" s="1"/>
      <c r="B5" s="1"/>
      <c r="C5" s="1"/>
      <c r="D5" s="34" t="str">
        <f>" Naam leerling: "&amp; programma!N10</f>
        <v xml:space="preserve"> Naam leerling: </v>
      </c>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7"/>
      <c r="BS5" s="7"/>
      <c r="BT5" s="7"/>
      <c r="BU5" s="7"/>
      <c r="BV5" s="7"/>
      <c r="BW5" s="7"/>
      <c r="BX5" s="7"/>
      <c r="BY5" s="7"/>
      <c r="BZ5" s="7"/>
      <c r="CA5" s="7"/>
      <c r="CB5" s="7"/>
      <c r="CC5" s="7"/>
      <c r="CD5" s="7"/>
      <c r="CE5" s="7"/>
      <c r="CF5" s="7"/>
      <c r="CG5" s="7"/>
      <c r="CH5" s="7"/>
      <c r="CI5" s="7"/>
      <c r="CJ5" s="7"/>
      <c r="CK5" s="7"/>
      <c r="CL5" s="7"/>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534" t="str">
        <f>programma!S5</f>
        <v>© 2021, Goltstein</v>
      </c>
      <c r="EP5" s="532"/>
      <c r="EQ5" s="532"/>
      <c r="ER5" s="532"/>
      <c r="ES5" s="532"/>
      <c r="ET5" s="532"/>
      <c r="EU5" s="532"/>
      <c r="EV5" s="532"/>
      <c r="EW5" s="532"/>
      <c r="EX5" s="532"/>
      <c r="EY5" s="532"/>
      <c r="EZ5" s="532"/>
      <c r="FA5" s="532"/>
      <c r="FB5" s="532"/>
      <c r="FC5" s="532"/>
      <c r="FD5" s="532"/>
      <c r="FE5" s="532"/>
      <c r="FF5" s="532"/>
      <c r="FG5" s="532"/>
      <c r="FH5" s="532"/>
      <c r="FI5" s="532"/>
      <c r="FJ5" s="532"/>
      <c r="FK5" s="532"/>
      <c r="FL5" s="532"/>
      <c r="FM5" s="47"/>
      <c r="FN5" s="47"/>
      <c r="FO5" s="47"/>
      <c r="FP5" s="47"/>
      <c r="FQ5" s="47"/>
      <c r="FR5" s="47"/>
      <c r="FS5" s="47"/>
      <c r="FT5" s="47"/>
      <c r="FU5" s="47"/>
      <c r="FV5" s="47"/>
      <c r="FW5" s="47"/>
      <c r="FX5" s="47"/>
      <c r="FY5" s="47"/>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row>
    <row r="6" spans="1:233" ht="19.5" customHeight="1">
      <c r="A6" s="1"/>
      <c r="B6" s="1"/>
      <c r="C6" s="1"/>
      <c r="D6" s="9" t="str">
        <f>" Klas: "&amp; programma!N12</f>
        <v xml:space="preserve"> Klas: </v>
      </c>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7"/>
      <c r="BS6" s="7"/>
      <c r="BT6" s="7"/>
      <c r="BU6" s="7"/>
      <c r="BV6" s="7"/>
      <c r="BW6" s="7"/>
      <c r="BX6" s="7"/>
      <c r="BY6" s="7"/>
      <c r="BZ6" s="7"/>
      <c r="CA6" s="7"/>
      <c r="CB6" s="7"/>
      <c r="CC6" s="7"/>
      <c r="CD6" s="7"/>
      <c r="CE6" s="7"/>
      <c r="CF6" s="7"/>
      <c r="CG6" s="7"/>
      <c r="CH6" s="7"/>
      <c r="CI6" s="7"/>
      <c r="CJ6" s="7"/>
      <c r="CK6" s="7"/>
      <c r="CL6" s="7"/>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7"/>
      <c r="EO6" s="9"/>
      <c r="EP6" s="9"/>
      <c r="EQ6" s="9"/>
      <c r="ER6" s="9"/>
      <c r="ES6" s="9"/>
      <c r="ET6" s="9"/>
      <c r="EU6" s="9"/>
      <c r="EV6" s="9"/>
      <c r="EW6" s="9"/>
      <c r="EX6" s="9"/>
      <c r="EY6" s="9"/>
      <c r="EZ6" s="9"/>
      <c r="FA6" s="9"/>
      <c r="FB6" s="9"/>
      <c r="FC6" s="9"/>
      <c r="FD6" s="9"/>
      <c r="FE6" s="9"/>
      <c r="FF6" s="9"/>
      <c r="FG6" s="9"/>
      <c r="FH6" s="9"/>
      <c r="FI6" s="9"/>
      <c r="FJ6" s="7"/>
      <c r="FK6" s="7"/>
      <c r="FL6" s="7"/>
      <c r="FM6" s="47"/>
      <c r="FN6" s="47"/>
      <c r="FO6" s="47"/>
      <c r="FP6" s="47"/>
      <c r="FQ6" s="47"/>
      <c r="FR6" s="47"/>
      <c r="FS6" s="47"/>
      <c r="FT6" s="47"/>
      <c r="FU6" s="47"/>
      <c r="FV6" s="47"/>
      <c r="FW6" s="47"/>
      <c r="FX6" s="47"/>
      <c r="FY6" s="47"/>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row>
    <row r="7" spans="1:233" ht="12" customHeight="1">
      <c r="A7" s="1"/>
      <c r="B7" s="1"/>
      <c r="C7" s="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8"/>
      <c r="FL7" s="8"/>
      <c r="FM7" s="47"/>
      <c r="FN7" s="47"/>
      <c r="FO7" s="47"/>
      <c r="FP7" s="47"/>
      <c r="FQ7" s="47"/>
      <c r="FR7" s="47"/>
      <c r="FS7" s="47"/>
      <c r="FT7" s="47"/>
      <c r="FU7" s="47"/>
      <c r="FV7" s="47"/>
      <c r="FW7" s="47"/>
      <c r="FX7" s="47"/>
      <c r="FY7" s="47"/>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row>
    <row r="8" spans="1:233" ht="7.5" customHeight="1">
      <c r="A8" s="1"/>
      <c r="B8" s="1"/>
      <c r="C8" s="1"/>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47"/>
      <c r="FN8" s="47"/>
      <c r="FO8" s="47"/>
      <c r="FP8" s="47"/>
      <c r="FQ8" s="47"/>
      <c r="FR8" s="47"/>
      <c r="FS8" s="47"/>
      <c r="FT8" s="47"/>
      <c r="FU8" s="47"/>
      <c r="FV8" s="47"/>
      <c r="FW8" s="47"/>
      <c r="FX8" s="47"/>
      <c r="FY8" s="47"/>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row>
    <row r="9" spans="1:233" ht="21" customHeight="1">
      <c r="A9" s="1"/>
      <c r="B9" s="1"/>
      <c r="C9" s="1"/>
      <c r="D9" s="2" t="str">
        <f ca="1">IF(TODAY()&gt;=Blad1!$A$1,"","Pas als je een opdracht goed hebt beantwoord, verschijnt het volgende. Wil je terug naar het programma, klik dan op de paarse knop hierboven.")</f>
        <v>Pas als je een opdracht goed hebt beantwoord, verschijnt het volgende. Wil je terug naar het programma, klik dan op de paarse knop hierboven.</v>
      </c>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47"/>
      <c r="FN9" s="47"/>
      <c r="FO9" s="47" t="str">
        <f>IF(FN9=1,1.25,IF(FN9=2,4,IF(FN9=3,2.25,IF(FN9=4,0.75,IF(FN9=5,2.5,IF(FN9=6,0.5,IF(FN9=7,1,IF(FN9=8,3,""))))))))</f>
        <v/>
      </c>
      <c r="FP9" s="47"/>
      <c r="FQ9" s="47"/>
      <c r="FR9" s="47"/>
      <c r="FS9" s="47"/>
      <c r="FT9" s="47"/>
      <c r="FU9" s="47"/>
      <c r="FV9" s="47"/>
      <c r="FW9" s="47"/>
      <c r="FX9" s="47"/>
      <c r="FY9" s="47"/>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row>
    <row r="10" spans="1:233" ht="16.5" customHeight="1">
      <c r="A10" s="1"/>
      <c r="B10" s="1"/>
      <c r="C10" s="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47"/>
      <c r="FN10" s="47"/>
      <c r="FO10" s="47"/>
      <c r="FP10" s="47"/>
      <c r="FQ10" s="47"/>
      <c r="FR10" s="47"/>
      <c r="FS10" s="47"/>
      <c r="FT10" s="47"/>
      <c r="FU10" s="47"/>
      <c r="FV10" s="47"/>
      <c r="FW10" s="47"/>
      <c r="FX10" s="47"/>
      <c r="FY10" s="47"/>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row>
    <row r="11" spans="1:233" ht="16.5" customHeight="1">
      <c r="A11" s="1"/>
      <c r="B11" s="3"/>
      <c r="C11" s="3"/>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26"/>
      <c r="FL11" s="26"/>
      <c r="FM11" s="47"/>
      <c r="FN11" s="47"/>
      <c r="FO11" s="47"/>
      <c r="FP11" s="47"/>
      <c r="FQ11" s="47"/>
      <c r="FR11" s="47"/>
      <c r="FS11" s="47"/>
      <c r="FT11" s="47"/>
      <c r="FU11" s="47"/>
      <c r="FV11" s="47"/>
      <c r="FW11" s="47"/>
      <c r="FX11" s="47"/>
      <c r="FY11" s="47"/>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row>
    <row r="12" spans="1:233" ht="10.5" customHeight="1">
      <c r="A12" s="1"/>
      <c r="B12" s="3"/>
      <c r="C12" s="3"/>
      <c r="D12" s="126"/>
      <c r="E12" s="126"/>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26"/>
      <c r="FL12" s="26"/>
      <c r="FM12" s="47"/>
      <c r="FN12" s="47"/>
      <c r="FO12" s="47"/>
      <c r="FP12" s="47"/>
      <c r="FQ12" s="47"/>
      <c r="FR12" s="47"/>
      <c r="FS12" s="47"/>
      <c r="FT12" s="47"/>
      <c r="FU12" s="47"/>
      <c r="FV12" s="47"/>
      <c r="FW12" s="47"/>
      <c r="FX12" s="47"/>
      <c r="FY12" s="47"/>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row>
    <row r="13" spans="1:233" ht="21.6" customHeight="1">
      <c r="A13" s="1"/>
      <c r="B13" s="3"/>
      <c r="C13" s="3"/>
      <c r="D13" s="129" t="str">
        <f ca="1">IF(FO1=0,"","Monopolistische concurrentie op lange termijn")</f>
        <v/>
      </c>
      <c r="E13" s="132"/>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36"/>
      <c r="FL13" s="26"/>
      <c r="FM13" s="47"/>
      <c r="FN13" s="47"/>
      <c r="FO13" s="47"/>
      <c r="FP13" s="47"/>
      <c r="FQ13" s="47"/>
      <c r="FR13" s="47"/>
      <c r="FS13" s="47"/>
      <c r="FT13" s="47"/>
      <c r="FU13" s="47"/>
      <c r="FV13" s="47"/>
      <c r="FW13" s="47"/>
      <c r="FX13" s="47"/>
      <c r="FY13" s="47"/>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row>
    <row r="14" spans="1:233" ht="16.5" customHeight="1">
      <c r="A14" s="1"/>
      <c r="B14" s="3"/>
      <c r="C14" s="3"/>
      <c r="D14" s="38"/>
      <c r="E14" s="126"/>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26"/>
      <c r="FL14" s="26"/>
      <c r="FM14" s="47"/>
      <c r="FN14" s="47"/>
      <c r="FO14" s="47"/>
      <c r="FP14" s="47"/>
      <c r="FQ14" s="47"/>
      <c r="FR14" s="47"/>
      <c r="FS14" s="47"/>
      <c r="FT14" s="47"/>
      <c r="FU14" s="47"/>
      <c r="FV14" s="47"/>
      <c r="FW14" s="47"/>
      <c r="FX14" s="47"/>
      <c r="FY14" s="47"/>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c r="HJ14" s="49"/>
      <c r="HK14" s="49"/>
      <c r="HL14" s="49"/>
      <c r="HM14" s="49"/>
      <c r="HN14" s="49"/>
      <c r="HO14" s="49"/>
      <c r="HP14" s="49"/>
      <c r="HQ14" s="49"/>
      <c r="HR14" s="49"/>
      <c r="HS14" s="49"/>
      <c r="HT14" s="49"/>
      <c r="HU14" s="49"/>
      <c r="HV14" s="49"/>
      <c r="HW14" s="49"/>
      <c r="HX14" s="49"/>
      <c r="HY14" s="49"/>
    </row>
    <row r="15" spans="1:233" ht="16.95" customHeight="1">
      <c r="A15" s="1"/>
      <c r="B15" s="3"/>
      <c r="C15" s="3"/>
      <c r="D15" s="38" t="str">
        <f ca="1">IF(FO1=0,"","Zolang bij monopolistische concurrentie de mogelijkheid bestaat om winst")</f>
        <v/>
      </c>
      <c r="E15" s="126"/>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26"/>
      <c r="FL15" s="26"/>
      <c r="FM15" s="47"/>
      <c r="FN15" s="47"/>
      <c r="FO15" s="47"/>
      <c r="FP15" s="47"/>
      <c r="FQ15" s="47"/>
      <c r="FR15" s="47"/>
      <c r="FS15" s="47"/>
      <c r="FT15" s="47"/>
      <c r="FU15" s="47"/>
      <c r="FV15" s="47"/>
      <c r="FW15" s="47"/>
      <c r="FX15" s="47"/>
      <c r="FY15" s="47"/>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c r="HJ15" s="49"/>
      <c r="HK15" s="49"/>
      <c r="HL15" s="49"/>
      <c r="HM15" s="49"/>
      <c r="HN15" s="49"/>
      <c r="HO15" s="49"/>
      <c r="HP15" s="49"/>
      <c r="HQ15" s="49"/>
      <c r="HR15" s="49"/>
      <c r="HS15" s="49"/>
      <c r="HT15" s="49"/>
      <c r="HU15" s="49"/>
      <c r="HV15" s="49"/>
      <c r="HW15" s="49"/>
      <c r="HX15" s="49"/>
      <c r="HY15" s="49"/>
    </row>
    <row r="16" spans="1:233" ht="16.95" customHeight="1">
      <c r="A16" s="1"/>
      <c r="B16" s="3"/>
      <c r="C16" s="3"/>
      <c r="D16" s="38" t="str">
        <f ca="1">IF(FO1=0,"","te maken, zal dat zorgen voor toetreding van nieuwe aanbieders. Door deze")</f>
        <v/>
      </c>
      <c r="E16" s="126"/>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26"/>
      <c r="FL16" s="26"/>
      <c r="FM16" s="47"/>
      <c r="FN16" s="47"/>
      <c r="FO16" s="47"/>
      <c r="FP16" s="47"/>
      <c r="FQ16" s="47"/>
      <c r="FR16" s="47"/>
      <c r="FS16" s="47"/>
      <c r="FT16" s="47"/>
      <c r="FU16" s="47"/>
      <c r="FV16" s="47"/>
      <c r="FW16" s="47"/>
      <c r="FX16" s="47"/>
      <c r="FY16" s="47"/>
      <c r="FZ16" s="49"/>
      <c r="GA16" s="49"/>
      <c r="GB16" s="49"/>
      <c r="GC16" s="49"/>
      <c r="GD16" s="49"/>
      <c r="GE16" s="49"/>
      <c r="GF16" s="49"/>
      <c r="GG16" s="49"/>
      <c r="GH16" s="49"/>
      <c r="GI16" s="49"/>
      <c r="GJ16" s="49"/>
      <c r="GK16" s="49"/>
      <c r="GL16" s="49"/>
      <c r="GM16" s="49"/>
      <c r="GN16" s="49"/>
      <c r="GO16" s="49"/>
      <c r="GP16" s="49"/>
      <c r="GQ16" s="49"/>
      <c r="GR16" s="49"/>
      <c r="GS16" s="49"/>
      <c r="GT16" s="49"/>
      <c r="GU16" s="49"/>
      <c r="GV16" s="49"/>
      <c r="GW16" s="49"/>
      <c r="GX16" s="49"/>
      <c r="GY16" s="49"/>
      <c r="GZ16" s="49"/>
      <c r="HA16" s="49"/>
      <c r="HB16" s="49"/>
      <c r="HC16" s="49"/>
      <c r="HD16" s="49"/>
      <c r="HE16" s="49"/>
      <c r="HF16" s="49"/>
      <c r="HG16" s="49"/>
      <c r="HH16" s="49"/>
      <c r="HI16" s="49"/>
      <c r="HJ16" s="49"/>
      <c r="HK16" s="49"/>
      <c r="HL16" s="49"/>
      <c r="HM16" s="49"/>
      <c r="HN16" s="49"/>
      <c r="HO16" s="49"/>
      <c r="HP16" s="49"/>
      <c r="HQ16" s="49"/>
      <c r="HR16" s="49"/>
      <c r="HS16" s="49"/>
      <c r="HT16" s="49"/>
      <c r="HU16" s="49"/>
      <c r="HV16" s="49"/>
      <c r="HW16" s="49"/>
      <c r="HX16" s="49"/>
      <c r="HY16" s="49"/>
    </row>
    <row r="17" spans="1:233" ht="16.95" customHeight="1">
      <c r="A17" s="1"/>
      <c r="B17" s="3"/>
      <c r="C17" s="3"/>
      <c r="D17" s="38" t="str">
        <f ca="1">IF(FO1=0,"","toetreding verschuift de individuele prijsafzetcurve naar links (want meer")</f>
        <v/>
      </c>
      <c r="E17" s="126"/>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25"/>
      <c r="AY17" s="26"/>
      <c r="AZ17" s="41"/>
      <c r="BA17" s="41"/>
      <c r="BB17" s="41"/>
      <c r="BC17" s="41"/>
      <c r="BD17" s="42"/>
      <c r="BE17" s="41"/>
      <c r="BF17" s="41"/>
      <c r="BG17" s="41"/>
      <c r="BH17" s="41"/>
      <c r="BI17" s="41"/>
      <c r="BJ17" s="41"/>
      <c r="BK17" s="42"/>
      <c r="BL17" s="41"/>
      <c r="BM17" s="41"/>
      <c r="BN17" s="41"/>
      <c r="BO17" s="41"/>
      <c r="BP17" s="41"/>
      <c r="BQ17" s="41"/>
      <c r="BR17" s="80"/>
      <c r="BS17" s="79"/>
      <c r="BT17" s="79"/>
      <c r="BU17" s="79"/>
      <c r="BV17" s="79"/>
      <c r="BW17" s="79"/>
      <c r="BX17" s="79"/>
      <c r="BY17" s="79"/>
      <c r="BZ17" s="80"/>
      <c r="CA17" s="80"/>
      <c r="CB17" s="80"/>
      <c r="CC17" s="80"/>
      <c r="CD17" s="80"/>
      <c r="CE17" s="80"/>
      <c r="CF17" s="80"/>
      <c r="CG17" s="80"/>
      <c r="CH17" s="80"/>
      <c r="CI17" s="80"/>
      <c r="CJ17" s="80"/>
      <c r="CK17" s="80"/>
      <c r="CL17" s="80"/>
      <c r="CM17" s="80"/>
      <c r="CN17" s="80"/>
      <c r="CO17" s="80"/>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47"/>
      <c r="FN17" s="47"/>
      <c r="FO17" s="47"/>
      <c r="FP17" s="47"/>
      <c r="FQ17" s="47"/>
      <c r="FR17" s="47"/>
      <c r="FS17" s="47"/>
      <c r="FT17" s="47"/>
      <c r="FU17" s="47"/>
      <c r="FV17" s="47"/>
      <c r="FW17" s="47"/>
      <c r="FX17" s="47"/>
      <c r="FY17" s="47"/>
      <c r="FZ17" s="49"/>
      <c r="GA17" s="49"/>
      <c r="GB17" s="49"/>
      <c r="GC17" s="49"/>
      <c r="GD17" s="49"/>
      <c r="GE17" s="49"/>
      <c r="GF17" s="49"/>
      <c r="GG17" s="49"/>
      <c r="GH17" s="49"/>
      <c r="GI17" s="49"/>
      <c r="GJ17" s="49"/>
      <c r="GK17" s="49"/>
      <c r="GL17" s="49"/>
      <c r="GM17" s="49"/>
      <c r="GN17" s="49"/>
      <c r="GO17" s="49"/>
      <c r="GP17" s="49"/>
      <c r="GQ17" s="49"/>
      <c r="GR17" s="49"/>
      <c r="GS17" s="49"/>
      <c r="GT17" s="49"/>
      <c r="GU17" s="49"/>
      <c r="GV17" s="49"/>
      <c r="GW17" s="49"/>
      <c r="GX17" s="49"/>
      <c r="GY17" s="49"/>
      <c r="GZ17" s="49"/>
      <c r="HA17" s="49"/>
      <c r="HB17" s="49"/>
      <c r="HC17" s="49"/>
      <c r="HD17" s="49"/>
      <c r="HE17" s="49"/>
      <c r="HF17" s="49"/>
      <c r="HG17" s="49"/>
      <c r="HH17" s="49"/>
      <c r="HI17" s="49"/>
      <c r="HJ17" s="49"/>
      <c r="HK17" s="49"/>
      <c r="HL17" s="49"/>
      <c r="HM17" s="49"/>
      <c r="HN17" s="49"/>
      <c r="HO17" s="49"/>
      <c r="HP17" s="49"/>
      <c r="HQ17" s="49"/>
      <c r="HR17" s="49"/>
      <c r="HS17" s="49"/>
      <c r="HT17" s="49"/>
      <c r="HU17" s="49"/>
      <c r="HV17" s="49"/>
      <c r="HW17" s="49"/>
      <c r="HX17" s="49"/>
      <c r="HY17" s="49"/>
    </row>
    <row r="18" spans="1:233" ht="16.95" customHeight="1">
      <c r="A18" s="1"/>
      <c r="B18" s="3"/>
      <c r="C18" s="3"/>
      <c r="D18" s="491" t="str">
        <f ca="1">IF(FO1=0,"","aanbieders betekent per aanbieder minder klanten bij dezelfde ''stelprijs'').")</f>
        <v/>
      </c>
      <c r="E18" s="494"/>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25"/>
      <c r="AY18" s="26"/>
      <c r="AZ18" s="41"/>
      <c r="BA18" s="41"/>
      <c r="BB18" s="41"/>
      <c r="BC18" s="41"/>
      <c r="BD18" s="42"/>
      <c r="BE18" s="41"/>
      <c r="BF18" s="41"/>
      <c r="BG18" s="41"/>
      <c r="BH18" s="41"/>
      <c r="BI18" s="41"/>
      <c r="BJ18" s="41"/>
      <c r="BK18" s="42"/>
      <c r="BL18" s="41"/>
      <c r="BM18" s="41"/>
      <c r="BN18" s="41"/>
      <c r="BO18" s="41"/>
      <c r="BP18" s="41"/>
      <c r="BQ18" s="41"/>
      <c r="BR18" s="80"/>
      <c r="BS18" s="493"/>
      <c r="BT18" s="493"/>
      <c r="BU18" s="493"/>
      <c r="BV18" s="493"/>
      <c r="BW18" s="493"/>
      <c r="BX18" s="493"/>
      <c r="BY18" s="493"/>
      <c r="BZ18" s="80"/>
      <c r="CA18" s="80"/>
      <c r="CB18" s="80"/>
      <c r="CC18" s="80"/>
      <c r="CD18" s="80"/>
      <c r="CE18" s="80"/>
      <c r="CF18" s="80"/>
      <c r="CG18" s="80"/>
      <c r="CH18" s="80"/>
      <c r="CI18" s="80"/>
      <c r="CJ18" s="80"/>
      <c r="CK18" s="80"/>
      <c r="CL18" s="80"/>
      <c r="CM18" s="80"/>
      <c r="CN18" s="80"/>
      <c r="CO18" s="80"/>
      <c r="CP18" s="493"/>
      <c r="CQ18" s="493"/>
      <c r="CR18" s="493"/>
      <c r="CS18" s="493"/>
      <c r="CT18" s="493"/>
      <c r="CU18" s="493"/>
      <c r="CV18" s="493"/>
      <c r="CW18" s="493"/>
      <c r="CX18" s="493"/>
      <c r="CY18" s="493"/>
      <c r="CZ18" s="493"/>
      <c r="DA18" s="493"/>
      <c r="DB18" s="493"/>
      <c r="DC18" s="493"/>
      <c r="DD18" s="493"/>
      <c r="DE18" s="493"/>
      <c r="DF18" s="493"/>
      <c r="DG18" s="493"/>
      <c r="DH18" s="493"/>
      <c r="DI18" s="493"/>
      <c r="DJ18" s="493"/>
      <c r="DK18" s="493"/>
      <c r="DL18" s="493"/>
      <c r="DM18" s="493"/>
      <c r="DN18" s="493"/>
      <c r="DO18" s="493"/>
      <c r="DP18" s="493"/>
      <c r="DQ18" s="493"/>
      <c r="DR18" s="493"/>
      <c r="DS18" s="493"/>
      <c r="DT18" s="493"/>
      <c r="DU18" s="493"/>
      <c r="DV18" s="493"/>
      <c r="DW18" s="493"/>
      <c r="DX18" s="493"/>
      <c r="DY18" s="493"/>
      <c r="DZ18" s="493"/>
      <c r="EA18" s="493"/>
      <c r="EB18" s="493"/>
      <c r="EC18" s="493"/>
      <c r="ED18" s="493"/>
      <c r="EE18" s="493"/>
      <c r="EF18" s="493"/>
      <c r="EG18" s="493"/>
      <c r="EH18" s="493"/>
      <c r="EI18" s="493"/>
      <c r="EJ18" s="493"/>
      <c r="EK18" s="493"/>
      <c r="EL18" s="493"/>
      <c r="EM18" s="493"/>
      <c r="EN18" s="493"/>
      <c r="EO18" s="493"/>
      <c r="EP18" s="493"/>
      <c r="EQ18" s="493"/>
      <c r="ER18" s="493"/>
      <c r="ES18" s="493"/>
      <c r="ET18" s="493"/>
      <c r="EU18" s="493"/>
      <c r="EV18" s="493"/>
      <c r="EW18" s="493"/>
      <c r="EX18" s="493"/>
      <c r="EY18" s="493"/>
      <c r="EZ18" s="493"/>
      <c r="FA18" s="493"/>
      <c r="FB18" s="493"/>
      <c r="FC18" s="493"/>
      <c r="FD18" s="493"/>
      <c r="FE18" s="493"/>
      <c r="FF18" s="493"/>
      <c r="FG18" s="493"/>
      <c r="FH18" s="493"/>
      <c r="FI18" s="493"/>
      <c r="FJ18" s="493"/>
      <c r="FK18" s="493"/>
      <c r="FL18" s="493"/>
      <c r="FM18" s="47"/>
      <c r="FN18" s="47"/>
      <c r="FO18" s="47"/>
      <c r="FP18" s="47"/>
      <c r="FQ18" s="47"/>
      <c r="FR18" s="47"/>
      <c r="FS18" s="47"/>
      <c r="FT18" s="47"/>
      <c r="FU18" s="47"/>
      <c r="FV18" s="47"/>
      <c r="FW18" s="47"/>
      <c r="FX18" s="47"/>
      <c r="FY18" s="47"/>
      <c r="FZ18" s="49"/>
      <c r="GA18" s="49"/>
      <c r="GB18" s="49"/>
      <c r="GC18" s="49"/>
      <c r="GD18" s="49"/>
      <c r="GE18" s="49"/>
      <c r="GF18" s="49"/>
      <c r="GG18" s="49"/>
      <c r="GH18" s="49"/>
      <c r="GI18" s="49"/>
      <c r="GJ18" s="49"/>
      <c r="GK18" s="49"/>
      <c r="GL18" s="49"/>
      <c r="GM18" s="49"/>
      <c r="GN18" s="49"/>
      <c r="GO18" s="49"/>
      <c r="GP18" s="49"/>
      <c r="GQ18" s="49"/>
      <c r="GR18" s="49"/>
      <c r="GS18" s="49"/>
      <c r="GT18" s="49"/>
      <c r="GU18" s="49"/>
      <c r="GV18" s="49"/>
      <c r="GW18" s="49"/>
      <c r="GX18" s="49"/>
      <c r="GY18" s="49"/>
      <c r="GZ18" s="49"/>
      <c r="HA18" s="49"/>
      <c r="HB18" s="49"/>
      <c r="HC18" s="49"/>
      <c r="HD18" s="49"/>
      <c r="HE18" s="49"/>
      <c r="HF18" s="49"/>
      <c r="HG18" s="49"/>
      <c r="HH18" s="49"/>
      <c r="HI18" s="49"/>
      <c r="HJ18" s="49"/>
      <c r="HK18" s="49"/>
      <c r="HL18" s="49"/>
      <c r="HM18" s="49"/>
      <c r="HN18" s="49"/>
      <c r="HO18" s="49"/>
      <c r="HP18" s="49"/>
      <c r="HQ18" s="49"/>
      <c r="HR18" s="49"/>
      <c r="HS18" s="49"/>
      <c r="HT18" s="49"/>
      <c r="HU18" s="49"/>
      <c r="HV18" s="49"/>
      <c r="HW18" s="49"/>
      <c r="HX18" s="49"/>
      <c r="HY18" s="49"/>
    </row>
    <row r="19" spans="1:233" ht="16.95" customHeight="1">
      <c r="A19" s="1"/>
      <c r="B19" s="3"/>
      <c r="C19" s="3"/>
      <c r="D19" s="38" t="str">
        <f ca="1">IF(FO1=0,"","De toetreding stopt als de winstkansen verdwenen zijn en er dus tegen de")</f>
        <v/>
      </c>
      <c r="E19" s="126"/>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25"/>
      <c r="AY19" s="26"/>
      <c r="AZ19" s="41"/>
      <c r="BA19" s="41"/>
      <c r="BB19" s="41"/>
      <c r="BC19" s="41"/>
      <c r="BD19" s="42"/>
      <c r="BE19" s="41"/>
      <c r="BF19" s="41"/>
      <c r="BG19" s="41"/>
      <c r="BH19" s="41"/>
      <c r="BI19" s="41"/>
      <c r="BJ19" s="41"/>
      <c r="BK19" s="42"/>
      <c r="BL19" s="41"/>
      <c r="BM19" s="41"/>
      <c r="BN19" s="41"/>
      <c r="BO19" s="41"/>
      <c r="BP19" s="41"/>
      <c r="BQ19" s="41"/>
      <c r="BR19" s="80"/>
      <c r="BS19" s="79"/>
      <c r="BT19" s="79"/>
      <c r="BU19" s="79"/>
      <c r="BV19" s="79"/>
      <c r="BW19" s="79"/>
      <c r="BX19" s="79"/>
      <c r="BY19" s="79"/>
      <c r="BZ19" s="80"/>
      <c r="CA19" s="80"/>
      <c r="CB19" s="80"/>
      <c r="CC19" s="80"/>
      <c r="CD19" s="80"/>
      <c r="CE19" s="80"/>
      <c r="CF19" s="80"/>
      <c r="CG19" s="80"/>
      <c r="CH19" s="80"/>
      <c r="CI19" s="80"/>
      <c r="CJ19" s="80"/>
      <c r="CK19" s="80"/>
      <c r="CL19" s="80"/>
      <c r="CM19" s="80"/>
      <c r="CN19" s="80"/>
      <c r="CO19" s="80"/>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47"/>
      <c r="FN19" s="47"/>
      <c r="FO19" s="47"/>
      <c r="FP19" s="47"/>
      <c r="FQ19" s="47"/>
      <c r="FR19" s="47"/>
      <c r="FS19" s="47"/>
      <c r="FT19" s="47"/>
      <c r="FU19" s="47"/>
      <c r="FV19" s="47"/>
      <c r="FW19" s="47"/>
      <c r="FX19" s="47"/>
      <c r="FY19" s="47"/>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row>
    <row r="20" spans="1:233" ht="16.95" customHeight="1">
      <c r="A20" s="1"/>
      <c r="B20" s="3"/>
      <c r="C20" s="3"/>
      <c r="D20" s="38" t="str">
        <f ca="1">IF(FO1=0,"","kostprijs wordt aangeboden. Wat kun je dus zeggen over de afzet die op")</f>
        <v/>
      </c>
      <c r="E20" s="126"/>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25"/>
      <c r="AY20" s="26"/>
      <c r="AZ20" s="41"/>
      <c r="BA20" s="41"/>
      <c r="BB20" s="41"/>
      <c r="BC20" s="41"/>
      <c r="BD20" s="42"/>
      <c r="BE20" s="41"/>
      <c r="BF20" s="41"/>
      <c r="BG20" s="41"/>
      <c r="BH20" s="41"/>
      <c r="BI20" s="41"/>
      <c r="BJ20" s="41"/>
      <c r="BK20" s="42"/>
      <c r="BL20" s="41"/>
      <c r="BM20" s="41"/>
      <c r="BN20" s="41"/>
      <c r="BO20" s="41"/>
      <c r="BP20" s="41"/>
      <c r="BQ20" s="41"/>
      <c r="BR20" s="80"/>
      <c r="BS20" s="79"/>
      <c r="BT20" s="79"/>
      <c r="BU20" s="79"/>
      <c r="BV20" s="79"/>
      <c r="BW20" s="79"/>
      <c r="BX20" s="79"/>
      <c r="BY20" s="79"/>
      <c r="BZ20" s="80"/>
      <c r="CA20" s="80"/>
      <c r="CB20" s="80"/>
      <c r="CC20" s="80"/>
      <c r="CD20" s="80"/>
      <c r="CE20" s="80"/>
      <c r="CF20" s="80"/>
      <c r="CG20" s="80"/>
      <c r="CH20" s="80"/>
      <c r="CI20" s="80"/>
      <c r="CJ20" s="80"/>
      <c r="CK20" s="80"/>
      <c r="CL20" s="80"/>
      <c r="CM20" s="80"/>
      <c r="CN20" s="80"/>
      <c r="CO20" s="80"/>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47"/>
      <c r="FN20" s="47"/>
      <c r="FO20" s="47"/>
      <c r="FP20" s="47"/>
      <c r="FQ20" s="47"/>
      <c r="FR20" s="47"/>
      <c r="FS20" s="47"/>
      <c r="FT20" s="47"/>
      <c r="FU20" s="47"/>
      <c r="FV20" s="47"/>
      <c r="FW20" s="47"/>
      <c r="FX20" s="47"/>
      <c r="FY20" s="47"/>
      <c r="FZ20" s="49"/>
      <c r="GA20" s="49"/>
      <c r="GB20" s="49"/>
      <c r="GC20" s="49"/>
      <c r="GD20" s="49"/>
      <c r="GE20" s="49"/>
      <c r="GF20" s="49"/>
      <c r="GG20" s="49"/>
      <c r="GH20" s="49"/>
      <c r="GI20" s="49"/>
      <c r="GJ20" s="49"/>
      <c r="GK20" s="49"/>
      <c r="GL20" s="49"/>
      <c r="GM20" s="49"/>
      <c r="GN20" s="49"/>
      <c r="GO20" s="49"/>
      <c r="GP20" s="49"/>
      <c r="GQ20" s="49"/>
      <c r="GR20" s="49"/>
      <c r="GS20" s="49"/>
      <c r="GT20" s="49"/>
      <c r="GU20" s="49"/>
      <c r="GV20" s="49"/>
      <c r="GW20" s="49"/>
      <c r="GX20" s="49"/>
      <c r="GY20" s="49"/>
      <c r="GZ20" s="49"/>
      <c r="HA20" s="49"/>
      <c r="HB20" s="49"/>
      <c r="HC20" s="49"/>
      <c r="HD20" s="49"/>
      <c r="HE20" s="49"/>
      <c r="HF20" s="49"/>
      <c r="HG20" s="49"/>
      <c r="HH20" s="49"/>
      <c r="HI20" s="49"/>
      <c r="HJ20" s="49"/>
      <c r="HK20" s="49"/>
      <c r="HL20" s="49"/>
      <c r="HM20" s="49"/>
      <c r="HN20" s="49"/>
      <c r="HO20" s="49"/>
      <c r="HP20" s="49"/>
      <c r="HQ20" s="49"/>
      <c r="HR20" s="49"/>
      <c r="HS20" s="49"/>
      <c r="HT20" s="49"/>
      <c r="HU20" s="49"/>
      <c r="HV20" s="49"/>
      <c r="HW20" s="49"/>
      <c r="HX20" s="49"/>
      <c r="HY20" s="49"/>
    </row>
    <row r="21" spans="1:233" ht="16.95" customHeight="1">
      <c r="A21" s="1"/>
      <c r="B21" s="3"/>
      <c r="C21" s="3"/>
      <c r="D21" s="373" t="str">
        <f ca="1">IF(FO1=0,"","lange termijn bij monopolistische concurrentie tot stand komt?")</f>
        <v/>
      </c>
      <c r="E21" s="376"/>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25"/>
      <c r="AY21" s="26"/>
      <c r="AZ21" s="41"/>
      <c r="BA21" s="41"/>
      <c r="BB21" s="41"/>
      <c r="BC21" s="41"/>
      <c r="BD21" s="42"/>
      <c r="BE21" s="41"/>
      <c r="BF21" s="41"/>
      <c r="BG21" s="41"/>
      <c r="BH21" s="41"/>
      <c r="BI21" s="41"/>
      <c r="BJ21" s="41"/>
      <c r="BK21" s="42"/>
      <c r="BL21" s="41"/>
      <c r="BM21" s="41"/>
      <c r="BN21" s="41"/>
      <c r="BO21" s="41"/>
      <c r="BP21" s="41"/>
      <c r="BQ21" s="41"/>
      <c r="BR21" s="80"/>
      <c r="BS21" s="79"/>
      <c r="BT21" s="79"/>
      <c r="BU21" s="79"/>
      <c r="BV21" s="79"/>
      <c r="BW21" s="79"/>
      <c r="BX21" s="79"/>
      <c r="BY21" s="79"/>
      <c r="BZ21" s="80"/>
      <c r="CA21" s="80"/>
      <c r="CB21" s="80"/>
      <c r="CC21" s="80"/>
      <c r="CD21" s="80"/>
      <c r="CE21" s="80"/>
      <c r="CF21" s="80"/>
      <c r="CG21" s="80"/>
      <c r="CH21" s="80"/>
      <c r="CI21" s="80"/>
      <c r="CJ21" s="80"/>
      <c r="CK21" s="80"/>
      <c r="CL21" s="80"/>
      <c r="CM21" s="80"/>
      <c r="CN21" s="80"/>
      <c r="CO21" s="80"/>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47"/>
      <c r="FN21" s="47"/>
      <c r="FO21" s="47"/>
      <c r="FP21" s="47"/>
      <c r="FQ21" s="47"/>
      <c r="FR21" s="47"/>
      <c r="FS21" s="47"/>
      <c r="FT21" s="47"/>
      <c r="FU21" s="47"/>
      <c r="FV21" s="47"/>
      <c r="FW21" s="47"/>
      <c r="FX21" s="47"/>
      <c r="FY21" s="47"/>
      <c r="FZ21" s="49"/>
      <c r="GA21" s="49"/>
      <c r="GB21" s="49"/>
      <c r="GC21" s="49"/>
      <c r="GD21" s="49"/>
      <c r="GE21" s="49"/>
      <c r="GF21" s="49"/>
      <c r="GG21" s="49"/>
      <c r="GH21" s="49"/>
      <c r="GI21" s="49"/>
      <c r="GJ21" s="49"/>
      <c r="GK21" s="49"/>
      <c r="GL21" s="49"/>
      <c r="GM21" s="49"/>
      <c r="GN21" s="49"/>
      <c r="GO21" s="49"/>
      <c r="GP21" s="49"/>
      <c r="GQ21" s="49"/>
      <c r="GR21" s="49"/>
      <c r="GS21" s="49"/>
      <c r="GT21" s="49"/>
      <c r="GU21" s="49"/>
      <c r="GV21" s="49"/>
      <c r="GW21" s="49"/>
      <c r="GX21" s="49"/>
      <c r="GY21" s="49"/>
      <c r="GZ21" s="49"/>
      <c r="HA21" s="49"/>
      <c r="HB21" s="49"/>
      <c r="HC21" s="49"/>
      <c r="HD21" s="49"/>
      <c r="HE21" s="49"/>
      <c r="HF21" s="49"/>
      <c r="HG21" s="49"/>
      <c r="HH21" s="49"/>
      <c r="HI21" s="49"/>
      <c r="HJ21" s="49"/>
      <c r="HK21" s="49"/>
      <c r="HL21" s="49"/>
      <c r="HM21" s="49"/>
      <c r="HN21" s="49"/>
      <c r="HO21" s="49"/>
      <c r="HP21" s="49"/>
      <c r="HQ21" s="49"/>
      <c r="HR21" s="49"/>
      <c r="HS21" s="49"/>
      <c r="HT21" s="49"/>
      <c r="HU21" s="49"/>
      <c r="HV21" s="49"/>
      <c r="HW21" s="49"/>
      <c r="HX21" s="49"/>
      <c r="HY21" s="49"/>
    </row>
    <row r="22" spans="1:233" ht="8.25" customHeight="1">
      <c r="A22" s="1"/>
      <c r="B22" s="3"/>
      <c r="C22" s="3"/>
      <c r="D22" s="38"/>
      <c r="E22" s="126"/>
      <c r="F22" s="10"/>
      <c r="G22" s="10"/>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97"/>
      <c r="AY22" s="43"/>
      <c r="AZ22" s="41"/>
      <c r="BA22" s="41"/>
      <c r="BB22" s="41"/>
      <c r="BC22" s="41"/>
      <c r="BD22" s="42"/>
      <c r="BE22" s="41"/>
      <c r="BF22" s="41"/>
      <c r="BG22" s="41"/>
      <c r="BH22" s="41"/>
      <c r="BI22" s="41"/>
      <c r="BJ22" s="41"/>
      <c r="BK22" s="42"/>
      <c r="BL22" s="41"/>
      <c r="BM22" s="41"/>
      <c r="BN22" s="41"/>
      <c r="BO22" s="41"/>
      <c r="BP22" s="41"/>
      <c r="BQ22" s="41"/>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79"/>
      <c r="EW22" s="79"/>
      <c r="EX22" s="79"/>
      <c r="EY22" s="79"/>
      <c r="EZ22" s="79"/>
      <c r="FA22" s="79"/>
      <c r="FB22" s="79"/>
      <c r="FC22" s="79"/>
      <c r="FD22" s="79"/>
      <c r="FE22" s="79"/>
      <c r="FF22" s="79"/>
      <c r="FG22" s="79"/>
      <c r="FH22" s="79"/>
      <c r="FI22" s="79"/>
      <c r="FJ22" s="79"/>
      <c r="FK22" s="79"/>
      <c r="FL22" s="79"/>
      <c r="FM22" s="47"/>
      <c r="FN22" s="47"/>
      <c r="FO22" s="47"/>
      <c r="FP22" s="47"/>
      <c r="FQ22" s="47"/>
      <c r="FR22" s="47"/>
      <c r="FS22" s="47"/>
      <c r="FT22" s="47"/>
      <c r="FU22" s="47"/>
      <c r="FV22" s="47"/>
      <c r="FW22" s="47"/>
      <c r="FX22" s="47"/>
      <c r="FY22" s="47"/>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49"/>
      <c r="HI22" s="49"/>
      <c r="HJ22" s="49"/>
      <c r="HK22" s="49"/>
      <c r="HL22" s="49"/>
      <c r="HM22" s="49"/>
      <c r="HN22" s="49"/>
      <c r="HO22" s="49"/>
      <c r="HP22" s="49"/>
      <c r="HQ22" s="49"/>
      <c r="HR22" s="49"/>
      <c r="HS22" s="49"/>
      <c r="HT22" s="49"/>
      <c r="HU22" s="49"/>
      <c r="HV22" s="49"/>
      <c r="HW22" s="49"/>
      <c r="HX22" s="49"/>
      <c r="HY22" s="49"/>
    </row>
    <row r="23" spans="1:233" ht="3.75" customHeight="1">
      <c r="A23" s="1"/>
      <c r="B23" s="3"/>
      <c r="C23" s="3"/>
      <c r="D23" s="38"/>
      <c r="E23" s="126"/>
      <c r="F23" s="10"/>
      <c r="G23" s="10"/>
      <c r="H23" s="538" t="str">
        <f ca="1">IF(FO1=0,"",".")</f>
        <v/>
      </c>
      <c r="I23" s="541"/>
      <c r="J23" s="541"/>
      <c r="K23" s="541"/>
      <c r="L23" s="541"/>
      <c r="M23" s="541"/>
      <c r="N23" s="541"/>
      <c r="O23" s="541"/>
      <c r="P23" s="541"/>
      <c r="Q23" s="541"/>
      <c r="R23" s="541"/>
      <c r="S23" s="541"/>
      <c r="T23" s="541"/>
      <c r="U23" s="541"/>
      <c r="V23" s="541"/>
      <c r="W23" s="541"/>
      <c r="X23" s="541"/>
      <c r="Y23" s="541"/>
      <c r="Z23" s="541"/>
      <c r="AA23" s="541"/>
      <c r="AB23" s="541"/>
      <c r="AC23" s="541"/>
      <c r="AD23" s="541"/>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79"/>
      <c r="EW23" s="79"/>
      <c r="EX23" s="79"/>
      <c r="EY23" s="79"/>
      <c r="EZ23" s="79"/>
      <c r="FA23" s="79"/>
      <c r="FB23" s="79"/>
      <c r="FC23" s="79"/>
      <c r="FD23" s="79"/>
      <c r="FE23" s="79"/>
      <c r="FF23" s="79"/>
      <c r="FG23" s="79"/>
      <c r="FH23" s="79"/>
      <c r="FI23" s="79"/>
      <c r="FJ23" s="79"/>
      <c r="FK23" s="79"/>
      <c r="FL23" s="79"/>
      <c r="FM23" s="47"/>
      <c r="FN23" s="47"/>
      <c r="FO23" s="47"/>
      <c r="FP23" s="47"/>
      <c r="FQ23" s="47"/>
      <c r="FR23" s="47"/>
      <c r="FS23" s="47"/>
      <c r="FT23" s="47"/>
      <c r="FU23" s="47"/>
      <c r="FV23" s="47"/>
      <c r="FW23" s="47"/>
      <c r="FX23" s="47"/>
      <c r="FY23" s="47"/>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49"/>
      <c r="HI23" s="49"/>
      <c r="HJ23" s="49"/>
      <c r="HK23" s="49"/>
      <c r="HL23" s="49"/>
      <c r="HM23" s="49"/>
      <c r="HN23" s="49"/>
      <c r="HO23" s="49"/>
      <c r="HP23" s="49"/>
      <c r="HQ23" s="49"/>
      <c r="HR23" s="49"/>
      <c r="HS23" s="49"/>
      <c r="HT23" s="49"/>
      <c r="HU23" s="49"/>
      <c r="HV23" s="49"/>
      <c r="HW23" s="49"/>
      <c r="HX23" s="49"/>
      <c r="HY23" s="49"/>
    </row>
    <row r="24" spans="1:233" ht="16.5" customHeight="1">
      <c r="A24" s="1"/>
      <c r="B24" s="3"/>
      <c r="C24" s="3"/>
      <c r="D24" s="38"/>
      <c r="E24" s="126"/>
      <c r="F24" s="10"/>
      <c r="G24" s="10"/>
      <c r="H24" s="195" t="str">
        <f ca="1">IF(FO1=0,"",".")</f>
        <v/>
      </c>
      <c r="I24" s="684"/>
      <c r="J24" s="643"/>
      <c r="K24" s="643"/>
      <c r="L24" s="643"/>
      <c r="M24" s="643"/>
      <c r="N24" s="643"/>
      <c r="O24" s="643"/>
      <c r="P24" s="643"/>
      <c r="Q24" s="643"/>
      <c r="R24" s="643"/>
      <c r="S24" s="643"/>
      <c r="T24" s="643"/>
      <c r="U24" s="643"/>
      <c r="V24" s="643"/>
      <c r="W24" s="643"/>
      <c r="X24" s="643"/>
      <c r="Y24" s="643"/>
      <c r="Z24" s="643"/>
      <c r="AA24" s="643"/>
      <c r="AB24" s="643"/>
      <c r="AC24" s="643"/>
      <c r="AD24" s="643"/>
      <c r="AE24" s="643"/>
      <c r="AF24" s="643"/>
      <c r="AG24" s="643"/>
      <c r="AH24" s="643"/>
      <c r="AI24" s="643"/>
      <c r="AJ24" s="643"/>
      <c r="AK24" s="643"/>
      <c r="AL24" s="643"/>
      <c r="AM24" s="643"/>
      <c r="AN24" s="643"/>
      <c r="AO24" s="643"/>
      <c r="AP24" s="643"/>
      <c r="AQ24" s="643"/>
      <c r="AR24" s="643"/>
      <c r="AS24" s="643"/>
      <c r="AT24" s="643"/>
      <c r="AU24" s="643"/>
      <c r="AV24" s="643"/>
      <c r="AW24" s="643"/>
      <c r="AX24" s="643"/>
      <c r="AY24" s="643"/>
      <c r="AZ24" s="643"/>
      <c r="BA24" s="643"/>
      <c r="BB24" s="643"/>
      <c r="BC24" s="643"/>
      <c r="BD24" s="643"/>
      <c r="BE24" s="643"/>
      <c r="BF24" s="643"/>
      <c r="BG24" s="643"/>
      <c r="BH24" s="643"/>
      <c r="BI24" s="720"/>
      <c r="BJ24" s="720"/>
      <c r="BK24" s="720"/>
      <c r="BL24" s="720"/>
      <c r="BM24" s="720"/>
      <c r="BN24" s="720"/>
      <c r="BO24" s="720"/>
      <c r="BP24" s="720"/>
      <c r="BQ24" s="720"/>
      <c r="BR24" s="720"/>
      <c r="BS24" s="720"/>
      <c r="BT24" s="720"/>
      <c r="BU24" s="720"/>
      <c r="BV24" s="720"/>
      <c r="BW24" s="720"/>
      <c r="BX24" s="720"/>
      <c r="BY24" s="720"/>
      <c r="BZ24" s="720"/>
      <c r="CA24" s="720"/>
      <c r="CB24" s="720"/>
      <c r="CC24" s="720"/>
      <c r="CD24" s="720"/>
      <c r="CE24" s="720"/>
      <c r="CF24" s="720"/>
      <c r="CG24" s="720"/>
      <c r="CH24" s="720"/>
      <c r="CI24" s="720"/>
      <c r="CJ24" s="720"/>
      <c r="CK24" s="720"/>
      <c r="CL24" s="720"/>
      <c r="CM24" s="720"/>
      <c r="CN24" s="720"/>
      <c r="CO24" s="720"/>
      <c r="CP24" s="720"/>
      <c r="CQ24" s="720"/>
      <c r="CR24" s="720"/>
      <c r="CS24" s="720"/>
      <c r="CT24" s="720"/>
      <c r="CU24" s="720"/>
      <c r="CV24" s="720"/>
      <c r="CW24" s="720"/>
      <c r="CX24" s="720"/>
      <c r="CY24" s="720"/>
      <c r="CZ24" s="720"/>
      <c r="DA24" s="720"/>
      <c r="DB24" s="720"/>
      <c r="DC24" s="720"/>
      <c r="DD24" s="720"/>
      <c r="DE24" s="720"/>
      <c r="DF24" s="720"/>
      <c r="DG24" s="720"/>
      <c r="DH24" s="720"/>
      <c r="DI24" s="720"/>
      <c r="DJ24" s="720"/>
      <c r="DK24" s="720"/>
      <c r="DL24" s="720"/>
      <c r="DM24" s="720"/>
      <c r="DN24" s="720"/>
      <c r="DO24" s="720"/>
      <c r="DP24" s="720"/>
      <c r="DQ24" s="720"/>
      <c r="DR24" s="720"/>
      <c r="DS24" s="720"/>
      <c r="DT24" s="720"/>
      <c r="DU24" s="720"/>
      <c r="DV24" s="720"/>
      <c r="DW24" s="720"/>
      <c r="DX24" s="720"/>
      <c r="DY24" s="720"/>
      <c r="DZ24" s="720"/>
      <c r="EA24" s="720"/>
      <c r="EB24" s="720"/>
      <c r="EC24" s="720"/>
      <c r="ED24" s="720"/>
      <c r="EE24" s="720"/>
      <c r="EF24" s="720"/>
      <c r="EG24" s="720"/>
      <c r="EH24" s="720"/>
      <c r="EI24" s="720"/>
      <c r="EJ24" s="720"/>
      <c r="EK24" s="720"/>
      <c r="EL24" s="720"/>
      <c r="EM24" s="720"/>
      <c r="EN24" s="720"/>
      <c r="EO24" s="720"/>
      <c r="EP24" s="720"/>
      <c r="EQ24" s="720"/>
      <c r="ER24" s="720"/>
      <c r="ES24" s="720"/>
      <c r="ET24" s="720"/>
      <c r="EU24" s="195" t="str">
        <f ca="1">IF(FO1=0,"",".")</f>
        <v/>
      </c>
      <c r="EV24" s="79"/>
      <c r="EW24" s="207" t="str">
        <f>IF(I24="","",IF(FO1=0,"",IF(FN24=1,"Goed!","Fout! Probeer het opnieuw.")))</f>
        <v/>
      </c>
      <c r="EX24" s="79"/>
      <c r="EY24" s="79"/>
      <c r="EZ24" s="79"/>
      <c r="FA24" s="79"/>
      <c r="FB24" s="79"/>
      <c r="FC24" s="79"/>
      <c r="FD24" s="79"/>
      <c r="FE24" s="79"/>
      <c r="FF24" s="79"/>
      <c r="FG24" s="79"/>
      <c r="FH24" s="79"/>
      <c r="FI24" s="79"/>
      <c r="FJ24" s="79"/>
      <c r="FK24" s="79"/>
      <c r="FL24" s="79"/>
      <c r="FM24" s="48" t="str">
        <f ca="1">IF(FN1=0,"",FP24)</f>
        <v>hoeveelheid maximale winst = hoeveelheid break-even-point</v>
      </c>
      <c r="FN24" s="48">
        <f ca="1">IF(programma!B1="X",1,IF(FO1=0,0,IF(I24=FP24,1,0)))</f>
        <v>0</v>
      </c>
      <c r="FO24" s="47"/>
      <c r="FP24" s="48" t="s">
        <v>89</v>
      </c>
      <c r="FQ24" s="48" t="s">
        <v>90</v>
      </c>
      <c r="FR24" s="48" t="s">
        <v>91</v>
      </c>
      <c r="FS24" s="48" t="s">
        <v>92</v>
      </c>
      <c r="FT24" s="47"/>
      <c r="FU24" s="47"/>
      <c r="FV24" s="47"/>
      <c r="FW24" s="47"/>
      <c r="FX24" s="47"/>
      <c r="FY24" s="47"/>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row>
    <row r="25" spans="1:233" ht="3.75" customHeight="1">
      <c r="A25" s="1"/>
      <c r="B25" s="3"/>
      <c r="C25" s="3"/>
      <c r="D25" s="38"/>
      <c r="E25" s="126"/>
      <c r="F25" s="10"/>
      <c r="G25" s="10"/>
      <c r="H25" s="538" t="str">
        <f ca="1">IF(FO1=0,"",".")</f>
        <v/>
      </c>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79"/>
      <c r="EW25" s="79"/>
      <c r="EX25" s="79"/>
      <c r="EY25" s="79"/>
      <c r="EZ25" s="79"/>
      <c r="FA25" s="79"/>
      <c r="FB25" s="79"/>
      <c r="FC25" s="79"/>
      <c r="FD25" s="79"/>
      <c r="FE25" s="79"/>
      <c r="FF25" s="79"/>
      <c r="FG25" s="79"/>
      <c r="FH25" s="79"/>
      <c r="FI25" s="79"/>
      <c r="FJ25" s="79"/>
      <c r="FK25" s="79"/>
      <c r="FL25" s="79"/>
      <c r="FM25" s="47"/>
      <c r="FN25" s="47"/>
      <c r="FO25" s="47"/>
      <c r="FP25" s="47"/>
      <c r="FQ25" s="47"/>
      <c r="FR25" s="47"/>
      <c r="FS25" s="47"/>
      <c r="FT25" s="47"/>
      <c r="FU25" s="47"/>
      <c r="FV25" s="47"/>
      <c r="FW25" s="47"/>
      <c r="FX25" s="47"/>
      <c r="FY25" s="47"/>
      <c r="FZ25" s="49"/>
      <c r="GA25" s="49"/>
      <c r="GB25" s="49"/>
      <c r="GC25" s="49"/>
      <c r="GD25" s="49"/>
      <c r="GE25" s="49"/>
      <c r="GF25" s="49"/>
      <c r="GG25" s="49"/>
      <c r="GH25" s="49"/>
      <c r="GI25" s="49"/>
      <c r="GJ25" s="49"/>
      <c r="GK25" s="49"/>
      <c r="GL25" s="49"/>
      <c r="GM25" s="49"/>
      <c r="GN25" s="49"/>
      <c r="GO25" s="49"/>
      <c r="GP25" s="49"/>
      <c r="GQ25" s="49"/>
      <c r="GR25" s="49"/>
      <c r="GS25" s="49"/>
      <c r="GT25" s="49"/>
      <c r="GU25" s="49"/>
      <c r="GV25" s="49"/>
      <c r="GW25" s="49"/>
      <c r="GX25" s="49"/>
      <c r="GY25" s="49"/>
      <c r="GZ25" s="49"/>
      <c r="HA25" s="49"/>
      <c r="HB25" s="49"/>
      <c r="HC25" s="49"/>
      <c r="HD25" s="49"/>
      <c r="HE25" s="49"/>
      <c r="HF25" s="49"/>
      <c r="HG25" s="49"/>
      <c r="HH25" s="49"/>
      <c r="HI25" s="49"/>
      <c r="HJ25" s="49"/>
      <c r="HK25" s="49"/>
      <c r="HL25" s="49"/>
      <c r="HM25" s="49"/>
      <c r="HN25" s="49"/>
      <c r="HO25" s="49"/>
      <c r="HP25" s="49"/>
      <c r="HQ25" s="49"/>
      <c r="HR25" s="49"/>
      <c r="HS25" s="49"/>
      <c r="HT25" s="49"/>
      <c r="HU25" s="49"/>
      <c r="HV25" s="49"/>
      <c r="HW25" s="49"/>
      <c r="HX25" s="49"/>
      <c r="HY25" s="49"/>
    </row>
    <row r="26" spans="1:233" ht="10.5" customHeight="1">
      <c r="A26" s="1"/>
      <c r="B26" s="3"/>
      <c r="C26" s="3"/>
      <c r="D26" s="38"/>
      <c r="E26" s="126"/>
      <c r="F26" s="10"/>
      <c r="G26" s="10"/>
      <c r="H26" s="126"/>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79"/>
      <c r="EW26" s="79"/>
      <c r="EX26" s="79"/>
      <c r="EY26" s="79"/>
      <c r="EZ26" s="79"/>
      <c r="FA26" s="79"/>
      <c r="FB26" s="79"/>
      <c r="FC26" s="79"/>
      <c r="FD26" s="79"/>
      <c r="FE26" s="79"/>
      <c r="FF26" s="79"/>
      <c r="FG26" s="79"/>
      <c r="FH26" s="79"/>
      <c r="FI26" s="79"/>
      <c r="FJ26" s="79"/>
      <c r="FK26" s="79"/>
      <c r="FL26" s="79"/>
      <c r="FM26" s="123"/>
      <c r="FN26" s="47"/>
      <c r="FO26" s="47"/>
      <c r="FP26" s="47"/>
      <c r="FQ26" s="47"/>
      <c r="FR26" s="47"/>
      <c r="FS26" s="47"/>
      <c r="FT26" s="47"/>
      <c r="FU26" s="47"/>
      <c r="FV26" s="47"/>
      <c r="FW26" s="47"/>
      <c r="FX26" s="47"/>
      <c r="FY26" s="47"/>
      <c r="FZ26" s="49"/>
      <c r="GA26" s="49"/>
      <c r="GB26" s="49"/>
      <c r="GC26" s="49">
        <f ca="1">Blad1!AA32</f>
        <v>0</v>
      </c>
      <c r="GD26" s="49" t="e">
        <f ca="1">3*GG40</f>
        <v>#VALUE!</v>
      </c>
      <c r="GE26" s="49" t="e">
        <f ca="1">2*GH40+2*GC40</f>
        <v>#VALUE!</v>
      </c>
      <c r="GF26" s="49" t="e">
        <f ca="1">GI40-GD40</f>
        <v>#VALUE!</v>
      </c>
      <c r="GG26" s="49" t="e">
        <f ca="1">(-GE26+(GE26^2-4*GD26*GF26)^0.5)/(2*GD26)</f>
        <v>#VALUE!</v>
      </c>
      <c r="GH26" s="49"/>
      <c r="GI26" s="49">
        <v>2</v>
      </c>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row>
    <row r="27" spans="1:233" ht="16.95" customHeight="1">
      <c r="A27" s="1"/>
      <c r="B27" s="3"/>
      <c r="C27" s="3"/>
      <c r="D27" s="373" t="str">
        <f ca="1">IF(FN24=0,"","Hieronder is weer de situatie bij maximale winst weergegeven. Zoals je kunt")</f>
        <v/>
      </c>
      <c r="E27" s="376"/>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26"/>
      <c r="FL27" s="26"/>
      <c r="FM27" s="47"/>
      <c r="FN27" s="47"/>
      <c r="FO27" s="47"/>
      <c r="FP27" s="47"/>
      <c r="FQ27" s="47"/>
      <c r="FR27" s="47"/>
      <c r="FS27" s="47"/>
      <c r="FT27" s="47"/>
      <c r="FU27" s="47"/>
      <c r="FV27" s="47"/>
      <c r="FW27" s="47"/>
      <c r="FX27" s="47"/>
      <c r="FY27" s="47"/>
      <c r="FZ27" s="49"/>
      <c r="GA27" s="49"/>
      <c r="GB27" s="49"/>
      <c r="GC27" s="49">
        <f ca="1">GC26*4*Blad1!AA31</f>
        <v>0</v>
      </c>
      <c r="GD27" s="49"/>
      <c r="GE27" s="49" t="e">
        <f ca="1">IF(GF31&gt;GF29,GF29,GF31)</f>
        <v>#DIV/0!</v>
      </c>
      <c r="GF27" s="49" t="e">
        <f ca="1">IF(GF31&gt;GF29,GF31,GF29)</f>
        <v>#DIV/0!</v>
      </c>
      <c r="GG27" s="49" t="e">
        <f ca="1">0.25*GF37</f>
        <v>#DIV/0!</v>
      </c>
      <c r="GH27" s="49"/>
      <c r="GI27" s="49">
        <v>1.7</v>
      </c>
      <c r="GJ27" s="49"/>
      <c r="GK27" s="49"/>
      <c r="GL27" s="49" t="s">
        <v>85</v>
      </c>
      <c r="GM27" s="49" t="e">
        <f ca="1">GD40-GK40</f>
        <v>#VALUE!</v>
      </c>
      <c r="GN27" s="49" t="s">
        <v>38</v>
      </c>
      <c r="GO27" s="49" t="s">
        <v>39</v>
      </c>
      <c r="GP27" s="49" t="s">
        <v>86</v>
      </c>
      <c r="GQ27" s="49" t="e">
        <f ca="1">GD40-GM40</f>
        <v>#VALUE!</v>
      </c>
      <c r="GR27" s="49" t="s">
        <v>38</v>
      </c>
      <c r="GS27" s="49" t="s">
        <v>39</v>
      </c>
      <c r="GT27" s="49"/>
      <c r="GU27" s="49"/>
      <c r="GV27" s="49"/>
      <c r="GW27" s="49"/>
      <c r="GX27" s="49"/>
      <c r="GY27" s="49"/>
      <c r="GZ27" s="49"/>
      <c r="HA27" s="49"/>
      <c r="HB27" s="49"/>
      <c r="HC27" s="49"/>
      <c r="HD27" s="49"/>
      <c r="HE27" s="49"/>
      <c r="HF27" s="49"/>
      <c r="HG27" s="49"/>
      <c r="HH27" s="49"/>
      <c r="HI27" s="49"/>
      <c r="HJ27" s="49"/>
      <c r="HK27" s="49"/>
      <c r="HL27" s="49"/>
      <c r="HM27" s="49"/>
      <c r="HN27" s="49"/>
      <c r="HO27" s="49"/>
      <c r="HP27" s="49"/>
      <c r="HQ27" s="49"/>
      <c r="HR27" s="49"/>
      <c r="HS27" s="49"/>
      <c r="HT27" s="49"/>
      <c r="HU27" s="49"/>
      <c r="HV27" s="49"/>
      <c r="HW27" s="49"/>
      <c r="HX27" s="49"/>
      <c r="HY27" s="49"/>
    </row>
    <row r="28" spans="1:233" ht="16.95" customHeight="1">
      <c r="A28" s="1"/>
      <c r="B28" s="3"/>
      <c r="C28" s="3"/>
      <c r="D28" s="373" t="str">
        <f ca="1">IF(FN24=0,"","zien zijn de totale variabele kosten weggelaten. Dat is gedaan om de grafiek")</f>
        <v/>
      </c>
      <c r="E28" s="376"/>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26"/>
      <c r="FL28" s="26"/>
      <c r="FM28" s="47"/>
      <c r="FN28" s="47"/>
      <c r="FO28" s="47"/>
      <c r="FP28" s="47"/>
      <c r="FQ28" s="47"/>
      <c r="FR28" s="47"/>
      <c r="FS28" s="47"/>
      <c r="FT28" s="47"/>
      <c r="FU28" s="47"/>
      <c r="FV28" s="47"/>
      <c r="FW28" s="47"/>
      <c r="FX28" s="47"/>
      <c r="FY28" s="47"/>
      <c r="FZ28" s="49"/>
      <c r="GA28" s="49"/>
      <c r="GB28" s="49"/>
      <c r="GC28" s="49"/>
      <c r="GD28" s="49"/>
      <c r="GE28" s="49"/>
      <c r="GF28" s="49"/>
      <c r="GG28" s="49"/>
      <c r="GH28" s="49"/>
      <c r="GI28" s="49"/>
      <c r="GJ28" s="49"/>
      <c r="GK28" s="49"/>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49"/>
      <c r="HL28" s="49"/>
      <c r="HM28" s="49"/>
      <c r="HN28" s="49"/>
      <c r="HO28" s="49"/>
      <c r="HP28" s="49"/>
      <c r="HQ28" s="49"/>
      <c r="HR28" s="49"/>
      <c r="HS28" s="49"/>
      <c r="HT28" s="49"/>
      <c r="HU28" s="49"/>
      <c r="HV28" s="49"/>
      <c r="HW28" s="49"/>
      <c r="HX28" s="49"/>
      <c r="HY28" s="49"/>
    </row>
    <row r="29" spans="1:233" ht="16.95" customHeight="1">
      <c r="A29" s="1"/>
      <c r="B29" s="3"/>
      <c r="C29" s="3"/>
      <c r="D29" s="373" t="str">
        <f ca="1">IF(FN24=0,"","een rustiger beeld te geven. In het linkse blauwomrande vak kun je aangeven")</f>
        <v/>
      </c>
      <c r="E29" s="376"/>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26"/>
      <c r="FL29" s="26"/>
      <c r="FM29" s="47"/>
      <c r="FN29" s="47"/>
      <c r="FO29" s="47"/>
      <c r="FP29" s="47"/>
      <c r="FQ29" s="47"/>
      <c r="FR29" s="47"/>
      <c r="FS29" s="47"/>
      <c r="FT29" s="47"/>
      <c r="FU29" s="47"/>
      <c r="FV29" s="47"/>
      <c r="FW29" s="47"/>
      <c r="FX29" s="47"/>
      <c r="FY29" s="47"/>
      <c r="FZ29" s="49"/>
      <c r="GA29" s="49"/>
      <c r="GB29" s="49"/>
      <c r="GC29" s="49" t="s">
        <v>35</v>
      </c>
      <c r="GD29" s="49"/>
      <c r="GE29" s="49" t="e">
        <f ca="1">IF(0.4*(GG37-GG31)/GE37&gt;0,0.4*(GG37-GG31)/GE37,-0.4*(GG37-GG31)/GE37)</f>
        <v>#DIV/0!</v>
      </c>
      <c r="GF29" s="49" t="e">
        <f ca="1">IF(GE29&lt;1,FLOOR(GE29,0.1),IF(GE29&lt;10,FLOOR(GE29,1),IF(GE29&lt;100,FLOOR(GE29,10),IF(GE29&lt;1000,FLOOR(GE29,100),IF(GE29&lt;10000,FLOOR(GE29,1000),IF(GE29&lt;100000,FLOOR(GE29,10000),FLOOR(GE29,100000)))))))</f>
        <v>#DIV/0!</v>
      </c>
      <c r="GG29" s="49" t="e">
        <f ca="1">IF(GG27&lt;100,FLOOR(GG27,10),IF(GG27&lt;1000,FLOOR(GG27,100),IF(GG27&lt;10000,FLOOR(GG27,1000),IF(GG27&lt;100000,FLOOR(GG27,10000),IF(GG27&lt;1000000,FLOOR(GG27,100000),IF(GG27&lt;10000000,FLOOR(GG27,1000000),FLOOR(GG27,10000000)))))))</f>
        <v>#DIV/0!</v>
      </c>
      <c r="GH29" s="49"/>
      <c r="GI29" s="49">
        <v>0.6</v>
      </c>
      <c r="GJ29" s="49">
        <v>1.7</v>
      </c>
      <c r="GK29" s="49">
        <v>0.6</v>
      </c>
      <c r="GL29" s="49">
        <v>-0.3</v>
      </c>
      <c r="GM29" s="49" t="e">
        <f ca="1">GM27/GL35</f>
        <v>#VALUE!</v>
      </c>
      <c r="GN29" s="49" t="e">
        <f ca="1">(-2*GC40)*GM29+GD40</f>
        <v>#DIV/0!</v>
      </c>
      <c r="GO29" s="49" t="e">
        <f ca="1">2*GJ40*GM29^1+GK40</f>
        <v>#VALUE!</v>
      </c>
      <c r="GP29" s="49">
        <f ca="1">IF(OR(FN39=5,FN39=11,FN39=14,FN39=15,FN39=16,FN39=17,FN39=18,FN39=19,FN39=27,FN39=30,FN39=33,FN39=36,FN39=37,FN39=38,FN39=39,FN39=40),0.9,1.4)</f>
        <v>1.4</v>
      </c>
      <c r="GQ29" s="49" t="e">
        <f ca="1">GQ27/GP35</f>
        <v>#VALUE!</v>
      </c>
      <c r="GR29" s="49" t="e">
        <f ca="1">-2*GC40*GQ29+GD40</f>
        <v>#DIV/0!</v>
      </c>
      <c r="GS29" s="49" t="e">
        <f ca="1">2*GL40*GQ29^1+GM40</f>
        <v>#VALUE!</v>
      </c>
      <c r="GT29" s="49"/>
      <c r="GU29" s="49"/>
      <c r="GV29" s="49"/>
      <c r="GW29" s="49"/>
      <c r="GX29" s="49"/>
      <c r="GY29" s="49"/>
      <c r="GZ29" s="49"/>
      <c r="HA29" s="49"/>
      <c r="HB29" s="49"/>
      <c r="HC29" s="49"/>
      <c r="HD29" s="49"/>
      <c r="HE29" s="49"/>
      <c r="HF29" s="49"/>
      <c r="HG29" s="49"/>
      <c r="HH29" s="49"/>
      <c r="HI29" s="49"/>
      <c r="HJ29" s="49"/>
      <c r="HK29" s="49"/>
      <c r="HL29" s="49"/>
      <c r="HM29" s="49"/>
      <c r="HN29" s="49"/>
      <c r="HO29" s="49"/>
      <c r="HP29" s="49"/>
      <c r="HQ29" s="49"/>
      <c r="HR29" s="49"/>
      <c r="HS29" s="49"/>
      <c r="HT29" s="49"/>
      <c r="HU29" s="49"/>
      <c r="HV29" s="49"/>
      <c r="HW29" s="49"/>
      <c r="HX29" s="49"/>
      <c r="HY29" s="49"/>
    </row>
    <row r="30" spans="1:233" ht="16.95" customHeight="1">
      <c r="A30" s="1"/>
      <c r="B30" s="3"/>
      <c r="C30" s="3"/>
      <c r="D30" s="373" t="str">
        <f ca="1">IF(FN24=0,"","dat je de situatie op lange termijn wilt zien. Doe je dat, dan zie je dat door de")</f>
        <v/>
      </c>
      <c r="E30" s="376"/>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26"/>
      <c r="FL30" s="26"/>
      <c r="FM30" s="47"/>
      <c r="FN30" s="47"/>
      <c r="FO30" s="47"/>
      <c r="FP30" s="47"/>
      <c r="FQ30" s="47"/>
      <c r="FR30" s="47"/>
      <c r="FS30" s="47"/>
      <c r="FT30" s="47"/>
      <c r="FU30" s="47"/>
      <c r="FV30" s="47"/>
      <c r="FW30" s="47"/>
      <c r="FX30" s="47"/>
      <c r="FY30" s="47"/>
      <c r="FZ30" s="49"/>
      <c r="GA30" s="49"/>
      <c r="GB30" s="49"/>
      <c r="GC30" s="49"/>
      <c r="GD30" s="49"/>
      <c r="GE30" s="49"/>
      <c r="GF30" s="49"/>
      <c r="GG30" s="49"/>
      <c r="GH30" s="49"/>
      <c r="GI30" s="49"/>
      <c r="GJ30" s="49"/>
      <c r="GK30" s="49"/>
      <c r="GL30" s="49"/>
      <c r="GM30" s="49"/>
      <c r="GN30" s="49"/>
      <c r="GO30" s="49"/>
      <c r="GP30" s="49"/>
      <c r="GQ30" s="49"/>
      <c r="GR30" s="49"/>
      <c r="GS30" s="49"/>
      <c r="GT30" s="49"/>
      <c r="GU30" s="49"/>
      <c r="GV30" s="49"/>
      <c r="GW30" s="49"/>
      <c r="GX30" s="49"/>
      <c r="GY30" s="49"/>
      <c r="GZ30" s="49"/>
      <c r="HA30" s="49"/>
      <c r="HB30" s="49"/>
      <c r="HC30" s="49"/>
      <c r="HD30" s="49"/>
      <c r="HE30" s="49"/>
      <c r="HF30" s="49"/>
      <c r="HG30" s="49"/>
      <c r="HH30" s="49"/>
      <c r="HI30" s="49"/>
      <c r="HJ30" s="49"/>
      <c r="HK30" s="49"/>
      <c r="HL30" s="49"/>
      <c r="HM30" s="49"/>
      <c r="HN30" s="49"/>
      <c r="HO30" s="49"/>
      <c r="HP30" s="49"/>
      <c r="HQ30" s="49"/>
      <c r="HR30" s="49"/>
      <c r="HS30" s="49"/>
      <c r="HT30" s="49"/>
      <c r="HU30" s="49"/>
      <c r="HV30" s="49"/>
      <c r="HW30" s="49"/>
      <c r="HX30" s="49"/>
      <c r="HY30" s="49"/>
    </row>
    <row r="31" spans="1:233" ht="16.95" customHeight="1">
      <c r="A31" s="1"/>
      <c r="B31" s="3"/>
      <c r="C31" s="3"/>
      <c r="D31" s="373" t="str">
        <f ca="1">IF(FN24=0,"","verschuiving van de vraagcurve naar links de winst van de individuele")</f>
        <v/>
      </c>
      <c r="E31" s="376"/>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26"/>
      <c r="FL31" s="26"/>
      <c r="FM31" s="47"/>
      <c r="FN31" s="47"/>
      <c r="FO31" s="47"/>
      <c r="FP31" s="47"/>
      <c r="FQ31" s="47"/>
      <c r="FR31" s="47"/>
      <c r="FS31" s="47"/>
      <c r="FT31" s="47"/>
      <c r="FU31" s="47"/>
      <c r="FV31" s="47"/>
      <c r="FW31" s="47"/>
      <c r="FX31" s="47"/>
      <c r="FY31" s="47"/>
      <c r="FZ31" s="49"/>
      <c r="GA31" s="49"/>
      <c r="GB31" s="49"/>
      <c r="GC31" s="49" t="e">
        <f ca="1">GE40*(((ROUND(GC27/GC26,2))-GE40)/(2/GC26))+GF40</f>
        <v>#DIV/0!</v>
      </c>
      <c r="GD31" s="49" t="e">
        <f ca="1">((ROUND(GC27/GC26,2))*(((ROUND(GC27/GC26,2))-GE40)/(2/GC26))-(1/GC26)*(((ROUND(GC27/GC26,2))-GE40)/(2/GC26))^2)-GC31</f>
        <v>#DIV/0!</v>
      </c>
      <c r="GE31" s="49" t="e">
        <f ca="1">(GG36-GG29)/GE37</f>
        <v>#DIV/0!</v>
      </c>
      <c r="GF31" s="49" t="e">
        <f ca="1">IF(GE31&lt;1,FLOOR(GE31,0.1),IF(GE31&lt;10,FLOOR(GE31,1),IF(GE31&lt;100,FLOOR(GE31,10),IF(GE31&lt;1000,FLOOR(GE31,100),IF(GE31&lt;10000,FLOOR(GE31,1000),IF(GE31&lt;100000,FLOOR(GE31,10000),FLOOR(GE31,100000)))))))</f>
        <v>#DIV/0!</v>
      </c>
      <c r="GG31" s="49" t="e">
        <f ca="1">2*GG29</f>
        <v>#DIV/0!</v>
      </c>
      <c r="GH31" s="49" t="e">
        <f ca="1">GG26</f>
        <v>#VALUE!</v>
      </c>
      <c r="GI31" s="49" t="s">
        <v>40</v>
      </c>
      <c r="GJ31" s="49" t="e">
        <f ca="1">0.5*-2*GC40*GH31^2+GD40*GH31</f>
        <v>#DIV/0!</v>
      </c>
      <c r="GK31" s="49" t="e">
        <f ca="1">GJ31-GH31*GH35</f>
        <v>#DIV/0!</v>
      </c>
      <c r="GL31" s="49">
        <v>0.9</v>
      </c>
      <c r="GM31" s="49" t="s">
        <v>40</v>
      </c>
      <c r="GN31" s="49" t="e">
        <f ca="1">0.5*(-2*GC40)*GM29^2+GD40*GM29</f>
        <v>#DIV/0!</v>
      </c>
      <c r="GO31" s="49" t="e">
        <f ca="1">GN31-GM29*GN29</f>
        <v>#DIV/0!</v>
      </c>
      <c r="GP31" s="49">
        <v>0.2</v>
      </c>
      <c r="GQ31" s="49" t="s">
        <v>40</v>
      </c>
      <c r="GR31" s="49" t="e">
        <f ca="1">0.5*(-2*GC40)*GQ29^2+GD40*GQ29</f>
        <v>#DIV/0!</v>
      </c>
      <c r="GS31" s="49" t="e">
        <f ca="1">GR31-GQ29*GR29</f>
        <v>#DIV/0!</v>
      </c>
      <c r="GT31" s="49"/>
      <c r="GU31" s="49"/>
      <c r="GV31" s="49"/>
      <c r="GW31" s="49"/>
      <c r="GX31" s="49"/>
      <c r="GY31" s="49"/>
      <c r="GZ31" s="49"/>
      <c r="HA31" s="49"/>
      <c r="HB31" s="49"/>
      <c r="HC31" s="49"/>
      <c r="HD31" s="49"/>
      <c r="HE31" s="49"/>
      <c r="HF31" s="49"/>
      <c r="HG31" s="49"/>
      <c r="HH31" s="49"/>
      <c r="HI31" s="49"/>
      <c r="HJ31" s="49"/>
      <c r="HK31" s="49"/>
      <c r="HL31" s="49"/>
      <c r="HM31" s="49"/>
      <c r="HN31" s="49"/>
      <c r="HO31" s="49"/>
      <c r="HP31" s="49"/>
      <c r="HQ31" s="49"/>
      <c r="HR31" s="49"/>
      <c r="HS31" s="49"/>
      <c r="HT31" s="49"/>
      <c r="HU31" s="49"/>
      <c r="HV31" s="49"/>
      <c r="HW31" s="49"/>
      <c r="HX31" s="49"/>
      <c r="HY31" s="49"/>
    </row>
    <row r="32" spans="1:233" ht="16.95" customHeight="1">
      <c r="A32" s="1"/>
      <c r="B32" s="3"/>
      <c r="C32" s="3"/>
      <c r="D32" s="373" t="str">
        <f ca="1">IF(FN24=0,"","aanbieder verdwenen is. De oude vraag zie je nog op de achtergrond staan.")</f>
        <v/>
      </c>
      <c r="E32" s="376"/>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26"/>
      <c r="FL32" s="26"/>
      <c r="FM32" s="47"/>
      <c r="FN32" s="47"/>
      <c r="FO32" s="47"/>
      <c r="FP32" s="47"/>
      <c r="FQ32" s="47"/>
      <c r="FR32" s="47"/>
      <c r="FS32" s="47"/>
      <c r="FT32" s="47"/>
      <c r="FU32" s="47"/>
      <c r="FV32" s="47"/>
      <c r="FW32" s="47"/>
      <c r="FX32" s="47"/>
      <c r="FY32" s="47"/>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c r="HB32" s="49"/>
      <c r="HC32" s="49"/>
      <c r="HD32" s="49"/>
      <c r="HE32" s="49"/>
      <c r="HF32" s="49"/>
      <c r="HG32" s="49"/>
      <c r="HH32" s="49"/>
      <c r="HI32" s="49"/>
      <c r="HJ32" s="49"/>
      <c r="HK32" s="49"/>
      <c r="HL32" s="49"/>
      <c r="HM32" s="49"/>
      <c r="HN32" s="49"/>
      <c r="HO32" s="49"/>
      <c r="HP32" s="49"/>
      <c r="HQ32" s="49"/>
      <c r="HR32" s="49"/>
      <c r="HS32" s="49"/>
      <c r="HT32" s="49"/>
      <c r="HU32" s="49"/>
      <c r="HV32" s="49"/>
      <c r="HW32" s="49"/>
      <c r="HX32" s="49"/>
      <c r="HY32" s="49"/>
    </row>
    <row r="33" spans="1:233" ht="16.95" customHeight="1">
      <c r="A33" s="1"/>
      <c r="B33" s="3"/>
      <c r="C33" s="3"/>
      <c r="D33" s="373" t="str">
        <f ca="1">IF(FN24=0,"","In de rechtse blauwomrande vak kun je weer kiezen voor andere functie-")</f>
        <v/>
      </c>
      <c r="E33" s="376"/>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26"/>
      <c r="FL33" s="26"/>
      <c r="FM33" s="47"/>
      <c r="FN33" s="47"/>
      <c r="FO33" s="47"/>
      <c r="FP33" s="47"/>
      <c r="FQ33" s="47"/>
      <c r="FR33" s="47"/>
      <c r="FS33" s="47"/>
      <c r="FT33" s="47"/>
      <c r="FU33" s="47"/>
      <c r="FV33" s="47"/>
      <c r="FW33" s="47"/>
      <c r="FX33" s="47"/>
      <c r="FY33" s="47"/>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c r="HC33" s="49"/>
      <c r="HD33" s="49"/>
      <c r="HE33" s="49"/>
      <c r="HF33" s="49"/>
      <c r="HG33" s="49"/>
      <c r="HH33" s="49"/>
      <c r="HI33" s="49"/>
      <c r="HJ33" s="49"/>
      <c r="HK33" s="49"/>
      <c r="HL33" s="49"/>
      <c r="HM33" s="49"/>
      <c r="HN33" s="49"/>
      <c r="HO33" s="49"/>
      <c r="HP33" s="49"/>
      <c r="HQ33" s="49"/>
      <c r="HR33" s="49"/>
      <c r="HS33" s="49"/>
      <c r="HT33" s="49"/>
      <c r="HU33" s="49"/>
      <c r="HV33" s="49"/>
      <c r="HW33" s="49"/>
      <c r="HX33" s="49"/>
      <c r="HY33" s="49"/>
    </row>
    <row r="34" spans="1:233" ht="16.95" customHeight="1">
      <c r="A34" s="1"/>
      <c r="B34" s="3"/>
      <c r="C34" s="3"/>
      <c r="D34" s="373" t="str">
        <f ca="1">IF(FN24=0,"","voorschriften. Pas als je bij beide iets hebt ingevuld, kun je verder.")</f>
        <v/>
      </c>
      <c r="E34" s="376"/>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26"/>
      <c r="FL34" s="26"/>
      <c r="FM34" s="47"/>
      <c r="FN34" s="47"/>
      <c r="FO34" s="47"/>
      <c r="FP34" s="47"/>
      <c r="FQ34" s="47"/>
      <c r="FR34" s="47"/>
      <c r="FS34" s="47"/>
      <c r="FT34" s="47"/>
      <c r="FU34" s="47"/>
      <c r="FV34" s="47"/>
      <c r="FW34" s="47"/>
      <c r="FX34" s="47"/>
      <c r="FY34" s="47"/>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c r="HC34" s="49"/>
      <c r="HD34" s="49"/>
      <c r="HE34" s="49"/>
      <c r="HF34" s="49"/>
      <c r="HG34" s="49"/>
      <c r="HH34" s="49"/>
      <c r="HI34" s="49"/>
      <c r="HJ34" s="49"/>
      <c r="HK34" s="49"/>
      <c r="HL34" s="49"/>
      <c r="HM34" s="49"/>
      <c r="HN34" s="49"/>
      <c r="HO34" s="49"/>
      <c r="HP34" s="49"/>
      <c r="HQ34" s="49"/>
      <c r="HR34" s="49"/>
      <c r="HS34" s="49"/>
      <c r="HT34" s="49"/>
      <c r="HU34" s="49"/>
      <c r="HV34" s="49"/>
      <c r="HW34" s="49"/>
      <c r="HX34" s="49"/>
      <c r="HY34" s="49"/>
    </row>
    <row r="35" spans="1:233" ht="11.25" customHeight="1">
      <c r="A35" s="1"/>
      <c r="B35" s="3"/>
      <c r="C35" s="3"/>
      <c r="D35" s="38"/>
      <c r="E35" s="126"/>
      <c r="F35" s="10"/>
      <c r="G35" s="10"/>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97"/>
      <c r="AY35" s="43"/>
      <c r="AZ35" s="41"/>
      <c r="BA35" s="41"/>
      <c r="BB35" s="41"/>
      <c r="BC35" s="41"/>
      <c r="BD35" s="42"/>
      <c r="BE35" s="41"/>
      <c r="BF35" s="41"/>
      <c r="BG35" s="41"/>
      <c r="BH35" s="41"/>
      <c r="BI35" s="41"/>
      <c r="BJ35" s="41"/>
      <c r="BK35" s="42"/>
      <c r="BL35" s="41"/>
      <c r="BM35" s="41"/>
      <c r="BN35" s="41"/>
      <c r="BO35" s="41"/>
      <c r="BP35" s="41"/>
      <c r="BQ35" s="41"/>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79"/>
      <c r="EW35" s="79"/>
      <c r="EX35" s="79"/>
      <c r="EY35" s="79"/>
      <c r="EZ35" s="79"/>
      <c r="FA35" s="79"/>
      <c r="FB35" s="79"/>
      <c r="FC35" s="79"/>
      <c r="FD35" s="79"/>
      <c r="FE35" s="79"/>
      <c r="FF35" s="79"/>
      <c r="FG35" s="79"/>
      <c r="FH35" s="79"/>
      <c r="FI35" s="79"/>
      <c r="FJ35" s="79"/>
      <c r="FK35" s="79"/>
      <c r="FL35" s="79"/>
      <c r="FM35" s="47"/>
      <c r="FN35" s="47"/>
      <c r="FO35" s="47"/>
      <c r="FP35" s="47"/>
      <c r="FQ35" s="47"/>
      <c r="FR35" s="47"/>
      <c r="FS35" s="47"/>
      <c r="FT35" s="47"/>
      <c r="FU35" s="47"/>
      <c r="FV35" s="47"/>
      <c r="FW35" s="47"/>
      <c r="FX35" s="47"/>
      <c r="FY35" s="47"/>
      <c r="FZ35" s="49"/>
      <c r="GA35" s="49"/>
      <c r="GB35" s="49"/>
      <c r="GC35" s="49" t="s">
        <v>36</v>
      </c>
      <c r="GD35" s="49"/>
      <c r="GE35" s="49" t="e">
        <f ca="1">ROUND(GC27/GC26,2)</f>
        <v>#DIV/0!</v>
      </c>
      <c r="GF35" s="49" t="e">
        <f ca="1">ROUND(1/GC26,3)</f>
        <v>#DIV/0!</v>
      </c>
      <c r="GG35" s="49" t="e">
        <f ca="1">0.8*GF37</f>
        <v>#DIV/0!</v>
      </c>
      <c r="GH35" s="49" t="e">
        <f ca="1">-2*GC40*GH31+GD40</f>
        <v>#DIV/0!</v>
      </c>
      <c r="GI35" s="49" t="s">
        <v>41</v>
      </c>
      <c r="GJ35" s="49" t="e">
        <f ca="1">GG40*GH31^3+GH40*GH31^2+GI40*GH31+GF40</f>
        <v>#VALUE!</v>
      </c>
      <c r="GK35" s="49" t="e">
        <f ca="1">GJ35-GH31*GH35</f>
        <v>#VALUE!</v>
      </c>
      <c r="GL35" s="49" t="e">
        <f ca="1">2*GJ40-(-2*GC40)</f>
        <v>#VALUE!</v>
      </c>
      <c r="GM35" s="49" t="s">
        <v>41</v>
      </c>
      <c r="GN35" s="49" t="e">
        <f ca="1">GJ40*GM29^2+GK40*GM29+GF40</f>
        <v>#VALUE!</v>
      </c>
      <c r="GO35" s="49" t="e">
        <f ca="1">GN35-GM29*GN29</f>
        <v>#VALUE!</v>
      </c>
      <c r="GP35" s="49" t="e">
        <f ca="1">2*GL40-(-2*GC40)</f>
        <v>#VALUE!</v>
      </c>
      <c r="GQ35" s="49" t="s">
        <v>41</v>
      </c>
      <c r="GR35" s="49" t="e">
        <f ca="1">GL40*GQ29^2+GM40*GQ29+GF40</f>
        <v>#VALUE!</v>
      </c>
      <c r="GS35" s="49" t="e">
        <f ca="1">GR35-GQ29*GR29</f>
        <v>#VALUE!</v>
      </c>
      <c r="GT35" s="49"/>
      <c r="GU35" s="49"/>
      <c r="GV35" s="49"/>
      <c r="GW35" s="49"/>
      <c r="GX35" s="49"/>
      <c r="GY35" s="49"/>
      <c r="GZ35" s="49"/>
      <c r="HA35" s="49"/>
      <c r="HB35" s="49"/>
      <c r="HC35" s="49"/>
      <c r="HD35" s="49"/>
      <c r="HE35" s="49"/>
      <c r="HF35" s="49"/>
      <c r="HG35" s="49"/>
      <c r="HH35" s="49"/>
      <c r="HI35" s="49"/>
      <c r="HJ35" s="49"/>
      <c r="HK35" s="49"/>
      <c r="HL35" s="49"/>
      <c r="HM35" s="49"/>
      <c r="HN35" s="49"/>
      <c r="HO35" s="49"/>
      <c r="HP35" s="49"/>
      <c r="HQ35" s="49"/>
      <c r="HR35" s="49"/>
      <c r="HS35" s="49"/>
      <c r="HT35" s="49"/>
      <c r="HU35" s="49"/>
      <c r="HV35" s="49"/>
      <c r="HW35" s="49"/>
      <c r="HX35" s="49"/>
      <c r="HY35" s="49"/>
    </row>
    <row r="36" spans="1:233" ht="3.75" customHeight="1">
      <c r="A36" s="1"/>
      <c r="B36" s="3"/>
      <c r="C36" s="3"/>
      <c r="D36" s="38"/>
      <c r="E36" s="126"/>
      <c r="F36" s="10"/>
      <c r="G36" s="10"/>
      <c r="H36" s="43"/>
      <c r="I36" s="43"/>
      <c r="J36" s="43"/>
      <c r="K36" s="43"/>
      <c r="L36" s="43"/>
      <c r="M36" s="43"/>
      <c r="N36" s="43"/>
      <c r="O36" s="43"/>
      <c r="P36" s="43"/>
      <c r="Q36" s="538" t="str">
        <f ca="1">IF(FN24=0,"",":")</f>
        <v/>
      </c>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538" t="str">
        <f ca="1">IF(FN24=0,"",":")</f>
        <v/>
      </c>
      <c r="DZ36" s="545"/>
      <c r="EA36" s="545"/>
      <c r="EB36" s="545"/>
      <c r="EC36" s="545"/>
      <c r="ED36" s="545"/>
      <c r="EE36" s="545"/>
      <c r="EF36" s="545"/>
      <c r="EG36" s="43"/>
      <c r="EH36" s="43"/>
      <c r="EI36" s="43"/>
      <c r="EJ36" s="43"/>
      <c r="EK36" s="43"/>
      <c r="EL36" s="43"/>
      <c r="EM36" s="43"/>
      <c r="EN36" s="43"/>
      <c r="EO36" s="43"/>
      <c r="EP36" s="43"/>
      <c r="EQ36" s="43"/>
      <c r="ER36" s="43"/>
      <c r="ES36" s="43"/>
      <c r="ET36" s="43"/>
      <c r="EU36" s="43"/>
      <c r="EV36" s="79"/>
      <c r="EW36" s="79"/>
      <c r="EX36" s="79"/>
      <c r="EY36" s="79"/>
      <c r="EZ36" s="79"/>
      <c r="FA36" s="79"/>
      <c r="FB36" s="79"/>
      <c r="FC36" s="79"/>
      <c r="FD36" s="79"/>
      <c r="FE36" s="79"/>
      <c r="FF36" s="79"/>
      <c r="FG36" s="79"/>
      <c r="FH36" s="79"/>
      <c r="FI36" s="79"/>
      <c r="FJ36" s="79"/>
      <c r="FK36" s="79"/>
      <c r="FL36" s="79"/>
      <c r="FM36" s="47"/>
      <c r="FN36" s="119"/>
      <c r="FO36" s="119"/>
      <c r="FP36" s="119"/>
      <c r="FQ36" s="119"/>
      <c r="FR36" s="119"/>
      <c r="FS36" s="119"/>
      <c r="FT36" s="119"/>
      <c r="FU36" s="47"/>
      <c r="FV36" s="47"/>
      <c r="FW36" s="47"/>
      <c r="FX36" s="47"/>
      <c r="FY36" s="47"/>
      <c r="FZ36" s="49"/>
      <c r="GA36" s="49"/>
      <c r="GB36" s="49"/>
      <c r="GC36" s="49"/>
      <c r="GD36" s="49"/>
      <c r="GE36" s="49" t="e">
        <f ca="1">(GC27/GC26)/(1/GC26)</f>
        <v>#DIV/0!</v>
      </c>
      <c r="GF36" s="49" t="e">
        <f ca="1">ROUND(1/GC26,3)</f>
        <v>#DIV/0!</v>
      </c>
      <c r="GG36" s="49" t="e">
        <f ca="1">(GG31+GG37)/2</f>
        <v>#DIV/0!</v>
      </c>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row>
    <row r="37" spans="1:233" ht="16.5" customHeight="1">
      <c r="A37" s="1"/>
      <c r="B37" s="3"/>
      <c r="C37" s="3"/>
      <c r="D37" s="38"/>
      <c r="E37" s="126"/>
      <c r="F37" s="10"/>
      <c r="G37" s="10"/>
      <c r="H37" s="43"/>
      <c r="I37" s="43"/>
      <c r="J37" s="43"/>
      <c r="K37" s="43"/>
      <c r="L37" s="43"/>
      <c r="M37" s="43"/>
      <c r="N37" s="43"/>
      <c r="O37" s="201" t="str">
        <f ca="1">IF(FN24=0,"","Punt:")</f>
        <v/>
      </c>
      <c r="P37" s="43"/>
      <c r="Q37" s="195" t="str">
        <f ca="1">IF(FN24=0,"",":")</f>
        <v/>
      </c>
      <c r="R37" s="624"/>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25"/>
      <c r="AR37" s="625"/>
      <c r="AS37" s="625"/>
      <c r="AT37" s="625"/>
      <c r="AU37" s="625"/>
      <c r="AV37" s="625"/>
      <c r="AW37" s="625"/>
      <c r="AX37" s="625"/>
      <c r="AY37" s="625"/>
      <c r="AZ37" s="625"/>
      <c r="BA37" s="625"/>
      <c r="BB37" s="625"/>
      <c r="BC37" s="625"/>
      <c r="BD37" s="625"/>
      <c r="BE37" s="625"/>
      <c r="BF37" s="625"/>
      <c r="BG37" s="625"/>
      <c r="BH37" s="625"/>
      <c r="BI37" s="625"/>
      <c r="BJ37" s="625"/>
      <c r="BK37" s="625"/>
      <c r="BL37" s="625"/>
      <c r="BM37" s="625"/>
      <c r="BN37" s="625"/>
      <c r="BO37" s="625"/>
      <c r="BP37" s="625"/>
      <c r="BQ37" s="625"/>
      <c r="BR37" s="626"/>
      <c r="BS37" s="626"/>
      <c r="BT37" s="626"/>
      <c r="BU37" s="626"/>
      <c r="BV37" s="626"/>
      <c r="BW37" s="626"/>
      <c r="BX37" s="626"/>
      <c r="BY37" s="626"/>
      <c r="BZ37" s="626"/>
      <c r="CA37" s="626"/>
      <c r="CB37" s="626"/>
      <c r="CC37" s="226" t="str">
        <f ca="1">IF(FN24=0,"",":")</f>
        <v/>
      </c>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201" t="str">
        <f ca="1">IF(FN24=0,"","Functievoorschrift:")</f>
        <v/>
      </c>
      <c r="DX37" s="43"/>
      <c r="DY37" s="195" t="str">
        <f ca="1">IF(FN24=0,"",":")</f>
        <v/>
      </c>
      <c r="DZ37" s="637"/>
      <c r="EA37" s="637"/>
      <c r="EB37" s="637"/>
      <c r="EC37" s="637"/>
      <c r="ED37" s="637"/>
      <c r="EE37" s="637"/>
      <c r="EF37" s="226" t="str">
        <f ca="1">IF(FN24=0,"",":")</f>
        <v/>
      </c>
      <c r="EG37" s="43"/>
      <c r="EH37" s="43"/>
      <c r="EI37" s="43"/>
      <c r="EJ37" s="43"/>
      <c r="EK37" s="43"/>
      <c r="EL37" s="43"/>
      <c r="EM37" s="43"/>
      <c r="EN37" s="43"/>
      <c r="EO37" s="43"/>
      <c r="EP37" s="43"/>
      <c r="EQ37" s="43"/>
      <c r="ER37" s="43"/>
      <c r="ES37" s="43"/>
      <c r="ET37" s="43"/>
      <c r="EU37" s="43"/>
      <c r="EV37" s="79"/>
      <c r="EW37" s="79"/>
      <c r="EX37" s="79"/>
      <c r="EY37" s="79"/>
      <c r="EZ37" s="79"/>
      <c r="FA37" s="79"/>
      <c r="FB37" s="79"/>
      <c r="FC37" s="79"/>
      <c r="FD37" s="79"/>
      <c r="FE37" s="79"/>
      <c r="FF37" s="79"/>
      <c r="FG37" s="79"/>
      <c r="FH37" s="79"/>
      <c r="FI37" s="79"/>
      <c r="FJ37" s="79"/>
      <c r="FK37" s="79"/>
      <c r="FL37" s="79"/>
      <c r="FM37" s="48"/>
      <c r="FN37" s="119">
        <f>IF(R37=FO37,1,IF(R37=FP37,2,1))</f>
        <v>1</v>
      </c>
      <c r="FO37" s="120" t="s">
        <v>93</v>
      </c>
      <c r="FP37" s="120" t="s">
        <v>94</v>
      </c>
      <c r="FQ37" s="120"/>
      <c r="FR37" s="120">
        <v>1</v>
      </c>
      <c r="FS37" s="120">
        <v>2</v>
      </c>
      <c r="FT37" s="119">
        <v>3</v>
      </c>
      <c r="FU37" s="47">
        <v>4</v>
      </c>
      <c r="FV37" s="47">
        <v>5</v>
      </c>
      <c r="FW37" s="47"/>
      <c r="FX37" s="47"/>
      <c r="FY37" s="47"/>
      <c r="FZ37" s="49"/>
      <c r="GA37" s="49"/>
      <c r="GB37" s="49"/>
      <c r="GC37" s="49" t="e">
        <f ca="1">IF(GG31&gt;GG29,GG29,GG31)</f>
        <v>#DIV/0!</v>
      </c>
      <c r="GD37" s="49" t="e">
        <f ca="1">IF(GG31&gt;GG29,GG31,GG29)</f>
        <v>#DIV/0!</v>
      </c>
      <c r="GE37" s="49" t="e">
        <f ca="1">ROUND(GC27/GC26,2)/(ROUND(1/GC26,3)*2)</f>
        <v>#DIV/0!</v>
      </c>
      <c r="GF37" s="49" t="e">
        <f ca="1">GE35*GE37-GF35*GE37^2</f>
        <v>#DIV/0!</v>
      </c>
      <c r="GG37" s="49" t="e">
        <f ca="1">IF(GG35&lt;100,FLOOR(GG35,10),IF(GG35&lt;1000,FLOOR(GG35,100),IF(GG35&lt;10000,FLOOR(GG35,1000),IF(GG35&lt;100000,FLOOR(GG35,10000),IF(GG35&lt;1000000,FLOOR(GG35,100000),IF(GG35&lt;10000000,FLOOR(GG35,1000000),FLOOR(GG35,10000000)))))))</f>
        <v>#DIV/0!</v>
      </c>
      <c r="GH37" s="49" t="e">
        <f ca="1">3*GG40*GH31^2+2*GH40*GH31^1+GI40</f>
        <v>#VALUE!</v>
      </c>
      <c r="GI37" s="49"/>
      <c r="GJ37" s="49"/>
      <c r="GK37" s="49"/>
      <c r="GL37" s="49"/>
      <c r="GM37" s="49"/>
      <c r="GN37" s="49" t="s">
        <v>20</v>
      </c>
      <c r="GO37" s="49" t="s">
        <v>82</v>
      </c>
      <c r="GP37" s="49" t="s">
        <v>83</v>
      </c>
      <c r="GQ37" s="49"/>
      <c r="GR37" s="49"/>
      <c r="GS37" s="49" t="s">
        <v>0</v>
      </c>
      <c r="GT37" s="49" t="s">
        <v>4</v>
      </c>
      <c r="GU37" s="49" t="s">
        <v>95</v>
      </c>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row>
    <row r="38" spans="1:233" ht="3.75" customHeight="1">
      <c r="A38" s="1"/>
      <c r="B38" s="3"/>
      <c r="C38" s="3"/>
      <c r="D38" s="38"/>
      <c r="E38" s="126"/>
      <c r="F38" s="10"/>
      <c r="G38" s="10"/>
      <c r="H38" s="43"/>
      <c r="I38" s="43"/>
      <c r="J38" s="43"/>
      <c r="K38" s="43"/>
      <c r="L38" s="43"/>
      <c r="M38" s="43"/>
      <c r="N38" s="43"/>
      <c r="O38" s="43"/>
      <c r="P38" s="43"/>
      <c r="Q38" s="538" t="str">
        <f ca="1">IF(FN24=0,"",":")</f>
        <v/>
      </c>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538" t="str">
        <f ca="1">IF(FN24=0,"",":")</f>
        <v/>
      </c>
      <c r="DZ38" s="545"/>
      <c r="EA38" s="545"/>
      <c r="EB38" s="545"/>
      <c r="EC38" s="545"/>
      <c r="ED38" s="545"/>
      <c r="EE38" s="545"/>
      <c r="EF38" s="545"/>
      <c r="EG38" s="43"/>
      <c r="EH38" s="43"/>
      <c r="EI38" s="43"/>
      <c r="EJ38" s="43"/>
      <c r="EK38" s="43"/>
      <c r="EL38" s="43"/>
      <c r="EM38" s="43"/>
      <c r="EN38" s="43"/>
      <c r="EO38" s="43"/>
      <c r="EP38" s="43"/>
      <c r="EQ38" s="43"/>
      <c r="ER38" s="43"/>
      <c r="ES38" s="43"/>
      <c r="ET38" s="43"/>
      <c r="EU38" s="43"/>
      <c r="EV38" s="79"/>
      <c r="EW38" s="79"/>
      <c r="EX38" s="79"/>
      <c r="EY38" s="79"/>
      <c r="EZ38" s="79"/>
      <c r="FA38" s="79"/>
      <c r="FB38" s="79"/>
      <c r="FC38" s="79"/>
      <c r="FD38" s="79"/>
      <c r="FE38" s="79"/>
      <c r="FF38" s="79"/>
      <c r="FG38" s="79"/>
      <c r="FH38" s="79"/>
      <c r="FI38" s="79"/>
      <c r="FJ38" s="79"/>
      <c r="FK38" s="79"/>
      <c r="FL38" s="79"/>
      <c r="FM38" s="47"/>
      <c r="FN38" s="119"/>
      <c r="FO38" s="119"/>
      <c r="FP38" s="119"/>
      <c r="FQ38" s="119"/>
      <c r="FR38" s="119"/>
      <c r="FS38" s="119"/>
      <c r="FT38" s="119"/>
      <c r="FU38" s="48"/>
      <c r="FV38" s="48"/>
      <c r="FW38" s="48"/>
      <c r="FX38" s="48"/>
      <c r="FY38" s="48"/>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row>
    <row r="39" spans="1:233" ht="16.5" customHeight="1">
      <c r="A39" s="1"/>
      <c r="B39" s="3"/>
      <c r="C39" s="3"/>
      <c r="D39" s="38"/>
      <c r="E39" s="126"/>
      <c r="F39" s="10"/>
      <c r="G39" s="10"/>
      <c r="H39" s="126"/>
      <c r="I39" s="126"/>
      <c r="J39" s="126"/>
      <c r="K39" s="126"/>
      <c r="L39" s="126"/>
      <c r="M39" s="126"/>
      <c r="N39" s="126"/>
      <c r="O39" s="126"/>
      <c r="P39" s="126"/>
      <c r="Q39" s="126"/>
      <c r="R39" s="126"/>
      <c r="S39" s="126"/>
      <c r="T39" s="126"/>
      <c r="U39" s="126"/>
      <c r="V39" s="126"/>
      <c r="W39" s="126"/>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97"/>
      <c r="AY39" s="43"/>
      <c r="AZ39" s="41"/>
      <c r="BA39" s="41"/>
      <c r="BB39" s="41"/>
      <c r="BC39" s="41"/>
      <c r="BD39" s="42"/>
      <c r="BE39" s="41"/>
      <c r="BF39" s="41"/>
      <c r="BG39" s="41"/>
      <c r="BH39" s="41"/>
      <c r="BI39" s="41"/>
      <c r="BJ39" s="41"/>
      <c r="BK39" s="42"/>
      <c r="BL39" s="41"/>
      <c r="BM39" s="41"/>
      <c r="BN39" s="41"/>
      <c r="BO39" s="41"/>
      <c r="BP39" s="41"/>
      <c r="BQ39" s="41"/>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79"/>
      <c r="EW39" s="79"/>
      <c r="EX39" s="79"/>
      <c r="EY39" s="79"/>
      <c r="EZ39" s="79"/>
      <c r="FA39" s="79"/>
      <c r="FB39" s="79"/>
      <c r="FC39" s="79"/>
      <c r="FD39" s="79"/>
      <c r="FE39" s="79"/>
      <c r="FF39" s="79"/>
      <c r="FG39" s="79"/>
      <c r="FH39" s="79"/>
      <c r="FI39" s="79"/>
      <c r="FJ39" s="79"/>
      <c r="FK39" s="79"/>
      <c r="FL39" s="79"/>
      <c r="FM39" s="79"/>
      <c r="FN39" s="206">
        <f ca="1">IF(FN24=0,0,IF(DZ37="",1,DZ37))</f>
        <v>0</v>
      </c>
      <c r="FO39" s="48"/>
      <c r="FP39" s="47"/>
      <c r="FQ39" s="47"/>
      <c r="FR39" s="48"/>
      <c r="FS39" s="48"/>
      <c r="FT39" s="48"/>
      <c r="FU39" s="48"/>
      <c r="FV39" s="48"/>
      <c r="FW39" s="48"/>
      <c r="FX39" s="48"/>
      <c r="FY39" s="48"/>
      <c r="FZ39" s="49"/>
      <c r="GA39" s="49"/>
      <c r="GB39" s="49"/>
      <c r="GC39" s="49" t="s">
        <v>77</v>
      </c>
      <c r="GD39" s="49"/>
      <c r="GE39" s="49" t="s">
        <v>78</v>
      </c>
      <c r="GF39" s="49"/>
      <c r="GG39" s="49" t="s">
        <v>79</v>
      </c>
      <c r="GH39" s="49"/>
      <c r="GI39" s="49"/>
      <c r="GJ39" s="49" t="s">
        <v>81</v>
      </c>
      <c r="GK39" s="49"/>
      <c r="GL39" s="49" t="s">
        <v>80</v>
      </c>
      <c r="GM39" s="49"/>
      <c r="GN39" s="49" t="e">
        <f ca="1">-GC40</f>
        <v>#DIV/0!</v>
      </c>
      <c r="GO39" s="49" t="e">
        <f ca="1">GD40-GE40</f>
        <v>#DIV/0!</v>
      </c>
      <c r="GP39" s="49" t="e">
        <f ca="1">-GF40</f>
        <v>#DIV/0!</v>
      </c>
      <c r="GQ39" s="49" t="e">
        <f ca="1">-(GO39-(GO39^2-4*GN39*GP39)^0.5)/(2*GN39)</f>
        <v>#DIV/0!</v>
      </c>
      <c r="GR39" s="49" t="e">
        <f ca="1">-(GO39+(GO39^2-4*GN39*GP39)^0.5)/(2*GN39)</f>
        <v>#DIV/0!</v>
      </c>
      <c r="GS39" s="49" t="e">
        <f ca="1">(GF40/GC40)^0.5</f>
        <v>#DIV/0!</v>
      </c>
      <c r="GT39" s="49" t="e">
        <f ca="1">GE40+GF40/GS39</f>
        <v>#DIV/0!</v>
      </c>
      <c r="GU39" s="49" t="e">
        <f ca="1">GT39+GC40*GS39</f>
        <v>#DIV/0!</v>
      </c>
      <c r="GV39" s="49"/>
      <c r="GW39" s="49" t="s">
        <v>0</v>
      </c>
      <c r="GX39" s="49" t="s">
        <v>51</v>
      </c>
      <c r="GY39" s="49" t="s">
        <v>95</v>
      </c>
      <c r="GZ39" s="49"/>
      <c r="HA39" s="49"/>
      <c r="HB39" s="49"/>
      <c r="HC39" s="49"/>
      <c r="HD39" s="49"/>
      <c r="HE39" s="49"/>
      <c r="HF39" s="49"/>
      <c r="HG39" s="49"/>
      <c r="HH39" s="49"/>
      <c r="HI39" s="49"/>
      <c r="HJ39" s="49"/>
      <c r="HK39" s="49"/>
      <c r="HL39" s="49"/>
      <c r="HM39" s="49"/>
      <c r="HN39" s="49"/>
      <c r="HO39" s="49"/>
      <c r="HP39" s="49"/>
      <c r="HQ39" s="49"/>
      <c r="HR39" s="49"/>
      <c r="HS39" s="49"/>
      <c r="HT39" s="49"/>
      <c r="HU39" s="49"/>
      <c r="HV39" s="49"/>
      <c r="HW39" s="49"/>
      <c r="HX39" s="49"/>
      <c r="HY39" s="49"/>
    </row>
    <row r="40" spans="1:233" ht="16.5" customHeight="1">
      <c r="A40" s="1"/>
      <c r="B40" s="3"/>
      <c r="C40" s="3"/>
      <c r="D40" s="38"/>
      <c r="E40" s="126"/>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25"/>
      <c r="AY40" s="26"/>
      <c r="AZ40" s="41"/>
      <c r="BA40" s="41"/>
      <c r="BB40" s="41"/>
      <c r="BC40" s="41"/>
      <c r="BD40" s="42"/>
      <c r="BE40" s="41"/>
      <c r="BF40" s="41"/>
      <c r="BG40" s="41"/>
      <c r="BH40" s="41"/>
      <c r="BI40" s="41"/>
      <c r="BJ40" s="41"/>
      <c r="BK40" s="42"/>
      <c r="BL40" s="41"/>
      <c r="BM40" s="41"/>
      <c r="BN40" s="41"/>
      <c r="BO40" s="41"/>
      <c r="BP40" s="41"/>
      <c r="BQ40" s="41"/>
      <c r="BR40" s="80"/>
      <c r="BS40" s="79"/>
      <c r="BT40" s="79"/>
      <c r="BU40" s="79"/>
      <c r="BV40" s="79"/>
      <c r="BW40" s="79"/>
      <c r="BX40" s="79"/>
      <c r="BY40" s="79"/>
      <c r="BZ40" s="80"/>
      <c r="CA40" s="80"/>
      <c r="CB40" s="80"/>
      <c r="CC40" s="80"/>
      <c r="CD40" s="80"/>
      <c r="CE40" s="80"/>
      <c r="CF40" s="80"/>
      <c r="CG40" s="80"/>
      <c r="CH40" s="80"/>
      <c r="CI40" s="80"/>
      <c r="CJ40" s="80"/>
      <c r="CK40" s="80"/>
      <c r="CL40" s="80"/>
      <c r="CM40" s="80"/>
      <c r="CN40" s="80"/>
      <c r="CO40" s="80"/>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50"/>
      <c r="FO40" s="79"/>
      <c r="FP40" s="47"/>
      <c r="FQ40" s="47"/>
      <c r="FR40" s="48"/>
      <c r="FS40" s="48"/>
      <c r="FT40" s="48"/>
      <c r="FU40" s="48"/>
      <c r="FV40" s="48"/>
      <c r="FW40" s="48"/>
      <c r="FX40" s="48"/>
      <c r="FY40" s="48"/>
      <c r="FZ40" s="49"/>
      <c r="GA40" s="49"/>
      <c r="GB40" s="49"/>
      <c r="GC40" s="49" t="e">
        <f ca="1">1/(Blad1!AA32)</f>
        <v>#DIV/0!</v>
      </c>
      <c r="GD40" s="49">
        <f ca="1">4*Blad1!AA31</f>
        <v>0</v>
      </c>
      <c r="GE40" s="49" t="e">
        <f ca="1">ROUND((GE27+GF27)/2,0)</f>
        <v>#DIV/0!</v>
      </c>
      <c r="GF40" s="49" t="e">
        <f ca="1">ROUND((GC37+GD37)/2,0)</f>
        <v>#DIV/0!</v>
      </c>
      <c r="GG40" s="49" t="e">
        <f ca="1">GM48*GI26/GB53^3</f>
        <v>#VALUE!</v>
      </c>
      <c r="GH40" s="49" t="e">
        <f ca="1">-GM48*GI27/GB53^2</f>
        <v>#VALUE!</v>
      </c>
      <c r="GI40" s="49" t="e">
        <f ca="1">GM48*GI29/GB53^1</f>
        <v>#VALUE!</v>
      </c>
      <c r="GJ40" s="49" t="e">
        <f ca="1">GM48*GL29/GB53^2</f>
        <v>#VALUE!</v>
      </c>
      <c r="GK40" s="49" t="e">
        <f ca="1">GM48*GL31/GB53^1</f>
        <v>#VALUE!</v>
      </c>
      <c r="GL40" s="49" t="e">
        <f ca="1">GM48*GP29/GB53^2</f>
        <v>#VALUE!</v>
      </c>
      <c r="GM40" s="49" t="e">
        <f ca="1">GM48*GP31/GB53^1</f>
        <v>#VALUE!</v>
      </c>
      <c r="GN40" s="49" t="e">
        <f ca="1">-GC40-GJ40</f>
        <v>#DIV/0!</v>
      </c>
      <c r="GO40" s="49" t="e">
        <f ca="1">GD40-GK40</f>
        <v>#VALUE!</v>
      </c>
      <c r="GP40" s="49" t="e">
        <f ca="1">-GF40</f>
        <v>#DIV/0!</v>
      </c>
      <c r="GQ40" s="49" t="e">
        <f ca="1">-(GO40-(GO40^2-4*GN40*GP40)^0.5)/(2*GN40)</f>
        <v>#VALUE!</v>
      </c>
      <c r="GR40" s="49" t="e">
        <f ca="1">-(GO40+(GO40^2-4*GN40*GP40)^0.5)/(2*GN40)</f>
        <v>#VALUE!</v>
      </c>
      <c r="GS40" s="49" t="e">
        <f ca="1">(GF40/(GC40+GJ40))^0.5</f>
        <v>#DIV/0!</v>
      </c>
      <c r="GT40" s="49" t="e">
        <f ca="1">GJ$40*GS40^1+GK$40+GF$40/GS40</f>
        <v>#VALUE!</v>
      </c>
      <c r="GU40" s="49" t="e">
        <f ca="1">GT40+GC40*GS40</f>
        <v>#VALUE!</v>
      </c>
      <c r="GV40" s="49"/>
      <c r="GW40" s="49" t="e">
        <f ca="1">HQ100</f>
        <v>#VALUE!</v>
      </c>
      <c r="GX40" s="49" t="e">
        <f ca="1">GG40*GW40^2+GH40*GW40^1+GI40+GF40/GW40</f>
        <v>#VALUE!</v>
      </c>
      <c r="GY40" s="49" t="e">
        <f ca="1">GX40+GC40*GW40</f>
        <v>#VALUE!</v>
      </c>
      <c r="GZ40" s="49"/>
      <c r="HA40" s="49"/>
      <c r="HB40" s="49"/>
      <c r="HC40" s="49"/>
      <c r="HD40" s="49"/>
      <c r="HE40" s="49"/>
      <c r="HF40" s="49"/>
      <c r="HG40" s="49"/>
      <c r="HH40" s="49"/>
      <c r="HI40" s="49"/>
      <c r="HJ40" s="49"/>
      <c r="HK40" s="49"/>
      <c r="HL40" s="49"/>
      <c r="HM40" s="49"/>
      <c r="HN40" s="49"/>
      <c r="HO40" s="49"/>
      <c r="HP40" s="49"/>
      <c r="HQ40" s="49"/>
      <c r="HR40" s="49"/>
      <c r="HS40" s="49"/>
      <c r="HT40" s="49"/>
      <c r="HU40" s="49"/>
      <c r="HV40" s="49"/>
      <c r="HW40" s="49"/>
      <c r="HX40" s="49"/>
      <c r="HY40" s="49"/>
    </row>
    <row r="41" spans="1:233" ht="16.5" customHeight="1">
      <c r="A41" s="1"/>
      <c r="B41" s="3"/>
      <c r="C41" s="3"/>
      <c r="D41" s="38"/>
      <c r="E41" s="126"/>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25"/>
      <c r="AY41" s="26"/>
      <c r="AZ41" s="41"/>
      <c r="BA41" s="41"/>
      <c r="BB41" s="41"/>
      <c r="BC41" s="41"/>
      <c r="BD41" s="42"/>
      <c r="BE41" s="41"/>
      <c r="BF41" s="41"/>
      <c r="BG41" s="41"/>
      <c r="BH41" s="41"/>
      <c r="BI41" s="41"/>
      <c r="BJ41" s="41"/>
      <c r="BK41" s="42"/>
      <c r="BL41" s="41"/>
      <c r="BM41" s="41"/>
      <c r="BN41" s="41"/>
      <c r="BO41" s="41"/>
      <c r="BP41" s="41"/>
      <c r="BQ41" s="41"/>
      <c r="BR41" s="80"/>
      <c r="BS41" s="79"/>
      <c r="BT41" s="79"/>
      <c r="BU41" s="79"/>
      <c r="BV41" s="79"/>
      <c r="BW41" s="79"/>
      <c r="BX41" s="79"/>
      <c r="BY41" s="79"/>
      <c r="BZ41" s="80"/>
      <c r="CA41" s="80"/>
      <c r="CB41" s="80"/>
      <c r="CC41" s="80"/>
      <c r="CD41" s="80"/>
      <c r="CE41" s="80"/>
      <c r="CF41" s="80"/>
      <c r="CG41" s="80"/>
      <c r="CH41" s="80"/>
      <c r="CI41" s="80"/>
      <c r="CJ41" s="80"/>
      <c r="CK41" s="80"/>
      <c r="CL41" s="80"/>
      <c r="CM41" s="80"/>
      <c r="CN41" s="80"/>
      <c r="CO41" s="80"/>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47"/>
      <c r="FN41" s="47"/>
      <c r="FO41" s="47"/>
      <c r="FP41" s="47"/>
      <c r="FQ41" s="47"/>
      <c r="FR41" s="48"/>
      <c r="FS41" s="48"/>
      <c r="FT41" s="48"/>
      <c r="FU41" s="48"/>
      <c r="FV41" s="48"/>
      <c r="FW41" s="48"/>
      <c r="FX41" s="48"/>
      <c r="FY41" s="48"/>
      <c r="FZ41" s="49"/>
      <c r="GA41" s="49"/>
      <c r="GB41" s="49"/>
      <c r="GC41" s="49"/>
      <c r="GD41" s="49"/>
      <c r="GE41" s="49"/>
      <c r="GF41" s="49"/>
      <c r="GG41" s="49"/>
      <c r="GH41" s="49"/>
      <c r="GI41" s="49"/>
      <c r="GJ41" s="49"/>
      <c r="GK41" s="49"/>
      <c r="GL41" s="49"/>
      <c r="GM41" s="49"/>
      <c r="GN41" s="49" t="e">
        <f ca="1">-GC40-GL40</f>
        <v>#DIV/0!</v>
      </c>
      <c r="GO41" s="49" t="e">
        <f ca="1">GD40-GM40</f>
        <v>#VALUE!</v>
      </c>
      <c r="GP41" s="49" t="e">
        <f ca="1">-GF40</f>
        <v>#DIV/0!</v>
      </c>
      <c r="GQ41" s="49" t="e">
        <f ca="1">-(GO41-(GO41^2-4*GN41*GP41)^0.5)/(2*GN41)</f>
        <v>#VALUE!</v>
      </c>
      <c r="GR41" s="49" t="e">
        <f ca="1">-(GO41+(GO41^2-4*GN41*GP41)^0.5)/(2*GN41)</f>
        <v>#VALUE!</v>
      </c>
      <c r="GS41" s="49" t="e">
        <f ca="1">(GF40/(GC40+GL40))^0.5</f>
        <v>#DIV/0!</v>
      </c>
      <c r="GT41" s="49" t="e">
        <f ca="1">GL$40*GS41^1+GM40+GF$40/GS41</f>
        <v>#VALUE!</v>
      </c>
      <c r="GU41" s="49" t="e">
        <f ca="1">GT41+GC40*GS41</f>
        <v>#VALUE!</v>
      </c>
      <c r="GV41" s="49"/>
      <c r="GW41" s="49">
        <v>230</v>
      </c>
      <c r="GX41" s="49"/>
      <c r="GY41" s="49"/>
      <c r="GZ41" s="49"/>
      <c r="HA41" s="49"/>
      <c r="HB41" s="49"/>
      <c r="HC41" s="49"/>
      <c r="HD41" s="49"/>
      <c r="HE41" s="49"/>
      <c r="HF41" s="49"/>
      <c r="HG41" s="49"/>
      <c r="HH41" s="49"/>
      <c r="HI41" s="49"/>
      <c r="HJ41" s="49"/>
      <c r="HK41" s="49"/>
      <c r="HL41" s="49"/>
      <c r="HM41" s="49"/>
      <c r="HN41" s="49"/>
      <c r="HO41" s="49"/>
      <c r="HP41" s="49"/>
      <c r="HQ41" s="49"/>
      <c r="HR41" s="49"/>
      <c r="HS41" s="49"/>
      <c r="HT41" s="49"/>
      <c r="HU41" s="49"/>
      <c r="HV41" s="49"/>
      <c r="HW41" s="49"/>
      <c r="HX41" s="49"/>
      <c r="HY41" s="49"/>
    </row>
    <row r="42" spans="1:233" ht="16.5" customHeight="1">
      <c r="A42" s="1"/>
      <c r="B42" s="3"/>
      <c r="C42" s="3"/>
      <c r="D42" s="38"/>
      <c r="E42" s="126"/>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25"/>
      <c r="AY42" s="26"/>
      <c r="AZ42" s="41"/>
      <c r="BA42" s="41"/>
      <c r="BB42" s="41"/>
      <c r="BC42" s="41"/>
      <c r="BD42" s="42"/>
      <c r="BE42" s="41"/>
      <c r="BF42" s="41"/>
      <c r="BG42" s="41"/>
      <c r="BH42" s="41"/>
      <c r="BI42" s="41"/>
      <c r="BJ42" s="41"/>
      <c r="BK42" s="42"/>
      <c r="BL42" s="41"/>
      <c r="BM42" s="41"/>
      <c r="BN42" s="41"/>
      <c r="BO42" s="41"/>
      <c r="BP42" s="41"/>
      <c r="BQ42" s="41"/>
      <c r="BR42" s="80"/>
      <c r="BS42" s="79"/>
      <c r="BT42" s="79"/>
      <c r="BU42" s="79"/>
      <c r="BV42" s="79"/>
      <c r="BW42" s="79"/>
      <c r="BX42" s="79"/>
      <c r="BY42" s="79"/>
      <c r="BZ42" s="80"/>
      <c r="CA42" s="80"/>
      <c r="CB42" s="80"/>
      <c r="CC42" s="80"/>
      <c r="CD42" s="80"/>
      <c r="CE42" s="80"/>
      <c r="CF42" s="80"/>
      <c r="CG42" s="80"/>
      <c r="CH42" s="80"/>
      <c r="CI42" s="80"/>
      <c r="CJ42" s="80"/>
      <c r="CK42" s="80"/>
      <c r="CL42" s="80"/>
      <c r="CM42" s="80"/>
      <c r="CN42" s="80"/>
      <c r="CO42" s="80"/>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47"/>
      <c r="FN42" s="47"/>
      <c r="FO42" s="47"/>
      <c r="FP42" s="47"/>
      <c r="FQ42" s="47"/>
      <c r="FR42" s="48"/>
      <c r="FS42" s="48"/>
      <c r="FT42" s="48"/>
      <c r="FU42" s="48"/>
      <c r="FV42" s="48"/>
      <c r="FW42" s="48"/>
      <c r="FX42" s="48"/>
      <c r="FY42" s="48"/>
      <c r="FZ42" s="49"/>
      <c r="GA42" s="49"/>
      <c r="GB42" s="49" t="s">
        <v>0</v>
      </c>
      <c r="GC42" s="49" t="s">
        <v>22</v>
      </c>
      <c r="GD42" s="49" t="s">
        <v>37</v>
      </c>
      <c r="GE42" s="49" t="s">
        <v>50</v>
      </c>
      <c r="GF42" s="49" t="s">
        <v>57</v>
      </c>
      <c r="GG42" s="49"/>
      <c r="GH42" s="49" t="s">
        <v>60</v>
      </c>
      <c r="GI42" s="49"/>
      <c r="GJ42" s="49" t="s">
        <v>71</v>
      </c>
      <c r="GK42" s="49" t="s">
        <v>72</v>
      </c>
      <c r="GL42" s="49" t="s">
        <v>73</v>
      </c>
      <c r="GM42" s="49" t="s">
        <v>5</v>
      </c>
      <c r="GN42" s="49" t="s">
        <v>3</v>
      </c>
      <c r="GO42" s="49" t="s">
        <v>58</v>
      </c>
      <c r="GP42" s="49" t="s">
        <v>88</v>
      </c>
      <c r="GQ42" s="49" t="s">
        <v>60</v>
      </c>
      <c r="GR42" s="49" t="s">
        <v>100</v>
      </c>
      <c r="GS42" s="49" t="s">
        <v>2</v>
      </c>
      <c r="GT42" s="49" t="s">
        <v>73</v>
      </c>
      <c r="GU42" s="49" t="s">
        <v>60</v>
      </c>
      <c r="GV42" s="49"/>
      <c r="GW42" s="49"/>
      <c r="GX42" s="49" t="s">
        <v>96</v>
      </c>
      <c r="GY42" s="49" t="s">
        <v>97</v>
      </c>
      <c r="GZ42" s="49" t="s">
        <v>98</v>
      </c>
      <c r="HA42" s="49" t="s">
        <v>99</v>
      </c>
      <c r="HB42" s="49"/>
      <c r="HC42" s="49" t="s">
        <v>76</v>
      </c>
      <c r="HD42" s="49"/>
      <c r="HE42" s="49"/>
      <c r="HF42" s="49"/>
      <c r="HG42" s="49"/>
      <c r="HH42" s="49"/>
      <c r="HI42" s="49"/>
      <c r="HJ42" s="49"/>
      <c r="HK42" s="49"/>
      <c r="HL42" s="49"/>
      <c r="HM42" s="49"/>
      <c r="HN42" s="49"/>
      <c r="HO42" s="49"/>
      <c r="HP42" s="49"/>
      <c r="HQ42" s="49"/>
      <c r="HR42" s="49"/>
      <c r="HS42" s="49" t="s">
        <v>159</v>
      </c>
      <c r="HT42" s="49" t="s">
        <v>160</v>
      </c>
      <c r="HU42" s="49"/>
      <c r="HV42" s="49"/>
      <c r="HW42" s="49"/>
      <c r="HX42" s="49"/>
      <c r="HY42" s="49"/>
    </row>
    <row r="43" spans="1:233" ht="16.5" customHeight="1">
      <c r="A43" s="1"/>
      <c r="B43" s="3"/>
      <c r="C43" s="3"/>
      <c r="D43" s="38"/>
      <c r="E43" s="126"/>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25"/>
      <c r="AY43" s="26"/>
      <c r="AZ43" s="41"/>
      <c r="BA43" s="41"/>
      <c r="BB43" s="41"/>
      <c r="BC43" s="41"/>
      <c r="BD43" s="42"/>
      <c r="BE43" s="41"/>
      <c r="BF43" s="41"/>
      <c r="BG43" s="41"/>
      <c r="BH43" s="41"/>
      <c r="BI43" s="41"/>
      <c r="BJ43" s="41"/>
      <c r="BK43" s="42"/>
      <c r="BL43" s="41"/>
      <c r="BM43" s="41"/>
      <c r="BN43" s="41"/>
      <c r="BO43" s="41"/>
      <c r="BP43" s="41"/>
      <c r="BQ43" s="41"/>
      <c r="BR43" s="80"/>
      <c r="BS43" s="79"/>
      <c r="BT43" s="79"/>
      <c r="BU43" s="79"/>
      <c r="BV43" s="79"/>
      <c r="BW43" s="79"/>
      <c r="BX43" s="79"/>
      <c r="BY43" s="79"/>
      <c r="BZ43" s="80"/>
      <c r="CA43" s="80"/>
      <c r="CB43" s="80"/>
      <c r="CC43" s="80"/>
      <c r="CD43" s="80"/>
      <c r="CE43" s="80"/>
      <c r="CF43" s="80"/>
      <c r="CG43" s="80"/>
      <c r="CH43" s="80"/>
      <c r="CI43" s="80"/>
      <c r="CJ43" s="80"/>
      <c r="CK43" s="80"/>
      <c r="CL43" s="80"/>
      <c r="CM43" s="80"/>
      <c r="CN43" s="80"/>
      <c r="CO43" s="80"/>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47"/>
      <c r="FN43" s="47"/>
      <c r="FO43" s="47"/>
      <c r="FP43" s="47"/>
      <c r="FQ43" s="47"/>
      <c r="FR43" s="48"/>
      <c r="FS43" s="48"/>
      <c r="FT43" s="48"/>
      <c r="FU43" s="48"/>
      <c r="FV43" s="48"/>
      <c r="FW43" s="48"/>
      <c r="FX43" s="48"/>
      <c r="FY43" s="94"/>
      <c r="FZ43" s="49"/>
      <c r="GA43" s="49">
        <f ca="1">IF(FO1=1,GF40/(1.1*GD40-GE40),0)</f>
        <v>0</v>
      </c>
      <c r="GB43" s="49" t="str">
        <f ca="1">IF(FO1=1,0,"")</f>
        <v/>
      </c>
      <c r="GC43" s="49">
        <f ca="1">IF(FO1=1,-GC40*GB43+GD40,0)</f>
        <v>0</v>
      </c>
      <c r="GD43" s="49">
        <f t="shared" ref="GD43:GD48" ca="1" si="0">IF(FO$1=0,0,IF(FN$37=1,-2*GC$40*GB43+GD$40,0))</f>
        <v>0</v>
      </c>
      <c r="GE43" s="49">
        <f ca="1">IF(FO1=1,GE40+GF40/GA43,0)</f>
        <v>0</v>
      </c>
      <c r="GF43" s="49">
        <f ca="1">IF(FO1=1,GE40,0)</f>
        <v>0</v>
      </c>
      <c r="GG43" s="49"/>
      <c r="GH43" s="49">
        <f t="shared" ref="GH43:GH52" ca="1" si="1">IF(FO$1=0,0,GH$53)</f>
        <v>0</v>
      </c>
      <c r="GI43" s="49">
        <f ca="1">0*GI53</f>
        <v>0</v>
      </c>
      <c r="GJ43" s="49">
        <f ca="1">0*GJ53</f>
        <v>0</v>
      </c>
      <c r="GK43" s="49">
        <f ca="1">GK53</f>
        <v>0</v>
      </c>
      <c r="GL43" s="49">
        <f ca="1">GL53</f>
        <v>0</v>
      </c>
      <c r="GM43" s="49">
        <f ca="1">IF(FO1=0,0,-GC40*GB43^2+GD40*GB43)</f>
        <v>0</v>
      </c>
      <c r="GN43" s="49">
        <f ca="1">IF(FO1=0,0,GE40*GB43+GF40)</f>
        <v>0</v>
      </c>
      <c r="GO43" s="49">
        <f ca="1">IF(FO1=0,0,IF(FN37=1,GE40*GP43+GF40+GD31,0))</f>
        <v>0</v>
      </c>
      <c r="GP43" s="49">
        <f ca="1">IF(FO1=0,0,IF(FN37=1,GH43-2*GB44,0))</f>
        <v>0</v>
      </c>
      <c r="GQ43" s="49">
        <f t="shared" ref="GQ43:GQ52" ca="1" si="2">IF(FO$1=0,0,IF(FN$37=1,GQ$53,IF(FN$37=2,GQ$53,0)))</f>
        <v>0</v>
      </c>
      <c r="GR43" s="49">
        <f ca="1">0*GR53</f>
        <v>0</v>
      </c>
      <c r="GS43" s="49">
        <f ca="1">IF(FO1=1,GE40*GB43,0)</f>
        <v>0</v>
      </c>
      <c r="GT43" s="49">
        <f ca="1">GT53</f>
        <v>0</v>
      </c>
      <c r="GU43" s="49">
        <f ca="1">IF(FO1=0,0,IF(FN37=3,GU53,0))</f>
        <v>0</v>
      </c>
      <c r="GV43" s="49">
        <f ca="1">0*GV53</f>
        <v>0</v>
      </c>
      <c r="GW43" s="49">
        <f ca="1">0*GW53</f>
        <v>0</v>
      </c>
      <c r="GX43" s="49">
        <f ca="1">0*GX53</f>
        <v>0</v>
      </c>
      <c r="GY43" s="49">
        <f t="shared" ref="GY43:GY53" ca="1" si="3">IF(FO$1=0,0,IF(FN$37=1,0,-GC$40*GX43^2+GU$39*GX43))</f>
        <v>0</v>
      </c>
      <c r="GZ43" s="49">
        <f ca="1">IF(FO$1=0,0,IF(FN$37=1,0,IF(FN$37=2,-GC$40*GX43+GU$39)))</f>
        <v>0</v>
      </c>
      <c r="HA43" s="49">
        <f t="shared" ref="HA43:HA48" ca="1" si="4">IF(FO$1=0,0,IF(FN$37=1,0,IF(FN$37=2,-2*GC$40*GX43+GU$39,0)))</f>
        <v>0</v>
      </c>
      <c r="HB43" s="49"/>
      <c r="HC43" s="49" t="str">
        <f ca="1">GB58</f>
        <v/>
      </c>
      <c r="HD43" s="49" t="e">
        <f ca="1">HB101*HC43^3+HB102*HC43^2+HB103*HC43+HB104</f>
        <v>#VALUE!</v>
      </c>
      <c r="HE43" s="49"/>
      <c r="HF43" s="49" t="str">
        <f ca="1">GB49</f>
        <v/>
      </c>
      <c r="HG43" s="49" t="e">
        <f ca="1">HB101*HF43^3+HB102*HF43^2+HB103*HF43+HB104</f>
        <v>#VALUE!</v>
      </c>
      <c r="HH43" s="49"/>
      <c r="HI43" s="49" t="str">
        <f ca="1">GB70</f>
        <v/>
      </c>
      <c r="HJ43" s="49" t="e">
        <f ca="1">GG40*HI43^3+GH40*HI43^2+GI40*HI43+GF40+GC75</f>
        <v>#VALUE!</v>
      </c>
      <c r="HK43" s="49"/>
      <c r="HL43" s="49" t="str">
        <f ca="1">HC43</f>
        <v/>
      </c>
      <c r="HM43" s="49"/>
      <c r="HN43" s="49"/>
      <c r="HO43" s="49" t="str">
        <f ca="1">HC43</f>
        <v/>
      </c>
      <c r="HP43" s="49" t="e">
        <f ca="1">HN101*HO43^3+HN102*HO43^2+HN103*HO43+HN104</f>
        <v>#VALUE!</v>
      </c>
      <c r="HQ43" s="49"/>
      <c r="HR43" s="49"/>
      <c r="HS43" s="49">
        <f ca="1">IF(FO$1=0,0,IF(FN$37=2,0,-GC$40*GB43+GD$40))</f>
        <v>0</v>
      </c>
      <c r="HT43" s="49">
        <f t="shared" ref="HT43:HT52" ca="1" si="5">IF(FO$1=0,0,IF(FN$37=2,0,-GC$40*GB43^2+GD$40*GB43))</f>
        <v>0</v>
      </c>
      <c r="HU43" s="216">
        <f ca="1">0*HU53</f>
        <v>0</v>
      </c>
      <c r="HV43" s="49">
        <f ca="1">HV53</f>
        <v>0</v>
      </c>
      <c r="HW43" s="49"/>
      <c r="HX43" s="49"/>
      <c r="HY43" s="49"/>
    </row>
    <row r="44" spans="1:233" ht="16.5" customHeight="1">
      <c r="A44" s="1"/>
      <c r="B44" s="3"/>
      <c r="C44" s="3"/>
      <c r="D44" s="38"/>
      <c r="E44" s="126"/>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25"/>
      <c r="AY44" s="26"/>
      <c r="AZ44" s="41"/>
      <c r="BA44" s="41"/>
      <c r="BB44" s="41"/>
      <c r="BC44" s="41"/>
      <c r="BD44" s="42"/>
      <c r="BE44" s="41"/>
      <c r="BF44" s="41"/>
      <c r="BG44" s="41"/>
      <c r="BH44" s="41"/>
      <c r="BI44" s="41"/>
      <c r="BJ44" s="41"/>
      <c r="BK44" s="42"/>
      <c r="BL44" s="41"/>
      <c r="BM44" s="41"/>
      <c r="BN44" s="41"/>
      <c r="BO44" s="41"/>
      <c r="BP44" s="41"/>
      <c r="BQ44" s="41"/>
      <c r="BR44" s="80"/>
      <c r="BS44" s="79"/>
      <c r="BT44" s="79"/>
      <c r="BU44" s="79"/>
      <c r="BV44" s="79"/>
      <c r="BW44" s="79"/>
      <c r="BX44" s="79"/>
      <c r="BY44" s="79"/>
      <c r="BZ44" s="80"/>
      <c r="CA44" s="80"/>
      <c r="CB44" s="80"/>
      <c r="CC44" s="80"/>
      <c r="CD44" s="80"/>
      <c r="CE44" s="80"/>
      <c r="CF44" s="80"/>
      <c r="CG44" s="80"/>
      <c r="CH44" s="80"/>
      <c r="CI44" s="80"/>
      <c r="CJ44" s="80"/>
      <c r="CK44" s="80"/>
      <c r="CL44" s="80"/>
      <c r="CM44" s="80"/>
      <c r="CN44" s="80"/>
      <c r="CO44" s="80"/>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47"/>
      <c r="FN44" s="47"/>
      <c r="FO44" s="47"/>
      <c r="FP44" s="47"/>
      <c r="FQ44" s="47"/>
      <c r="FR44" s="48"/>
      <c r="FS44" s="48"/>
      <c r="FT44" s="48"/>
      <c r="FU44" s="48"/>
      <c r="FV44" s="48"/>
      <c r="FW44" s="48"/>
      <c r="FX44" s="48"/>
      <c r="FY44" s="48"/>
      <c r="FZ44" s="49"/>
      <c r="GA44" s="49">
        <f ca="1">IF(FO1=1,(GA43+GA45)/2,0)</f>
        <v>0</v>
      </c>
      <c r="GB44" s="49" t="str">
        <f ca="1">IF(FO1=1,0.1*(GD40/GC40),"")</f>
        <v/>
      </c>
      <c r="GC44" s="49">
        <f ca="1">IF(FO1=1,-GC40*GB44+GD40,0)</f>
        <v>0</v>
      </c>
      <c r="GD44" s="49">
        <f t="shared" ca="1" si="0"/>
        <v>0</v>
      </c>
      <c r="GE44" s="49">
        <f ca="1">IF(FO1=1,GE40+GF40/GA44,0)</f>
        <v>0</v>
      </c>
      <c r="GF44" s="49">
        <f ca="1">IF(FO1=1,GE40,0)</f>
        <v>0</v>
      </c>
      <c r="GG44" s="49"/>
      <c r="GH44" s="49">
        <f t="shared" ca="1" si="1"/>
        <v>0</v>
      </c>
      <c r="GI44" s="49">
        <f ca="1">IF(FO1=1,0.1*GI53,0)</f>
        <v>0</v>
      </c>
      <c r="GJ44" s="49">
        <f ca="1">0.1*GJ53</f>
        <v>0</v>
      </c>
      <c r="GK44" s="49">
        <f ca="1">GK53</f>
        <v>0</v>
      </c>
      <c r="GL44" s="49">
        <f ca="1">GL53</f>
        <v>0</v>
      </c>
      <c r="GM44" s="49">
        <f ca="1">IF(FO1=0,0,-GC40*GB44^2+GD40*GB44)</f>
        <v>0</v>
      </c>
      <c r="GN44" s="49">
        <f ca="1">IF(FO1=0,0,GE40*GB44+GF40)</f>
        <v>0</v>
      </c>
      <c r="GO44" s="49">
        <f ca="1">IF(FO1=0,0,IF(FN37=1,GE40*GP44+GF40+GD31,0))</f>
        <v>0</v>
      </c>
      <c r="GP44" s="49">
        <f ca="1">IF(FO1=0,0,IF(FN37=1,GH43-1*GB44,0))</f>
        <v>0</v>
      </c>
      <c r="GQ44" s="49">
        <f t="shared" ca="1" si="2"/>
        <v>0</v>
      </c>
      <c r="GR44" s="49">
        <f ca="1">0.1*GR53</f>
        <v>0</v>
      </c>
      <c r="GS44" s="49">
        <f ca="1">IF(FO1=1,GE40*GB44,0)</f>
        <v>0</v>
      </c>
      <c r="GT44" s="49">
        <f ca="1">GT53</f>
        <v>0</v>
      </c>
      <c r="GU44" s="49">
        <f ca="1">IF(FO1=0,0,IF(FN37=3,GU53,0))</f>
        <v>0</v>
      </c>
      <c r="GV44" s="49">
        <f ca="1">0.1*GV53</f>
        <v>0</v>
      </c>
      <c r="GW44" s="49">
        <f ca="1">IF(FO1=1,0.1*GW53,0)</f>
        <v>0</v>
      </c>
      <c r="GX44" s="49">
        <f ca="1">0.1*GX53</f>
        <v>0</v>
      </c>
      <c r="GY44" s="49">
        <f t="shared" ca="1" si="3"/>
        <v>0</v>
      </c>
      <c r="GZ44" s="49">
        <f t="shared" ref="GZ44:GZ53" ca="1" si="6">IF(FO$1=0,0,IF(FN$37=1,0,IF(FN$37=2,-GC$40*GX44+GU$39)))</f>
        <v>0</v>
      </c>
      <c r="HA44" s="49">
        <f t="shared" ca="1" si="4"/>
        <v>0</v>
      </c>
      <c r="HB44" s="49">
        <v>1</v>
      </c>
      <c r="HC44" s="49" t="e">
        <f ca="1">HC43+HB44*(HC100-HC43)/HB99</f>
        <v>#VALUE!</v>
      </c>
      <c r="HD44" s="49" t="e">
        <f ca="1">HB101*HC44^3+HB102*HC44^2+HB103*HC44+HB104</f>
        <v>#VALUE!</v>
      </c>
      <c r="HE44" s="49" t="e">
        <f t="shared" ref="HE44:HE91" ca="1" si="7">IF(AND(HD44&gt;=0,HD43&lt;0),HC43-HD43/(HD44-HD43)*(HC44-HC43),0)</f>
        <v>#VALUE!</v>
      </c>
      <c r="HF44" s="49" t="e">
        <f ca="1">HF43+HB44*(HF100-HF43)/HB99</f>
        <v>#VALUE!</v>
      </c>
      <c r="HG44" s="49" t="e">
        <f ca="1">HB101*HF44^3+HB102*HF44^2+HB103*HF44+HB104</f>
        <v>#VALUE!</v>
      </c>
      <c r="HH44" s="49" t="e">
        <f t="shared" ref="HH44:HH63" ca="1" si="8">IF(AND(HG44&lt;0,HG43&gt;=0),HF43-HG43/(HG44-HG43)*(HF44-HF43),0)</f>
        <v>#VALUE!</v>
      </c>
      <c r="HI44" s="49" t="e">
        <f ca="1">HI43+HB44*(HI100-HI43)/HB99</f>
        <v>#VALUE!</v>
      </c>
      <c r="HJ44" s="49" t="e">
        <f ca="1">GG40*HI44^3+GH40*HI44^2+GI40*HI44+GF40+GC75</f>
        <v>#VALUE!</v>
      </c>
      <c r="HK44" s="49" t="e">
        <f t="shared" ref="HK44:HK99" ca="1" si="9">IF(AND(HJ44&gt;=0,HJ43&lt;0),HI43-HJ43/(HJ44-HJ43)*(HI44-HI43),0)</f>
        <v>#VALUE!</v>
      </c>
      <c r="HL44" s="49" t="e">
        <f t="shared" ref="HL44:HL100" ca="1" si="10">HC44</f>
        <v>#VALUE!</v>
      </c>
      <c r="HM44" s="49" t="e">
        <f t="shared" ref="HM44:HM81" ca="1" si="11">GG$40*HL44^2+GH$40*HL44^1+GI$40+GF$40/HL44-1.1*GD$40</f>
        <v>#VALUE!</v>
      </c>
      <c r="HN44" s="49" t="e">
        <f t="shared" ref="HN44:HN99" ca="1" si="12">IF(AND(HM44&lt;0,HM43&gt;=0),HL43-HM43/(HM44-HM43)*(HL44-HL43),0)</f>
        <v>#VALUE!</v>
      </c>
      <c r="HO44" s="49" t="e">
        <f t="shared" ref="HO44:HO63" ca="1" si="13">HO$43+HB44*(HO$100-HO$43)/HB$99</f>
        <v>#VALUE!</v>
      </c>
      <c r="HP44" s="49" t="e">
        <f t="shared" ref="HP44:HP63" ca="1" si="14">HB$101*HO44^3+HB$102*HO44^2+(HR44-GI$40)*HO44+HB$104</f>
        <v>#VALUE!</v>
      </c>
      <c r="HQ44" s="49" t="e">
        <f t="shared" ref="HQ44:HQ99" ca="1" si="15">IF(AND(HP44&gt;=-2,HP43&lt;-2),HO43-HP43/(HP44-HP43)*(HO44-HO43),0)</f>
        <v>#VALUE!</v>
      </c>
      <c r="HR44" s="49" t="e">
        <f ca="1">3*GG$40*HO44^2+(2*GH$40+2*GC$40)*HO44+GI$40</f>
        <v>#VALUE!</v>
      </c>
      <c r="HS44" s="49">
        <f t="shared" ref="HS44:HS52" ca="1" si="16">IF(FO$1=0,0,IF(FN$37=2,0,-GC$40*GB44+GD$40))</f>
        <v>0</v>
      </c>
      <c r="HT44" s="49">
        <f t="shared" ca="1" si="5"/>
        <v>0</v>
      </c>
      <c r="HU44" s="216">
        <f ca="1">0.1*HU53</f>
        <v>0</v>
      </c>
      <c r="HV44" s="49">
        <f ca="1">HV53</f>
        <v>0</v>
      </c>
      <c r="HW44" s="49"/>
      <c r="HX44" s="49"/>
      <c r="HY44" s="49"/>
    </row>
    <row r="45" spans="1:233" ht="16.5" customHeight="1">
      <c r="A45" s="1"/>
      <c r="B45" s="3"/>
      <c r="C45" s="3"/>
      <c r="D45" s="38"/>
      <c r="E45" s="126"/>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25"/>
      <c r="AY45" s="26"/>
      <c r="AZ45" s="41"/>
      <c r="BA45" s="41"/>
      <c r="BB45" s="41"/>
      <c r="BC45" s="41"/>
      <c r="BD45" s="42"/>
      <c r="BE45" s="41"/>
      <c r="BF45" s="41"/>
      <c r="BG45" s="41"/>
      <c r="BH45" s="41"/>
      <c r="BI45" s="41"/>
      <c r="BJ45" s="41"/>
      <c r="BK45" s="42"/>
      <c r="BL45" s="41"/>
      <c r="BM45" s="41"/>
      <c r="BN45" s="41"/>
      <c r="BO45" s="41"/>
      <c r="BP45" s="41"/>
      <c r="BQ45" s="41"/>
      <c r="BR45" s="80"/>
      <c r="BS45" s="79"/>
      <c r="BT45" s="79"/>
      <c r="BU45" s="79"/>
      <c r="BV45" s="79"/>
      <c r="BW45" s="79"/>
      <c r="BX45" s="79"/>
      <c r="BY45" s="79"/>
      <c r="BZ45" s="80"/>
      <c r="CA45" s="80"/>
      <c r="CB45" s="80"/>
      <c r="CC45" s="80"/>
      <c r="CD45" s="80"/>
      <c r="CE45" s="80"/>
      <c r="CF45" s="80"/>
      <c r="CG45" s="80"/>
      <c r="CH45" s="80"/>
      <c r="CI45" s="80"/>
      <c r="CJ45" s="80"/>
      <c r="CK45" s="80"/>
      <c r="CL45" s="80"/>
      <c r="CM45" s="80"/>
      <c r="CN45" s="80"/>
      <c r="CO45" s="80"/>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47"/>
      <c r="FN45" s="47"/>
      <c r="FO45" s="47"/>
      <c r="FP45" s="47"/>
      <c r="FQ45" s="47"/>
      <c r="FR45" s="48"/>
      <c r="FS45" s="48"/>
      <c r="FT45" s="48"/>
      <c r="FU45" s="48"/>
      <c r="FV45" s="48"/>
      <c r="FW45" s="48"/>
      <c r="FX45" s="48"/>
      <c r="FY45" s="48"/>
      <c r="FZ45" s="49"/>
      <c r="GA45" s="49" t="str">
        <f t="shared" ref="GA45:GA52" ca="1" si="17">GB45</f>
        <v/>
      </c>
      <c r="GB45" s="49" t="str">
        <f ca="1">IF(FO1=1,0.2*(GD40/GC40),"")</f>
        <v/>
      </c>
      <c r="GC45" s="49">
        <f ca="1">IF(FO1=1,-GC40*GB45+GD40,0)</f>
        <v>0</v>
      </c>
      <c r="GD45" s="49">
        <f t="shared" ca="1" si="0"/>
        <v>0</v>
      </c>
      <c r="GE45" s="49">
        <f ca="1">IF(FO1=1,GE40+GF40/GA45,0)</f>
        <v>0</v>
      </c>
      <c r="GF45" s="49">
        <f ca="1">IF(FO1=1,GE40,0)</f>
        <v>0</v>
      </c>
      <c r="GG45" s="49"/>
      <c r="GH45" s="49">
        <f t="shared" ca="1" si="1"/>
        <v>0</v>
      </c>
      <c r="GI45" s="49">
        <f ca="1">IF(FO1=1,0.2*GI53,0)</f>
        <v>0</v>
      </c>
      <c r="GJ45" s="49">
        <f ca="1">0.2*GJ53</f>
        <v>0</v>
      </c>
      <c r="GK45" s="49">
        <f ca="1">GK53</f>
        <v>0</v>
      </c>
      <c r="GL45" s="49">
        <f ca="1">GL53</f>
        <v>0</v>
      </c>
      <c r="GM45" s="49">
        <f ca="1">IF(FO1=0,0,-GC40*GB45^2+GD40*GB45)</f>
        <v>0</v>
      </c>
      <c r="GN45" s="49">
        <f ca="1">IF(FO1=0,0,GE40*GB45+GF40)</f>
        <v>0</v>
      </c>
      <c r="GO45" s="49">
        <f ca="1">IF(FO1=0,0,IF(FN37=1,GE40*GP45+GF40+GD31,0))</f>
        <v>0</v>
      </c>
      <c r="GP45" s="49">
        <f ca="1">IF(FO1=0,0,IF(FN37=1,GH43,0))</f>
        <v>0</v>
      </c>
      <c r="GQ45" s="49">
        <f t="shared" ca="1" si="2"/>
        <v>0</v>
      </c>
      <c r="GR45" s="49">
        <f ca="1">0.2*GR53</f>
        <v>0</v>
      </c>
      <c r="GS45" s="49">
        <f ca="1">IF(FO1=1,GE40*GB45,0)</f>
        <v>0</v>
      </c>
      <c r="GT45" s="49">
        <f ca="1">GT53</f>
        <v>0</v>
      </c>
      <c r="GU45" s="49">
        <f ca="1">IF(FO1=0,0,IF(FN37=3,GU53,0))</f>
        <v>0</v>
      </c>
      <c r="GV45" s="49">
        <f ca="1">0.2*GV53</f>
        <v>0</v>
      </c>
      <c r="GW45" s="49">
        <f ca="1">IF(FO1=1,0.2*GW53,0)</f>
        <v>0</v>
      </c>
      <c r="GX45" s="49">
        <f ca="1">0.2*GX53</f>
        <v>0</v>
      </c>
      <c r="GY45" s="49">
        <f t="shared" ca="1" si="3"/>
        <v>0</v>
      </c>
      <c r="GZ45" s="49">
        <f t="shared" ca="1" si="6"/>
        <v>0</v>
      </c>
      <c r="HA45" s="49">
        <f t="shared" ca="1" si="4"/>
        <v>0</v>
      </c>
      <c r="HB45" s="49">
        <v>2</v>
      </c>
      <c r="HC45" s="49" t="e">
        <f ca="1">HC43+HB45*(HC100-HC43)/HB99</f>
        <v>#VALUE!</v>
      </c>
      <c r="HD45" s="49" t="e">
        <f ca="1">HB101*HC45^3+HB102*HC45^2+HB103*HC45+HB104</f>
        <v>#VALUE!</v>
      </c>
      <c r="HE45" s="49" t="e">
        <f t="shared" ca="1" si="7"/>
        <v>#VALUE!</v>
      </c>
      <c r="HF45" s="49" t="e">
        <f ca="1">HF43+HB45*(HF100-HF43)/HB99</f>
        <v>#VALUE!</v>
      </c>
      <c r="HG45" s="49" t="e">
        <f ca="1">HB101*HF45^3+HB102*HF45^2+HB103*HF45+HB104</f>
        <v>#VALUE!</v>
      </c>
      <c r="HH45" s="49" t="e">
        <f t="shared" ca="1" si="8"/>
        <v>#VALUE!</v>
      </c>
      <c r="HI45" s="49" t="e">
        <f ca="1">HI43+HB45*(HI100-HI43)/HB99</f>
        <v>#VALUE!</v>
      </c>
      <c r="HJ45" s="49" t="e">
        <f ca="1">GG40*HI45^3+GH40*HI45^2+GI40*HI45+GF40+GC75</f>
        <v>#VALUE!</v>
      </c>
      <c r="HK45" s="49" t="e">
        <f t="shared" ca="1" si="9"/>
        <v>#VALUE!</v>
      </c>
      <c r="HL45" s="49" t="e">
        <f t="shared" ca="1" si="10"/>
        <v>#VALUE!</v>
      </c>
      <c r="HM45" s="49" t="e">
        <f t="shared" ca="1" si="11"/>
        <v>#VALUE!</v>
      </c>
      <c r="HN45" s="49" t="e">
        <f t="shared" ca="1" si="12"/>
        <v>#VALUE!</v>
      </c>
      <c r="HO45" s="49" t="e">
        <f t="shared" ca="1" si="13"/>
        <v>#VALUE!</v>
      </c>
      <c r="HP45" s="49" t="e">
        <f t="shared" ca="1" si="14"/>
        <v>#VALUE!</v>
      </c>
      <c r="HQ45" s="49" t="e">
        <f t="shared" ca="1" si="15"/>
        <v>#VALUE!</v>
      </c>
      <c r="HR45" s="49" t="e">
        <f t="shared" ref="HR45:HR99" ca="1" si="18">3*GG$40*HO45^2+(2*GH$40+2*GC$40)*HO45+GI$40</f>
        <v>#VALUE!</v>
      </c>
      <c r="HS45" s="49">
        <f t="shared" ca="1" si="16"/>
        <v>0</v>
      </c>
      <c r="HT45" s="49">
        <f t="shared" ca="1" si="5"/>
        <v>0</v>
      </c>
      <c r="HU45" s="216">
        <f ca="1">0.2*HU53</f>
        <v>0</v>
      </c>
      <c r="HV45" s="49">
        <f ca="1">HV53</f>
        <v>0</v>
      </c>
      <c r="HW45" s="49"/>
      <c r="HX45" s="49"/>
      <c r="HY45" s="49"/>
    </row>
    <row r="46" spans="1:233" ht="16.5" customHeight="1">
      <c r="A46" s="1"/>
      <c r="B46" s="3"/>
      <c r="C46" s="3"/>
      <c r="D46" s="38"/>
      <c r="E46" s="126"/>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25"/>
      <c r="AY46" s="26"/>
      <c r="AZ46" s="41"/>
      <c r="BA46" s="41"/>
      <c r="BB46" s="41"/>
      <c r="BC46" s="41"/>
      <c r="BD46" s="42"/>
      <c r="BE46" s="41"/>
      <c r="BF46" s="41"/>
      <c r="BG46" s="41"/>
      <c r="BH46" s="41"/>
      <c r="BI46" s="41"/>
      <c r="BJ46" s="41"/>
      <c r="BK46" s="42"/>
      <c r="BL46" s="41"/>
      <c r="BM46" s="41"/>
      <c r="BN46" s="41"/>
      <c r="BO46" s="41"/>
      <c r="BP46" s="41"/>
      <c r="BQ46" s="41"/>
      <c r="BR46" s="80"/>
      <c r="BS46" s="79"/>
      <c r="BT46" s="79"/>
      <c r="BU46" s="79"/>
      <c r="BV46" s="79"/>
      <c r="BW46" s="79"/>
      <c r="BX46" s="79"/>
      <c r="BY46" s="79"/>
      <c r="BZ46" s="80"/>
      <c r="CA46" s="80"/>
      <c r="CB46" s="80"/>
      <c r="CC46" s="80"/>
      <c r="CD46" s="80"/>
      <c r="CE46" s="80"/>
      <c r="CF46" s="80"/>
      <c r="CG46" s="80"/>
      <c r="CH46" s="80"/>
      <c r="CI46" s="80"/>
      <c r="CJ46" s="80"/>
      <c r="CK46" s="80"/>
      <c r="CL46" s="80"/>
      <c r="CM46" s="80"/>
      <c r="CN46" s="80"/>
      <c r="CO46" s="80"/>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47"/>
      <c r="FN46" s="47"/>
      <c r="FO46" s="47"/>
      <c r="FP46" s="47"/>
      <c r="FQ46" s="47"/>
      <c r="FR46" s="48"/>
      <c r="FS46" s="48"/>
      <c r="FT46" s="48"/>
      <c r="FU46" s="48"/>
      <c r="FV46" s="48"/>
      <c r="FW46" s="48"/>
      <c r="FX46" s="48"/>
      <c r="FY46" s="48"/>
      <c r="FZ46" s="49"/>
      <c r="GA46" s="49" t="str">
        <f t="shared" ca="1" si="17"/>
        <v/>
      </c>
      <c r="GB46" s="49" t="str">
        <f ca="1">IF(FO1=1,0.3*(GD40/GC40),"")</f>
        <v/>
      </c>
      <c r="GC46" s="49">
        <f ca="1">IF(FO1=1,-GC40*GB46+GD40,0)</f>
        <v>0</v>
      </c>
      <c r="GD46" s="49">
        <f t="shared" ca="1" si="0"/>
        <v>0</v>
      </c>
      <c r="GE46" s="49">
        <f ca="1">IF(FO1=1,GE40+GF40/GA46,0)</f>
        <v>0</v>
      </c>
      <c r="GF46" s="49">
        <f ca="1">IF(FO1=1,GE40,0)</f>
        <v>0</v>
      </c>
      <c r="GG46" s="49"/>
      <c r="GH46" s="49">
        <f t="shared" ca="1" si="1"/>
        <v>0</v>
      </c>
      <c r="GI46" s="49">
        <f ca="1">IF(FO1=1,0.3*GI53,0)</f>
        <v>0</v>
      </c>
      <c r="GJ46" s="49">
        <f ca="1">0.3*GJ53</f>
        <v>0</v>
      </c>
      <c r="GK46" s="49">
        <f ca="1">GK53</f>
        <v>0</v>
      </c>
      <c r="GL46" s="49">
        <f ca="1">GL53</f>
        <v>0</v>
      </c>
      <c r="GM46" s="49">
        <f ca="1">IF(FO1=0,0,-GC40*GB46^2+GD40*GB46)</f>
        <v>0</v>
      </c>
      <c r="GN46" s="49">
        <f ca="1">IF(FO1=0,0,GE40*GB46+GF40)</f>
        <v>0</v>
      </c>
      <c r="GO46" s="49">
        <f ca="1">IF(FO1=0,0,IF(FN37=1,GE40*GP46+GF40+GD31,0))</f>
        <v>0</v>
      </c>
      <c r="GP46" s="49">
        <f ca="1">IF(FO1=0,0,IF(FN37=1,GH43+1*GB44,0))</f>
        <v>0</v>
      </c>
      <c r="GQ46" s="49">
        <f t="shared" ca="1" si="2"/>
        <v>0</v>
      </c>
      <c r="GR46" s="49">
        <f ca="1">0.3*GR53</f>
        <v>0</v>
      </c>
      <c r="GS46" s="49">
        <f ca="1">IF(FO1=1,GE40*GB46,0)</f>
        <v>0</v>
      </c>
      <c r="GT46" s="49">
        <f ca="1">GT53</f>
        <v>0</v>
      </c>
      <c r="GU46" s="49">
        <f ca="1">IF(FO1=0,0,IF(FN37=3,GU53,0))</f>
        <v>0</v>
      </c>
      <c r="GV46" s="49">
        <f ca="1">0.3*GV53</f>
        <v>0</v>
      </c>
      <c r="GW46" s="49">
        <f ca="1">IF(FO1=1,0.3*GW53,0)</f>
        <v>0</v>
      </c>
      <c r="GX46" s="49">
        <f ca="1">0.3*GX53</f>
        <v>0</v>
      </c>
      <c r="GY46" s="49">
        <f t="shared" ca="1" si="3"/>
        <v>0</v>
      </c>
      <c r="GZ46" s="49">
        <f t="shared" ca="1" si="6"/>
        <v>0</v>
      </c>
      <c r="HA46" s="49">
        <f t="shared" ca="1" si="4"/>
        <v>0</v>
      </c>
      <c r="HB46" s="49">
        <v>3</v>
      </c>
      <c r="HC46" s="49" t="e">
        <f ca="1">HC43+HB46*(HC100-HC43)/HB99</f>
        <v>#VALUE!</v>
      </c>
      <c r="HD46" s="49" t="e">
        <f ca="1">HB101*HC46^3+HB102*HC46^2+HB103*HC46+HB104</f>
        <v>#VALUE!</v>
      </c>
      <c r="HE46" s="49" t="e">
        <f t="shared" ca="1" si="7"/>
        <v>#VALUE!</v>
      </c>
      <c r="HF46" s="49" t="e">
        <f ca="1">HF43+HB46*(HF100-HF43)/HB99</f>
        <v>#VALUE!</v>
      </c>
      <c r="HG46" s="49" t="e">
        <f ca="1">HB101*HF46^3+HB102*HF46^2+HB103*HF46+HB104</f>
        <v>#VALUE!</v>
      </c>
      <c r="HH46" s="49" t="e">
        <f t="shared" ca="1" si="8"/>
        <v>#VALUE!</v>
      </c>
      <c r="HI46" s="49" t="e">
        <f ca="1">HI43+HB46*(HI100-HI43)/HB99</f>
        <v>#VALUE!</v>
      </c>
      <c r="HJ46" s="49" t="e">
        <f ca="1">GG40*HI46^3+GH40*HI46^2+GI40*HI46+GF40+GC75</f>
        <v>#VALUE!</v>
      </c>
      <c r="HK46" s="49" t="e">
        <f t="shared" ca="1" si="9"/>
        <v>#VALUE!</v>
      </c>
      <c r="HL46" s="49" t="e">
        <f t="shared" ca="1" si="10"/>
        <v>#VALUE!</v>
      </c>
      <c r="HM46" s="49" t="e">
        <f t="shared" ca="1" si="11"/>
        <v>#VALUE!</v>
      </c>
      <c r="HN46" s="49" t="e">
        <f t="shared" ca="1" si="12"/>
        <v>#VALUE!</v>
      </c>
      <c r="HO46" s="49" t="e">
        <f t="shared" ca="1" si="13"/>
        <v>#VALUE!</v>
      </c>
      <c r="HP46" s="49" t="e">
        <f t="shared" ca="1" si="14"/>
        <v>#VALUE!</v>
      </c>
      <c r="HQ46" s="49" t="e">
        <f t="shared" ca="1" si="15"/>
        <v>#VALUE!</v>
      </c>
      <c r="HR46" s="49" t="e">
        <f t="shared" ca="1" si="18"/>
        <v>#VALUE!</v>
      </c>
      <c r="HS46" s="49">
        <f t="shared" ca="1" si="16"/>
        <v>0</v>
      </c>
      <c r="HT46" s="49">
        <f t="shared" ca="1" si="5"/>
        <v>0</v>
      </c>
      <c r="HU46" s="216">
        <f ca="1">0.3*HU53</f>
        <v>0</v>
      </c>
      <c r="HV46" s="49">
        <f ca="1">HV53</f>
        <v>0</v>
      </c>
      <c r="HW46" s="49"/>
      <c r="HX46" s="49"/>
      <c r="HY46" s="49"/>
    </row>
    <row r="47" spans="1:233" ht="16.5" customHeight="1">
      <c r="A47" s="1"/>
      <c r="B47" s="3"/>
      <c r="C47" s="3"/>
      <c r="D47" s="38"/>
      <c r="E47" s="126"/>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25"/>
      <c r="AY47" s="26"/>
      <c r="AZ47" s="41"/>
      <c r="BA47" s="41"/>
      <c r="BB47" s="41"/>
      <c r="BC47" s="41"/>
      <c r="BD47" s="42"/>
      <c r="BE47" s="41"/>
      <c r="BF47" s="41"/>
      <c r="BG47" s="41"/>
      <c r="BH47" s="41"/>
      <c r="BI47" s="41"/>
      <c r="BJ47" s="41"/>
      <c r="BK47" s="42"/>
      <c r="BL47" s="41"/>
      <c r="BM47" s="41"/>
      <c r="BN47" s="41"/>
      <c r="BO47" s="41"/>
      <c r="BP47" s="41"/>
      <c r="BQ47" s="41"/>
      <c r="BR47" s="80"/>
      <c r="BS47" s="79"/>
      <c r="BT47" s="79"/>
      <c r="BU47" s="79"/>
      <c r="BV47" s="79"/>
      <c r="BW47" s="79"/>
      <c r="BX47" s="79"/>
      <c r="BY47" s="79"/>
      <c r="BZ47" s="80"/>
      <c r="CA47" s="80"/>
      <c r="CB47" s="80"/>
      <c r="CC47" s="80"/>
      <c r="CD47" s="80"/>
      <c r="CE47" s="80"/>
      <c r="CF47" s="80"/>
      <c r="CG47" s="80"/>
      <c r="CH47" s="80"/>
      <c r="CI47" s="80"/>
      <c r="CJ47" s="80"/>
      <c r="CK47" s="80"/>
      <c r="CL47" s="80"/>
      <c r="CM47" s="80"/>
      <c r="CN47" s="80"/>
      <c r="CO47" s="80"/>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47"/>
      <c r="FN47" s="47"/>
      <c r="FO47" s="47"/>
      <c r="FP47" s="47"/>
      <c r="FQ47" s="47"/>
      <c r="FR47" s="48"/>
      <c r="FS47" s="48"/>
      <c r="FT47" s="48"/>
      <c r="FU47" s="48"/>
      <c r="FV47" s="48"/>
      <c r="FW47" s="48"/>
      <c r="FX47" s="48"/>
      <c r="FY47" s="48"/>
      <c r="FZ47" s="49"/>
      <c r="GA47" s="49" t="str">
        <f t="shared" ca="1" si="17"/>
        <v/>
      </c>
      <c r="GB47" s="49" t="str">
        <f ca="1">IF(FO1=1,0.4*(GD40/GC40),"")</f>
        <v/>
      </c>
      <c r="GC47" s="49">
        <f ca="1">IF(FO1=1,-GC40*GB47+GD40,0)</f>
        <v>0</v>
      </c>
      <c r="GD47" s="49">
        <f t="shared" ca="1" si="0"/>
        <v>0</v>
      </c>
      <c r="GE47" s="49">
        <f ca="1">IF(FO1=1,GE40+GF40/GA47,0)</f>
        <v>0</v>
      </c>
      <c r="GF47" s="49">
        <f ca="1">IF(FO1=1,GE40,0)</f>
        <v>0</v>
      </c>
      <c r="GG47" s="49"/>
      <c r="GH47" s="49">
        <f t="shared" ca="1" si="1"/>
        <v>0</v>
      </c>
      <c r="GI47" s="49">
        <f ca="1">IF(FO1=1,0.4*GI53,0)</f>
        <v>0</v>
      </c>
      <c r="GJ47" s="49">
        <f ca="1">0.4*GJ53</f>
        <v>0</v>
      </c>
      <c r="GK47" s="49">
        <f ca="1">GK53</f>
        <v>0</v>
      </c>
      <c r="GL47" s="49">
        <f ca="1">GL53</f>
        <v>0</v>
      </c>
      <c r="GM47" s="49">
        <f ca="1">IF(FO1=0,0,-GC40*GB47^2+GD40*GB47)</f>
        <v>0</v>
      </c>
      <c r="GN47" s="49">
        <f ca="1">IF(FO1=0,0,GE40*GB47+GF40)</f>
        <v>0</v>
      </c>
      <c r="GO47" s="49">
        <f ca="1">IF(FO1=0,0,IF(FN37=1,GE40*GP47+GF40+GD31,0))</f>
        <v>0</v>
      </c>
      <c r="GP47" s="49">
        <f ca="1">IF(FO1=0,0,IF(FN37=1,GH43+2*GB44,0))</f>
        <v>0</v>
      </c>
      <c r="GQ47" s="49">
        <f t="shared" ca="1" si="2"/>
        <v>0</v>
      </c>
      <c r="GR47" s="49">
        <f ca="1">0.4*GR53</f>
        <v>0</v>
      </c>
      <c r="GS47" s="49">
        <f ca="1">IF(FO1=1,GE40*GB47,0)</f>
        <v>0</v>
      </c>
      <c r="GT47" s="49">
        <f ca="1">GT53</f>
        <v>0</v>
      </c>
      <c r="GU47" s="49">
        <f ca="1">IF(FO1=0,0,IF(FN37=3,GU53,0))</f>
        <v>0</v>
      </c>
      <c r="GV47" s="49">
        <f ca="1">0.4*GV53</f>
        <v>0</v>
      </c>
      <c r="GW47" s="49">
        <f ca="1">IF(FO1=1,0.4*GW53,0)</f>
        <v>0</v>
      </c>
      <c r="GX47" s="49">
        <f ca="1">0.4*GX53</f>
        <v>0</v>
      </c>
      <c r="GY47" s="49">
        <f t="shared" ca="1" si="3"/>
        <v>0</v>
      </c>
      <c r="GZ47" s="49">
        <f t="shared" ca="1" si="6"/>
        <v>0</v>
      </c>
      <c r="HA47" s="49">
        <f t="shared" ca="1" si="4"/>
        <v>0</v>
      </c>
      <c r="HB47" s="49">
        <v>4</v>
      </c>
      <c r="HC47" s="49" t="e">
        <f ca="1">HC43+HB47*(HC100-HC43)/HB99</f>
        <v>#VALUE!</v>
      </c>
      <c r="HD47" s="49" t="e">
        <f ca="1">HB101*HC47^3+HB102*HC47^2+HB103*HC47+HB104</f>
        <v>#VALUE!</v>
      </c>
      <c r="HE47" s="49" t="e">
        <f t="shared" ca="1" si="7"/>
        <v>#VALUE!</v>
      </c>
      <c r="HF47" s="49" t="e">
        <f ca="1">HF43+HB47*(HF100-HF43)/HB99</f>
        <v>#VALUE!</v>
      </c>
      <c r="HG47" s="49" t="e">
        <f ca="1">HB101*HF47^3+HB102*HF47^2+HB103*HF47+HB104</f>
        <v>#VALUE!</v>
      </c>
      <c r="HH47" s="49" t="e">
        <f t="shared" ca="1" si="8"/>
        <v>#VALUE!</v>
      </c>
      <c r="HI47" s="49" t="e">
        <f ca="1">HI43+HB47*(HI100-HI43)/HB99</f>
        <v>#VALUE!</v>
      </c>
      <c r="HJ47" s="49" t="e">
        <f ca="1">GG40*HI47^3+GH40*HI47^2+GI40*HI47+GF40+GC75</f>
        <v>#VALUE!</v>
      </c>
      <c r="HK47" s="49" t="e">
        <f t="shared" ca="1" si="9"/>
        <v>#VALUE!</v>
      </c>
      <c r="HL47" s="49" t="e">
        <f t="shared" ca="1" si="10"/>
        <v>#VALUE!</v>
      </c>
      <c r="HM47" s="49" t="e">
        <f t="shared" ca="1" si="11"/>
        <v>#VALUE!</v>
      </c>
      <c r="HN47" s="49" t="e">
        <f t="shared" ca="1" si="12"/>
        <v>#VALUE!</v>
      </c>
      <c r="HO47" s="49" t="e">
        <f t="shared" ca="1" si="13"/>
        <v>#VALUE!</v>
      </c>
      <c r="HP47" s="49" t="e">
        <f t="shared" ca="1" si="14"/>
        <v>#VALUE!</v>
      </c>
      <c r="HQ47" s="49" t="e">
        <f t="shared" ca="1" si="15"/>
        <v>#VALUE!</v>
      </c>
      <c r="HR47" s="49" t="e">
        <f t="shared" ca="1" si="18"/>
        <v>#VALUE!</v>
      </c>
      <c r="HS47" s="49">
        <f t="shared" ca="1" si="16"/>
        <v>0</v>
      </c>
      <c r="HT47" s="49">
        <f t="shared" ca="1" si="5"/>
        <v>0</v>
      </c>
      <c r="HU47" s="216">
        <f ca="1">0.4*HU53</f>
        <v>0</v>
      </c>
      <c r="HV47" s="49">
        <f ca="1">HV53</f>
        <v>0</v>
      </c>
      <c r="HW47" s="49"/>
      <c r="HX47" s="49"/>
      <c r="HY47" s="49"/>
    </row>
    <row r="48" spans="1:233" ht="16.5" customHeight="1">
      <c r="A48" s="1"/>
      <c r="B48" s="3"/>
      <c r="C48" s="3"/>
      <c r="D48" s="38"/>
      <c r="E48" s="126"/>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25"/>
      <c r="AY48" s="26"/>
      <c r="AZ48" s="41"/>
      <c r="BA48" s="41"/>
      <c r="BB48" s="41"/>
      <c r="BC48" s="41"/>
      <c r="BD48" s="42"/>
      <c r="BE48" s="41"/>
      <c r="BF48" s="41"/>
      <c r="BG48" s="41"/>
      <c r="BH48" s="41"/>
      <c r="BI48" s="41"/>
      <c r="BJ48" s="41"/>
      <c r="BK48" s="42"/>
      <c r="BL48" s="41"/>
      <c r="BM48" s="41"/>
      <c r="BN48" s="41"/>
      <c r="BO48" s="41"/>
      <c r="BP48" s="41"/>
      <c r="BQ48" s="41"/>
      <c r="BR48" s="80"/>
      <c r="BS48" s="79"/>
      <c r="BT48" s="79"/>
      <c r="BU48" s="79"/>
      <c r="BV48" s="79"/>
      <c r="BW48" s="79"/>
      <c r="BX48" s="79"/>
      <c r="BY48" s="79"/>
      <c r="BZ48" s="80"/>
      <c r="CA48" s="80"/>
      <c r="CB48" s="80"/>
      <c r="CC48" s="80"/>
      <c r="CD48" s="80"/>
      <c r="CE48" s="80"/>
      <c r="CF48" s="80"/>
      <c r="CG48" s="80"/>
      <c r="CH48" s="80"/>
      <c r="CI48" s="80"/>
      <c r="CJ48" s="80"/>
      <c r="CK48" s="80"/>
      <c r="CL48" s="80"/>
      <c r="CM48" s="80"/>
      <c r="CN48" s="80"/>
      <c r="CO48" s="80"/>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47"/>
      <c r="FN48" s="47"/>
      <c r="FO48" s="47"/>
      <c r="FP48" s="47"/>
      <c r="FQ48" s="47"/>
      <c r="FR48" s="48"/>
      <c r="FS48" s="48"/>
      <c r="FT48" s="48"/>
      <c r="FU48" s="48"/>
      <c r="FV48" s="48"/>
      <c r="FW48" s="48"/>
      <c r="FX48" s="48"/>
      <c r="FY48" s="48"/>
      <c r="FZ48" s="49"/>
      <c r="GA48" s="49" t="str">
        <f t="shared" ca="1" si="17"/>
        <v/>
      </c>
      <c r="GB48" s="49" t="str">
        <f ca="1">IF(FO1=1,0.5*(GD40/GC40),"")</f>
        <v/>
      </c>
      <c r="GC48" s="49">
        <f ca="1">IF(FO1=1,-GC40*GB48+GD40,0)</f>
        <v>0</v>
      </c>
      <c r="GD48" s="49">
        <f t="shared" ca="1" si="0"/>
        <v>0</v>
      </c>
      <c r="GE48" s="49">
        <f ca="1">IF(FO1=1,GE40+GF40/GA48,0)</f>
        <v>0</v>
      </c>
      <c r="GF48" s="49">
        <f ca="1">IF(FO1=1,GE40,0)</f>
        <v>0</v>
      </c>
      <c r="GG48" s="49"/>
      <c r="GH48" s="49">
        <f t="shared" ca="1" si="1"/>
        <v>0</v>
      </c>
      <c r="GI48" s="49">
        <f ca="1">IF(FO1=1,0.5*GI53,0)</f>
        <v>0</v>
      </c>
      <c r="GJ48" s="49">
        <f ca="1">0.5*GJ53</f>
        <v>0</v>
      </c>
      <c r="GK48" s="49">
        <f ca="1">GK53</f>
        <v>0</v>
      </c>
      <c r="GL48" s="49">
        <f ca="1">GL53</f>
        <v>0</v>
      </c>
      <c r="GM48" s="49">
        <f ca="1">IF(FO1=0,0,-GC40*GB48^2+GD40*GB48)</f>
        <v>0</v>
      </c>
      <c r="GN48" s="49">
        <f ca="1">IF(FO1=0,0,GE40*GB48+GF40)</f>
        <v>0</v>
      </c>
      <c r="GO48" s="49"/>
      <c r="GP48" s="49"/>
      <c r="GQ48" s="49">
        <f t="shared" ca="1" si="2"/>
        <v>0</v>
      </c>
      <c r="GR48" s="49">
        <f ca="1">0.5*GR53</f>
        <v>0</v>
      </c>
      <c r="GS48" s="49">
        <f ca="1">IF(FO1=1,GE40*GB48,0)</f>
        <v>0</v>
      </c>
      <c r="GT48" s="49">
        <f ca="1">GT53</f>
        <v>0</v>
      </c>
      <c r="GU48" s="49">
        <f ca="1">IF(FO1=0,0,IF(FN37=3,GU53,0))</f>
        <v>0</v>
      </c>
      <c r="GV48" s="49">
        <f ca="1">0.5*GV53</f>
        <v>0</v>
      </c>
      <c r="GW48" s="49">
        <f ca="1">IF(FO1=1,0.5*GW53,0)</f>
        <v>0</v>
      </c>
      <c r="GX48" s="49">
        <f ca="1">0.5*GX53</f>
        <v>0</v>
      </c>
      <c r="GY48" s="49">
        <f t="shared" ca="1" si="3"/>
        <v>0</v>
      </c>
      <c r="GZ48" s="49">
        <f t="shared" ca="1" si="6"/>
        <v>0</v>
      </c>
      <c r="HA48" s="49">
        <f t="shared" ca="1" si="4"/>
        <v>0</v>
      </c>
      <c r="HB48" s="49">
        <v>5</v>
      </c>
      <c r="HC48" s="49" t="e">
        <f ca="1">HC43+HB48*(HC100-HC43)/HB99</f>
        <v>#VALUE!</v>
      </c>
      <c r="HD48" s="49" t="e">
        <f ca="1">HB101*HC48^3+HB102*HC48^2+HB103*HC48+HB104</f>
        <v>#VALUE!</v>
      </c>
      <c r="HE48" s="49" t="e">
        <f t="shared" ca="1" si="7"/>
        <v>#VALUE!</v>
      </c>
      <c r="HF48" s="49" t="e">
        <f ca="1">HF43+HB48*(HF100-HF43)/HB99</f>
        <v>#VALUE!</v>
      </c>
      <c r="HG48" s="49" t="e">
        <f ca="1">HB101*HF48^3+HB102*HF48^2+HB103*HF48+HB104</f>
        <v>#VALUE!</v>
      </c>
      <c r="HH48" s="49" t="e">
        <f t="shared" ca="1" si="8"/>
        <v>#VALUE!</v>
      </c>
      <c r="HI48" s="49" t="e">
        <f ca="1">HI43+HB48*(HI100-HI43)/HB99</f>
        <v>#VALUE!</v>
      </c>
      <c r="HJ48" s="49" t="e">
        <f ca="1">GG40*HI48^3+GH40*HI48^2+GI40*HI48+GF40+GC75</f>
        <v>#VALUE!</v>
      </c>
      <c r="HK48" s="49" t="e">
        <f t="shared" ca="1" si="9"/>
        <v>#VALUE!</v>
      </c>
      <c r="HL48" s="49" t="e">
        <f t="shared" ca="1" si="10"/>
        <v>#VALUE!</v>
      </c>
      <c r="HM48" s="49" t="e">
        <f t="shared" ca="1" si="11"/>
        <v>#VALUE!</v>
      </c>
      <c r="HN48" s="49" t="e">
        <f t="shared" ca="1" si="12"/>
        <v>#VALUE!</v>
      </c>
      <c r="HO48" s="49" t="e">
        <f t="shared" ca="1" si="13"/>
        <v>#VALUE!</v>
      </c>
      <c r="HP48" s="49" t="e">
        <f t="shared" ca="1" si="14"/>
        <v>#VALUE!</v>
      </c>
      <c r="HQ48" s="49" t="e">
        <f t="shared" ca="1" si="15"/>
        <v>#VALUE!</v>
      </c>
      <c r="HR48" s="49" t="e">
        <f t="shared" ca="1" si="18"/>
        <v>#VALUE!</v>
      </c>
      <c r="HS48" s="49">
        <f t="shared" ca="1" si="16"/>
        <v>0</v>
      </c>
      <c r="HT48" s="49">
        <f t="shared" ca="1" si="5"/>
        <v>0</v>
      </c>
      <c r="HU48" s="216">
        <f ca="1">0.5*HU53</f>
        <v>0</v>
      </c>
      <c r="HV48" s="49">
        <f ca="1">HV53</f>
        <v>0</v>
      </c>
      <c r="HW48" s="49"/>
      <c r="HX48" s="49"/>
      <c r="HY48" s="49"/>
    </row>
    <row r="49" spans="1:233" ht="16.5" customHeight="1">
      <c r="A49" s="1"/>
      <c r="B49" s="3"/>
      <c r="C49" s="3"/>
      <c r="D49" s="38"/>
      <c r="E49" s="126"/>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25"/>
      <c r="AY49" s="26"/>
      <c r="AZ49" s="41"/>
      <c r="BA49" s="41"/>
      <c r="BB49" s="41"/>
      <c r="BC49" s="41"/>
      <c r="BD49" s="42"/>
      <c r="BE49" s="41"/>
      <c r="BF49" s="41"/>
      <c r="BG49" s="41"/>
      <c r="BH49" s="41"/>
      <c r="BI49" s="41"/>
      <c r="BJ49" s="41"/>
      <c r="BK49" s="42"/>
      <c r="BL49" s="41"/>
      <c r="BM49" s="41"/>
      <c r="BN49" s="41"/>
      <c r="BO49" s="41"/>
      <c r="BP49" s="41"/>
      <c r="BQ49" s="41"/>
      <c r="BR49" s="80"/>
      <c r="BS49" s="79"/>
      <c r="BT49" s="79"/>
      <c r="BU49" s="79"/>
      <c r="BV49" s="79"/>
      <c r="BW49" s="79"/>
      <c r="BX49" s="79"/>
      <c r="BY49" s="79"/>
      <c r="BZ49" s="80"/>
      <c r="CA49" s="80"/>
      <c r="CB49" s="80"/>
      <c r="CC49" s="80"/>
      <c r="CD49" s="80"/>
      <c r="CE49" s="80"/>
      <c r="CF49" s="80"/>
      <c r="CG49" s="80"/>
      <c r="CH49" s="80"/>
      <c r="CI49" s="80"/>
      <c r="CJ49" s="80"/>
      <c r="CK49" s="80"/>
      <c r="CL49" s="80"/>
      <c r="CM49" s="80"/>
      <c r="CN49" s="80"/>
      <c r="CO49" s="80"/>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47"/>
      <c r="FN49" s="47"/>
      <c r="FO49" s="47"/>
      <c r="FP49" s="47"/>
      <c r="FQ49" s="47"/>
      <c r="FR49" s="48"/>
      <c r="FS49" s="48"/>
      <c r="FT49" s="48"/>
      <c r="FU49" s="48"/>
      <c r="FV49" s="48"/>
      <c r="FW49" s="48"/>
      <c r="FX49" s="48"/>
      <c r="FY49" s="48"/>
      <c r="FZ49" s="49"/>
      <c r="GA49" s="49" t="str">
        <f t="shared" ca="1" si="17"/>
        <v/>
      </c>
      <c r="GB49" s="49" t="str">
        <f ca="1">IF(FO1=1,0.6*(GD40/GC40),"")</f>
        <v/>
      </c>
      <c r="GC49" s="49">
        <f ca="1">IF(FO1=1,-GC40*GB49+GD40,0)</f>
        <v>0</v>
      </c>
      <c r="GD49" s="49"/>
      <c r="GE49" s="49">
        <f ca="1">IF(FO1=1,GE40+GF40/GA49,0)</f>
        <v>0</v>
      </c>
      <c r="GF49" s="49">
        <f ca="1">IF(FO1=1,GE40,0)</f>
        <v>0</v>
      </c>
      <c r="GG49" s="49"/>
      <c r="GH49" s="49">
        <f t="shared" ca="1" si="1"/>
        <v>0</v>
      </c>
      <c r="GI49" s="49">
        <f ca="1">IF(FO1=1,0.6*GI53,0)</f>
        <v>0</v>
      </c>
      <c r="GJ49" s="49">
        <f ca="1">0.6*GJ53</f>
        <v>0</v>
      </c>
      <c r="GK49" s="49">
        <f ca="1">GK53</f>
        <v>0</v>
      </c>
      <c r="GL49" s="49">
        <f ca="1">GL53</f>
        <v>0</v>
      </c>
      <c r="GM49" s="49">
        <f ca="1">IF(FO1=0,0,-GC40*GB49^2+GD40*GB49)</f>
        <v>0</v>
      </c>
      <c r="GN49" s="49">
        <f ca="1">IF(FO1=0,0,GE40*GB49+GF40)</f>
        <v>0</v>
      </c>
      <c r="GO49" s="49"/>
      <c r="GP49" s="49"/>
      <c r="GQ49" s="49">
        <f t="shared" ca="1" si="2"/>
        <v>0</v>
      </c>
      <c r="GR49" s="49">
        <f ca="1">0.6*GR53</f>
        <v>0</v>
      </c>
      <c r="GS49" s="49">
        <f ca="1">IF(FO1=1,GE40*GB49,0)</f>
        <v>0</v>
      </c>
      <c r="GT49" s="49">
        <f ca="1">GT53</f>
        <v>0</v>
      </c>
      <c r="GU49" s="49">
        <f ca="1">IF(FO1=0,0,IF(FN37=3,GU53,0))</f>
        <v>0</v>
      </c>
      <c r="GV49" s="49">
        <f ca="1">0.6*GV53</f>
        <v>0</v>
      </c>
      <c r="GW49" s="49">
        <f ca="1">IF(FO1=1,0.6*GW53,0)</f>
        <v>0</v>
      </c>
      <c r="GX49" s="49">
        <f ca="1">0.6*GX53</f>
        <v>0</v>
      </c>
      <c r="GY49" s="49">
        <f t="shared" ca="1" si="3"/>
        <v>0</v>
      </c>
      <c r="GZ49" s="49">
        <f t="shared" ca="1" si="6"/>
        <v>0</v>
      </c>
      <c r="HA49" s="49"/>
      <c r="HB49" s="49">
        <v>6</v>
      </c>
      <c r="HC49" s="49" t="e">
        <f ca="1">HC43+HB49*(HC100-HC43)/HB99</f>
        <v>#VALUE!</v>
      </c>
      <c r="HD49" s="49" t="e">
        <f ca="1">HB101*HC49^3+HB102*HC49^2+HB103*HC49+HB104</f>
        <v>#VALUE!</v>
      </c>
      <c r="HE49" s="49" t="e">
        <f t="shared" ca="1" si="7"/>
        <v>#VALUE!</v>
      </c>
      <c r="HF49" s="49" t="e">
        <f ca="1">HF43+HB49*(HF100-HF43)/HB99</f>
        <v>#VALUE!</v>
      </c>
      <c r="HG49" s="49" t="e">
        <f ca="1">HB101*HF49^3+HB102*HF49^2+HB103*HF49+HB104</f>
        <v>#VALUE!</v>
      </c>
      <c r="HH49" s="49" t="e">
        <f t="shared" ca="1" si="8"/>
        <v>#VALUE!</v>
      </c>
      <c r="HI49" s="49" t="e">
        <f ca="1">HI43+HB49*(HI100-HI43)/HB99</f>
        <v>#VALUE!</v>
      </c>
      <c r="HJ49" s="49" t="e">
        <f ca="1">GG40*HI49^3+GH40*HI49^2+GI40*HI49+GF40+GC75</f>
        <v>#VALUE!</v>
      </c>
      <c r="HK49" s="49" t="e">
        <f t="shared" ca="1" si="9"/>
        <v>#VALUE!</v>
      </c>
      <c r="HL49" s="49" t="e">
        <f t="shared" ca="1" si="10"/>
        <v>#VALUE!</v>
      </c>
      <c r="HM49" s="49" t="e">
        <f t="shared" ca="1" si="11"/>
        <v>#VALUE!</v>
      </c>
      <c r="HN49" s="49" t="e">
        <f t="shared" ca="1" si="12"/>
        <v>#VALUE!</v>
      </c>
      <c r="HO49" s="49" t="e">
        <f t="shared" ca="1" si="13"/>
        <v>#VALUE!</v>
      </c>
      <c r="HP49" s="49" t="e">
        <f t="shared" ca="1" si="14"/>
        <v>#VALUE!</v>
      </c>
      <c r="HQ49" s="49" t="e">
        <f t="shared" ca="1" si="15"/>
        <v>#VALUE!</v>
      </c>
      <c r="HR49" s="49" t="e">
        <f t="shared" ca="1" si="18"/>
        <v>#VALUE!</v>
      </c>
      <c r="HS49" s="49">
        <f t="shared" ca="1" si="16"/>
        <v>0</v>
      </c>
      <c r="HT49" s="49">
        <f t="shared" ca="1" si="5"/>
        <v>0</v>
      </c>
      <c r="HU49" s="216">
        <f ca="1">0.6*HU53</f>
        <v>0</v>
      </c>
      <c r="HV49" s="49">
        <f ca="1">HV53</f>
        <v>0</v>
      </c>
      <c r="HW49" s="49"/>
      <c r="HX49" s="49"/>
      <c r="HY49" s="49"/>
    </row>
    <row r="50" spans="1:233" ht="16.5" customHeight="1">
      <c r="A50" s="1"/>
      <c r="B50" s="3"/>
      <c r="C50" s="3"/>
      <c r="D50" s="38"/>
      <c r="E50" s="126"/>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25"/>
      <c r="AY50" s="26"/>
      <c r="AZ50" s="41"/>
      <c r="BA50" s="41"/>
      <c r="BB50" s="41"/>
      <c r="BC50" s="41"/>
      <c r="BD50" s="42"/>
      <c r="BE50" s="41"/>
      <c r="BF50" s="41"/>
      <c r="BG50" s="41"/>
      <c r="BH50" s="41"/>
      <c r="BI50" s="41"/>
      <c r="BJ50" s="41"/>
      <c r="BK50" s="42"/>
      <c r="BL50" s="41"/>
      <c r="BM50" s="41"/>
      <c r="BN50" s="41"/>
      <c r="BO50" s="41"/>
      <c r="BP50" s="41"/>
      <c r="BQ50" s="41"/>
      <c r="BR50" s="80"/>
      <c r="BS50" s="79"/>
      <c r="BT50" s="79"/>
      <c r="BU50" s="79"/>
      <c r="BV50" s="79"/>
      <c r="BW50" s="79"/>
      <c r="BX50" s="79"/>
      <c r="BY50" s="79"/>
      <c r="BZ50" s="80"/>
      <c r="CA50" s="80"/>
      <c r="CB50" s="80"/>
      <c r="CC50" s="80"/>
      <c r="CD50" s="80"/>
      <c r="CE50" s="80"/>
      <c r="CF50" s="80"/>
      <c r="CG50" s="80"/>
      <c r="CH50" s="80"/>
      <c r="CI50" s="80"/>
      <c r="CJ50" s="80"/>
      <c r="CK50" s="80"/>
      <c r="CL50" s="80"/>
      <c r="CM50" s="80"/>
      <c r="CN50" s="80"/>
      <c r="CO50" s="80"/>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47"/>
      <c r="FN50" s="47"/>
      <c r="FO50" s="47"/>
      <c r="FP50" s="47"/>
      <c r="FQ50" s="47"/>
      <c r="FR50" s="48"/>
      <c r="FS50" s="48"/>
      <c r="FT50" s="48"/>
      <c r="FU50" s="48"/>
      <c r="FV50" s="48"/>
      <c r="FW50" s="48"/>
      <c r="FX50" s="48"/>
      <c r="FY50" s="48"/>
      <c r="FZ50" s="49"/>
      <c r="GA50" s="49" t="str">
        <f t="shared" ca="1" si="17"/>
        <v/>
      </c>
      <c r="GB50" s="49" t="str">
        <f ca="1">IF(FO1=1,0.7*(GD40/GC40),"")</f>
        <v/>
      </c>
      <c r="GC50" s="49">
        <f ca="1">IF(FO1=1,-GC40*GB50+GD40,0)</f>
        <v>0</v>
      </c>
      <c r="GD50" s="49"/>
      <c r="GE50" s="49">
        <f ca="1">IF(FO1=1,GE40+GF40/GA50,0)</f>
        <v>0</v>
      </c>
      <c r="GF50" s="49">
        <f ca="1">IF(FO1=1,GE40,0)</f>
        <v>0</v>
      </c>
      <c r="GG50" s="49"/>
      <c r="GH50" s="49">
        <f t="shared" ca="1" si="1"/>
        <v>0</v>
      </c>
      <c r="GI50" s="49">
        <f ca="1">IF(FO1=1,0.7*GI53,0)</f>
        <v>0</v>
      </c>
      <c r="GJ50" s="49">
        <f ca="1">0.7*GJ53</f>
        <v>0</v>
      </c>
      <c r="GK50" s="49">
        <f ca="1">GK53</f>
        <v>0</v>
      </c>
      <c r="GL50" s="49">
        <f ca="1">GL53</f>
        <v>0</v>
      </c>
      <c r="GM50" s="49">
        <f ca="1">IF(FO1=0,0,-GC40*GB50^2+GD40*GB50)</f>
        <v>0</v>
      </c>
      <c r="GN50" s="49">
        <f ca="1">IF(FO1=0,0,GE40*GB50+GF40)</f>
        <v>0</v>
      </c>
      <c r="GO50" s="49"/>
      <c r="GP50" s="49"/>
      <c r="GQ50" s="49">
        <f t="shared" ca="1" si="2"/>
        <v>0</v>
      </c>
      <c r="GR50" s="49">
        <f ca="1">0.7*GR53</f>
        <v>0</v>
      </c>
      <c r="GS50" s="49">
        <f ca="1">IF(FO1=1,GE40*GB50,0)</f>
        <v>0</v>
      </c>
      <c r="GT50" s="49">
        <f ca="1">GT53</f>
        <v>0</v>
      </c>
      <c r="GU50" s="49">
        <f ca="1">IF(FO1=0,0,IF(FN37=3,GU53,0))</f>
        <v>0</v>
      </c>
      <c r="GV50" s="49">
        <f ca="1">0.7*GV53</f>
        <v>0</v>
      </c>
      <c r="GW50" s="49">
        <f ca="1">IF(FO1=1,0.7*GW53,0)</f>
        <v>0</v>
      </c>
      <c r="GX50" s="49">
        <f ca="1">0.7*GX53</f>
        <v>0</v>
      </c>
      <c r="GY50" s="49">
        <f t="shared" ca="1" si="3"/>
        <v>0</v>
      </c>
      <c r="GZ50" s="49">
        <f t="shared" ca="1" si="6"/>
        <v>0</v>
      </c>
      <c r="HA50" s="49"/>
      <c r="HB50" s="49">
        <v>7</v>
      </c>
      <c r="HC50" s="49" t="e">
        <f ca="1">HC43+HB50*(HC100-HC43)/HB99</f>
        <v>#VALUE!</v>
      </c>
      <c r="HD50" s="49" t="e">
        <f ca="1">HB101*HC50^3+HB102*HC50^2+HB103*HC50+HB104</f>
        <v>#VALUE!</v>
      </c>
      <c r="HE50" s="49" t="e">
        <f t="shared" ca="1" si="7"/>
        <v>#VALUE!</v>
      </c>
      <c r="HF50" s="49" t="e">
        <f ca="1">HF43+HB50*(HF100-HF43)/HB99</f>
        <v>#VALUE!</v>
      </c>
      <c r="HG50" s="49" t="e">
        <f ca="1">HB101*HF50^3+HB102*HF50^2+HB103*HF50+HB104</f>
        <v>#VALUE!</v>
      </c>
      <c r="HH50" s="49" t="e">
        <f t="shared" ca="1" si="8"/>
        <v>#VALUE!</v>
      </c>
      <c r="HI50" s="49" t="e">
        <f ca="1">HI43+HB50*(HI100-HI43)/HB99</f>
        <v>#VALUE!</v>
      </c>
      <c r="HJ50" s="49" t="e">
        <f ca="1">GG40*HI50^3+GH40*HI50^2+GI40*HI50+GF40+GC75</f>
        <v>#VALUE!</v>
      </c>
      <c r="HK50" s="49" t="e">
        <f t="shared" ca="1" si="9"/>
        <v>#VALUE!</v>
      </c>
      <c r="HL50" s="49" t="e">
        <f t="shared" ca="1" si="10"/>
        <v>#VALUE!</v>
      </c>
      <c r="HM50" s="49" t="e">
        <f t="shared" ca="1" si="11"/>
        <v>#VALUE!</v>
      </c>
      <c r="HN50" s="49" t="e">
        <f t="shared" ca="1" si="12"/>
        <v>#VALUE!</v>
      </c>
      <c r="HO50" s="49" t="e">
        <f t="shared" ca="1" si="13"/>
        <v>#VALUE!</v>
      </c>
      <c r="HP50" s="49" t="e">
        <f t="shared" ca="1" si="14"/>
        <v>#VALUE!</v>
      </c>
      <c r="HQ50" s="49" t="e">
        <f t="shared" ca="1" si="15"/>
        <v>#VALUE!</v>
      </c>
      <c r="HR50" s="49" t="e">
        <f t="shared" ca="1" si="18"/>
        <v>#VALUE!</v>
      </c>
      <c r="HS50" s="49">
        <f t="shared" ca="1" si="16"/>
        <v>0</v>
      </c>
      <c r="HT50" s="49">
        <f t="shared" ca="1" si="5"/>
        <v>0</v>
      </c>
      <c r="HU50" s="216">
        <f ca="1">0.7*HU53</f>
        <v>0</v>
      </c>
      <c r="HV50" s="49">
        <f ca="1">HV53</f>
        <v>0</v>
      </c>
      <c r="HW50" s="49"/>
      <c r="HX50" s="49"/>
      <c r="HY50" s="49"/>
    </row>
    <row r="51" spans="1:233" ht="16.5" customHeight="1">
      <c r="A51" s="1"/>
      <c r="B51" s="3"/>
      <c r="C51" s="3"/>
      <c r="D51" s="38"/>
      <c r="E51" s="126"/>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25"/>
      <c r="AY51" s="26"/>
      <c r="AZ51" s="41"/>
      <c r="BA51" s="41"/>
      <c r="BB51" s="41"/>
      <c r="BC51" s="41"/>
      <c r="BD51" s="42"/>
      <c r="BE51" s="41"/>
      <c r="BF51" s="41"/>
      <c r="BG51" s="41"/>
      <c r="BH51" s="41"/>
      <c r="BI51" s="41"/>
      <c r="BJ51" s="41"/>
      <c r="BK51" s="42"/>
      <c r="BL51" s="41"/>
      <c r="BM51" s="41"/>
      <c r="BN51" s="41"/>
      <c r="BO51" s="41"/>
      <c r="BP51" s="41"/>
      <c r="BQ51" s="41"/>
      <c r="BR51" s="80"/>
      <c r="BS51" s="79"/>
      <c r="BT51" s="79"/>
      <c r="BU51" s="79"/>
      <c r="BV51" s="79"/>
      <c r="BW51" s="79"/>
      <c r="BX51" s="79"/>
      <c r="BY51" s="79"/>
      <c r="BZ51" s="80"/>
      <c r="CA51" s="80"/>
      <c r="CB51" s="80"/>
      <c r="CC51" s="80"/>
      <c r="CD51" s="80"/>
      <c r="CE51" s="80"/>
      <c r="CF51" s="80"/>
      <c r="CG51" s="80"/>
      <c r="CH51" s="80"/>
      <c r="CI51" s="80"/>
      <c r="CJ51" s="80"/>
      <c r="CK51" s="80"/>
      <c r="CL51" s="80"/>
      <c r="CM51" s="80"/>
      <c r="CN51" s="80"/>
      <c r="CO51" s="80"/>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47"/>
      <c r="FN51" s="47"/>
      <c r="FO51" s="47"/>
      <c r="FP51" s="47"/>
      <c r="FQ51" s="47"/>
      <c r="FR51" s="48"/>
      <c r="FS51" s="48"/>
      <c r="FT51" s="48"/>
      <c r="FU51" s="48"/>
      <c r="FV51" s="48"/>
      <c r="FW51" s="48"/>
      <c r="FX51" s="48"/>
      <c r="FY51" s="48"/>
      <c r="FZ51" s="49"/>
      <c r="GA51" s="49" t="str">
        <f t="shared" ca="1" si="17"/>
        <v/>
      </c>
      <c r="GB51" s="49" t="str">
        <f ca="1">IF(FO1=1,0.8*(GD40/GC40),"")</f>
        <v/>
      </c>
      <c r="GC51" s="49">
        <f ca="1">IF(FO1=1,-GC40*GB51+GD40,0)</f>
        <v>0</v>
      </c>
      <c r="GD51" s="49"/>
      <c r="GE51" s="49">
        <f ca="1">IF(FO1=1,GE40+GF40/GA51,0)</f>
        <v>0</v>
      </c>
      <c r="GF51" s="49">
        <f ca="1">IF(FO1=1,GE40,0)</f>
        <v>0</v>
      </c>
      <c r="GG51" s="49"/>
      <c r="GH51" s="49">
        <f t="shared" ca="1" si="1"/>
        <v>0</v>
      </c>
      <c r="GI51" s="49">
        <f ca="1">IF(FO1=1,0.8*GI53,0)</f>
        <v>0</v>
      </c>
      <c r="GJ51" s="49">
        <f ca="1">0.8*GJ53</f>
        <v>0</v>
      </c>
      <c r="GK51" s="49">
        <f ca="1">GK53</f>
        <v>0</v>
      </c>
      <c r="GL51" s="49">
        <f ca="1">GL53</f>
        <v>0</v>
      </c>
      <c r="GM51" s="49">
        <f ca="1">IF(FO1=0,0,-GC40*GB51^2+GD40*GB51)</f>
        <v>0</v>
      </c>
      <c r="GN51" s="49">
        <f ca="1">IF(FO1=0,0,GE40*GB51+GF40)</f>
        <v>0</v>
      </c>
      <c r="GO51" s="49"/>
      <c r="GP51" s="49"/>
      <c r="GQ51" s="49">
        <f t="shared" ca="1" si="2"/>
        <v>0</v>
      </c>
      <c r="GR51" s="49">
        <f ca="1">0.8*GR53</f>
        <v>0</v>
      </c>
      <c r="GS51" s="49">
        <f ca="1">IF(FO1=1,GE40*GB51,0)</f>
        <v>0</v>
      </c>
      <c r="GT51" s="49">
        <f ca="1">GT53</f>
        <v>0</v>
      </c>
      <c r="GU51" s="49">
        <f ca="1">IF(FO1=0,0,IF(FN37=3,GU53,0))</f>
        <v>0</v>
      </c>
      <c r="GV51" s="49">
        <f ca="1">0.8*GV53</f>
        <v>0</v>
      </c>
      <c r="GW51" s="49">
        <f ca="1">IF(FO1=1,0.8*GW53,0)</f>
        <v>0</v>
      </c>
      <c r="GX51" s="49">
        <f ca="1">0.8*GX53</f>
        <v>0</v>
      </c>
      <c r="GY51" s="49">
        <f t="shared" ca="1" si="3"/>
        <v>0</v>
      </c>
      <c r="GZ51" s="49">
        <f t="shared" ca="1" si="6"/>
        <v>0</v>
      </c>
      <c r="HA51" s="49"/>
      <c r="HB51" s="49">
        <v>8</v>
      </c>
      <c r="HC51" s="49" t="e">
        <f ca="1">HC43+HB51*(HC100-HC43)/HB99</f>
        <v>#VALUE!</v>
      </c>
      <c r="HD51" s="49" t="e">
        <f ca="1">HB101*HC51^3+HB102*HC51^2+HB103*HC51+HB104</f>
        <v>#VALUE!</v>
      </c>
      <c r="HE51" s="49" t="e">
        <f t="shared" ca="1" si="7"/>
        <v>#VALUE!</v>
      </c>
      <c r="HF51" s="49" t="e">
        <f ca="1">HF43+HB51*(HF100-HF43)/HB99</f>
        <v>#VALUE!</v>
      </c>
      <c r="HG51" s="49" t="e">
        <f ca="1">HB101*HF51^3+HB102*HF51^2+HB103*HF51+HB104</f>
        <v>#VALUE!</v>
      </c>
      <c r="HH51" s="49" t="e">
        <f t="shared" ca="1" si="8"/>
        <v>#VALUE!</v>
      </c>
      <c r="HI51" s="49" t="e">
        <f ca="1">HI43+HB51*(HI100-HI43)/HB99</f>
        <v>#VALUE!</v>
      </c>
      <c r="HJ51" s="49" t="e">
        <f ca="1">GG40*HI51^3+GH40*HI51^2+GI40*HI51+GF40+GC75</f>
        <v>#VALUE!</v>
      </c>
      <c r="HK51" s="49" t="e">
        <f t="shared" ca="1" si="9"/>
        <v>#VALUE!</v>
      </c>
      <c r="HL51" s="49" t="e">
        <f t="shared" ca="1" si="10"/>
        <v>#VALUE!</v>
      </c>
      <c r="HM51" s="49" t="e">
        <f t="shared" ca="1" si="11"/>
        <v>#VALUE!</v>
      </c>
      <c r="HN51" s="49" t="e">
        <f t="shared" ca="1" si="12"/>
        <v>#VALUE!</v>
      </c>
      <c r="HO51" s="49" t="e">
        <f t="shared" ca="1" si="13"/>
        <v>#VALUE!</v>
      </c>
      <c r="HP51" s="49" t="e">
        <f t="shared" ca="1" si="14"/>
        <v>#VALUE!</v>
      </c>
      <c r="HQ51" s="49" t="e">
        <f t="shared" ca="1" si="15"/>
        <v>#VALUE!</v>
      </c>
      <c r="HR51" s="49" t="e">
        <f t="shared" ca="1" si="18"/>
        <v>#VALUE!</v>
      </c>
      <c r="HS51" s="49">
        <f t="shared" ca="1" si="16"/>
        <v>0</v>
      </c>
      <c r="HT51" s="49">
        <f t="shared" ca="1" si="5"/>
        <v>0</v>
      </c>
      <c r="HU51" s="216">
        <f ca="1">0.8*HU53</f>
        <v>0</v>
      </c>
      <c r="HV51" s="49">
        <f ca="1">HV53</f>
        <v>0</v>
      </c>
      <c r="HW51" s="49"/>
      <c r="HX51" s="49"/>
      <c r="HY51" s="49"/>
    </row>
    <row r="52" spans="1:233" ht="16.5" customHeight="1">
      <c r="A52" s="1"/>
      <c r="B52" s="3"/>
      <c r="C52" s="3"/>
      <c r="D52" s="38"/>
      <c r="E52" s="126"/>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25"/>
      <c r="AY52" s="26"/>
      <c r="AZ52" s="41"/>
      <c r="BA52" s="41"/>
      <c r="BB52" s="41"/>
      <c r="BC52" s="41"/>
      <c r="BD52" s="42"/>
      <c r="BE52" s="41"/>
      <c r="BF52" s="41"/>
      <c r="BG52" s="41"/>
      <c r="BH52" s="41"/>
      <c r="BI52" s="41"/>
      <c r="BJ52" s="41"/>
      <c r="BK52" s="42"/>
      <c r="BL52" s="41"/>
      <c r="BM52" s="41"/>
      <c r="BN52" s="41"/>
      <c r="BO52" s="41"/>
      <c r="BP52" s="41"/>
      <c r="BQ52" s="41"/>
      <c r="BR52" s="80"/>
      <c r="BS52" s="79"/>
      <c r="BT52" s="79"/>
      <c r="BU52" s="79"/>
      <c r="BV52" s="79"/>
      <c r="BW52" s="79"/>
      <c r="BX52" s="79"/>
      <c r="BY52" s="79"/>
      <c r="BZ52" s="80"/>
      <c r="CA52" s="80"/>
      <c r="CB52" s="80"/>
      <c r="CC52" s="80"/>
      <c r="CD52" s="80"/>
      <c r="CE52" s="80"/>
      <c r="CF52" s="80"/>
      <c r="CG52" s="80"/>
      <c r="CH52" s="80"/>
      <c r="CI52" s="80"/>
      <c r="CJ52" s="80"/>
      <c r="CK52" s="80"/>
      <c r="CL52" s="80"/>
      <c r="CM52" s="80"/>
      <c r="CN52" s="80"/>
      <c r="CO52" s="80"/>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47"/>
      <c r="FN52" s="47"/>
      <c r="FO52" s="47"/>
      <c r="FP52" s="47"/>
      <c r="FQ52" s="47"/>
      <c r="FR52" s="48"/>
      <c r="FS52" s="48"/>
      <c r="FT52" s="48"/>
      <c r="FU52" s="48"/>
      <c r="FV52" s="48"/>
      <c r="FW52" s="48"/>
      <c r="FX52" s="48"/>
      <c r="FY52" s="48"/>
      <c r="FZ52" s="49"/>
      <c r="GA52" s="49" t="str">
        <f t="shared" ca="1" si="17"/>
        <v/>
      </c>
      <c r="GB52" s="49" t="str">
        <f ca="1">IF(FO1=1,0.9*(GD40/GC40),"")</f>
        <v/>
      </c>
      <c r="GC52" s="49">
        <f ca="1">IF(FO1=1,-GC40*GB52+GD40,0)</f>
        <v>0</v>
      </c>
      <c r="GD52" s="49"/>
      <c r="GE52" s="49">
        <f ca="1">IF(FO1=1,GE40+GF40/GA52,0)</f>
        <v>0</v>
      </c>
      <c r="GF52" s="49">
        <f ca="1">IF(FO1=1,GE40,0)</f>
        <v>0</v>
      </c>
      <c r="GG52" s="49"/>
      <c r="GH52" s="49">
        <f t="shared" ca="1" si="1"/>
        <v>0</v>
      </c>
      <c r="GI52" s="49">
        <f ca="1">IF(FO1=1,0.9*GI53,0)</f>
        <v>0</v>
      </c>
      <c r="GJ52" s="49">
        <f ca="1">0.9*GJ53</f>
        <v>0</v>
      </c>
      <c r="GK52" s="49">
        <f ca="1">GK53</f>
        <v>0</v>
      </c>
      <c r="GL52" s="49">
        <f ca="1">GL53</f>
        <v>0</v>
      </c>
      <c r="GM52" s="49">
        <f ca="1">IF(FO1=0,0,-GC40*GB52^2+GD40*GB52)</f>
        <v>0</v>
      </c>
      <c r="GN52" s="49">
        <f ca="1">IF(FO1=0,0,GE40*GB52+GF40)</f>
        <v>0</v>
      </c>
      <c r="GO52" s="49"/>
      <c r="GP52" s="49"/>
      <c r="GQ52" s="49">
        <f t="shared" ca="1" si="2"/>
        <v>0</v>
      </c>
      <c r="GR52" s="49">
        <f ca="1">0.9*GR53</f>
        <v>0</v>
      </c>
      <c r="GS52" s="49">
        <f ca="1">IF(FO1=1,GE40*GB52,0)</f>
        <v>0</v>
      </c>
      <c r="GT52" s="49">
        <f ca="1">GT53</f>
        <v>0</v>
      </c>
      <c r="GU52" s="49">
        <f ca="1">IF(FO1=0,0,IF(FN37=3,GU53,0))</f>
        <v>0</v>
      </c>
      <c r="GV52" s="49">
        <f ca="1">0.9*GV53</f>
        <v>0</v>
      </c>
      <c r="GW52" s="49">
        <f ca="1">IF(FO1=1,0.9*GW53,0)</f>
        <v>0</v>
      </c>
      <c r="GX52" s="49">
        <f ca="1">0.9*GX53</f>
        <v>0</v>
      </c>
      <c r="GY52" s="49">
        <f t="shared" ca="1" si="3"/>
        <v>0</v>
      </c>
      <c r="GZ52" s="49">
        <f t="shared" ca="1" si="6"/>
        <v>0</v>
      </c>
      <c r="HA52" s="49"/>
      <c r="HB52" s="49">
        <v>9</v>
      </c>
      <c r="HC52" s="49" t="e">
        <f ca="1">HC43+HB52*(HC100-HC43)/HB99</f>
        <v>#VALUE!</v>
      </c>
      <c r="HD52" s="49" t="e">
        <f ca="1">HB101*HC52^3+HB102*HC52^2+HB103*HC52+HB104</f>
        <v>#VALUE!</v>
      </c>
      <c r="HE52" s="49" t="e">
        <f t="shared" ca="1" si="7"/>
        <v>#VALUE!</v>
      </c>
      <c r="HF52" s="49" t="e">
        <f ca="1">HF43+HB52*(HF100-HF43)/HB99</f>
        <v>#VALUE!</v>
      </c>
      <c r="HG52" s="49" t="e">
        <f ca="1">HB101*HF52^3+HB102*HF52^2+HB103*HF52+HB104</f>
        <v>#VALUE!</v>
      </c>
      <c r="HH52" s="49" t="e">
        <f t="shared" ca="1" si="8"/>
        <v>#VALUE!</v>
      </c>
      <c r="HI52" s="49" t="e">
        <f ca="1">HI43+HB52*(HI100-HI43)/HB99</f>
        <v>#VALUE!</v>
      </c>
      <c r="HJ52" s="49" t="e">
        <f ca="1">GG40*HI52^3+GH40*HI52^2+GI40*HI52+GF40+GC75</f>
        <v>#VALUE!</v>
      </c>
      <c r="HK52" s="49" t="e">
        <f t="shared" ca="1" si="9"/>
        <v>#VALUE!</v>
      </c>
      <c r="HL52" s="49" t="e">
        <f t="shared" ca="1" si="10"/>
        <v>#VALUE!</v>
      </c>
      <c r="HM52" s="49" t="e">
        <f t="shared" ca="1" si="11"/>
        <v>#VALUE!</v>
      </c>
      <c r="HN52" s="49" t="e">
        <f t="shared" ca="1" si="12"/>
        <v>#VALUE!</v>
      </c>
      <c r="HO52" s="49" t="e">
        <f t="shared" ca="1" si="13"/>
        <v>#VALUE!</v>
      </c>
      <c r="HP52" s="49" t="e">
        <f t="shared" ca="1" si="14"/>
        <v>#VALUE!</v>
      </c>
      <c r="HQ52" s="49" t="e">
        <f t="shared" ca="1" si="15"/>
        <v>#VALUE!</v>
      </c>
      <c r="HR52" s="49" t="e">
        <f t="shared" ca="1" si="18"/>
        <v>#VALUE!</v>
      </c>
      <c r="HS52" s="49">
        <f t="shared" ca="1" si="16"/>
        <v>0</v>
      </c>
      <c r="HT52" s="49">
        <f t="shared" ca="1" si="5"/>
        <v>0</v>
      </c>
      <c r="HU52" s="216">
        <f ca="1">0.9*HU53</f>
        <v>0</v>
      </c>
      <c r="HV52" s="49">
        <f ca="1">HV53</f>
        <v>0</v>
      </c>
      <c r="HW52" s="49"/>
      <c r="HX52" s="49"/>
      <c r="HY52" s="49"/>
    </row>
    <row r="53" spans="1:233" ht="16.5" customHeight="1">
      <c r="A53" s="1"/>
      <c r="B53" s="3"/>
      <c r="C53" s="3"/>
      <c r="D53" s="38"/>
      <c r="E53" s="126"/>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25"/>
      <c r="AY53" s="26"/>
      <c r="AZ53" s="41"/>
      <c r="BA53" s="41"/>
      <c r="BB53" s="41"/>
      <c r="BC53" s="41"/>
      <c r="BD53" s="42"/>
      <c r="BE53" s="41"/>
      <c r="BF53" s="41"/>
      <c r="BG53" s="41"/>
      <c r="BH53" s="41"/>
      <c r="BI53" s="41"/>
      <c r="BJ53" s="41"/>
      <c r="BK53" s="42"/>
      <c r="BL53" s="41"/>
      <c r="BM53" s="41"/>
      <c r="BN53" s="41"/>
      <c r="BO53" s="41"/>
      <c r="BP53" s="41"/>
      <c r="BQ53" s="41"/>
      <c r="BR53" s="80"/>
      <c r="BS53" s="79"/>
      <c r="BT53" s="79"/>
      <c r="BU53" s="79"/>
      <c r="BV53" s="79"/>
      <c r="BW53" s="79"/>
      <c r="BX53" s="79"/>
      <c r="BY53" s="79"/>
      <c r="BZ53" s="80"/>
      <c r="CA53" s="80"/>
      <c r="CB53" s="80"/>
      <c r="CC53" s="80"/>
      <c r="CD53" s="80"/>
      <c r="CE53" s="80"/>
      <c r="CF53" s="80"/>
      <c r="CG53" s="80"/>
      <c r="CH53" s="80"/>
      <c r="CI53" s="80"/>
      <c r="CJ53" s="80"/>
      <c r="CK53" s="80"/>
      <c r="CL53" s="80"/>
      <c r="CM53" s="80"/>
      <c r="CN53" s="80"/>
      <c r="CO53" s="80"/>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47"/>
      <c r="FN53" s="47"/>
      <c r="FO53" s="47"/>
      <c r="FP53" s="47"/>
      <c r="FQ53" s="47"/>
      <c r="FR53" s="48"/>
      <c r="FS53" s="48"/>
      <c r="FT53" s="48"/>
      <c r="FU53" s="48"/>
      <c r="FV53" s="48"/>
      <c r="FW53" s="48"/>
      <c r="FX53" s="48"/>
      <c r="FY53" s="48"/>
      <c r="FZ53" s="49"/>
      <c r="GA53" s="49" t="str">
        <f ca="1">GB53</f>
        <v/>
      </c>
      <c r="GB53" s="49" t="str">
        <f ca="1">IF(FO1=1,(GD40/GC40),"")</f>
        <v/>
      </c>
      <c r="GC53" s="49">
        <f ca="1">IF(FO1=1,-GC40*GB53+GD40,0)</f>
        <v>0</v>
      </c>
      <c r="GD53" s="49"/>
      <c r="GE53" s="49">
        <f ca="1">IF(FO1=1,GE40+GF40/GA53,0)</f>
        <v>0</v>
      </c>
      <c r="GF53" s="49">
        <f ca="1">IF(FO1=1,GE40,0)</f>
        <v>0</v>
      </c>
      <c r="GG53" s="49"/>
      <c r="GH53" s="49">
        <f ca="1">IF(FO1=0,0,IF(FN37=1,-0.5*(GE40-GD40)/GC40,IF(FN37=2,GS39,0)))</f>
        <v>0</v>
      </c>
      <c r="GI53" s="49">
        <f ca="1">IF(FO1=0,0,IF(FN37=1,-GC40*GH53+GD40,IF(FN37=2,GT39,0)))</f>
        <v>0</v>
      </c>
      <c r="GJ53" s="49">
        <f ca="1">IF(FO1=0,0,IF(FN37=2,GH53,IF(FN37=1,GH53,0)))</f>
        <v>0</v>
      </c>
      <c r="GK53" s="49">
        <f ca="1">IF(FO1=0,0,IF(FN37=1,GI53,IF(FN37=2,0,0)))</f>
        <v>0</v>
      </c>
      <c r="GL53" s="49">
        <f ca="1">IF(FO1=0,0,IF(FN37=1,GE40+GF40/GH53,IF(FN37=2,GE40+GF40/GH53,0)))</f>
        <v>0</v>
      </c>
      <c r="GM53" s="49">
        <f ca="1">IF(FO1=0,0,-GC40*GB53^2+GD40*GB53)</f>
        <v>0</v>
      </c>
      <c r="GN53" s="49">
        <f ca="1">IF(FO1=0,0,GE40*GB53+GF40)</f>
        <v>0</v>
      </c>
      <c r="GO53" s="49"/>
      <c r="GP53" s="49"/>
      <c r="GQ53" s="49">
        <f ca="1">IF(FO1=0,0,IF(FN37=1,GJ53,IF(FN37=2,GS39,0)))</f>
        <v>0</v>
      </c>
      <c r="GR53" s="49">
        <f ca="1">IF(FO1=0,0,IF(FN37=1,-GC40*GQ53^2+GD40*GQ53,IF(FN37=2,GE40*GS39+GF40,0)))</f>
        <v>0</v>
      </c>
      <c r="GS53" s="49">
        <f ca="1">IF(FO1=1,GE40*GB53,0)</f>
        <v>0</v>
      </c>
      <c r="GT53" s="49">
        <f ca="1">IF(FO1=0,0,IF(FN37=1,GE40,IF(FN37=2,GE40,0)))</f>
        <v>0</v>
      </c>
      <c r="GU53" s="49">
        <f ca="1">IF(FO1=0,0,IF(FN37=3,GR39,0))</f>
        <v>0</v>
      </c>
      <c r="GV53" s="49">
        <f ca="1">IF(FO1=0,0,-GC40*GU53^2+GD40*GU53)</f>
        <v>0</v>
      </c>
      <c r="GW53" s="49">
        <f ca="1">IF(FO1=1,-GC40*GU53+GD40,0)</f>
        <v>0</v>
      </c>
      <c r="GX53" s="49">
        <f ca="1">IF(FO$1=0,0,IF(FN$37=1,0,FLOOR(GU39/GC40,0.1)))</f>
        <v>0</v>
      </c>
      <c r="GY53" s="49">
        <f t="shared" ca="1" si="3"/>
        <v>0</v>
      </c>
      <c r="GZ53" s="49">
        <f t="shared" ca="1" si="6"/>
        <v>0</v>
      </c>
      <c r="HA53" s="49"/>
      <c r="HB53" s="49">
        <v>10</v>
      </c>
      <c r="HC53" s="49" t="e">
        <f ca="1">HC43+HB53*(HC100-HC43)/HB99</f>
        <v>#VALUE!</v>
      </c>
      <c r="HD53" s="49" t="e">
        <f ca="1">HB101*HC53^3+HB102*HC53^2+HB103*HC53+HB104</f>
        <v>#VALUE!</v>
      </c>
      <c r="HE53" s="49" t="e">
        <f t="shared" ca="1" si="7"/>
        <v>#VALUE!</v>
      </c>
      <c r="HF53" s="49" t="e">
        <f ca="1">HF43+HB53*(HF100-HF43)/HB99</f>
        <v>#VALUE!</v>
      </c>
      <c r="HG53" s="49" t="e">
        <f ca="1">HB101*HF53^3+HB102*HF53^2+HB103*HF53+HB104</f>
        <v>#VALUE!</v>
      </c>
      <c r="HH53" s="49" t="e">
        <f t="shared" ca="1" si="8"/>
        <v>#VALUE!</v>
      </c>
      <c r="HI53" s="49" t="e">
        <f ca="1">HI43+HB53*(HI100-HI43)/HB99</f>
        <v>#VALUE!</v>
      </c>
      <c r="HJ53" s="49" t="e">
        <f ca="1">GG40*HI53^3+GH40*HI53^2+GI40*HI53+GF40+GC75</f>
        <v>#VALUE!</v>
      </c>
      <c r="HK53" s="49" t="e">
        <f t="shared" ca="1" si="9"/>
        <v>#VALUE!</v>
      </c>
      <c r="HL53" s="49" t="e">
        <f t="shared" ca="1" si="10"/>
        <v>#VALUE!</v>
      </c>
      <c r="HM53" s="49" t="e">
        <f t="shared" ca="1" si="11"/>
        <v>#VALUE!</v>
      </c>
      <c r="HN53" s="49" t="e">
        <f t="shared" ca="1" si="12"/>
        <v>#VALUE!</v>
      </c>
      <c r="HO53" s="49" t="e">
        <f t="shared" ca="1" si="13"/>
        <v>#VALUE!</v>
      </c>
      <c r="HP53" s="49" t="e">
        <f t="shared" ca="1" si="14"/>
        <v>#VALUE!</v>
      </c>
      <c r="HQ53" s="49" t="e">
        <f ca="1">IF(AND(HP53&gt;=-2,HP52&lt;-2),HO52-HP52/(HP53-HP52)*(HO53-HO52),0)</f>
        <v>#VALUE!</v>
      </c>
      <c r="HR53" s="49" t="e">
        <f t="shared" ca="1" si="18"/>
        <v>#VALUE!</v>
      </c>
      <c r="HS53" s="49">
        <f ca="1">IF(FO$1=0,0,IF(FN$37=2,0,-GC$40*GB53+GD$40))</f>
        <v>0</v>
      </c>
      <c r="HT53" s="49">
        <f ca="1">IF(FO$1=0,0,IF(FN$37=2,0,-GC$40*GB53^2+GD$40*GB53))</f>
        <v>0</v>
      </c>
      <c r="HU53" s="216">
        <f ca="1">IF(FO$1=0,0,-GC$40*HV53^2+GD$40*HV53)</f>
        <v>0</v>
      </c>
      <c r="HV53" s="49">
        <f ca="1">IF(FO1=0,0,-0.5*(GE$40-GD$40)/GC$40)</f>
        <v>0</v>
      </c>
      <c r="HW53" s="49"/>
      <c r="HX53" s="49"/>
      <c r="HY53" s="49"/>
    </row>
    <row r="54" spans="1:233" ht="16.5" customHeight="1">
      <c r="A54" s="1"/>
      <c r="B54" s="3"/>
      <c r="C54" s="3"/>
      <c r="D54" s="38"/>
      <c r="E54" s="126"/>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25"/>
      <c r="AY54" s="26"/>
      <c r="AZ54" s="41"/>
      <c r="BA54" s="41"/>
      <c r="BB54" s="41"/>
      <c r="BC54" s="41"/>
      <c r="BD54" s="42"/>
      <c r="BE54" s="41"/>
      <c r="BF54" s="41"/>
      <c r="BG54" s="41"/>
      <c r="BH54" s="41"/>
      <c r="BI54" s="41"/>
      <c r="BJ54" s="41"/>
      <c r="BK54" s="42"/>
      <c r="BL54" s="41"/>
      <c r="BM54" s="41"/>
      <c r="BN54" s="41"/>
      <c r="BO54" s="41"/>
      <c r="BP54" s="41"/>
      <c r="BQ54" s="41"/>
      <c r="BR54" s="80"/>
      <c r="BS54" s="79"/>
      <c r="BT54" s="79"/>
      <c r="BU54" s="79"/>
      <c r="BV54" s="79"/>
      <c r="BW54" s="79"/>
      <c r="BX54" s="79"/>
      <c r="BY54" s="79"/>
      <c r="BZ54" s="80"/>
      <c r="CA54" s="80"/>
      <c r="CB54" s="80"/>
      <c r="CC54" s="80"/>
      <c r="CD54" s="80"/>
      <c r="CE54" s="80"/>
      <c r="CF54" s="80"/>
      <c r="CG54" s="80"/>
      <c r="CH54" s="80"/>
      <c r="CI54" s="80"/>
      <c r="CJ54" s="80"/>
      <c r="CK54" s="80"/>
      <c r="CL54" s="80"/>
      <c r="CM54" s="80"/>
      <c r="CN54" s="80"/>
      <c r="CO54" s="80"/>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47"/>
      <c r="FN54" s="47"/>
      <c r="FO54" s="47"/>
      <c r="FP54" s="47"/>
      <c r="FQ54" s="47"/>
      <c r="FR54" s="48"/>
      <c r="FS54" s="48"/>
      <c r="FT54" s="48"/>
      <c r="FU54" s="48"/>
      <c r="FV54" s="48"/>
      <c r="FW54" s="48"/>
      <c r="FX54" s="48"/>
      <c r="FY54" s="48"/>
      <c r="FZ54" s="49"/>
      <c r="GA54" s="49" t="e">
        <f ca="1">GA53+GA44</f>
        <v>#VALUE!</v>
      </c>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v>11</v>
      </c>
      <c r="HC54" s="49" t="e">
        <f ca="1">HC43+HB54*(HC100-HC43)/HB99</f>
        <v>#VALUE!</v>
      </c>
      <c r="HD54" s="49" t="e">
        <f ca="1">HB101*HC54^3+HB102*HC54^2+HB103*HC54+HB104</f>
        <v>#VALUE!</v>
      </c>
      <c r="HE54" s="49" t="e">
        <f t="shared" ca="1" si="7"/>
        <v>#VALUE!</v>
      </c>
      <c r="HF54" s="49" t="e">
        <f ca="1">HF43+HB54*(HF100-HF43)/HB99</f>
        <v>#VALUE!</v>
      </c>
      <c r="HG54" s="49" t="e">
        <f ca="1">HB101*HF54^3+HB102*HF54^2+HB103*HF54+HB104</f>
        <v>#VALUE!</v>
      </c>
      <c r="HH54" s="49" t="e">
        <f t="shared" ca="1" si="8"/>
        <v>#VALUE!</v>
      </c>
      <c r="HI54" s="49" t="e">
        <f ca="1">HI43+HB54*(HI100-HI43)/HB99</f>
        <v>#VALUE!</v>
      </c>
      <c r="HJ54" s="49" t="e">
        <f ca="1">GG40*HI54^3+GH40*HI54^2+GI40*HI54+GF40+GC75</f>
        <v>#VALUE!</v>
      </c>
      <c r="HK54" s="49" t="e">
        <f t="shared" ca="1" si="9"/>
        <v>#VALUE!</v>
      </c>
      <c r="HL54" s="49" t="e">
        <f t="shared" ca="1" si="10"/>
        <v>#VALUE!</v>
      </c>
      <c r="HM54" s="49" t="e">
        <f t="shared" ca="1" si="11"/>
        <v>#VALUE!</v>
      </c>
      <c r="HN54" s="49" t="e">
        <f t="shared" ca="1" si="12"/>
        <v>#VALUE!</v>
      </c>
      <c r="HO54" s="49" t="e">
        <f t="shared" ca="1" si="13"/>
        <v>#VALUE!</v>
      </c>
      <c r="HP54" s="49" t="e">
        <f t="shared" ca="1" si="14"/>
        <v>#VALUE!</v>
      </c>
      <c r="HQ54" s="49" t="e">
        <f t="shared" ca="1" si="15"/>
        <v>#VALUE!</v>
      </c>
      <c r="HR54" s="49" t="e">
        <f t="shared" ca="1" si="18"/>
        <v>#VALUE!</v>
      </c>
      <c r="HS54" s="49"/>
      <c r="HT54" s="49"/>
      <c r="HU54" s="49"/>
      <c r="HV54" s="49"/>
      <c r="HW54" s="49"/>
      <c r="HX54" s="49"/>
      <c r="HY54" s="49"/>
    </row>
    <row r="55" spans="1:233" ht="7.5" customHeight="1">
      <c r="A55" s="1"/>
      <c r="B55" s="3"/>
      <c r="C55" s="3"/>
      <c r="D55" s="38"/>
      <c r="E55" s="126"/>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25"/>
      <c r="AY55" s="26"/>
      <c r="AZ55" s="41"/>
      <c r="BA55" s="41"/>
      <c r="BB55" s="41"/>
      <c r="BC55" s="41"/>
      <c r="BD55" s="42"/>
      <c r="BE55" s="41"/>
      <c r="BF55" s="41"/>
      <c r="BG55" s="41"/>
      <c r="BH55" s="41"/>
      <c r="BI55" s="41"/>
      <c r="BJ55" s="41"/>
      <c r="BK55" s="42"/>
      <c r="BL55" s="41"/>
      <c r="BM55" s="41"/>
      <c r="BN55" s="41"/>
      <c r="BO55" s="41"/>
      <c r="BP55" s="41"/>
      <c r="BQ55" s="41"/>
      <c r="BR55" s="80"/>
      <c r="BS55" s="79"/>
      <c r="BT55" s="79"/>
      <c r="BU55" s="79"/>
      <c r="BV55" s="79"/>
      <c r="BW55" s="79"/>
      <c r="BX55" s="79"/>
      <c r="BY55" s="79"/>
      <c r="BZ55" s="80"/>
      <c r="CA55" s="80"/>
      <c r="CB55" s="80"/>
      <c r="CC55" s="80"/>
      <c r="CD55" s="80"/>
      <c r="CE55" s="80"/>
      <c r="CF55" s="80"/>
      <c r="CG55" s="80"/>
      <c r="CH55" s="80"/>
      <c r="CI55" s="80"/>
      <c r="CJ55" s="80"/>
      <c r="CK55" s="80"/>
      <c r="CL55" s="80"/>
      <c r="CM55" s="80"/>
      <c r="CN55" s="80"/>
      <c r="CO55" s="80"/>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47"/>
      <c r="FN55" s="47"/>
      <c r="FO55" s="47"/>
      <c r="FP55" s="47"/>
      <c r="FQ55" s="47"/>
      <c r="FR55" s="48"/>
      <c r="FS55" s="48"/>
      <c r="FT55" s="48"/>
      <c r="FU55" s="48"/>
      <c r="FV55" s="48"/>
      <c r="FW55" s="48"/>
      <c r="FX55" s="48"/>
      <c r="FY55" s="48"/>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v>12</v>
      </c>
      <c r="HC55" s="49" t="e">
        <f ca="1">HC43+HB55*(HC100-HC43)/HB99</f>
        <v>#VALUE!</v>
      </c>
      <c r="HD55" s="49" t="e">
        <f ca="1">HB101*HC55^3+HB102*HC55^2+HB103*HC55+HB104</f>
        <v>#VALUE!</v>
      </c>
      <c r="HE55" s="49" t="e">
        <f t="shared" ca="1" si="7"/>
        <v>#VALUE!</v>
      </c>
      <c r="HF55" s="49" t="e">
        <f ca="1">HF43+HB55*(HF100-HF43)/HB99</f>
        <v>#VALUE!</v>
      </c>
      <c r="HG55" s="49" t="e">
        <f ca="1">HB101*HF55^3+HB102*HF55^2+HB103*HF55+HB104</f>
        <v>#VALUE!</v>
      </c>
      <c r="HH55" s="49" t="e">
        <f t="shared" ca="1" si="8"/>
        <v>#VALUE!</v>
      </c>
      <c r="HI55" s="49" t="e">
        <f ca="1">HI43+HB55*(HI100-HI43)/HB99</f>
        <v>#VALUE!</v>
      </c>
      <c r="HJ55" s="49" t="e">
        <f ca="1">GG40*HI55^3+GH40*HI55^2+GI40*HI55+GF40+GC75</f>
        <v>#VALUE!</v>
      </c>
      <c r="HK55" s="49" t="e">
        <f t="shared" ca="1" si="9"/>
        <v>#VALUE!</v>
      </c>
      <c r="HL55" s="49" t="e">
        <f t="shared" ca="1" si="10"/>
        <v>#VALUE!</v>
      </c>
      <c r="HM55" s="49" t="e">
        <f t="shared" ca="1" si="11"/>
        <v>#VALUE!</v>
      </c>
      <c r="HN55" s="49" t="e">
        <f t="shared" ca="1" si="12"/>
        <v>#VALUE!</v>
      </c>
      <c r="HO55" s="49" t="e">
        <f t="shared" ca="1" si="13"/>
        <v>#VALUE!</v>
      </c>
      <c r="HP55" s="49" t="e">
        <f t="shared" ca="1" si="14"/>
        <v>#VALUE!</v>
      </c>
      <c r="HQ55" s="49" t="e">
        <f t="shared" ca="1" si="15"/>
        <v>#VALUE!</v>
      </c>
      <c r="HR55" s="49" t="e">
        <f t="shared" ca="1" si="18"/>
        <v>#VALUE!</v>
      </c>
      <c r="HS55" s="49"/>
      <c r="HT55" s="49"/>
      <c r="HU55" s="49"/>
      <c r="HV55" s="49"/>
      <c r="HW55" s="49"/>
      <c r="HX55" s="49"/>
      <c r="HY55" s="49"/>
    </row>
    <row r="56" spans="1:233" ht="16.5" customHeight="1">
      <c r="A56" s="1"/>
      <c r="B56" s="3"/>
      <c r="C56" s="3"/>
      <c r="D56" s="38"/>
      <c r="E56" s="126"/>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25"/>
      <c r="AY56" s="26"/>
      <c r="AZ56" s="41"/>
      <c r="BA56" s="41"/>
      <c r="BB56" s="41"/>
      <c r="BC56" s="41"/>
      <c r="BD56" s="42"/>
      <c r="BE56" s="41"/>
      <c r="BF56" s="41"/>
      <c r="BG56" s="41"/>
      <c r="BH56" s="41"/>
      <c r="BI56" s="41"/>
      <c r="BJ56" s="41"/>
      <c r="BK56" s="42"/>
      <c r="BL56" s="41"/>
      <c r="BM56" s="41"/>
      <c r="BN56" s="41"/>
      <c r="BO56" s="41"/>
      <c r="BP56" s="41"/>
      <c r="BQ56" s="41"/>
      <c r="BR56" s="80"/>
      <c r="BS56" s="79"/>
      <c r="BT56" s="79"/>
      <c r="BU56" s="79"/>
      <c r="BV56" s="79"/>
      <c r="BW56" s="79"/>
      <c r="BX56" s="79"/>
      <c r="BY56" s="79"/>
      <c r="BZ56" s="80"/>
      <c r="CA56" s="80"/>
      <c r="CB56" s="80"/>
      <c r="CC56" s="80"/>
      <c r="CD56" s="80"/>
      <c r="CE56" s="80"/>
      <c r="CF56" s="80"/>
      <c r="CG56" s="80"/>
      <c r="CH56" s="80"/>
      <c r="CI56" s="80"/>
      <c r="CJ56" s="80"/>
      <c r="CK56" s="80"/>
      <c r="CL56" s="80"/>
      <c r="CM56" s="80"/>
      <c r="CN56" s="80"/>
      <c r="CO56" s="80"/>
      <c r="CP56" s="79"/>
      <c r="CQ56" s="79"/>
      <c r="CR56" s="79"/>
      <c r="CS56" s="79"/>
      <c r="CT56" s="79"/>
      <c r="CU56" s="79"/>
      <c r="CV56" s="79"/>
      <c r="CW56" s="79"/>
      <c r="CX56" s="79"/>
      <c r="CY56" s="79"/>
      <c r="CZ56" s="79"/>
      <c r="DA56" s="79"/>
      <c r="DB56" s="79"/>
      <c r="DC56" s="79"/>
      <c r="DD56" s="79"/>
      <c r="DE56" s="79"/>
      <c r="DF56" s="79"/>
      <c r="DG56" s="79"/>
      <c r="DH56" s="79"/>
      <c r="DI56" s="79"/>
      <c r="DJ56" s="79"/>
      <c r="DK56" s="79"/>
      <c r="DL56" s="79"/>
      <c r="DM56" s="79"/>
      <c r="DN56" s="79"/>
      <c r="DO56" s="79"/>
      <c r="DP56" s="79"/>
      <c r="DQ56" s="79"/>
      <c r="DR56" s="79"/>
      <c r="DS56" s="79"/>
      <c r="DT56" s="79"/>
      <c r="DU56" s="79"/>
      <c r="DV56" s="79"/>
      <c r="DW56" s="79"/>
      <c r="DX56" s="79"/>
      <c r="DY56" s="79"/>
      <c r="DZ56" s="79"/>
      <c r="EA56" s="79"/>
      <c r="EB56" s="79"/>
      <c r="EC56" s="79"/>
      <c r="ED56" s="79"/>
      <c r="EE56" s="79"/>
      <c r="EF56" s="79"/>
      <c r="EG56" s="79"/>
      <c r="EH56" s="79"/>
      <c r="EI56" s="79"/>
      <c r="EJ56" s="79"/>
      <c r="EK56" s="79"/>
      <c r="EL56" s="79"/>
      <c r="EM56" s="79"/>
      <c r="EN56" s="79"/>
      <c r="EO56" s="79"/>
      <c r="EP56" s="79"/>
      <c r="EQ56" s="79"/>
      <c r="ER56" s="79"/>
      <c r="ES56" s="79"/>
      <c r="ET56" s="79"/>
      <c r="EU56" s="79"/>
      <c r="EV56" s="79"/>
      <c r="EW56" s="79"/>
      <c r="EX56" s="79"/>
      <c r="EY56" s="79"/>
      <c r="EZ56" s="79"/>
      <c r="FA56" s="79"/>
      <c r="FB56" s="79"/>
      <c r="FC56" s="79"/>
      <c r="FD56" s="79"/>
      <c r="FE56" s="79"/>
      <c r="FF56" s="79"/>
      <c r="FG56" s="79"/>
      <c r="FH56" s="79"/>
      <c r="FI56" s="79"/>
      <c r="FJ56" s="79"/>
      <c r="FK56" s="79"/>
      <c r="FL56" s="79"/>
      <c r="FM56" s="104">
        <f ca="1">IF(programma!B1="X",1,IF(FN24=0,0,IF(OR(R37="",DZ37=""),0,1)))</f>
        <v>0</v>
      </c>
      <c r="FN56" s="48"/>
      <c r="FO56" s="48"/>
      <c r="FP56" s="48"/>
      <c r="FQ56" s="48"/>
      <c r="FR56" s="48"/>
      <c r="FS56" s="48"/>
      <c r="FT56" s="48"/>
      <c r="FU56" s="48"/>
      <c r="FV56" s="48"/>
      <c r="FW56" s="48"/>
      <c r="FX56" s="48"/>
      <c r="FY56" s="48"/>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v>13</v>
      </c>
      <c r="HC56" s="49" t="e">
        <f ca="1">HC43+HB56*(HC100-HC43)/HB99</f>
        <v>#VALUE!</v>
      </c>
      <c r="HD56" s="49" t="e">
        <f ca="1">HB101*HC56^3+HB102*HC56^2+HB103*HC56+HB104</f>
        <v>#VALUE!</v>
      </c>
      <c r="HE56" s="49" t="e">
        <f t="shared" ca="1" si="7"/>
        <v>#VALUE!</v>
      </c>
      <c r="HF56" s="49" t="e">
        <f ca="1">HF43+HB56*(HF100-HF43)/HB99</f>
        <v>#VALUE!</v>
      </c>
      <c r="HG56" s="49" t="e">
        <f ca="1">HB101*HF56^3+HB102*HF56^2+HB103*HF56+HB104</f>
        <v>#VALUE!</v>
      </c>
      <c r="HH56" s="49" t="e">
        <f t="shared" ca="1" si="8"/>
        <v>#VALUE!</v>
      </c>
      <c r="HI56" s="49" t="e">
        <f ca="1">HI43+HB56*(HI100-HI43)/HB99</f>
        <v>#VALUE!</v>
      </c>
      <c r="HJ56" s="49" t="e">
        <f ca="1">GG40*HI56^3+GH40*HI56^2+GI40*HI56+GF40+GC75</f>
        <v>#VALUE!</v>
      </c>
      <c r="HK56" s="49" t="e">
        <f t="shared" ca="1" si="9"/>
        <v>#VALUE!</v>
      </c>
      <c r="HL56" s="49" t="e">
        <f t="shared" ca="1" si="10"/>
        <v>#VALUE!</v>
      </c>
      <c r="HM56" s="49" t="e">
        <f t="shared" ca="1" si="11"/>
        <v>#VALUE!</v>
      </c>
      <c r="HN56" s="49" t="e">
        <f t="shared" ca="1" si="12"/>
        <v>#VALUE!</v>
      </c>
      <c r="HO56" s="49" t="e">
        <f t="shared" ca="1" si="13"/>
        <v>#VALUE!</v>
      </c>
      <c r="HP56" s="49" t="e">
        <f t="shared" ca="1" si="14"/>
        <v>#VALUE!</v>
      </c>
      <c r="HQ56" s="49" t="e">
        <f t="shared" ca="1" si="15"/>
        <v>#VALUE!</v>
      </c>
      <c r="HR56" s="49" t="e">
        <f t="shared" ca="1" si="18"/>
        <v>#VALUE!</v>
      </c>
      <c r="HS56" s="49"/>
      <c r="HT56" s="49"/>
      <c r="HU56" s="49"/>
      <c r="HV56" s="49"/>
      <c r="HW56" s="49"/>
      <c r="HX56" s="49"/>
      <c r="HY56" s="49"/>
    </row>
    <row r="57" spans="1:233" ht="16.95" customHeight="1">
      <c r="A57" s="1"/>
      <c r="B57" s="3"/>
      <c r="C57" s="3"/>
      <c r="D57" s="373" t="str">
        <f ca="1">IF(FM56=0,"","Wat kun je op lange termijn nog meer zeggen van de afzet, behalve dat bij")</f>
        <v/>
      </c>
      <c r="E57" s="376"/>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26"/>
      <c r="FL57" s="26"/>
      <c r="FM57" s="47"/>
      <c r="FN57" s="47"/>
      <c r="FO57" s="47"/>
      <c r="FP57" s="47"/>
      <c r="FQ57" s="47"/>
      <c r="FR57" s="47"/>
      <c r="FS57" s="47"/>
      <c r="FT57" s="47"/>
      <c r="FU57" s="47"/>
      <c r="FV57" s="47"/>
      <c r="FW57" s="47"/>
      <c r="FX57" s="47"/>
      <c r="FY57" s="47"/>
      <c r="FZ57" s="49"/>
      <c r="GA57" s="49"/>
      <c r="GB57" s="49"/>
      <c r="GC57" s="49"/>
      <c r="GD57" s="49"/>
      <c r="GE57" s="49" t="s">
        <v>51</v>
      </c>
      <c r="GF57" s="49" t="s">
        <v>52</v>
      </c>
      <c r="GG57" s="49" t="s">
        <v>26</v>
      </c>
      <c r="GH57" s="49" t="s">
        <v>60</v>
      </c>
      <c r="GI57" s="49"/>
      <c r="GJ57" s="49" t="s">
        <v>71</v>
      </c>
      <c r="GK57" s="49" t="s">
        <v>72</v>
      </c>
      <c r="GL57" s="49" t="s">
        <v>73</v>
      </c>
      <c r="GM57" s="49" t="s">
        <v>5</v>
      </c>
      <c r="GN57" s="49" t="s">
        <v>3</v>
      </c>
      <c r="GO57" s="49" t="s">
        <v>58</v>
      </c>
      <c r="GP57" s="49" t="s">
        <v>59</v>
      </c>
      <c r="GQ57" s="49" t="s">
        <v>60</v>
      </c>
      <c r="GR57" s="49"/>
      <c r="GS57" s="49" t="s">
        <v>2</v>
      </c>
      <c r="GT57" s="49" t="s">
        <v>73</v>
      </c>
      <c r="GU57" s="49" t="s">
        <v>60</v>
      </c>
      <c r="GV57" s="49"/>
      <c r="GW57" s="49"/>
      <c r="GX57" s="49" t="s">
        <v>96</v>
      </c>
      <c r="GY57" s="49" t="s">
        <v>97</v>
      </c>
      <c r="GZ57" s="49" t="s">
        <v>98</v>
      </c>
      <c r="HA57" s="49" t="s">
        <v>99</v>
      </c>
      <c r="HB57" s="49">
        <v>14</v>
      </c>
      <c r="HC57" s="49" t="e">
        <f ca="1">HC43+HB57*(HC100-HC43)/HB99</f>
        <v>#VALUE!</v>
      </c>
      <c r="HD57" s="49" t="e">
        <f ca="1">HB101*HC57^3+HB102*HC57^2+HB103*HC57+HB104</f>
        <v>#VALUE!</v>
      </c>
      <c r="HE57" s="49" t="e">
        <f t="shared" ca="1" si="7"/>
        <v>#VALUE!</v>
      </c>
      <c r="HF57" s="49" t="e">
        <f ca="1">HF43+HB57*(HF100-HF43)/HB99</f>
        <v>#VALUE!</v>
      </c>
      <c r="HG57" s="49" t="e">
        <f ca="1">HB101*HF57^3+HB102*HF57^2+HB103*HF57+HB104</f>
        <v>#VALUE!</v>
      </c>
      <c r="HH57" s="49" t="e">
        <f t="shared" ca="1" si="8"/>
        <v>#VALUE!</v>
      </c>
      <c r="HI57" s="49" t="e">
        <f ca="1">HI43+HB57*(HI100-HI43)/HB99</f>
        <v>#VALUE!</v>
      </c>
      <c r="HJ57" s="49" t="e">
        <f ca="1">GG40*HI57^3+GH40*HI57^2+GI40*HI57+GF40+GC75</f>
        <v>#VALUE!</v>
      </c>
      <c r="HK57" s="49" t="e">
        <f t="shared" ca="1" si="9"/>
        <v>#VALUE!</v>
      </c>
      <c r="HL57" s="49" t="e">
        <f t="shared" ca="1" si="10"/>
        <v>#VALUE!</v>
      </c>
      <c r="HM57" s="49" t="e">
        <f t="shared" ca="1" si="11"/>
        <v>#VALUE!</v>
      </c>
      <c r="HN57" s="49" t="e">
        <f t="shared" ca="1" si="12"/>
        <v>#VALUE!</v>
      </c>
      <c r="HO57" s="49" t="e">
        <f t="shared" ca="1" si="13"/>
        <v>#VALUE!</v>
      </c>
      <c r="HP57" s="49" t="e">
        <f t="shared" ca="1" si="14"/>
        <v>#VALUE!</v>
      </c>
      <c r="HQ57" s="49" t="e">
        <f t="shared" ca="1" si="15"/>
        <v>#VALUE!</v>
      </c>
      <c r="HR57" s="49" t="e">
        <f t="shared" ca="1" si="18"/>
        <v>#VALUE!</v>
      </c>
      <c r="HS57" s="49"/>
      <c r="HT57" s="49"/>
      <c r="HU57" s="49"/>
      <c r="HV57" s="49"/>
      <c r="HW57" s="49"/>
      <c r="HX57" s="49"/>
      <c r="HY57" s="49"/>
    </row>
    <row r="58" spans="1:233" ht="16.95" customHeight="1">
      <c r="A58" s="1"/>
      <c r="B58" s="3"/>
      <c r="C58" s="3"/>
      <c r="D58" s="373" t="str">
        <f ca="1">IF(FM56=0,"","de afzet op lange termijn geldt dat GO = GTK (en dus q = BEA)?")</f>
        <v/>
      </c>
      <c r="E58" s="376"/>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26"/>
      <c r="FL58" s="26"/>
      <c r="FM58" s="47"/>
      <c r="FN58" s="47"/>
      <c r="FO58" s="47"/>
      <c r="FP58" s="47"/>
      <c r="FQ58" s="47"/>
      <c r="FR58" s="47"/>
      <c r="FS58" s="47"/>
      <c r="FT58" s="47"/>
      <c r="FU58" s="47"/>
      <c r="FV58" s="47"/>
      <c r="FW58" s="47"/>
      <c r="FX58" s="47"/>
      <c r="FY58" s="47"/>
      <c r="FZ58" s="49"/>
      <c r="GA58" s="49">
        <f ca="1">IF(FO1=1,HN100,0)</f>
        <v>0</v>
      </c>
      <c r="GB58" s="49" t="str">
        <f t="shared" ref="GB58:GB63" ca="1" si="19">GB43</f>
        <v/>
      </c>
      <c r="GC58" s="49" t="str">
        <f ca="1">GB58</f>
        <v/>
      </c>
      <c r="GD58" s="49">
        <f ca="1">IF(FO1=0,0,IF(FN37=1,GD60-2*GB44,IF(FN37=2,GH74-2*GB44,0)))</f>
        <v>0</v>
      </c>
      <c r="GE58" s="49">
        <f ca="1">IF(FO1=1,GG40*GB43^2+GH40*GB43^1+GI40+GF40/GA43,0)</f>
        <v>0</v>
      </c>
      <c r="GF58" s="49">
        <f ca="1">IF(FO1=1,GG40*GB43^2+GH40*GB43^1+GI40,0)</f>
        <v>0</v>
      </c>
      <c r="GG58" s="49">
        <f ca="1">IF(FO1=1,3*GG40*GB43^2+2*GH40*GB43^1+GI40,0)</f>
        <v>0</v>
      </c>
      <c r="GH58" s="49">
        <f ca="1">GH74</f>
        <v>0</v>
      </c>
      <c r="GI58" s="49" t="e">
        <f ca="1">0*GI74</f>
        <v>#DIV/0!</v>
      </c>
      <c r="GJ58" s="49">
        <f ca="1">0*GJ74</f>
        <v>0</v>
      </c>
      <c r="GK58" s="49">
        <f ca="1">GK74</f>
        <v>0</v>
      </c>
      <c r="GL58" s="49">
        <f ca="1">GL74</f>
        <v>0</v>
      </c>
      <c r="GM58" s="49">
        <f ca="1">IF(FO1=0,0,-GC40*GB43^2+GD40*GB43)</f>
        <v>0</v>
      </c>
      <c r="GN58" s="49">
        <f ca="1">IF(FO1=0,0,GG40*GC58^3+GH40*GC58^2+GI40*GC58+GF40)</f>
        <v>0</v>
      </c>
      <c r="GO58" s="49">
        <f ca="1">IF(FO1=0,0,IF(FN37=1,GH35*GD58+GK31,0))</f>
        <v>0</v>
      </c>
      <c r="GP58" s="49">
        <f ca="1">IF(FO1=0,0,IF(FN37=1,GH37*GD58+GK35,0))</f>
        <v>0</v>
      </c>
      <c r="GQ58" s="49">
        <f t="shared" ref="GQ58:GQ63" ca="1" si="20">IF(FO$1=0,0,IF(FN$37=1,GQ$53,IF(FN$37=2,GQ$74,0)))</f>
        <v>0</v>
      </c>
      <c r="GR58" s="49" t="e">
        <f ca="1">0*GR74</f>
        <v>#DIV/0!</v>
      </c>
      <c r="GS58" s="49">
        <f ca="1">IF(FO1=1,GG40*GB43^3+GH40*GB43^2+GI40*GB43,0)</f>
        <v>0</v>
      </c>
      <c r="GT58" s="49">
        <f ca="1">GT74</f>
        <v>0</v>
      </c>
      <c r="GU58" s="49">
        <f ca="1">IF(FO1=0,0,IF(FN37=3,GU74,0))</f>
        <v>0</v>
      </c>
      <c r="GV58" s="49">
        <f ca="1">0*GV74</f>
        <v>0</v>
      </c>
      <c r="GW58" s="49">
        <f ca="1">0*GW74</f>
        <v>0</v>
      </c>
      <c r="GX58" s="49">
        <f ca="1">0*GX74</f>
        <v>0</v>
      </c>
      <c r="GY58" s="49">
        <f t="shared" ref="GY58:GY74" ca="1" si="21">IF(FO$1=0,0,IF(FN$37=1,0,IF(FN$37=2,-GC$40*GX58^2+GY$40*GX58)))</f>
        <v>0</v>
      </c>
      <c r="GZ58" s="49">
        <f t="shared" ref="GZ58:GZ74" ca="1" si="22">IF(FO$1=0,0,IF(FN$37=1,0,IF(FN$37=2,-GC$40*GX58+GY$40)))</f>
        <v>0</v>
      </c>
      <c r="HA58" s="49">
        <f t="shared" ref="HA58:HA63" ca="1" si="23">IF(FO$1=0,0,IF(FN$37=1,0,IF(FN$37=2,-2*GC$40*GX58+GY$40,0)))</f>
        <v>0</v>
      </c>
      <c r="HB58" s="49">
        <v>15</v>
      </c>
      <c r="HC58" s="49" t="e">
        <f ca="1">HC43+HB58*(HC100-HC43)/HB99</f>
        <v>#VALUE!</v>
      </c>
      <c r="HD58" s="49" t="e">
        <f ca="1">HB101*HC58^3+HB102*HC58^2+HB103*HC58+HB104</f>
        <v>#VALUE!</v>
      </c>
      <c r="HE58" s="49" t="e">
        <f t="shared" ca="1" si="7"/>
        <v>#VALUE!</v>
      </c>
      <c r="HF58" s="49" t="e">
        <f ca="1">HF43+HB58*(HF100-HF43)/HB99</f>
        <v>#VALUE!</v>
      </c>
      <c r="HG58" s="49" t="e">
        <f ca="1">HB101*HF58^3+HB102*HF58^2+HB103*HF58+HB104</f>
        <v>#VALUE!</v>
      </c>
      <c r="HH58" s="49" t="e">
        <f t="shared" ca="1" si="8"/>
        <v>#VALUE!</v>
      </c>
      <c r="HI58" s="49" t="e">
        <f ca="1">HI43+HB58*(HI100-HI43)/HB99</f>
        <v>#VALUE!</v>
      </c>
      <c r="HJ58" s="49" t="e">
        <f ca="1">GG40*HI58^3+GH40*HI58^2+GI40*HI58+GF40+GC75</f>
        <v>#VALUE!</v>
      </c>
      <c r="HK58" s="49" t="e">
        <f t="shared" ca="1" si="9"/>
        <v>#VALUE!</v>
      </c>
      <c r="HL58" s="49" t="e">
        <f t="shared" ca="1" si="10"/>
        <v>#VALUE!</v>
      </c>
      <c r="HM58" s="49" t="e">
        <f t="shared" ca="1" si="11"/>
        <v>#VALUE!</v>
      </c>
      <c r="HN58" s="49" t="e">
        <f t="shared" ca="1" si="12"/>
        <v>#VALUE!</v>
      </c>
      <c r="HO58" s="49" t="e">
        <f t="shared" ca="1" si="13"/>
        <v>#VALUE!</v>
      </c>
      <c r="HP58" s="49" t="e">
        <f t="shared" ca="1" si="14"/>
        <v>#VALUE!</v>
      </c>
      <c r="HQ58" s="49" t="e">
        <f t="shared" ca="1" si="15"/>
        <v>#VALUE!</v>
      </c>
      <c r="HR58" s="49" t="e">
        <f t="shared" ca="1" si="18"/>
        <v>#VALUE!</v>
      </c>
      <c r="HS58" s="49"/>
      <c r="HT58" s="49"/>
      <c r="HU58" s="49"/>
      <c r="HV58" s="49"/>
      <c r="HW58" s="49"/>
      <c r="HX58" s="49"/>
      <c r="HY58" s="49"/>
    </row>
    <row r="59" spans="1:233" ht="16.5" customHeight="1">
      <c r="A59" s="1"/>
      <c r="B59" s="3"/>
      <c r="C59" s="3"/>
      <c r="D59" s="38"/>
      <c r="E59" s="126"/>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0"/>
      <c r="FF59" s="10"/>
      <c r="FG59" s="10"/>
      <c r="FH59" s="10"/>
      <c r="FI59" s="10"/>
      <c r="FJ59" s="10"/>
      <c r="FK59" s="26"/>
      <c r="FL59" s="26"/>
      <c r="FM59" s="47"/>
      <c r="FN59" s="47"/>
      <c r="FO59" s="47"/>
      <c r="FP59" s="112"/>
      <c r="FQ59" s="47"/>
      <c r="FR59" s="48"/>
      <c r="FS59" s="48"/>
      <c r="FT59" s="48"/>
      <c r="FU59" s="48"/>
      <c r="FV59" s="48"/>
      <c r="FW59" s="48"/>
      <c r="FX59" s="48"/>
      <c r="FY59" s="48"/>
      <c r="FZ59" s="49"/>
      <c r="GA59" s="49">
        <f ca="1">IF(FO1=1,(GA58+GA60)/2,0)</f>
        <v>0</v>
      </c>
      <c r="GB59" s="49" t="str">
        <f t="shared" ca="1" si="19"/>
        <v/>
      </c>
      <c r="GC59" s="49" t="e">
        <f ca="1">0.1*GC74</f>
        <v>#VALUE!</v>
      </c>
      <c r="GD59" s="49">
        <f ca="1">IF(FO1=0,0,IF(FN37=1,GD60-1*GB44,IF(FN37=2,GH74-1*GB44,0)))</f>
        <v>0</v>
      </c>
      <c r="GE59" s="49">
        <f ca="1">IF(FO1=1,GG40*GB44^2+GH40*GB44^1+GI40+GF40/GA44,0)</f>
        <v>0</v>
      </c>
      <c r="GF59" s="49">
        <f ca="1">IF(FO1=1,GG40*GB44^2+GH40*GB44^1+GI40,0)</f>
        <v>0</v>
      </c>
      <c r="GG59" s="49">
        <f ca="1">IF(FO1=1,3*GG40*GB44^2+2*GH40*GB44^1+GI40,0)</f>
        <v>0</v>
      </c>
      <c r="GH59" s="49">
        <f ca="1">GH74</f>
        <v>0</v>
      </c>
      <c r="GI59" s="49" t="e">
        <f ca="1">0.1*GI74</f>
        <v>#DIV/0!</v>
      </c>
      <c r="GJ59" s="49">
        <f ca="1">0.1*GJ74</f>
        <v>0</v>
      </c>
      <c r="GK59" s="49">
        <f ca="1">GK74</f>
        <v>0</v>
      </c>
      <c r="GL59" s="49">
        <f ca="1">GL74</f>
        <v>0</v>
      </c>
      <c r="GM59" s="49">
        <f ca="1">IF(FO1=0,0,-GC40*GB44^2+GD40*GB44)</f>
        <v>0</v>
      </c>
      <c r="GN59" s="49">
        <f ca="1">IF(FO1=0,0,GG40*GC59^3+GH40*GC59^2+GI40*GC59+GF40)</f>
        <v>0</v>
      </c>
      <c r="GO59" s="49">
        <f ca="1">IF(FO1=0,0,IF(FN37=1,GH35*GD59+GK31,0))</f>
        <v>0</v>
      </c>
      <c r="GP59" s="49">
        <f ca="1">IF(FO1=0,0,IF(FN37=1,GH37*GD59+GK35,0))</f>
        <v>0</v>
      </c>
      <c r="GQ59" s="49">
        <f t="shared" ca="1" si="20"/>
        <v>0</v>
      </c>
      <c r="GR59" s="49" t="e">
        <f ca="1">0.1*GR74</f>
        <v>#DIV/0!</v>
      </c>
      <c r="GS59" s="49">
        <f ca="1">IF(FO1=1,GG40*GB44^3+GH40*GB44^2+GI40*GB44,0)</f>
        <v>0</v>
      </c>
      <c r="GT59" s="49">
        <f ca="1">GT74</f>
        <v>0</v>
      </c>
      <c r="GU59" s="49">
        <f ca="1">IF(FO1=0,0,IF(FN37=3,GU74,0))</f>
        <v>0</v>
      </c>
      <c r="GV59" s="49">
        <f ca="1">0.1*GV74</f>
        <v>0</v>
      </c>
      <c r="GW59" s="49">
        <f ca="1">IF(FO1=1,0.1*GW74,0)</f>
        <v>0</v>
      </c>
      <c r="GX59" s="49">
        <f ca="1">0.1*GX74</f>
        <v>0</v>
      </c>
      <c r="GY59" s="49">
        <f t="shared" ca="1" si="21"/>
        <v>0</v>
      </c>
      <c r="GZ59" s="49">
        <f t="shared" ca="1" si="22"/>
        <v>0</v>
      </c>
      <c r="HA59" s="49">
        <f t="shared" ca="1" si="23"/>
        <v>0</v>
      </c>
      <c r="HB59" s="49">
        <v>16</v>
      </c>
      <c r="HC59" s="49" t="e">
        <f ca="1">HC43+HB59*(HC100-HC43)/HB99</f>
        <v>#VALUE!</v>
      </c>
      <c r="HD59" s="49" t="e">
        <f ca="1">HB101*HC59^3+HB102*HC59^2+HB103*HC59+HB104</f>
        <v>#VALUE!</v>
      </c>
      <c r="HE59" s="49" t="e">
        <f t="shared" ca="1" si="7"/>
        <v>#VALUE!</v>
      </c>
      <c r="HF59" s="49" t="e">
        <f ca="1">HF43+HB59*(HF100-HF43)/HB99</f>
        <v>#VALUE!</v>
      </c>
      <c r="HG59" s="49" t="e">
        <f ca="1">HB101*HF59^3+HB102*HF59^2+HB103*HF59+HB104</f>
        <v>#VALUE!</v>
      </c>
      <c r="HH59" s="49" t="e">
        <f t="shared" ca="1" si="8"/>
        <v>#VALUE!</v>
      </c>
      <c r="HI59" s="49" t="e">
        <f ca="1">HI43+HB59*(HI100-HI43)/HB99</f>
        <v>#VALUE!</v>
      </c>
      <c r="HJ59" s="49" t="e">
        <f ca="1">GG40*HI59^3+GH40*HI59^2+GI40*HI59+GF40+GC75</f>
        <v>#VALUE!</v>
      </c>
      <c r="HK59" s="49" t="e">
        <f t="shared" ca="1" si="9"/>
        <v>#VALUE!</v>
      </c>
      <c r="HL59" s="49" t="e">
        <f t="shared" ca="1" si="10"/>
        <v>#VALUE!</v>
      </c>
      <c r="HM59" s="49" t="e">
        <f t="shared" ca="1" si="11"/>
        <v>#VALUE!</v>
      </c>
      <c r="HN59" s="49" t="e">
        <f t="shared" ca="1" si="12"/>
        <v>#VALUE!</v>
      </c>
      <c r="HO59" s="49" t="e">
        <f t="shared" ca="1" si="13"/>
        <v>#VALUE!</v>
      </c>
      <c r="HP59" s="49" t="e">
        <f t="shared" ca="1" si="14"/>
        <v>#VALUE!</v>
      </c>
      <c r="HQ59" s="49" t="e">
        <f t="shared" ca="1" si="15"/>
        <v>#VALUE!</v>
      </c>
      <c r="HR59" s="49" t="e">
        <f t="shared" ca="1" si="18"/>
        <v>#VALUE!</v>
      </c>
      <c r="HS59" s="49"/>
      <c r="HT59" s="49"/>
      <c r="HU59" s="49"/>
      <c r="HV59" s="49"/>
      <c r="HW59" s="49"/>
      <c r="HX59" s="49"/>
      <c r="HY59" s="49"/>
    </row>
    <row r="60" spans="1:233" ht="3.75" customHeight="1">
      <c r="A60" s="1"/>
      <c r="B60" s="3"/>
      <c r="C60" s="3"/>
      <c r="D60" s="38"/>
      <c r="E60" s="126"/>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26"/>
      <c r="AG60" s="126"/>
      <c r="AH60" s="126"/>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538" t="str">
        <f ca="1">IF(FM56=0,"",".")</f>
        <v/>
      </c>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126"/>
      <c r="DG60" s="126"/>
      <c r="DH60" s="126"/>
      <c r="DI60" s="126"/>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126"/>
      <c r="FE60" s="10"/>
      <c r="FF60" s="10"/>
      <c r="FG60" s="10"/>
      <c r="FH60" s="10"/>
      <c r="FI60" s="10"/>
      <c r="FJ60" s="10"/>
      <c r="FK60" s="26"/>
      <c r="FL60" s="26"/>
      <c r="FM60" s="47"/>
      <c r="FN60" s="47"/>
      <c r="FO60" s="47"/>
      <c r="FP60" s="47"/>
      <c r="FQ60" s="47"/>
      <c r="FR60" s="48"/>
      <c r="FS60" s="48"/>
      <c r="FT60" s="48"/>
      <c r="FU60" s="48"/>
      <c r="FV60" s="48"/>
      <c r="FW60" s="48"/>
      <c r="FX60" s="48"/>
      <c r="FY60" s="48"/>
      <c r="FZ60" s="49"/>
      <c r="GA60" s="49" t="str">
        <f t="shared" ref="GA60:GA73" ca="1" si="24">GB60</f>
        <v/>
      </c>
      <c r="GB60" s="49" t="str">
        <f t="shared" ca="1" si="19"/>
        <v/>
      </c>
      <c r="GC60" s="49" t="e">
        <f ca="1">0.2*GC74</f>
        <v>#VALUE!</v>
      </c>
      <c r="GD60" s="49">
        <f ca="1">IF(FO1=0,0,IF(FN37=1,GH74,IF(FN37=2,GH74,0)))</f>
        <v>0</v>
      </c>
      <c r="GE60" s="49">
        <f ca="1">IF(FO1=1,GG40*GB45^2+GH40*GB45^1+GI40+GF40/GA45,0)</f>
        <v>0</v>
      </c>
      <c r="GF60" s="49">
        <f ca="1">IF(FO1=1,GG40*GB45^2+GH40*GB45^1+GI40,0)</f>
        <v>0</v>
      </c>
      <c r="GG60" s="49">
        <f ca="1">IF(FO1=1,3*GG40*GB45^2+2*GH40*GB45^1+GI40,0)</f>
        <v>0</v>
      </c>
      <c r="GH60" s="49">
        <f ca="1">GH74</f>
        <v>0</v>
      </c>
      <c r="GI60" s="49" t="e">
        <f ca="1">0.2*GI74</f>
        <v>#DIV/0!</v>
      </c>
      <c r="GJ60" s="49">
        <f ca="1">0.2*GJ74</f>
        <v>0</v>
      </c>
      <c r="GK60" s="49">
        <f ca="1">GK74</f>
        <v>0</v>
      </c>
      <c r="GL60" s="49">
        <f ca="1">GL74</f>
        <v>0</v>
      </c>
      <c r="GM60" s="49">
        <f ca="1">IF(FO1=0,0,-GC40*GB45^2+GD40*GB45)</f>
        <v>0</v>
      </c>
      <c r="GN60" s="49">
        <f ca="1">IF(FO1=0,0,GG40*GC60^3+GH40*GC60^2+GI40*GC60+GF40)</f>
        <v>0</v>
      </c>
      <c r="GO60" s="49">
        <f ca="1">IF(FO1=0,0,IF(FN37=1,GH35*GD60+GK31,0))</f>
        <v>0</v>
      </c>
      <c r="GP60" s="49">
        <f ca="1">IF(FO1=0,0,IF(FN37=1,GH37*GD60+GK35,0))</f>
        <v>0</v>
      </c>
      <c r="GQ60" s="49">
        <f t="shared" ca="1" si="20"/>
        <v>0</v>
      </c>
      <c r="GR60" s="49" t="e">
        <f ca="1">0.2*GR74</f>
        <v>#DIV/0!</v>
      </c>
      <c r="GS60" s="49">
        <f ca="1">IF(FO1=1,GG40*GB45^3+GH40*GB45^2+GI40*GB45,0)</f>
        <v>0</v>
      </c>
      <c r="GT60" s="49">
        <f ca="1">GT74</f>
        <v>0</v>
      </c>
      <c r="GU60" s="49">
        <f ca="1">IF(FO1=0,0,IF(FN37=3,GU74,0))</f>
        <v>0</v>
      </c>
      <c r="GV60" s="49">
        <f ca="1">0.2*GV74</f>
        <v>0</v>
      </c>
      <c r="GW60" s="49">
        <f ca="1">IF(FO1=1,0.2*GW74,0)</f>
        <v>0</v>
      </c>
      <c r="GX60" s="49">
        <f ca="1">0.2*GX74</f>
        <v>0</v>
      </c>
      <c r="GY60" s="49">
        <f t="shared" ca="1" si="21"/>
        <v>0</v>
      </c>
      <c r="GZ60" s="49">
        <f t="shared" ca="1" si="22"/>
        <v>0</v>
      </c>
      <c r="HA60" s="49">
        <f t="shared" ca="1" si="23"/>
        <v>0</v>
      </c>
      <c r="HB60" s="49">
        <v>17</v>
      </c>
      <c r="HC60" s="49" t="e">
        <f ca="1">HC43+HB60*(HC100-HC43)/HB99</f>
        <v>#VALUE!</v>
      </c>
      <c r="HD60" s="49" t="e">
        <f ca="1">HB101*HC60^3+HB102*HC60^2+HB103*HC60+HB104</f>
        <v>#VALUE!</v>
      </c>
      <c r="HE60" s="49" t="e">
        <f t="shared" ca="1" si="7"/>
        <v>#VALUE!</v>
      </c>
      <c r="HF60" s="49" t="e">
        <f ca="1">HF43+HB60*(HF100-HF43)/HB99</f>
        <v>#VALUE!</v>
      </c>
      <c r="HG60" s="49" t="e">
        <f ca="1">HB101*HF60^3+HB102*HF60^2+HB103*HF60+HB104</f>
        <v>#VALUE!</v>
      </c>
      <c r="HH60" s="49" t="e">
        <f t="shared" ca="1" si="8"/>
        <v>#VALUE!</v>
      </c>
      <c r="HI60" s="49" t="e">
        <f ca="1">HI43+HB60*(HI100-HI43)/HB99</f>
        <v>#VALUE!</v>
      </c>
      <c r="HJ60" s="49" t="e">
        <f ca="1">GG40*HI60^3+GH40*HI60^2+GI40*HI60+GF40+GC75</f>
        <v>#VALUE!</v>
      </c>
      <c r="HK60" s="49" t="e">
        <f t="shared" ca="1" si="9"/>
        <v>#VALUE!</v>
      </c>
      <c r="HL60" s="49" t="e">
        <f t="shared" ca="1" si="10"/>
        <v>#VALUE!</v>
      </c>
      <c r="HM60" s="49" t="e">
        <f t="shared" ca="1" si="11"/>
        <v>#VALUE!</v>
      </c>
      <c r="HN60" s="49" t="e">
        <f t="shared" ca="1" si="12"/>
        <v>#VALUE!</v>
      </c>
      <c r="HO60" s="49" t="e">
        <f t="shared" ca="1" si="13"/>
        <v>#VALUE!</v>
      </c>
      <c r="HP60" s="49" t="e">
        <f t="shared" ca="1" si="14"/>
        <v>#VALUE!</v>
      </c>
      <c r="HQ60" s="49" t="e">
        <f t="shared" ca="1" si="15"/>
        <v>#VALUE!</v>
      </c>
      <c r="HR60" s="49" t="e">
        <f t="shared" ca="1" si="18"/>
        <v>#VALUE!</v>
      </c>
      <c r="HS60" s="49"/>
      <c r="HT60" s="49"/>
      <c r="HU60" s="49"/>
      <c r="HV60" s="49"/>
      <c r="HW60" s="49"/>
      <c r="HX60" s="49"/>
      <c r="HY60" s="49"/>
    </row>
    <row r="61" spans="1:233" ht="16.5" customHeight="1">
      <c r="A61" s="1"/>
      <c r="B61" s="3"/>
      <c r="C61" s="3"/>
      <c r="D61" s="43"/>
      <c r="E61" s="126"/>
      <c r="F61" s="10"/>
      <c r="G61" s="10"/>
      <c r="H61" s="10"/>
      <c r="I61" s="10"/>
      <c r="J61" s="79"/>
      <c r="K61" s="10"/>
      <c r="L61" s="10"/>
      <c r="M61" s="10"/>
      <c r="N61" s="10"/>
      <c r="O61" s="10"/>
      <c r="P61" s="10"/>
      <c r="Q61" s="10"/>
      <c r="R61" s="10"/>
      <c r="S61" s="10"/>
      <c r="T61" s="10"/>
      <c r="U61" s="10"/>
      <c r="V61" s="10"/>
      <c r="W61" s="10"/>
      <c r="X61" s="10"/>
      <c r="Y61" s="10"/>
      <c r="Z61" s="10"/>
      <c r="AA61" s="10"/>
      <c r="AB61" s="10"/>
      <c r="AC61" s="10"/>
      <c r="AD61" s="10"/>
      <c r="AE61" s="10"/>
      <c r="AF61" s="126"/>
      <c r="AG61" s="126"/>
      <c r="AH61" s="126"/>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125" t="str">
        <f ca="1">IF(FM56=0,"","Bij de afzet op lange termijn geldt ook dat:")</f>
        <v/>
      </c>
      <c r="CA61" s="43"/>
      <c r="CB61" s="195" t="str">
        <f ca="1">IF(FM56=0,"",".")</f>
        <v/>
      </c>
      <c r="CC61" s="684"/>
      <c r="CD61" s="636"/>
      <c r="CE61" s="636"/>
      <c r="CF61" s="636"/>
      <c r="CG61" s="636"/>
      <c r="CH61" s="636"/>
      <c r="CI61" s="636"/>
      <c r="CJ61" s="636"/>
      <c r="CK61" s="636"/>
      <c r="CL61" s="636"/>
      <c r="CM61" s="636"/>
      <c r="CN61" s="636"/>
      <c r="CO61" s="636"/>
      <c r="CP61" s="636"/>
      <c r="CQ61" s="636"/>
      <c r="CR61" s="636"/>
      <c r="CS61" s="636"/>
      <c r="CT61" s="636"/>
      <c r="CU61" s="636"/>
      <c r="CV61" s="636"/>
      <c r="CW61" s="636"/>
      <c r="CX61" s="636"/>
      <c r="CY61" s="629"/>
      <c r="CZ61" s="629"/>
      <c r="DA61" s="629"/>
      <c r="DB61" s="629"/>
      <c r="DC61" s="629"/>
      <c r="DD61" s="629"/>
      <c r="DE61" s="226" t="str">
        <f ca="1">IF(FM56=0,"",".")</f>
        <v/>
      </c>
      <c r="DF61" s="126"/>
      <c r="DG61" s="207" t="str">
        <f ca="1">IF(FM56=0,"",IF(CC61="","",IF(CC61="","",IF(FN61=1,"Goed!","Fout! Probeer het opnieuw."))))</f>
        <v/>
      </c>
      <c r="DH61" s="126"/>
      <c r="DI61" s="126"/>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126"/>
      <c r="FE61" s="10"/>
      <c r="FF61" s="10"/>
      <c r="FG61" s="10"/>
      <c r="FH61" s="10"/>
      <c r="FI61" s="10"/>
      <c r="FJ61" s="10"/>
      <c r="FK61" s="26"/>
      <c r="FL61" s="26"/>
      <c r="FM61" s="94" t="str">
        <f ca="1">IF(FN1=0,"",FO61)</f>
        <v>MO = MK</v>
      </c>
      <c r="FN61">
        <f ca="1">IF(programma!B1="X",1,IF(FM56=0,0,IF(CC61=FO61,1,0)))</f>
        <v>0</v>
      </c>
      <c r="FO61" s="135" t="str">
        <f>FS61</f>
        <v>MO = MK</v>
      </c>
      <c r="FP61" s="79"/>
      <c r="FQ61" s="48" t="s">
        <v>101</v>
      </c>
      <c r="FR61" s="48" t="s">
        <v>62</v>
      </c>
      <c r="FS61" s="48" t="s">
        <v>48</v>
      </c>
      <c r="FT61" s="48" t="s">
        <v>102</v>
      </c>
      <c r="FU61" s="48" t="s">
        <v>104</v>
      </c>
      <c r="FV61" s="48" t="s">
        <v>103</v>
      </c>
      <c r="FW61" s="48"/>
      <c r="FX61" s="48"/>
      <c r="FY61" s="48"/>
      <c r="FZ61" s="49"/>
      <c r="GA61" s="49" t="str">
        <f t="shared" ca="1" si="24"/>
        <v/>
      </c>
      <c r="GB61" s="49" t="str">
        <f t="shared" ca="1" si="19"/>
        <v/>
      </c>
      <c r="GC61" s="49" t="e">
        <f ca="1">0.3*GC74</f>
        <v>#VALUE!</v>
      </c>
      <c r="GD61" s="49">
        <f ca="1">IF(FO1=0,0,IF(FN37=1,GD60+1*GB44,IF(FN37=2,GH74+1*GB44,0)))</f>
        <v>0</v>
      </c>
      <c r="GE61" s="49">
        <f ca="1">IF(FO1=1,GG40*GB46^2+GH40*GB46^1+GI40+GF40/GA46,0)</f>
        <v>0</v>
      </c>
      <c r="GF61" s="49">
        <f ca="1">IF(FO1=1,GG40*GB46^2+GH40*GB46^1+GI40,0)</f>
        <v>0</v>
      </c>
      <c r="GG61" s="49">
        <f ca="1">IF(FO1=1,3*GG40*GB46^2+2*GH40*GB46^1+GI40,0)</f>
        <v>0</v>
      </c>
      <c r="GH61" s="49">
        <f ca="1">GH74</f>
        <v>0</v>
      </c>
      <c r="GI61" s="49" t="e">
        <f ca="1">0.3*GI74</f>
        <v>#DIV/0!</v>
      </c>
      <c r="GJ61" s="49">
        <f ca="1">0.3*GJ74</f>
        <v>0</v>
      </c>
      <c r="GK61" s="49">
        <f ca="1">GK74</f>
        <v>0</v>
      </c>
      <c r="GL61" s="49">
        <f ca="1">GL74</f>
        <v>0</v>
      </c>
      <c r="GM61" s="49">
        <f ca="1">IF(FO1=0,0,-GC40*GB46^2+GD40*GB46)</f>
        <v>0</v>
      </c>
      <c r="GN61" s="49">
        <f ca="1">IF(FO1=0,0,GG40*GC61^3+GH40*GC61^2+GI40*GC61+GF40)</f>
        <v>0</v>
      </c>
      <c r="GO61" s="49">
        <f ca="1">IF(FO1=0,0,IF(FN37=1,GH35*GD61+GK31,0))</f>
        <v>0</v>
      </c>
      <c r="GP61" s="49">
        <f ca="1">IF(FO1=0,0,IF(FN37=1,GH37*GD61+GK35,0))</f>
        <v>0</v>
      </c>
      <c r="GQ61" s="49">
        <f t="shared" ca="1" si="20"/>
        <v>0</v>
      </c>
      <c r="GR61" s="49" t="e">
        <f ca="1">0.3*GR74</f>
        <v>#DIV/0!</v>
      </c>
      <c r="GS61" s="49">
        <f ca="1">IF(FO1=1,GG40*GB46^3+GH40*GB46^2+GI40*GB46,0)</f>
        <v>0</v>
      </c>
      <c r="GT61" s="49">
        <f ca="1">GT74</f>
        <v>0</v>
      </c>
      <c r="GU61" s="49">
        <f ca="1">IF(FO1=0,0,IF(FN37=3,GU74,0))</f>
        <v>0</v>
      </c>
      <c r="GV61" s="49">
        <f ca="1">0.3*GV74</f>
        <v>0</v>
      </c>
      <c r="GW61" s="49">
        <f ca="1">IF(FO1=1,0.3*GW74,0)</f>
        <v>0</v>
      </c>
      <c r="GX61" s="49">
        <f ca="1">0.3*GX74</f>
        <v>0</v>
      </c>
      <c r="GY61" s="49">
        <f t="shared" ca="1" si="21"/>
        <v>0</v>
      </c>
      <c r="GZ61" s="49">
        <f t="shared" ca="1" si="22"/>
        <v>0</v>
      </c>
      <c r="HA61" s="49">
        <f t="shared" ca="1" si="23"/>
        <v>0</v>
      </c>
      <c r="HB61" s="49">
        <v>18</v>
      </c>
      <c r="HC61" s="49" t="e">
        <f ca="1">HC43+HB61*(HC100-HC43)/HB99</f>
        <v>#VALUE!</v>
      </c>
      <c r="HD61" s="49" t="e">
        <f ca="1">HB101*HC61^3+HB102*HC61^2+HB103*HC61+HB104</f>
        <v>#VALUE!</v>
      </c>
      <c r="HE61" s="49" t="e">
        <f t="shared" ca="1" si="7"/>
        <v>#VALUE!</v>
      </c>
      <c r="HF61" s="49" t="e">
        <f ca="1">HF43+HB61*(HF100-HF43)/HB99</f>
        <v>#VALUE!</v>
      </c>
      <c r="HG61" s="49" t="e">
        <f ca="1">HB101*HF61^3+HB102*HF61^2+HB103*HF61+HB104</f>
        <v>#VALUE!</v>
      </c>
      <c r="HH61" s="49" t="e">
        <f t="shared" ca="1" si="8"/>
        <v>#VALUE!</v>
      </c>
      <c r="HI61" s="49" t="e">
        <f ca="1">HI43+HB61*(HI100-HI43)/HB99</f>
        <v>#VALUE!</v>
      </c>
      <c r="HJ61" s="49" t="e">
        <f ca="1">GG40*HI61^3+GH40*HI61^2+GI40*HI61+GF40+GC75</f>
        <v>#VALUE!</v>
      </c>
      <c r="HK61" s="49" t="e">
        <f t="shared" ca="1" si="9"/>
        <v>#VALUE!</v>
      </c>
      <c r="HL61" s="49" t="e">
        <f t="shared" ca="1" si="10"/>
        <v>#VALUE!</v>
      </c>
      <c r="HM61" s="49" t="e">
        <f t="shared" ca="1" si="11"/>
        <v>#VALUE!</v>
      </c>
      <c r="HN61" s="49" t="e">
        <f t="shared" ca="1" si="12"/>
        <v>#VALUE!</v>
      </c>
      <c r="HO61" s="49" t="e">
        <f t="shared" ca="1" si="13"/>
        <v>#VALUE!</v>
      </c>
      <c r="HP61" s="49" t="e">
        <f t="shared" ca="1" si="14"/>
        <v>#VALUE!</v>
      </c>
      <c r="HQ61" s="49" t="e">
        <f t="shared" ca="1" si="15"/>
        <v>#VALUE!</v>
      </c>
      <c r="HR61" s="49" t="e">
        <f t="shared" ca="1" si="18"/>
        <v>#VALUE!</v>
      </c>
      <c r="HS61" s="49"/>
      <c r="HT61" s="49"/>
      <c r="HU61" s="49"/>
      <c r="HV61" s="49"/>
      <c r="HW61" s="49"/>
      <c r="HX61" s="49"/>
      <c r="HY61" s="49"/>
    </row>
    <row r="62" spans="1:233" ht="3.75" customHeight="1">
      <c r="A62" s="1"/>
      <c r="B62" s="3"/>
      <c r="C62" s="3"/>
      <c r="D62" s="38"/>
      <c r="E62" s="126"/>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26"/>
      <c r="AG62" s="126"/>
      <c r="AH62" s="126"/>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538" t="str">
        <f ca="1">IF(FM56=0,"",".")</f>
        <v/>
      </c>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126"/>
      <c r="DG62" s="126"/>
      <c r="DH62" s="126"/>
      <c r="DI62" s="126"/>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126"/>
      <c r="FE62" s="10"/>
      <c r="FF62" s="10"/>
      <c r="FG62" s="10"/>
      <c r="FH62" s="10"/>
      <c r="FI62" s="10"/>
      <c r="FJ62" s="10"/>
      <c r="FK62" s="26"/>
      <c r="FL62" s="26"/>
      <c r="FM62" s="47"/>
      <c r="FN62" s="47"/>
      <c r="FO62" s="47"/>
      <c r="FP62" s="47"/>
      <c r="FQ62" s="47"/>
      <c r="FR62" s="48"/>
      <c r="FS62" s="48"/>
      <c r="FT62" s="48"/>
      <c r="FU62" s="48"/>
      <c r="FV62" s="48"/>
      <c r="FW62" s="48"/>
      <c r="FX62" s="48"/>
      <c r="FY62" s="48"/>
      <c r="FZ62" s="49"/>
      <c r="GA62" s="49" t="str">
        <f t="shared" ca="1" si="24"/>
        <v/>
      </c>
      <c r="GB62" s="49" t="str">
        <f t="shared" ca="1" si="19"/>
        <v/>
      </c>
      <c r="GC62" s="49" t="e">
        <f ca="1">0.4*GC74</f>
        <v>#VALUE!</v>
      </c>
      <c r="GD62" s="49">
        <f ca="1">IF(FO1=0,0,IF(FN37=1,GD60+2*GB44,IF(FN37=2,GH74+2*GB44,0)))</f>
        <v>0</v>
      </c>
      <c r="GE62" s="49">
        <f ca="1">IF(FO1=1,GG40*GB47^2+GH40*GB47^1+GI40+GF40/GA47,0)</f>
        <v>0</v>
      </c>
      <c r="GF62" s="49">
        <f ca="1">IF(FO1=1,GG40*GB47^2+GH40*GB47^1+GI40,0)</f>
        <v>0</v>
      </c>
      <c r="GG62" s="49">
        <f ca="1">IF(FO1=1,3*GG40*GB47^2+2*GH40*GB47^1+GI40,0)</f>
        <v>0</v>
      </c>
      <c r="GH62" s="49">
        <f ca="1">GH74</f>
        <v>0</v>
      </c>
      <c r="GI62" s="49" t="e">
        <f ca="1">0.4*GI74</f>
        <v>#DIV/0!</v>
      </c>
      <c r="GJ62" s="49">
        <f ca="1">0.4*GJ74</f>
        <v>0</v>
      </c>
      <c r="GK62" s="49">
        <f ca="1">GK74</f>
        <v>0</v>
      </c>
      <c r="GL62" s="49">
        <f ca="1">GL74</f>
        <v>0</v>
      </c>
      <c r="GM62" s="49">
        <f ca="1">IF(FO1=0,0,-GC40*GB47^2+GD40*GB47)</f>
        <v>0</v>
      </c>
      <c r="GN62" s="49">
        <f ca="1">IF(FO1=0,0,GG40*GC62^3+GH40*GC62^2+GI40*GC62+GF40)</f>
        <v>0</v>
      </c>
      <c r="GO62" s="49">
        <f ca="1">IF(FO1=0,0,IF(FN37=1,GH35*GD62+GK31,0))</f>
        <v>0</v>
      </c>
      <c r="GP62" s="49">
        <f ca="1">IF(FO1=0,0,IF(FN37=1,GH37*GD62+GK35,0))</f>
        <v>0</v>
      </c>
      <c r="GQ62" s="49">
        <f t="shared" ca="1" si="20"/>
        <v>0</v>
      </c>
      <c r="GR62" s="49" t="e">
        <f ca="1">0.4*GR74</f>
        <v>#DIV/0!</v>
      </c>
      <c r="GS62" s="49">
        <f ca="1">IF(FO1=1,GG40*GB47^3+GH40*GB47^2+GI40*GB47,0)</f>
        <v>0</v>
      </c>
      <c r="GT62" s="49">
        <f ca="1">GT74</f>
        <v>0</v>
      </c>
      <c r="GU62" s="49">
        <f ca="1">IF(FO1=0,0,IF(FN37=3,GU74,0))</f>
        <v>0</v>
      </c>
      <c r="GV62" s="49">
        <f ca="1">0.4*GV74</f>
        <v>0</v>
      </c>
      <c r="GW62" s="49">
        <f ca="1">IF(FO1=1,0.4*GW74,0)</f>
        <v>0</v>
      </c>
      <c r="GX62" s="49">
        <f ca="1">0.4*GX74</f>
        <v>0</v>
      </c>
      <c r="GY62" s="49">
        <f t="shared" ca="1" si="21"/>
        <v>0</v>
      </c>
      <c r="GZ62" s="49">
        <f t="shared" ca="1" si="22"/>
        <v>0</v>
      </c>
      <c r="HA62" s="49">
        <f t="shared" ca="1" si="23"/>
        <v>0</v>
      </c>
      <c r="HB62" s="49">
        <v>19</v>
      </c>
      <c r="HC62" s="49" t="e">
        <f ca="1">HC43+HB62*(HC100-HC43)/HB99</f>
        <v>#VALUE!</v>
      </c>
      <c r="HD62" s="49" t="e">
        <f ca="1">HB101*HC62^3+HB102*HC62^2+HB103*HC62+HB104</f>
        <v>#VALUE!</v>
      </c>
      <c r="HE62" s="49" t="e">
        <f t="shared" ca="1" si="7"/>
        <v>#VALUE!</v>
      </c>
      <c r="HF62" s="49" t="e">
        <f ca="1">HF43+HB62*(HF100-HF43)/HB99</f>
        <v>#VALUE!</v>
      </c>
      <c r="HG62" s="49" t="e">
        <f ca="1">HB101*HF62^3+HB102*HF62^2+HB103*HF62+HB104</f>
        <v>#VALUE!</v>
      </c>
      <c r="HH62" s="49" t="e">
        <f t="shared" ca="1" si="8"/>
        <v>#VALUE!</v>
      </c>
      <c r="HI62" s="49" t="e">
        <f ca="1">HI43+HB62*(HI100-HI43)/HB99</f>
        <v>#VALUE!</v>
      </c>
      <c r="HJ62" s="49" t="e">
        <f ca="1">GG40*HI62^3+GH40*HI62^2+GI40*HI62+GF40+GC75</f>
        <v>#VALUE!</v>
      </c>
      <c r="HK62" s="49" t="e">
        <f t="shared" ca="1" si="9"/>
        <v>#VALUE!</v>
      </c>
      <c r="HL62" s="49" t="e">
        <f t="shared" ca="1" si="10"/>
        <v>#VALUE!</v>
      </c>
      <c r="HM62" s="49" t="e">
        <f t="shared" ca="1" si="11"/>
        <v>#VALUE!</v>
      </c>
      <c r="HN62" s="49" t="e">
        <f t="shared" ca="1" si="12"/>
        <v>#VALUE!</v>
      </c>
      <c r="HO62" s="49" t="e">
        <f t="shared" ca="1" si="13"/>
        <v>#VALUE!</v>
      </c>
      <c r="HP62" s="49" t="e">
        <f t="shared" ca="1" si="14"/>
        <v>#VALUE!</v>
      </c>
      <c r="HQ62" s="49" t="e">
        <f t="shared" ca="1" si="15"/>
        <v>#VALUE!</v>
      </c>
      <c r="HR62" s="49" t="e">
        <f t="shared" ca="1" si="18"/>
        <v>#VALUE!</v>
      </c>
      <c r="HS62" s="49"/>
      <c r="HT62" s="49"/>
      <c r="HU62" s="49"/>
      <c r="HV62" s="49"/>
      <c r="HW62" s="49"/>
      <c r="HX62" s="49"/>
      <c r="HY62" s="49"/>
    </row>
    <row r="63" spans="1:233" ht="16.5" customHeight="1">
      <c r="A63" s="1"/>
      <c r="B63" s="3"/>
      <c r="C63" s="3"/>
      <c r="D63" s="38"/>
      <c r="E63" s="126"/>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26"/>
      <c r="AG63" s="126"/>
      <c r="AH63" s="126"/>
      <c r="AI63" s="126"/>
      <c r="AJ63" s="126"/>
      <c r="AK63" s="126"/>
      <c r="AL63" s="126"/>
      <c r="AM63" s="126"/>
      <c r="AN63" s="126"/>
      <c r="AO63" s="126"/>
      <c r="AP63" s="126"/>
      <c r="AQ63" s="43"/>
      <c r="AR63" s="43"/>
      <c r="AS63" s="43"/>
      <c r="AT63" s="43"/>
      <c r="AU63" s="43"/>
      <c r="AV63" s="43"/>
      <c r="AW63" s="43"/>
      <c r="AX63" s="43"/>
      <c r="AY63" s="43"/>
      <c r="AZ63" s="43"/>
      <c r="BA63" s="43"/>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0"/>
      <c r="FF63" s="10"/>
      <c r="FG63" s="10"/>
      <c r="FH63" s="10"/>
      <c r="FI63" s="10"/>
      <c r="FJ63" s="10"/>
      <c r="FK63" s="26"/>
      <c r="FL63" s="26"/>
      <c r="FM63" s="47"/>
      <c r="FN63" s="47"/>
      <c r="FO63" s="47"/>
      <c r="FP63" s="112"/>
      <c r="FQ63" s="47"/>
      <c r="FR63" s="48"/>
      <c r="FS63" s="48"/>
      <c r="FT63" s="48"/>
      <c r="FU63" s="48"/>
      <c r="FV63" s="48"/>
      <c r="FW63" s="48"/>
      <c r="FX63" s="48"/>
      <c r="FY63" s="48"/>
      <c r="FZ63" s="49"/>
      <c r="GA63" s="49" t="str">
        <f t="shared" ca="1" si="24"/>
        <v/>
      </c>
      <c r="GB63" s="49" t="str">
        <f t="shared" ca="1" si="19"/>
        <v/>
      </c>
      <c r="GC63" s="49" t="e">
        <f ca="1">0.5*GC74</f>
        <v>#VALUE!</v>
      </c>
      <c r="GD63" s="49"/>
      <c r="GE63" s="49">
        <f ca="1">IF(FO1=1,GG40*GB48^2+GH40*GB48^1+GI40+GF40/GA48,0)</f>
        <v>0</v>
      </c>
      <c r="GF63" s="49">
        <f ca="1">IF(FO1=1,GG40*GB48^2+GH40*GB48^1+GI40,0)</f>
        <v>0</v>
      </c>
      <c r="GG63" s="49">
        <f ca="1">IF(FO1=1,3*GG40*GB48^2+2*GH40*GB48^1+GI40,0)</f>
        <v>0</v>
      </c>
      <c r="GH63" s="49">
        <f ca="1">GH74</f>
        <v>0</v>
      </c>
      <c r="GI63" s="49" t="e">
        <f ca="1">0.5*GI74</f>
        <v>#DIV/0!</v>
      </c>
      <c r="GJ63" s="49">
        <f ca="1">0.5*GJ74</f>
        <v>0</v>
      </c>
      <c r="GK63" s="49">
        <f ca="1">GK74</f>
        <v>0</v>
      </c>
      <c r="GL63" s="49">
        <f ca="1">GL74</f>
        <v>0</v>
      </c>
      <c r="GM63" s="49">
        <f ca="1">IF(FO1=0,0,-GC40*GB48^2+GD40*GB48)</f>
        <v>0</v>
      </c>
      <c r="GN63" s="49">
        <f ca="1">IF(FO1=0,0,GG40*GC63^3+GH40*GC63^2+GI40*GC63+GF40)</f>
        <v>0</v>
      </c>
      <c r="GO63" s="49"/>
      <c r="GP63" s="49"/>
      <c r="GQ63" s="49">
        <f t="shared" ca="1" si="20"/>
        <v>0</v>
      </c>
      <c r="GR63" s="49" t="e">
        <f ca="1">0.5*GR74</f>
        <v>#DIV/0!</v>
      </c>
      <c r="GS63" s="49">
        <f ca="1">IF(FO1=1,GG40*GB48^3+GH40*GB48^2+GI40*GB48,0)</f>
        <v>0</v>
      </c>
      <c r="GT63" s="49">
        <f ca="1">GT74</f>
        <v>0</v>
      </c>
      <c r="GU63" s="49">
        <f ca="1">IF(FO1=0,0,IF(FN37=3,GU74,0))</f>
        <v>0</v>
      </c>
      <c r="GV63" s="49">
        <f ca="1">0.5*GV74</f>
        <v>0</v>
      </c>
      <c r="GW63" s="49">
        <f ca="1">IF(FO1=1,0.5*GW74,0)</f>
        <v>0</v>
      </c>
      <c r="GX63" s="49">
        <f ca="1">0.5*GX74</f>
        <v>0</v>
      </c>
      <c r="GY63" s="49">
        <f t="shared" ca="1" si="21"/>
        <v>0</v>
      </c>
      <c r="GZ63" s="49">
        <f t="shared" ca="1" si="22"/>
        <v>0</v>
      </c>
      <c r="HA63" s="49">
        <f t="shared" ca="1" si="23"/>
        <v>0</v>
      </c>
      <c r="HB63" s="49">
        <v>20</v>
      </c>
      <c r="HC63" s="49" t="e">
        <f ca="1">HC43+HB63*(HC100-HC43)/HB99</f>
        <v>#VALUE!</v>
      </c>
      <c r="HD63" s="49" t="e">
        <f ca="1">HB101*HC63^3+HB102*HC63^2+HB103*HC63+HB104</f>
        <v>#VALUE!</v>
      </c>
      <c r="HE63" s="49" t="e">
        <f t="shared" ca="1" si="7"/>
        <v>#VALUE!</v>
      </c>
      <c r="HF63" s="49" t="e">
        <f ca="1">HF43+HB63*(HF100-HF43)/HB99</f>
        <v>#VALUE!</v>
      </c>
      <c r="HG63" s="49" t="e">
        <f ca="1">HB101*HF63^3+HB102*HF63^2+HB103*HF63+HB104</f>
        <v>#VALUE!</v>
      </c>
      <c r="HH63" s="49" t="e">
        <f t="shared" ca="1" si="8"/>
        <v>#VALUE!</v>
      </c>
      <c r="HI63" s="49" t="e">
        <f ca="1">HI43+HB63*(HI100-HI43)/HB99</f>
        <v>#VALUE!</v>
      </c>
      <c r="HJ63" s="49" t="e">
        <f ca="1">GG40*HI63^3+GH40*HI63^2+GI40*HI63+GF40+GC75</f>
        <v>#VALUE!</v>
      </c>
      <c r="HK63" s="49" t="e">
        <f t="shared" ca="1" si="9"/>
        <v>#VALUE!</v>
      </c>
      <c r="HL63" s="49" t="e">
        <f t="shared" ca="1" si="10"/>
        <v>#VALUE!</v>
      </c>
      <c r="HM63" s="49" t="e">
        <f t="shared" ca="1" si="11"/>
        <v>#VALUE!</v>
      </c>
      <c r="HN63" s="49" t="e">
        <f t="shared" ca="1" si="12"/>
        <v>#VALUE!</v>
      </c>
      <c r="HO63" s="49" t="e">
        <f t="shared" ca="1" si="13"/>
        <v>#VALUE!</v>
      </c>
      <c r="HP63" s="49" t="e">
        <f t="shared" ca="1" si="14"/>
        <v>#VALUE!</v>
      </c>
      <c r="HQ63" s="49" t="e">
        <f t="shared" ca="1" si="15"/>
        <v>#VALUE!</v>
      </c>
      <c r="HR63" s="49" t="e">
        <f t="shared" ca="1" si="18"/>
        <v>#VALUE!</v>
      </c>
      <c r="HS63" s="49"/>
      <c r="HT63" s="49"/>
      <c r="HU63" s="49"/>
      <c r="HV63" s="49"/>
      <c r="HW63" s="49"/>
      <c r="HX63" s="49"/>
      <c r="HY63" s="49"/>
    </row>
    <row r="64" spans="1:233" ht="16.5" customHeight="1">
      <c r="A64" s="1"/>
      <c r="B64" s="3"/>
      <c r="C64" s="3"/>
      <c r="D64" s="373" t="str">
        <f ca="1">IF(FN61=0,"","En wat kun je zeggen van het producentensurplus op lange termijn?")</f>
        <v/>
      </c>
      <c r="E64" s="376"/>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376"/>
      <c r="AG64" s="376"/>
      <c r="AH64" s="376"/>
      <c r="AI64" s="376"/>
      <c r="AJ64" s="376"/>
      <c r="AK64" s="376"/>
      <c r="AL64" s="376"/>
      <c r="AM64" s="376"/>
      <c r="AN64" s="376"/>
      <c r="AO64" s="376"/>
      <c r="AP64" s="376"/>
      <c r="AQ64" s="43"/>
      <c r="AR64" s="43"/>
      <c r="AS64" s="43"/>
      <c r="AT64" s="43"/>
      <c r="AU64" s="43"/>
      <c r="AV64" s="43"/>
      <c r="AW64" s="43"/>
      <c r="AX64" s="43"/>
      <c r="AY64" s="43"/>
      <c r="AZ64" s="43"/>
      <c r="BA64" s="43"/>
      <c r="BB64" s="376"/>
      <c r="BC64" s="376"/>
      <c r="BD64" s="376"/>
      <c r="BE64" s="376"/>
      <c r="BF64" s="376"/>
      <c r="BG64" s="376"/>
      <c r="BH64" s="376"/>
      <c r="BI64" s="376"/>
      <c r="BJ64" s="376"/>
      <c r="BK64" s="376"/>
      <c r="BL64" s="376"/>
      <c r="BM64" s="376"/>
      <c r="BN64" s="376"/>
      <c r="BO64" s="376"/>
      <c r="BP64" s="376"/>
      <c r="BQ64" s="376"/>
      <c r="BR64" s="376"/>
      <c r="BS64" s="376"/>
      <c r="BT64" s="376"/>
      <c r="BU64" s="376"/>
      <c r="BV64" s="376"/>
      <c r="BW64" s="376"/>
      <c r="BX64" s="376"/>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376"/>
      <c r="EG64" s="376"/>
      <c r="EH64" s="376"/>
      <c r="EI64" s="376"/>
      <c r="EJ64" s="376"/>
      <c r="EK64" s="376"/>
      <c r="EL64" s="376"/>
      <c r="EM64" s="376"/>
      <c r="EN64" s="376"/>
      <c r="EO64" s="376"/>
      <c r="EP64" s="376"/>
      <c r="EQ64" s="376"/>
      <c r="ER64" s="376"/>
      <c r="ES64" s="376"/>
      <c r="ET64" s="376"/>
      <c r="EU64" s="376"/>
      <c r="EV64" s="376"/>
      <c r="EW64" s="376"/>
      <c r="EX64" s="376"/>
      <c r="EY64" s="376"/>
      <c r="EZ64" s="376"/>
      <c r="FA64" s="376"/>
      <c r="FB64" s="376"/>
      <c r="FC64" s="376"/>
      <c r="FD64" s="376"/>
      <c r="FE64" s="10"/>
      <c r="FF64" s="10"/>
      <c r="FG64" s="10"/>
      <c r="FH64" s="10"/>
      <c r="FI64" s="10"/>
      <c r="FJ64" s="10"/>
      <c r="FK64" s="26"/>
      <c r="FL64" s="26"/>
      <c r="FM64" s="47"/>
      <c r="FN64" s="47"/>
      <c r="FO64" s="47"/>
      <c r="FP64" s="112"/>
      <c r="FQ64" s="47"/>
      <c r="FR64" s="48"/>
      <c r="FS64" s="48"/>
      <c r="FT64" s="48"/>
      <c r="FU64" s="48"/>
      <c r="FV64" s="48"/>
      <c r="FW64" s="48"/>
      <c r="FX64" s="48"/>
      <c r="FY64" s="48"/>
      <c r="FZ64" s="49"/>
      <c r="GA64" s="49"/>
      <c r="GB64" s="49"/>
      <c r="GC64" s="49"/>
      <c r="GD64" s="49"/>
      <c r="GE64" s="49"/>
      <c r="GF64" s="49"/>
      <c r="GG64" s="49"/>
      <c r="GH64" s="49"/>
      <c r="GI64" s="49"/>
      <c r="GJ64" s="49"/>
      <c r="GK64" s="49"/>
      <c r="GL64" s="49"/>
      <c r="GM64" s="49"/>
      <c r="GN64" s="49"/>
      <c r="GO64" s="49"/>
      <c r="GP64" s="49"/>
      <c r="GQ64" s="49"/>
      <c r="GR64" s="49"/>
      <c r="GS64" s="49"/>
      <c r="GT64" s="49"/>
      <c r="GU64" s="49"/>
      <c r="GV64" s="49"/>
      <c r="GW64" s="49"/>
      <c r="GX64" s="49"/>
      <c r="GY64" s="49"/>
      <c r="GZ64" s="49"/>
      <c r="HA64" s="49"/>
      <c r="HB64" s="49"/>
      <c r="HC64" s="49"/>
      <c r="HD64" s="49"/>
      <c r="HE64" s="49"/>
      <c r="HF64" s="49"/>
      <c r="HG64" s="49"/>
      <c r="HH64" s="49"/>
      <c r="HI64" s="49"/>
      <c r="HJ64" s="49"/>
      <c r="HK64" s="49"/>
      <c r="HL64" s="49"/>
      <c r="HM64" s="49"/>
      <c r="HN64" s="49"/>
      <c r="HO64" s="49"/>
      <c r="HP64" s="49"/>
      <c r="HQ64" s="49"/>
      <c r="HR64" s="49"/>
      <c r="HS64" s="49"/>
      <c r="HT64" s="49"/>
      <c r="HU64" s="49"/>
      <c r="HV64" s="49"/>
      <c r="HW64" s="49"/>
      <c r="HX64" s="49"/>
      <c r="HY64" s="49"/>
    </row>
    <row r="65" spans="1:233" s="268" customFormat="1" ht="8.4" customHeight="1">
      <c r="A65" s="60"/>
      <c r="B65" s="69"/>
      <c r="C65" s="69"/>
      <c r="D65" s="369"/>
      <c r="E65" s="369"/>
      <c r="F65" s="369"/>
      <c r="G65" s="369"/>
      <c r="H65" s="369"/>
      <c r="I65" s="369"/>
      <c r="J65" s="369"/>
      <c r="K65" s="369"/>
      <c r="L65" s="369"/>
      <c r="M65" s="369"/>
      <c r="N65" s="369"/>
      <c r="O65" s="369"/>
      <c r="DZ65" s="141"/>
      <c r="EA65" s="141"/>
      <c r="EB65" s="141"/>
      <c r="EC65" s="141"/>
      <c r="ED65" s="141"/>
      <c r="EE65" s="141"/>
      <c r="EF65" s="141"/>
      <c r="EG65" s="141"/>
      <c r="EH65" s="141"/>
      <c r="EI65" s="141"/>
      <c r="EJ65" s="141"/>
      <c r="EK65" s="141"/>
      <c r="EL65" s="141"/>
      <c r="EM65" s="141"/>
      <c r="EN65" s="141"/>
      <c r="EO65" s="141"/>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257"/>
      <c r="FN65" s="257"/>
      <c r="FO65" s="257"/>
      <c r="FP65" s="300"/>
      <c r="FQ65" s="277"/>
      <c r="FR65" s="277"/>
      <c r="FS65" s="277"/>
      <c r="FT65" s="277"/>
      <c r="FU65" s="277"/>
      <c r="FV65" s="277"/>
      <c r="FW65" s="277"/>
      <c r="FX65" s="277"/>
      <c r="FY65" s="277"/>
      <c r="FZ65" s="277"/>
      <c r="GA65" s="277"/>
      <c r="GB65" s="257"/>
      <c r="GC65" s="257"/>
      <c r="GD65" s="257"/>
      <c r="GE65" s="257"/>
      <c r="GF65" s="257"/>
      <c r="GG65" s="257"/>
      <c r="GH65" s="257"/>
      <c r="GI65" s="257"/>
      <c r="GJ65" s="257"/>
      <c r="GK65" s="257"/>
      <c r="GL65" s="257"/>
      <c r="GM65" s="257"/>
      <c r="GN65" s="257"/>
      <c r="GO65" s="49"/>
      <c r="GP65" s="49"/>
      <c r="GQ65" s="49"/>
      <c r="GR65" s="49"/>
      <c r="GS65" s="49"/>
      <c r="GT65" s="49"/>
      <c r="GU65" s="49"/>
      <c r="GV65" s="49"/>
      <c r="GW65" s="49"/>
      <c r="GX65" s="49"/>
      <c r="GY65" s="49"/>
      <c r="GZ65" s="49"/>
      <c r="HA65" s="49"/>
      <c r="HB65" s="49"/>
      <c r="HC65" s="49"/>
      <c r="HD65" s="49"/>
      <c r="HE65" s="49"/>
      <c r="HF65" s="49"/>
      <c r="HG65" s="49"/>
      <c r="HH65" s="49"/>
      <c r="HI65" s="49"/>
      <c r="HJ65" s="49"/>
      <c r="HK65" s="49"/>
      <c r="HL65" s="49"/>
      <c r="HM65" s="49"/>
      <c r="HN65" s="49"/>
      <c r="HO65" s="49"/>
      <c r="HP65" s="49"/>
      <c r="HQ65" s="49"/>
      <c r="HR65" s="49"/>
      <c r="HS65" s="49"/>
      <c r="HT65" s="49"/>
      <c r="HU65" s="49"/>
      <c r="HV65" s="49"/>
      <c r="HW65" s="49"/>
      <c r="HX65" s="49"/>
      <c r="HY65" s="49"/>
    </row>
    <row r="66" spans="1:233" s="268" customFormat="1" ht="3.6" customHeight="1">
      <c r="A66" s="60"/>
      <c r="B66" s="69"/>
      <c r="C66" s="69"/>
      <c r="D66" s="369"/>
      <c r="E66" s="369"/>
      <c r="F66" s="369"/>
      <c r="G66" s="369"/>
      <c r="H66" s="369"/>
      <c r="U66" s="370"/>
      <c r="V66" s="370"/>
      <c r="W66" s="370"/>
      <c r="X66" s="370"/>
      <c r="Y66" s="370"/>
      <c r="Z66" s="370"/>
      <c r="AA66" s="370"/>
      <c r="AB66" s="370"/>
      <c r="AC66" s="370"/>
      <c r="AD66" s="538" t="str">
        <f ca="1">IF(FN61=0,"",".")</f>
        <v/>
      </c>
      <c r="AE66" s="554"/>
      <c r="AF66" s="554"/>
      <c r="AG66" s="554"/>
      <c r="AH66" s="554"/>
      <c r="AI66" s="554"/>
      <c r="AJ66" s="554"/>
      <c r="AK66" s="554"/>
      <c r="AL66" s="554"/>
      <c r="AM66" s="554"/>
      <c r="AN66" s="554"/>
      <c r="AO66" s="554"/>
      <c r="AP66" s="554"/>
      <c r="AQ66" s="554"/>
      <c r="AR66" s="554"/>
      <c r="AS66" s="554"/>
      <c r="AT66" s="554"/>
      <c r="AU66" s="554"/>
      <c r="AV66" s="554"/>
      <c r="AW66" s="554"/>
      <c r="AX66" s="554"/>
      <c r="AY66" s="554"/>
      <c r="AZ66" s="554"/>
      <c r="BA66" s="554"/>
      <c r="BB66" s="554"/>
      <c r="BC66" s="554"/>
      <c r="BD66" s="554"/>
      <c r="BE66" s="554"/>
      <c r="BF66" s="554"/>
      <c r="BG66" s="554"/>
      <c r="BH66" s="554"/>
      <c r="BI66" s="554"/>
      <c r="BJ66" s="554"/>
      <c r="BK66" s="554"/>
      <c r="BL66" s="554"/>
      <c r="BM66" s="554"/>
      <c r="BN66" s="554"/>
      <c r="BO66" s="554"/>
      <c r="BP66" s="554"/>
      <c r="BQ66" s="554"/>
      <c r="BR66" s="554"/>
      <c r="BS66" s="554"/>
      <c r="BT66" s="554"/>
      <c r="BU66" s="554"/>
      <c r="BV66" s="554"/>
      <c r="BW66" s="554"/>
      <c r="BX66" s="554"/>
      <c r="BY66" s="554"/>
      <c r="BZ66" s="554"/>
      <c r="CA66" s="554"/>
      <c r="CB66" s="554"/>
      <c r="CC66" s="554"/>
      <c r="CD66" s="554"/>
      <c r="CE66" s="554"/>
      <c r="CF66" s="554"/>
      <c r="CG66" s="554"/>
      <c r="CH66" s="554"/>
      <c r="CI66" s="554"/>
      <c r="CJ66" s="554"/>
      <c r="CK66" s="554"/>
      <c r="CL66" s="554"/>
      <c r="CM66" s="554"/>
      <c r="CN66" s="554"/>
      <c r="CO66" s="554"/>
      <c r="CP66" s="554"/>
      <c r="CQ66" s="554"/>
      <c r="CR66" s="554"/>
      <c r="CS66" s="554"/>
      <c r="CT66" s="554"/>
      <c r="CU66" s="554"/>
      <c r="CV66" s="554"/>
      <c r="CW66" s="554"/>
      <c r="CX66" s="554"/>
      <c r="CY66" s="554"/>
      <c r="CZ66" s="554"/>
      <c r="DB66" s="141"/>
      <c r="DC66" s="141"/>
      <c r="DD66" s="141"/>
      <c r="EG66" s="141"/>
      <c r="EH66" s="141"/>
      <c r="EI66" s="141"/>
      <c r="EJ66" s="141"/>
      <c r="EK66" s="141"/>
      <c r="EL66" s="141"/>
      <c r="EM66" s="141"/>
      <c r="EN66" s="141"/>
      <c r="EO66" s="141"/>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257"/>
      <c r="FN66" s="257"/>
      <c r="FO66" s="257"/>
      <c r="FP66" s="300"/>
      <c r="FQ66" s="277"/>
      <c r="FR66" s="277"/>
      <c r="FS66" s="277"/>
      <c r="FT66" s="277"/>
      <c r="FU66" s="277"/>
      <c r="FV66" s="277"/>
      <c r="FW66" s="277"/>
      <c r="FX66" s="277"/>
      <c r="FY66" s="277"/>
      <c r="FZ66" s="277"/>
      <c r="GA66" s="277"/>
      <c r="GB66" s="257"/>
      <c r="GC66" s="257"/>
      <c r="GD66" s="257"/>
      <c r="GE66" s="257"/>
      <c r="GF66" s="257"/>
      <c r="GG66" s="257"/>
      <c r="GH66" s="257"/>
      <c r="GI66" s="257"/>
      <c r="GJ66" s="257"/>
      <c r="GK66" s="257"/>
      <c r="GL66" s="257"/>
      <c r="GM66" s="257"/>
      <c r="GN66" s="257"/>
      <c r="GO66" s="49"/>
      <c r="GP66" s="49"/>
      <c r="GQ66" s="49"/>
      <c r="GR66" s="49"/>
      <c r="GS66" s="49"/>
      <c r="GT66" s="49"/>
      <c r="GU66" s="49"/>
      <c r="GV66" s="49"/>
      <c r="GW66" s="49"/>
      <c r="GX66" s="49"/>
      <c r="GY66" s="49"/>
      <c r="GZ66" s="49"/>
      <c r="HA66" s="49"/>
      <c r="HB66" s="49"/>
      <c r="HC66" s="49"/>
      <c r="HD66" s="49"/>
      <c r="HE66" s="49"/>
      <c r="HF66" s="49"/>
      <c r="HG66" s="49"/>
      <c r="HH66" s="49"/>
      <c r="HI66" s="49"/>
      <c r="HJ66" s="49"/>
      <c r="HK66" s="49"/>
      <c r="HL66" s="49"/>
      <c r="HM66" s="49"/>
      <c r="HN66" s="49"/>
      <c r="HO66" s="49"/>
      <c r="HP66" s="49"/>
      <c r="HQ66" s="49"/>
      <c r="HR66" s="49"/>
      <c r="HS66" s="49"/>
      <c r="HT66" s="49"/>
      <c r="HU66" s="49"/>
      <c r="HV66" s="49"/>
      <c r="HW66" s="49"/>
      <c r="HX66" s="49"/>
      <c r="HY66" s="49"/>
    </row>
    <row r="67" spans="1:233" s="268" customFormat="1" ht="16.5" customHeight="1">
      <c r="A67" s="60"/>
      <c r="B67" s="69"/>
      <c r="C67" s="69"/>
      <c r="AD67" s="368" t="str">
        <f ca="1">IF(FN61=0,"",".")</f>
        <v/>
      </c>
      <c r="AE67" s="549"/>
      <c r="AF67" s="555"/>
      <c r="AG67" s="555"/>
      <c r="AH67" s="555"/>
      <c r="AI67" s="555"/>
      <c r="AJ67" s="555"/>
      <c r="AK67" s="555"/>
      <c r="AL67" s="555"/>
      <c r="AM67" s="555"/>
      <c r="AN67" s="555"/>
      <c r="AO67" s="555"/>
      <c r="AP67" s="555"/>
      <c r="AQ67" s="555"/>
      <c r="AR67" s="555"/>
      <c r="AS67" s="555"/>
      <c r="AT67" s="555"/>
      <c r="AU67" s="555"/>
      <c r="AV67" s="555"/>
      <c r="AW67" s="555"/>
      <c r="AX67" s="555"/>
      <c r="AY67" s="555"/>
      <c r="AZ67" s="555"/>
      <c r="BA67" s="555"/>
      <c r="BB67" s="555"/>
      <c r="BC67" s="555"/>
      <c r="BD67" s="555"/>
      <c r="BE67" s="555"/>
      <c r="BF67" s="555"/>
      <c r="BG67" s="555"/>
      <c r="BH67" s="555"/>
      <c r="BI67" s="555"/>
      <c r="BJ67" s="555"/>
      <c r="BK67" s="555"/>
      <c r="BL67" s="555"/>
      <c r="BM67" s="555"/>
      <c r="BN67" s="555"/>
      <c r="BO67" s="555"/>
      <c r="BP67" s="555"/>
      <c r="BQ67" s="555"/>
      <c r="BR67" s="555"/>
      <c r="BS67" s="555"/>
      <c r="BT67" s="555"/>
      <c r="BU67" s="555"/>
      <c r="BV67" s="555"/>
      <c r="BW67" s="555"/>
      <c r="BX67" s="555"/>
      <c r="BY67" s="555"/>
      <c r="BZ67" s="555"/>
      <c r="CA67" s="555"/>
      <c r="CB67" s="555"/>
      <c r="CC67" s="555"/>
      <c r="CD67" s="555"/>
      <c r="CE67" s="555"/>
      <c r="CF67" s="555"/>
      <c r="CG67" s="555"/>
      <c r="CH67" s="555"/>
      <c r="CI67" s="555"/>
      <c r="CJ67" s="555"/>
      <c r="CK67" s="555"/>
      <c r="CL67" s="555"/>
      <c r="CM67" s="555"/>
      <c r="CN67" s="555"/>
      <c r="CO67" s="555"/>
      <c r="CP67" s="555"/>
      <c r="CQ67" s="555"/>
      <c r="CR67" s="555"/>
      <c r="CS67" s="555"/>
      <c r="CT67" s="555"/>
      <c r="CU67" s="555"/>
      <c r="CV67" s="555"/>
      <c r="CW67" s="555"/>
      <c r="CX67" s="555"/>
      <c r="CY67" s="555"/>
      <c r="CZ67" s="368" t="str">
        <f ca="1">IF(FN61=0,"",".")</f>
        <v/>
      </c>
      <c r="DA67" s="304" t="s">
        <v>131</v>
      </c>
      <c r="DB67" s="186" t="str">
        <f ca="1">IF(FN61=0,"",IF(AE67="","",IF(FN67=1,"Goed!",IF(AE67=FR67,"Fout! De prijs ligt boven de MK, dus is er wel surplus.","Fout! De minimale aanbiedprijs is niet nul."))))</f>
        <v/>
      </c>
      <c r="DC67" s="298"/>
      <c r="DD67" s="141"/>
      <c r="EL67" s="141"/>
      <c r="EM67" s="141"/>
      <c r="EN67" s="141"/>
      <c r="EO67" s="141"/>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94" t="str">
        <f ca="1">IF(FN1=0,"",FS67)</f>
        <v>dat is gelijk aan de constante kosten</v>
      </c>
      <c r="FN67" s="48">
        <f ca="1">IF(programma!B1="X",1,IF(FN61=0,0,IF(AE67=FS67,1,0)))</f>
        <v>0</v>
      </c>
      <c r="FO67" s="277"/>
      <c r="FP67" s="300"/>
      <c r="FQ67" s="277"/>
      <c r="FR67" s="277" t="s">
        <v>213</v>
      </c>
      <c r="FS67" s="277" t="s">
        <v>212</v>
      </c>
      <c r="FT67" s="277" t="s">
        <v>214</v>
      </c>
      <c r="FU67" s="277"/>
      <c r="FV67" s="277" t="s">
        <v>191</v>
      </c>
      <c r="FW67" s="277" t="s">
        <v>192</v>
      </c>
      <c r="FX67" s="277" t="s">
        <v>193</v>
      </c>
      <c r="FY67" s="277"/>
      <c r="FZ67" s="277"/>
      <c r="GA67" s="277"/>
      <c r="GB67" s="257"/>
      <c r="GC67" s="257"/>
      <c r="GD67" s="257"/>
      <c r="GE67" s="257"/>
      <c r="GF67" s="257"/>
      <c r="GG67" s="257"/>
      <c r="GH67" s="257"/>
      <c r="GI67" s="257"/>
      <c r="GJ67" s="257"/>
      <c r="GK67" s="257"/>
      <c r="GL67" s="257"/>
      <c r="GM67" s="257"/>
      <c r="GN67" s="257"/>
      <c r="GO67" s="49"/>
      <c r="GP67" s="49"/>
      <c r="GQ67" s="49"/>
      <c r="GR67" s="49"/>
      <c r="GS67" s="49"/>
      <c r="GT67" s="49"/>
      <c r="GU67" s="49"/>
      <c r="GV67" s="49"/>
      <c r="GW67" s="49"/>
      <c r="GX67" s="49"/>
      <c r="GY67" s="49"/>
      <c r="GZ67" s="49"/>
      <c r="HA67" s="49"/>
      <c r="HB67" s="49"/>
      <c r="HC67" s="49"/>
      <c r="HD67" s="49"/>
      <c r="HE67" s="49"/>
      <c r="HF67" s="49"/>
      <c r="HG67" s="49"/>
      <c r="HH67" s="49"/>
      <c r="HI67" s="49"/>
      <c r="HJ67" s="49"/>
      <c r="HK67" s="49"/>
      <c r="HL67" s="49"/>
      <c r="HM67" s="49"/>
      <c r="HN67" s="49"/>
      <c r="HO67" s="49"/>
      <c r="HP67" s="49"/>
      <c r="HQ67" s="49"/>
      <c r="HR67" s="49"/>
      <c r="HS67" s="49"/>
      <c r="HT67" s="49"/>
      <c r="HU67" s="49"/>
      <c r="HV67" s="49"/>
      <c r="HW67" s="49"/>
      <c r="HX67" s="49"/>
      <c r="HY67" s="49"/>
    </row>
    <row r="68" spans="1:233" s="268" customFormat="1" ht="3.6" customHeight="1">
      <c r="A68" s="60"/>
      <c r="B68" s="69"/>
      <c r="C68" s="69"/>
      <c r="D68" s="369"/>
      <c r="E68" s="369"/>
      <c r="F68" s="369"/>
      <c r="G68" s="369"/>
      <c r="H68" s="369"/>
      <c r="AD68" s="538" t="str">
        <f ca="1">IF(FN61=0,"",".")</f>
        <v/>
      </c>
      <c r="AE68" s="554"/>
      <c r="AF68" s="554"/>
      <c r="AG68" s="554"/>
      <c r="AH68" s="554"/>
      <c r="AI68" s="554"/>
      <c r="AJ68" s="554"/>
      <c r="AK68" s="554"/>
      <c r="AL68" s="554"/>
      <c r="AM68" s="554"/>
      <c r="AN68" s="554"/>
      <c r="AO68" s="554"/>
      <c r="AP68" s="554"/>
      <c r="AQ68" s="554"/>
      <c r="AR68" s="554"/>
      <c r="AS68" s="554"/>
      <c r="AT68" s="554"/>
      <c r="AU68" s="554"/>
      <c r="AV68" s="554"/>
      <c r="AW68" s="554"/>
      <c r="AX68" s="554"/>
      <c r="AY68" s="554"/>
      <c r="AZ68" s="554"/>
      <c r="BA68" s="554"/>
      <c r="BB68" s="554"/>
      <c r="BC68" s="554"/>
      <c r="BD68" s="554"/>
      <c r="BE68" s="554"/>
      <c r="BF68" s="554"/>
      <c r="BG68" s="554"/>
      <c r="BH68" s="554"/>
      <c r="BI68" s="554"/>
      <c r="BJ68" s="554"/>
      <c r="BK68" s="554"/>
      <c r="BL68" s="554"/>
      <c r="BM68" s="554"/>
      <c r="BN68" s="554"/>
      <c r="BO68" s="554"/>
      <c r="BP68" s="554"/>
      <c r="BQ68" s="554"/>
      <c r="BR68" s="554"/>
      <c r="BS68" s="554"/>
      <c r="BT68" s="554"/>
      <c r="BU68" s="554"/>
      <c r="BV68" s="554"/>
      <c r="BW68" s="554"/>
      <c r="BX68" s="554"/>
      <c r="BY68" s="554"/>
      <c r="BZ68" s="554"/>
      <c r="CA68" s="554"/>
      <c r="CB68" s="554"/>
      <c r="CC68" s="554"/>
      <c r="CD68" s="554"/>
      <c r="CE68" s="554"/>
      <c r="CF68" s="554"/>
      <c r="CG68" s="554"/>
      <c r="CH68" s="554"/>
      <c r="CI68" s="554"/>
      <c r="CJ68" s="554"/>
      <c r="CK68" s="554"/>
      <c r="CL68" s="554"/>
      <c r="CM68" s="554"/>
      <c r="CN68" s="554"/>
      <c r="CO68" s="554"/>
      <c r="CP68" s="554"/>
      <c r="CQ68" s="554"/>
      <c r="CR68" s="554"/>
      <c r="CS68" s="554"/>
      <c r="CT68" s="554"/>
      <c r="CU68" s="554"/>
      <c r="CV68" s="554"/>
      <c r="CW68" s="554"/>
      <c r="CX68" s="554"/>
      <c r="CY68" s="554"/>
      <c r="CZ68" s="554"/>
      <c r="DB68" s="141"/>
      <c r="DC68" s="141"/>
      <c r="DD68" s="141"/>
      <c r="EG68" s="141"/>
      <c r="EH68" s="141"/>
      <c r="EI68" s="141"/>
      <c r="EJ68" s="141"/>
      <c r="EK68" s="141"/>
      <c r="EL68" s="141"/>
      <c r="EM68" s="141"/>
      <c r="EN68" s="141"/>
      <c r="EO68" s="141"/>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257"/>
      <c r="FN68" s="257"/>
      <c r="FO68" s="257"/>
      <c r="FP68" s="300"/>
      <c r="FQ68" s="277"/>
      <c r="FR68" s="277"/>
      <c r="FS68" s="277"/>
      <c r="FT68" s="277"/>
      <c r="FU68" s="277"/>
      <c r="FV68" s="277"/>
      <c r="FW68" s="277"/>
      <c r="FX68" s="277"/>
      <c r="FY68" s="277"/>
      <c r="FZ68" s="277"/>
      <c r="GA68" s="277"/>
      <c r="GB68" s="257"/>
      <c r="GC68" s="257"/>
      <c r="GD68" s="257"/>
      <c r="GE68" s="257"/>
      <c r="GF68" s="257"/>
      <c r="GG68" s="257"/>
      <c r="GH68" s="257"/>
      <c r="GI68" s="257"/>
      <c r="GJ68" s="257"/>
      <c r="GK68" s="257"/>
      <c r="GL68" s="257"/>
      <c r="GM68" s="257"/>
      <c r="GN68" s="257"/>
      <c r="GO68" s="49"/>
      <c r="GP68" s="49"/>
      <c r="GQ68" s="49"/>
      <c r="GR68" s="49"/>
      <c r="GS68" s="49"/>
      <c r="GT68" s="49"/>
      <c r="GU68" s="49"/>
      <c r="GV68" s="49"/>
      <c r="GW68" s="49"/>
      <c r="GX68" s="49"/>
      <c r="GY68" s="49"/>
      <c r="GZ68" s="49"/>
      <c r="HA68" s="49"/>
      <c r="HB68" s="49"/>
      <c r="HC68" s="49"/>
      <c r="HD68" s="49"/>
      <c r="HE68" s="49"/>
      <c r="HF68" s="49"/>
      <c r="HG68" s="49"/>
      <c r="HH68" s="49"/>
      <c r="HI68" s="49"/>
      <c r="HJ68" s="49"/>
      <c r="HK68" s="49"/>
      <c r="HL68" s="49"/>
      <c r="HM68" s="49"/>
      <c r="HN68" s="49"/>
      <c r="HO68" s="49"/>
      <c r="HP68" s="49"/>
      <c r="HQ68" s="49"/>
      <c r="HR68" s="49"/>
      <c r="HS68" s="49"/>
      <c r="HT68" s="49"/>
      <c r="HU68" s="49"/>
      <c r="HV68" s="49"/>
      <c r="HW68" s="49"/>
      <c r="HX68" s="49"/>
      <c r="HY68" s="49"/>
    </row>
    <row r="69" spans="1:233" ht="16.5" customHeight="1">
      <c r="A69" s="1"/>
      <c r="B69" s="3"/>
      <c r="C69" s="3"/>
      <c r="D69" s="373"/>
      <c r="E69" s="376"/>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376"/>
      <c r="AG69" s="376"/>
      <c r="AH69" s="376"/>
      <c r="AI69" s="376"/>
      <c r="AJ69" s="376"/>
      <c r="AK69" s="376"/>
      <c r="AL69" s="376"/>
      <c r="AM69" s="376"/>
      <c r="AN69" s="376"/>
      <c r="AO69" s="376"/>
      <c r="AP69" s="376"/>
      <c r="AQ69" s="43"/>
      <c r="AR69" s="43"/>
      <c r="AS69" s="43"/>
      <c r="AT69" s="43"/>
      <c r="AU69" s="43"/>
      <c r="AV69" s="43"/>
      <c r="AW69" s="43"/>
      <c r="AX69" s="43"/>
      <c r="AY69" s="43"/>
      <c r="AZ69" s="43"/>
      <c r="BA69" s="43"/>
      <c r="BB69" s="376"/>
      <c r="BC69" s="376"/>
      <c r="BD69" s="376"/>
      <c r="BE69" s="376"/>
      <c r="BF69" s="376"/>
      <c r="BG69" s="376"/>
      <c r="BH69" s="376"/>
      <c r="BI69" s="376"/>
      <c r="BJ69" s="376"/>
      <c r="BK69" s="376"/>
      <c r="BL69" s="376"/>
      <c r="BM69" s="376"/>
      <c r="BN69" s="376"/>
      <c r="BO69" s="376"/>
      <c r="BP69" s="376"/>
      <c r="BQ69" s="376"/>
      <c r="BR69" s="376"/>
      <c r="BS69" s="376"/>
      <c r="BT69" s="376"/>
      <c r="BU69" s="376"/>
      <c r="BV69" s="376"/>
      <c r="BW69" s="376"/>
      <c r="BX69" s="376"/>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376"/>
      <c r="EG69" s="376"/>
      <c r="EH69" s="376"/>
      <c r="EI69" s="376"/>
      <c r="EJ69" s="376"/>
      <c r="EK69" s="376"/>
      <c r="EL69" s="376"/>
      <c r="EM69" s="376"/>
      <c r="EN69" s="376"/>
      <c r="EO69" s="376"/>
      <c r="EP69" s="376"/>
      <c r="EQ69" s="376"/>
      <c r="ER69" s="376"/>
      <c r="ES69" s="376"/>
      <c r="ET69" s="376"/>
      <c r="EU69" s="376"/>
      <c r="EV69" s="376"/>
      <c r="EW69" s="376"/>
      <c r="EX69" s="376"/>
      <c r="EY69" s="376"/>
      <c r="EZ69" s="376"/>
      <c r="FA69" s="376"/>
      <c r="FB69" s="376"/>
      <c r="FC69" s="376"/>
      <c r="FD69" s="376"/>
      <c r="FE69" s="10"/>
      <c r="FF69" s="10"/>
      <c r="FG69" s="10"/>
      <c r="FH69" s="10"/>
      <c r="FI69" s="10"/>
      <c r="FJ69" s="10"/>
      <c r="FK69" s="26"/>
      <c r="FL69" s="26"/>
      <c r="FM69" s="47"/>
      <c r="FO69" s="47"/>
      <c r="FP69" s="112"/>
      <c r="FQ69" s="47"/>
      <c r="FR69" s="48"/>
      <c r="FS69" s="48"/>
      <c r="FT69" s="48"/>
      <c r="FU69" s="48"/>
      <c r="FV69" s="48"/>
      <c r="FW69" s="48"/>
      <c r="FX69" s="48"/>
      <c r="FY69" s="48"/>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49"/>
      <c r="HI69" s="49"/>
      <c r="HJ69" s="49"/>
      <c r="HK69" s="49"/>
      <c r="HL69" s="49"/>
      <c r="HM69" s="49"/>
      <c r="HN69" s="49"/>
      <c r="HO69" s="49"/>
      <c r="HP69" s="49"/>
      <c r="HQ69" s="49"/>
      <c r="HR69" s="49"/>
      <c r="HS69" s="49"/>
      <c r="HT69" s="49"/>
      <c r="HU69" s="49"/>
      <c r="HV69" s="49"/>
      <c r="HW69" s="49"/>
      <c r="HX69" s="49"/>
      <c r="HY69" s="49"/>
    </row>
    <row r="70" spans="1:233" ht="16.95" customHeight="1">
      <c r="A70" s="1"/>
      <c r="B70" s="3"/>
      <c r="C70" s="3"/>
      <c r="D70" s="373" t="str">
        <f ca="1">IF(FN67=0,"","Merk op dat er nog steeds sprake is van prijszetting en dat de maximale")</f>
        <v/>
      </c>
      <c r="E70" s="376"/>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26"/>
      <c r="FL70" s="26"/>
      <c r="FM70" s="47"/>
      <c r="FN70" s="47"/>
      <c r="FO70" s="47"/>
      <c r="FP70" s="47"/>
      <c r="FQ70" s="47"/>
      <c r="FR70" s="47"/>
      <c r="FS70" s="47"/>
      <c r="FT70" s="47"/>
      <c r="FU70" s="47"/>
      <c r="FV70" s="47"/>
      <c r="FW70" s="47"/>
      <c r="FX70" s="47"/>
      <c r="FY70" s="47"/>
      <c r="FZ70" s="49"/>
      <c r="GA70" s="49" t="str">
        <f t="shared" ca="1" si="24"/>
        <v/>
      </c>
      <c r="GB70" s="49" t="str">
        <f ca="1">GB49</f>
        <v/>
      </c>
      <c r="GC70" s="49" t="e">
        <f ca="1">0.6*GC74</f>
        <v>#VALUE!</v>
      </c>
      <c r="GD70" s="49"/>
      <c r="GE70" s="49">
        <f ca="1">IF(FO1=1,GG40*GB49^2+GH40*GB49^1+GI40+GF40/GA49,0)</f>
        <v>0</v>
      </c>
      <c r="GF70" s="49">
        <f ca="1">IF(FO1=1,GG40*GB49^2+GH40*GB49^1+GI40,0)</f>
        <v>0</v>
      </c>
      <c r="GG70" s="49">
        <f ca="1">IF(FO1=1,3*GG40*GB49^2+2*GH40*GB49^1+GI40,0)</f>
        <v>0</v>
      </c>
      <c r="GH70" s="49">
        <f ca="1">GH74</f>
        <v>0</v>
      </c>
      <c r="GI70" s="49" t="e">
        <f ca="1">0.6*GI74</f>
        <v>#DIV/0!</v>
      </c>
      <c r="GJ70" s="49">
        <f ca="1">0.6*GJ74</f>
        <v>0</v>
      </c>
      <c r="GK70" s="49">
        <f ca="1">GK74</f>
        <v>0</v>
      </c>
      <c r="GL70" s="49">
        <f ca="1">GL74</f>
        <v>0</v>
      </c>
      <c r="GM70" s="49">
        <f ca="1">IF(FO1=0,0,-GC40*GB49^2+GD40*GB49)</f>
        <v>0</v>
      </c>
      <c r="GN70" s="49">
        <f ca="1">IF(FO1=0,0,GG40*GC70^3+GH40*GC70^2+GI40*GC70+GF40)</f>
        <v>0</v>
      </c>
      <c r="GO70" s="49"/>
      <c r="GP70" s="49"/>
      <c r="GQ70" s="49">
        <f ca="1">IF(FO$1=0,0,IF(FN$37=1,GQ$53,IF(FN$37=2,GQ$74,0)))</f>
        <v>0</v>
      </c>
      <c r="GR70" s="49" t="e">
        <f ca="1">0.6*GR74</f>
        <v>#DIV/0!</v>
      </c>
      <c r="GS70" s="49">
        <f ca="1">IF(FO1=1,GG40*GB49^3+GH40*GB49^2+GI40*GB49,0)</f>
        <v>0</v>
      </c>
      <c r="GT70" s="49">
        <f ca="1">GT74</f>
        <v>0</v>
      </c>
      <c r="GU70" s="49">
        <f ca="1">IF(FO1=0,0,IF(FN37=3,GU74,0))</f>
        <v>0</v>
      </c>
      <c r="GV70" s="49">
        <f ca="1">0.6*GV74</f>
        <v>0</v>
      </c>
      <c r="GW70" s="49">
        <f ca="1">IF(FO1=1,0.6*GW74,0)</f>
        <v>0</v>
      </c>
      <c r="GX70" s="49">
        <f ca="1">0.6*GX74</f>
        <v>0</v>
      </c>
      <c r="GY70" s="49">
        <f t="shared" ca="1" si="21"/>
        <v>0</v>
      </c>
      <c r="GZ70" s="49">
        <f t="shared" ca="1" si="22"/>
        <v>0</v>
      </c>
      <c r="HA70" s="49"/>
      <c r="HB70" s="49">
        <v>21</v>
      </c>
      <c r="HC70" s="49" t="e">
        <f ca="1">HC43+HB70*(HC100-HC43)/HB99</f>
        <v>#VALUE!</v>
      </c>
      <c r="HD70" s="49" t="e">
        <f ca="1">HB101*HC70^3+HB102*HC70^2+HB103*HC70+HB104</f>
        <v>#VALUE!</v>
      </c>
      <c r="HE70" s="49" t="e">
        <f ca="1">IF(AND(HD70&gt;=0,HD63&lt;0),HC63-HD63/(HD70-HD63)*(HC70-HC63),0)</f>
        <v>#VALUE!</v>
      </c>
      <c r="HF70" s="49" t="e">
        <f ca="1">HF43+HB70*(HF100-HF43)/HB99</f>
        <v>#VALUE!</v>
      </c>
      <c r="HG70" s="49" t="e">
        <f ca="1">HB101*HF70^3+HB102*HF70^2+HB103*HF70+HB104</f>
        <v>#VALUE!</v>
      </c>
      <c r="HH70" s="49" t="e">
        <f ca="1">IF(AND(HG70&lt;0,HG63&gt;=0),HF63-HG63/(HG70-HG63)*(HF70-HF63),0)</f>
        <v>#VALUE!</v>
      </c>
      <c r="HI70" s="49" t="e">
        <f ca="1">HI43+HB70*(HI100-HI43)/HB99</f>
        <v>#VALUE!</v>
      </c>
      <c r="HJ70" s="49" t="e">
        <f ca="1">GG40*HI70^3+GH40*HI70^2+GI40*HI70+GF40+GC75</f>
        <v>#VALUE!</v>
      </c>
      <c r="HK70" s="49" t="e">
        <f ca="1">IF(AND(HJ70&gt;=0,HJ63&lt;0),HI63-HJ63/(HJ70-HJ63)*(HI70-HI63),0)</f>
        <v>#VALUE!</v>
      </c>
      <c r="HL70" s="49" t="e">
        <f t="shared" ca="1" si="10"/>
        <v>#VALUE!</v>
      </c>
      <c r="HM70" s="49" t="e">
        <f t="shared" ca="1" si="11"/>
        <v>#VALUE!</v>
      </c>
      <c r="HN70" s="49" t="e">
        <f ca="1">IF(AND(HM70&lt;0,HM63&gt;=0),HL63-HM63/(HM70-HM63)*(HL70-HL63),0)</f>
        <v>#VALUE!</v>
      </c>
      <c r="HO70" s="49" t="e">
        <f t="shared" ref="HO70:HO99" ca="1" si="25">HO$43+HB70*(HO$100-HO$43)/HB$99</f>
        <v>#VALUE!</v>
      </c>
      <c r="HP70" s="49" t="e">
        <f t="shared" ref="HP70:HP99" ca="1" si="26">HB$101*HO70^3+HB$102*HO70^2+(HR70-GI$40)*HO70+HB$104</f>
        <v>#VALUE!</v>
      </c>
      <c r="HQ70" s="49" t="e">
        <f ca="1">IF(AND(HP70&gt;=-2,HP63&lt;-2),HO63-HP63/(HP70-HP63)*(HO70-HO63),0)</f>
        <v>#VALUE!</v>
      </c>
      <c r="HR70" s="49" t="e">
        <f t="shared" ca="1" si="18"/>
        <v>#VALUE!</v>
      </c>
      <c r="HS70" s="49"/>
      <c r="HT70" s="49"/>
      <c r="HU70" s="49"/>
      <c r="HV70" s="49"/>
      <c r="HW70" s="49"/>
      <c r="HX70" s="49"/>
      <c r="HY70" s="49"/>
    </row>
    <row r="71" spans="1:233" ht="16.95" customHeight="1">
      <c r="A71" s="1"/>
      <c r="B71" s="3"/>
      <c r="C71" s="3"/>
      <c r="D71" s="373" t="str">
        <f ca="1">IF(FN67=0,"","winst bereikt wordt voordat de maximale omzet bereikt wordt.")</f>
        <v/>
      </c>
      <c r="E71" s="376"/>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26"/>
      <c r="FL71" s="26"/>
      <c r="FM71" s="47"/>
      <c r="FN71" s="47"/>
      <c r="FO71" s="47"/>
      <c r="FP71" s="47"/>
      <c r="FQ71" s="47"/>
      <c r="FR71" s="47"/>
      <c r="FS71" s="47"/>
      <c r="FT71" s="47"/>
      <c r="FU71" s="47"/>
      <c r="FV71" s="47"/>
      <c r="FW71" s="47"/>
      <c r="FX71" s="47"/>
      <c r="FY71" s="47"/>
      <c r="FZ71" s="49"/>
      <c r="GA71" s="49" t="str">
        <f t="shared" ca="1" si="24"/>
        <v/>
      </c>
      <c r="GB71" s="49" t="str">
        <f ca="1">GB50</f>
        <v/>
      </c>
      <c r="GC71" s="49" t="e">
        <f ca="1">0.7*GC74</f>
        <v>#VALUE!</v>
      </c>
      <c r="GD71" s="49"/>
      <c r="GE71" s="49">
        <f ca="1">IF(FO1=1,GG40*GB50^2+GH40*GB50^1+GI40+GF40/GA50,0)</f>
        <v>0</v>
      </c>
      <c r="GF71" s="49">
        <f ca="1">IF(FO1=1,GG40*GB50^2+GH40*GB50^1+GI40,0)</f>
        <v>0</v>
      </c>
      <c r="GG71" s="49">
        <f ca="1">IF(FO1=1,3*GG40*GB50^2+2*GH40*GB50^1+GI40,0)</f>
        <v>0</v>
      </c>
      <c r="GH71" s="49">
        <f ca="1">GH74</f>
        <v>0</v>
      </c>
      <c r="GI71" s="49" t="e">
        <f ca="1">0.7*GI74</f>
        <v>#DIV/0!</v>
      </c>
      <c r="GJ71" s="49">
        <f ca="1">0.7*GJ74</f>
        <v>0</v>
      </c>
      <c r="GK71" s="49">
        <f ca="1">GK74</f>
        <v>0</v>
      </c>
      <c r="GL71" s="49">
        <f ca="1">GL74</f>
        <v>0</v>
      </c>
      <c r="GM71" s="49">
        <f ca="1">IF(FO1=0,0,-GC40*GB50^2+GD40*GB50)</f>
        <v>0</v>
      </c>
      <c r="GN71" s="49">
        <f ca="1">IF(FO1=0,0,GG40*GC71^3+GH40*GC71^2+GI40*GC71+GF40)</f>
        <v>0</v>
      </c>
      <c r="GO71" s="49"/>
      <c r="GP71" s="49"/>
      <c r="GQ71" s="49">
        <f ca="1">IF(FO$1=0,0,IF(FN$37=1,GQ$53,IF(FN$37=2,GQ$74,0)))</f>
        <v>0</v>
      </c>
      <c r="GR71" s="49" t="e">
        <f ca="1">0.7*GR74</f>
        <v>#DIV/0!</v>
      </c>
      <c r="GS71" s="49">
        <f ca="1">IF(FO1=1,GG40*GB50^3+GH40*GB50^2+GI40*GB50,0)</f>
        <v>0</v>
      </c>
      <c r="GT71" s="49">
        <f ca="1">GT74</f>
        <v>0</v>
      </c>
      <c r="GU71" s="49">
        <f ca="1">IF(FO1=0,0,IF(FN37=3,GU74,0))</f>
        <v>0</v>
      </c>
      <c r="GV71" s="49">
        <f ca="1">0.7*GV74</f>
        <v>0</v>
      </c>
      <c r="GW71" s="49">
        <f ca="1">IF(FO1=1,0.7*GW74,0)</f>
        <v>0</v>
      </c>
      <c r="GX71" s="49">
        <f ca="1">0.7*GX74</f>
        <v>0</v>
      </c>
      <c r="GY71" s="49">
        <f t="shared" ca="1" si="21"/>
        <v>0</v>
      </c>
      <c r="GZ71" s="49">
        <f t="shared" ca="1" si="22"/>
        <v>0</v>
      </c>
      <c r="HA71" s="49"/>
      <c r="HB71" s="49">
        <v>22</v>
      </c>
      <c r="HC71" s="49" t="e">
        <f ca="1">HC43+HB71*(HC100-HC43)/HB99</f>
        <v>#VALUE!</v>
      </c>
      <c r="HD71" s="49" t="e">
        <f ca="1">HB101*HC71^3+HB102*HC71^2+HB103*HC71+HB104</f>
        <v>#VALUE!</v>
      </c>
      <c r="HE71" s="49" t="e">
        <f t="shared" ca="1" si="7"/>
        <v>#VALUE!</v>
      </c>
      <c r="HF71" s="49" t="e">
        <f ca="1">HF43+HB71*(HF100-HF43)/HB99</f>
        <v>#VALUE!</v>
      </c>
      <c r="HG71" s="49" t="e">
        <f ca="1">HB101*HF71^3+HB102*HF71^2+HB103*HF71+HB104</f>
        <v>#VALUE!</v>
      </c>
      <c r="HH71" s="49" t="e">
        <f t="shared" ref="HH71:HH99" ca="1" si="27">IF(AND(HG71&lt;0,HG70&gt;=0),HF70-HG70/(HG71-HG70)*(HF71-HF70),0)</f>
        <v>#VALUE!</v>
      </c>
      <c r="HI71" s="49" t="e">
        <f ca="1">HI43+HB71*(HI100-HI43)/HB99</f>
        <v>#VALUE!</v>
      </c>
      <c r="HJ71" s="49" t="e">
        <f ca="1">GG40*HI71^3+GH40*HI71^2+GI40*HI71+GF40+GC75</f>
        <v>#VALUE!</v>
      </c>
      <c r="HK71" s="49" t="e">
        <f t="shared" ca="1" si="9"/>
        <v>#VALUE!</v>
      </c>
      <c r="HL71" s="49" t="e">
        <f t="shared" ca="1" si="10"/>
        <v>#VALUE!</v>
      </c>
      <c r="HM71" s="49" t="e">
        <f t="shared" ca="1" si="11"/>
        <v>#VALUE!</v>
      </c>
      <c r="HN71" s="49" t="e">
        <f t="shared" ca="1" si="12"/>
        <v>#VALUE!</v>
      </c>
      <c r="HO71" s="49" t="e">
        <f t="shared" ca="1" si="25"/>
        <v>#VALUE!</v>
      </c>
      <c r="HP71" s="49" t="e">
        <f t="shared" ca="1" si="26"/>
        <v>#VALUE!</v>
      </c>
      <c r="HQ71" s="49" t="e">
        <f t="shared" ca="1" si="15"/>
        <v>#VALUE!</v>
      </c>
      <c r="HR71" s="49" t="e">
        <f t="shared" ca="1" si="18"/>
        <v>#VALUE!</v>
      </c>
      <c r="HS71" s="49"/>
      <c r="HT71" s="49"/>
      <c r="HU71" s="49"/>
      <c r="HV71" s="49"/>
      <c r="HW71" s="49"/>
      <c r="HX71" s="49"/>
      <c r="HY71" s="49"/>
    </row>
    <row r="72" spans="1:233" ht="16.5" customHeight="1">
      <c r="A72" s="1"/>
      <c r="B72" s="3"/>
      <c r="C72" s="3"/>
      <c r="D72" s="38"/>
      <c r="E72" s="126"/>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26"/>
      <c r="AG72" s="126"/>
      <c r="AH72" s="126"/>
      <c r="AI72" s="126"/>
      <c r="AJ72" s="126"/>
      <c r="AK72" s="126"/>
      <c r="AL72" s="126"/>
      <c r="AM72" s="126"/>
      <c r="AN72" s="126"/>
      <c r="AO72" s="126"/>
      <c r="AP72" s="126"/>
      <c r="AQ72" s="126"/>
      <c r="AR72" s="126"/>
      <c r="AS72" s="126"/>
      <c r="AT72" s="126"/>
      <c r="AU72" s="126"/>
      <c r="AV72" s="126"/>
      <c r="AW72" s="126"/>
      <c r="AX72" s="197"/>
      <c r="AY72" s="43"/>
      <c r="AZ72" s="41"/>
      <c r="BA72" s="41"/>
      <c r="BB72" s="41"/>
      <c r="BC72" s="41"/>
      <c r="BD72" s="42"/>
      <c r="BE72" s="41"/>
      <c r="BF72" s="41"/>
      <c r="BG72" s="41"/>
      <c r="BH72" s="41"/>
      <c r="BI72" s="41"/>
      <c r="BJ72" s="41"/>
      <c r="BK72" s="42"/>
      <c r="BL72" s="41"/>
      <c r="BM72" s="41"/>
      <c r="BN72" s="41"/>
      <c r="BO72" s="41"/>
      <c r="BP72" s="41"/>
      <c r="BQ72" s="41"/>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79"/>
      <c r="FF72" s="79"/>
      <c r="FG72" s="79"/>
      <c r="FH72" s="79"/>
      <c r="FI72" s="79"/>
      <c r="FJ72" s="79"/>
      <c r="FK72" s="79"/>
      <c r="FL72" s="79"/>
      <c r="FM72" s="47"/>
      <c r="FN72" s="47"/>
      <c r="FO72" s="47"/>
      <c r="FP72" s="47"/>
      <c r="FQ72" s="47"/>
      <c r="FR72" s="47"/>
      <c r="FS72" s="47"/>
      <c r="FT72" s="47"/>
      <c r="FU72" s="47"/>
      <c r="FV72" s="47"/>
      <c r="FW72" s="47"/>
      <c r="FX72" s="47"/>
      <c r="FY72" s="47"/>
      <c r="FZ72" s="49"/>
      <c r="GA72" s="49" t="str">
        <f t="shared" ca="1" si="24"/>
        <v/>
      </c>
      <c r="GB72" s="49" t="str">
        <f ca="1">GB51</f>
        <v/>
      </c>
      <c r="GC72" s="49" t="e">
        <f ca="1">0.8*GC74</f>
        <v>#VALUE!</v>
      </c>
      <c r="GD72" s="49"/>
      <c r="GE72" s="49">
        <f ca="1">IF(FO1=1,GG40*GB51^2+GH40*GB51^1+GI40+GF40/GA51,0)</f>
        <v>0</v>
      </c>
      <c r="GF72" s="49">
        <f ca="1">IF(FO1=1,GG40*GB51^2+GH40*GB51^1+GI40,0)</f>
        <v>0</v>
      </c>
      <c r="GG72" s="49">
        <f ca="1">IF(FO1=1,3*GG40*GB51^2+2*GH40*GB51^1+GI40,0)</f>
        <v>0</v>
      </c>
      <c r="GH72" s="49">
        <f ca="1">GH74</f>
        <v>0</v>
      </c>
      <c r="GI72" s="49" t="e">
        <f ca="1">0.8*GI74</f>
        <v>#DIV/0!</v>
      </c>
      <c r="GJ72" s="49">
        <f ca="1">0.8*GJ74</f>
        <v>0</v>
      </c>
      <c r="GK72" s="49">
        <f ca="1">GK74</f>
        <v>0</v>
      </c>
      <c r="GL72" s="49">
        <f ca="1">GL74</f>
        <v>0</v>
      </c>
      <c r="GM72" s="49">
        <f ca="1">IF(FO1=0,0,-GC40*GB51^2+GD40*GB51)</f>
        <v>0</v>
      </c>
      <c r="GN72" s="49">
        <f ca="1">IF(FO1=0,0,GG40*GC72^3+GH40*GC72^2+GI40*GC72+GF40)</f>
        <v>0</v>
      </c>
      <c r="GO72" s="49"/>
      <c r="GP72" s="49"/>
      <c r="GQ72" s="49">
        <f ca="1">IF(FO$1=0,0,IF(FN$37=1,GQ$53,IF(FN$37=2,GQ$74,0)))</f>
        <v>0</v>
      </c>
      <c r="GR72" s="49" t="e">
        <f ca="1">0.8*GR74</f>
        <v>#DIV/0!</v>
      </c>
      <c r="GS72" s="49">
        <f ca="1">IF(FO1=1,GG40*GB51^3+GH40*GB51^2+GI40*GB51,0)</f>
        <v>0</v>
      </c>
      <c r="GT72" s="49">
        <f ca="1">GT74</f>
        <v>0</v>
      </c>
      <c r="GU72" s="49">
        <f ca="1">IF(FO1=0,0,IF(FN37=3,GU74,0))</f>
        <v>0</v>
      </c>
      <c r="GV72" s="49">
        <f ca="1">0.8*GV74</f>
        <v>0</v>
      </c>
      <c r="GW72" s="49">
        <f ca="1">IF(FO1=1,0.8*GW74,0)</f>
        <v>0</v>
      </c>
      <c r="GX72" s="49">
        <f ca="1">0.8*GX74</f>
        <v>0</v>
      </c>
      <c r="GY72" s="49">
        <f t="shared" ca="1" si="21"/>
        <v>0</v>
      </c>
      <c r="GZ72" s="49">
        <f t="shared" ca="1" si="22"/>
        <v>0</v>
      </c>
      <c r="HA72" s="49"/>
      <c r="HB72" s="49">
        <v>23</v>
      </c>
      <c r="HC72" s="49" t="e">
        <f ca="1">HC43+HB72*(HC100-HC43)/HB99</f>
        <v>#VALUE!</v>
      </c>
      <c r="HD72" s="49" t="e">
        <f ca="1">HB101*HC72^3+HB102*HC72^2+HB103*HC72+HB104</f>
        <v>#VALUE!</v>
      </c>
      <c r="HE72" s="49" t="e">
        <f t="shared" ca="1" si="7"/>
        <v>#VALUE!</v>
      </c>
      <c r="HF72" s="49" t="e">
        <f ca="1">HF43+HB72*(HF100-HF43)/HB99</f>
        <v>#VALUE!</v>
      </c>
      <c r="HG72" s="49" t="e">
        <f ca="1">HB101*HF72^3+HB102*HF72^2+HB103*HF72+HB104</f>
        <v>#VALUE!</v>
      </c>
      <c r="HH72" s="49" t="e">
        <f t="shared" ca="1" si="27"/>
        <v>#VALUE!</v>
      </c>
      <c r="HI72" s="49" t="e">
        <f ca="1">HI43+HB72*(HI100-HI43)/HB99</f>
        <v>#VALUE!</v>
      </c>
      <c r="HJ72" s="49" t="e">
        <f ca="1">GG40*HI72^3+GH40*HI72^2+GI40*HI72+GF40+GC75</f>
        <v>#VALUE!</v>
      </c>
      <c r="HK72" s="49" t="e">
        <f t="shared" ca="1" si="9"/>
        <v>#VALUE!</v>
      </c>
      <c r="HL72" s="49" t="e">
        <f t="shared" ca="1" si="10"/>
        <v>#VALUE!</v>
      </c>
      <c r="HM72" s="49" t="e">
        <f t="shared" ca="1" si="11"/>
        <v>#VALUE!</v>
      </c>
      <c r="HN72" s="49" t="e">
        <f t="shared" ca="1" si="12"/>
        <v>#VALUE!</v>
      </c>
      <c r="HO72" s="49" t="e">
        <f t="shared" ca="1" si="25"/>
        <v>#VALUE!</v>
      </c>
      <c r="HP72" s="49" t="e">
        <f t="shared" ca="1" si="26"/>
        <v>#VALUE!</v>
      </c>
      <c r="HQ72" s="49" t="e">
        <f t="shared" ca="1" si="15"/>
        <v>#VALUE!</v>
      </c>
      <c r="HR72" s="49" t="e">
        <f t="shared" ca="1" si="18"/>
        <v>#VALUE!</v>
      </c>
      <c r="HS72" s="49"/>
      <c r="HT72" s="49"/>
      <c r="HU72" s="49"/>
      <c r="HV72" s="49"/>
      <c r="HW72" s="49"/>
      <c r="HX72" s="49"/>
      <c r="HY72" s="49"/>
    </row>
    <row r="73" spans="1:233" ht="16.5" customHeight="1">
      <c r="A73" s="1"/>
      <c r="B73" s="3"/>
      <c r="C73" s="3"/>
      <c r="D73" s="38" t="str">
        <f ca="1">IF(FN67=0,"","Hiermee is deze presentatie ten einde.")</f>
        <v/>
      </c>
      <c r="E73" s="126"/>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25"/>
      <c r="AY73" s="26"/>
      <c r="AZ73" s="41"/>
      <c r="BA73" s="41"/>
      <c r="BB73" s="41"/>
      <c r="BC73" s="41"/>
      <c r="BD73" s="42"/>
      <c r="BE73" s="41"/>
      <c r="BF73" s="41"/>
      <c r="BG73" s="41"/>
      <c r="BH73" s="41"/>
      <c r="BI73" s="41"/>
      <c r="BJ73" s="41"/>
      <c r="BK73" s="42"/>
      <c r="BL73" s="41"/>
      <c r="BM73" s="41"/>
      <c r="BN73" s="41"/>
      <c r="BO73" s="41"/>
      <c r="BP73" s="41"/>
      <c r="BQ73" s="41"/>
      <c r="BR73" s="80"/>
      <c r="BS73" s="79"/>
      <c r="BT73" s="79"/>
      <c r="BU73" s="79"/>
      <c r="BV73" s="79"/>
      <c r="BW73" s="79"/>
      <c r="BX73" s="79"/>
      <c r="BY73" s="79"/>
      <c r="BZ73" s="80"/>
      <c r="CA73" s="80"/>
      <c r="CB73" s="80"/>
      <c r="CC73" s="80"/>
      <c r="CD73" s="80"/>
      <c r="CE73" s="80"/>
      <c r="CF73" s="80"/>
      <c r="CG73" s="80"/>
      <c r="CH73" s="80"/>
      <c r="CI73" s="80"/>
      <c r="CJ73" s="80"/>
      <c r="CK73" s="80"/>
      <c r="CL73" s="80"/>
      <c r="CM73" s="80"/>
      <c r="CN73" s="80"/>
      <c r="CO73" s="80"/>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47"/>
      <c r="FN73" s="47"/>
      <c r="FO73" s="47"/>
      <c r="FP73" s="47"/>
      <c r="FQ73" s="47"/>
      <c r="FR73" s="47"/>
      <c r="FS73" s="47"/>
      <c r="FT73" s="47"/>
      <c r="FU73" s="47"/>
      <c r="FV73" s="47"/>
      <c r="FW73" s="47"/>
      <c r="FX73" s="47"/>
      <c r="FY73" s="47"/>
      <c r="FZ73" s="49"/>
      <c r="GA73" s="49" t="str">
        <f t="shared" ca="1" si="24"/>
        <v/>
      </c>
      <c r="GB73" s="49" t="str">
        <f ca="1">GB52</f>
        <v/>
      </c>
      <c r="GC73" s="49" t="e">
        <f ca="1">0.9*GC74</f>
        <v>#VALUE!</v>
      </c>
      <c r="GD73" s="49"/>
      <c r="GE73" s="49">
        <f ca="1">IF(FO1=1,GG40*GB52^2+GH40*GB52^1+GI40+GF40/GA52,0)</f>
        <v>0</v>
      </c>
      <c r="GF73" s="49">
        <f ca="1">IF(FO1=1,GG40*GB52^2+GH40*GB52^1+GI40,0)</f>
        <v>0</v>
      </c>
      <c r="GG73" s="49">
        <f ca="1">IF(FO1=1,3*GG40*GB52^2+2*GH40*GB52^1+GI40,0)</f>
        <v>0</v>
      </c>
      <c r="GH73" s="49">
        <f ca="1">GH74</f>
        <v>0</v>
      </c>
      <c r="GI73" s="49" t="e">
        <f ca="1">0.9*GI74</f>
        <v>#DIV/0!</v>
      </c>
      <c r="GJ73" s="49">
        <f ca="1">0.9*GJ74</f>
        <v>0</v>
      </c>
      <c r="GK73" s="49">
        <f ca="1">GK74</f>
        <v>0</v>
      </c>
      <c r="GL73" s="49">
        <f ca="1">GL74</f>
        <v>0</v>
      </c>
      <c r="GM73" s="49">
        <f ca="1">IF(FO1=0,0,-GC40*GB52^2+GD40*GB52)</f>
        <v>0</v>
      </c>
      <c r="GN73" s="49">
        <f ca="1">IF(FO1=0,0,GG40*GC73^3+GH40*GC73^2+GI40*GC73+GF40)</f>
        <v>0</v>
      </c>
      <c r="GO73" s="49"/>
      <c r="GP73" s="49"/>
      <c r="GQ73" s="49">
        <f ca="1">IF(FO$1=0,0,IF(FN$37=1,GQ$53,IF(FN$37=2,GQ$74,0)))</f>
        <v>0</v>
      </c>
      <c r="GR73" s="49" t="e">
        <f ca="1">0.9*GR74</f>
        <v>#DIV/0!</v>
      </c>
      <c r="GS73" s="49">
        <f ca="1">IF(FO1=1,GG40*GB52^3+GH40*GB52^2+GI40*GB52,0)</f>
        <v>0</v>
      </c>
      <c r="GT73" s="49">
        <f ca="1">GT74</f>
        <v>0</v>
      </c>
      <c r="GU73" s="49">
        <f ca="1">IF(FO1=0,0,IF(FN37=3,GU74,0))</f>
        <v>0</v>
      </c>
      <c r="GV73" s="49">
        <f ca="1">0.9*GV74</f>
        <v>0</v>
      </c>
      <c r="GW73" s="49">
        <f ca="1">IF(FO1=1,0.9*GW74,0)</f>
        <v>0</v>
      </c>
      <c r="GX73" s="49">
        <f ca="1">0.9*GX74</f>
        <v>0</v>
      </c>
      <c r="GY73" s="49">
        <f t="shared" ca="1" si="21"/>
        <v>0</v>
      </c>
      <c r="GZ73" s="49">
        <f t="shared" ca="1" si="22"/>
        <v>0</v>
      </c>
      <c r="HA73" s="49"/>
      <c r="HB73" s="49">
        <v>24</v>
      </c>
      <c r="HC73" s="49" t="e">
        <f ca="1">HC43+HB73*(HC100-HC43)/HB99</f>
        <v>#VALUE!</v>
      </c>
      <c r="HD73" s="49" t="e">
        <f ca="1">HB101*HC73^3+HB102*HC73^2+HB103*HC73+HB104</f>
        <v>#VALUE!</v>
      </c>
      <c r="HE73" s="49" t="e">
        <f t="shared" ca="1" si="7"/>
        <v>#VALUE!</v>
      </c>
      <c r="HF73" s="49" t="e">
        <f ca="1">HF43+HB73*(HF100-HF43)/HB99</f>
        <v>#VALUE!</v>
      </c>
      <c r="HG73" s="49" t="e">
        <f ca="1">HB101*HF73^3+HB102*HF73^2+HB103*HF73+HB104</f>
        <v>#VALUE!</v>
      </c>
      <c r="HH73" s="49" t="e">
        <f t="shared" ca="1" si="27"/>
        <v>#VALUE!</v>
      </c>
      <c r="HI73" s="49" t="e">
        <f ca="1">HI43+HB73*(HI100-HI43)/HB99</f>
        <v>#VALUE!</v>
      </c>
      <c r="HJ73" s="49" t="e">
        <f ca="1">GG40*HI73^3+GH40*HI73^2+GI40*HI73+GF40+GC75</f>
        <v>#VALUE!</v>
      </c>
      <c r="HK73" s="49" t="e">
        <f t="shared" ca="1" si="9"/>
        <v>#VALUE!</v>
      </c>
      <c r="HL73" s="49" t="e">
        <f t="shared" ca="1" si="10"/>
        <v>#VALUE!</v>
      </c>
      <c r="HM73" s="49" t="e">
        <f t="shared" ca="1" si="11"/>
        <v>#VALUE!</v>
      </c>
      <c r="HN73" s="49" t="e">
        <f t="shared" ca="1" si="12"/>
        <v>#VALUE!</v>
      </c>
      <c r="HO73" s="49" t="e">
        <f t="shared" ca="1" si="25"/>
        <v>#VALUE!</v>
      </c>
      <c r="HP73" s="49" t="e">
        <f t="shared" ca="1" si="26"/>
        <v>#VALUE!</v>
      </c>
      <c r="HQ73" s="49" t="e">
        <f t="shared" ca="1" si="15"/>
        <v>#VALUE!</v>
      </c>
      <c r="HR73" s="49" t="e">
        <f t="shared" ca="1" si="18"/>
        <v>#VALUE!</v>
      </c>
      <c r="HS73" s="49"/>
      <c r="HT73" s="49"/>
      <c r="HU73" s="49"/>
      <c r="HV73" s="49"/>
      <c r="HW73" s="49"/>
      <c r="HX73" s="49"/>
      <c r="HY73" s="49"/>
    </row>
    <row r="74" spans="1:233" ht="16.5" customHeight="1">
      <c r="A74" s="1"/>
      <c r="B74" s="3"/>
      <c r="C74" s="3"/>
      <c r="D74" s="38"/>
      <c r="E74" s="91"/>
      <c r="F74" s="24"/>
      <c r="G74" s="24"/>
      <c r="H74" s="24"/>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4"/>
      <c r="EQ74" s="14"/>
      <c r="ER74" s="14"/>
      <c r="ES74" s="14"/>
      <c r="ET74" s="14"/>
      <c r="EU74" s="14"/>
      <c r="EV74" s="14"/>
      <c r="EW74" s="14"/>
      <c r="EX74" s="14"/>
      <c r="EY74" s="14"/>
      <c r="EZ74" s="14"/>
      <c r="FA74" s="14"/>
      <c r="FB74" s="14"/>
      <c r="FC74" s="14"/>
      <c r="FD74" s="14"/>
      <c r="FE74" s="14"/>
      <c r="FF74" s="14"/>
      <c r="FG74" s="14"/>
      <c r="FH74" s="14"/>
      <c r="FI74" s="14"/>
      <c r="FJ74" s="25"/>
      <c r="FK74" s="14"/>
      <c r="FL74" s="27"/>
      <c r="FM74" s="47"/>
      <c r="FN74" s="47"/>
      <c r="FO74" s="47"/>
      <c r="FP74" s="47"/>
      <c r="FQ74" s="47"/>
      <c r="FR74" s="47"/>
      <c r="FS74" s="47"/>
      <c r="FT74" s="47"/>
      <c r="FU74" s="47"/>
      <c r="FV74" s="47"/>
      <c r="FW74" s="47"/>
      <c r="FX74" s="47"/>
      <c r="FY74" s="47"/>
      <c r="FZ74" s="49"/>
      <c r="GA74" s="49" t="str">
        <f ca="1">GB74</f>
        <v/>
      </c>
      <c r="GB74" s="49" t="str">
        <f ca="1">GB53</f>
        <v/>
      </c>
      <c r="GC74" s="49" t="e">
        <f ca="1">IF(HK100&lt;GB74,HK100,GC27)</f>
        <v>#VALUE!</v>
      </c>
      <c r="GD74" s="49"/>
      <c r="GE74" s="49">
        <f ca="1">IF(FO1=1,GG40*GB53^2+GH40*GB53^1+GI40+GF40/GA53,0)</f>
        <v>0</v>
      </c>
      <c r="GF74" s="49">
        <f ca="1">IF(FO1=1,GG40*GB53^2+GH40*GB53^1+GI40,0)</f>
        <v>0</v>
      </c>
      <c r="GG74" s="49">
        <f ca="1">IF(FO1=1,3*GG40*GB53^2+2*GH40*GB53^1+GI40,0)</f>
        <v>0</v>
      </c>
      <c r="GH74" s="49">
        <f ca="1">IF(FO1=0,0,IF(FN37=1,GG26,IF(FN37=2,GW40,0)))</f>
        <v>0</v>
      </c>
      <c r="GI74" s="49" t="e">
        <f ca="1">IF(FN37=1,-GC40*GH74+GD40,IF(FN37=2,GX40,0))</f>
        <v>#DIV/0!</v>
      </c>
      <c r="GJ74" s="49">
        <f ca="1">IF(FO1=0,0,IF(FN37=1,GH74,IF(FN37=2,GH74,0)))</f>
        <v>0</v>
      </c>
      <c r="GK74" s="49">
        <f ca="1">IF(FO1=0,0,IF(FN37=1,GI74,IF(FN37=2,GI74,0)))</f>
        <v>0</v>
      </c>
      <c r="GL74" s="49">
        <f ca="1">IF(FO1=0,0,IF(FN37=1,GG40*GH74^2+GH40*GH74^1+GI40+GF40/GH74,IF(FN37=2,GG40*GH74^2+GH40*GH74^1+GI40+GF40/GH74,0)))</f>
        <v>0</v>
      </c>
      <c r="GM74" s="49">
        <f ca="1">IF(FO1=0,0,-GC40*GB53^2+GD40*GB53)</f>
        <v>0</v>
      </c>
      <c r="GN74" s="49">
        <f ca="1">IF(FO1=0,0,GG40*GC74^3+GH40*GC74^2+GI40*GC74+GF40)</f>
        <v>0</v>
      </c>
      <c r="GO74" s="49"/>
      <c r="GP74" s="49"/>
      <c r="GQ74" s="49">
        <f ca="1">IF(FO1=0,0,IF(FN37=1,GG26,IF(FN37=2,GW40,0)))</f>
        <v>0</v>
      </c>
      <c r="GR74" s="49" t="e">
        <f ca="1">IF(FN37=1,-GC40*GQ74^2+GD40*GQ74,IF(FN37=2,-GC$40*GQ74^2+GY$40*GQ74,0))</f>
        <v>#DIV/0!</v>
      </c>
      <c r="GS74" s="49">
        <f ca="1">IF(FO1=1,GG40*GB53^3+GH40*GB53^2+GI40*GB53,0)</f>
        <v>0</v>
      </c>
      <c r="GT74" s="49">
        <f ca="1">IF(FO1=0,0,IF(FN37=1,GG40*GG26^2+GH40*GG26^1+GI40,IF(FN37=2,GG40*GG26^2+GH40*GG26^1+GI40,0)))</f>
        <v>0</v>
      </c>
      <c r="GU74" s="49">
        <f ca="1">IF(FO1=0,0,IF(FN37=3,HH100,0))</f>
        <v>0</v>
      </c>
      <c r="GV74" s="49">
        <f ca="1">IF(FO1=0,0,IF(FN37=3,GG40*GU74^3+GH40*GU74^2+GI40*GU74+GF40,0))</f>
        <v>0</v>
      </c>
      <c r="GW74" s="49">
        <f ca="1">IF(FO1=0,0,IF(FN37=3,GG40*GU74^2+GH40*GU74^1+GI40+GF40/GU74,0))</f>
        <v>0</v>
      </c>
      <c r="GX74" s="49">
        <f ca="1">IF(FO$1=0,0,IF(FN$37=1,0,FLOOR(GY40/GC40,0.1)))</f>
        <v>0</v>
      </c>
      <c r="GY74" s="49">
        <f t="shared" ca="1" si="21"/>
        <v>0</v>
      </c>
      <c r="GZ74" s="49">
        <f t="shared" ca="1" si="22"/>
        <v>0</v>
      </c>
      <c r="HA74" s="49"/>
      <c r="HB74" s="49">
        <v>25</v>
      </c>
      <c r="HC74" s="49" t="e">
        <f ca="1">HC43+HB74*(HC100-HC43)/HB99</f>
        <v>#VALUE!</v>
      </c>
      <c r="HD74" s="49" t="e">
        <f ca="1">HB101*HC74^3+HB102*HC74^2+HB103*HC74+HB104</f>
        <v>#VALUE!</v>
      </c>
      <c r="HE74" s="49" t="e">
        <f t="shared" ca="1" si="7"/>
        <v>#VALUE!</v>
      </c>
      <c r="HF74" s="49" t="e">
        <f ca="1">HF43+HB74*(HF100-HF43)/HB99</f>
        <v>#VALUE!</v>
      </c>
      <c r="HG74" s="49" t="e">
        <f ca="1">HB101*HF74^3+HB102*HF74^2+HB103*HF74+HB104</f>
        <v>#VALUE!</v>
      </c>
      <c r="HH74" s="49" t="e">
        <f t="shared" ca="1" si="27"/>
        <v>#VALUE!</v>
      </c>
      <c r="HI74" s="49" t="e">
        <f ca="1">HI43+HB74*(HI100-HI43)/HB99</f>
        <v>#VALUE!</v>
      </c>
      <c r="HJ74" s="49" t="e">
        <f ca="1">GG40*HI74^3+GH40*HI74^2+GI40*HI74+GF40+GC75</f>
        <v>#VALUE!</v>
      </c>
      <c r="HK74" s="49" t="e">
        <f t="shared" ca="1" si="9"/>
        <v>#VALUE!</v>
      </c>
      <c r="HL74" s="49" t="e">
        <f t="shared" ca="1" si="10"/>
        <v>#VALUE!</v>
      </c>
      <c r="HM74" s="49" t="e">
        <f t="shared" ca="1" si="11"/>
        <v>#VALUE!</v>
      </c>
      <c r="HN74" s="49" t="e">
        <f t="shared" ca="1" si="12"/>
        <v>#VALUE!</v>
      </c>
      <c r="HO74" s="49" t="e">
        <f t="shared" ca="1" si="25"/>
        <v>#VALUE!</v>
      </c>
      <c r="HP74" s="49" t="e">
        <f t="shared" ca="1" si="26"/>
        <v>#VALUE!</v>
      </c>
      <c r="HQ74" s="49" t="e">
        <f t="shared" ca="1" si="15"/>
        <v>#VALUE!</v>
      </c>
      <c r="HR74" s="49" t="e">
        <f t="shared" ca="1" si="18"/>
        <v>#VALUE!</v>
      </c>
      <c r="HS74" s="49"/>
      <c r="HT74" s="49"/>
      <c r="HU74" s="49"/>
      <c r="HV74" s="49"/>
      <c r="HW74" s="49"/>
      <c r="HX74" s="49"/>
      <c r="HY74" s="49"/>
    </row>
    <row r="75" spans="1:233" ht="16.5" customHeight="1">
      <c r="A75" s="1"/>
      <c r="B75" s="3"/>
      <c r="C75" s="3"/>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30"/>
      <c r="FL75" s="21"/>
      <c r="FM75" s="47"/>
      <c r="FN75" s="47"/>
      <c r="FO75" s="47"/>
      <c r="FP75" s="47"/>
      <c r="FQ75" s="47"/>
      <c r="FR75" s="47"/>
      <c r="FS75" s="47"/>
      <c r="FT75" s="47"/>
      <c r="FU75" s="47"/>
      <c r="FV75" s="47"/>
      <c r="FW75" s="47"/>
      <c r="FX75" s="47"/>
      <c r="FY75" s="47"/>
      <c r="FZ75" s="49"/>
      <c r="GA75" s="49"/>
      <c r="GB75" s="49"/>
      <c r="GC75" s="49">
        <f ca="1">-1.1*GM63</f>
        <v>0</v>
      </c>
      <c r="GD75" s="49">
        <f ca="1">-1*GM63</f>
        <v>0</v>
      </c>
      <c r="GE75" s="49"/>
      <c r="GF75" s="49"/>
      <c r="GG75" s="49"/>
      <c r="GH75" s="49"/>
      <c r="GI75" s="49"/>
      <c r="GJ75" s="49"/>
      <c r="GK75" s="49"/>
      <c r="GL75" s="49"/>
      <c r="GM75" s="49"/>
      <c r="GN75" s="49"/>
      <c r="GO75" s="49"/>
      <c r="GP75" s="49"/>
      <c r="GQ75" s="49"/>
      <c r="GR75" s="49"/>
      <c r="GS75" s="49"/>
      <c r="GT75" s="49"/>
      <c r="GU75" s="49"/>
      <c r="GV75" s="49"/>
      <c r="GW75" s="49"/>
      <c r="GX75" s="49"/>
      <c r="GY75" s="49"/>
      <c r="GZ75" s="49"/>
      <c r="HA75" s="49"/>
      <c r="HB75" s="49">
        <v>26</v>
      </c>
      <c r="HC75" s="49" t="e">
        <f ca="1">HC43+HB75*(HC100-HC43)/HB99</f>
        <v>#VALUE!</v>
      </c>
      <c r="HD75" s="49" t="e">
        <f ca="1">HB101*HC75^3+HB102*HC75^2+HB103*HC75+HB104</f>
        <v>#VALUE!</v>
      </c>
      <c r="HE75" s="49" t="e">
        <f t="shared" ca="1" si="7"/>
        <v>#VALUE!</v>
      </c>
      <c r="HF75" s="49" t="e">
        <f ca="1">HF43+HB75*(HF100-HF43)/HB99</f>
        <v>#VALUE!</v>
      </c>
      <c r="HG75" s="49" t="e">
        <f ca="1">HB101*HF75^3+HB102*HF75^2+HB103*HF75+HB104</f>
        <v>#VALUE!</v>
      </c>
      <c r="HH75" s="49" t="e">
        <f t="shared" ca="1" si="27"/>
        <v>#VALUE!</v>
      </c>
      <c r="HI75" s="49" t="e">
        <f ca="1">HI43+HB75*(HI100-HI43)/HB99</f>
        <v>#VALUE!</v>
      </c>
      <c r="HJ75" s="49" t="e">
        <f ca="1">GG40*HI75^3+GH40*HI75^2+GI40*HI75+GF40+GC75</f>
        <v>#VALUE!</v>
      </c>
      <c r="HK75" s="49" t="e">
        <f t="shared" ca="1" si="9"/>
        <v>#VALUE!</v>
      </c>
      <c r="HL75" s="49" t="e">
        <f t="shared" ca="1" si="10"/>
        <v>#VALUE!</v>
      </c>
      <c r="HM75" s="49" t="e">
        <f t="shared" ca="1" si="11"/>
        <v>#VALUE!</v>
      </c>
      <c r="HN75" s="49" t="e">
        <f t="shared" ca="1" si="12"/>
        <v>#VALUE!</v>
      </c>
      <c r="HO75" s="49" t="e">
        <f t="shared" ca="1" si="25"/>
        <v>#VALUE!</v>
      </c>
      <c r="HP75" s="49" t="e">
        <f t="shared" ca="1" si="26"/>
        <v>#VALUE!</v>
      </c>
      <c r="HQ75" s="49" t="e">
        <f t="shared" ca="1" si="15"/>
        <v>#VALUE!</v>
      </c>
      <c r="HR75" s="49" t="e">
        <f t="shared" ca="1" si="18"/>
        <v>#VALUE!</v>
      </c>
      <c r="HS75" s="49"/>
      <c r="HT75" s="49"/>
      <c r="HU75" s="49"/>
      <c r="HV75" s="49"/>
      <c r="HW75" s="49"/>
      <c r="HX75" s="49"/>
      <c r="HY75" s="49"/>
    </row>
    <row r="76" spans="1:233" ht="16.5" customHeight="1">
      <c r="A76" s="1"/>
      <c r="B76" s="3"/>
      <c r="C76" s="3"/>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30"/>
      <c r="FL76" s="21"/>
      <c r="FM76" s="47"/>
      <c r="FN76" s="47"/>
      <c r="FO76" s="47"/>
      <c r="FP76" s="47"/>
      <c r="FQ76" s="47"/>
      <c r="FR76" s="47"/>
      <c r="FS76" s="47"/>
      <c r="FT76" s="47"/>
      <c r="FU76" s="47"/>
      <c r="FV76" s="47"/>
      <c r="FW76" s="47"/>
      <c r="FX76" s="47"/>
      <c r="FY76" s="47"/>
      <c r="FZ76" s="49"/>
      <c r="GA76" s="49"/>
      <c r="GB76" s="49"/>
      <c r="GC76" s="49"/>
      <c r="GD76" s="49"/>
      <c r="GE76" s="49"/>
      <c r="GF76" s="49"/>
      <c r="GG76" s="49"/>
      <c r="GH76" s="49"/>
      <c r="GI76" s="49"/>
      <c r="GJ76" s="49"/>
      <c r="GK76" s="49"/>
      <c r="GL76" s="49"/>
      <c r="GM76" s="49"/>
      <c r="GN76" s="49"/>
      <c r="GO76" s="49"/>
      <c r="GP76" s="49"/>
      <c r="GQ76" s="49"/>
      <c r="GR76" s="49"/>
      <c r="GS76" s="49"/>
      <c r="GT76" s="49"/>
      <c r="GU76" s="49"/>
      <c r="GV76" s="49"/>
      <c r="GW76" s="49"/>
      <c r="GX76" s="49"/>
      <c r="GY76" s="49"/>
      <c r="GZ76" s="49"/>
      <c r="HA76" s="49"/>
      <c r="HB76" s="49">
        <v>27</v>
      </c>
      <c r="HC76" s="49" t="e">
        <f ca="1">HC43+HB76*(HC100-HC43)/HB99</f>
        <v>#VALUE!</v>
      </c>
      <c r="HD76" s="49" t="e">
        <f ca="1">HB101*HC76^3+HB102*HC76^2+HB103*HC76+HB104</f>
        <v>#VALUE!</v>
      </c>
      <c r="HE76" s="49" t="e">
        <f t="shared" ca="1" si="7"/>
        <v>#VALUE!</v>
      </c>
      <c r="HF76" s="49" t="e">
        <f ca="1">HF43+HB76*(HF100-HF43)/HB99</f>
        <v>#VALUE!</v>
      </c>
      <c r="HG76" s="49" t="e">
        <f ca="1">HB101*HF76^3+HB102*HF76^2+HB103*HF76+HB104</f>
        <v>#VALUE!</v>
      </c>
      <c r="HH76" s="49" t="e">
        <f t="shared" ca="1" si="27"/>
        <v>#VALUE!</v>
      </c>
      <c r="HI76" s="49" t="e">
        <f ca="1">HI43+HB76*(HI100-HI43)/HB99</f>
        <v>#VALUE!</v>
      </c>
      <c r="HJ76" s="49" t="e">
        <f ca="1">GG40*HI76^3+GH40*HI76^2+GI40*HI76+GF40+GC75</f>
        <v>#VALUE!</v>
      </c>
      <c r="HK76" s="49" t="e">
        <f t="shared" ca="1" si="9"/>
        <v>#VALUE!</v>
      </c>
      <c r="HL76" s="49" t="e">
        <f t="shared" ca="1" si="10"/>
        <v>#VALUE!</v>
      </c>
      <c r="HM76" s="49" t="e">
        <f t="shared" ca="1" si="11"/>
        <v>#VALUE!</v>
      </c>
      <c r="HN76" s="49" t="e">
        <f t="shared" ca="1" si="12"/>
        <v>#VALUE!</v>
      </c>
      <c r="HO76" s="49" t="e">
        <f t="shared" ca="1" si="25"/>
        <v>#VALUE!</v>
      </c>
      <c r="HP76" s="49" t="e">
        <f t="shared" ca="1" si="26"/>
        <v>#VALUE!</v>
      </c>
      <c r="HQ76" s="49" t="e">
        <f t="shared" ca="1" si="15"/>
        <v>#VALUE!</v>
      </c>
      <c r="HR76" s="49" t="e">
        <f t="shared" ca="1" si="18"/>
        <v>#VALUE!</v>
      </c>
      <c r="HS76" s="49"/>
      <c r="HT76" s="49"/>
      <c r="HU76" s="49"/>
      <c r="HV76" s="49"/>
      <c r="HW76" s="49"/>
      <c r="HX76" s="49"/>
      <c r="HY76" s="49"/>
    </row>
    <row r="77" spans="1:233" ht="16.5" customHeight="1">
      <c r="A77" s="1"/>
      <c r="B77" s="3"/>
      <c r="C77" s="3"/>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30"/>
      <c r="FL77" s="21"/>
      <c r="FM77" s="47"/>
      <c r="FN77" s="47"/>
      <c r="FO77" s="47"/>
      <c r="FP77" s="47"/>
      <c r="FQ77" s="47"/>
      <c r="FR77" s="47"/>
      <c r="FS77" s="47"/>
      <c r="FT77" s="47"/>
      <c r="FU77" s="47"/>
      <c r="FV77" s="47"/>
      <c r="FW77" s="47"/>
      <c r="FX77" s="47"/>
      <c r="FY77" s="47"/>
      <c r="FZ77" s="49"/>
      <c r="GA77" s="49"/>
      <c r="GB77" s="49"/>
      <c r="GC77" s="49"/>
      <c r="GD77" s="49"/>
      <c r="GE77" s="49" t="s">
        <v>53</v>
      </c>
      <c r="GF77" s="49" t="s">
        <v>55</v>
      </c>
      <c r="GG77" s="49" t="s">
        <v>26</v>
      </c>
      <c r="GH77" s="49" t="s">
        <v>60</v>
      </c>
      <c r="GI77" s="49"/>
      <c r="GJ77" s="49" t="s">
        <v>71</v>
      </c>
      <c r="GK77" s="49" t="s">
        <v>72</v>
      </c>
      <c r="GL77" s="49" t="s">
        <v>73</v>
      </c>
      <c r="GM77" s="49" t="s">
        <v>5</v>
      </c>
      <c r="GN77" s="49" t="s">
        <v>3</v>
      </c>
      <c r="GO77" s="49" t="s">
        <v>58</v>
      </c>
      <c r="GP77" s="49" t="s">
        <v>59</v>
      </c>
      <c r="GQ77" s="49" t="s">
        <v>60</v>
      </c>
      <c r="GR77" s="49"/>
      <c r="GS77" s="49" t="s">
        <v>2</v>
      </c>
      <c r="GT77" s="49" t="s">
        <v>87</v>
      </c>
      <c r="GU77" s="49" t="s">
        <v>60</v>
      </c>
      <c r="GV77" s="49"/>
      <c r="GW77" s="49"/>
      <c r="GX77" s="49" t="s">
        <v>96</v>
      </c>
      <c r="GY77" s="49" t="s">
        <v>97</v>
      </c>
      <c r="GZ77" s="49" t="s">
        <v>98</v>
      </c>
      <c r="HA77" s="49" t="s">
        <v>99</v>
      </c>
      <c r="HB77" s="49">
        <v>28</v>
      </c>
      <c r="HC77" s="49" t="e">
        <f ca="1">HC43+HB77*(HC100-HC43)/HB99</f>
        <v>#VALUE!</v>
      </c>
      <c r="HD77" s="49" t="e">
        <f ca="1">HB101*HC77^3+HB102*HC77^2+HB103*HC77+HB104</f>
        <v>#VALUE!</v>
      </c>
      <c r="HE77" s="49" t="e">
        <f t="shared" ca="1" si="7"/>
        <v>#VALUE!</v>
      </c>
      <c r="HF77" s="49" t="e">
        <f ca="1">HF43+HB77*(HF100-HF43)/HB99</f>
        <v>#VALUE!</v>
      </c>
      <c r="HG77" s="49" t="e">
        <f ca="1">HB101*HF77^3+HB102*HF77^2+HB103*HF77+HB104</f>
        <v>#VALUE!</v>
      </c>
      <c r="HH77" s="49" t="e">
        <f t="shared" ca="1" si="27"/>
        <v>#VALUE!</v>
      </c>
      <c r="HI77" s="49" t="e">
        <f ca="1">HI43+HB77*(HI100-HI43)/HB99</f>
        <v>#VALUE!</v>
      </c>
      <c r="HJ77" s="49" t="e">
        <f ca="1">GG40*HI77^3+GH40*HI77^2+GI40*HI77+GF40+GC75</f>
        <v>#VALUE!</v>
      </c>
      <c r="HK77" s="49" t="e">
        <f t="shared" ca="1" si="9"/>
        <v>#VALUE!</v>
      </c>
      <c r="HL77" s="49" t="e">
        <f t="shared" ca="1" si="10"/>
        <v>#VALUE!</v>
      </c>
      <c r="HM77" s="49" t="e">
        <f t="shared" ca="1" si="11"/>
        <v>#VALUE!</v>
      </c>
      <c r="HN77" s="49" t="e">
        <f t="shared" ca="1" si="12"/>
        <v>#VALUE!</v>
      </c>
      <c r="HO77" s="49" t="e">
        <f t="shared" ca="1" si="25"/>
        <v>#VALUE!</v>
      </c>
      <c r="HP77" s="49" t="e">
        <f t="shared" ca="1" si="26"/>
        <v>#VALUE!</v>
      </c>
      <c r="HQ77" s="49" t="e">
        <f t="shared" ca="1" si="15"/>
        <v>#VALUE!</v>
      </c>
      <c r="HR77" s="49" t="e">
        <f t="shared" ca="1" si="18"/>
        <v>#VALUE!</v>
      </c>
      <c r="HS77" s="49"/>
      <c r="HT77" s="49"/>
      <c r="HU77" s="49"/>
      <c r="HV77" s="49"/>
      <c r="HW77" s="49"/>
      <c r="HX77" s="49"/>
      <c r="HY77" s="49"/>
    </row>
    <row r="78" spans="1:233" ht="16.5" customHeight="1">
      <c r="A78" s="1"/>
      <c r="B78" s="3"/>
      <c r="C78" s="3"/>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30"/>
      <c r="FL78" s="21"/>
      <c r="FM78" s="47"/>
      <c r="FN78" s="47"/>
      <c r="FO78" s="47"/>
      <c r="FP78" s="47"/>
      <c r="FQ78" s="47"/>
      <c r="FR78" s="47"/>
      <c r="FS78" s="47"/>
      <c r="FT78" s="47"/>
      <c r="FU78" s="47"/>
      <c r="FV78" s="47"/>
      <c r="FW78" s="47"/>
      <c r="FX78" s="47"/>
      <c r="FY78" s="47"/>
      <c r="FZ78" s="49" t="e">
        <f ca="1">-(FZ80+(FZ80^2-4*FZ79*FZ81)^0.5)/(2*FZ79)</f>
        <v>#VALUE!</v>
      </c>
      <c r="GA78" s="49">
        <f ca="1">IF(FO1=1,FZ78,0)</f>
        <v>0</v>
      </c>
      <c r="GB78" s="49" t="str">
        <f ca="1">GB43</f>
        <v/>
      </c>
      <c r="GC78" s="49"/>
      <c r="GD78" s="49">
        <f ca="1">IF(FO1=0,0,IF(FN37=1,GH88-2*GB44,IF(FN37=2,GH88-2*GB44,0)))</f>
        <v>0</v>
      </c>
      <c r="GE78" s="49">
        <f t="shared" ref="GE78:GE88" ca="1" si="28">IF(FO$1=1,GJ$40*GA78^1+GK$40+GF$40/GA78,0)</f>
        <v>0</v>
      </c>
      <c r="GF78" s="49">
        <f t="shared" ref="GF78:GF88" ca="1" si="29">IF(FO$1=1,GJ$40*GB78^1+GK$40,0)</f>
        <v>0</v>
      </c>
      <c r="GG78" s="49">
        <f ca="1">IF(FO1=1,2*GJ40*GB43^1+GK40,0)</f>
        <v>0</v>
      </c>
      <c r="GH78" s="49">
        <f ca="1">GH88</f>
        <v>0</v>
      </c>
      <c r="GI78" s="49" t="e">
        <f ca="1">0*GI88</f>
        <v>#DIV/0!</v>
      </c>
      <c r="GJ78" s="49">
        <f ca="1">0*GJ88</f>
        <v>0</v>
      </c>
      <c r="GK78" s="49">
        <f ca="1">GK88</f>
        <v>0</v>
      </c>
      <c r="GL78" s="49">
        <f ca="1">GL88</f>
        <v>0</v>
      </c>
      <c r="GM78" s="49">
        <f ca="1">IF(FO1=0,0,-GC40*GB43^2+GD40*GB43)</f>
        <v>0</v>
      </c>
      <c r="GN78" s="49">
        <f t="shared" ref="GN78:GN88" ca="1" si="30">IF(FO$1=1,GJ$40*GB78^2+GK$40*GB78+GF$40,0)</f>
        <v>0</v>
      </c>
      <c r="GO78" s="49">
        <f ca="1">IF(FO$1=0,0,IF(FN$37=1,GN$29*GD78+GO$31,0))</f>
        <v>0</v>
      </c>
      <c r="GP78" s="49">
        <f ca="1">IF(FO1=0,0,IF(FN37=1,GO29*GD78+GO35,0))</f>
        <v>0</v>
      </c>
      <c r="GQ78" s="49">
        <f ca="1">GQ88</f>
        <v>0</v>
      </c>
      <c r="GR78" s="49" t="e">
        <f ca="1">0*GR88</f>
        <v>#DIV/0!</v>
      </c>
      <c r="GS78" s="49">
        <f t="shared" ref="GS78:GS88" ca="1" si="31">IF(FO$1=1,GJ$40*GB43^2+GK$40*GB43,0)</f>
        <v>0</v>
      </c>
      <c r="GT78" s="49">
        <f ca="1">GT88</f>
        <v>0</v>
      </c>
      <c r="GU78" s="49">
        <f ca="1">IF(FO1=0,0,IF(FN37=3,GU88,0))</f>
        <v>0</v>
      </c>
      <c r="GV78" s="49">
        <f ca="1">0*GV88</f>
        <v>0</v>
      </c>
      <c r="GW78" s="49">
        <f ca="1">0*GW88</f>
        <v>0</v>
      </c>
      <c r="GX78" s="49">
        <f ca="1">0*GX88</f>
        <v>0</v>
      </c>
      <c r="GY78" s="49">
        <f t="shared" ref="GY78:GY88" ca="1" si="32">IF(FO$1=0,0,IF(FN$37=1,0,-GC$40*GX78^2+GU$40*GX78))</f>
        <v>0</v>
      </c>
      <c r="GZ78" s="49">
        <f t="shared" ref="GZ78:GZ88" ca="1" si="33">IF(FO$1=0,0,IF(FN$37=1,0,IF(FN$37=2,-GC$40*GX78+GU$40)))</f>
        <v>0</v>
      </c>
      <c r="HA78" s="49">
        <f t="shared" ref="HA78:HA83" ca="1" si="34">IF(FO$1=0,0,IF(FN$37=1,0,IF(FN$37=2,-2*GC$40*GX78+GU$40,0)))</f>
        <v>0</v>
      </c>
      <c r="HB78" s="49">
        <v>29</v>
      </c>
      <c r="HC78" s="49" t="e">
        <f ca="1">HC43+HB78*(HC100-HC43)/HB99</f>
        <v>#VALUE!</v>
      </c>
      <c r="HD78" s="49" t="e">
        <f ca="1">HB101*HC78^3+HB102*HC78^2+HB103*HC78+HB104</f>
        <v>#VALUE!</v>
      </c>
      <c r="HE78" s="49" t="e">
        <f t="shared" ca="1" si="7"/>
        <v>#VALUE!</v>
      </c>
      <c r="HF78" s="49" t="e">
        <f ca="1">HF43+HB78*(HF100-HF43)/HB99</f>
        <v>#VALUE!</v>
      </c>
      <c r="HG78" s="49" t="e">
        <f ca="1">HB101*HF78^3+HB102*HF78^2+HB103*HF78+HB104</f>
        <v>#VALUE!</v>
      </c>
      <c r="HH78" s="49" t="e">
        <f t="shared" ca="1" si="27"/>
        <v>#VALUE!</v>
      </c>
      <c r="HI78" s="49" t="e">
        <f ca="1">HI43+HB78*(HI100-HI43)/HB99</f>
        <v>#VALUE!</v>
      </c>
      <c r="HJ78" s="49" t="e">
        <f ca="1">GG40*HI78^3+GH40*HI78^2+GI40*HI78+GF40+GC75</f>
        <v>#VALUE!</v>
      </c>
      <c r="HK78" s="49" t="e">
        <f t="shared" ca="1" si="9"/>
        <v>#VALUE!</v>
      </c>
      <c r="HL78" s="49" t="e">
        <f t="shared" ca="1" si="10"/>
        <v>#VALUE!</v>
      </c>
      <c r="HM78" s="49" t="e">
        <f t="shared" ca="1" si="11"/>
        <v>#VALUE!</v>
      </c>
      <c r="HN78" s="49" t="e">
        <f t="shared" ca="1" si="12"/>
        <v>#VALUE!</v>
      </c>
      <c r="HO78" s="49" t="e">
        <f t="shared" ca="1" si="25"/>
        <v>#VALUE!</v>
      </c>
      <c r="HP78" s="49" t="e">
        <f t="shared" ca="1" si="26"/>
        <v>#VALUE!</v>
      </c>
      <c r="HQ78" s="49" t="e">
        <f t="shared" ca="1" si="15"/>
        <v>#VALUE!</v>
      </c>
      <c r="HR78" s="49" t="e">
        <f t="shared" ca="1" si="18"/>
        <v>#VALUE!</v>
      </c>
      <c r="HS78" s="49"/>
      <c r="HT78" s="49"/>
      <c r="HU78" s="49"/>
      <c r="HV78" s="49"/>
      <c r="HW78" s="49"/>
      <c r="HX78" s="49"/>
      <c r="HY78" s="49"/>
    </row>
    <row r="79" spans="1:233" ht="16.5" customHeight="1">
      <c r="A79" s="1"/>
      <c r="B79" s="3"/>
      <c r="C79" s="3"/>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30"/>
      <c r="FL79" s="21"/>
      <c r="FM79" s="47"/>
      <c r="FN79" s="47"/>
      <c r="FO79" s="47"/>
      <c r="FP79" s="47"/>
      <c r="FQ79" s="47"/>
      <c r="FR79" s="47"/>
      <c r="FS79" s="47"/>
      <c r="FT79" s="47"/>
      <c r="FU79" s="47"/>
      <c r="FV79" s="47"/>
      <c r="FW79" s="47"/>
      <c r="FX79" s="47"/>
      <c r="FY79" s="47"/>
      <c r="FZ79" s="49" t="e">
        <f ca="1">GJ40</f>
        <v>#VALUE!</v>
      </c>
      <c r="GA79" s="49">
        <f ca="1">IF(FO1=1,(GA78+GA80)/2,0)</f>
        <v>0</v>
      </c>
      <c r="GB79" s="49" t="str">
        <f t="shared" ref="GB79:GB88" ca="1" si="35">GB44</f>
        <v/>
      </c>
      <c r="GC79" s="49"/>
      <c r="GD79" s="49">
        <f ca="1">IF(FO1=0,0,IF(FN37=1,GH88-1*GB44,IF(FN37=2,GH88-1*GB44,0)))</f>
        <v>0</v>
      </c>
      <c r="GE79" s="49">
        <f t="shared" ca="1" si="28"/>
        <v>0</v>
      </c>
      <c r="GF79" s="49">
        <f t="shared" ca="1" si="29"/>
        <v>0</v>
      </c>
      <c r="GG79" s="49">
        <f ca="1">IF(FO1=1,2*GJ40*GB44^1+GK40,0)</f>
        <v>0</v>
      </c>
      <c r="GH79" s="49">
        <f ca="1">GH88</f>
        <v>0</v>
      </c>
      <c r="GI79" s="49" t="e">
        <f ca="1">0.1*GI88</f>
        <v>#DIV/0!</v>
      </c>
      <c r="GJ79" s="49">
        <f ca="1">0.1*GJ88</f>
        <v>0</v>
      </c>
      <c r="GK79" s="49">
        <f ca="1">GK88</f>
        <v>0</v>
      </c>
      <c r="GL79" s="49">
        <f ca="1">GL88</f>
        <v>0</v>
      </c>
      <c r="GM79" s="49">
        <f ca="1">IF(FO1=0,0,-GC40*GB44^2+GD40*GB44)</f>
        <v>0</v>
      </c>
      <c r="GN79" s="49">
        <f t="shared" ca="1" si="30"/>
        <v>0</v>
      </c>
      <c r="GO79" s="49">
        <f ca="1">IF(FO$1=0,0,IF(FN$37=1,GN$29*GD79+GO$31,0))</f>
        <v>0</v>
      </c>
      <c r="GP79" s="49">
        <f ca="1">IF(FO1=0,0,IF(FN37=1,GO29*GD79+GO35,0))</f>
        <v>0</v>
      </c>
      <c r="GQ79" s="49">
        <f ca="1">GQ88</f>
        <v>0</v>
      </c>
      <c r="GR79" s="49" t="e">
        <f ca="1">0.1*GR88</f>
        <v>#DIV/0!</v>
      </c>
      <c r="GS79" s="49">
        <f t="shared" ca="1" si="31"/>
        <v>0</v>
      </c>
      <c r="GT79" s="49">
        <f ca="1">GT88</f>
        <v>0</v>
      </c>
      <c r="GU79" s="49">
        <f ca="1">IF(FO1=0,0,IF(FN37=3,GU88,0))</f>
        <v>0</v>
      </c>
      <c r="GV79" s="49">
        <f ca="1">0.1*GV88</f>
        <v>0</v>
      </c>
      <c r="GW79" s="49">
        <f ca="1">IF(FO1=1,0.1*GW88,0)</f>
        <v>0</v>
      </c>
      <c r="GX79" s="49">
        <f ca="1">0.1*GX88</f>
        <v>0</v>
      </c>
      <c r="GY79" s="49">
        <f t="shared" ca="1" si="32"/>
        <v>0</v>
      </c>
      <c r="GZ79" s="49">
        <f t="shared" ca="1" si="33"/>
        <v>0</v>
      </c>
      <c r="HA79" s="49">
        <f t="shared" ca="1" si="34"/>
        <v>0</v>
      </c>
      <c r="HB79" s="49">
        <v>30</v>
      </c>
      <c r="HC79" s="49" t="e">
        <f ca="1">HC43+HB79*(HC100-HC43)/HB99</f>
        <v>#VALUE!</v>
      </c>
      <c r="HD79" s="49" t="e">
        <f ca="1">HB101*HC79^3+HB102*HC79^2+HB103*HC79+HB104</f>
        <v>#VALUE!</v>
      </c>
      <c r="HE79" s="49" t="e">
        <f t="shared" ca="1" si="7"/>
        <v>#VALUE!</v>
      </c>
      <c r="HF79" s="49" t="e">
        <f ca="1">HF43+HB79*(HF100-HF43)/HB99</f>
        <v>#VALUE!</v>
      </c>
      <c r="HG79" s="49" t="e">
        <f ca="1">HB101*HF79^3+HB102*HF79^2+HB103*HF79+HB104</f>
        <v>#VALUE!</v>
      </c>
      <c r="HH79" s="49" t="e">
        <f t="shared" ca="1" si="27"/>
        <v>#VALUE!</v>
      </c>
      <c r="HI79" s="49" t="e">
        <f ca="1">HI43+HB79*(HI100-HI43)/HB99</f>
        <v>#VALUE!</v>
      </c>
      <c r="HJ79" s="49" t="e">
        <f ca="1">GG40*HI79^3+GH40*HI79^2+GI40*HI79+GF40+GC75</f>
        <v>#VALUE!</v>
      </c>
      <c r="HK79" s="49" t="e">
        <f t="shared" ca="1" si="9"/>
        <v>#VALUE!</v>
      </c>
      <c r="HL79" s="49" t="e">
        <f t="shared" ca="1" si="10"/>
        <v>#VALUE!</v>
      </c>
      <c r="HM79" s="49" t="e">
        <f t="shared" ca="1" si="11"/>
        <v>#VALUE!</v>
      </c>
      <c r="HN79" s="49" t="e">
        <f t="shared" ca="1" si="12"/>
        <v>#VALUE!</v>
      </c>
      <c r="HO79" s="49" t="e">
        <f t="shared" ca="1" si="25"/>
        <v>#VALUE!</v>
      </c>
      <c r="HP79" s="49" t="e">
        <f t="shared" ca="1" si="26"/>
        <v>#VALUE!</v>
      </c>
      <c r="HQ79" s="49" t="e">
        <f t="shared" ca="1" si="15"/>
        <v>#VALUE!</v>
      </c>
      <c r="HR79" s="49" t="e">
        <f t="shared" ca="1" si="18"/>
        <v>#VALUE!</v>
      </c>
      <c r="HS79" s="49"/>
      <c r="HT79" s="49"/>
      <c r="HU79" s="49"/>
      <c r="HV79" s="49"/>
      <c r="HW79" s="49"/>
      <c r="HX79" s="49"/>
      <c r="HY79" s="49"/>
    </row>
    <row r="80" spans="1:233" ht="16.5" customHeight="1">
      <c r="A80" s="1"/>
      <c r="B80" s="3"/>
      <c r="C80" s="3"/>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30"/>
      <c r="FL80" s="21"/>
      <c r="FM80" s="47"/>
      <c r="FN80" s="47"/>
      <c r="FO80" s="47"/>
      <c r="FP80" s="47"/>
      <c r="FQ80" s="47"/>
      <c r="FR80" s="47"/>
      <c r="FS80" s="47"/>
      <c r="FT80" s="47"/>
      <c r="FU80" s="47"/>
      <c r="FV80" s="47"/>
      <c r="FW80" s="47"/>
      <c r="FX80" s="47"/>
      <c r="FY80" s="47"/>
      <c r="FZ80" s="49" t="e">
        <f ca="1">GK40-1.1*GD40</f>
        <v>#VALUE!</v>
      </c>
      <c r="GA80" s="49" t="str">
        <f t="shared" ref="GA80:GA87" ca="1" si="36">GB80</f>
        <v/>
      </c>
      <c r="GB80" s="49" t="str">
        <f t="shared" ca="1" si="35"/>
        <v/>
      </c>
      <c r="GC80" s="49"/>
      <c r="GD80" s="49">
        <f ca="1">IF(FO1=0,0,IF(FN37=1,GH88,IF(FN37=2,GH88,0)))</f>
        <v>0</v>
      </c>
      <c r="GE80" s="49">
        <f t="shared" ca="1" si="28"/>
        <v>0</v>
      </c>
      <c r="GF80" s="49">
        <f t="shared" ca="1" si="29"/>
        <v>0</v>
      </c>
      <c r="GG80" s="49">
        <f ca="1">IF(FO1=1,2*GJ40*GB45^1+GK40,0)</f>
        <v>0</v>
      </c>
      <c r="GH80" s="49">
        <f ca="1">GH88</f>
        <v>0</v>
      </c>
      <c r="GI80" s="49" t="e">
        <f ca="1">0.2*GI88</f>
        <v>#DIV/0!</v>
      </c>
      <c r="GJ80" s="49">
        <f ca="1">0.2*GJ88</f>
        <v>0</v>
      </c>
      <c r="GK80" s="49">
        <f ca="1">GK88</f>
        <v>0</v>
      </c>
      <c r="GL80" s="49">
        <f ca="1">GL88</f>
        <v>0</v>
      </c>
      <c r="GM80" s="49">
        <f ca="1">IF(FO1=0,0,-GC40*GB45^2+GD40*GB45)</f>
        <v>0</v>
      </c>
      <c r="GN80" s="49">
        <f t="shared" ca="1" si="30"/>
        <v>0</v>
      </c>
      <c r="GO80" s="49">
        <f ca="1">IF(FO$1=0,0,IF(FN$37=1,GN$29*GD80+GO$31,0))</f>
        <v>0</v>
      </c>
      <c r="GP80" s="49">
        <f ca="1">IF(FO1=0,0,IF(FN37=1,GO29*GD80+GO35,0))</f>
        <v>0</v>
      </c>
      <c r="GQ80" s="49">
        <f ca="1">GQ88</f>
        <v>0</v>
      </c>
      <c r="GR80" s="49" t="e">
        <f ca="1">0.2*GR88</f>
        <v>#DIV/0!</v>
      </c>
      <c r="GS80" s="49">
        <f t="shared" ca="1" si="31"/>
        <v>0</v>
      </c>
      <c r="GT80" s="49">
        <f ca="1">GT88</f>
        <v>0</v>
      </c>
      <c r="GU80" s="49">
        <f ca="1">IF(FO1=0,0,IF(FN37=3,GU88,0))</f>
        <v>0</v>
      </c>
      <c r="GV80" s="49">
        <f ca="1">0.2*GV88</f>
        <v>0</v>
      </c>
      <c r="GW80" s="49">
        <f ca="1">IF(FO1=1,0.2*GW88,0)</f>
        <v>0</v>
      </c>
      <c r="GX80" s="49">
        <f ca="1">0.2*GX88</f>
        <v>0</v>
      </c>
      <c r="GY80" s="49">
        <f t="shared" ca="1" si="32"/>
        <v>0</v>
      </c>
      <c r="GZ80" s="49">
        <f t="shared" ca="1" si="33"/>
        <v>0</v>
      </c>
      <c r="HA80" s="49">
        <f t="shared" ca="1" si="34"/>
        <v>0</v>
      </c>
      <c r="HB80" s="49">
        <v>31</v>
      </c>
      <c r="HC80" s="49" t="e">
        <f ca="1">HC43+HB80*(HC100-HC43)/HB99</f>
        <v>#VALUE!</v>
      </c>
      <c r="HD80" s="49" t="e">
        <f ca="1">HB101*HC80^3+HB102*HC80^2+HB103*HC80+HB104</f>
        <v>#VALUE!</v>
      </c>
      <c r="HE80" s="49" t="e">
        <f t="shared" ca="1" si="7"/>
        <v>#VALUE!</v>
      </c>
      <c r="HF80" s="49" t="e">
        <f ca="1">HF43+HB80*(HF100-HF43)/HB99</f>
        <v>#VALUE!</v>
      </c>
      <c r="HG80" s="49" t="e">
        <f ca="1">HB101*HF80^3+HB102*HF80^2+HB103*HF80+HB104</f>
        <v>#VALUE!</v>
      </c>
      <c r="HH80" s="49" t="e">
        <f t="shared" ca="1" si="27"/>
        <v>#VALUE!</v>
      </c>
      <c r="HI80" s="49" t="e">
        <f ca="1">HI43+HB80*(HI100-HI43)/HB99</f>
        <v>#VALUE!</v>
      </c>
      <c r="HJ80" s="49" t="e">
        <f ca="1">GG40*HI80^3+GH40*HI80^2+GI40*HI80+GF40+GC75</f>
        <v>#VALUE!</v>
      </c>
      <c r="HK80" s="49" t="e">
        <f t="shared" ca="1" si="9"/>
        <v>#VALUE!</v>
      </c>
      <c r="HL80" s="49" t="e">
        <f t="shared" ca="1" si="10"/>
        <v>#VALUE!</v>
      </c>
      <c r="HM80" s="49" t="e">
        <f t="shared" ca="1" si="11"/>
        <v>#VALUE!</v>
      </c>
      <c r="HN80" s="49" t="e">
        <f t="shared" ca="1" si="12"/>
        <v>#VALUE!</v>
      </c>
      <c r="HO80" s="49" t="e">
        <f t="shared" ca="1" si="25"/>
        <v>#VALUE!</v>
      </c>
      <c r="HP80" s="49" t="e">
        <f t="shared" ca="1" si="26"/>
        <v>#VALUE!</v>
      </c>
      <c r="HQ80" s="49" t="e">
        <f t="shared" ca="1" si="15"/>
        <v>#VALUE!</v>
      </c>
      <c r="HR80" s="49" t="e">
        <f t="shared" ca="1" si="18"/>
        <v>#VALUE!</v>
      </c>
      <c r="HS80" s="49"/>
      <c r="HT80" s="49"/>
      <c r="HU80" s="49"/>
      <c r="HV80" s="49"/>
      <c r="HW80" s="49"/>
      <c r="HX80" s="49"/>
      <c r="HY80" s="49"/>
    </row>
    <row r="81" spans="1:233" ht="16.5" customHeight="1">
      <c r="A81" s="1"/>
      <c r="B81" s="3"/>
      <c r="C81" s="3"/>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30"/>
      <c r="FL81" s="21"/>
      <c r="FM81" s="47"/>
      <c r="FN81" s="47"/>
      <c r="FO81" s="47"/>
      <c r="FP81" s="47"/>
      <c r="FQ81" s="47"/>
      <c r="FR81" s="47"/>
      <c r="FS81" s="47"/>
      <c r="FT81" s="47"/>
      <c r="FU81" s="47"/>
      <c r="FV81" s="47"/>
      <c r="FW81" s="47"/>
      <c r="FX81" s="47"/>
      <c r="FY81" s="47"/>
      <c r="FZ81" s="49" t="e">
        <f ca="1">GF40</f>
        <v>#DIV/0!</v>
      </c>
      <c r="GA81" s="49" t="str">
        <f t="shared" ca="1" si="36"/>
        <v/>
      </c>
      <c r="GB81" s="49" t="str">
        <f t="shared" ca="1" si="35"/>
        <v/>
      </c>
      <c r="GC81" s="49"/>
      <c r="GD81" s="49">
        <f ca="1">IF(FO1=0,0,IF(FN37=1,GD80+1*GB44,IF(FN37=2,GH88+1*GB44,0)))</f>
        <v>0</v>
      </c>
      <c r="GE81" s="49">
        <f t="shared" ca="1" si="28"/>
        <v>0</v>
      </c>
      <c r="GF81" s="49">
        <f t="shared" ca="1" si="29"/>
        <v>0</v>
      </c>
      <c r="GG81" s="49">
        <f ca="1">IF(FO1=1,2*GJ40*GB46^1+GK40,0)</f>
        <v>0</v>
      </c>
      <c r="GH81" s="49">
        <f ca="1">GH88</f>
        <v>0</v>
      </c>
      <c r="GI81" s="49" t="e">
        <f ca="1">0.3*GI88</f>
        <v>#DIV/0!</v>
      </c>
      <c r="GJ81" s="49">
        <f ca="1">0.3*GJ88</f>
        <v>0</v>
      </c>
      <c r="GK81" s="49">
        <f ca="1">GK88</f>
        <v>0</v>
      </c>
      <c r="GL81" s="49">
        <f ca="1">GL88</f>
        <v>0</v>
      </c>
      <c r="GM81" s="49">
        <f ca="1">IF(FO1=0,0,-GC40*GB46^2+GD40*GB46)</f>
        <v>0</v>
      </c>
      <c r="GN81" s="49">
        <f t="shared" ca="1" si="30"/>
        <v>0</v>
      </c>
      <c r="GO81" s="49">
        <f ca="1">IF(FO$1=0,0,IF(FN$37=1,GN$29*GD81+GO$31,0))</f>
        <v>0</v>
      </c>
      <c r="GP81" s="49">
        <f ca="1">IF(FO1=0,0,IF(FN37=1,GO29*GD81+GO35,0))</f>
        <v>0</v>
      </c>
      <c r="GQ81" s="49">
        <f ca="1">GQ88</f>
        <v>0</v>
      </c>
      <c r="GR81" s="49" t="e">
        <f ca="1">0.3*GR88</f>
        <v>#DIV/0!</v>
      </c>
      <c r="GS81" s="49">
        <f t="shared" ca="1" si="31"/>
        <v>0</v>
      </c>
      <c r="GT81" s="49">
        <f ca="1">GT88</f>
        <v>0</v>
      </c>
      <c r="GU81" s="49">
        <f ca="1">IF(FO1=0,0,IF(FN37=3,GU88,0))</f>
        <v>0</v>
      </c>
      <c r="GV81" s="49">
        <f ca="1">0.3*GV88</f>
        <v>0</v>
      </c>
      <c r="GW81" s="49">
        <f ca="1">IF(FO1=1,0.3*GW88,0)</f>
        <v>0</v>
      </c>
      <c r="GX81" s="49">
        <f ca="1">0.3*GX88</f>
        <v>0</v>
      </c>
      <c r="GY81" s="49">
        <f t="shared" ca="1" si="32"/>
        <v>0</v>
      </c>
      <c r="GZ81" s="49">
        <f t="shared" ca="1" si="33"/>
        <v>0</v>
      </c>
      <c r="HA81" s="49">
        <f t="shared" ca="1" si="34"/>
        <v>0</v>
      </c>
      <c r="HB81" s="49">
        <v>32</v>
      </c>
      <c r="HC81" s="49" t="e">
        <f ca="1">HC43+HB81*(HC100-HC43)/HB99</f>
        <v>#VALUE!</v>
      </c>
      <c r="HD81" s="49" t="e">
        <f ca="1">HB101*HC81^3+HB102*HC81^2+HB103*HC81+HB104</f>
        <v>#VALUE!</v>
      </c>
      <c r="HE81" s="49" t="e">
        <f t="shared" ca="1" si="7"/>
        <v>#VALUE!</v>
      </c>
      <c r="HF81" s="49" t="e">
        <f ca="1">HF43+HB81*(HF100-HF43)/HB99</f>
        <v>#VALUE!</v>
      </c>
      <c r="HG81" s="49" t="e">
        <f ca="1">HB101*HF81^3+HB102*HF81^2+HB103*HF81+HB104</f>
        <v>#VALUE!</v>
      </c>
      <c r="HH81" s="49" t="e">
        <f t="shared" ca="1" si="27"/>
        <v>#VALUE!</v>
      </c>
      <c r="HI81" s="49" t="e">
        <f ca="1">HI43+HB81*(HI100-HI43)/HB99</f>
        <v>#VALUE!</v>
      </c>
      <c r="HJ81" s="49" t="e">
        <f ca="1">GG40*HI81^3+GH40*HI81^2+GI40*HI81+GF40+GC75</f>
        <v>#VALUE!</v>
      </c>
      <c r="HK81" s="49" t="e">
        <f t="shared" ca="1" si="9"/>
        <v>#VALUE!</v>
      </c>
      <c r="HL81" s="49" t="e">
        <f t="shared" ca="1" si="10"/>
        <v>#VALUE!</v>
      </c>
      <c r="HM81" s="49" t="e">
        <f t="shared" ca="1" si="11"/>
        <v>#VALUE!</v>
      </c>
      <c r="HN81" s="49" t="e">
        <f t="shared" ca="1" si="12"/>
        <v>#VALUE!</v>
      </c>
      <c r="HO81" s="49" t="e">
        <f t="shared" ca="1" si="25"/>
        <v>#VALUE!</v>
      </c>
      <c r="HP81" s="49" t="e">
        <f t="shared" ca="1" si="26"/>
        <v>#VALUE!</v>
      </c>
      <c r="HQ81" s="49" t="e">
        <f t="shared" ca="1" si="15"/>
        <v>#VALUE!</v>
      </c>
      <c r="HR81" s="49" t="e">
        <f t="shared" ca="1" si="18"/>
        <v>#VALUE!</v>
      </c>
      <c r="HS81" s="49"/>
      <c r="HT81" s="49"/>
      <c r="HU81" s="49"/>
      <c r="HV81" s="49"/>
      <c r="HW81" s="49"/>
      <c r="HX81" s="49"/>
      <c r="HY81" s="49"/>
    </row>
    <row r="82" spans="1:233" ht="16.5" customHeight="1">
      <c r="A82" s="1"/>
      <c r="B82" s="3"/>
      <c r="C82" s="3"/>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30"/>
      <c r="FL82" s="21"/>
      <c r="FM82" s="47"/>
      <c r="FN82" s="47"/>
      <c r="FO82" s="47"/>
      <c r="FP82" s="47"/>
      <c r="FQ82" s="47"/>
      <c r="FR82" s="47"/>
      <c r="FS82" s="47"/>
      <c r="FT82" s="47"/>
      <c r="FU82" s="47"/>
      <c r="FV82" s="47"/>
      <c r="FW82" s="47"/>
      <c r="FX82" s="47"/>
      <c r="FY82" s="47"/>
      <c r="FZ82" s="49"/>
      <c r="GA82" s="49" t="str">
        <f t="shared" ca="1" si="36"/>
        <v/>
      </c>
      <c r="GB82" s="49" t="str">
        <f t="shared" ca="1" si="35"/>
        <v/>
      </c>
      <c r="GC82" s="49"/>
      <c r="GD82" s="49">
        <f ca="1">IF(FO1=0,0,IF(FN37=1,GD80+2*GB44,IF(FN37=2,GH88+2*GB44,0)))</f>
        <v>0</v>
      </c>
      <c r="GE82" s="49">
        <f t="shared" ca="1" si="28"/>
        <v>0</v>
      </c>
      <c r="GF82" s="49">
        <f t="shared" ca="1" si="29"/>
        <v>0</v>
      </c>
      <c r="GG82" s="49">
        <f ca="1">IF(FO1=1,2*GJ40*GB47^1+GK40,0)</f>
        <v>0</v>
      </c>
      <c r="GH82" s="49">
        <f ca="1">GH88</f>
        <v>0</v>
      </c>
      <c r="GI82" s="49" t="e">
        <f ca="1">0.4*GI88</f>
        <v>#DIV/0!</v>
      </c>
      <c r="GJ82" s="49">
        <f ca="1">0.4*GJ88</f>
        <v>0</v>
      </c>
      <c r="GK82" s="49">
        <f ca="1">GK88</f>
        <v>0</v>
      </c>
      <c r="GL82" s="49">
        <f ca="1">GL88</f>
        <v>0</v>
      </c>
      <c r="GM82" s="49">
        <f ca="1">IF(FO1=0,0,-GC40*GB47^2+GD40*GB47)</f>
        <v>0</v>
      </c>
      <c r="GN82" s="49">
        <f t="shared" ca="1" si="30"/>
        <v>0</v>
      </c>
      <c r="GO82" s="49">
        <f ca="1">IF(FO$1=0,0,IF(FN$37=1,GN$29*GD82+GO$31,0))</f>
        <v>0</v>
      </c>
      <c r="GP82" s="49">
        <f ca="1">IF(FO1=0,0,IF(FN37=1,GO29*GD82+GO35,0))</f>
        <v>0</v>
      </c>
      <c r="GQ82" s="49">
        <f ca="1">GQ88</f>
        <v>0</v>
      </c>
      <c r="GR82" s="49" t="e">
        <f ca="1">0.4*GR88</f>
        <v>#DIV/0!</v>
      </c>
      <c r="GS82" s="49">
        <f t="shared" ca="1" si="31"/>
        <v>0</v>
      </c>
      <c r="GT82" s="49">
        <f ca="1">GT88</f>
        <v>0</v>
      </c>
      <c r="GU82" s="49">
        <f ca="1">IF(FO1=0,0,IF(FN37=3,GU88,0))</f>
        <v>0</v>
      </c>
      <c r="GV82" s="49">
        <f ca="1">0.4*GV88</f>
        <v>0</v>
      </c>
      <c r="GW82" s="49">
        <f ca="1">IF(FO1=1,0.4*GW88,0)</f>
        <v>0</v>
      </c>
      <c r="GX82" s="49">
        <f ca="1">0.4*GX88</f>
        <v>0</v>
      </c>
      <c r="GY82" s="49">
        <f t="shared" ca="1" si="32"/>
        <v>0</v>
      </c>
      <c r="GZ82" s="49">
        <f t="shared" ca="1" si="33"/>
        <v>0</v>
      </c>
      <c r="HA82" s="49">
        <f t="shared" ca="1" si="34"/>
        <v>0</v>
      </c>
      <c r="HB82" s="49">
        <v>33</v>
      </c>
      <c r="HC82" s="49" t="e">
        <f ca="1">HC43+HB82*(HC100-HC43)/HB99</f>
        <v>#VALUE!</v>
      </c>
      <c r="HD82" s="49" t="e">
        <f ca="1">HB101*HC82^3+HB102*HC82^2+HB103*HC82+HB104</f>
        <v>#VALUE!</v>
      </c>
      <c r="HE82" s="49" t="e">
        <f t="shared" ca="1" si="7"/>
        <v>#VALUE!</v>
      </c>
      <c r="HF82" s="49" t="e">
        <f ca="1">HF43+HB82*(HF100-HF43)/HB99</f>
        <v>#VALUE!</v>
      </c>
      <c r="HG82" s="49" t="e">
        <f ca="1">HB101*HF82^3+HB102*HF82^2+HB103*HF82+HB104</f>
        <v>#VALUE!</v>
      </c>
      <c r="HH82" s="49" t="e">
        <f t="shared" ca="1" si="27"/>
        <v>#VALUE!</v>
      </c>
      <c r="HI82" s="49" t="e">
        <f ca="1">HI43+HB82*(HI100-HI43)/HB99</f>
        <v>#VALUE!</v>
      </c>
      <c r="HJ82" s="49" t="e">
        <f ca="1">GG40*HI82^3+GH40*HI82^2+GI40*HI82+GF40+GC75</f>
        <v>#VALUE!</v>
      </c>
      <c r="HK82" s="49" t="e">
        <f t="shared" ca="1" si="9"/>
        <v>#VALUE!</v>
      </c>
      <c r="HL82" s="49" t="e">
        <f t="shared" ca="1" si="10"/>
        <v>#VALUE!</v>
      </c>
      <c r="HM82" s="49" t="e">
        <f t="shared" ref="HM82:HM99" ca="1" si="37">GG$40*HL82^2+GH$40*HL82^1+GI$40+GF$40/HL82-1.1*GD$40</f>
        <v>#VALUE!</v>
      </c>
      <c r="HN82" s="49" t="e">
        <f t="shared" ca="1" si="12"/>
        <v>#VALUE!</v>
      </c>
      <c r="HO82" s="49" t="e">
        <f t="shared" ca="1" si="25"/>
        <v>#VALUE!</v>
      </c>
      <c r="HP82" s="49" t="e">
        <f t="shared" ca="1" si="26"/>
        <v>#VALUE!</v>
      </c>
      <c r="HQ82" s="49" t="e">
        <f t="shared" ca="1" si="15"/>
        <v>#VALUE!</v>
      </c>
      <c r="HR82" s="49" t="e">
        <f t="shared" ca="1" si="18"/>
        <v>#VALUE!</v>
      </c>
      <c r="HS82" s="49"/>
      <c r="HT82" s="49"/>
      <c r="HU82" s="49"/>
      <c r="HV82" s="49"/>
      <c r="HW82" s="49"/>
      <c r="HX82" s="49"/>
      <c r="HY82" s="49"/>
    </row>
    <row r="83" spans="1:233" ht="16.5" customHeight="1">
      <c r="A83" s="1"/>
      <c r="B83" s="3"/>
      <c r="C83" s="3"/>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30"/>
      <c r="FL83" s="21"/>
      <c r="FM83" s="47"/>
      <c r="FN83" s="47"/>
      <c r="FO83" s="47"/>
      <c r="FP83" s="47"/>
      <c r="FQ83" s="47"/>
      <c r="FR83" s="47"/>
      <c r="FS83" s="47"/>
      <c r="FT83" s="47"/>
      <c r="FU83" s="47"/>
      <c r="FV83" s="47"/>
      <c r="FW83" s="47"/>
      <c r="FX83" s="47"/>
      <c r="FY83" s="47"/>
      <c r="FZ83" s="49"/>
      <c r="GA83" s="49" t="str">
        <f t="shared" ca="1" si="36"/>
        <v/>
      </c>
      <c r="GB83" s="49" t="str">
        <f t="shared" ca="1" si="35"/>
        <v/>
      </c>
      <c r="GC83" s="49"/>
      <c r="GD83" s="49"/>
      <c r="GE83" s="49">
        <f t="shared" ca="1" si="28"/>
        <v>0</v>
      </c>
      <c r="GF83" s="49">
        <f t="shared" ca="1" si="29"/>
        <v>0</v>
      </c>
      <c r="GG83" s="49">
        <f ca="1">IF(FO1=1,2*GJ40*GB48^1+GK40,0)</f>
        <v>0</v>
      </c>
      <c r="GH83" s="49">
        <f ca="1">GH88</f>
        <v>0</v>
      </c>
      <c r="GI83" s="49" t="e">
        <f ca="1">0.5*GI88</f>
        <v>#DIV/0!</v>
      </c>
      <c r="GJ83" s="49">
        <f ca="1">0.5*GJ88</f>
        <v>0</v>
      </c>
      <c r="GK83" s="49">
        <f ca="1">GK88</f>
        <v>0</v>
      </c>
      <c r="GL83" s="49">
        <f ca="1">GL88</f>
        <v>0</v>
      </c>
      <c r="GM83" s="49">
        <f ca="1">IF(FO1=0,0,-GC40*GB48^2+GD40*GB48)</f>
        <v>0</v>
      </c>
      <c r="GN83" s="49">
        <f t="shared" ca="1" si="30"/>
        <v>0</v>
      </c>
      <c r="GO83" s="49"/>
      <c r="GP83" s="49"/>
      <c r="GQ83" s="49">
        <f ca="1">GQ88</f>
        <v>0</v>
      </c>
      <c r="GR83" s="49" t="e">
        <f ca="1">0.5*GR88</f>
        <v>#DIV/0!</v>
      </c>
      <c r="GS83" s="49">
        <f t="shared" ca="1" si="31"/>
        <v>0</v>
      </c>
      <c r="GT83" s="49">
        <f ca="1">GT88</f>
        <v>0</v>
      </c>
      <c r="GU83" s="49">
        <f ca="1">IF(FO1=0,0,IF(FN37=3,GU88,0))</f>
        <v>0</v>
      </c>
      <c r="GV83" s="49">
        <f ca="1">0.5*GV88</f>
        <v>0</v>
      </c>
      <c r="GW83" s="49">
        <f ca="1">IF(FO1=1,0.5*GW88,0)</f>
        <v>0</v>
      </c>
      <c r="GX83" s="49">
        <f ca="1">0.5*GX88</f>
        <v>0</v>
      </c>
      <c r="GY83" s="49">
        <f t="shared" ca="1" si="32"/>
        <v>0</v>
      </c>
      <c r="GZ83" s="49">
        <f t="shared" ca="1" si="33"/>
        <v>0</v>
      </c>
      <c r="HA83" s="49">
        <f t="shared" ca="1" si="34"/>
        <v>0</v>
      </c>
      <c r="HB83" s="49">
        <v>34</v>
      </c>
      <c r="HC83" s="49" t="e">
        <f ca="1">HC43+HB83*(HC100-HC43)/HB99</f>
        <v>#VALUE!</v>
      </c>
      <c r="HD83" s="49" t="e">
        <f ca="1">HB101*HC83^3+HB102*HC83^2+HB103*HC83+HB104</f>
        <v>#VALUE!</v>
      </c>
      <c r="HE83" s="49" t="e">
        <f t="shared" ca="1" si="7"/>
        <v>#VALUE!</v>
      </c>
      <c r="HF83" s="49" t="e">
        <f ca="1">HF43+HB83*(HF100-HF43)/HB99</f>
        <v>#VALUE!</v>
      </c>
      <c r="HG83" s="49" t="e">
        <f ca="1">HB101*HF83^3+HB102*HF83^2+HB103*HF83+HB104</f>
        <v>#VALUE!</v>
      </c>
      <c r="HH83" s="49" t="e">
        <f t="shared" ca="1" si="27"/>
        <v>#VALUE!</v>
      </c>
      <c r="HI83" s="49" t="e">
        <f ca="1">HI43+HB83*(HI100-HI43)/HB99</f>
        <v>#VALUE!</v>
      </c>
      <c r="HJ83" s="49" t="e">
        <f ca="1">GG40*HI83^3+GH40*HI83^2+GI40*HI83+GF40+GC75</f>
        <v>#VALUE!</v>
      </c>
      <c r="HK83" s="49" t="e">
        <f t="shared" ca="1" si="9"/>
        <v>#VALUE!</v>
      </c>
      <c r="HL83" s="49" t="e">
        <f t="shared" ca="1" si="10"/>
        <v>#VALUE!</v>
      </c>
      <c r="HM83" s="49" t="e">
        <f t="shared" ca="1" si="37"/>
        <v>#VALUE!</v>
      </c>
      <c r="HN83" s="49" t="e">
        <f t="shared" ca="1" si="12"/>
        <v>#VALUE!</v>
      </c>
      <c r="HO83" s="49" t="e">
        <f t="shared" ca="1" si="25"/>
        <v>#VALUE!</v>
      </c>
      <c r="HP83" s="49" t="e">
        <f t="shared" ca="1" si="26"/>
        <v>#VALUE!</v>
      </c>
      <c r="HQ83" s="49" t="e">
        <f t="shared" ca="1" si="15"/>
        <v>#VALUE!</v>
      </c>
      <c r="HR83" s="49" t="e">
        <f t="shared" ca="1" si="18"/>
        <v>#VALUE!</v>
      </c>
      <c r="HS83" s="49"/>
      <c r="HT83" s="49"/>
      <c r="HU83" s="49"/>
      <c r="HV83" s="49"/>
      <c r="HW83" s="49"/>
      <c r="HX83" s="49"/>
      <c r="HY83" s="49"/>
    </row>
    <row r="84" spans="1:233" ht="16.5" customHeight="1">
      <c r="A84" s="1"/>
      <c r="B84" s="3"/>
      <c r="C84" s="3"/>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30"/>
      <c r="FL84" s="21"/>
      <c r="FM84" s="47"/>
      <c r="FN84" s="47"/>
      <c r="FO84" s="47"/>
      <c r="FP84" s="47"/>
      <c r="FQ84" s="47"/>
      <c r="FR84" s="47"/>
      <c r="FS84" s="47"/>
      <c r="FT84" s="47"/>
      <c r="FU84" s="47"/>
      <c r="FV84" s="47"/>
      <c r="FW84" s="47"/>
      <c r="FX84" s="47"/>
      <c r="FY84" s="47"/>
      <c r="FZ84" s="49"/>
      <c r="GA84" s="49" t="str">
        <f t="shared" ca="1" si="36"/>
        <v/>
      </c>
      <c r="GB84" s="49" t="str">
        <f t="shared" ca="1" si="35"/>
        <v/>
      </c>
      <c r="GC84" s="49"/>
      <c r="GD84" s="49"/>
      <c r="GE84" s="49">
        <f t="shared" ca="1" si="28"/>
        <v>0</v>
      </c>
      <c r="GF84" s="49">
        <f t="shared" ca="1" si="29"/>
        <v>0</v>
      </c>
      <c r="GG84" s="49">
        <f ca="1">IF(FO1=1,2*GJ40*GB49^1+GK40,0)</f>
        <v>0</v>
      </c>
      <c r="GH84" s="49">
        <f ca="1">GH88</f>
        <v>0</v>
      </c>
      <c r="GI84" s="49" t="e">
        <f ca="1">0.6*GI88</f>
        <v>#DIV/0!</v>
      </c>
      <c r="GJ84" s="49">
        <f ca="1">0.6*GJ88</f>
        <v>0</v>
      </c>
      <c r="GK84" s="49">
        <f ca="1">GK88</f>
        <v>0</v>
      </c>
      <c r="GL84" s="49">
        <f ca="1">GL88</f>
        <v>0</v>
      </c>
      <c r="GM84" s="49">
        <f ca="1">IF(FO1=0,0,-GC40*GB49^2+GD40*GB49)</f>
        <v>0</v>
      </c>
      <c r="GN84" s="49">
        <f t="shared" ca="1" si="30"/>
        <v>0</v>
      </c>
      <c r="GO84" s="49"/>
      <c r="GP84" s="49"/>
      <c r="GQ84" s="49">
        <f ca="1">GQ88</f>
        <v>0</v>
      </c>
      <c r="GR84" s="49" t="e">
        <f ca="1">0.6*GR88</f>
        <v>#DIV/0!</v>
      </c>
      <c r="GS84" s="49">
        <f t="shared" ca="1" si="31"/>
        <v>0</v>
      </c>
      <c r="GT84" s="49">
        <f ca="1">GT88</f>
        <v>0</v>
      </c>
      <c r="GU84" s="49">
        <f ca="1">IF(FO1=0,0,IF(FN37=3,GU88,0))</f>
        <v>0</v>
      </c>
      <c r="GV84" s="49">
        <f ca="1">0.6*GV88</f>
        <v>0</v>
      </c>
      <c r="GW84" s="49">
        <f ca="1">IF(FO1=1,0.6*GW88,0)</f>
        <v>0</v>
      </c>
      <c r="GX84" s="49">
        <f ca="1">0.6*GX88</f>
        <v>0</v>
      </c>
      <c r="GY84" s="49">
        <f t="shared" ca="1" si="32"/>
        <v>0</v>
      </c>
      <c r="GZ84" s="49">
        <f t="shared" ca="1" si="33"/>
        <v>0</v>
      </c>
      <c r="HA84" s="49"/>
      <c r="HB84" s="49">
        <v>35</v>
      </c>
      <c r="HC84" s="49" t="e">
        <f ca="1">HC43+HB84*(HC100-HC43)/HB99</f>
        <v>#VALUE!</v>
      </c>
      <c r="HD84" s="49" t="e">
        <f ca="1">HB101*HC84^3+HB102*HC84^2+HB103*HC84+HB104</f>
        <v>#VALUE!</v>
      </c>
      <c r="HE84" s="49" t="e">
        <f t="shared" ca="1" si="7"/>
        <v>#VALUE!</v>
      </c>
      <c r="HF84" s="49" t="e">
        <f ca="1">HF43+HB84*(HF100-HF43)/HB99</f>
        <v>#VALUE!</v>
      </c>
      <c r="HG84" s="49" t="e">
        <f ca="1">HB101*HF84^3+HB102*HF84^2+HB103*HF84+HB104</f>
        <v>#VALUE!</v>
      </c>
      <c r="HH84" s="49" t="e">
        <f t="shared" ca="1" si="27"/>
        <v>#VALUE!</v>
      </c>
      <c r="HI84" s="49" t="e">
        <f ca="1">HI43+HB84*(HI100-HI43)/HB99</f>
        <v>#VALUE!</v>
      </c>
      <c r="HJ84" s="49" t="e">
        <f ca="1">GG40*HI84^3+GH40*HI84^2+GI40*HI84+GF40+GC75</f>
        <v>#VALUE!</v>
      </c>
      <c r="HK84" s="49" t="e">
        <f t="shared" ca="1" si="9"/>
        <v>#VALUE!</v>
      </c>
      <c r="HL84" s="49" t="e">
        <f t="shared" ca="1" si="10"/>
        <v>#VALUE!</v>
      </c>
      <c r="HM84" s="49" t="e">
        <f t="shared" ca="1" si="37"/>
        <v>#VALUE!</v>
      </c>
      <c r="HN84" s="49" t="e">
        <f t="shared" ca="1" si="12"/>
        <v>#VALUE!</v>
      </c>
      <c r="HO84" s="49" t="e">
        <f t="shared" ca="1" si="25"/>
        <v>#VALUE!</v>
      </c>
      <c r="HP84" s="49" t="e">
        <f t="shared" ca="1" si="26"/>
        <v>#VALUE!</v>
      </c>
      <c r="HQ84" s="49" t="e">
        <f t="shared" ca="1" si="15"/>
        <v>#VALUE!</v>
      </c>
      <c r="HR84" s="49" t="e">
        <f t="shared" ca="1" si="18"/>
        <v>#VALUE!</v>
      </c>
      <c r="HS84" s="49"/>
      <c r="HT84" s="49"/>
      <c r="HU84" s="49"/>
      <c r="HV84" s="49"/>
      <c r="HW84" s="49"/>
      <c r="HX84" s="49"/>
      <c r="HY84" s="49"/>
    </row>
    <row r="85" spans="1:233" ht="16.5" customHeight="1">
      <c r="A85" s="1"/>
      <c r="B85" s="3"/>
      <c r="C85" s="3"/>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30"/>
      <c r="FL85" s="21"/>
      <c r="FM85" s="47"/>
      <c r="FN85" s="47"/>
      <c r="FO85" s="47"/>
      <c r="FP85" s="47"/>
      <c r="FQ85" s="47"/>
      <c r="FR85" s="47"/>
      <c r="FS85" s="47"/>
      <c r="FT85" s="47"/>
      <c r="FU85" s="47"/>
      <c r="FV85" s="47"/>
      <c r="FW85" s="47"/>
      <c r="FX85" s="47"/>
      <c r="FY85" s="47"/>
      <c r="FZ85" s="49"/>
      <c r="GA85" s="49" t="str">
        <f t="shared" ca="1" si="36"/>
        <v/>
      </c>
      <c r="GB85" s="49" t="str">
        <f t="shared" ca="1" si="35"/>
        <v/>
      </c>
      <c r="GC85" s="49"/>
      <c r="GD85" s="49"/>
      <c r="GE85" s="49">
        <f t="shared" ca="1" si="28"/>
        <v>0</v>
      </c>
      <c r="GF85" s="49">
        <f t="shared" ca="1" si="29"/>
        <v>0</v>
      </c>
      <c r="GG85" s="49">
        <f ca="1">IF(FO1=1,2*GJ40*GB50^1+GK40,0)</f>
        <v>0</v>
      </c>
      <c r="GH85" s="49">
        <f ca="1">GH88</f>
        <v>0</v>
      </c>
      <c r="GI85" s="49" t="e">
        <f ca="1">0.7*GI88</f>
        <v>#DIV/0!</v>
      </c>
      <c r="GJ85" s="49">
        <f ca="1">0.7*GJ88</f>
        <v>0</v>
      </c>
      <c r="GK85" s="49">
        <f ca="1">GK88</f>
        <v>0</v>
      </c>
      <c r="GL85" s="49">
        <f ca="1">GL88</f>
        <v>0</v>
      </c>
      <c r="GM85" s="49">
        <f ca="1">IF(FO1=0,0,-GC40*GB50^2+GD40*GB50)</f>
        <v>0</v>
      </c>
      <c r="GN85" s="49">
        <f t="shared" ca="1" si="30"/>
        <v>0</v>
      </c>
      <c r="GO85" s="49"/>
      <c r="GP85" s="49"/>
      <c r="GQ85" s="49">
        <f ca="1">GQ88</f>
        <v>0</v>
      </c>
      <c r="GR85" s="49" t="e">
        <f ca="1">0.7*GR88</f>
        <v>#DIV/0!</v>
      </c>
      <c r="GS85" s="49">
        <f t="shared" ca="1" si="31"/>
        <v>0</v>
      </c>
      <c r="GT85" s="49">
        <f ca="1">GT88</f>
        <v>0</v>
      </c>
      <c r="GU85" s="49">
        <f ca="1">IF(FO1=0,0,IF(FN37=3,GU88,0))</f>
        <v>0</v>
      </c>
      <c r="GV85" s="49">
        <f ca="1">0.7*GV88</f>
        <v>0</v>
      </c>
      <c r="GW85" s="49">
        <f ca="1">IF(FO1=1,0.7*GW88,0)</f>
        <v>0</v>
      </c>
      <c r="GX85" s="49">
        <f ca="1">0.7*GX88</f>
        <v>0</v>
      </c>
      <c r="GY85" s="49">
        <f t="shared" ca="1" si="32"/>
        <v>0</v>
      </c>
      <c r="GZ85" s="49">
        <f t="shared" ca="1" si="33"/>
        <v>0</v>
      </c>
      <c r="HA85" s="49"/>
      <c r="HB85" s="49">
        <v>36</v>
      </c>
      <c r="HC85" s="49" t="e">
        <f ca="1">HC43+HB85*(HC100-HC43)/HB99</f>
        <v>#VALUE!</v>
      </c>
      <c r="HD85" s="49" t="e">
        <f ca="1">HB101*HC85^3+HB102*HC85^2+HB103*HC85+HB104</f>
        <v>#VALUE!</v>
      </c>
      <c r="HE85" s="49" t="e">
        <f t="shared" ca="1" si="7"/>
        <v>#VALUE!</v>
      </c>
      <c r="HF85" s="49" t="e">
        <f ca="1">HF43+HB85*(HF100-HF43)/HB99</f>
        <v>#VALUE!</v>
      </c>
      <c r="HG85" s="49" t="e">
        <f ca="1">HB101*HF85^3+HB102*HF85^2+HB103*HF85+HB104</f>
        <v>#VALUE!</v>
      </c>
      <c r="HH85" s="49" t="e">
        <f t="shared" ca="1" si="27"/>
        <v>#VALUE!</v>
      </c>
      <c r="HI85" s="49" t="e">
        <f ca="1">HI43+HB85*(HI100-HI43)/HB99</f>
        <v>#VALUE!</v>
      </c>
      <c r="HJ85" s="49" t="e">
        <f ca="1">GG40*HI85^3+GH40*HI85^2+GI40*HI85+GF40+GC75</f>
        <v>#VALUE!</v>
      </c>
      <c r="HK85" s="49" t="e">
        <f t="shared" ca="1" si="9"/>
        <v>#VALUE!</v>
      </c>
      <c r="HL85" s="49" t="e">
        <f t="shared" ca="1" si="10"/>
        <v>#VALUE!</v>
      </c>
      <c r="HM85" s="49" t="e">
        <f t="shared" ca="1" si="37"/>
        <v>#VALUE!</v>
      </c>
      <c r="HN85" s="49" t="e">
        <f t="shared" ca="1" si="12"/>
        <v>#VALUE!</v>
      </c>
      <c r="HO85" s="49" t="e">
        <f t="shared" ca="1" si="25"/>
        <v>#VALUE!</v>
      </c>
      <c r="HP85" s="49" t="e">
        <f t="shared" ca="1" si="26"/>
        <v>#VALUE!</v>
      </c>
      <c r="HQ85" s="49" t="e">
        <f t="shared" ca="1" si="15"/>
        <v>#VALUE!</v>
      </c>
      <c r="HR85" s="49" t="e">
        <f t="shared" ca="1" si="18"/>
        <v>#VALUE!</v>
      </c>
      <c r="HS85" s="49"/>
      <c r="HT85" s="49"/>
      <c r="HU85" s="49"/>
      <c r="HV85" s="49"/>
      <c r="HW85" s="49"/>
      <c r="HX85" s="49"/>
      <c r="HY85" s="49"/>
    </row>
    <row r="86" spans="1:233" ht="16.5" customHeight="1">
      <c r="A86" s="1"/>
      <c r="B86" s="3"/>
      <c r="C86" s="3"/>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30"/>
      <c r="FL86" s="21"/>
      <c r="FM86" s="47"/>
      <c r="FN86" s="47"/>
      <c r="FO86" s="47"/>
      <c r="FP86" s="47"/>
      <c r="FQ86" s="47"/>
      <c r="FR86" s="47"/>
      <c r="FS86" s="47"/>
      <c r="FT86" s="47"/>
      <c r="FU86" s="47"/>
      <c r="FV86" s="47"/>
      <c r="FW86" s="47"/>
      <c r="FX86" s="47"/>
      <c r="FY86" s="47"/>
      <c r="FZ86" s="49"/>
      <c r="GA86" s="49" t="str">
        <f t="shared" ca="1" si="36"/>
        <v/>
      </c>
      <c r="GB86" s="49" t="str">
        <f t="shared" ca="1" si="35"/>
        <v/>
      </c>
      <c r="GC86" s="49"/>
      <c r="GD86" s="49"/>
      <c r="GE86" s="49">
        <f t="shared" ca="1" si="28"/>
        <v>0</v>
      </c>
      <c r="GF86" s="49">
        <f t="shared" ca="1" si="29"/>
        <v>0</v>
      </c>
      <c r="GG86" s="49">
        <f ca="1">IF(FO1=1,2*GJ40*GB51^1+GK40,0)</f>
        <v>0</v>
      </c>
      <c r="GH86" s="49">
        <f ca="1">GH88</f>
        <v>0</v>
      </c>
      <c r="GI86" s="49" t="e">
        <f ca="1">0.8*GI88</f>
        <v>#DIV/0!</v>
      </c>
      <c r="GJ86" s="49">
        <f ca="1">0.8*GJ88</f>
        <v>0</v>
      </c>
      <c r="GK86" s="49">
        <f ca="1">GK88</f>
        <v>0</v>
      </c>
      <c r="GL86" s="49">
        <f ca="1">GL88</f>
        <v>0</v>
      </c>
      <c r="GM86" s="49">
        <f ca="1">IF(FO1=0,0,-GC40*GB51^2+GD40*GB51)</f>
        <v>0</v>
      </c>
      <c r="GN86" s="49">
        <f t="shared" ca="1" si="30"/>
        <v>0</v>
      </c>
      <c r="GO86" s="49"/>
      <c r="GP86" s="49"/>
      <c r="GQ86" s="49">
        <f ca="1">GQ88</f>
        <v>0</v>
      </c>
      <c r="GR86" s="49" t="e">
        <f ca="1">0.8*GR88</f>
        <v>#DIV/0!</v>
      </c>
      <c r="GS86" s="49">
        <f t="shared" ca="1" si="31"/>
        <v>0</v>
      </c>
      <c r="GT86" s="49">
        <f ca="1">GT88</f>
        <v>0</v>
      </c>
      <c r="GU86" s="49">
        <f ca="1">IF(FO1=0,0,IF(FN37=3,GU88,0))</f>
        <v>0</v>
      </c>
      <c r="GV86" s="49">
        <f ca="1">0.8*GV88</f>
        <v>0</v>
      </c>
      <c r="GW86" s="49">
        <f ca="1">IF(FO1=1,0.8*GW88,0)</f>
        <v>0</v>
      </c>
      <c r="GX86" s="49">
        <f ca="1">0.8*GX88</f>
        <v>0</v>
      </c>
      <c r="GY86" s="49">
        <f t="shared" ca="1" si="32"/>
        <v>0</v>
      </c>
      <c r="GZ86" s="49">
        <f t="shared" ca="1" si="33"/>
        <v>0</v>
      </c>
      <c r="HA86" s="49"/>
      <c r="HB86" s="49">
        <v>37</v>
      </c>
      <c r="HC86" s="49" t="e">
        <f ca="1">HC43+HB86*(HC100-HC43)/HB99</f>
        <v>#VALUE!</v>
      </c>
      <c r="HD86" s="49" t="e">
        <f ca="1">HB101*HC86^3+HB102*HC86^2+HB103*HC86+HB104</f>
        <v>#VALUE!</v>
      </c>
      <c r="HE86" s="49" t="e">
        <f t="shared" ca="1" si="7"/>
        <v>#VALUE!</v>
      </c>
      <c r="HF86" s="49" t="e">
        <f ca="1">HF43+HB86*(HF100-HF43)/HB99</f>
        <v>#VALUE!</v>
      </c>
      <c r="HG86" s="49" t="e">
        <f ca="1">HB101*HF86^3+HB102*HF86^2+HB103*HF86+HB104</f>
        <v>#VALUE!</v>
      </c>
      <c r="HH86" s="49" t="e">
        <f t="shared" ca="1" si="27"/>
        <v>#VALUE!</v>
      </c>
      <c r="HI86" s="49" t="e">
        <f ca="1">HI43+HB86*(HI100-HI43)/HB99</f>
        <v>#VALUE!</v>
      </c>
      <c r="HJ86" s="49" t="e">
        <f ca="1">GG40*HI86^3+GH40*HI86^2+GI40*HI86+GF40+GC75</f>
        <v>#VALUE!</v>
      </c>
      <c r="HK86" s="49" t="e">
        <f t="shared" ca="1" si="9"/>
        <v>#VALUE!</v>
      </c>
      <c r="HL86" s="49" t="e">
        <f t="shared" ca="1" si="10"/>
        <v>#VALUE!</v>
      </c>
      <c r="HM86" s="49" t="e">
        <f t="shared" ca="1" si="37"/>
        <v>#VALUE!</v>
      </c>
      <c r="HN86" s="49" t="e">
        <f t="shared" ca="1" si="12"/>
        <v>#VALUE!</v>
      </c>
      <c r="HO86" s="49" t="e">
        <f t="shared" ca="1" si="25"/>
        <v>#VALUE!</v>
      </c>
      <c r="HP86" s="49" t="e">
        <f t="shared" ca="1" si="26"/>
        <v>#VALUE!</v>
      </c>
      <c r="HQ86" s="49" t="e">
        <f t="shared" ca="1" si="15"/>
        <v>#VALUE!</v>
      </c>
      <c r="HR86" s="49" t="e">
        <f t="shared" ca="1" si="18"/>
        <v>#VALUE!</v>
      </c>
      <c r="HS86" s="49"/>
      <c r="HT86" s="49"/>
      <c r="HU86" s="49"/>
      <c r="HV86" s="49"/>
      <c r="HW86" s="49"/>
      <c r="HX86" s="49"/>
      <c r="HY86" s="49"/>
    </row>
    <row r="87" spans="1:233" ht="16.5" customHeight="1">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9"/>
      <c r="GA87" s="49" t="str">
        <f t="shared" ca="1" si="36"/>
        <v/>
      </c>
      <c r="GB87" s="49" t="str">
        <f t="shared" ca="1" si="35"/>
        <v/>
      </c>
      <c r="GC87" s="49"/>
      <c r="GD87" s="49"/>
      <c r="GE87" s="49">
        <f t="shared" ca="1" si="28"/>
        <v>0</v>
      </c>
      <c r="GF87" s="49">
        <f t="shared" ca="1" si="29"/>
        <v>0</v>
      </c>
      <c r="GG87" s="49">
        <f ca="1">IF(FO1=1,2*GJ40*GB52^1+GK40,0)</f>
        <v>0</v>
      </c>
      <c r="GH87" s="49">
        <f ca="1">GH88</f>
        <v>0</v>
      </c>
      <c r="GI87" s="49" t="e">
        <f ca="1">0.9*GI88</f>
        <v>#DIV/0!</v>
      </c>
      <c r="GJ87" s="49">
        <f ca="1">0.9*GJ88</f>
        <v>0</v>
      </c>
      <c r="GK87" s="49">
        <f ca="1">GK88</f>
        <v>0</v>
      </c>
      <c r="GL87" s="49">
        <f ca="1">GL88</f>
        <v>0</v>
      </c>
      <c r="GM87" s="49">
        <f ca="1">IF(FO1=0,0,-GC40*GB52^2+GD40*GB52)</f>
        <v>0</v>
      </c>
      <c r="GN87" s="49">
        <f t="shared" ca="1" si="30"/>
        <v>0</v>
      </c>
      <c r="GO87" s="49"/>
      <c r="GP87" s="49"/>
      <c r="GQ87" s="49">
        <f ca="1">GQ88</f>
        <v>0</v>
      </c>
      <c r="GR87" s="49" t="e">
        <f ca="1">0.9*GR88</f>
        <v>#DIV/0!</v>
      </c>
      <c r="GS87" s="49">
        <f t="shared" ca="1" si="31"/>
        <v>0</v>
      </c>
      <c r="GT87" s="49">
        <f ca="1">GT88</f>
        <v>0</v>
      </c>
      <c r="GU87" s="49">
        <f ca="1">IF(FO1=0,0,IF(FN37=3,GU88,0))</f>
        <v>0</v>
      </c>
      <c r="GV87" s="49">
        <f ca="1">0.9*GV88</f>
        <v>0</v>
      </c>
      <c r="GW87" s="49">
        <f ca="1">IF(FO1=1,0.9*GW88,0)</f>
        <v>0</v>
      </c>
      <c r="GX87" s="49">
        <f ca="1">0.9*GX88</f>
        <v>0</v>
      </c>
      <c r="GY87" s="49">
        <f t="shared" ca="1" si="32"/>
        <v>0</v>
      </c>
      <c r="GZ87" s="49">
        <f t="shared" ca="1" si="33"/>
        <v>0</v>
      </c>
      <c r="HA87" s="49"/>
      <c r="HB87" s="49">
        <v>38</v>
      </c>
      <c r="HC87" s="49" t="e">
        <f ca="1">HC43+HB87*(HC100-HC43)/HB99</f>
        <v>#VALUE!</v>
      </c>
      <c r="HD87" s="49" t="e">
        <f ca="1">HB101*HC87^3+HB102*HC87^2+HB103*HC87+HB104</f>
        <v>#VALUE!</v>
      </c>
      <c r="HE87" s="49" t="e">
        <f t="shared" ca="1" si="7"/>
        <v>#VALUE!</v>
      </c>
      <c r="HF87" s="49" t="e">
        <f ca="1">HF43+HB87*(HF100-HF43)/HB99</f>
        <v>#VALUE!</v>
      </c>
      <c r="HG87" s="49" t="e">
        <f ca="1">HB101*HF87^3+HB102*HF87^2+HB103*HF87+HB104</f>
        <v>#VALUE!</v>
      </c>
      <c r="HH87" s="49" t="e">
        <f t="shared" ca="1" si="27"/>
        <v>#VALUE!</v>
      </c>
      <c r="HI87" s="49" t="e">
        <f ca="1">HI43+HB87*(HI100-HI43)/HB99</f>
        <v>#VALUE!</v>
      </c>
      <c r="HJ87" s="49" t="e">
        <f ca="1">GG40*HI87^3+GH40*HI87^2+GI40*HI87+GF40+GC75</f>
        <v>#VALUE!</v>
      </c>
      <c r="HK87" s="49" t="e">
        <f t="shared" ca="1" si="9"/>
        <v>#VALUE!</v>
      </c>
      <c r="HL87" s="49" t="e">
        <f t="shared" ca="1" si="10"/>
        <v>#VALUE!</v>
      </c>
      <c r="HM87" s="49" t="e">
        <f t="shared" ca="1" si="37"/>
        <v>#VALUE!</v>
      </c>
      <c r="HN87" s="49" t="e">
        <f t="shared" ca="1" si="12"/>
        <v>#VALUE!</v>
      </c>
      <c r="HO87" s="49" t="e">
        <f t="shared" ca="1" si="25"/>
        <v>#VALUE!</v>
      </c>
      <c r="HP87" s="49" t="e">
        <f t="shared" ca="1" si="26"/>
        <v>#VALUE!</v>
      </c>
      <c r="HQ87" s="49" t="e">
        <f t="shared" ca="1" si="15"/>
        <v>#VALUE!</v>
      </c>
      <c r="HR87" s="49" t="e">
        <f t="shared" ca="1" si="18"/>
        <v>#VALUE!</v>
      </c>
      <c r="HS87" s="49"/>
      <c r="HT87" s="49"/>
      <c r="HU87" s="49"/>
      <c r="HV87" s="49"/>
      <c r="HW87" s="49"/>
      <c r="HX87" s="49"/>
      <c r="HY87" s="49"/>
    </row>
    <row r="88" spans="1:233" ht="16.5" customHeight="1">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9"/>
      <c r="GA88" s="49" t="str">
        <f ca="1">GB88</f>
        <v/>
      </c>
      <c r="GB88" s="49" t="str">
        <f t="shared" ca="1" si="35"/>
        <v/>
      </c>
      <c r="GC88" s="49"/>
      <c r="GD88" s="49"/>
      <c r="GE88" s="49">
        <f t="shared" ca="1" si="28"/>
        <v>0</v>
      </c>
      <c r="GF88" s="49">
        <f t="shared" ca="1" si="29"/>
        <v>0</v>
      </c>
      <c r="GG88" s="49">
        <f ca="1">IF(FO1=1,2*GJ40*GB53^1+GK40,0)</f>
        <v>0</v>
      </c>
      <c r="GH88" s="49">
        <f ca="1">IF(FO1=0,0,IF(FN37=1,GM29,IF(FN37=2,GS40,0)))</f>
        <v>0</v>
      </c>
      <c r="GI88" s="49" t="e">
        <f ca="1">IF(FN37=1,-GC40*GH88+GD40,IF(FN37=2,GT40,0))</f>
        <v>#DIV/0!</v>
      </c>
      <c r="GJ88" s="49">
        <f ca="1">IF(FO1=0,0,IF(FN37=2,GH88,IF(FN37=1,GH88,0)))</f>
        <v>0</v>
      </c>
      <c r="GK88" s="49">
        <f ca="1">IF(FO1=0,0,IF(FN37=1,GI88,IF(FN37=2,GI88,0)))</f>
        <v>0</v>
      </c>
      <c r="GL88" s="49">
        <f ca="1">IF(FO1=0,0,IF(FN37=1,GJ40*GH88^1+GK40+GF40/GH88,IF(FN37=2,GJ40*GH88^1+GK40+GF40/GH88,0)))</f>
        <v>0</v>
      </c>
      <c r="GM88" s="49">
        <f ca="1">IF(FO1=0,0,-GC40*GB53^2+GD40*GB53)</f>
        <v>0</v>
      </c>
      <c r="GN88" s="49">
        <f t="shared" ca="1" si="30"/>
        <v>0</v>
      </c>
      <c r="GO88" s="49"/>
      <c r="GP88" s="49"/>
      <c r="GQ88" s="49">
        <f ca="1">IF(FO1=0,0,IF(FN37=2,GH88,IF(FN37=1,GH88,0)))</f>
        <v>0</v>
      </c>
      <c r="GR88" s="49" t="e">
        <f ca="1">IF(FN37=1,-GC40*GQ88^2+GD40*GQ88,IF(FN37=2,-GC$40*GQ88^2+GU$40*GQ88,0))</f>
        <v>#DIV/0!</v>
      </c>
      <c r="GS88" s="49">
        <f t="shared" ca="1" si="31"/>
        <v>0</v>
      </c>
      <c r="GT88" s="49">
        <f ca="1">IF(FO1=0,0,IF(FN37=1,GJ40*GQ88^1+GK40,IF(FN37=2,GJ40*GQ88^1+GK40,0)))</f>
        <v>0</v>
      </c>
      <c r="GU88" s="49">
        <f ca="1">IF(FO1=0,0,IF(FN37=3,GR40,0))</f>
        <v>0</v>
      </c>
      <c r="GV88" s="49">
        <f ca="1">IF(FO1=0,0,IF(FN37=3,GJ40*GU88^2+GK40*GU88+GF40,0))</f>
        <v>0</v>
      </c>
      <c r="GW88" s="49">
        <f ca="1">IF(FO1=0,0,IF(FN37=3,GJ40*GU88^1+GK40+GF40/GU88,0))</f>
        <v>0</v>
      </c>
      <c r="GX88" s="49">
        <f ca="1">IF(FO$1=0,0,IF(FN$37=1,0,FLOOR(GU40/GC40,0.1)))</f>
        <v>0</v>
      </c>
      <c r="GY88" s="49">
        <f t="shared" ca="1" si="32"/>
        <v>0</v>
      </c>
      <c r="GZ88" s="49">
        <f t="shared" ca="1" si="33"/>
        <v>0</v>
      </c>
      <c r="HA88" s="49"/>
      <c r="HB88" s="49">
        <v>39</v>
      </c>
      <c r="HC88" s="49" t="e">
        <f ca="1">HC43+HB88*(HC100-HC43)/HB99</f>
        <v>#VALUE!</v>
      </c>
      <c r="HD88" s="49" t="e">
        <f ca="1">HB101*HC88^3+HB102*HC88^2+HB103*HC88+HB104</f>
        <v>#VALUE!</v>
      </c>
      <c r="HE88" s="49" t="e">
        <f t="shared" ca="1" si="7"/>
        <v>#VALUE!</v>
      </c>
      <c r="HF88" s="49" t="e">
        <f ca="1">HF43+HB88*(HF100-HF43)/HB99</f>
        <v>#VALUE!</v>
      </c>
      <c r="HG88" s="49" t="e">
        <f ca="1">HB101*HF88^3+HB102*HF88^2+HB103*HF88+HB104</f>
        <v>#VALUE!</v>
      </c>
      <c r="HH88" s="49" t="e">
        <f t="shared" ca="1" si="27"/>
        <v>#VALUE!</v>
      </c>
      <c r="HI88" s="49" t="e">
        <f ca="1">HI43+HB88*(HI100-HI43)/HB99</f>
        <v>#VALUE!</v>
      </c>
      <c r="HJ88" s="49" t="e">
        <f ca="1">GG40*HI88^3+GH40*HI88^2+GI40*HI88+GF40+GC75</f>
        <v>#VALUE!</v>
      </c>
      <c r="HK88" s="49" t="e">
        <f t="shared" ca="1" si="9"/>
        <v>#VALUE!</v>
      </c>
      <c r="HL88" s="49" t="e">
        <f t="shared" ca="1" si="10"/>
        <v>#VALUE!</v>
      </c>
      <c r="HM88" s="49" t="e">
        <f t="shared" ca="1" si="37"/>
        <v>#VALUE!</v>
      </c>
      <c r="HN88" s="49" t="e">
        <f t="shared" ca="1" si="12"/>
        <v>#VALUE!</v>
      </c>
      <c r="HO88" s="49" t="e">
        <f t="shared" ca="1" si="25"/>
        <v>#VALUE!</v>
      </c>
      <c r="HP88" s="49" t="e">
        <f t="shared" ca="1" si="26"/>
        <v>#VALUE!</v>
      </c>
      <c r="HQ88" s="49" t="e">
        <f t="shared" ca="1" si="15"/>
        <v>#VALUE!</v>
      </c>
      <c r="HR88" s="49" t="e">
        <f t="shared" ca="1" si="18"/>
        <v>#VALUE!</v>
      </c>
      <c r="HS88" s="49"/>
      <c r="HT88" s="49"/>
      <c r="HU88" s="49"/>
      <c r="HV88" s="49"/>
      <c r="HW88" s="49"/>
      <c r="HX88" s="49"/>
      <c r="HY88" s="49"/>
    </row>
    <row r="89" spans="1:233" ht="16.5" customHeight="1">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9"/>
      <c r="GA89" s="49"/>
      <c r="GB89" s="49"/>
      <c r="GC89" s="49"/>
      <c r="GD89" s="49"/>
      <c r="GE89" s="49"/>
      <c r="GF89" s="49"/>
      <c r="GG89" s="49"/>
      <c r="GH89" s="49"/>
      <c r="GI89" s="49"/>
      <c r="GJ89" s="49"/>
      <c r="GK89" s="49"/>
      <c r="GL89" s="49"/>
      <c r="GM89" s="49"/>
      <c r="GN89" s="49"/>
      <c r="GO89" s="49"/>
      <c r="GP89" s="49"/>
      <c r="GQ89" s="49"/>
      <c r="GR89" s="49"/>
      <c r="GS89" s="49"/>
      <c r="GT89" s="49"/>
      <c r="GU89" s="49"/>
      <c r="GV89" s="49"/>
      <c r="GW89" s="49"/>
      <c r="GX89" s="49"/>
      <c r="GY89" s="49"/>
      <c r="GZ89" s="49"/>
      <c r="HA89" s="49"/>
      <c r="HB89" s="49">
        <v>40</v>
      </c>
      <c r="HC89" s="49" t="e">
        <f ca="1">HC43+HB89*(HC100-HC43)/HB99</f>
        <v>#VALUE!</v>
      </c>
      <c r="HD89" s="49" t="e">
        <f ca="1">HB101*HC89^3+HB102*HC89^2+HB103*HC89+HB104</f>
        <v>#VALUE!</v>
      </c>
      <c r="HE89" s="49" t="e">
        <f t="shared" ca="1" si="7"/>
        <v>#VALUE!</v>
      </c>
      <c r="HF89" s="49" t="e">
        <f ca="1">HF43+HB89*(HF100-HF43)/HB99</f>
        <v>#VALUE!</v>
      </c>
      <c r="HG89" s="49" t="e">
        <f ca="1">HB101*HF89^3+HB102*HF89^2+HB103*HF89+HB104</f>
        <v>#VALUE!</v>
      </c>
      <c r="HH89" s="49" t="e">
        <f t="shared" ca="1" si="27"/>
        <v>#VALUE!</v>
      </c>
      <c r="HI89" s="49" t="e">
        <f ca="1">HI43+HB89*(HI100-HI43)/HB99</f>
        <v>#VALUE!</v>
      </c>
      <c r="HJ89" s="49" t="e">
        <f ca="1">GG40*HI89^3+GH40*HI89^2+GI40*HI89+GF40+GC75</f>
        <v>#VALUE!</v>
      </c>
      <c r="HK89" s="49" t="e">
        <f t="shared" ca="1" si="9"/>
        <v>#VALUE!</v>
      </c>
      <c r="HL89" s="49" t="e">
        <f t="shared" ca="1" si="10"/>
        <v>#VALUE!</v>
      </c>
      <c r="HM89" s="49" t="e">
        <f t="shared" ca="1" si="37"/>
        <v>#VALUE!</v>
      </c>
      <c r="HN89" s="49" t="e">
        <f t="shared" ca="1" si="12"/>
        <v>#VALUE!</v>
      </c>
      <c r="HO89" s="49" t="e">
        <f t="shared" ca="1" si="25"/>
        <v>#VALUE!</v>
      </c>
      <c r="HP89" s="49" t="e">
        <f t="shared" ca="1" si="26"/>
        <v>#VALUE!</v>
      </c>
      <c r="HQ89" s="49" t="e">
        <f t="shared" ca="1" si="15"/>
        <v>#VALUE!</v>
      </c>
      <c r="HR89" s="49" t="e">
        <f t="shared" ca="1" si="18"/>
        <v>#VALUE!</v>
      </c>
      <c r="HS89" s="49"/>
      <c r="HT89" s="49"/>
      <c r="HU89" s="49"/>
      <c r="HV89" s="49"/>
      <c r="HW89" s="49"/>
      <c r="HX89" s="49"/>
      <c r="HY89" s="49"/>
    </row>
    <row r="90" spans="1:233" ht="16.5" customHeight="1">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9"/>
      <c r="GA90" s="49"/>
      <c r="GB90" s="49"/>
      <c r="GC90" s="49"/>
      <c r="GD90" s="49"/>
      <c r="GE90" s="49"/>
      <c r="GF90" s="49"/>
      <c r="GG90" s="49"/>
      <c r="GH90" s="49"/>
      <c r="GI90" s="49"/>
      <c r="GJ90" s="49"/>
      <c r="GK90" s="49"/>
      <c r="GL90" s="49"/>
      <c r="GM90" s="49"/>
      <c r="GN90" s="49"/>
      <c r="GO90" s="49"/>
      <c r="GP90" s="49"/>
      <c r="GQ90" s="49"/>
      <c r="GR90" s="49"/>
      <c r="GS90" s="49"/>
      <c r="GT90" s="49"/>
      <c r="GU90" s="49"/>
      <c r="GV90" s="49"/>
      <c r="GW90" s="49"/>
      <c r="GX90" s="49"/>
      <c r="GY90" s="49"/>
      <c r="GZ90" s="49"/>
      <c r="HA90" s="49"/>
      <c r="HB90" s="49">
        <v>41</v>
      </c>
      <c r="HC90" s="49" t="e">
        <f ca="1">HC43+HB90*(HC100-HC43)/HB99</f>
        <v>#VALUE!</v>
      </c>
      <c r="HD90" s="49" t="e">
        <f ca="1">HB101*HC90^3+HB102*HC90^2+HB103*HC90+HB104</f>
        <v>#VALUE!</v>
      </c>
      <c r="HE90" s="49" t="e">
        <f t="shared" ca="1" si="7"/>
        <v>#VALUE!</v>
      </c>
      <c r="HF90" s="49" t="e">
        <f ca="1">HF43+HB90*(HF100-HF43)/HB99</f>
        <v>#VALUE!</v>
      </c>
      <c r="HG90" s="49" t="e">
        <f ca="1">HB101*HF90^3+HB102*HF90^2+HB103*HF90+HB104</f>
        <v>#VALUE!</v>
      </c>
      <c r="HH90" s="49" t="e">
        <f t="shared" ca="1" si="27"/>
        <v>#VALUE!</v>
      </c>
      <c r="HI90" s="49" t="e">
        <f ca="1">HI43+HB90*(HI100-HI43)/HB99</f>
        <v>#VALUE!</v>
      </c>
      <c r="HJ90" s="49" t="e">
        <f ca="1">GG40*HI90^3+GH40*HI90^2+GI40*HI90+GF40+GC75</f>
        <v>#VALUE!</v>
      </c>
      <c r="HK90" s="49" t="e">
        <f t="shared" ca="1" si="9"/>
        <v>#VALUE!</v>
      </c>
      <c r="HL90" s="49" t="e">
        <f t="shared" ca="1" si="10"/>
        <v>#VALUE!</v>
      </c>
      <c r="HM90" s="49" t="e">
        <f t="shared" ca="1" si="37"/>
        <v>#VALUE!</v>
      </c>
      <c r="HN90" s="49" t="e">
        <f t="shared" ca="1" si="12"/>
        <v>#VALUE!</v>
      </c>
      <c r="HO90" s="49" t="e">
        <f t="shared" ca="1" si="25"/>
        <v>#VALUE!</v>
      </c>
      <c r="HP90" s="49" t="e">
        <f t="shared" ca="1" si="26"/>
        <v>#VALUE!</v>
      </c>
      <c r="HQ90" s="49" t="e">
        <f t="shared" ca="1" si="15"/>
        <v>#VALUE!</v>
      </c>
      <c r="HR90" s="49" t="e">
        <f t="shared" ca="1" si="18"/>
        <v>#VALUE!</v>
      </c>
      <c r="HS90" s="49"/>
      <c r="HT90" s="49"/>
      <c r="HU90" s="49"/>
      <c r="HV90" s="49"/>
      <c r="HW90" s="49"/>
      <c r="HX90" s="49"/>
      <c r="HY90" s="49"/>
    </row>
    <row r="91" spans="1:233" ht="16.5" customHeight="1">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9"/>
      <c r="GA91" s="49"/>
      <c r="GB91" s="49"/>
      <c r="GC91" s="49"/>
      <c r="GD91" s="49"/>
      <c r="GE91" s="49" t="s">
        <v>54</v>
      </c>
      <c r="GF91" s="49" t="s">
        <v>56</v>
      </c>
      <c r="GG91" s="49" t="s">
        <v>26</v>
      </c>
      <c r="GH91" s="49" t="s">
        <v>60</v>
      </c>
      <c r="GI91" s="49"/>
      <c r="GJ91" s="49" t="s">
        <v>71</v>
      </c>
      <c r="GK91" s="49" t="s">
        <v>72</v>
      </c>
      <c r="GL91" s="49" t="s">
        <v>73</v>
      </c>
      <c r="GM91" s="49" t="s">
        <v>5</v>
      </c>
      <c r="GN91" s="49" t="s">
        <v>3</v>
      </c>
      <c r="GO91" s="49" t="s">
        <v>58</v>
      </c>
      <c r="GP91" s="49" t="s">
        <v>59</v>
      </c>
      <c r="GQ91" s="49" t="s">
        <v>60</v>
      </c>
      <c r="GR91" s="49"/>
      <c r="GS91" s="49" t="s">
        <v>2</v>
      </c>
      <c r="GT91" s="49" t="s">
        <v>87</v>
      </c>
      <c r="GU91" s="49" t="s">
        <v>60</v>
      </c>
      <c r="GV91" s="49"/>
      <c r="GW91" s="49"/>
      <c r="GX91" s="49" t="s">
        <v>96</v>
      </c>
      <c r="GY91" s="49" t="s">
        <v>97</v>
      </c>
      <c r="GZ91" s="49" t="s">
        <v>98</v>
      </c>
      <c r="HA91" s="49" t="s">
        <v>99</v>
      </c>
      <c r="HB91" s="49">
        <v>42</v>
      </c>
      <c r="HC91" s="49" t="e">
        <f ca="1">HC43+HB91*(HC100-HC43)/HB99</f>
        <v>#VALUE!</v>
      </c>
      <c r="HD91" s="49" t="e">
        <f ca="1">HB101*HC91^3+HB102*HC91^2+HB103*HC91+HB104</f>
        <v>#VALUE!</v>
      </c>
      <c r="HE91" s="49" t="e">
        <f t="shared" ca="1" si="7"/>
        <v>#VALUE!</v>
      </c>
      <c r="HF91" s="49" t="e">
        <f ca="1">HF43+HB91*(HF100-HF43)/HB99</f>
        <v>#VALUE!</v>
      </c>
      <c r="HG91" s="49" t="e">
        <f ca="1">HB101*HF91^3+HB102*HF91^2+HB103*HF91+HB104</f>
        <v>#VALUE!</v>
      </c>
      <c r="HH91" s="49" t="e">
        <f t="shared" ca="1" si="27"/>
        <v>#VALUE!</v>
      </c>
      <c r="HI91" s="49" t="e">
        <f ca="1">HI43+HB91*(HI100-HI43)/HB99</f>
        <v>#VALUE!</v>
      </c>
      <c r="HJ91" s="49" t="e">
        <f ca="1">GG40*HI91^3+GH40*HI91^2+GI40*HI91+GF40+GC75</f>
        <v>#VALUE!</v>
      </c>
      <c r="HK91" s="49" t="e">
        <f t="shared" ca="1" si="9"/>
        <v>#VALUE!</v>
      </c>
      <c r="HL91" s="49" t="e">
        <f t="shared" ca="1" si="10"/>
        <v>#VALUE!</v>
      </c>
      <c r="HM91" s="49" t="e">
        <f t="shared" ca="1" si="37"/>
        <v>#VALUE!</v>
      </c>
      <c r="HN91" s="49" t="e">
        <f t="shared" ca="1" si="12"/>
        <v>#VALUE!</v>
      </c>
      <c r="HO91" s="49" t="e">
        <f t="shared" ca="1" si="25"/>
        <v>#VALUE!</v>
      </c>
      <c r="HP91" s="49" t="e">
        <f t="shared" ca="1" si="26"/>
        <v>#VALUE!</v>
      </c>
      <c r="HQ91" s="49" t="e">
        <f t="shared" ca="1" si="15"/>
        <v>#VALUE!</v>
      </c>
      <c r="HR91" s="49" t="e">
        <f t="shared" ca="1" si="18"/>
        <v>#VALUE!</v>
      </c>
      <c r="HS91" s="49"/>
      <c r="HT91" s="49"/>
      <c r="HU91" s="49"/>
      <c r="HV91" s="49"/>
      <c r="HW91" s="49"/>
      <c r="HX91" s="49"/>
      <c r="HY91" s="49"/>
    </row>
    <row r="92" spans="1:233" ht="16.5" customHeight="1">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9" t="e">
        <f ca="1">-(FZ94+(FZ94^2-4*FZ93*FZ95)^0.5)/(2*FZ93)</f>
        <v>#VALUE!</v>
      </c>
      <c r="GA92" s="49">
        <f ca="1">IF(FO1=1,FZ92,0)</f>
        <v>0</v>
      </c>
      <c r="GB92" s="49" t="str">
        <f ca="1">GB43</f>
        <v/>
      </c>
      <c r="GC92" s="49" t="str">
        <f ca="1">GB92</f>
        <v/>
      </c>
      <c r="GD92" s="49">
        <f ca="1">IF(FO1=0,0,IF(FN37=1,GH102-2*GB44,IF(FN37=2,GH102-2*GB44,0)))</f>
        <v>0</v>
      </c>
      <c r="GE92" s="49">
        <f t="shared" ref="GE92:GE102" ca="1" si="38">IF(FO$1=1,GL$40*GA92^1+GM$40+GF$40/GA92,0)</f>
        <v>0</v>
      </c>
      <c r="GF92" s="49">
        <f t="shared" ref="GF92:GF102" ca="1" si="39">IF(FO$1=1,GL$40*GB92^1+GM$40,0)</f>
        <v>0</v>
      </c>
      <c r="GG92" s="49">
        <f t="shared" ref="GG92:GG102" ca="1" si="40">IF(FO$1=1,2*GL$40*GB43^1+GM$40,0)</f>
        <v>0</v>
      </c>
      <c r="GH92" s="49">
        <f ca="1">GH102</f>
        <v>0</v>
      </c>
      <c r="GI92" s="49" t="e">
        <f ca="1">0*GI102</f>
        <v>#DIV/0!</v>
      </c>
      <c r="GJ92" s="49">
        <f ca="1">0*GJ102</f>
        <v>0</v>
      </c>
      <c r="GK92" s="49">
        <f ca="1">GK102</f>
        <v>0</v>
      </c>
      <c r="GL92" s="49">
        <f ca="1">GL102</f>
        <v>0</v>
      </c>
      <c r="GM92" s="49">
        <f ca="1">IF(FO1=0,0,-GC40*GB43^2+GD40*GB43)</f>
        <v>0</v>
      </c>
      <c r="GN92" s="49">
        <f ca="1">IF(FO1=1,GL40*GC92^2+GM40*GC92^1+GF40,0)</f>
        <v>0</v>
      </c>
      <c r="GO92" s="49">
        <f ca="1">IF(FO1=0,0,IF(FN37=1,GR29*GD92+GS31,0))</f>
        <v>0</v>
      </c>
      <c r="GP92" s="49">
        <f ca="1">IF(FO1=0,0,IF(FN37=1,GS29*GD92+GS35,0))</f>
        <v>0</v>
      </c>
      <c r="GQ92" s="49">
        <f ca="1">GQ102</f>
        <v>0</v>
      </c>
      <c r="GR92" s="49" t="e">
        <f ca="1">0*GR102</f>
        <v>#DIV/0!</v>
      </c>
      <c r="GS92" s="49">
        <f t="shared" ref="GS92:GS102" ca="1" si="41">IF(FO$1=1,GL$40*GC92^2+GM$40*GC92,0)</f>
        <v>0</v>
      </c>
      <c r="GT92" s="49">
        <f ca="1">GT102</f>
        <v>0</v>
      </c>
      <c r="GU92" s="49">
        <f ca="1">IF(FO1=0,0,IF(FN37=3,GU102,0))</f>
        <v>0</v>
      </c>
      <c r="GV92" s="49">
        <f ca="1">0*GV102</f>
        <v>0</v>
      </c>
      <c r="GW92" s="49">
        <f ca="1">0*GW102</f>
        <v>0</v>
      </c>
      <c r="GX92" s="49">
        <f ca="1">0*GX102</f>
        <v>0</v>
      </c>
      <c r="GY92" s="49">
        <f t="shared" ref="GY92:GY102" ca="1" si="42">IF(FO$1=0,0,IF(FN$37=1,0,-GC$40*GX92^2+GU$41*GX92))</f>
        <v>0</v>
      </c>
      <c r="GZ92" s="49">
        <f t="shared" ref="GZ92:GZ102" ca="1" si="43">IF(FO$1=0,0,IF(FN$37=1,0,IF(FN$37=2,-GC$40*GX92+GU$41)))</f>
        <v>0</v>
      </c>
      <c r="HA92" s="49">
        <f t="shared" ref="HA92:HA97" ca="1" si="44">IF(FO$1=0,0,IF(FN$37=1,0,IF(FN$37=2,-2*GC$40*GX92+GU$41,0)))</f>
        <v>0</v>
      </c>
      <c r="HB92" s="49">
        <v>43</v>
      </c>
      <c r="HC92" s="49" t="e">
        <f ca="1">HC43+HB92*(HC100-HC43)/HB99</f>
        <v>#VALUE!</v>
      </c>
      <c r="HD92" s="49" t="e">
        <f ca="1">HB101*HC92^3+HB102*HC92^2+HB103*HC92+HB104</f>
        <v>#VALUE!</v>
      </c>
      <c r="HE92" s="49" t="e">
        <f ca="1">IF(AND(HD92&gt;=0,HD91&lt;0),HC91-HD91/(HD92-HD91)*(HC92-HC91),0)</f>
        <v>#VALUE!</v>
      </c>
      <c r="HF92" s="49" t="e">
        <f ca="1">HF43+HB92*(HF100-HF43)/HB99</f>
        <v>#VALUE!</v>
      </c>
      <c r="HG92" s="49" t="e">
        <f ca="1">HB101*HF92^3+HB102*HF92^2+HB103*HF92+HB104</f>
        <v>#VALUE!</v>
      </c>
      <c r="HH92" s="49" t="e">
        <f t="shared" ca="1" si="27"/>
        <v>#VALUE!</v>
      </c>
      <c r="HI92" s="49" t="e">
        <f ca="1">HI43+HB92*(HI100-HI43)/HB99</f>
        <v>#VALUE!</v>
      </c>
      <c r="HJ92" s="49" t="e">
        <f ca="1">GG40*HI92^3+GH40*HI92^2+GI40*HI92+GF40+GC75</f>
        <v>#VALUE!</v>
      </c>
      <c r="HK92" s="49" t="e">
        <f t="shared" ca="1" si="9"/>
        <v>#VALUE!</v>
      </c>
      <c r="HL92" s="49" t="e">
        <f t="shared" ca="1" si="10"/>
        <v>#VALUE!</v>
      </c>
      <c r="HM92" s="49" t="e">
        <f t="shared" ca="1" si="37"/>
        <v>#VALUE!</v>
      </c>
      <c r="HN92" s="49" t="e">
        <f t="shared" ca="1" si="12"/>
        <v>#VALUE!</v>
      </c>
      <c r="HO92" s="49" t="e">
        <f t="shared" ca="1" si="25"/>
        <v>#VALUE!</v>
      </c>
      <c r="HP92" s="49" t="e">
        <f t="shared" ca="1" si="26"/>
        <v>#VALUE!</v>
      </c>
      <c r="HQ92" s="49" t="e">
        <f t="shared" ca="1" si="15"/>
        <v>#VALUE!</v>
      </c>
      <c r="HR92" s="49" t="e">
        <f t="shared" ca="1" si="18"/>
        <v>#VALUE!</v>
      </c>
      <c r="HS92" s="49"/>
      <c r="HT92" s="49"/>
      <c r="HU92" s="49"/>
      <c r="HV92" s="49"/>
      <c r="HW92" s="49"/>
      <c r="HX92" s="49"/>
      <c r="HY92" s="49"/>
    </row>
    <row r="93" spans="1:233" ht="16.5" customHeight="1">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9" t="e">
        <f ca="1">GL40</f>
        <v>#VALUE!</v>
      </c>
      <c r="GA93" s="49">
        <f ca="1">IF(FO1=1,(GA92+GA94)/2,0)</f>
        <v>0</v>
      </c>
      <c r="GB93" s="49" t="e">
        <f ca="1">0.1*GB102</f>
        <v>#VALUE!</v>
      </c>
      <c r="GC93" s="49" t="e">
        <f ca="1">0.1*GC102</f>
        <v>#VALUE!</v>
      </c>
      <c r="GD93" s="49">
        <f ca="1">IF(FO1=0,0,IF(FN37=1,GH102-1*GB44,IF(FN37=2,GH102-1*GB44,0)))</f>
        <v>0</v>
      </c>
      <c r="GE93" s="49">
        <f t="shared" ca="1" si="38"/>
        <v>0</v>
      </c>
      <c r="GF93" s="49">
        <f t="shared" ca="1" si="39"/>
        <v>0</v>
      </c>
      <c r="GG93" s="49">
        <f t="shared" ca="1" si="40"/>
        <v>0</v>
      </c>
      <c r="GH93" s="49">
        <f ca="1">GH102</f>
        <v>0</v>
      </c>
      <c r="GI93" s="49" t="e">
        <f ca="1">0.1*GI102</f>
        <v>#DIV/0!</v>
      </c>
      <c r="GJ93" s="49">
        <f ca="1">0.1*GJ102</f>
        <v>0</v>
      </c>
      <c r="GK93" s="49">
        <f ca="1">GK102</f>
        <v>0</v>
      </c>
      <c r="GL93" s="49">
        <f ca="1">GL102</f>
        <v>0</v>
      </c>
      <c r="GM93" s="49">
        <f ca="1">IF(FO1=0,0,-GC40*GB44^2+GD40*GB44)</f>
        <v>0</v>
      </c>
      <c r="GN93" s="49">
        <f ca="1">IF(FO1=1,GL40*GC93^2+GM40*GC93^1+GF40,0)</f>
        <v>0</v>
      </c>
      <c r="GO93" s="49">
        <f ca="1">IF(FO1=0,0,IF(FN37=1,GR29*GD93+GS31,0))</f>
        <v>0</v>
      </c>
      <c r="GP93" s="49">
        <f ca="1">IF(FO1=0,0,IF(FN37=1,GS29*GD93+GS35,0))</f>
        <v>0</v>
      </c>
      <c r="GQ93" s="49">
        <f ca="1">GQ102</f>
        <v>0</v>
      </c>
      <c r="GR93" s="49" t="e">
        <f ca="1">0.1*GR102</f>
        <v>#DIV/0!</v>
      </c>
      <c r="GS93" s="49">
        <f t="shared" ca="1" si="41"/>
        <v>0</v>
      </c>
      <c r="GT93" s="49">
        <f ca="1">GT102</f>
        <v>0</v>
      </c>
      <c r="GU93" s="49">
        <f ca="1">IF(FO1=0,0,IF(FN37=3,GU102,0))</f>
        <v>0</v>
      </c>
      <c r="GV93" s="49">
        <f ca="1">0.1*GV102</f>
        <v>0</v>
      </c>
      <c r="GW93" s="49">
        <f ca="1">IF(FO1=1,0.1*GW102,0)</f>
        <v>0</v>
      </c>
      <c r="GX93" s="49">
        <f ca="1">0.1*GX102</f>
        <v>0</v>
      </c>
      <c r="GY93" s="49">
        <f t="shared" ca="1" si="42"/>
        <v>0</v>
      </c>
      <c r="GZ93" s="49">
        <f t="shared" ca="1" si="43"/>
        <v>0</v>
      </c>
      <c r="HA93" s="49">
        <f t="shared" ca="1" si="44"/>
        <v>0</v>
      </c>
      <c r="HB93" s="49">
        <v>44</v>
      </c>
      <c r="HC93" s="49" t="e">
        <f ca="1">HC43+HB93*(HC100-HC43)/HB99</f>
        <v>#VALUE!</v>
      </c>
      <c r="HD93" s="49" t="e">
        <f ca="1">HB101*HC93^3+HB102*HC93^2+HB103*HC93+HB104</f>
        <v>#VALUE!</v>
      </c>
      <c r="HE93" s="49" t="e">
        <f t="shared" ref="HE93:HE99" ca="1" si="45">IF(AND(HD93&gt;=0,HD92&lt;0),HC92-HD92/(HD93-HD92)*(HC93-HC92),0)</f>
        <v>#VALUE!</v>
      </c>
      <c r="HF93" s="49" t="e">
        <f ca="1">HF43+HB93*(HF100-HF43)/HB99</f>
        <v>#VALUE!</v>
      </c>
      <c r="HG93" s="49" t="e">
        <f ca="1">HB101*HF93^3+HB102*HF93^2+HB103*HF93+HB104</f>
        <v>#VALUE!</v>
      </c>
      <c r="HH93" s="49" t="e">
        <f t="shared" ca="1" si="27"/>
        <v>#VALUE!</v>
      </c>
      <c r="HI93" s="49" t="e">
        <f ca="1">HI43+HB93*(HI100-HI43)/HB99</f>
        <v>#VALUE!</v>
      </c>
      <c r="HJ93" s="49" t="e">
        <f ca="1">GG40*HI93^3+GH40*HI93^2+GI40*HI93+GF40+GC75</f>
        <v>#VALUE!</v>
      </c>
      <c r="HK93" s="49" t="e">
        <f t="shared" ca="1" si="9"/>
        <v>#VALUE!</v>
      </c>
      <c r="HL93" s="49" t="e">
        <f t="shared" ca="1" si="10"/>
        <v>#VALUE!</v>
      </c>
      <c r="HM93" s="49" t="e">
        <f t="shared" ca="1" si="37"/>
        <v>#VALUE!</v>
      </c>
      <c r="HN93" s="49" t="e">
        <f t="shared" ca="1" si="12"/>
        <v>#VALUE!</v>
      </c>
      <c r="HO93" s="49" t="e">
        <f t="shared" ca="1" si="25"/>
        <v>#VALUE!</v>
      </c>
      <c r="HP93" s="49" t="e">
        <f t="shared" ca="1" si="26"/>
        <v>#VALUE!</v>
      </c>
      <c r="HQ93" s="49" t="e">
        <f t="shared" ca="1" si="15"/>
        <v>#VALUE!</v>
      </c>
      <c r="HR93" s="49" t="e">
        <f t="shared" ca="1" si="18"/>
        <v>#VALUE!</v>
      </c>
      <c r="HS93" s="49"/>
      <c r="HT93" s="49"/>
      <c r="HU93" s="49"/>
      <c r="HV93" s="49"/>
      <c r="HW93" s="49"/>
      <c r="HX93" s="49"/>
      <c r="HY93" s="49"/>
    </row>
    <row r="94" spans="1:233" ht="16.5" customHeight="1">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9" t="e">
        <f ca="1">GM40-1.1*GD40</f>
        <v>#VALUE!</v>
      </c>
      <c r="GA94" s="49" t="e">
        <f ca="1">0.2*GA102</f>
        <v>#VALUE!</v>
      </c>
      <c r="GB94" s="49" t="e">
        <f ca="1">0.2*GB102</f>
        <v>#VALUE!</v>
      </c>
      <c r="GC94" s="49" t="e">
        <f ca="1">0.2*GC102</f>
        <v>#VALUE!</v>
      </c>
      <c r="GD94" s="49">
        <f ca="1">IF(FO1=0,0,IF(FN37=1,GH102,IF(FN37=2,GH102,0)))</f>
        <v>0</v>
      </c>
      <c r="GE94" s="49">
        <f t="shared" ca="1" si="38"/>
        <v>0</v>
      </c>
      <c r="GF94" s="49">
        <f t="shared" ca="1" si="39"/>
        <v>0</v>
      </c>
      <c r="GG94" s="49">
        <f t="shared" ca="1" si="40"/>
        <v>0</v>
      </c>
      <c r="GH94" s="49">
        <f ca="1">GH102</f>
        <v>0</v>
      </c>
      <c r="GI94" s="49" t="e">
        <f ca="1">0.2*GI102</f>
        <v>#DIV/0!</v>
      </c>
      <c r="GJ94" s="49">
        <f ca="1">0.2*GJ102</f>
        <v>0</v>
      </c>
      <c r="GK94" s="49">
        <f ca="1">GK102</f>
        <v>0</v>
      </c>
      <c r="GL94" s="49">
        <f ca="1">GL102</f>
        <v>0</v>
      </c>
      <c r="GM94" s="49">
        <f ca="1">IF(FO1=0,0,-GC40*GB45^2+GD40*GB45)</f>
        <v>0</v>
      </c>
      <c r="GN94" s="49">
        <f ca="1">IF(FO1=1,GL40*GC94^2+GM40*GC94^1+GF40,0)</f>
        <v>0</v>
      </c>
      <c r="GO94" s="49">
        <f ca="1">IF(FO1=0,0,IF(FN37=1,GR29*GD94+GS31,0))</f>
        <v>0</v>
      </c>
      <c r="GP94" s="49">
        <f ca="1">IF(FO1=0,0,IF(FN37=1,GS29*GD94+GS35,0))</f>
        <v>0</v>
      </c>
      <c r="GQ94" s="49">
        <f ca="1">GQ102</f>
        <v>0</v>
      </c>
      <c r="GR94" s="49" t="e">
        <f ca="1">0.2*GR102</f>
        <v>#DIV/0!</v>
      </c>
      <c r="GS94" s="49">
        <f t="shared" ca="1" si="41"/>
        <v>0</v>
      </c>
      <c r="GT94" s="49">
        <f ca="1">GT102</f>
        <v>0</v>
      </c>
      <c r="GU94" s="49">
        <f ca="1">IF(FO1=0,0,IF(FN37=3,GU102,0))</f>
        <v>0</v>
      </c>
      <c r="GV94" s="49">
        <f ca="1">0.2*GV102</f>
        <v>0</v>
      </c>
      <c r="GW94" s="49">
        <f ca="1">IF(FO1=1,0.2*GW102,0)</f>
        <v>0</v>
      </c>
      <c r="GX94" s="49">
        <f ca="1">0.2*GX102</f>
        <v>0</v>
      </c>
      <c r="GY94" s="49">
        <f t="shared" ca="1" si="42"/>
        <v>0</v>
      </c>
      <c r="GZ94" s="49">
        <f t="shared" ca="1" si="43"/>
        <v>0</v>
      </c>
      <c r="HA94" s="49">
        <f t="shared" ca="1" si="44"/>
        <v>0</v>
      </c>
      <c r="HB94" s="49">
        <v>45</v>
      </c>
      <c r="HC94" s="49" t="e">
        <f ca="1">HC43+HB94*(HC100-HC43)/HB99</f>
        <v>#VALUE!</v>
      </c>
      <c r="HD94" s="49" t="e">
        <f ca="1">HB101*HC94^3+HB102*HC94^2+HB103*HC94+HB104</f>
        <v>#VALUE!</v>
      </c>
      <c r="HE94" s="49" t="e">
        <f t="shared" ca="1" si="45"/>
        <v>#VALUE!</v>
      </c>
      <c r="HF94" s="49" t="e">
        <f ca="1">HF43+HB94*(HF100-HF43)/HB99</f>
        <v>#VALUE!</v>
      </c>
      <c r="HG94" s="49" t="e">
        <f ca="1">HB101*HF94^3+HB102*HF94^2+HB103*HF94+HB104</f>
        <v>#VALUE!</v>
      </c>
      <c r="HH94" s="49" t="e">
        <f t="shared" ca="1" si="27"/>
        <v>#VALUE!</v>
      </c>
      <c r="HI94" s="49" t="e">
        <f ca="1">HI43+HB94*(HI100-HI43)/HB99</f>
        <v>#VALUE!</v>
      </c>
      <c r="HJ94" s="49" t="e">
        <f ca="1">GG40*HI94^3+GH40*HI94^2+GI40*HI94+GF40+GC75</f>
        <v>#VALUE!</v>
      </c>
      <c r="HK94" s="49" t="e">
        <f t="shared" ca="1" si="9"/>
        <v>#VALUE!</v>
      </c>
      <c r="HL94" s="49" t="e">
        <f t="shared" ca="1" si="10"/>
        <v>#VALUE!</v>
      </c>
      <c r="HM94" s="49" t="e">
        <f t="shared" ca="1" si="37"/>
        <v>#VALUE!</v>
      </c>
      <c r="HN94" s="49" t="e">
        <f t="shared" ca="1" si="12"/>
        <v>#VALUE!</v>
      </c>
      <c r="HO94" s="49" t="e">
        <f t="shared" ca="1" si="25"/>
        <v>#VALUE!</v>
      </c>
      <c r="HP94" s="49" t="e">
        <f t="shared" ca="1" si="26"/>
        <v>#VALUE!</v>
      </c>
      <c r="HQ94" s="49" t="e">
        <f t="shared" ca="1" si="15"/>
        <v>#VALUE!</v>
      </c>
      <c r="HR94" s="49" t="e">
        <f t="shared" ca="1" si="18"/>
        <v>#VALUE!</v>
      </c>
      <c r="HS94" s="49"/>
      <c r="HT94" s="49"/>
      <c r="HU94" s="49"/>
      <c r="HV94" s="49"/>
      <c r="HW94" s="49"/>
      <c r="HX94" s="49"/>
      <c r="HY94" s="49"/>
    </row>
    <row r="95" spans="1:233" ht="16.5" customHeight="1">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9" t="e">
        <f ca="1">GF40</f>
        <v>#DIV/0!</v>
      </c>
      <c r="GA95" s="49" t="e">
        <f ca="1">0.3*GA102</f>
        <v>#VALUE!</v>
      </c>
      <c r="GB95" s="49" t="e">
        <f ca="1">0.3*GB102</f>
        <v>#VALUE!</v>
      </c>
      <c r="GC95" s="49" t="e">
        <f ca="1">0.3*GC102</f>
        <v>#VALUE!</v>
      </c>
      <c r="GD95" s="49">
        <f ca="1">IF(FO1=0,0,IF(FN37=1,GD94+1*GB44,IF(FN37=2,GH102+1*GB44,0)))</f>
        <v>0</v>
      </c>
      <c r="GE95" s="49">
        <f t="shared" ca="1" si="38"/>
        <v>0</v>
      </c>
      <c r="GF95" s="49">
        <f t="shared" ca="1" si="39"/>
        <v>0</v>
      </c>
      <c r="GG95" s="49">
        <f t="shared" ca="1" si="40"/>
        <v>0</v>
      </c>
      <c r="GH95" s="49">
        <f ca="1">GH102</f>
        <v>0</v>
      </c>
      <c r="GI95" s="49" t="e">
        <f ca="1">0.3*GI102</f>
        <v>#DIV/0!</v>
      </c>
      <c r="GJ95" s="49">
        <f ca="1">0.3*GJ102</f>
        <v>0</v>
      </c>
      <c r="GK95" s="49">
        <f ca="1">GK102</f>
        <v>0</v>
      </c>
      <c r="GL95" s="49">
        <f ca="1">GL102</f>
        <v>0</v>
      </c>
      <c r="GM95" s="49">
        <f ca="1">IF(FO1=0,0,-GC40*GB46^2+GD40*GB46)</f>
        <v>0</v>
      </c>
      <c r="GN95" s="49">
        <f ca="1">IF(FO1=1,GL40*GC95^2+GM40*GC95^1+GF40,0)</f>
        <v>0</v>
      </c>
      <c r="GO95" s="49">
        <f ca="1">IF(FO1=0,0,IF(FN37=1,GR29*GD95+GS31,0))</f>
        <v>0</v>
      </c>
      <c r="GP95" s="49">
        <f ca="1">IF(FO1=0,0,IF(FN37=1,GS29*GD95+GS35,0))</f>
        <v>0</v>
      </c>
      <c r="GQ95" s="49">
        <f ca="1">GQ102</f>
        <v>0</v>
      </c>
      <c r="GR95" s="49" t="e">
        <f ca="1">0.3*GR102</f>
        <v>#DIV/0!</v>
      </c>
      <c r="GS95" s="49">
        <f t="shared" ca="1" si="41"/>
        <v>0</v>
      </c>
      <c r="GT95" s="49">
        <f ca="1">GT102</f>
        <v>0</v>
      </c>
      <c r="GU95" s="49">
        <f ca="1">IF(FO1=0,0,IF(FN37=3,GU102,0))</f>
        <v>0</v>
      </c>
      <c r="GV95" s="49">
        <f ca="1">0.3*GV102</f>
        <v>0</v>
      </c>
      <c r="GW95" s="49">
        <f ca="1">IF(FO1=1,0.3*GW102,0)</f>
        <v>0</v>
      </c>
      <c r="GX95" s="49">
        <f ca="1">0.3*GX102</f>
        <v>0</v>
      </c>
      <c r="GY95" s="49">
        <f t="shared" ca="1" si="42"/>
        <v>0</v>
      </c>
      <c r="GZ95" s="49">
        <f t="shared" ca="1" si="43"/>
        <v>0</v>
      </c>
      <c r="HA95" s="49">
        <f t="shared" ca="1" si="44"/>
        <v>0</v>
      </c>
      <c r="HB95" s="49">
        <v>46</v>
      </c>
      <c r="HC95" s="49" t="e">
        <f ca="1">HC43+HB95*(HC100-HC43)/HB99</f>
        <v>#VALUE!</v>
      </c>
      <c r="HD95" s="49" t="e">
        <f ca="1">HB101*HC95^3+HB102*HC95^2+HB103*HC95+HB104</f>
        <v>#VALUE!</v>
      </c>
      <c r="HE95" s="49" t="e">
        <f t="shared" ca="1" si="45"/>
        <v>#VALUE!</v>
      </c>
      <c r="HF95" s="49" t="e">
        <f ca="1">HF43+HB95*(HF100-HF43)/HB99</f>
        <v>#VALUE!</v>
      </c>
      <c r="HG95" s="49" t="e">
        <f ca="1">HB101*HF95^3+HB102*HF95^2+HB103*HF95+HB104</f>
        <v>#VALUE!</v>
      </c>
      <c r="HH95" s="49" t="e">
        <f t="shared" ca="1" si="27"/>
        <v>#VALUE!</v>
      </c>
      <c r="HI95" s="49" t="e">
        <f ca="1">HI43+HB95*(HI100-HI43)/HB99</f>
        <v>#VALUE!</v>
      </c>
      <c r="HJ95" s="49" t="e">
        <f ca="1">GG40*HI95^3+GH40*HI95^2+GI40*HI95+GF40+GC75</f>
        <v>#VALUE!</v>
      </c>
      <c r="HK95" s="49" t="e">
        <f t="shared" ca="1" si="9"/>
        <v>#VALUE!</v>
      </c>
      <c r="HL95" s="49" t="e">
        <f t="shared" ca="1" si="10"/>
        <v>#VALUE!</v>
      </c>
      <c r="HM95" s="49" t="e">
        <f t="shared" ca="1" si="37"/>
        <v>#VALUE!</v>
      </c>
      <c r="HN95" s="49" t="e">
        <f t="shared" ca="1" si="12"/>
        <v>#VALUE!</v>
      </c>
      <c r="HO95" s="49" t="e">
        <f t="shared" ca="1" si="25"/>
        <v>#VALUE!</v>
      </c>
      <c r="HP95" s="49" t="e">
        <f t="shared" ca="1" si="26"/>
        <v>#VALUE!</v>
      </c>
      <c r="HQ95" s="49" t="e">
        <f t="shared" ca="1" si="15"/>
        <v>#VALUE!</v>
      </c>
      <c r="HR95" s="49" t="e">
        <f t="shared" ca="1" si="18"/>
        <v>#VALUE!</v>
      </c>
      <c r="HS95" s="49"/>
      <c r="HT95" s="49"/>
      <c r="HU95" s="49"/>
      <c r="HV95" s="49"/>
      <c r="HW95" s="49"/>
      <c r="HX95" s="49"/>
      <c r="HY95" s="49"/>
    </row>
    <row r="96" spans="1:233" ht="16.5" customHeight="1">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9"/>
      <c r="GA96" s="49" t="e">
        <f ca="1">0.4*GA102</f>
        <v>#VALUE!</v>
      </c>
      <c r="GB96" s="49" t="e">
        <f ca="1">0.4*GB102</f>
        <v>#VALUE!</v>
      </c>
      <c r="GC96" s="49" t="e">
        <f ca="1">0.4*GC102</f>
        <v>#VALUE!</v>
      </c>
      <c r="GD96" s="49">
        <f ca="1">IF(FO1=0,0,IF(FN37=1,GD94+2*GB44,IF(FN37=2,GH102+2*GB44,0)))</f>
        <v>0</v>
      </c>
      <c r="GE96" s="49">
        <f t="shared" ca="1" si="38"/>
        <v>0</v>
      </c>
      <c r="GF96" s="49">
        <f t="shared" ca="1" si="39"/>
        <v>0</v>
      </c>
      <c r="GG96" s="49">
        <f t="shared" ca="1" si="40"/>
        <v>0</v>
      </c>
      <c r="GH96" s="49">
        <f ca="1">GH102</f>
        <v>0</v>
      </c>
      <c r="GI96" s="49" t="e">
        <f ca="1">0.4*GI102</f>
        <v>#DIV/0!</v>
      </c>
      <c r="GJ96" s="49">
        <f ca="1">0.4*GJ102</f>
        <v>0</v>
      </c>
      <c r="GK96" s="49">
        <f ca="1">GK102</f>
        <v>0</v>
      </c>
      <c r="GL96" s="49">
        <f ca="1">GL102</f>
        <v>0</v>
      </c>
      <c r="GM96" s="49">
        <f ca="1">IF(FO1=0,0,-GC40*GB47^2+GD40*GB47)</f>
        <v>0</v>
      </c>
      <c r="GN96" s="49">
        <f ca="1">IF(FO1=1,GL40*GC96^2+GM40*GC96^1+GF40,0)</f>
        <v>0</v>
      </c>
      <c r="GO96" s="49">
        <f ca="1">IF(FO1=0,0,IF(FN37=1,GR29*GD96+GS31,0))</f>
        <v>0</v>
      </c>
      <c r="GP96" s="49">
        <f ca="1">IF(FO1=0,0,IF(FN37=1,GS29*GD96+GS35,0))</f>
        <v>0</v>
      </c>
      <c r="GQ96" s="49">
        <f ca="1">GQ102</f>
        <v>0</v>
      </c>
      <c r="GR96" s="49" t="e">
        <f ca="1">0.4*GR102</f>
        <v>#DIV/0!</v>
      </c>
      <c r="GS96" s="49">
        <f t="shared" ca="1" si="41"/>
        <v>0</v>
      </c>
      <c r="GT96" s="49">
        <f ca="1">GT102</f>
        <v>0</v>
      </c>
      <c r="GU96" s="49">
        <f ca="1">IF(FO1=0,0,IF(FN37=3,GU102,0))</f>
        <v>0</v>
      </c>
      <c r="GV96" s="49">
        <f ca="1">0.4*GV102</f>
        <v>0</v>
      </c>
      <c r="GW96" s="49">
        <f ca="1">IF(FO1=1,0.4*GW102,0)</f>
        <v>0</v>
      </c>
      <c r="GX96" s="49">
        <f ca="1">0.4*GX102</f>
        <v>0</v>
      </c>
      <c r="GY96" s="49">
        <f t="shared" ca="1" si="42"/>
        <v>0</v>
      </c>
      <c r="GZ96" s="49">
        <f t="shared" ca="1" si="43"/>
        <v>0</v>
      </c>
      <c r="HA96" s="49">
        <f t="shared" ca="1" si="44"/>
        <v>0</v>
      </c>
      <c r="HB96" s="49">
        <v>47</v>
      </c>
      <c r="HC96" s="49" t="e">
        <f ca="1">HC43+HB96*(HC100-HC43)/HB99</f>
        <v>#VALUE!</v>
      </c>
      <c r="HD96" s="49" t="e">
        <f ca="1">HB101*HC96^3+HB102*HC96^2+HB103*HC96+HB104</f>
        <v>#VALUE!</v>
      </c>
      <c r="HE96" s="49" t="e">
        <f t="shared" ca="1" si="45"/>
        <v>#VALUE!</v>
      </c>
      <c r="HF96" s="49" t="e">
        <f ca="1">HF43+HB96*(HF100-HF43)/HB99</f>
        <v>#VALUE!</v>
      </c>
      <c r="HG96" s="49" t="e">
        <f ca="1">HB101*HF96^3+HB102*HF96^2+HB103*HF96+HB104</f>
        <v>#VALUE!</v>
      </c>
      <c r="HH96" s="49" t="e">
        <f t="shared" ca="1" si="27"/>
        <v>#VALUE!</v>
      </c>
      <c r="HI96" s="49" t="e">
        <f ca="1">HI43+HB96*(HI100-HI43)/HB99</f>
        <v>#VALUE!</v>
      </c>
      <c r="HJ96" s="49" t="e">
        <f ca="1">GG40*HI96^3+GH40*HI96^2+GI40*HI96+GF40+GC75</f>
        <v>#VALUE!</v>
      </c>
      <c r="HK96" s="49" t="e">
        <f t="shared" ca="1" si="9"/>
        <v>#VALUE!</v>
      </c>
      <c r="HL96" s="49" t="e">
        <f t="shared" ca="1" si="10"/>
        <v>#VALUE!</v>
      </c>
      <c r="HM96" s="49" t="e">
        <f t="shared" ca="1" si="37"/>
        <v>#VALUE!</v>
      </c>
      <c r="HN96" s="49" t="e">
        <f t="shared" ca="1" si="12"/>
        <v>#VALUE!</v>
      </c>
      <c r="HO96" s="49" t="e">
        <f t="shared" ca="1" si="25"/>
        <v>#VALUE!</v>
      </c>
      <c r="HP96" s="49" t="e">
        <f t="shared" ca="1" si="26"/>
        <v>#VALUE!</v>
      </c>
      <c r="HQ96" s="49" t="e">
        <f t="shared" ca="1" si="15"/>
        <v>#VALUE!</v>
      </c>
      <c r="HR96" s="49" t="e">
        <f t="shared" ca="1" si="18"/>
        <v>#VALUE!</v>
      </c>
      <c r="HS96" s="49"/>
      <c r="HT96" s="49"/>
      <c r="HU96" s="49"/>
      <c r="HV96" s="49"/>
      <c r="HW96" s="49"/>
      <c r="HX96" s="49"/>
      <c r="HY96" s="49"/>
    </row>
    <row r="97" spans="1:233" ht="16.5" customHeight="1">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9"/>
      <c r="GA97" s="49" t="e">
        <f ca="1">0.5*GA102</f>
        <v>#VALUE!</v>
      </c>
      <c r="GB97" s="49" t="e">
        <f ca="1">0.5*GB102</f>
        <v>#VALUE!</v>
      </c>
      <c r="GC97" s="49" t="e">
        <f ca="1">0.5*GC102</f>
        <v>#VALUE!</v>
      </c>
      <c r="GD97" s="49"/>
      <c r="GE97" s="49">
        <f t="shared" ca="1" si="38"/>
        <v>0</v>
      </c>
      <c r="GF97" s="49">
        <f t="shared" ca="1" si="39"/>
        <v>0</v>
      </c>
      <c r="GG97" s="49">
        <f t="shared" ca="1" si="40"/>
        <v>0</v>
      </c>
      <c r="GH97" s="49">
        <f ca="1">GH102</f>
        <v>0</v>
      </c>
      <c r="GI97" s="49" t="e">
        <f ca="1">0.5*GI102</f>
        <v>#DIV/0!</v>
      </c>
      <c r="GJ97" s="49">
        <f ca="1">0.5*GJ102</f>
        <v>0</v>
      </c>
      <c r="GK97" s="49">
        <f ca="1">GK102</f>
        <v>0</v>
      </c>
      <c r="GL97" s="49">
        <f ca="1">GL102</f>
        <v>0</v>
      </c>
      <c r="GM97" s="49">
        <f ca="1">IF(FO1=0,0,-GC40*GB48^2+GD40*GB48)</f>
        <v>0</v>
      </c>
      <c r="GN97" s="49">
        <f ca="1">IF(FO1=1,GL40*GC97^2+GM40*GC97^1+GF40,0)</f>
        <v>0</v>
      </c>
      <c r="GO97" s="49"/>
      <c r="GP97" s="49"/>
      <c r="GQ97" s="49">
        <f ca="1">GQ102</f>
        <v>0</v>
      </c>
      <c r="GR97" s="49" t="e">
        <f ca="1">0.5*GR102</f>
        <v>#DIV/0!</v>
      </c>
      <c r="GS97" s="49">
        <f t="shared" ca="1" si="41"/>
        <v>0</v>
      </c>
      <c r="GT97" s="49">
        <f ca="1">GT102</f>
        <v>0</v>
      </c>
      <c r="GU97" s="49">
        <f ca="1">IF(FO1=0,0,IF(FN37=3,GU102,0))</f>
        <v>0</v>
      </c>
      <c r="GV97" s="49">
        <f ca="1">0.5*GV102</f>
        <v>0</v>
      </c>
      <c r="GW97" s="49">
        <f ca="1">IF(FO1=1,0.5*GW102,0)</f>
        <v>0</v>
      </c>
      <c r="GX97" s="49">
        <f ca="1">0.5*GX102</f>
        <v>0</v>
      </c>
      <c r="GY97" s="49">
        <f t="shared" ca="1" si="42"/>
        <v>0</v>
      </c>
      <c r="GZ97" s="49">
        <f t="shared" ca="1" si="43"/>
        <v>0</v>
      </c>
      <c r="HA97" s="49">
        <f t="shared" ca="1" si="44"/>
        <v>0</v>
      </c>
      <c r="HB97" s="49">
        <v>48</v>
      </c>
      <c r="HC97" s="49" t="e">
        <f ca="1">HC43+HB97*(HC100-HC43)/HB99</f>
        <v>#VALUE!</v>
      </c>
      <c r="HD97" s="49" t="e">
        <f ca="1">HB101*HC97^3+HB102*HC97^2+HB103*HC97+HB104</f>
        <v>#VALUE!</v>
      </c>
      <c r="HE97" s="49" t="e">
        <f t="shared" ca="1" si="45"/>
        <v>#VALUE!</v>
      </c>
      <c r="HF97" s="49" t="e">
        <f ca="1">HF43+HB97*(HF100-HF43)/HB99</f>
        <v>#VALUE!</v>
      </c>
      <c r="HG97" s="49" t="e">
        <f ca="1">HB101*HF97^3+HB102*HF97^2+HB103*HF97+HB104</f>
        <v>#VALUE!</v>
      </c>
      <c r="HH97" s="49" t="e">
        <f t="shared" ca="1" si="27"/>
        <v>#VALUE!</v>
      </c>
      <c r="HI97" s="49" t="e">
        <f ca="1">HI43+HB97*(HI100-HI43)/HB99</f>
        <v>#VALUE!</v>
      </c>
      <c r="HJ97" s="49" t="e">
        <f ca="1">GG40*HI97^3+GH40*HI97^2+GI40*HI97+GF40+GC75</f>
        <v>#VALUE!</v>
      </c>
      <c r="HK97" s="49" t="e">
        <f t="shared" ca="1" si="9"/>
        <v>#VALUE!</v>
      </c>
      <c r="HL97" s="49" t="e">
        <f t="shared" ca="1" si="10"/>
        <v>#VALUE!</v>
      </c>
      <c r="HM97" s="49" t="e">
        <f t="shared" ca="1" si="37"/>
        <v>#VALUE!</v>
      </c>
      <c r="HN97" s="49" t="e">
        <f t="shared" ca="1" si="12"/>
        <v>#VALUE!</v>
      </c>
      <c r="HO97" s="49" t="e">
        <f t="shared" ca="1" si="25"/>
        <v>#VALUE!</v>
      </c>
      <c r="HP97" s="49" t="e">
        <f t="shared" ca="1" si="26"/>
        <v>#VALUE!</v>
      </c>
      <c r="HQ97" s="49" t="e">
        <f t="shared" ca="1" si="15"/>
        <v>#VALUE!</v>
      </c>
      <c r="HR97" s="49" t="e">
        <f t="shared" ca="1" si="18"/>
        <v>#VALUE!</v>
      </c>
      <c r="HS97" s="49"/>
      <c r="HT97" s="49"/>
      <c r="HU97" s="49"/>
      <c r="HV97" s="49"/>
      <c r="HW97" s="49"/>
      <c r="HX97" s="49"/>
      <c r="HY97" s="49"/>
    </row>
    <row r="98" spans="1:233" ht="16.5" customHeight="1">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9"/>
      <c r="GA98" s="49" t="e">
        <f ca="1">0.6*GA102</f>
        <v>#VALUE!</v>
      </c>
      <c r="GB98" s="49" t="e">
        <f ca="1">0.6*GB102</f>
        <v>#VALUE!</v>
      </c>
      <c r="GC98" s="49" t="e">
        <f ca="1">0.6*GC102</f>
        <v>#VALUE!</v>
      </c>
      <c r="GD98" s="49"/>
      <c r="GE98" s="49">
        <f t="shared" ca="1" si="38"/>
        <v>0</v>
      </c>
      <c r="GF98" s="49">
        <f t="shared" ca="1" si="39"/>
        <v>0</v>
      </c>
      <c r="GG98" s="49">
        <f t="shared" ca="1" si="40"/>
        <v>0</v>
      </c>
      <c r="GH98" s="49">
        <f ca="1">GH102</f>
        <v>0</v>
      </c>
      <c r="GI98" s="49" t="e">
        <f ca="1">0.6*GI102</f>
        <v>#DIV/0!</v>
      </c>
      <c r="GJ98" s="49">
        <f ca="1">0.6*GJ102</f>
        <v>0</v>
      </c>
      <c r="GK98" s="49">
        <f ca="1">GK102</f>
        <v>0</v>
      </c>
      <c r="GL98" s="49">
        <f ca="1">GL102</f>
        <v>0</v>
      </c>
      <c r="GM98" s="49">
        <f ca="1">IF(FO1=0,0,-GC40*GB49^2+GD40*GB49)</f>
        <v>0</v>
      </c>
      <c r="GN98" s="49">
        <f ca="1">IF(FO1=1,GL40*GC98^2+GM40*GC98^1+GF40,0)</f>
        <v>0</v>
      </c>
      <c r="GO98" s="49"/>
      <c r="GP98" s="49"/>
      <c r="GQ98" s="49">
        <f ca="1">GQ102</f>
        <v>0</v>
      </c>
      <c r="GR98" s="49" t="e">
        <f ca="1">0.6*GR102</f>
        <v>#DIV/0!</v>
      </c>
      <c r="GS98" s="49">
        <f t="shared" ca="1" si="41"/>
        <v>0</v>
      </c>
      <c r="GT98" s="49">
        <f ca="1">GT102</f>
        <v>0</v>
      </c>
      <c r="GU98" s="49">
        <f ca="1">IF(FO1=0,0,IF(FN37=3,GU102,0))</f>
        <v>0</v>
      </c>
      <c r="GV98" s="49">
        <f ca="1">0.6*GV102</f>
        <v>0</v>
      </c>
      <c r="GW98" s="49">
        <f ca="1">IF(FO1=1,0.6*GW102,0)</f>
        <v>0</v>
      </c>
      <c r="GX98" s="49">
        <f ca="1">0.6*GX102</f>
        <v>0</v>
      </c>
      <c r="GY98" s="49">
        <f t="shared" ca="1" si="42"/>
        <v>0</v>
      </c>
      <c r="GZ98" s="49">
        <f t="shared" ca="1" si="43"/>
        <v>0</v>
      </c>
      <c r="HA98" s="49"/>
      <c r="HB98" s="49">
        <v>49</v>
      </c>
      <c r="HC98" s="49" t="e">
        <f ca="1">HC43+HB98*(HC100-HC43)/HB99</f>
        <v>#VALUE!</v>
      </c>
      <c r="HD98" s="49" t="e">
        <f ca="1">HB101*HC98^3+HB102*HC98^2+HB103*HC98+HB104</f>
        <v>#VALUE!</v>
      </c>
      <c r="HE98" s="49" t="e">
        <f t="shared" ca="1" si="45"/>
        <v>#VALUE!</v>
      </c>
      <c r="HF98" s="49" t="e">
        <f ca="1">HF43+HB98*(HF100-HF43)/HB99</f>
        <v>#VALUE!</v>
      </c>
      <c r="HG98" s="49" t="e">
        <f ca="1">HB101*HF98^3+HB102*HF98^2+HB103*HF98+HB104</f>
        <v>#VALUE!</v>
      </c>
      <c r="HH98" s="49" t="e">
        <f t="shared" ca="1" si="27"/>
        <v>#VALUE!</v>
      </c>
      <c r="HI98" s="49" t="e">
        <f ca="1">HI43+HB98*(HI100-HI43)/HB99</f>
        <v>#VALUE!</v>
      </c>
      <c r="HJ98" s="49" t="e">
        <f ca="1">GG40*HI98^3+GH40*HI98^2+GI40*HI98+GF40+GC75</f>
        <v>#VALUE!</v>
      </c>
      <c r="HK98" s="49" t="e">
        <f t="shared" ca="1" si="9"/>
        <v>#VALUE!</v>
      </c>
      <c r="HL98" s="49" t="e">
        <f t="shared" ca="1" si="10"/>
        <v>#VALUE!</v>
      </c>
      <c r="HM98" s="49" t="e">
        <f t="shared" ca="1" si="37"/>
        <v>#VALUE!</v>
      </c>
      <c r="HN98" s="49" t="e">
        <f t="shared" ca="1" si="12"/>
        <v>#VALUE!</v>
      </c>
      <c r="HO98" s="49" t="e">
        <f t="shared" ca="1" si="25"/>
        <v>#VALUE!</v>
      </c>
      <c r="HP98" s="49" t="e">
        <f t="shared" ca="1" si="26"/>
        <v>#VALUE!</v>
      </c>
      <c r="HQ98" s="49" t="e">
        <f t="shared" ca="1" si="15"/>
        <v>#VALUE!</v>
      </c>
      <c r="HR98" s="49" t="e">
        <f t="shared" ca="1" si="18"/>
        <v>#VALUE!</v>
      </c>
      <c r="HS98" s="49"/>
      <c r="HT98" s="49"/>
      <c r="HU98" s="49"/>
      <c r="HV98" s="49"/>
      <c r="HW98" s="49"/>
      <c r="HX98" s="49"/>
      <c r="HY98" s="49"/>
    </row>
    <row r="99" spans="1:233" ht="16.5" customHeight="1">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9"/>
      <c r="GA99" s="49" t="e">
        <f ca="1">0.7*GA102</f>
        <v>#VALUE!</v>
      </c>
      <c r="GB99" s="49" t="e">
        <f ca="1">0.7*GB102</f>
        <v>#VALUE!</v>
      </c>
      <c r="GC99" s="49" t="e">
        <f ca="1">0.7*GC102</f>
        <v>#VALUE!</v>
      </c>
      <c r="GD99" s="49"/>
      <c r="GE99" s="49">
        <f t="shared" ca="1" si="38"/>
        <v>0</v>
      </c>
      <c r="GF99" s="49">
        <f t="shared" ca="1" si="39"/>
        <v>0</v>
      </c>
      <c r="GG99" s="49">
        <f t="shared" ca="1" si="40"/>
        <v>0</v>
      </c>
      <c r="GH99" s="49">
        <f ca="1">GH102</f>
        <v>0</v>
      </c>
      <c r="GI99" s="49" t="e">
        <f ca="1">0.7*GI102</f>
        <v>#DIV/0!</v>
      </c>
      <c r="GJ99" s="49">
        <f ca="1">0.7*GJ102</f>
        <v>0</v>
      </c>
      <c r="GK99" s="49">
        <f ca="1">GK102</f>
        <v>0</v>
      </c>
      <c r="GL99" s="49">
        <f ca="1">GL102</f>
        <v>0</v>
      </c>
      <c r="GM99" s="49">
        <f ca="1">IF(FO1=0,0,-GC40*GB50^2+GD40*GB50)</f>
        <v>0</v>
      </c>
      <c r="GN99" s="49">
        <f ca="1">IF(FO1=1,GL40*GC99^2+GM40*GC99^1+GF40,0)</f>
        <v>0</v>
      </c>
      <c r="GO99" s="49"/>
      <c r="GP99" s="49"/>
      <c r="GQ99" s="49">
        <f ca="1">GQ102</f>
        <v>0</v>
      </c>
      <c r="GR99" s="49" t="e">
        <f ca="1">0.7*GR102</f>
        <v>#DIV/0!</v>
      </c>
      <c r="GS99" s="49">
        <f t="shared" ca="1" si="41"/>
        <v>0</v>
      </c>
      <c r="GT99" s="49">
        <f ca="1">GT102</f>
        <v>0</v>
      </c>
      <c r="GU99" s="49">
        <f ca="1">IF(FO1=0,0,IF(FN37=3,GU102,0))</f>
        <v>0</v>
      </c>
      <c r="GV99" s="49">
        <f ca="1">0.7*GV102</f>
        <v>0</v>
      </c>
      <c r="GW99" s="49">
        <f ca="1">IF(FO1=1,0.7*GW102,0)</f>
        <v>0</v>
      </c>
      <c r="GX99" s="49">
        <f ca="1">0.7*GX102</f>
        <v>0</v>
      </c>
      <c r="GY99" s="49">
        <f t="shared" ca="1" si="42"/>
        <v>0</v>
      </c>
      <c r="GZ99" s="49">
        <f t="shared" ca="1" si="43"/>
        <v>0</v>
      </c>
      <c r="HA99" s="49"/>
      <c r="HB99" s="49">
        <v>50</v>
      </c>
      <c r="HC99" s="49" t="e">
        <f ca="1">HC43+HB99*(HC100-HC43)/HB99</f>
        <v>#VALUE!</v>
      </c>
      <c r="HD99" s="49" t="e">
        <f ca="1">HB101*HC99^3+HB102*HC99^2+HB103*HC99+HB104</f>
        <v>#VALUE!</v>
      </c>
      <c r="HE99" s="49" t="e">
        <f t="shared" ca="1" si="45"/>
        <v>#VALUE!</v>
      </c>
      <c r="HF99" s="49" t="e">
        <f ca="1">HF43+HB99*(HF100-HF43)/HB99</f>
        <v>#VALUE!</v>
      </c>
      <c r="HG99" s="49" t="e">
        <f ca="1">HB101*HF99^3+HB102*HF99^2+HB103*HF99+HB104</f>
        <v>#VALUE!</v>
      </c>
      <c r="HH99" s="49" t="e">
        <f t="shared" ca="1" si="27"/>
        <v>#VALUE!</v>
      </c>
      <c r="HI99" s="49" t="e">
        <f ca="1">HI43+HB99*(HI100-HI43)/HB99</f>
        <v>#VALUE!</v>
      </c>
      <c r="HJ99" s="49" t="e">
        <f ca="1">GG40*HI99^3+GH40*HI99^2+GI40*HI99+GF40+GC75</f>
        <v>#VALUE!</v>
      </c>
      <c r="HK99" s="49" t="e">
        <f t="shared" ca="1" si="9"/>
        <v>#VALUE!</v>
      </c>
      <c r="HL99" s="49" t="e">
        <f t="shared" ca="1" si="10"/>
        <v>#VALUE!</v>
      </c>
      <c r="HM99" s="49" t="e">
        <f t="shared" ca="1" si="37"/>
        <v>#VALUE!</v>
      </c>
      <c r="HN99" s="49" t="e">
        <f t="shared" ca="1" si="12"/>
        <v>#VALUE!</v>
      </c>
      <c r="HO99" s="49" t="e">
        <f t="shared" ca="1" si="25"/>
        <v>#VALUE!</v>
      </c>
      <c r="HP99" s="49" t="e">
        <f t="shared" ca="1" si="26"/>
        <v>#VALUE!</v>
      </c>
      <c r="HQ99" s="49" t="e">
        <f t="shared" ca="1" si="15"/>
        <v>#VALUE!</v>
      </c>
      <c r="HR99" s="49" t="e">
        <f t="shared" ca="1" si="18"/>
        <v>#VALUE!</v>
      </c>
      <c r="HS99" s="49"/>
      <c r="HT99" s="49"/>
      <c r="HU99" s="49"/>
      <c r="HV99" s="49"/>
      <c r="HW99" s="49"/>
      <c r="HX99" s="49"/>
      <c r="HY99" s="49"/>
    </row>
    <row r="100" spans="1:233" ht="16.5" customHeight="1">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9"/>
      <c r="GA100" s="49" t="e">
        <f ca="1">0.8*GA102</f>
        <v>#VALUE!</v>
      </c>
      <c r="GB100" s="49" t="e">
        <f ca="1">0.8*GB102</f>
        <v>#VALUE!</v>
      </c>
      <c r="GC100" s="49" t="e">
        <f ca="1">0.8*GC102</f>
        <v>#VALUE!</v>
      </c>
      <c r="GD100" s="49"/>
      <c r="GE100" s="49">
        <f t="shared" ca="1" si="38"/>
        <v>0</v>
      </c>
      <c r="GF100" s="49">
        <f t="shared" ca="1" si="39"/>
        <v>0</v>
      </c>
      <c r="GG100" s="49">
        <f t="shared" ca="1" si="40"/>
        <v>0</v>
      </c>
      <c r="GH100" s="49">
        <f ca="1">GH102</f>
        <v>0</v>
      </c>
      <c r="GI100" s="49" t="e">
        <f ca="1">0.8*GI102</f>
        <v>#DIV/0!</v>
      </c>
      <c r="GJ100" s="49">
        <f ca="1">0.8*GJ102</f>
        <v>0</v>
      </c>
      <c r="GK100" s="49">
        <f ca="1">GK102</f>
        <v>0</v>
      </c>
      <c r="GL100" s="49">
        <f ca="1">GL102</f>
        <v>0</v>
      </c>
      <c r="GM100" s="49">
        <f ca="1">IF(FO1=0,0,-GC40*GB51^2+GD40*GB51)</f>
        <v>0</v>
      </c>
      <c r="GN100" s="49">
        <f ca="1">IF(FO1=1,GL40*GC100^2+GM40*GC100^1+GF40,0)</f>
        <v>0</v>
      </c>
      <c r="GO100" s="49"/>
      <c r="GP100" s="49"/>
      <c r="GQ100" s="49">
        <f ca="1">GQ102</f>
        <v>0</v>
      </c>
      <c r="GR100" s="49" t="e">
        <f ca="1">0.8*GR102</f>
        <v>#DIV/0!</v>
      </c>
      <c r="GS100" s="49">
        <f t="shared" ca="1" si="41"/>
        <v>0</v>
      </c>
      <c r="GT100" s="49">
        <f ca="1">GT102</f>
        <v>0</v>
      </c>
      <c r="GU100" s="49">
        <f ca="1">IF(FO1=0,0,IF(FN37=3,GU102,0))</f>
        <v>0</v>
      </c>
      <c r="GV100" s="49">
        <f ca="1">0.8*GV102</f>
        <v>0</v>
      </c>
      <c r="GW100" s="49">
        <f ca="1">IF(FO1=1,0.8*GW102,0)</f>
        <v>0</v>
      </c>
      <c r="GX100" s="49">
        <f ca="1">0.8*GX102</f>
        <v>0</v>
      </c>
      <c r="GY100" s="49">
        <f t="shared" ca="1" si="42"/>
        <v>0</v>
      </c>
      <c r="GZ100" s="49">
        <f t="shared" ca="1" si="43"/>
        <v>0</v>
      </c>
      <c r="HA100" s="49"/>
      <c r="HB100" s="49"/>
      <c r="HC100" s="49" t="str">
        <f ca="1">GA45</f>
        <v/>
      </c>
      <c r="HD100" s="49"/>
      <c r="HE100" s="49" t="e">
        <f ca="1">MAX(HE44:HE99)</f>
        <v>#VALUE!</v>
      </c>
      <c r="HF100" s="49" t="str">
        <f ca="1">GA53</f>
        <v/>
      </c>
      <c r="HG100" s="49"/>
      <c r="HH100" s="49" t="e">
        <f ca="1">MAX(HH44:HH99)</f>
        <v>#VALUE!</v>
      </c>
      <c r="HI100" s="49" t="str">
        <f ca="1">GB74</f>
        <v/>
      </c>
      <c r="HJ100" s="49"/>
      <c r="HK100" s="49" t="e">
        <f ca="1">MAX(HK44:HK99)</f>
        <v>#VALUE!</v>
      </c>
      <c r="HL100" s="49" t="str">
        <f t="shared" ca="1" si="10"/>
        <v/>
      </c>
      <c r="HM100" s="49"/>
      <c r="HN100" s="49" t="e">
        <f ca="1">MAX(HN44:HN99)</f>
        <v>#VALUE!</v>
      </c>
      <c r="HO100" s="49" t="e">
        <f ca="1">2*HC100</f>
        <v>#VALUE!</v>
      </c>
      <c r="HP100" s="49"/>
      <c r="HQ100" s="49" t="e">
        <f ca="1">MAX(HQ44:HQ99)</f>
        <v>#VALUE!</v>
      </c>
      <c r="HR100" s="49"/>
      <c r="HS100" s="49"/>
      <c r="HT100" s="49"/>
      <c r="HU100" s="49"/>
      <c r="HV100" s="49"/>
      <c r="HW100" s="49"/>
      <c r="HX100" s="49"/>
      <c r="HY100" s="49"/>
    </row>
    <row r="101" spans="1:233" ht="16.5" customHeight="1">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9"/>
      <c r="GA101" s="49" t="e">
        <f ca="1">0.9*GA102</f>
        <v>#VALUE!</v>
      </c>
      <c r="GB101" s="49" t="e">
        <f ca="1">0.9*GB102</f>
        <v>#VALUE!</v>
      </c>
      <c r="GC101" s="49" t="e">
        <f ca="1">0.9*GC102</f>
        <v>#VALUE!</v>
      </c>
      <c r="GD101" s="49"/>
      <c r="GE101" s="49">
        <f t="shared" ca="1" si="38"/>
        <v>0</v>
      </c>
      <c r="GF101" s="49">
        <f t="shared" ca="1" si="39"/>
        <v>0</v>
      </c>
      <c r="GG101" s="49">
        <f t="shared" ca="1" si="40"/>
        <v>0</v>
      </c>
      <c r="GH101" s="49">
        <f ca="1">GH102</f>
        <v>0</v>
      </c>
      <c r="GI101" s="49" t="e">
        <f ca="1">0.9*GI102</f>
        <v>#DIV/0!</v>
      </c>
      <c r="GJ101" s="49">
        <f ca="1">0.9*GJ102</f>
        <v>0</v>
      </c>
      <c r="GK101" s="49">
        <f ca="1">GK102</f>
        <v>0</v>
      </c>
      <c r="GL101" s="49">
        <f ca="1">GL102</f>
        <v>0</v>
      </c>
      <c r="GM101" s="49">
        <f ca="1">IF(FO1=0,0,-GC40*GB52^2+GD40*GB52)</f>
        <v>0</v>
      </c>
      <c r="GN101" s="49">
        <f ca="1">IF(FO1=1,GL40*GC101^2+GM40*GC101^1+GF40,0)</f>
        <v>0</v>
      </c>
      <c r="GO101" s="49"/>
      <c r="GP101" s="49"/>
      <c r="GQ101" s="49">
        <f ca="1">GQ102</f>
        <v>0</v>
      </c>
      <c r="GR101" s="49" t="e">
        <f ca="1">0.9*GR102</f>
        <v>#DIV/0!</v>
      </c>
      <c r="GS101" s="49">
        <f t="shared" ca="1" si="41"/>
        <v>0</v>
      </c>
      <c r="GT101" s="49">
        <f ca="1">GT102</f>
        <v>0</v>
      </c>
      <c r="GU101" s="49">
        <f ca="1">IF(FO1=0,0,IF(FN37=3,GU102,0))</f>
        <v>0</v>
      </c>
      <c r="GV101" s="49">
        <f ca="1">0.9*GV102</f>
        <v>0</v>
      </c>
      <c r="GW101" s="49">
        <f ca="1">IF(FO1=1,0.9*GW102,0)</f>
        <v>0</v>
      </c>
      <c r="GX101" s="49">
        <f ca="1">0.9*GX102</f>
        <v>0</v>
      </c>
      <c r="GY101" s="49">
        <f t="shared" ca="1" si="42"/>
        <v>0</v>
      </c>
      <c r="GZ101" s="49">
        <f t="shared" ca="1" si="43"/>
        <v>0</v>
      </c>
      <c r="HA101" s="49"/>
      <c r="HB101" s="49" t="e">
        <f ca="1">-GG40*1^3</f>
        <v>#VALUE!</v>
      </c>
      <c r="HC101" s="49"/>
      <c r="HD101" s="49"/>
      <c r="HE101" s="49"/>
      <c r="HF101" s="49"/>
      <c r="HG101" s="49"/>
      <c r="HH101" s="49"/>
      <c r="HI101" s="49"/>
      <c r="HJ101" s="49"/>
      <c r="HK101" s="49"/>
      <c r="HL101" s="49"/>
      <c r="HM101" s="49"/>
      <c r="HN101" s="49"/>
      <c r="HO101" s="49"/>
      <c r="HP101" s="49"/>
      <c r="HQ101" s="49"/>
      <c r="HR101" s="49"/>
      <c r="HS101" s="49"/>
      <c r="HT101" s="49"/>
      <c r="HU101" s="49"/>
      <c r="HV101" s="49"/>
      <c r="HW101" s="49"/>
      <c r="HX101" s="49"/>
      <c r="HY101" s="49"/>
    </row>
    <row r="102" spans="1:233" ht="16.5" customHeight="1">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9"/>
      <c r="GA102" s="49" t="e">
        <f ca="1">IF(FZ103&lt;GC27,FZ103,GC27)</f>
        <v>#VALUE!</v>
      </c>
      <c r="GB102" s="49" t="str">
        <f ca="1">GB53</f>
        <v/>
      </c>
      <c r="GC102" s="49" t="e">
        <f ca="1">IF(GC103&lt;GC27,GC103,GC27)</f>
        <v>#VALUE!</v>
      </c>
      <c r="GD102" s="49"/>
      <c r="GE102" s="49">
        <f t="shared" ca="1" si="38"/>
        <v>0</v>
      </c>
      <c r="GF102" s="49">
        <f t="shared" ca="1" si="39"/>
        <v>0</v>
      </c>
      <c r="GG102" s="49">
        <f t="shared" ca="1" si="40"/>
        <v>0</v>
      </c>
      <c r="GH102" s="49">
        <f ca="1">IF(FO1=0,0,IF(FN37=1,GQ29,IF(FN37=2,GS41,0)))</f>
        <v>0</v>
      </c>
      <c r="GI102" s="49" t="e">
        <f ca="1">IF(FN37=1,-GC40*GH102+GD40,IF(FN37=2,GT41,0))</f>
        <v>#DIV/0!</v>
      </c>
      <c r="GJ102" s="49">
        <f ca="1">IF(FO1=0,0,IF(FN37=1,GH102,IF(FN37=2,GH102,0)))</f>
        <v>0</v>
      </c>
      <c r="GK102" s="49">
        <f ca="1">IF(FO1=0,0,IF(FN37=1,GI102,IF(FN37=2,GI102,0)))</f>
        <v>0</v>
      </c>
      <c r="GL102" s="49">
        <f ca="1">IF(FO1=0,0,IF(FN37=1,GL40*GJ102^1+GM40+GF40/GJ102,IF(FN37=2,GL40*GJ102^1+GM40+GF40/GJ102,0)))</f>
        <v>0</v>
      </c>
      <c r="GM102" s="49">
        <f ca="1">IF(FO1=0,0,-GC40*GB53^2+GD40*GB53)</f>
        <v>0</v>
      </c>
      <c r="GN102" s="49">
        <f ca="1">IF(FO1=1,GL40*GC102^2+GM40*GC102^1+GF40,0)</f>
        <v>0</v>
      </c>
      <c r="GO102" s="49"/>
      <c r="GP102" s="49"/>
      <c r="GQ102" s="49">
        <f ca="1">IF(FO1=0,0,IF(FN37=1,GH102,IF(FN37=2,GH102,IF(FN37=3,GH102,0))))</f>
        <v>0</v>
      </c>
      <c r="GR102" s="49" t="e">
        <f ca="1">IF(FN37=1,-GC40*GQ102^2+GD40*GQ102,IF(FN37=2,-GC$40*GQ102^2+GU$41*GQ102,0))</f>
        <v>#DIV/0!</v>
      </c>
      <c r="GS102" s="49">
        <f t="shared" ca="1" si="41"/>
        <v>0</v>
      </c>
      <c r="GT102" s="49">
        <f ca="1">IF(FO1=0,0,IF(FN37=1,GL40*GQ102^1+GM40,IF(FN37=2,GL40*GQ102^1+GM40,0)))</f>
        <v>0</v>
      </c>
      <c r="GU102" s="49">
        <f ca="1">IF(FO1=0,0,IF(FN37=3,GR41,0))</f>
        <v>0</v>
      </c>
      <c r="GV102" s="49">
        <f ca="1">IF(FO1=0,0,IF(FN37=3,GL40*GU102^2+GM40*GU102^1+GF40,0))</f>
        <v>0</v>
      </c>
      <c r="GW102" s="49">
        <f ca="1">IF(FO1=0,0,IF(FN37=3,GL40*GU102^1+GM40+GF40/GU102,0))</f>
        <v>0</v>
      </c>
      <c r="GX102" s="49">
        <f ca="1">IF(FO$1=0,0,IF(FN$37=1,0,FLOOR(GU41/GC40,0.1)))</f>
        <v>0</v>
      </c>
      <c r="GY102" s="49">
        <f t="shared" ca="1" si="42"/>
        <v>0</v>
      </c>
      <c r="GZ102" s="49">
        <f t="shared" ca="1" si="43"/>
        <v>0</v>
      </c>
      <c r="HA102" s="49"/>
      <c r="HB102" s="49" t="e">
        <f ca="1">-GC40*1^2-GH40*1^2</f>
        <v>#DIV/0!</v>
      </c>
      <c r="HC102" s="49"/>
      <c r="HD102" s="49"/>
      <c r="HE102" s="49"/>
      <c r="HF102" s="49"/>
      <c r="HG102" s="49"/>
      <c r="HH102" s="49"/>
      <c r="HI102" s="49"/>
      <c r="HJ102" s="49"/>
      <c r="HK102" s="49"/>
      <c r="HL102" s="49"/>
      <c r="HM102" s="49"/>
      <c r="HN102" s="49"/>
      <c r="HO102" s="49"/>
      <c r="HP102" s="49"/>
      <c r="HQ102" s="49"/>
      <c r="HR102" s="49"/>
      <c r="HS102" s="49"/>
      <c r="HT102" s="49"/>
      <c r="HU102" s="49"/>
      <c r="HV102" s="49"/>
      <c r="HW102" s="49"/>
      <c r="HX102" s="49"/>
      <c r="HY102" s="49"/>
    </row>
    <row r="103" spans="1:233" ht="16.5" customHeight="1">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9" t="e">
        <f ca="1">-(FZ94-(FZ94^2-4*FZ93*FZ95)^0.5)/(2*FZ93)</f>
        <v>#VALUE!</v>
      </c>
      <c r="GA103" s="49" t="e">
        <f ca="1">-(GC105-(GC105^2-4*GC104*GA105)^0.5)/(2*GC104)</f>
        <v>#VALUE!</v>
      </c>
      <c r="GB103" s="49"/>
      <c r="GC103" s="49" t="e">
        <f ca="1">-(GC105-(GC105^2-4*GC104*GD105)^0.5)/(2*GC104)</f>
        <v>#VALUE!</v>
      </c>
      <c r="GD103" s="49"/>
      <c r="GE103" s="49"/>
      <c r="GF103" s="49"/>
      <c r="GG103" s="49"/>
      <c r="GH103" s="49"/>
      <c r="GI103" s="49"/>
      <c r="GJ103" s="49"/>
      <c r="GK103" s="49"/>
      <c r="GL103" s="49">
        <v>4</v>
      </c>
      <c r="GM103" s="49"/>
      <c r="GN103" s="49"/>
      <c r="GO103" s="49"/>
      <c r="GP103" s="49"/>
      <c r="GQ103" s="49"/>
      <c r="GR103" s="49"/>
      <c r="GS103" s="49"/>
      <c r="GT103" s="49"/>
      <c r="GU103" s="49"/>
      <c r="GV103" s="49"/>
      <c r="GW103" s="49"/>
      <c r="GX103" s="49"/>
      <c r="GY103" s="49"/>
      <c r="GZ103" s="49"/>
      <c r="HA103" s="49"/>
      <c r="HB103" s="49" t="e">
        <f ca="1">GD40*1-GI40*1</f>
        <v>#VALUE!</v>
      </c>
      <c r="HC103" s="49"/>
      <c r="HD103" s="49"/>
      <c r="HE103" s="49"/>
      <c r="HF103" s="49"/>
      <c r="HG103" s="49"/>
      <c r="HH103" s="49"/>
      <c r="HI103" s="49"/>
      <c r="HJ103" s="49"/>
      <c r="HK103" s="49"/>
      <c r="HL103" s="49"/>
      <c r="HM103" s="49"/>
      <c r="HN103" s="49"/>
      <c r="HO103" s="49"/>
      <c r="HP103" s="49"/>
      <c r="HQ103" s="49"/>
      <c r="HR103" s="49"/>
      <c r="HS103" s="49"/>
      <c r="HT103" s="49"/>
      <c r="HU103" s="49"/>
      <c r="HV103" s="49"/>
      <c r="HW103" s="49"/>
      <c r="HX103" s="49"/>
      <c r="HY103" s="49"/>
    </row>
    <row r="104" spans="1:233" ht="16.5" customHeight="1">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9"/>
      <c r="GA104" s="49"/>
      <c r="GB104" s="49"/>
      <c r="GC104" s="49" t="e">
        <f ca="1">GL40</f>
        <v>#VALUE!</v>
      </c>
      <c r="GD104" s="49"/>
      <c r="GE104" s="49"/>
      <c r="GF104" s="49"/>
      <c r="GG104" s="49"/>
      <c r="GH104" s="49"/>
      <c r="GI104" s="49"/>
      <c r="GJ104" s="49"/>
      <c r="GK104" s="49"/>
      <c r="GL104" s="49"/>
      <c r="GM104" s="49"/>
      <c r="GN104" s="49"/>
      <c r="GO104" s="49"/>
      <c r="GP104" s="49"/>
      <c r="GQ104" s="49"/>
      <c r="GR104" s="49"/>
      <c r="GS104" s="49"/>
      <c r="GT104" s="49"/>
      <c r="GU104" s="49"/>
      <c r="GV104" s="49"/>
      <c r="GW104" s="49"/>
      <c r="GX104" s="49"/>
      <c r="GY104" s="49"/>
      <c r="GZ104" s="49"/>
      <c r="HA104" s="49"/>
      <c r="HB104" s="49" t="e">
        <f ca="1">-GF40</f>
        <v>#DIV/0!</v>
      </c>
      <c r="HC104" s="49"/>
      <c r="HD104" s="49"/>
      <c r="HE104" s="49"/>
      <c r="HF104" s="49"/>
      <c r="HG104" s="49"/>
      <c r="HH104" s="49"/>
      <c r="HI104" s="49"/>
      <c r="HJ104" s="49"/>
      <c r="HK104" s="49"/>
      <c r="HL104" s="49"/>
      <c r="HM104" s="49"/>
      <c r="HN104" s="49"/>
      <c r="HO104" s="49"/>
      <c r="HP104" s="49"/>
      <c r="HQ104" s="49"/>
      <c r="HR104" s="49"/>
      <c r="HS104" s="49"/>
      <c r="HT104" s="49"/>
      <c r="HU104" s="49"/>
      <c r="HV104" s="49"/>
      <c r="HW104" s="49"/>
      <c r="HX104" s="49"/>
      <c r="HY104" s="49"/>
    </row>
    <row r="105" spans="1:233" ht="16.5" customHeight="1">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79"/>
      <c r="FV105" s="79"/>
      <c r="FW105" s="79"/>
      <c r="FX105" s="79"/>
      <c r="FY105" s="47"/>
      <c r="FZ105" s="49"/>
      <c r="GA105" s="49">
        <f ca="1">-1.05*GM97</f>
        <v>0</v>
      </c>
      <c r="GB105" s="49"/>
      <c r="GC105" s="49" t="e">
        <f ca="1">GM40</f>
        <v>#VALUE!</v>
      </c>
      <c r="GD105" s="49" t="e">
        <f ca="1">GF40-1.1*GM97</f>
        <v>#DIV/0!</v>
      </c>
      <c r="GE105" s="49"/>
      <c r="GF105" s="49"/>
      <c r="GG105" s="49"/>
      <c r="GH105" s="49"/>
      <c r="GI105" s="49"/>
      <c r="GJ105" s="49"/>
      <c r="GK105" s="49"/>
      <c r="GL105" s="49"/>
      <c r="GM105" s="49"/>
      <c r="GN105" s="49"/>
      <c r="GO105" s="49"/>
      <c r="GP105" s="49"/>
      <c r="GQ105" s="49"/>
      <c r="GR105" s="49"/>
      <c r="GS105" s="49"/>
      <c r="GT105" s="49"/>
      <c r="GU105" s="49"/>
      <c r="GV105" s="49"/>
      <c r="GW105" s="49"/>
      <c r="GX105" s="49"/>
      <c r="GY105" s="49"/>
      <c r="GZ105" s="49"/>
      <c r="HA105" s="49"/>
      <c r="HB105" s="49"/>
      <c r="HC105" s="49"/>
      <c r="HD105" s="49"/>
      <c r="HE105" s="49"/>
      <c r="HF105" s="49"/>
      <c r="HG105" s="49"/>
      <c r="HH105" s="49"/>
      <c r="HI105" s="49"/>
      <c r="HJ105" s="49"/>
      <c r="HK105" s="49"/>
      <c r="HL105" s="49"/>
      <c r="HM105" s="49"/>
      <c r="HN105" s="49"/>
      <c r="HO105" s="49"/>
      <c r="HP105" s="49"/>
      <c r="HQ105" s="49"/>
      <c r="HR105" s="49"/>
      <c r="HS105" s="49"/>
      <c r="HT105" s="49"/>
      <c r="HU105" s="49"/>
      <c r="HV105" s="49"/>
      <c r="HW105" s="49"/>
      <c r="HX105" s="49"/>
      <c r="HY105" s="49"/>
    </row>
    <row r="106" spans="1:233" ht="16.5" customHeight="1">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79"/>
      <c r="FV106" s="79"/>
      <c r="FW106" s="79"/>
      <c r="FX106" s="79"/>
      <c r="FY106" s="47"/>
      <c r="FZ106" s="49"/>
      <c r="GA106" s="49"/>
      <c r="GB106" s="49"/>
      <c r="GC106" s="49"/>
      <c r="GD106" s="49"/>
      <c r="GE106" s="49"/>
      <c r="GF106" s="49"/>
      <c r="GG106" s="49"/>
      <c r="GH106" s="49"/>
      <c r="GI106" s="49"/>
      <c r="GJ106" s="49"/>
      <c r="GK106" s="49"/>
      <c r="GL106" s="49"/>
      <c r="GM106" s="49"/>
      <c r="GN106" s="49"/>
      <c r="GO106" s="49"/>
      <c r="GP106" s="49"/>
      <c r="GQ106" s="49"/>
      <c r="GR106" s="49"/>
      <c r="GS106" s="49"/>
      <c r="GT106" s="49"/>
      <c r="GU106" s="49"/>
      <c r="GV106" s="49"/>
      <c r="GW106" s="49"/>
      <c r="GX106" s="49"/>
      <c r="GY106" s="49"/>
      <c r="GZ106" s="49"/>
      <c r="HA106" s="49"/>
      <c r="HB106" s="49"/>
      <c r="HC106" s="49"/>
      <c r="HD106" s="49"/>
      <c r="HE106" s="49"/>
      <c r="HF106" s="49"/>
      <c r="HG106" s="49"/>
      <c r="HH106" s="49"/>
      <c r="HI106" s="49"/>
      <c r="HJ106" s="49"/>
      <c r="HK106" s="49"/>
      <c r="HL106" s="49"/>
      <c r="HM106" s="49"/>
      <c r="HN106" s="49"/>
      <c r="HO106" s="49"/>
      <c r="HP106" s="49"/>
      <c r="HQ106" s="49"/>
      <c r="HR106" s="49"/>
      <c r="HS106" s="49"/>
      <c r="HT106" s="49"/>
      <c r="HU106" s="49"/>
      <c r="HV106" s="49"/>
      <c r="HW106" s="49"/>
      <c r="HX106" s="49"/>
      <c r="HY106" s="49"/>
    </row>
    <row r="107" spans="1:233" ht="16.5" customHeight="1">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79"/>
      <c r="FV107" s="79"/>
      <c r="FW107" s="79"/>
      <c r="FX107" s="79"/>
      <c r="FY107" s="47"/>
      <c r="FZ107" s="49"/>
      <c r="GA107" s="49"/>
      <c r="GB107" s="49"/>
      <c r="GC107" s="49"/>
      <c r="GD107" s="49"/>
      <c r="GE107" s="49"/>
      <c r="GF107" s="49"/>
      <c r="GG107" s="49"/>
      <c r="GH107" s="49"/>
      <c r="GI107" s="49"/>
      <c r="GJ107" s="49"/>
      <c r="GK107" s="49"/>
      <c r="GL107" s="49"/>
      <c r="GM107" s="49"/>
      <c r="GN107" s="49"/>
      <c r="GO107" s="49"/>
      <c r="GP107" s="49"/>
      <c r="GQ107" s="49"/>
      <c r="GR107" s="49"/>
      <c r="GS107" s="49"/>
      <c r="GT107" s="49"/>
      <c r="GU107" s="49"/>
      <c r="GV107" s="49"/>
      <c r="GW107" s="49"/>
      <c r="GX107" s="49"/>
      <c r="GY107" s="49"/>
      <c r="GZ107" s="49"/>
      <c r="HA107" s="49"/>
      <c r="HB107" s="49"/>
      <c r="HC107" s="49"/>
      <c r="HD107" s="49"/>
      <c r="HE107" s="49"/>
      <c r="HF107" s="49"/>
      <c r="HG107" s="49"/>
      <c r="HH107" s="49"/>
      <c r="HI107" s="49"/>
      <c r="HJ107" s="49"/>
      <c r="HK107" s="49"/>
      <c r="HL107" s="49"/>
      <c r="HM107" s="49"/>
      <c r="HN107" s="49"/>
      <c r="HO107" s="49"/>
      <c r="HP107" s="49"/>
      <c r="HQ107" s="49"/>
      <c r="HR107" s="49"/>
      <c r="HS107" s="49"/>
      <c r="HT107" s="49"/>
      <c r="HU107" s="49"/>
      <c r="HV107" s="49"/>
      <c r="HW107" s="49"/>
      <c r="HX107" s="49"/>
      <c r="HY107" s="49"/>
    </row>
    <row r="108" spans="1:233" ht="7.5" customHeight="1">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79"/>
      <c r="FV108" s="79"/>
      <c r="FW108" s="79"/>
      <c r="FX108" s="79"/>
      <c r="FY108" s="47"/>
      <c r="FZ108" s="49"/>
      <c r="GA108" s="49"/>
      <c r="GB108" s="49"/>
      <c r="GC108" s="49"/>
      <c r="GD108" s="49"/>
      <c r="GE108" s="49"/>
      <c r="GF108" s="49"/>
      <c r="GG108" s="49"/>
      <c r="GH108" s="49"/>
      <c r="GI108" s="49"/>
      <c r="GJ108" s="49"/>
      <c r="GK108" s="49"/>
      <c r="GL108" s="49"/>
      <c r="GM108" s="49"/>
      <c r="GN108" s="49"/>
      <c r="GO108" s="49"/>
      <c r="GP108" s="49"/>
      <c r="GQ108" s="49"/>
      <c r="GR108" s="49"/>
      <c r="GS108" s="49"/>
      <c r="GT108" s="49"/>
      <c r="GU108" s="49"/>
      <c r="GV108" s="49"/>
      <c r="GW108" s="49"/>
      <c r="GX108" s="49"/>
      <c r="GY108" s="49"/>
      <c r="GZ108" s="49"/>
      <c r="HA108" s="49"/>
      <c r="HB108" s="49"/>
      <c r="HC108" s="49"/>
      <c r="HD108" s="49"/>
      <c r="HE108" s="49"/>
      <c r="HF108" s="49"/>
      <c r="HG108" s="49"/>
      <c r="HH108" s="49"/>
      <c r="HI108" s="49"/>
      <c r="HJ108" s="49"/>
      <c r="HK108" s="49"/>
      <c r="HL108" s="49"/>
      <c r="HM108" s="49"/>
      <c r="HN108" s="49"/>
      <c r="HO108" s="49"/>
      <c r="HP108" s="49"/>
      <c r="HQ108" s="49"/>
      <c r="HR108" s="49"/>
      <c r="HS108" s="49"/>
      <c r="HT108" s="49"/>
      <c r="HU108" s="49"/>
      <c r="HV108" s="49"/>
      <c r="HW108" s="49"/>
      <c r="HX108" s="49"/>
      <c r="HY108" s="49"/>
    </row>
    <row r="109" spans="1:233" ht="3.75" customHeight="1">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79"/>
      <c r="FV109" s="79"/>
      <c r="FW109" s="79"/>
      <c r="FX109" s="79"/>
      <c r="FY109" s="47"/>
      <c r="FZ109" s="49"/>
      <c r="GA109" s="49"/>
      <c r="GB109" s="49"/>
      <c r="GC109" s="49"/>
      <c r="GD109" s="49"/>
      <c r="GE109" s="49"/>
      <c r="GF109" s="49"/>
      <c r="GG109" s="49"/>
      <c r="GH109" s="49"/>
      <c r="GI109" s="49"/>
      <c r="GJ109" s="49"/>
      <c r="GK109" s="49"/>
      <c r="GL109" s="49"/>
      <c r="GM109" s="49"/>
      <c r="GN109" s="49"/>
      <c r="GO109" s="49"/>
      <c r="GP109" s="49"/>
      <c r="GQ109" s="49"/>
      <c r="GR109" s="49"/>
      <c r="GS109" s="49"/>
      <c r="GT109" s="49"/>
      <c r="GU109" s="49"/>
      <c r="GV109" s="49"/>
      <c r="GW109" s="49"/>
      <c r="GX109" s="49"/>
      <c r="GY109" s="49"/>
      <c r="GZ109" s="49"/>
      <c r="HA109" s="49"/>
      <c r="HB109" s="49"/>
      <c r="HC109" s="49"/>
      <c r="HD109" s="49"/>
      <c r="HE109" s="49"/>
      <c r="HF109" s="49"/>
      <c r="HG109" s="49"/>
      <c r="HH109" s="49"/>
      <c r="HI109" s="49"/>
      <c r="HJ109" s="49"/>
      <c r="HK109" s="49"/>
      <c r="HL109" s="49"/>
      <c r="HM109" s="49"/>
      <c r="HN109" s="49"/>
      <c r="HO109" s="49"/>
      <c r="HP109" s="49"/>
      <c r="HQ109" s="49"/>
      <c r="HR109" s="49"/>
      <c r="HS109" s="49"/>
      <c r="HT109" s="49"/>
      <c r="HU109" s="49"/>
      <c r="HV109" s="49"/>
      <c r="HW109" s="49"/>
      <c r="HX109" s="49"/>
      <c r="HY109" s="49"/>
    </row>
    <row r="110" spans="1:233" ht="16.5" customHeight="1">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79"/>
      <c r="FV110" s="79"/>
      <c r="FW110" s="79"/>
      <c r="FX110" s="79"/>
      <c r="FY110" s="47"/>
      <c r="FZ110" s="49"/>
      <c r="GA110" s="49"/>
      <c r="GB110" s="49"/>
      <c r="GC110" s="49"/>
      <c r="GD110" s="49"/>
      <c r="GE110" s="49"/>
      <c r="GF110" s="49"/>
      <c r="GG110" s="49"/>
      <c r="GH110" s="49"/>
      <c r="GI110" s="49"/>
      <c r="GJ110" s="49"/>
      <c r="GK110" s="49"/>
      <c r="GL110" s="49"/>
      <c r="GM110" s="49"/>
      <c r="GN110" s="49"/>
      <c r="GO110" s="49"/>
      <c r="GP110" s="49"/>
      <c r="GQ110" s="49"/>
      <c r="GR110" s="49"/>
      <c r="GS110" s="49"/>
      <c r="GT110" s="49"/>
      <c r="GU110" s="49"/>
      <c r="GV110" s="49"/>
      <c r="GW110" s="49"/>
      <c r="GX110" s="49"/>
      <c r="GY110" s="49"/>
      <c r="GZ110" s="49"/>
      <c r="HA110" s="49"/>
      <c r="HB110" s="49"/>
      <c r="HC110" s="49"/>
      <c r="HD110" s="49"/>
      <c r="HE110" s="49"/>
      <c r="HF110" s="49"/>
      <c r="HG110" s="49"/>
      <c r="HH110" s="49"/>
      <c r="HI110" s="49"/>
      <c r="HJ110" s="49"/>
      <c r="HK110" s="49"/>
      <c r="HL110" s="49"/>
      <c r="HM110" s="49"/>
      <c r="HN110" s="49"/>
      <c r="HO110" s="49"/>
      <c r="HP110" s="49"/>
      <c r="HQ110" s="49"/>
      <c r="HR110" s="49"/>
      <c r="HS110" s="49"/>
      <c r="HT110" s="49"/>
      <c r="HU110" s="49"/>
      <c r="HV110" s="49"/>
      <c r="HW110" s="49"/>
      <c r="HX110" s="49"/>
      <c r="HY110" s="49"/>
    </row>
    <row r="111" spans="1:233" ht="3.75" customHeight="1">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79"/>
      <c r="FV111" s="79"/>
      <c r="FW111" s="79"/>
      <c r="FX111" s="79"/>
      <c r="FY111" s="47"/>
      <c r="FZ111" s="49"/>
      <c r="GA111" s="49"/>
      <c r="GB111" s="49"/>
      <c r="GC111" s="49"/>
      <c r="GD111" s="49"/>
      <c r="GE111" s="49"/>
      <c r="GF111" s="49"/>
      <c r="GG111" s="49"/>
      <c r="GH111" s="49"/>
      <c r="GI111" s="49"/>
      <c r="GJ111" s="49"/>
      <c r="GK111" s="49"/>
      <c r="GL111" s="49"/>
      <c r="GM111" s="49"/>
      <c r="GN111" s="49"/>
      <c r="GO111" s="49"/>
      <c r="GP111" s="49"/>
      <c r="GQ111" s="49"/>
      <c r="GR111" s="49"/>
      <c r="GS111" s="49"/>
      <c r="GT111" s="49"/>
      <c r="GU111" s="49"/>
      <c r="GV111" s="49"/>
      <c r="GW111" s="49"/>
      <c r="GX111" s="49"/>
      <c r="GY111" s="49"/>
      <c r="GZ111" s="49"/>
      <c r="HA111" s="49"/>
      <c r="HB111" s="49"/>
      <c r="HC111" s="49"/>
      <c r="HD111" s="49"/>
      <c r="HE111" s="49"/>
      <c r="HF111" s="49"/>
      <c r="HG111" s="49"/>
      <c r="HH111" s="49"/>
      <c r="HI111" s="49"/>
      <c r="HJ111" s="49"/>
      <c r="HK111" s="49"/>
      <c r="HL111" s="49"/>
      <c r="HM111" s="49"/>
      <c r="HN111" s="49"/>
      <c r="HO111" s="49"/>
      <c r="HP111" s="49"/>
      <c r="HQ111" s="49"/>
      <c r="HR111" s="49"/>
      <c r="HS111" s="49"/>
      <c r="HT111" s="49"/>
      <c r="HU111" s="49"/>
      <c r="HV111" s="49"/>
      <c r="HW111" s="49"/>
      <c r="HX111" s="49"/>
      <c r="HY111" s="49"/>
    </row>
    <row r="112" spans="1:233" ht="10.5" customHeight="1">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79"/>
      <c r="FV112" s="79"/>
      <c r="FW112" s="79"/>
      <c r="FX112" s="79"/>
      <c r="FY112" s="47"/>
      <c r="FZ112" s="49"/>
      <c r="GA112" s="49"/>
      <c r="GB112" s="49"/>
      <c r="GC112" s="49"/>
      <c r="GD112" s="49"/>
      <c r="GE112" s="49"/>
      <c r="GF112" s="49"/>
      <c r="GG112" s="49"/>
      <c r="GH112" s="49"/>
      <c r="GI112" s="49"/>
      <c r="GJ112" s="49"/>
      <c r="GK112" s="49"/>
      <c r="GL112" s="49"/>
      <c r="GM112" s="49"/>
      <c r="GN112" s="49"/>
      <c r="GO112" s="49"/>
      <c r="GP112" s="49"/>
      <c r="GQ112" s="49"/>
      <c r="GR112" s="49"/>
      <c r="GS112" s="49"/>
      <c r="GT112" s="49"/>
      <c r="GU112" s="49"/>
      <c r="GV112" s="49"/>
      <c r="GW112" s="49"/>
      <c r="GX112" s="49"/>
      <c r="GY112" s="49"/>
      <c r="GZ112" s="49"/>
      <c r="HA112" s="49"/>
      <c r="HB112" s="49"/>
      <c r="HC112" s="49"/>
      <c r="HD112" s="49"/>
      <c r="HE112" s="49"/>
      <c r="HF112" s="49"/>
      <c r="HG112" s="49"/>
      <c r="HH112" s="49"/>
      <c r="HI112" s="49"/>
      <c r="HJ112" s="49"/>
      <c r="HK112" s="49"/>
      <c r="HL112" s="49"/>
      <c r="HM112" s="49"/>
      <c r="HN112" s="49"/>
      <c r="HO112" s="49"/>
      <c r="HP112" s="49"/>
      <c r="HQ112" s="49"/>
      <c r="HR112" s="49"/>
      <c r="HS112" s="49"/>
      <c r="HT112" s="49"/>
      <c r="HU112" s="49"/>
      <c r="HV112" s="49"/>
      <c r="HW112" s="49"/>
      <c r="HX112" s="49"/>
      <c r="HY112" s="49"/>
    </row>
    <row r="113" spans="1:233" ht="16.5" customHeight="1">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79"/>
      <c r="FV113" s="79"/>
      <c r="FW113" s="79"/>
      <c r="FX113" s="79"/>
      <c r="FY113" s="47"/>
      <c r="FZ113" s="49"/>
      <c r="GA113" s="49"/>
      <c r="GB113" s="49"/>
      <c r="GC113" s="49"/>
      <c r="GD113" s="49"/>
      <c r="GE113" s="49"/>
      <c r="GF113" s="49"/>
      <c r="GG113" s="49"/>
      <c r="GH113" s="49"/>
      <c r="GI113" s="49"/>
      <c r="GJ113" s="49"/>
      <c r="GK113" s="49"/>
      <c r="GL113" s="49"/>
      <c r="GM113" s="49"/>
      <c r="GN113" s="49"/>
      <c r="GO113" s="49"/>
      <c r="GP113" s="49"/>
      <c r="GQ113" s="49"/>
      <c r="GR113" s="49"/>
      <c r="GS113" s="49"/>
      <c r="GT113" s="49"/>
      <c r="GU113" s="49"/>
      <c r="GV113" s="49"/>
      <c r="GW113" s="49"/>
      <c r="GX113" s="49"/>
      <c r="GY113" s="49"/>
      <c r="GZ113" s="49"/>
      <c r="HA113" s="49"/>
      <c r="HB113" s="49"/>
      <c r="HC113" s="49"/>
      <c r="HD113" s="49"/>
      <c r="HE113" s="49"/>
      <c r="HF113" s="49"/>
      <c r="HG113" s="49"/>
      <c r="HH113" s="49"/>
      <c r="HI113" s="49"/>
      <c r="HJ113" s="49"/>
      <c r="HK113" s="49"/>
      <c r="HL113" s="49"/>
      <c r="HM113" s="49"/>
      <c r="HN113" s="49"/>
      <c r="HO113" s="49"/>
      <c r="HP113" s="49"/>
      <c r="HQ113" s="49"/>
      <c r="HR113" s="49"/>
      <c r="HS113" s="49"/>
      <c r="HT113" s="49"/>
      <c r="HU113" s="49"/>
      <c r="HV113" s="49"/>
      <c r="HW113" s="49"/>
      <c r="HX113" s="49"/>
      <c r="HY113" s="49"/>
    </row>
    <row r="114" spans="1:233" ht="16.5" customHeight="1">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79"/>
      <c r="FV114" s="79"/>
      <c r="FW114" s="79"/>
      <c r="FX114" s="79"/>
      <c r="FY114" s="47"/>
      <c r="FZ114" s="49"/>
      <c r="GA114" s="49"/>
      <c r="GB114" s="49"/>
      <c r="GC114" s="49"/>
      <c r="GD114" s="49"/>
      <c r="GE114" s="49"/>
      <c r="GF114" s="49"/>
      <c r="GG114" s="49"/>
      <c r="GH114" s="49"/>
      <c r="GI114" s="49"/>
      <c r="GJ114" s="49"/>
      <c r="GK114" s="49"/>
      <c r="GL114" s="49"/>
      <c r="GM114" s="49"/>
      <c r="GN114" s="49"/>
      <c r="GO114" s="49"/>
      <c r="GP114" s="49"/>
      <c r="GQ114" s="49"/>
      <c r="GR114" s="49"/>
      <c r="GS114" s="49"/>
      <c r="GT114" s="49"/>
      <c r="GU114" s="49"/>
      <c r="GV114" s="49"/>
      <c r="GW114" s="49"/>
      <c r="GX114" s="49"/>
      <c r="GY114" s="49"/>
      <c r="GZ114" s="49"/>
      <c r="HA114" s="49"/>
      <c r="HB114" s="49"/>
      <c r="HC114" s="49"/>
      <c r="HD114" s="49"/>
      <c r="HE114" s="49"/>
      <c r="HF114" s="49"/>
      <c r="HG114" s="49"/>
      <c r="HH114" s="49"/>
      <c r="HI114" s="49"/>
      <c r="HJ114" s="49"/>
      <c r="HK114" s="49"/>
      <c r="HL114" s="49"/>
      <c r="HM114" s="49"/>
      <c r="HN114" s="49"/>
      <c r="HO114" s="49"/>
      <c r="HP114" s="49"/>
      <c r="HQ114" s="49"/>
      <c r="HR114" s="49"/>
      <c r="HS114" s="49"/>
      <c r="HT114" s="49"/>
      <c r="HU114" s="49"/>
      <c r="HV114" s="49"/>
      <c r="HW114" s="49"/>
      <c r="HX114" s="49"/>
      <c r="HY114" s="49"/>
    </row>
    <row r="115" spans="1:233" ht="16.5" customHeight="1">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79"/>
      <c r="FV115" s="79"/>
      <c r="FW115" s="79"/>
      <c r="FX115" s="79"/>
      <c r="FY115" s="47"/>
      <c r="FZ115" s="49"/>
      <c r="GA115" s="49"/>
      <c r="GB115" s="49"/>
      <c r="GC115" s="49"/>
      <c r="GD115" s="49"/>
      <c r="GE115" s="49"/>
      <c r="GF115" s="49"/>
      <c r="GG115" s="49"/>
      <c r="GH115" s="49"/>
      <c r="GI115" s="49"/>
      <c r="GJ115" s="49"/>
      <c r="GK115" s="49"/>
      <c r="GL115" s="49"/>
      <c r="GM115" s="49"/>
      <c r="GN115" s="49"/>
      <c r="GO115" s="49"/>
      <c r="GP115" s="49"/>
      <c r="GQ115" s="49"/>
      <c r="GR115" s="49"/>
      <c r="GS115" s="49"/>
      <c r="GT115" s="49"/>
      <c r="GU115" s="49"/>
      <c r="GV115" s="49"/>
      <c r="GW115" s="49"/>
      <c r="GX115" s="49"/>
      <c r="GY115" s="49"/>
      <c r="GZ115" s="49"/>
      <c r="HA115" s="49"/>
      <c r="HB115" s="49"/>
      <c r="HC115" s="49"/>
      <c r="HD115" s="49"/>
      <c r="HE115" s="49"/>
      <c r="HF115" s="49"/>
      <c r="HG115" s="49"/>
      <c r="HH115" s="49"/>
      <c r="HI115" s="49"/>
      <c r="HJ115" s="49"/>
      <c r="HK115" s="49"/>
      <c r="HL115" s="49"/>
      <c r="HM115" s="49"/>
      <c r="HN115" s="49"/>
      <c r="HO115" s="49"/>
      <c r="HP115" s="49"/>
      <c r="HQ115" s="49"/>
      <c r="HR115" s="49"/>
      <c r="HS115" s="49"/>
      <c r="HT115" s="49"/>
      <c r="HU115" s="49"/>
      <c r="HV115" s="49"/>
      <c r="HW115" s="49"/>
      <c r="HX115" s="49"/>
      <c r="HY115" s="49"/>
    </row>
    <row r="116" spans="1:233" ht="16.5" customHeight="1">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79"/>
      <c r="FV116" s="79"/>
      <c r="FW116" s="79"/>
      <c r="FX116" s="79"/>
      <c r="FY116" s="47"/>
      <c r="FZ116" s="49"/>
      <c r="GA116" s="49"/>
      <c r="GB116" s="49"/>
      <c r="GC116" s="49"/>
      <c r="GD116" s="49"/>
      <c r="GE116" s="49"/>
      <c r="GF116" s="49"/>
      <c r="GG116" s="49"/>
      <c r="GH116" s="49"/>
      <c r="GI116" s="49"/>
      <c r="GJ116" s="49"/>
      <c r="GK116" s="49"/>
      <c r="GL116" s="49"/>
      <c r="GM116" s="49"/>
      <c r="GN116" s="49"/>
      <c r="GO116" s="49"/>
      <c r="GP116" s="49"/>
      <c r="GQ116" s="49"/>
      <c r="GR116" s="49"/>
      <c r="GS116" s="49"/>
      <c r="GT116" s="49"/>
      <c r="GU116" s="49"/>
      <c r="GV116" s="49"/>
      <c r="GW116" s="49"/>
      <c r="GX116" s="49"/>
      <c r="GY116" s="49"/>
      <c r="GZ116" s="49"/>
      <c r="HA116" s="49"/>
      <c r="HB116" s="49"/>
      <c r="HC116" s="49"/>
      <c r="HD116" s="49"/>
      <c r="HE116" s="49"/>
      <c r="HF116" s="49"/>
      <c r="HG116" s="49"/>
      <c r="HH116" s="49"/>
      <c r="HI116" s="49"/>
      <c r="HJ116" s="49"/>
      <c r="HK116" s="49"/>
      <c r="HL116" s="49"/>
      <c r="HM116" s="49"/>
      <c r="HN116" s="49"/>
      <c r="HO116" s="49"/>
      <c r="HP116" s="49"/>
      <c r="HQ116" s="49"/>
      <c r="HR116" s="49"/>
      <c r="HS116" s="49"/>
      <c r="HT116" s="49"/>
      <c r="HU116" s="49"/>
      <c r="HV116" s="49"/>
      <c r="HW116" s="49"/>
      <c r="HX116" s="49"/>
      <c r="HY116" s="49"/>
    </row>
    <row r="117" spans="1:233" ht="16.5" customHeight="1">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79"/>
      <c r="FV117" s="79"/>
      <c r="FW117" s="79"/>
      <c r="FX117" s="79"/>
      <c r="FY117" s="47"/>
      <c r="FZ117" s="49"/>
      <c r="GA117" s="49"/>
      <c r="GB117" s="49"/>
      <c r="GC117" s="49"/>
      <c r="GD117" s="49"/>
      <c r="GE117" s="49"/>
      <c r="GF117" s="49"/>
      <c r="GG117" s="49"/>
      <c r="GH117" s="49"/>
      <c r="GI117" s="49"/>
      <c r="GJ117" s="49"/>
      <c r="GK117" s="49"/>
      <c r="GL117" s="49"/>
      <c r="GM117" s="49"/>
      <c r="GN117" s="49"/>
      <c r="GO117" s="49"/>
      <c r="GP117" s="49"/>
      <c r="GQ117" s="49"/>
      <c r="GR117" s="49"/>
      <c r="GS117" s="49"/>
      <c r="GT117" s="49"/>
      <c r="GU117" s="49"/>
      <c r="GV117" s="49"/>
      <c r="GW117" s="49"/>
      <c r="GX117" s="49"/>
      <c r="GY117" s="49"/>
      <c r="GZ117" s="49"/>
      <c r="HA117" s="49"/>
      <c r="HB117" s="49"/>
      <c r="HC117" s="49"/>
      <c r="HD117" s="49"/>
      <c r="HE117" s="49"/>
      <c r="HF117" s="49"/>
      <c r="HG117" s="49"/>
      <c r="HH117" s="49"/>
      <c r="HI117" s="49"/>
      <c r="HJ117" s="49"/>
      <c r="HK117" s="49"/>
      <c r="HL117" s="49"/>
      <c r="HM117" s="49"/>
      <c r="HN117" s="49"/>
      <c r="HO117" s="49"/>
      <c r="HP117" s="49"/>
      <c r="HQ117" s="49"/>
      <c r="HR117" s="49"/>
      <c r="HS117" s="49"/>
      <c r="HT117" s="49"/>
      <c r="HU117" s="49"/>
      <c r="HV117" s="49"/>
      <c r="HW117" s="49"/>
      <c r="HX117" s="49"/>
      <c r="HY117" s="49"/>
    </row>
    <row r="118" spans="1:233" ht="16.5" customHeight="1">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79"/>
      <c r="FV118" s="79"/>
      <c r="FW118" s="79"/>
      <c r="FX118" s="79"/>
      <c r="FY118" s="47"/>
      <c r="FZ118" s="49"/>
      <c r="GA118" s="49"/>
      <c r="GB118" s="49"/>
      <c r="GC118" s="49"/>
      <c r="GD118" s="49"/>
      <c r="GE118" s="49"/>
      <c r="GF118" s="49"/>
      <c r="GG118" s="49"/>
      <c r="GH118" s="49"/>
      <c r="GI118" s="49"/>
      <c r="GJ118" s="49"/>
      <c r="GK118" s="49"/>
      <c r="GL118" s="49"/>
      <c r="GM118" s="49"/>
      <c r="GN118" s="49"/>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c r="HN118" s="49"/>
      <c r="HO118" s="49"/>
      <c r="HP118" s="49"/>
      <c r="HQ118" s="49"/>
      <c r="HR118" s="49"/>
      <c r="HS118" s="49"/>
      <c r="HT118" s="49"/>
      <c r="HU118" s="49"/>
      <c r="HV118" s="49"/>
      <c r="HW118" s="49"/>
      <c r="HX118" s="49"/>
      <c r="HY118" s="49"/>
    </row>
    <row r="119" spans="1:233" ht="7.5" customHeight="1">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79"/>
      <c r="FV119" s="79"/>
      <c r="FW119" s="79"/>
      <c r="FX119" s="79"/>
      <c r="FY119" s="47"/>
      <c r="FZ119" s="49"/>
      <c r="GA119" s="49"/>
      <c r="GB119" s="49"/>
      <c r="GC119" s="49"/>
      <c r="GD119" s="49"/>
      <c r="GE119" s="49"/>
      <c r="GF119" s="49"/>
      <c r="GG119" s="49"/>
      <c r="GH119" s="49"/>
      <c r="GI119" s="49"/>
      <c r="GJ119" s="49"/>
      <c r="GK119" s="49"/>
      <c r="GL119" s="49"/>
      <c r="GM119" s="49"/>
      <c r="GN119" s="49"/>
      <c r="GO119" s="49"/>
      <c r="GP119" s="49"/>
      <c r="GQ119" s="49"/>
      <c r="GR119" s="49"/>
      <c r="GS119" s="49"/>
      <c r="GT119" s="49"/>
      <c r="GU119" s="49"/>
      <c r="GV119" s="49"/>
      <c r="GW119" s="49"/>
      <c r="GX119" s="49"/>
      <c r="GY119" s="49"/>
      <c r="GZ119" s="49"/>
      <c r="HA119" s="49"/>
      <c r="HB119" s="49"/>
      <c r="HC119" s="49"/>
      <c r="HD119" s="49"/>
      <c r="HE119" s="49"/>
      <c r="HF119" s="49"/>
      <c r="HG119" s="49"/>
      <c r="HH119" s="49"/>
      <c r="HI119" s="49"/>
      <c r="HJ119" s="49"/>
      <c r="HK119" s="49"/>
      <c r="HL119" s="49"/>
      <c r="HM119" s="49"/>
      <c r="HN119" s="49"/>
      <c r="HO119" s="49"/>
      <c r="HP119" s="49"/>
      <c r="HQ119" s="49"/>
      <c r="HR119" s="49"/>
      <c r="HS119" s="49"/>
      <c r="HT119" s="49"/>
      <c r="HU119" s="49"/>
      <c r="HV119" s="49"/>
      <c r="HW119" s="49"/>
      <c r="HX119" s="49"/>
      <c r="HY119" s="49"/>
    </row>
    <row r="120" spans="1:233" ht="3.75" customHeight="1">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79"/>
      <c r="FV120" s="79"/>
      <c r="FW120" s="79"/>
      <c r="FX120" s="79"/>
      <c r="FY120" s="47"/>
      <c r="FZ120" s="49"/>
      <c r="GA120" s="49"/>
      <c r="GB120" s="49"/>
      <c r="GC120" s="49"/>
      <c r="GD120" s="49"/>
      <c r="GE120" s="49"/>
      <c r="GF120" s="49"/>
      <c r="GG120" s="49"/>
      <c r="GH120" s="49"/>
      <c r="GI120" s="49"/>
      <c r="GJ120" s="49"/>
      <c r="GK120" s="49"/>
      <c r="GL120" s="49"/>
      <c r="GM120" s="49"/>
      <c r="GN120" s="49"/>
      <c r="GO120" s="49"/>
      <c r="GP120" s="49"/>
      <c r="GQ120" s="49"/>
      <c r="GR120" s="49"/>
      <c r="GS120" s="49"/>
      <c r="GT120" s="49"/>
      <c r="GU120" s="49"/>
      <c r="GV120" s="49"/>
      <c r="GW120" s="49"/>
      <c r="GX120" s="49"/>
      <c r="GY120" s="49"/>
      <c r="GZ120" s="49"/>
      <c r="HA120" s="49"/>
      <c r="HB120" s="49"/>
      <c r="HC120" s="49"/>
      <c r="HD120" s="49"/>
      <c r="HE120" s="49"/>
      <c r="HF120" s="49"/>
      <c r="HG120" s="49"/>
      <c r="HH120" s="49"/>
      <c r="HI120" s="49"/>
      <c r="HJ120" s="49"/>
      <c r="HK120" s="49"/>
      <c r="HL120" s="49"/>
      <c r="HM120" s="49"/>
      <c r="HN120" s="49"/>
      <c r="HO120" s="49"/>
      <c r="HP120" s="49"/>
      <c r="HQ120" s="49"/>
      <c r="HR120" s="49"/>
      <c r="HS120" s="49"/>
      <c r="HT120" s="49"/>
      <c r="HU120" s="49"/>
      <c r="HV120" s="49"/>
      <c r="HW120" s="49"/>
      <c r="HX120" s="49"/>
      <c r="HY120" s="49"/>
    </row>
    <row r="121" spans="1:233" ht="16.5" customHeight="1">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79"/>
      <c r="FV121" s="79"/>
      <c r="FW121" s="79"/>
      <c r="FX121" s="79"/>
      <c r="FY121" s="47"/>
      <c r="FZ121" s="49"/>
      <c r="GA121" s="49"/>
      <c r="GB121" s="49"/>
      <c r="GC121" s="49"/>
      <c r="GD121" s="49"/>
      <c r="GE121" s="49"/>
      <c r="GF121" s="49"/>
      <c r="GG121" s="49"/>
      <c r="GH121" s="49"/>
      <c r="GI121" s="49"/>
      <c r="GJ121" s="49"/>
      <c r="GK121" s="49"/>
      <c r="GL121" s="49"/>
      <c r="GM121" s="49"/>
      <c r="GN121" s="49"/>
      <c r="GO121" s="49"/>
      <c r="GP121" s="49"/>
      <c r="GQ121" s="49"/>
      <c r="GR121" s="49"/>
      <c r="GS121" s="49"/>
      <c r="GT121" s="49"/>
      <c r="GU121" s="49"/>
      <c r="GV121" s="49"/>
      <c r="GW121" s="49"/>
      <c r="GX121" s="49"/>
      <c r="GY121" s="49"/>
      <c r="GZ121" s="49"/>
      <c r="HA121" s="49"/>
      <c r="HB121" s="49"/>
      <c r="HC121" s="49"/>
      <c r="HD121" s="49"/>
      <c r="HE121" s="49"/>
      <c r="HF121" s="49"/>
      <c r="HG121" s="49"/>
      <c r="HH121" s="49"/>
      <c r="HI121" s="49"/>
      <c r="HJ121" s="49"/>
      <c r="HK121" s="49"/>
      <c r="HL121" s="49"/>
      <c r="HM121" s="49"/>
      <c r="HN121" s="49"/>
      <c r="HO121" s="49"/>
      <c r="HP121" s="49"/>
      <c r="HQ121" s="49"/>
      <c r="HR121" s="49"/>
      <c r="HS121" s="49"/>
      <c r="HT121" s="49"/>
      <c r="HU121" s="49"/>
      <c r="HV121" s="49"/>
      <c r="HW121" s="49"/>
      <c r="HX121" s="49"/>
      <c r="HY121" s="49"/>
    </row>
    <row r="122" spans="1:233" ht="3.75" customHeight="1">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79"/>
      <c r="FV122" s="79"/>
      <c r="FW122" s="79"/>
      <c r="FX122" s="79"/>
      <c r="FY122" s="47"/>
      <c r="FZ122" s="49"/>
      <c r="GA122" s="49"/>
      <c r="GB122" s="49"/>
      <c r="GC122" s="49"/>
      <c r="GD122" s="49"/>
      <c r="GE122" s="49"/>
      <c r="GF122" s="49"/>
      <c r="GG122" s="49"/>
      <c r="GH122" s="49"/>
      <c r="GI122" s="49"/>
      <c r="GJ122" s="49"/>
      <c r="GK122" s="49"/>
      <c r="GL122" s="49"/>
      <c r="GM122" s="49"/>
      <c r="GN122" s="49"/>
      <c r="GO122" s="49"/>
      <c r="GP122" s="49"/>
      <c r="GQ122" s="49"/>
      <c r="GR122" s="49"/>
      <c r="GS122" s="49"/>
      <c r="GT122" s="49"/>
      <c r="GU122" s="49"/>
      <c r="GV122" s="49"/>
      <c r="GW122" s="49"/>
      <c r="GX122" s="49"/>
      <c r="GY122" s="49"/>
      <c r="GZ122" s="49"/>
      <c r="HA122" s="49"/>
      <c r="HB122" s="49"/>
      <c r="HC122" s="49"/>
      <c r="HD122" s="49"/>
      <c r="HE122" s="49"/>
      <c r="HF122" s="49"/>
      <c r="HG122" s="49"/>
      <c r="HH122" s="49"/>
      <c r="HI122" s="49"/>
      <c r="HJ122" s="49"/>
      <c r="HK122" s="49"/>
      <c r="HL122" s="49"/>
      <c r="HM122" s="49"/>
      <c r="HN122" s="49"/>
      <c r="HO122" s="49"/>
      <c r="HP122" s="49"/>
      <c r="HQ122" s="49"/>
      <c r="HR122" s="49"/>
      <c r="HS122" s="49"/>
      <c r="HT122" s="49"/>
      <c r="HU122" s="49"/>
      <c r="HV122" s="49"/>
      <c r="HW122" s="49"/>
      <c r="HX122" s="49"/>
      <c r="HY122" s="49"/>
    </row>
    <row r="123" spans="1:233" ht="15" customHeight="1">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79"/>
      <c r="FV123" s="79"/>
      <c r="FW123" s="79"/>
      <c r="FX123" s="79"/>
      <c r="FY123" s="47"/>
      <c r="FZ123" s="49"/>
      <c r="GA123" s="49"/>
      <c r="GB123" s="49"/>
      <c r="GC123" s="49"/>
      <c r="GD123" s="49"/>
      <c r="GE123" s="49"/>
      <c r="GF123" s="49"/>
      <c r="GG123" s="49"/>
      <c r="GH123" s="49"/>
      <c r="GI123" s="49"/>
      <c r="GJ123" s="49"/>
      <c r="GK123" s="49"/>
      <c r="GL123" s="49"/>
      <c r="GM123" s="49"/>
      <c r="GN123" s="49"/>
      <c r="GO123" s="49"/>
      <c r="GP123" s="49"/>
      <c r="GQ123" s="49"/>
      <c r="GR123" s="49"/>
      <c r="GS123" s="49"/>
      <c r="GT123" s="49"/>
      <c r="GU123" s="49"/>
      <c r="GV123" s="49"/>
      <c r="GW123" s="49"/>
      <c r="GX123" s="49"/>
      <c r="GY123" s="49"/>
      <c r="GZ123" s="49"/>
      <c r="HA123" s="49"/>
      <c r="HB123" s="49"/>
      <c r="HC123" s="49"/>
      <c r="HD123" s="49"/>
      <c r="HE123" s="49"/>
      <c r="HF123" s="49"/>
      <c r="HG123" s="49"/>
      <c r="HH123" s="49"/>
      <c r="HI123" s="49"/>
      <c r="HJ123" s="49"/>
      <c r="HK123" s="49"/>
      <c r="HL123" s="49"/>
      <c r="HM123" s="49"/>
      <c r="HN123" s="49"/>
      <c r="HO123" s="49"/>
      <c r="HP123" s="49"/>
      <c r="HQ123" s="49"/>
      <c r="HR123" s="49"/>
      <c r="HS123" s="49"/>
      <c r="HT123" s="49"/>
      <c r="HU123" s="49"/>
      <c r="HV123" s="49"/>
      <c r="HW123" s="49"/>
      <c r="HX123" s="49"/>
      <c r="HY123" s="49"/>
    </row>
    <row r="124" spans="1:233" ht="16.5" customHeight="1">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79"/>
      <c r="FV124" s="79"/>
      <c r="FW124" s="79"/>
      <c r="FX124" s="79"/>
      <c r="FY124" s="47"/>
      <c r="FZ124" s="49"/>
      <c r="GA124" s="49"/>
      <c r="GB124" s="49"/>
      <c r="GC124" s="49"/>
      <c r="GD124" s="49"/>
      <c r="GE124" s="49"/>
      <c r="GF124" s="49"/>
      <c r="GG124" s="49"/>
      <c r="GH124" s="49"/>
      <c r="GI124" s="49"/>
      <c r="GJ124" s="49"/>
      <c r="GK124" s="49"/>
      <c r="GL124" s="49"/>
      <c r="GM124" s="49"/>
      <c r="GN124" s="49"/>
      <c r="GO124" s="49"/>
      <c r="GP124" s="49"/>
      <c r="GQ124" s="49"/>
      <c r="GR124" s="49"/>
      <c r="GS124" s="49"/>
      <c r="GT124" s="49"/>
      <c r="GU124" s="49"/>
      <c r="GV124" s="49"/>
      <c r="GW124" s="49"/>
      <c r="GX124" s="49"/>
      <c r="GY124" s="49"/>
      <c r="GZ124" s="49"/>
      <c r="HA124" s="49"/>
      <c r="HB124" s="49"/>
      <c r="HC124" s="49"/>
      <c r="HD124" s="49"/>
      <c r="HE124" s="49"/>
      <c r="HF124" s="49"/>
      <c r="HG124" s="49"/>
      <c r="HH124" s="49"/>
      <c r="HI124" s="49"/>
      <c r="HJ124" s="49"/>
      <c r="HK124" s="49"/>
      <c r="HL124" s="49"/>
      <c r="HM124" s="49"/>
      <c r="HN124" s="49"/>
      <c r="HO124" s="49"/>
      <c r="HP124" s="49"/>
      <c r="HQ124" s="49"/>
      <c r="HR124" s="49"/>
      <c r="HS124" s="49"/>
      <c r="HT124" s="49"/>
      <c r="HU124" s="49"/>
      <c r="HV124" s="49"/>
      <c r="HW124" s="49"/>
      <c r="HX124" s="49"/>
      <c r="HY124" s="49"/>
    </row>
    <row r="125" spans="1:233" ht="16.5" customHeight="1">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79"/>
      <c r="FV125" s="79"/>
      <c r="FW125" s="79"/>
      <c r="FX125" s="79"/>
      <c r="FY125" s="47"/>
      <c r="FZ125" s="49"/>
      <c r="GA125" s="49"/>
      <c r="GB125" s="49"/>
      <c r="GC125" s="49"/>
      <c r="GD125" s="49"/>
      <c r="GE125" s="49"/>
      <c r="GF125" s="49"/>
      <c r="GG125" s="49"/>
      <c r="GH125" s="49"/>
      <c r="GI125" s="49"/>
      <c r="GJ125" s="49"/>
      <c r="GK125" s="49"/>
      <c r="GL125" s="49"/>
      <c r="GM125" s="49"/>
      <c r="GN125" s="49"/>
      <c r="GO125" s="49"/>
      <c r="GP125" s="49"/>
      <c r="GQ125" s="49"/>
      <c r="GR125" s="49"/>
      <c r="GS125" s="49"/>
      <c r="GT125" s="49"/>
      <c r="GU125" s="49"/>
      <c r="GV125" s="49"/>
      <c r="GW125" s="49"/>
      <c r="GX125" s="49"/>
      <c r="GY125" s="49"/>
      <c r="GZ125" s="49"/>
      <c r="HA125" s="49"/>
      <c r="HB125" s="49"/>
      <c r="HC125" s="49"/>
      <c r="HD125" s="49"/>
      <c r="HE125" s="49"/>
      <c r="HF125" s="49"/>
      <c r="HG125" s="49"/>
      <c r="HH125" s="49"/>
      <c r="HI125" s="49"/>
      <c r="HJ125" s="49"/>
      <c r="HK125" s="49"/>
      <c r="HL125" s="49"/>
      <c r="HM125" s="49"/>
      <c r="HN125" s="49"/>
      <c r="HO125" s="49"/>
      <c r="HP125" s="49"/>
      <c r="HQ125" s="49"/>
      <c r="HR125" s="49"/>
      <c r="HS125" s="49"/>
      <c r="HT125" s="49"/>
      <c r="HU125" s="49"/>
      <c r="HV125" s="49"/>
      <c r="HW125" s="49"/>
      <c r="HX125" s="49"/>
      <c r="HY125" s="49"/>
    </row>
    <row r="126" spans="1:233" ht="16.5" customHeight="1">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9"/>
      <c r="GA126" s="49"/>
      <c r="GB126" s="49"/>
      <c r="GC126" s="49"/>
      <c r="GD126" s="49"/>
      <c r="GE126" s="49"/>
      <c r="GF126" s="49"/>
      <c r="GG126" s="49"/>
      <c r="GH126" s="49"/>
      <c r="GI126" s="49"/>
      <c r="GJ126" s="49"/>
      <c r="GK126" s="49"/>
      <c r="GL126" s="49"/>
      <c r="GM126" s="49"/>
      <c r="GN126" s="49"/>
      <c r="GO126" s="49"/>
      <c r="GP126" s="49"/>
      <c r="GQ126" s="49"/>
      <c r="GR126" s="49"/>
      <c r="GS126" s="49"/>
      <c r="GT126" s="49"/>
      <c r="GU126" s="49"/>
      <c r="GV126" s="49"/>
      <c r="GW126" s="49"/>
      <c r="GX126" s="49"/>
      <c r="GY126" s="49"/>
      <c r="GZ126" s="49"/>
      <c r="HA126" s="49"/>
      <c r="HB126" s="49"/>
      <c r="HC126" s="49"/>
      <c r="HD126" s="49"/>
      <c r="HE126" s="49"/>
      <c r="HF126" s="49"/>
      <c r="HG126" s="49"/>
      <c r="HH126" s="49"/>
      <c r="HI126" s="49"/>
      <c r="HJ126" s="49"/>
      <c r="HK126" s="49"/>
      <c r="HL126" s="49"/>
      <c r="HM126" s="49"/>
      <c r="HN126" s="49"/>
      <c r="HO126" s="49"/>
      <c r="HP126" s="49"/>
      <c r="HQ126" s="49"/>
      <c r="HR126" s="49"/>
      <c r="HS126" s="49"/>
      <c r="HT126" s="49"/>
      <c r="HU126" s="49"/>
      <c r="HV126" s="49"/>
      <c r="HW126" s="49"/>
      <c r="HX126" s="49"/>
      <c r="HY126" s="49"/>
    </row>
    <row r="127" spans="1:233" ht="16.5" customHeight="1">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9"/>
      <c r="GA127" s="49"/>
      <c r="GB127" s="49"/>
      <c r="GC127" s="49"/>
      <c r="GD127" s="49"/>
      <c r="GE127" s="49"/>
      <c r="GF127" s="49"/>
      <c r="GG127" s="49"/>
      <c r="GH127" s="49"/>
      <c r="GI127" s="49"/>
      <c r="GJ127" s="49"/>
      <c r="GK127" s="49"/>
      <c r="GL127" s="49"/>
      <c r="GM127" s="49"/>
      <c r="GN127" s="49"/>
      <c r="GO127" s="49"/>
      <c r="GP127" s="49"/>
      <c r="GQ127" s="49"/>
      <c r="GR127" s="49"/>
      <c r="GS127" s="49"/>
      <c r="GT127" s="49"/>
      <c r="GU127" s="49"/>
      <c r="GV127" s="49"/>
      <c r="GW127" s="49"/>
      <c r="GX127" s="49"/>
      <c r="GY127" s="49"/>
      <c r="GZ127" s="49"/>
      <c r="HA127" s="49"/>
      <c r="HB127" s="49"/>
      <c r="HC127" s="49"/>
      <c r="HD127" s="49"/>
      <c r="HE127" s="49"/>
      <c r="HF127" s="49"/>
      <c r="HG127" s="49"/>
      <c r="HH127" s="49"/>
      <c r="HI127" s="49"/>
      <c r="HJ127" s="49"/>
      <c r="HK127" s="49"/>
      <c r="HL127" s="49"/>
      <c r="HM127" s="49"/>
      <c r="HN127" s="49"/>
      <c r="HO127" s="49"/>
      <c r="HP127" s="49"/>
      <c r="HQ127" s="49"/>
      <c r="HR127" s="49"/>
      <c r="HS127" s="49"/>
      <c r="HT127" s="49"/>
      <c r="HU127" s="49"/>
      <c r="HV127" s="49"/>
      <c r="HW127" s="49"/>
      <c r="HX127" s="49"/>
      <c r="HY127" s="49"/>
    </row>
    <row r="128" spans="1:233" ht="12.75" customHeight="1">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9"/>
      <c r="GA128" s="49"/>
      <c r="GB128" s="49"/>
      <c r="GC128" s="49"/>
      <c r="GD128" s="49"/>
      <c r="GE128" s="49"/>
      <c r="GF128" s="49"/>
      <c r="GG128" s="49"/>
      <c r="GH128" s="49"/>
      <c r="GI128" s="49"/>
      <c r="GJ128" s="49"/>
      <c r="GK128" s="49"/>
      <c r="GL128" s="49"/>
      <c r="GM128" s="49"/>
      <c r="GN128" s="49"/>
      <c r="GO128" s="49"/>
      <c r="GP128" s="49"/>
      <c r="GQ128" s="49"/>
      <c r="GR128" s="49"/>
      <c r="GS128" s="49"/>
      <c r="GT128" s="49"/>
      <c r="GU128" s="49"/>
      <c r="GV128" s="49"/>
      <c r="GW128" s="49"/>
      <c r="GX128" s="49"/>
      <c r="GY128" s="49"/>
      <c r="GZ128" s="49"/>
      <c r="HA128" s="49"/>
      <c r="HB128" s="49"/>
      <c r="HC128" s="49"/>
      <c r="HD128" s="49"/>
      <c r="HE128" s="49"/>
      <c r="HF128" s="49"/>
      <c r="HG128" s="49"/>
      <c r="HH128" s="49"/>
      <c r="HI128" s="49"/>
      <c r="HJ128" s="49"/>
      <c r="HK128" s="49"/>
      <c r="HL128" s="49"/>
      <c r="HM128" s="49"/>
      <c r="HN128" s="49"/>
      <c r="HO128" s="49"/>
      <c r="HP128" s="49"/>
      <c r="HQ128" s="49"/>
      <c r="HR128" s="49"/>
      <c r="HS128" s="49"/>
      <c r="HT128" s="49"/>
      <c r="HU128" s="49"/>
      <c r="HV128" s="49"/>
      <c r="HW128" s="49"/>
      <c r="HX128" s="49"/>
      <c r="HY128" s="49"/>
    </row>
    <row r="129" spans="1:233" ht="12.75" customHeight="1">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9"/>
      <c r="GA129" s="49"/>
      <c r="GB129" s="49"/>
      <c r="GC129" s="49"/>
      <c r="GD129" s="49"/>
      <c r="GE129" s="49"/>
      <c r="GF129" s="49"/>
      <c r="GG129" s="49"/>
      <c r="GH129" s="49"/>
      <c r="GI129" s="49"/>
      <c r="GJ129" s="49"/>
      <c r="GK129" s="49"/>
      <c r="GL129" s="49"/>
      <c r="GM129" s="49"/>
      <c r="GN129" s="49"/>
      <c r="GO129" s="49"/>
      <c r="GP129" s="49"/>
      <c r="GQ129" s="49"/>
      <c r="GR129" s="49"/>
      <c r="GS129" s="49"/>
      <c r="GT129" s="49"/>
      <c r="GU129" s="49"/>
      <c r="GV129" s="49"/>
      <c r="GW129" s="49"/>
      <c r="GX129" s="49"/>
      <c r="GY129" s="49"/>
      <c r="GZ129" s="49"/>
      <c r="HA129" s="49"/>
      <c r="HB129" s="49"/>
      <c r="HC129" s="49"/>
      <c r="HD129" s="49"/>
      <c r="HE129" s="49"/>
      <c r="HF129" s="49"/>
      <c r="HG129" s="49"/>
      <c r="HH129" s="49"/>
      <c r="HI129" s="49"/>
      <c r="HJ129" s="49"/>
      <c r="HK129" s="49"/>
      <c r="HL129" s="49"/>
      <c r="HM129" s="49"/>
      <c r="HN129" s="49"/>
      <c r="HO129" s="49"/>
      <c r="HP129" s="49"/>
      <c r="HQ129" s="49"/>
      <c r="HR129" s="49"/>
      <c r="HS129" s="49"/>
      <c r="HT129" s="49"/>
      <c r="HU129" s="49"/>
      <c r="HV129" s="49"/>
      <c r="HW129" s="49"/>
      <c r="HX129" s="49"/>
      <c r="HY129" s="49"/>
    </row>
    <row r="130" spans="1:233" ht="12.75" customHeight="1">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9"/>
      <c r="GA130" s="49"/>
      <c r="GB130" s="49"/>
      <c r="GC130" s="49"/>
      <c r="GD130" s="49"/>
      <c r="GE130" s="49"/>
      <c r="GF130" s="49"/>
      <c r="GG130" s="49"/>
      <c r="GH130" s="49"/>
      <c r="GI130" s="49"/>
      <c r="GJ130" s="49"/>
      <c r="GK130" s="49"/>
      <c r="GL130" s="49"/>
      <c r="GM130" s="49"/>
      <c r="GN130" s="49"/>
      <c r="GO130" s="49"/>
      <c r="GP130" s="49"/>
      <c r="GQ130" s="49"/>
      <c r="GR130" s="49"/>
      <c r="GS130" s="49"/>
      <c r="GT130" s="49"/>
      <c r="GU130" s="49"/>
      <c r="GV130" s="49"/>
      <c r="GW130" s="49"/>
      <c r="GX130" s="49"/>
      <c r="GY130" s="49"/>
      <c r="GZ130" s="49"/>
      <c r="HA130" s="49"/>
      <c r="HB130" s="49"/>
      <c r="HC130" s="49"/>
      <c r="HD130" s="49"/>
      <c r="HE130" s="49"/>
      <c r="HF130" s="49"/>
      <c r="HG130" s="49"/>
      <c r="HH130" s="49"/>
      <c r="HI130" s="49"/>
      <c r="HJ130" s="49"/>
      <c r="HK130" s="49"/>
      <c r="HL130" s="49"/>
      <c r="HM130" s="49"/>
      <c r="HN130" s="49"/>
      <c r="HO130" s="49"/>
      <c r="HP130" s="49"/>
      <c r="HQ130" s="49"/>
      <c r="HR130" s="49"/>
      <c r="HS130" s="49"/>
      <c r="HT130" s="49"/>
      <c r="HU130" s="49"/>
      <c r="HV130" s="49"/>
      <c r="HW130" s="49"/>
      <c r="HX130" s="49"/>
      <c r="HY130" s="49"/>
    </row>
    <row r="131" spans="1:233" ht="12.75" customHeight="1">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9"/>
      <c r="GA131" s="49"/>
      <c r="GB131" s="49"/>
      <c r="GC131" s="49"/>
      <c r="GD131" s="49"/>
      <c r="GE131" s="49"/>
      <c r="GF131" s="49"/>
      <c r="GG131" s="49"/>
      <c r="GH131" s="49"/>
      <c r="GI131" s="49"/>
      <c r="GJ131" s="49"/>
      <c r="GK131" s="49"/>
      <c r="GL131" s="49"/>
      <c r="GM131" s="49"/>
      <c r="GN131" s="49"/>
      <c r="GO131" s="49"/>
      <c r="GP131" s="49"/>
      <c r="GQ131" s="49"/>
      <c r="GR131" s="49"/>
      <c r="GS131" s="49"/>
      <c r="GT131" s="49"/>
      <c r="GU131" s="49"/>
      <c r="GV131" s="49"/>
      <c r="GW131" s="49"/>
      <c r="GX131" s="49"/>
      <c r="GY131" s="49"/>
      <c r="GZ131" s="49"/>
      <c r="HA131" s="49"/>
      <c r="HB131" s="49"/>
      <c r="HC131" s="49"/>
      <c r="HD131" s="49"/>
      <c r="HE131" s="49"/>
      <c r="HF131" s="49"/>
      <c r="HG131" s="49"/>
      <c r="HH131" s="49"/>
      <c r="HI131" s="49"/>
      <c r="HJ131" s="49"/>
      <c r="HK131" s="49"/>
      <c r="HL131" s="49"/>
      <c r="HM131" s="49"/>
      <c r="HN131" s="49"/>
      <c r="HO131" s="49"/>
      <c r="HP131" s="49"/>
      <c r="HQ131" s="49"/>
      <c r="HR131" s="49"/>
      <c r="HS131" s="49"/>
      <c r="HT131" s="49"/>
      <c r="HU131" s="49"/>
      <c r="HV131" s="49"/>
      <c r="HW131" s="49"/>
      <c r="HX131" s="49"/>
      <c r="HY131" s="49"/>
    </row>
    <row r="132" spans="1:233" ht="12.75" customHeight="1">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9"/>
      <c r="GA132" s="49"/>
      <c r="GB132" s="49"/>
      <c r="GC132" s="49"/>
      <c r="GD132" s="49"/>
      <c r="GE132" s="49"/>
      <c r="GF132" s="49"/>
      <c r="GG132" s="49"/>
      <c r="GH132" s="49"/>
      <c r="GI132" s="49"/>
      <c r="GJ132" s="49"/>
      <c r="GK132" s="49"/>
      <c r="GL132" s="49"/>
      <c r="GM132" s="49"/>
      <c r="GN132" s="49"/>
      <c r="GO132" s="49"/>
      <c r="GP132" s="49"/>
      <c r="GQ132" s="49"/>
      <c r="GR132" s="49"/>
      <c r="GS132" s="49"/>
      <c r="GT132" s="49"/>
      <c r="GU132" s="49"/>
      <c r="GV132" s="49"/>
      <c r="GW132" s="49"/>
      <c r="GX132" s="49"/>
      <c r="GY132" s="49"/>
      <c r="GZ132" s="49"/>
      <c r="HA132" s="49"/>
      <c r="HB132" s="49"/>
      <c r="HC132" s="49"/>
      <c r="HD132" s="49"/>
      <c r="HE132" s="49"/>
      <c r="HF132" s="49"/>
      <c r="HG132" s="49"/>
      <c r="HH132" s="49"/>
      <c r="HI132" s="49"/>
      <c r="HJ132" s="49"/>
      <c r="HK132" s="49"/>
      <c r="HL132" s="49"/>
      <c r="HM132" s="49"/>
      <c r="HN132" s="49"/>
      <c r="HO132" s="49"/>
      <c r="HP132" s="49"/>
      <c r="HQ132" s="49"/>
      <c r="HR132" s="49"/>
      <c r="HS132" s="49"/>
      <c r="HT132" s="49"/>
      <c r="HU132" s="49"/>
      <c r="HV132" s="49"/>
      <c r="HW132" s="49"/>
      <c r="HX132" s="49"/>
      <c r="HY132" s="49"/>
    </row>
    <row r="133" spans="1:233" ht="12.75" customHeight="1">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9"/>
      <c r="GA133" s="49"/>
      <c r="GB133" s="49"/>
      <c r="GC133" s="49"/>
      <c r="GD133" s="49"/>
      <c r="GE133" s="49"/>
      <c r="GF133" s="49"/>
      <c r="GG133" s="49"/>
      <c r="GH133" s="49"/>
      <c r="GI133" s="49"/>
      <c r="GJ133" s="49"/>
      <c r="GK133" s="49"/>
      <c r="GL133" s="49"/>
      <c r="GM133" s="49"/>
      <c r="GN133" s="49"/>
      <c r="GO133" s="49"/>
      <c r="GP133" s="49"/>
      <c r="GQ133" s="49"/>
      <c r="GR133" s="49"/>
      <c r="GS133" s="49"/>
      <c r="GT133" s="49"/>
      <c r="GU133" s="49"/>
      <c r="GV133" s="49"/>
      <c r="GW133" s="49"/>
      <c r="GX133" s="49"/>
      <c r="GY133" s="49"/>
      <c r="GZ133" s="49"/>
      <c r="HA133" s="49"/>
      <c r="HB133" s="49"/>
      <c r="HC133" s="49"/>
      <c r="HD133" s="49"/>
      <c r="HE133" s="49"/>
      <c r="HF133" s="49"/>
      <c r="HG133" s="49"/>
      <c r="HH133" s="49"/>
      <c r="HI133" s="49"/>
      <c r="HJ133" s="49"/>
      <c r="HK133" s="49"/>
      <c r="HL133" s="49"/>
      <c r="HM133" s="49"/>
      <c r="HN133" s="49"/>
      <c r="HO133" s="49"/>
      <c r="HP133" s="49"/>
      <c r="HQ133" s="49"/>
      <c r="HR133" s="49"/>
      <c r="HS133" s="49"/>
      <c r="HT133" s="49"/>
      <c r="HU133" s="49"/>
      <c r="HV133" s="49"/>
      <c r="HW133" s="49"/>
      <c r="HX133" s="49"/>
      <c r="HY133" s="49"/>
    </row>
    <row r="134" spans="1:233" ht="12.75" customHeight="1">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9"/>
      <c r="GA134" s="49"/>
      <c r="GB134" s="49"/>
      <c r="GC134" s="49"/>
      <c r="GD134" s="49"/>
      <c r="GE134" s="49"/>
      <c r="GF134" s="49"/>
      <c r="GG134" s="49"/>
      <c r="GH134" s="49"/>
      <c r="GI134" s="49"/>
      <c r="GJ134" s="49"/>
      <c r="GK134" s="49"/>
      <c r="GL134" s="49"/>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c r="HO134" s="49"/>
      <c r="HP134" s="49"/>
      <c r="HQ134" s="49"/>
      <c r="HR134" s="49"/>
      <c r="HS134" s="49"/>
      <c r="HT134" s="49"/>
      <c r="HU134" s="49"/>
      <c r="HV134" s="49"/>
      <c r="HW134" s="49"/>
      <c r="HX134" s="49"/>
      <c r="HY134" s="49"/>
    </row>
    <row r="135" spans="1:233" ht="22.8">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9"/>
      <c r="GA135" s="49"/>
      <c r="GB135" s="49"/>
      <c r="GC135" s="49"/>
      <c r="GD135" s="49"/>
      <c r="GE135" s="49"/>
      <c r="GF135" s="49"/>
      <c r="GG135" s="49"/>
      <c r="GH135" s="49"/>
      <c r="GI135" s="49"/>
      <c r="GJ135" s="49"/>
      <c r="GK135" s="49"/>
      <c r="GL135" s="49"/>
      <c r="GM135" s="49"/>
      <c r="GN135" s="49"/>
      <c r="GO135" s="49"/>
      <c r="GP135" s="49"/>
      <c r="GQ135" s="49"/>
      <c r="GR135" s="49"/>
      <c r="GS135" s="49"/>
      <c r="GT135" s="49"/>
      <c r="GU135" s="49"/>
      <c r="GV135" s="49"/>
      <c r="GW135" s="49"/>
      <c r="GX135" s="49"/>
      <c r="GY135" s="49"/>
      <c r="GZ135" s="49"/>
      <c r="HA135" s="49"/>
      <c r="HB135" s="49"/>
      <c r="HC135" s="49"/>
      <c r="HD135" s="49"/>
      <c r="HE135" s="49"/>
      <c r="HF135" s="49"/>
      <c r="HG135" s="49"/>
      <c r="HH135" s="49"/>
      <c r="HI135" s="49"/>
      <c r="HJ135" s="49"/>
      <c r="HK135" s="49"/>
      <c r="HL135" s="49"/>
      <c r="HM135" s="49"/>
      <c r="HN135" s="49"/>
      <c r="HO135" s="49"/>
      <c r="HP135" s="49"/>
      <c r="HQ135" s="49"/>
      <c r="HR135" s="49"/>
      <c r="HS135" s="49"/>
      <c r="HT135" s="49"/>
      <c r="HU135" s="49"/>
      <c r="HV135" s="49"/>
      <c r="HW135" s="49"/>
      <c r="HX135" s="49"/>
      <c r="HY135" s="49"/>
    </row>
    <row r="136" spans="1:233" ht="22.8">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47"/>
      <c r="FN136" s="47"/>
      <c r="FO136" s="47"/>
      <c r="FP136" s="47"/>
      <c r="FQ136" s="47"/>
      <c r="FR136" s="47"/>
      <c r="FS136" s="47"/>
      <c r="FT136" s="47"/>
      <c r="FU136" s="47"/>
      <c r="FV136" s="47"/>
      <c r="FW136" s="47"/>
      <c r="FX136" s="47"/>
      <c r="FY136" s="47"/>
      <c r="FZ136" s="49"/>
      <c r="GA136" s="49"/>
      <c r="GB136" s="49"/>
      <c r="GC136" s="49"/>
      <c r="GD136" s="49"/>
      <c r="GE136" s="49"/>
      <c r="GF136" s="49"/>
      <c r="GG136" s="49"/>
      <c r="GH136" s="49"/>
      <c r="GI136" s="49"/>
      <c r="GJ136" s="49"/>
      <c r="GK136" s="49"/>
      <c r="GL136" s="49"/>
      <c r="GM136" s="49"/>
      <c r="GN136" s="49"/>
      <c r="GO136" s="49"/>
      <c r="GP136" s="49"/>
      <c r="GQ136" s="49"/>
      <c r="GR136" s="49"/>
      <c r="GS136" s="49"/>
      <c r="GT136" s="49"/>
      <c r="GU136" s="49"/>
      <c r="GV136" s="49"/>
      <c r="GW136" s="49"/>
      <c r="GX136" s="49"/>
      <c r="GY136" s="49"/>
      <c r="GZ136" s="49"/>
      <c r="HA136" s="49"/>
      <c r="HB136" s="49"/>
      <c r="HC136" s="49"/>
      <c r="HD136" s="49"/>
      <c r="HE136" s="49"/>
      <c r="HF136" s="49"/>
      <c r="HG136" s="49"/>
      <c r="HH136" s="49"/>
      <c r="HI136" s="49"/>
      <c r="HJ136" s="49"/>
      <c r="HK136" s="49"/>
      <c r="HL136" s="49"/>
      <c r="HM136" s="49"/>
      <c r="HN136" s="49"/>
      <c r="HO136" s="49"/>
      <c r="HP136" s="49"/>
      <c r="HQ136" s="49"/>
      <c r="HR136" s="49"/>
      <c r="HS136" s="49"/>
      <c r="HT136" s="49"/>
      <c r="HU136" s="49"/>
      <c r="HV136" s="49"/>
      <c r="HW136" s="49"/>
      <c r="HX136" s="49"/>
      <c r="HY136" s="49"/>
    </row>
    <row r="137" spans="1:233" ht="22.8">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47"/>
      <c r="FN137" s="47"/>
      <c r="FO137" s="47"/>
      <c r="FP137" s="47"/>
      <c r="FQ137" s="47"/>
      <c r="FR137" s="47"/>
      <c r="FS137" s="47"/>
      <c r="FT137" s="47"/>
      <c r="FU137" s="47"/>
      <c r="FV137" s="47"/>
      <c r="FW137" s="47"/>
      <c r="FX137" s="47"/>
      <c r="FY137" s="47"/>
      <c r="FZ137" s="49"/>
      <c r="GA137" s="49"/>
      <c r="GB137" s="49"/>
      <c r="GC137" s="49"/>
      <c r="GD137" s="49"/>
      <c r="GE137" s="49"/>
      <c r="GF137" s="49"/>
      <c r="GG137" s="49"/>
      <c r="GH137" s="49"/>
      <c r="GI137" s="49"/>
      <c r="GJ137" s="49"/>
      <c r="GK137" s="49"/>
      <c r="GL137" s="49"/>
      <c r="GM137" s="49"/>
      <c r="GN137" s="49"/>
      <c r="GO137" s="49"/>
      <c r="GP137" s="49"/>
      <c r="GQ137" s="49"/>
      <c r="GR137" s="49"/>
      <c r="GS137" s="49"/>
      <c r="GT137" s="49"/>
      <c r="GU137" s="49"/>
      <c r="GV137" s="49"/>
      <c r="GW137" s="49"/>
      <c r="GX137" s="49"/>
      <c r="GY137" s="49"/>
      <c r="GZ137" s="49"/>
      <c r="HA137" s="49"/>
      <c r="HB137" s="49"/>
      <c r="HC137" s="49"/>
      <c r="HD137" s="49"/>
      <c r="HE137" s="49"/>
      <c r="HF137" s="49"/>
      <c r="HG137" s="49"/>
      <c r="HH137" s="49"/>
      <c r="HI137" s="49"/>
      <c r="HJ137" s="49"/>
      <c r="HK137" s="49"/>
      <c r="HL137" s="49"/>
      <c r="HM137" s="49"/>
      <c r="HN137" s="49"/>
      <c r="HO137" s="49"/>
      <c r="HP137" s="49"/>
      <c r="HQ137" s="49"/>
      <c r="HR137" s="49"/>
      <c r="HS137" s="49"/>
      <c r="HT137" s="49"/>
      <c r="HU137" s="49"/>
      <c r="HV137" s="49"/>
      <c r="HW137" s="49"/>
      <c r="HX137" s="49"/>
      <c r="HY137" s="49"/>
    </row>
    <row r="138" spans="1:233" ht="22.8">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47"/>
      <c r="FN138" s="47"/>
      <c r="FO138" s="47"/>
      <c r="FP138" s="47"/>
      <c r="FQ138" s="47"/>
      <c r="FR138" s="47"/>
      <c r="FS138" s="47"/>
      <c r="FT138" s="47"/>
      <c r="FU138" s="47"/>
      <c r="FV138" s="47"/>
      <c r="FW138" s="47"/>
      <c r="FX138" s="47"/>
      <c r="FY138" s="47"/>
      <c r="FZ138" s="49"/>
      <c r="GA138" s="49"/>
      <c r="GB138" s="49"/>
      <c r="GC138" s="49"/>
      <c r="GD138" s="49"/>
      <c r="GE138" s="49"/>
      <c r="GF138" s="49"/>
      <c r="GG138" s="49"/>
      <c r="GH138" s="49"/>
      <c r="GI138" s="49"/>
      <c r="GJ138" s="49"/>
      <c r="GK138" s="49"/>
      <c r="GL138" s="49"/>
      <c r="GM138" s="49"/>
      <c r="GN138" s="49"/>
      <c r="GO138" s="49"/>
      <c r="GP138" s="49"/>
      <c r="GQ138" s="49"/>
      <c r="GR138" s="49"/>
      <c r="GS138" s="49"/>
      <c r="GT138" s="49"/>
      <c r="GU138" s="49"/>
      <c r="GV138" s="49"/>
      <c r="GW138" s="49"/>
      <c r="GX138" s="49"/>
      <c r="GY138" s="49"/>
      <c r="GZ138" s="49"/>
      <c r="HA138" s="49"/>
      <c r="HB138" s="49"/>
      <c r="HC138" s="49"/>
      <c r="HD138" s="49"/>
      <c r="HE138" s="49"/>
      <c r="HF138" s="49"/>
      <c r="HG138" s="49"/>
      <c r="HH138" s="49"/>
      <c r="HI138" s="49"/>
      <c r="HJ138" s="49"/>
      <c r="HK138" s="49"/>
      <c r="HL138" s="49"/>
      <c r="HM138" s="49"/>
      <c r="HN138" s="49"/>
      <c r="HO138" s="49"/>
      <c r="HP138" s="49"/>
      <c r="HQ138" s="49"/>
      <c r="HR138" s="49"/>
      <c r="HS138" s="49"/>
      <c r="HT138" s="49"/>
      <c r="HU138" s="49"/>
      <c r="HV138" s="49"/>
      <c r="HW138" s="49"/>
      <c r="HX138" s="49"/>
      <c r="HY138" s="49"/>
    </row>
    <row r="139" spans="1:233" ht="22.8">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47"/>
      <c r="FN139" s="47"/>
      <c r="FO139" s="47"/>
      <c r="FP139" s="47"/>
      <c r="FQ139" s="47"/>
      <c r="FR139" s="47"/>
      <c r="FS139" s="47"/>
      <c r="FT139" s="47"/>
      <c r="FU139" s="47"/>
      <c r="FV139" s="47"/>
      <c r="FW139" s="47"/>
      <c r="FX139" s="47"/>
      <c r="FY139" s="47"/>
      <c r="FZ139" s="49"/>
      <c r="GA139" s="49"/>
      <c r="GB139" s="49"/>
      <c r="GC139" s="49"/>
      <c r="GD139" s="49"/>
      <c r="GE139" s="49"/>
      <c r="GF139" s="49"/>
      <c r="GG139" s="49"/>
      <c r="GH139" s="49"/>
      <c r="GI139" s="49"/>
      <c r="GJ139" s="49"/>
      <c r="GK139" s="49"/>
      <c r="GL139" s="49"/>
      <c r="GM139" s="49"/>
      <c r="GN139" s="49"/>
      <c r="GO139" s="49"/>
      <c r="GP139" s="49"/>
      <c r="GQ139" s="49"/>
      <c r="GR139" s="49"/>
      <c r="GS139" s="49"/>
      <c r="GT139" s="49"/>
      <c r="GU139" s="49"/>
      <c r="GV139" s="49"/>
      <c r="GW139" s="49"/>
      <c r="GX139" s="49"/>
      <c r="GY139" s="49"/>
      <c r="GZ139" s="49"/>
      <c r="HA139" s="49"/>
      <c r="HB139" s="49"/>
      <c r="HC139" s="49"/>
      <c r="HD139" s="49"/>
      <c r="HE139" s="49"/>
      <c r="HF139" s="49"/>
      <c r="HG139" s="49"/>
      <c r="HH139" s="49"/>
      <c r="HI139" s="49"/>
      <c r="HJ139" s="49"/>
      <c r="HK139" s="49"/>
      <c r="HL139" s="49"/>
      <c r="HM139" s="49"/>
      <c r="HN139" s="49"/>
      <c r="HO139" s="49"/>
      <c r="HP139" s="49"/>
      <c r="HQ139" s="49"/>
      <c r="HR139" s="49"/>
      <c r="HS139" s="49"/>
      <c r="HT139" s="49"/>
      <c r="HU139" s="49"/>
      <c r="HV139" s="49"/>
      <c r="HW139" s="49"/>
      <c r="HX139" s="49"/>
      <c r="HY139" s="49"/>
    </row>
    <row r="140" spans="1:233" ht="22.8">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47"/>
      <c r="FN140" s="47"/>
      <c r="FO140" s="47"/>
      <c r="FP140" s="47"/>
      <c r="FQ140" s="47"/>
      <c r="FR140" s="47"/>
      <c r="FS140" s="47"/>
      <c r="FT140" s="47"/>
      <c r="FU140" s="47"/>
      <c r="FV140" s="47"/>
      <c r="FW140" s="47"/>
      <c r="FX140" s="47"/>
      <c r="FY140" s="47"/>
      <c r="FZ140" s="49"/>
      <c r="GA140" s="49"/>
      <c r="GB140" s="49"/>
      <c r="GC140" s="49"/>
      <c r="GD140" s="49"/>
      <c r="GE140" s="49"/>
      <c r="GF140" s="49"/>
      <c r="GG140" s="49"/>
      <c r="GH140" s="49"/>
      <c r="GI140" s="49"/>
      <c r="GJ140" s="49"/>
      <c r="GK140" s="49"/>
      <c r="GL140" s="49"/>
      <c r="GM140" s="49"/>
      <c r="GN140" s="49"/>
      <c r="GO140" s="49"/>
      <c r="GP140" s="49"/>
      <c r="GQ140" s="49"/>
      <c r="GR140" s="49"/>
      <c r="GS140" s="49"/>
      <c r="GT140" s="49"/>
      <c r="GU140" s="49"/>
      <c r="GV140" s="49"/>
      <c r="GW140" s="49"/>
      <c r="GX140" s="49"/>
      <c r="GY140" s="49"/>
      <c r="GZ140" s="49"/>
      <c r="HA140" s="49"/>
      <c r="HB140" s="49"/>
      <c r="HC140" s="49"/>
      <c r="HD140" s="49"/>
      <c r="HE140" s="49"/>
      <c r="HF140" s="49"/>
      <c r="HG140" s="49"/>
      <c r="HH140" s="49"/>
      <c r="HI140" s="49"/>
      <c r="HJ140" s="49"/>
      <c r="HK140" s="49"/>
      <c r="HL140" s="49"/>
      <c r="HM140" s="49"/>
      <c r="HN140" s="49"/>
      <c r="HO140" s="49"/>
      <c r="HP140" s="49"/>
      <c r="HQ140" s="49"/>
      <c r="HR140" s="49"/>
      <c r="HS140" s="49"/>
      <c r="HT140" s="49"/>
      <c r="HU140" s="49"/>
      <c r="HV140" s="49"/>
      <c r="HW140" s="49"/>
      <c r="HX140" s="49"/>
      <c r="HY140" s="49"/>
    </row>
    <row r="141" spans="1:233" ht="22.8">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47"/>
      <c r="FN141" s="47"/>
      <c r="FO141" s="47"/>
      <c r="FP141" s="47"/>
      <c r="FQ141" s="47"/>
      <c r="FR141" s="47"/>
      <c r="FS141" s="47"/>
      <c r="FT141" s="47"/>
      <c r="FU141" s="47"/>
      <c r="FV141" s="47"/>
      <c r="FW141" s="47"/>
      <c r="FX141" s="47"/>
      <c r="FY141" s="47"/>
      <c r="FZ141" s="49"/>
      <c r="GA141" s="49"/>
      <c r="GB141" s="49"/>
      <c r="GC141" s="49"/>
      <c r="GD141" s="49"/>
      <c r="GE141" s="49"/>
      <c r="GF141" s="49"/>
      <c r="GG141" s="49"/>
      <c r="GH141" s="49"/>
      <c r="GI141" s="49"/>
      <c r="GJ141" s="49"/>
      <c r="GK141" s="49"/>
      <c r="GL141" s="49"/>
      <c r="GM141" s="49"/>
      <c r="GN141" s="49"/>
      <c r="GO141" s="49"/>
      <c r="GP141" s="49"/>
      <c r="GQ141" s="49"/>
      <c r="GR141" s="49"/>
      <c r="GS141" s="49"/>
      <c r="GT141" s="49"/>
      <c r="GU141" s="49"/>
      <c r="GV141" s="49"/>
      <c r="GW141" s="49"/>
      <c r="GX141" s="49"/>
      <c r="GY141" s="49"/>
      <c r="GZ141" s="49"/>
      <c r="HA141" s="49"/>
      <c r="HB141" s="49"/>
      <c r="HC141" s="49"/>
      <c r="HD141" s="49"/>
      <c r="HE141" s="49"/>
      <c r="HF141" s="49"/>
      <c r="HG141" s="49"/>
      <c r="HH141" s="49"/>
      <c r="HI141" s="49"/>
      <c r="HJ141" s="49"/>
      <c r="HK141" s="49"/>
      <c r="HL141" s="49"/>
      <c r="HM141" s="49"/>
      <c r="HN141" s="49"/>
      <c r="HO141" s="49"/>
      <c r="HP141" s="49"/>
      <c r="HQ141" s="49"/>
      <c r="HR141" s="49"/>
      <c r="HS141" s="49"/>
      <c r="HT141" s="49"/>
      <c r="HU141" s="49"/>
      <c r="HV141" s="49"/>
      <c r="HW141" s="49"/>
      <c r="HX141" s="49"/>
      <c r="HY141" s="49"/>
    </row>
    <row r="142" spans="1:233" ht="22.8">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47"/>
      <c r="FN142" s="47"/>
      <c r="FO142" s="47"/>
      <c r="FP142" s="47"/>
      <c r="FQ142" s="47"/>
      <c r="FR142" s="47"/>
      <c r="FS142" s="47"/>
      <c r="FT142" s="47"/>
      <c r="FU142" s="47"/>
      <c r="FV142" s="47"/>
      <c r="FW142" s="47"/>
      <c r="FX142" s="47"/>
      <c r="FY142" s="47"/>
      <c r="FZ142" s="49"/>
      <c r="GA142" s="49"/>
      <c r="GB142" s="49"/>
      <c r="GC142" s="49"/>
      <c r="GD142" s="49"/>
      <c r="GE142" s="49"/>
      <c r="GF142" s="49"/>
      <c r="GG142" s="49"/>
      <c r="GH142" s="49"/>
      <c r="GI142" s="49"/>
      <c r="GJ142" s="49"/>
      <c r="GK142" s="49"/>
      <c r="GL142" s="49"/>
      <c r="GM142" s="49"/>
      <c r="GN142" s="49"/>
      <c r="GO142" s="49"/>
      <c r="GP142" s="49"/>
      <c r="GQ142" s="49"/>
      <c r="GR142" s="49"/>
      <c r="GS142" s="49"/>
      <c r="GT142" s="49"/>
      <c r="GU142" s="49"/>
      <c r="GV142" s="49"/>
      <c r="GW142" s="49"/>
      <c r="GX142" s="49"/>
      <c r="GY142" s="49"/>
      <c r="GZ142" s="49"/>
      <c r="HA142" s="49"/>
      <c r="HB142" s="49"/>
      <c r="HC142" s="49"/>
      <c r="HD142" s="49"/>
      <c r="HE142" s="49"/>
      <c r="HF142" s="49"/>
      <c r="HG142" s="49"/>
      <c r="HH142" s="49"/>
      <c r="HI142" s="49"/>
      <c r="HJ142" s="49"/>
      <c r="HK142" s="49"/>
      <c r="HL142" s="49"/>
      <c r="HM142" s="49"/>
      <c r="HN142" s="49"/>
      <c r="HO142" s="49"/>
      <c r="HP142" s="49"/>
      <c r="HQ142" s="49"/>
      <c r="HR142" s="49"/>
      <c r="HS142" s="49"/>
      <c r="HT142" s="49"/>
      <c r="HU142" s="49"/>
      <c r="HV142" s="49"/>
      <c r="HW142" s="49"/>
      <c r="HX142" s="49"/>
      <c r="HY142" s="49"/>
    </row>
    <row r="143" spans="1:233" ht="22.8">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47"/>
      <c r="FN143" s="47"/>
      <c r="FO143" s="47"/>
      <c r="FP143" s="47"/>
      <c r="FQ143" s="47"/>
      <c r="FR143" s="47"/>
      <c r="FS143" s="47"/>
      <c r="FT143" s="47"/>
      <c r="FU143" s="47"/>
      <c r="FV143" s="47"/>
      <c r="FW143" s="47"/>
      <c r="FX143" s="47"/>
      <c r="FY143" s="47"/>
      <c r="FZ143" s="49"/>
      <c r="GA143" s="49"/>
      <c r="GB143" s="49"/>
      <c r="GC143" s="49"/>
      <c r="GD143" s="49"/>
      <c r="GE143" s="49"/>
      <c r="GF143" s="49"/>
      <c r="GG143" s="49"/>
      <c r="GH143" s="49"/>
      <c r="GI143" s="49"/>
      <c r="GJ143" s="49"/>
      <c r="GK143" s="49"/>
      <c r="GL143" s="49"/>
      <c r="GM143" s="49"/>
      <c r="GN143" s="49"/>
      <c r="GO143" s="49"/>
      <c r="GP143" s="49"/>
      <c r="GQ143" s="49"/>
      <c r="GR143" s="49"/>
      <c r="GS143" s="49"/>
      <c r="GT143" s="49"/>
      <c r="GU143" s="49"/>
      <c r="GV143" s="49"/>
      <c r="GW143" s="49"/>
      <c r="GX143" s="49"/>
      <c r="GY143" s="49"/>
      <c r="GZ143" s="49"/>
      <c r="HA143" s="49"/>
      <c r="HB143" s="49"/>
      <c r="HC143" s="49"/>
      <c r="HD143" s="49"/>
      <c r="HE143" s="49"/>
      <c r="HF143" s="49"/>
      <c r="HG143" s="49"/>
      <c r="HH143" s="49"/>
      <c r="HI143" s="49"/>
      <c r="HJ143" s="49"/>
      <c r="HK143" s="49"/>
      <c r="HL143" s="49"/>
      <c r="HM143" s="49"/>
      <c r="HN143" s="49"/>
      <c r="HO143" s="49"/>
      <c r="HP143" s="49"/>
      <c r="HQ143" s="49"/>
      <c r="HR143" s="49"/>
      <c r="HS143" s="49"/>
      <c r="HT143" s="49"/>
      <c r="HU143" s="49"/>
      <c r="HV143" s="49"/>
      <c r="HW143" s="49"/>
      <c r="HX143" s="49"/>
      <c r="HY143" s="49"/>
    </row>
    <row r="144" spans="1:233" ht="22.8">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c r="CE144" s="32"/>
      <c r="CF144" s="32"/>
      <c r="CG144" s="32"/>
      <c r="CH144" s="32"/>
      <c r="CI144" s="32"/>
      <c r="CJ144" s="32"/>
      <c r="CK144" s="32"/>
      <c r="CL144" s="32"/>
      <c r="CM144" s="32"/>
      <c r="CN144" s="32"/>
      <c r="CO144" s="32"/>
      <c r="CP144" s="32"/>
      <c r="CQ144" s="32"/>
      <c r="CR144" s="32"/>
      <c r="CS144" s="32"/>
      <c r="CT144" s="32"/>
      <c r="CU144" s="32"/>
      <c r="CV144" s="32"/>
      <c r="CW144" s="32"/>
      <c r="CX144" s="32"/>
      <c r="CY144" s="32"/>
      <c r="CZ144" s="32"/>
      <c r="DA144" s="32"/>
      <c r="DB144" s="32"/>
      <c r="DC144" s="32"/>
      <c r="DD144" s="32"/>
      <c r="DE144" s="32"/>
      <c r="DF144" s="32"/>
      <c r="DG144" s="32"/>
      <c r="DH144" s="32"/>
      <c r="DI144" s="32"/>
      <c r="DJ144" s="32"/>
      <c r="DK144" s="32"/>
      <c r="DL144" s="32"/>
      <c r="DM144" s="32"/>
      <c r="DN144" s="32"/>
      <c r="DO144" s="32"/>
      <c r="DP144" s="32"/>
      <c r="DQ144" s="32"/>
      <c r="DR144" s="32"/>
      <c r="DS144" s="32"/>
      <c r="DT144" s="32"/>
      <c r="DU144" s="32"/>
      <c r="DV144" s="32"/>
      <c r="DW144" s="32"/>
      <c r="DX144" s="32"/>
      <c r="DY144" s="32"/>
      <c r="DZ144" s="32"/>
      <c r="EA144" s="32"/>
      <c r="EB144" s="32"/>
      <c r="EC144" s="32"/>
      <c r="ED144" s="32"/>
      <c r="EE144" s="32"/>
      <c r="EF144" s="32"/>
      <c r="EG144" s="32"/>
      <c r="EH144" s="32"/>
      <c r="EI144" s="32"/>
      <c r="EJ144" s="32"/>
      <c r="EK144" s="32"/>
      <c r="EL144" s="32"/>
      <c r="EM144" s="32"/>
      <c r="EN144" s="32"/>
      <c r="EO144" s="32"/>
      <c r="EP144" s="32"/>
      <c r="EQ144" s="32"/>
      <c r="ER144" s="32"/>
      <c r="ES144" s="32"/>
      <c r="ET144" s="32"/>
      <c r="EU144" s="32"/>
      <c r="EV144" s="32"/>
      <c r="EW144" s="32"/>
      <c r="EX144" s="32"/>
      <c r="EY144" s="32"/>
      <c r="EZ144" s="32"/>
      <c r="FA144" s="32"/>
      <c r="FB144" s="32"/>
      <c r="FC144" s="32"/>
      <c r="FD144" s="32"/>
      <c r="FE144" s="32"/>
      <c r="FF144" s="32"/>
      <c r="FG144" s="32"/>
      <c r="FH144" s="32"/>
      <c r="FI144" s="32"/>
      <c r="FJ144" s="32"/>
      <c r="FK144" s="32"/>
      <c r="FL144" s="32"/>
      <c r="FM144" s="47"/>
      <c r="FN144" s="47"/>
      <c r="FO144" s="47"/>
      <c r="FP144" s="47"/>
      <c r="FQ144" s="47"/>
      <c r="FR144" s="47"/>
      <c r="FS144" s="47"/>
      <c r="FT144" s="47"/>
      <c r="FU144" s="47"/>
      <c r="FV144" s="47"/>
      <c r="FW144" s="47"/>
      <c r="FX144" s="47"/>
      <c r="FY144" s="47"/>
      <c r="FZ144" s="49"/>
      <c r="GA144" s="49"/>
      <c r="GB144" s="49"/>
      <c r="GC144" s="49"/>
      <c r="GD144" s="49"/>
      <c r="GE144" s="49"/>
      <c r="GF144" s="49"/>
      <c r="GG144" s="49"/>
      <c r="GH144" s="49"/>
      <c r="GI144" s="49"/>
      <c r="GJ144" s="49"/>
      <c r="GK144" s="49"/>
      <c r="GL144" s="49"/>
      <c r="GM144" s="49"/>
      <c r="GN144" s="49"/>
      <c r="GO144" s="49"/>
      <c r="GP144" s="49"/>
      <c r="GQ144" s="49"/>
      <c r="GR144" s="49"/>
      <c r="GS144" s="49"/>
      <c r="GT144" s="49"/>
      <c r="GU144" s="49"/>
      <c r="GV144" s="49"/>
      <c r="GW144" s="49"/>
      <c r="GX144" s="49"/>
      <c r="GY144" s="49"/>
      <c r="GZ144" s="49"/>
      <c r="HA144" s="49"/>
      <c r="HB144" s="49"/>
      <c r="HC144" s="49"/>
      <c r="HD144" s="49"/>
      <c r="HE144" s="49"/>
      <c r="HF144" s="49"/>
      <c r="HG144" s="49"/>
      <c r="HH144" s="49"/>
      <c r="HI144" s="49"/>
      <c r="HJ144" s="49"/>
      <c r="HK144" s="49"/>
      <c r="HL144" s="49"/>
      <c r="HM144" s="49"/>
      <c r="HN144" s="49"/>
      <c r="HO144" s="49"/>
      <c r="HP144" s="49"/>
      <c r="HQ144" s="49"/>
      <c r="HR144" s="49"/>
      <c r="HS144" s="49"/>
      <c r="HT144" s="49"/>
      <c r="HU144" s="49"/>
      <c r="HV144" s="49"/>
      <c r="HW144" s="49"/>
      <c r="HX144" s="49"/>
      <c r="HY144" s="49"/>
    </row>
    <row r="145" spans="1:233" ht="22.8">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c r="CE145" s="32"/>
      <c r="CF145" s="32"/>
      <c r="CG145" s="32"/>
      <c r="CH145" s="32"/>
      <c r="CI145" s="32"/>
      <c r="CJ145" s="32"/>
      <c r="CK145" s="32"/>
      <c r="CL145" s="32"/>
      <c r="CM145" s="32"/>
      <c r="CN145" s="32"/>
      <c r="CO145" s="32"/>
      <c r="CP145" s="32"/>
      <c r="CQ145" s="32"/>
      <c r="CR145" s="32"/>
      <c r="CS145" s="32"/>
      <c r="CT145" s="32"/>
      <c r="CU145" s="32"/>
      <c r="CV145" s="32"/>
      <c r="CW145" s="32"/>
      <c r="CX145" s="32"/>
      <c r="CY145" s="32"/>
      <c r="CZ145" s="32"/>
      <c r="DA145" s="32"/>
      <c r="DB145" s="32"/>
      <c r="DC145" s="32"/>
      <c r="DD145" s="32"/>
      <c r="DE145" s="32"/>
      <c r="DF145" s="32"/>
      <c r="DG145" s="32"/>
      <c r="DH145" s="32"/>
      <c r="DI145" s="32"/>
      <c r="DJ145" s="32"/>
      <c r="DK145" s="32"/>
      <c r="DL145" s="32"/>
      <c r="DM145" s="32"/>
      <c r="DN145" s="32"/>
      <c r="DO145" s="32"/>
      <c r="DP145" s="32"/>
      <c r="DQ145" s="32"/>
      <c r="DR145" s="32"/>
      <c r="DS145" s="32"/>
      <c r="DT145" s="32"/>
      <c r="DU145" s="32"/>
      <c r="DV145" s="32"/>
      <c r="DW145" s="32"/>
      <c r="DX145" s="32"/>
      <c r="DY145" s="32"/>
      <c r="DZ145" s="32"/>
      <c r="EA145" s="32"/>
      <c r="EB145" s="32"/>
      <c r="EC145" s="32"/>
      <c r="ED145" s="32"/>
      <c r="EE145" s="32"/>
      <c r="EF145" s="32"/>
      <c r="EG145" s="32"/>
      <c r="EH145" s="32"/>
      <c r="EI145" s="32"/>
      <c r="EJ145" s="32"/>
      <c r="EK145" s="32"/>
      <c r="EL145" s="32"/>
      <c r="EM145" s="32"/>
      <c r="EN145" s="32"/>
      <c r="EO145" s="32"/>
      <c r="EP145" s="32"/>
      <c r="EQ145" s="32"/>
      <c r="ER145" s="32"/>
      <c r="ES145" s="32"/>
      <c r="ET145" s="32"/>
      <c r="EU145" s="32"/>
      <c r="EV145" s="32"/>
      <c r="EW145" s="32"/>
      <c r="EX145" s="32"/>
      <c r="EY145" s="32"/>
      <c r="EZ145" s="32"/>
      <c r="FA145" s="32"/>
      <c r="FB145" s="32"/>
      <c r="FC145" s="32"/>
      <c r="FD145" s="32"/>
      <c r="FE145" s="32"/>
      <c r="FF145" s="32"/>
      <c r="FG145" s="32"/>
      <c r="FH145" s="32"/>
      <c r="FI145" s="32"/>
      <c r="FJ145" s="32"/>
      <c r="FK145" s="32"/>
      <c r="FL145" s="32"/>
      <c r="FM145" s="47"/>
      <c r="FN145" s="47"/>
      <c r="FO145" s="47"/>
      <c r="FP145" s="47"/>
      <c r="FQ145" s="47"/>
      <c r="FR145" s="47"/>
      <c r="FS145" s="47"/>
      <c r="FT145" s="47"/>
      <c r="FU145" s="47"/>
      <c r="FV145" s="47"/>
      <c r="FW145" s="47"/>
      <c r="FX145" s="47"/>
      <c r="FY145" s="47"/>
      <c r="FZ145" s="49"/>
      <c r="GA145" s="49"/>
      <c r="GB145" s="49"/>
      <c r="GC145" s="49"/>
      <c r="GD145" s="49"/>
      <c r="GE145" s="49"/>
      <c r="GF145" s="49"/>
      <c r="GG145" s="49"/>
      <c r="GH145" s="49"/>
      <c r="GI145" s="49"/>
      <c r="GJ145" s="49"/>
      <c r="GK145" s="49"/>
      <c r="GL145" s="49"/>
      <c r="GM145" s="49"/>
      <c r="GN145" s="49"/>
      <c r="GO145" s="49"/>
      <c r="GP145" s="49"/>
      <c r="GQ145" s="49"/>
      <c r="GR145" s="49"/>
      <c r="GS145" s="49"/>
      <c r="GT145" s="49"/>
      <c r="GU145" s="49"/>
      <c r="GV145" s="49"/>
      <c r="GW145" s="49"/>
      <c r="GX145" s="49"/>
      <c r="GY145" s="49"/>
      <c r="GZ145" s="49"/>
      <c r="HA145" s="49"/>
      <c r="HB145" s="49"/>
      <c r="HC145" s="49"/>
      <c r="HD145" s="49"/>
      <c r="HE145" s="49"/>
      <c r="HF145" s="49"/>
      <c r="HG145" s="49"/>
      <c r="HH145" s="49"/>
      <c r="HI145" s="49"/>
      <c r="HJ145" s="49"/>
      <c r="HK145" s="49"/>
      <c r="HL145" s="49"/>
      <c r="HM145" s="49"/>
      <c r="HN145" s="49"/>
      <c r="HO145" s="49"/>
      <c r="HP145" s="49"/>
      <c r="HQ145" s="49"/>
      <c r="HR145" s="49"/>
      <c r="HS145" s="49"/>
      <c r="HT145" s="49"/>
      <c r="HU145" s="49"/>
      <c r="HV145" s="49"/>
      <c r="HW145" s="49"/>
      <c r="HX145" s="49"/>
      <c r="HY145" s="49"/>
    </row>
    <row r="146" spans="1:233" ht="22.8">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2"/>
      <c r="FJ146" s="32"/>
      <c r="FK146" s="32"/>
      <c r="FL146" s="32"/>
      <c r="FM146" s="47"/>
      <c r="FN146" s="47"/>
      <c r="FO146" s="47"/>
      <c r="FP146" s="47"/>
      <c r="FQ146" s="47"/>
      <c r="FR146" s="47"/>
      <c r="FS146" s="47"/>
      <c r="FT146" s="47"/>
      <c r="FU146" s="47"/>
      <c r="FV146" s="47"/>
      <c r="FW146" s="47"/>
      <c r="FX146" s="47"/>
      <c r="FY146" s="47"/>
      <c r="FZ146" s="49"/>
      <c r="GA146" s="49"/>
      <c r="GB146" s="49"/>
      <c r="GC146" s="49"/>
      <c r="GD146" s="49"/>
      <c r="GE146" s="49"/>
      <c r="GF146" s="49"/>
      <c r="GG146" s="49"/>
      <c r="GH146" s="49"/>
      <c r="GI146" s="49"/>
      <c r="GJ146" s="49"/>
      <c r="GK146" s="49"/>
      <c r="GL146" s="49"/>
      <c r="GM146" s="49"/>
      <c r="GN146" s="49"/>
      <c r="GO146" s="49"/>
      <c r="GP146" s="49"/>
      <c r="GQ146" s="49"/>
      <c r="GR146" s="49"/>
      <c r="GS146" s="49"/>
      <c r="GT146" s="49"/>
      <c r="GU146" s="49"/>
      <c r="GV146" s="49"/>
      <c r="GW146" s="49"/>
      <c r="GX146" s="49"/>
      <c r="GY146" s="49"/>
      <c r="GZ146" s="49"/>
      <c r="HA146" s="49"/>
      <c r="HB146" s="49"/>
      <c r="HC146" s="49"/>
      <c r="HD146" s="49"/>
      <c r="HE146" s="49"/>
      <c r="HF146" s="49"/>
      <c r="HG146" s="49"/>
      <c r="HH146" s="49"/>
      <c r="HI146" s="49"/>
      <c r="HJ146" s="49"/>
      <c r="HK146" s="49"/>
      <c r="HL146" s="49"/>
      <c r="HM146" s="49"/>
      <c r="HN146" s="49"/>
      <c r="HO146" s="49"/>
      <c r="HP146" s="49"/>
      <c r="HQ146" s="49"/>
      <c r="HR146" s="49"/>
      <c r="HS146" s="49"/>
      <c r="HT146" s="49"/>
      <c r="HU146" s="49"/>
      <c r="HV146" s="49"/>
      <c r="HW146" s="49"/>
      <c r="HX146" s="49"/>
      <c r="HY146" s="49"/>
    </row>
    <row r="147" spans="1:233" ht="22.8">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47"/>
      <c r="FN147" s="47"/>
      <c r="FO147" s="47"/>
      <c r="FP147" s="47"/>
      <c r="FQ147" s="47"/>
      <c r="FR147" s="47"/>
      <c r="FS147" s="47"/>
      <c r="FT147" s="47"/>
      <c r="FU147" s="47"/>
      <c r="FV147" s="47"/>
      <c r="FW147" s="47"/>
      <c r="FX147" s="47"/>
      <c r="FY147" s="47"/>
      <c r="FZ147" s="49"/>
      <c r="GA147" s="49"/>
      <c r="GB147" s="49"/>
      <c r="GC147" s="49"/>
      <c r="GD147" s="49"/>
      <c r="GE147" s="49"/>
      <c r="GF147" s="49"/>
      <c r="GG147" s="49"/>
      <c r="GH147" s="49"/>
      <c r="GI147" s="49"/>
      <c r="GJ147" s="49"/>
      <c r="GK147" s="49"/>
      <c r="GL147" s="49"/>
      <c r="GM147" s="49"/>
      <c r="GN147" s="49"/>
      <c r="GO147" s="49"/>
      <c r="GP147" s="49"/>
      <c r="GQ147" s="49"/>
      <c r="GR147" s="49"/>
      <c r="GS147" s="49"/>
      <c r="GT147" s="49"/>
      <c r="GU147" s="49"/>
      <c r="GV147" s="49"/>
      <c r="GW147" s="49"/>
      <c r="GX147" s="49"/>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row>
    <row r="148" spans="1:233" ht="22.8">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47"/>
      <c r="FN148" s="47"/>
      <c r="FO148" s="47"/>
      <c r="FP148" s="47"/>
      <c r="FQ148" s="47"/>
      <c r="FR148" s="47"/>
      <c r="FS148" s="47"/>
      <c r="FT148" s="47"/>
      <c r="FU148" s="47"/>
      <c r="FV148" s="47"/>
      <c r="FW148" s="47"/>
      <c r="FX148" s="47"/>
      <c r="FY148" s="47"/>
      <c r="FZ148" s="49"/>
      <c r="GA148" s="49"/>
      <c r="GB148" s="49"/>
      <c r="GC148" s="49"/>
      <c r="GD148" s="49"/>
      <c r="GE148" s="49"/>
      <c r="GF148" s="49"/>
      <c r="GG148" s="49"/>
      <c r="GH148" s="49"/>
      <c r="GI148" s="49"/>
      <c r="GJ148" s="49"/>
      <c r="GK148" s="49"/>
      <c r="GL148" s="49"/>
      <c r="GM148" s="49"/>
      <c r="GN148" s="49"/>
      <c r="GO148" s="49"/>
      <c r="GP148" s="49"/>
      <c r="GQ148" s="49"/>
      <c r="GR148" s="49"/>
      <c r="GS148" s="49"/>
      <c r="GT148" s="49"/>
      <c r="GU148" s="49"/>
      <c r="GV148" s="49"/>
      <c r="GW148" s="49"/>
      <c r="GX148" s="49"/>
      <c r="GY148" s="49"/>
      <c r="GZ148" s="49"/>
      <c r="HA148" s="49"/>
      <c r="HB148" s="49"/>
      <c r="HC148" s="49"/>
      <c r="HD148" s="49"/>
      <c r="HE148" s="49"/>
      <c r="HF148" s="49"/>
      <c r="HG148" s="49"/>
      <c r="HH148" s="49"/>
      <c r="HI148" s="49"/>
      <c r="HJ148" s="49"/>
      <c r="HK148" s="49"/>
      <c r="HL148" s="49"/>
      <c r="HM148" s="49"/>
      <c r="HN148" s="49"/>
      <c r="HO148" s="49"/>
      <c r="HP148" s="49"/>
      <c r="HQ148" s="49"/>
      <c r="HR148" s="49"/>
      <c r="HS148" s="49"/>
      <c r="HT148" s="49"/>
      <c r="HU148" s="49"/>
      <c r="HV148" s="49"/>
      <c r="HW148" s="49"/>
      <c r="HX148" s="49"/>
      <c r="HY148" s="49"/>
    </row>
    <row r="149" spans="1:233" ht="22.8">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47"/>
      <c r="FN149" s="47"/>
      <c r="FO149" s="47"/>
      <c r="FP149" s="47"/>
      <c r="FQ149" s="47"/>
      <c r="FR149" s="47"/>
      <c r="FS149" s="47"/>
      <c r="FT149" s="47"/>
      <c r="FU149" s="47"/>
      <c r="FV149" s="47"/>
      <c r="FW149" s="47"/>
      <c r="FX149" s="47"/>
      <c r="FY149" s="47"/>
      <c r="FZ149" s="49"/>
      <c r="GA149" s="49"/>
      <c r="GB149" s="49"/>
      <c r="GC149" s="49"/>
      <c r="GD149" s="49"/>
      <c r="GE149" s="49"/>
      <c r="GF149" s="49"/>
      <c r="GG149" s="49"/>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c r="HN149" s="49"/>
      <c r="HO149" s="49"/>
      <c r="HP149" s="49"/>
      <c r="HQ149" s="49"/>
      <c r="HR149" s="49"/>
      <c r="HS149" s="49"/>
      <c r="HT149" s="49"/>
      <c r="HU149" s="49"/>
      <c r="HV149" s="49"/>
      <c r="HW149" s="49"/>
      <c r="HX149" s="49"/>
      <c r="HY149" s="49"/>
    </row>
    <row r="150" spans="1:233" ht="22.8">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47"/>
      <c r="FN150" s="47"/>
      <c r="FO150" s="47"/>
      <c r="FP150" s="47"/>
      <c r="FQ150" s="47"/>
      <c r="FR150" s="47"/>
      <c r="FS150" s="47"/>
      <c r="FT150" s="47"/>
      <c r="FU150" s="47"/>
      <c r="FV150" s="47"/>
      <c r="FW150" s="47"/>
      <c r="FX150" s="47"/>
      <c r="FY150" s="47"/>
      <c r="FZ150" s="49"/>
      <c r="GA150" s="49"/>
      <c r="GB150" s="49"/>
      <c r="GC150" s="49"/>
      <c r="GD150" s="49"/>
      <c r="GE150" s="49"/>
      <c r="GF150" s="49"/>
      <c r="GG150" s="49"/>
      <c r="GH150" s="49"/>
      <c r="GI150" s="49"/>
      <c r="GJ150" s="49"/>
      <c r="GK150" s="49"/>
      <c r="GL150" s="49"/>
      <c r="GM150" s="49"/>
      <c r="GN150" s="49"/>
      <c r="GO150" s="49"/>
      <c r="GP150" s="49"/>
      <c r="GQ150" s="49"/>
      <c r="GR150" s="49"/>
      <c r="GS150" s="49"/>
      <c r="GT150" s="49"/>
      <c r="GU150" s="49"/>
      <c r="GV150" s="49"/>
      <c r="GW150" s="49"/>
      <c r="GX150" s="49"/>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row>
    <row r="151" spans="1:233" ht="22.8">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47"/>
      <c r="FN151" s="47"/>
      <c r="FO151" s="47"/>
      <c r="FP151" s="47"/>
      <c r="FQ151" s="47"/>
      <c r="FR151" s="47"/>
      <c r="FS151" s="47"/>
      <c r="FT151" s="47"/>
      <c r="FU151" s="47"/>
      <c r="FV151" s="47"/>
      <c r="FW151" s="47"/>
      <c r="FX151" s="47"/>
      <c r="FY151" s="47"/>
      <c r="FZ151" s="49"/>
      <c r="GA151" s="49"/>
      <c r="GB151" s="49"/>
      <c r="GC151" s="49"/>
      <c r="GD151" s="49"/>
      <c r="GE151" s="49"/>
      <c r="GF151" s="49"/>
      <c r="GG151" s="49"/>
      <c r="GH151" s="49"/>
      <c r="GI151" s="49"/>
      <c r="GJ151" s="49"/>
      <c r="GK151" s="49"/>
      <c r="GL151" s="49"/>
      <c r="GM151" s="49"/>
      <c r="GN151" s="49"/>
      <c r="GO151" s="49"/>
      <c r="GP151" s="49"/>
      <c r="GQ151" s="49"/>
      <c r="GR151" s="49"/>
      <c r="GS151" s="49"/>
      <c r="GT151" s="49"/>
      <c r="GU151" s="49"/>
      <c r="GV151" s="49"/>
      <c r="GW151" s="49"/>
      <c r="GX151" s="49"/>
      <c r="GY151" s="49"/>
      <c r="GZ151" s="49"/>
      <c r="HA151" s="49"/>
      <c r="HB151" s="49"/>
      <c r="HC151" s="49"/>
      <c r="HD151" s="49"/>
      <c r="HE151" s="49"/>
      <c r="HF151" s="49"/>
      <c r="HG151" s="49"/>
      <c r="HH151" s="49"/>
      <c r="HI151" s="49"/>
      <c r="HJ151" s="49"/>
      <c r="HK151" s="49"/>
      <c r="HL151" s="49"/>
      <c r="HM151" s="49"/>
      <c r="HN151" s="49"/>
      <c r="HO151" s="49"/>
      <c r="HP151" s="49"/>
      <c r="HQ151" s="49"/>
      <c r="HR151" s="49"/>
      <c r="HS151" s="49"/>
      <c r="HT151" s="49"/>
      <c r="HU151" s="49"/>
      <c r="HV151" s="49"/>
      <c r="HW151" s="49"/>
      <c r="HX151" s="49"/>
      <c r="HY151" s="49"/>
    </row>
    <row r="152" spans="1:233" ht="22.8">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47"/>
      <c r="FN152" s="47"/>
      <c r="FO152" s="47"/>
      <c r="FP152" s="47"/>
      <c r="FQ152" s="47"/>
      <c r="FR152" s="47"/>
      <c r="FS152" s="47"/>
      <c r="FT152" s="47"/>
      <c r="FU152" s="47"/>
      <c r="FV152" s="47"/>
      <c r="FW152" s="47"/>
      <c r="FX152" s="47"/>
      <c r="FY152" s="47"/>
      <c r="FZ152" s="49"/>
      <c r="GA152" s="49"/>
      <c r="GB152" s="49"/>
      <c r="GC152" s="49"/>
      <c r="GD152" s="49"/>
      <c r="GE152" s="49"/>
      <c r="GF152" s="49"/>
      <c r="GG152" s="49"/>
      <c r="GH152" s="49"/>
      <c r="GI152" s="49"/>
      <c r="GJ152" s="49"/>
      <c r="GK152" s="49"/>
      <c r="GL152" s="49"/>
      <c r="GM152" s="49"/>
      <c r="GN152" s="49"/>
      <c r="GO152" s="49"/>
      <c r="GP152" s="49"/>
      <c r="GQ152" s="49"/>
      <c r="GR152" s="49"/>
      <c r="GS152" s="49"/>
      <c r="GT152" s="49"/>
      <c r="GU152" s="49"/>
      <c r="GV152" s="49"/>
      <c r="GW152" s="49"/>
      <c r="GX152" s="49"/>
      <c r="GY152" s="49"/>
      <c r="GZ152" s="49"/>
      <c r="HA152" s="49"/>
      <c r="HB152" s="49"/>
      <c r="HC152" s="49"/>
      <c r="HD152" s="49"/>
      <c r="HE152" s="49"/>
      <c r="HF152" s="49"/>
      <c r="HG152" s="49"/>
      <c r="HH152" s="49"/>
      <c r="HI152" s="49"/>
      <c r="HJ152" s="49"/>
      <c r="HK152" s="49"/>
      <c r="HL152" s="49"/>
      <c r="HM152" s="49"/>
      <c r="HN152" s="49"/>
      <c r="HO152" s="49"/>
      <c r="HP152" s="49"/>
      <c r="HQ152" s="49"/>
      <c r="HR152" s="49"/>
      <c r="HS152" s="49"/>
      <c r="HT152" s="49"/>
      <c r="HU152" s="49"/>
      <c r="HV152" s="49"/>
      <c r="HW152" s="49"/>
      <c r="HX152" s="49"/>
      <c r="HY152" s="49"/>
    </row>
    <row r="153" spans="1:233" ht="22.8">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47"/>
      <c r="FN153" s="47"/>
      <c r="FO153" s="47"/>
      <c r="FP153" s="47"/>
      <c r="FQ153" s="47"/>
      <c r="FR153" s="47"/>
      <c r="FS153" s="47"/>
      <c r="FT153" s="47"/>
      <c r="FU153" s="47"/>
      <c r="FV153" s="47"/>
      <c r="FW153" s="47"/>
      <c r="FX153" s="47"/>
      <c r="FY153" s="47"/>
      <c r="FZ153" s="49"/>
      <c r="GA153" s="49"/>
      <c r="GB153" s="49"/>
      <c r="GC153" s="49"/>
      <c r="GD153" s="49"/>
      <c r="GE153" s="49"/>
      <c r="GF153" s="49"/>
      <c r="GG153" s="49"/>
      <c r="GH153" s="49"/>
      <c r="GI153" s="49"/>
      <c r="GJ153" s="49"/>
      <c r="GK153" s="49"/>
      <c r="GL153" s="49"/>
      <c r="GM153" s="49"/>
      <c r="GN153" s="49"/>
      <c r="GO153" s="49"/>
      <c r="GP153" s="49"/>
      <c r="GQ153" s="49"/>
      <c r="GR153" s="49"/>
      <c r="GS153" s="49"/>
      <c r="GT153" s="49"/>
      <c r="GU153" s="49"/>
      <c r="GV153" s="49"/>
      <c r="GW153" s="49"/>
      <c r="GX153" s="49"/>
      <c r="GY153" s="49"/>
      <c r="GZ153" s="49"/>
      <c r="HA153" s="49"/>
      <c r="HB153" s="49"/>
      <c r="HC153" s="49"/>
      <c r="HD153" s="49"/>
      <c r="HE153" s="49"/>
      <c r="HF153" s="49"/>
      <c r="HG153" s="49"/>
      <c r="HH153" s="49"/>
      <c r="HI153" s="49"/>
      <c r="HJ153" s="49"/>
      <c r="HK153" s="49"/>
      <c r="HL153" s="49"/>
      <c r="HM153" s="49"/>
      <c r="HN153" s="49"/>
      <c r="HO153" s="49"/>
      <c r="HP153" s="49"/>
      <c r="HQ153" s="49"/>
      <c r="HR153" s="49"/>
      <c r="HS153" s="49"/>
      <c r="HT153" s="49"/>
      <c r="HU153" s="49"/>
      <c r="HV153" s="49"/>
      <c r="HW153" s="49"/>
      <c r="HX153" s="49"/>
      <c r="HY153" s="49"/>
    </row>
    <row r="154" spans="1:233" ht="22.8">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c r="DN154" s="32"/>
      <c r="DO154" s="32"/>
      <c r="DP154" s="32"/>
      <c r="DQ154" s="32"/>
      <c r="DR154" s="32"/>
      <c r="DS154" s="32"/>
      <c r="DT154" s="32"/>
      <c r="DU154" s="32"/>
      <c r="DV154" s="32"/>
      <c r="DW154" s="32"/>
      <c r="DX154" s="32"/>
      <c r="DY154" s="32"/>
      <c r="DZ154" s="32"/>
      <c r="EA154" s="32"/>
      <c r="EB154" s="32"/>
      <c r="EC154" s="32"/>
      <c r="ED154" s="32"/>
      <c r="EE154" s="32"/>
      <c r="EF154" s="32"/>
      <c r="EG154" s="32"/>
      <c r="EH154" s="32"/>
      <c r="EI154" s="32"/>
      <c r="EJ154" s="32"/>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47"/>
      <c r="FN154" s="47"/>
      <c r="FO154" s="47"/>
      <c r="FP154" s="47"/>
      <c r="FQ154" s="47"/>
      <c r="FR154" s="47"/>
      <c r="FS154" s="47"/>
      <c r="FT154" s="47"/>
      <c r="FU154" s="47"/>
      <c r="FV154" s="47"/>
      <c r="FW154" s="47"/>
      <c r="FX154" s="47"/>
      <c r="FY154" s="47"/>
      <c r="FZ154" s="49"/>
      <c r="GA154" s="49"/>
      <c r="GB154" s="49"/>
      <c r="GC154" s="49"/>
      <c r="GD154" s="49"/>
      <c r="GE154" s="49"/>
      <c r="GF154" s="49"/>
      <c r="GG154" s="49"/>
      <c r="GH154" s="49"/>
      <c r="GI154" s="49"/>
      <c r="GJ154" s="49"/>
      <c r="GK154" s="49"/>
      <c r="GL154" s="49"/>
      <c r="GM154" s="49"/>
      <c r="GN154" s="49"/>
      <c r="GO154" s="49"/>
      <c r="GP154" s="49"/>
      <c r="GQ154" s="49"/>
      <c r="GR154" s="49"/>
      <c r="GS154" s="49"/>
      <c r="GT154" s="49"/>
      <c r="GU154" s="49"/>
      <c r="GV154" s="49"/>
      <c r="GW154" s="49"/>
      <c r="GX154" s="49"/>
      <c r="GY154" s="49"/>
      <c r="GZ154" s="49"/>
      <c r="HA154" s="49"/>
      <c r="HB154" s="49"/>
      <c r="HC154" s="49"/>
      <c r="HD154" s="49"/>
      <c r="HE154" s="49"/>
      <c r="HF154" s="49"/>
      <c r="HG154" s="49"/>
      <c r="HH154" s="49"/>
      <c r="HI154" s="49"/>
      <c r="HJ154" s="49"/>
      <c r="HK154" s="49"/>
      <c r="HL154" s="49"/>
      <c r="HM154" s="49"/>
      <c r="HN154" s="49"/>
      <c r="HO154" s="49"/>
      <c r="HP154" s="49"/>
      <c r="HQ154" s="49"/>
      <c r="HR154" s="49"/>
      <c r="HS154" s="49"/>
      <c r="HT154" s="49"/>
      <c r="HU154" s="49"/>
      <c r="HV154" s="49"/>
      <c r="HW154" s="49"/>
      <c r="HX154" s="49"/>
      <c r="HY154" s="49"/>
    </row>
    <row r="155" spans="1:233" ht="22.8">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c r="EC155" s="32"/>
      <c r="ED155" s="32"/>
      <c r="EE155" s="32"/>
      <c r="EF155" s="32"/>
      <c r="EG155" s="32"/>
      <c r="EH155" s="32"/>
      <c r="EI155" s="32"/>
      <c r="EJ155" s="32"/>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47"/>
      <c r="FN155" s="47"/>
      <c r="FO155" s="47"/>
      <c r="FP155" s="47"/>
      <c r="FQ155" s="47"/>
      <c r="FR155" s="47"/>
      <c r="FS155" s="47"/>
      <c r="FT155" s="47"/>
      <c r="FU155" s="47"/>
      <c r="FV155" s="47"/>
      <c r="FW155" s="47"/>
      <c r="FX155" s="47"/>
      <c r="FY155" s="47"/>
      <c r="FZ155" s="49"/>
      <c r="GA155" s="49"/>
      <c r="GB155" s="49"/>
      <c r="GC155" s="49"/>
      <c r="GD155" s="49"/>
      <c r="GE155" s="49"/>
      <c r="GF155" s="49"/>
      <c r="GG155" s="49"/>
      <c r="GH155" s="49"/>
      <c r="GI155" s="49"/>
      <c r="GJ155" s="49"/>
      <c r="GK155" s="49"/>
      <c r="GL155" s="49"/>
      <c r="GM155" s="49"/>
      <c r="GN155" s="49"/>
      <c r="GO155" s="49"/>
      <c r="GP155" s="49"/>
      <c r="GQ155" s="49"/>
      <c r="GR155" s="49"/>
      <c r="GS155" s="49"/>
      <c r="GT155" s="49"/>
      <c r="GU155" s="49"/>
      <c r="GV155" s="49"/>
      <c r="GW155" s="49"/>
      <c r="GX155" s="49"/>
      <c r="GY155" s="49"/>
      <c r="GZ155" s="49"/>
      <c r="HA155" s="49"/>
      <c r="HB155" s="49"/>
      <c r="HC155" s="49"/>
      <c r="HD155" s="49"/>
      <c r="HE155" s="49"/>
      <c r="HF155" s="49"/>
      <c r="HG155" s="49"/>
      <c r="HH155" s="49"/>
      <c r="HI155" s="49"/>
      <c r="HJ155" s="49"/>
      <c r="HK155" s="49"/>
      <c r="HL155" s="49"/>
      <c r="HM155" s="49"/>
      <c r="HN155" s="49"/>
      <c r="HO155" s="49"/>
      <c r="HP155" s="49"/>
      <c r="HQ155" s="49"/>
      <c r="HR155" s="49"/>
      <c r="HS155" s="49"/>
      <c r="HT155" s="49"/>
      <c r="HU155" s="49"/>
      <c r="HV155" s="49"/>
      <c r="HW155" s="49"/>
      <c r="HX155" s="49"/>
      <c r="HY155" s="49"/>
    </row>
    <row r="156" spans="1:233" ht="22.8">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47"/>
      <c r="FN156" s="47"/>
      <c r="FO156" s="47"/>
      <c r="FP156" s="47"/>
      <c r="FQ156" s="47"/>
      <c r="FR156" s="47"/>
      <c r="FS156" s="47"/>
      <c r="FT156" s="47"/>
      <c r="FU156" s="47"/>
      <c r="FV156" s="47"/>
      <c r="FW156" s="47"/>
      <c r="FX156" s="47"/>
      <c r="FY156" s="47"/>
      <c r="FZ156" s="49"/>
      <c r="GA156" s="49"/>
      <c r="GB156" s="49"/>
      <c r="GC156" s="49"/>
      <c r="GD156" s="49"/>
      <c r="GE156" s="49"/>
      <c r="GF156" s="49"/>
      <c r="GG156" s="49"/>
      <c r="GH156" s="49"/>
      <c r="GI156" s="49"/>
      <c r="GJ156" s="49"/>
      <c r="GK156" s="49"/>
      <c r="GL156" s="49"/>
      <c r="GM156" s="49"/>
      <c r="GN156" s="49"/>
      <c r="GO156" s="49"/>
      <c r="GP156" s="49"/>
      <c r="GQ156" s="49"/>
      <c r="GR156" s="49"/>
      <c r="GS156" s="49"/>
      <c r="GT156" s="49"/>
      <c r="GU156" s="49"/>
      <c r="GV156" s="49"/>
      <c r="GW156" s="49"/>
      <c r="GX156" s="49"/>
      <c r="GY156" s="49"/>
      <c r="GZ156" s="49"/>
      <c r="HA156" s="49"/>
      <c r="HB156" s="49"/>
      <c r="HC156" s="49"/>
      <c r="HD156" s="49"/>
      <c r="HE156" s="49"/>
      <c r="HF156" s="49"/>
      <c r="HG156" s="49"/>
      <c r="HH156" s="49"/>
      <c r="HI156" s="49"/>
      <c r="HJ156" s="49"/>
      <c r="HK156" s="49"/>
      <c r="HL156" s="49"/>
      <c r="HM156" s="49"/>
      <c r="HN156" s="49"/>
      <c r="HO156" s="49"/>
      <c r="HP156" s="49"/>
      <c r="HQ156" s="49"/>
      <c r="HR156" s="49"/>
      <c r="HS156" s="49"/>
      <c r="HT156" s="49"/>
      <c r="HU156" s="49"/>
      <c r="HV156" s="49"/>
      <c r="HW156" s="49"/>
      <c r="HX156" s="49"/>
      <c r="HY156" s="49"/>
    </row>
    <row r="157" spans="1:233" ht="22.8">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47"/>
      <c r="FN157" s="47"/>
      <c r="FO157" s="47"/>
      <c r="FP157" s="47"/>
      <c r="FQ157" s="47"/>
      <c r="FR157" s="47"/>
      <c r="FS157" s="47"/>
      <c r="FT157" s="47"/>
      <c r="FU157" s="47"/>
      <c r="FV157" s="47"/>
      <c r="FW157" s="47"/>
      <c r="FX157" s="47"/>
      <c r="FY157" s="47"/>
      <c r="FZ157" s="49"/>
      <c r="GA157" s="49"/>
      <c r="GB157" s="49"/>
      <c r="GC157" s="49"/>
      <c r="GD157" s="49"/>
      <c r="GE157" s="49"/>
      <c r="GF157" s="49"/>
      <c r="GG157" s="49"/>
      <c r="GH157" s="49"/>
      <c r="GI157" s="49"/>
      <c r="GJ157" s="49"/>
      <c r="GK157" s="49"/>
      <c r="GL157" s="49"/>
      <c r="GM157" s="49"/>
      <c r="GN157" s="49"/>
      <c r="GO157" s="49"/>
      <c r="GP157" s="49"/>
      <c r="GQ157" s="49"/>
      <c r="GR157" s="49"/>
      <c r="GS157" s="49"/>
      <c r="GT157" s="49"/>
      <c r="GU157" s="49"/>
      <c r="GV157" s="49"/>
      <c r="GW157" s="49"/>
      <c r="GX157" s="49"/>
      <c r="GY157" s="49"/>
      <c r="GZ157" s="49"/>
      <c r="HA157" s="49"/>
      <c r="HB157" s="49"/>
      <c r="HC157" s="49"/>
      <c r="HD157" s="49"/>
      <c r="HE157" s="49"/>
      <c r="HF157" s="49"/>
      <c r="HG157" s="49"/>
      <c r="HH157" s="49"/>
      <c r="HI157" s="49"/>
      <c r="HJ157" s="49"/>
      <c r="HK157" s="49"/>
      <c r="HL157" s="49"/>
      <c r="HM157" s="49"/>
      <c r="HN157" s="49"/>
      <c r="HO157" s="49"/>
      <c r="HP157" s="49"/>
      <c r="HQ157" s="49"/>
      <c r="HR157" s="49"/>
      <c r="HS157" s="49"/>
      <c r="HT157" s="49"/>
      <c r="HU157" s="49"/>
      <c r="HV157" s="49"/>
      <c r="HW157" s="49"/>
      <c r="HX157" s="49"/>
      <c r="HY157" s="49"/>
    </row>
    <row r="158" spans="1:233" ht="22.8">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47"/>
      <c r="FN158" s="47"/>
      <c r="FO158" s="47"/>
      <c r="FP158" s="47"/>
      <c r="FQ158" s="47"/>
      <c r="FR158" s="47"/>
      <c r="FS158" s="47"/>
      <c r="FT158" s="47"/>
      <c r="FU158" s="47"/>
      <c r="FV158" s="47"/>
      <c r="FW158" s="47"/>
      <c r="FX158" s="47"/>
      <c r="FY158" s="47"/>
      <c r="FZ158" s="49"/>
      <c r="GA158" s="49"/>
      <c r="GB158" s="49"/>
      <c r="GC158" s="49"/>
      <c r="GD158" s="49"/>
      <c r="GE158" s="49"/>
      <c r="GF158" s="49"/>
      <c r="GG158" s="49"/>
      <c r="GH158" s="49"/>
      <c r="GI158" s="49"/>
      <c r="GJ158" s="49"/>
      <c r="GK158" s="49"/>
      <c r="GL158" s="49"/>
      <c r="GM158" s="49"/>
      <c r="GN158" s="49"/>
      <c r="GO158" s="49"/>
      <c r="GP158" s="49"/>
      <c r="GQ158" s="49"/>
      <c r="GR158" s="49"/>
      <c r="GS158" s="49"/>
      <c r="GT158" s="49"/>
      <c r="GU158" s="49"/>
      <c r="GV158" s="49"/>
      <c r="GW158" s="49"/>
      <c r="GX158" s="49"/>
      <c r="GY158" s="49"/>
      <c r="GZ158" s="49"/>
      <c r="HA158" s="49"/>
      <c r="HB158" s="49"/>
      <c r="HC158" s="49"/>
      <c r="HD158" s="49"/>
      <c r="HE158" s="49"/>
      <c r="HF158" s="49"/>
      <c r="HG158" s="49"/>
      <c r="HH158" s="49"/>
      <c r="HI158" s="49"/>
      <c r="HJ158" s="49"/>
      <c r="HK158" s="49"/>
      <c r="HL158" s="49"/>
      <c r="HM158" s="49"/>
      <c r="HN158" s="49"/>
      <c r="HO158" s="49"/>
      <c r="HP158" s="49"/>
      <c r="HQ158" s="49"/>
      <c r="HR158" s="49"/>
      <c r="HS158" s="49"/>
      <c r="HT158" s="49"/>
      <c r="HU158" s="49"/>
      <c r="HV158" s="49"/>
      <c r="HW158" s="49"/>
      <c r="HX158" s="49"/>
      <c r="HY158" s="49"/>
    </row>
    <row r="159" spans="1:233" ht="22.8">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47"/>
      <c r="FN159" s="47"/>
      <c r="FO159" s="47"/>
      <c r="FP159" s="47"/>
      <c r="FQ159" s="47"/>
      <c r="FR159" s="47"/>
      <c r="FS159" s="47"/>
      <c r="FT159" s="47"/>
      <c r="FU159" s="47"/>
      <c r="FV159" s="47"/>
      <c r="FW159" s="47"/>
      <c r="FX159" s="47"/>
      <c r="FY159" s="47"/>
      <c r="FZ159" s="49"/>
      <c r="GA159" s="49"/>
      <c r="GB159" s="49"/>
      <c r="GC159" s="49"/>
      <c r="GD159" s="49"/>
      <c r="GE159" s="49"/>
      <c r="GF159" s="49"/>
      <c r="GG159" s="49"/>
      <c r="GH159" s="49"/>
      <c r="GI159" s="49"/>
      <c r="GJ159" s="49"/>
      <c r="GK159" s="49"/>
      <c r="GL159" s="49"/>
      <c r="GM159" s="49"/>
      <c r="GN159" s="49"/>
      <c r="GO159" s="49"/>
      <c r="GP159" s="49"/>
      <c r="GQ159" s="49"/>
      <c r="GR159" s="49"/>
      <c r="GS159" s="49"/>
      <c r="GT159" s="49"/>
      <c r="GU159" s="49"/>
      <c r="GV159" s="49"/>
      <c r="GW159" s="49"/>
      <c r="GX159" s="49"/>
      <c r="GY159" s="49"/>
      <c r="GZ159" s="49"/>
      <c r="HA159" s="49"/>
      <c r="HB159" s="49"/>
      <c r="HC159" s="49"/>
      <c r="HD159" s="49"/>
      <c r="HE159" s="49"/>
      <c r="HF159" s="49"/>
      <c r="HG159" s="49"/>
      <c r="HH159" s="49"/>
      <c r="HI159" s="49"/>
      <c r="HJ159" s="49"/>
      <c r="HK159" s="49"/>
      <c r="HL159" s="49"/>
      <c r="HM159" s="49"/>
      <c r="HN159" s="49"/>
      <c r="HO159" s="49"/>
      <c r="HP159" s="49"/>
      <c r="HQ159" s="49"/>
      <c r="HR159" s="49"/>
      <c r="HS159" s="49"/>
      <c r="HT159" s="49"/>
      <c r="HU159" s="49"/>
      <c r="HV159" s="49"/>
      <c r="HW159" s="49"/>
      <c r="HX159" s="49"/>
      <c r="HY159" s="49"/>
    </row>
    <row r="160" spans="1:233" ht="22.8">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47"/>
      <c r="FN160" s="47"/>
      <c r="FO160" s="47"/>
      <c r="FP160" s="47"/>
      <c r="FQ160" s="47"/>
      <c r="FR160" s="47"/>
      <c r="FS160" s="47"/>
      <c r="FT160" s="47"/>
      <c r="FU160" s="47"/>
      <c r="FV160" s="47"/>
      <c r="FW160" s="47"/>
      <c r="FX160" s="47"/>
      <c r="FY160" s="47"/>
      <c r="FZ160" s="49"/>
      <c r="GA160" s="49"/>
      <c r="GB160" s="49"/>
      <c r="GC160" s="49"/>
      <c r="GD160" s="49"/>
      <c r="GE160" s="49"/>
      <c r="GF160" s="49"/>
      <c r="GG160" s="49"/>
      <c r="GH160" s="49"/>
      <c r="GI160" s="49"/>
      <c r="GJ160" s="49"/>
      <c r="GK160" s="49"/>
      <c r="GL160" s="49"/>
      <c r="GM160" s="49"/>
      <c r="GN160" s="49"/>
      <c r="GO160" s="49"/>
      <c r="GP160" s="49"/>
      <c r="GQ160" s="49"/>
      <c r="GR160" s="49"/>
      <c r="GS160" s="49"/>
      <c r="GT160" s="49"/>
      <c r="GU160" s="49"/>
      <c r="GV160" s="49"/>
      <c r="GW160" s="49"/>
      <c r="GX160" s="49"/>
      <c r="GY160" s="49"/>
      <c r="GZ160" s="49"/>
      <c r="HA160" s="49"/>
      <c r="HB160" s="49"/>
      <c r="HC160" s="49"/>
      <c r="HD160" s="49"/>
      <c r="HE160" s="49"/>
      <c r="HF160" s="49"/>
      <c r="HG160" s="49"/>
      <c r="HH160" s="49"/>
      <c r="HI160" s="49"/>
      <c r="HJ160" s="49"/>
      <c r="HK160" s="49"/>
      <c r="HL160" s="49"/>
      <c r="HM160" s="49"/>
      <c r="HN160" s="49"/>
      <c r="HO160" s="49"/>
      <c r="HP160" s="49"/>
      <c r="HQ160" s="49"/>
      <c r="HR160" s="49"/>
      <c r="HS160" s="49"/>
      <c r="HT160" s="49"/>
      <c r="HU160" s="49"/>
      <c r="HV160" s="49"/>
      <c r="HW160" s="49"/>
      <c r="HX160" s="49"/>
      <c r="HY160" s="49"/>
    </row>
    <row r="161" spans="1:233" ht="22.8">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47"/>
      <c r="FN161" s="47"/>
      <c r="FO161" s="47"/>
      <c r="FP161" s="47"/>
      <c r="FQ161" s="47"/>
      <c r="FR161" s="47"/>
      <c r="FS161" s="47"/>
      <c r="FT161" s="47"/>
      <c r="FU161" s="47"/>
      <c r="FV161" s="47"/>
      <c r="FW161" s="47"/>
      <c r="FX161" s="47"/>
      <c r="FY161" s="47"/>
      <c r="FZ161" s="49"/>
      <c r="GA161" s="49"/>
      <c r="GB161" s="49"/>
      <c r="GC161" s="49"/>
      <c r="GD161" s="49"/>
      <c r="GE161" s="49"/>
      <c r="GF161" s="49"/>
      <c r="GG161" s="49"/>
      <c r="GH161" s="49"/>
      <c r="GI161" s="49"/>
      <c r="GJ161" s="49"/>
      <c r="GK161" s="49"/>
      <c r="GL161" s="49"/>
      <c r="GM161" s="49"/>
      <c r="GN161" s="49"/>
      <c r="GO161" s="49"/>
      <c r="GP161" s="49"/>
      <c r="GQ161" s="49"/>
      <c r="GR161" s="49"/>
      <c r="GS161" s="49"/>
      <c r="GT161" s="49"/>
      <c r="GU161" s="49"/>
      <c r="GV161" s="49"/>
      <c r="GW161" s="49"/>
      <c r="GX161" s="49"/>
      <c r="GY161" s="49"/>
      <c r="GZ161" s="49"/>
      <c r="HA161" s="49"/>
      <c r="HB161" s="49"/>
      <c r="HC161" s="49"/>
      <c r="HD161" s="49"/>
      <c r="HE161" s="49"/>
      <c r="HF161" s="49"/>
      <c r="HG161" s="49"/>
      <c r="HH161" s="49"/>
      <c r="HI161" s="49"/>
      <c r="HJ161" s="49"/>
      <c r="HK161" s="49"/>
      <c r="HL161" s="49"/>
      <c r="HM161" s="49"/>
      <c r="HN161" s="49"/>
      <c r="HO161" s="49"/>
      <c r="HP161" s="49"/>
      <c r="HQ161" s="49"/>
      <c r="HR161" s="49"/>
      <c r="HS161" s="49"/>
      <c r="HT161" s="49"/>
      <c r="HU161" s="49"/>
      <c r="HV161" s="49"/>
      <c r="HW161" s="49"/>
      <c r="HX161" s="49"/>
      <c r="HY161" s="49"/>
    </row>
    <row r="162" spans="1:233" ht="22.8">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47"/>
      <c r="FN162" s="47"/>
      <c r="FO162" s="47"/>
      <c r="FP162" s="47"/>
      <c r="FQ162" s="47"/>
      <c r="FR162" s="47"/>
      <c r="FS162" s="47"/>
      <c r="FT162" s="47"/>
      <c r="FU162" s="47"/>
      <c r="FV162" s="47"/>
      <c r="FW162" s="47"/>
      <c r="FX162" s="47"/>
      <c r="FY162" s="47"/>
      <c r="FZ162" s="49"/>
      <c r="GA162" s="49"/>
      <c r="GB162" s="49"/>
      <c r="GC162" s="49"/>
      <c r="GD162" s="49"/>
      <c r="GE162" s="49"/>
      <c r="GF162" s="49"/>
      <c r="GG162" s="49"/>
      <c r="GH162" s="49"/>
      <c r="GI162" s="49"/>
      <c r="GJ162" s="49"/>
      <c r="GK162" s="49"/>
      <c r="GL162" s="49"/>
      <c r="GM162" s="49"/>
      <c r="GN162" s="49"/>
      <c r="GO162" s="49"/>
      <c r="GP162" s="49"/>
      <c r="GQ162" s="49"/>
      <c r="GR162" s="49"/>
      <c r="GS162" s="49"/>
      <c r="GT162" s="49"/>
      <c r="GU162" s="49"/>
      <c r="GV162" s="49"/>
      <c r="GW162" s="49"/>
      <c r="GX162" s="49"/>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row>
    <row r="163" spans="1:233" ht="22.8">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47"/>
      <c r="FN163" s="47"/>
      <c r="FO163" s="47"/>
      <c r="FP163" s="47"/>
      <c r="FQ163" s="47"/>
      <c r="FR163" s="47"/>
      <c r="FS163" s="47"/>
      <c r="FT163" s="47"/>
      <c r="FU163" s="47"/>
      <c r="FV163" s="47"/>
      <c r="FW163" s="47"/>
      <c r="FX163" s="47"/>
      <c r="FY163" s="47"/>
      <c r="FZ163" s="49"/>
      <c r="GA163" s="49"/>
      <c r="GB163" s="49"/>
      <c r="GC163" s="49"/>
      <c r="GD163" s="49"/>
      <c r="GE163" s="49"/>
      <c r="GF163" s="49"/>
      <c r="GG163" s="49"/>
      <c r="GH163" s="49"/>
      <c r="GI163" s="49"/>
      <c r="GJ163" s="49"/>
      <c r="GK163" s="49"/>
      <c r="GL163" s="49"/>
      <c r="GM163" s="49"/>
      <c r="GN163" s="49"/>
      <c r="GO163" s="49"/>
      <c r="GP163" s="49"/>
      <c r="GQ163" s="49"/>
      <c r="GR163" s="49"/>
      <c r="GS163" s="49"/>
      <c r="GT163" s="49"/>
      <c r="GU163" s="49"/>
      <c r="GV163" s="49"/>
      <c r="GW163" s="49"/>
      <c r="GX163" s="49"/>
      <c r="GY163" s="49"/>
      <c r="GZ163" s="49"/>
      <c r="HA163" s="49"/>
      <c r="HB163" s="49"/>
      <c r="HC163" s="49"/>
      <c r="HD163" s="49"/>
      <c r="HE163" s="49"/>
      <c r="HF163" s="49"/>
      <c r="HG163" s="49"/>
      <c r="HH163" s="49"/>
      <c r="HI163" s="49"/>
      <c r="HJ163" s="49"/>
      <c r="HK163" s="49"/>
      <c r="HL163" s="49"/>
      <c r="HM163" s="49"/>
      <c r="HN163" s="49"/>
      <c r="HO163" s="49"/>
      <c r="HP163" s="49"/>
      <c r="HQ163" s="49"/>
      <c r="HR163" s="49"/>
      <c r="HS163" s="49"/>
      <c r="HT163" s="49"/>
      <c r="HU163" s="49"/>
      <c r="HV163" s="49"/>
      <c r="HW163" s="49"/>
      <c r="HX163" s="49"/>
      <c r="HY163" s="49"/>
    </row>
    <row r="164" spans="1:233" ht="22.8">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47"/>
      <c r="FN164" s="47"/>
      <c r="FO164" s="47"/>
      <c r="FP164" s="47"/>
      <c r="FQ164" s="47"/>
      <c r="FR164" s="47"/>
      <c r="FS164" s="47"/>
      <c r="FT164" s="47"/>
      <c r="FU164" s="47"/>
      <c r="FV164" s="47"/>
      <c r="FW164" s="47"/>
      <c r="FX164" s="47"/>
      <c r="FY164" s="47"/>
      <c r="FZ164" s="49"/>
      <c r="GA164" s="49"/>
      <c r="GB164" s="49"/>
      <c r="GC164" s="49"/>
      <c r="GD164" s="49"/>
      <c r="GE164" s="49"/>
      <c r="GF164" s="49"/>
      <c r="GG164" s="49"/>
      <c r="GH164" s="49"/>
      <c r="GI164" s="49"/>
      <c r="GJ164" s="49"/>
      <c r="GK164" s="49"/>
      <c r="GL164" s="49"/>
      <c r="GM164" s="49"/>
      <c r="GN164" s="49"/>
      <c r="GO164" s="49"/>
      <c r="GP164" s="49"/>
      <c r="GQ164" s="49"/>
      <c r="GR164" s="49"/>
      <c r="GS164" s="49"/>
      <c r="GT164" s="49"/>
      <c r="GU164" s="49"/>
      <c r="GV164" s="49"/>
      <c r="GW164" s="49"/>
      <c r="GX164" s="49"/>
      <c r="GY164" s="49"/>
      <c r="GZ164" s="49"/>
      <c r="HA164" s="49"/>
      <c r="HB164" s="49"/>
      <c r="HC164" s="49"/>
      <c r="HD164" s="49"/>
      <c r="HE164" s="49"/>
      <c r="HF164" s="49"/>
      <c r="HG164" s="49"/>
      <c r="HH164" s="49"/>
      <c r="HI164" s="49"/>
      <c r="HJ164" s="49"/>
      <c r="HK164" s="49"/>
      <c r="HL164" s="49"/>
      <c r="HM164" s="49"/>
      <c r="HN164" s="49"/>
      <c r="HO164" s="49"/>
      <c r="HP164" s="49"/>
      <c r="HQ164" s="49"/>
      <c r="HR164" s="49"/>
      <c r="HS164" s="49"/>
      <c r="HT164" s="49"/>
      <c r="HU164" s="49"/>
      <c r="HV164" s="49"/>
      <c r="HW164" s="49"/>
      <c r="HX164" s="49"/>
      <c r="HY164" s="49"/>
    </row>
    <row r="165" spans="1:233" ht="22.8">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47"/>
      <c r="FN165" s="47"/>
      <c r="FO165" s="47"/>
      <c r="FP165" s="47"/>
      <c r="FQ165" s="47"/>
      <c r="FR165" s="47"/>
      <c r="FS165" s="47"/>
      <c r="FT165" s="47"/>
      <c r="FU165" s="47"/>
      <c r="FV165" s="47"/>
      <c r="FW165" s="47"/>
      <c r="FX165" s="47"/>
      <c r="FY165" s="47"/>
      <c r="FZ165" s="49"/>
      <c r="GA165" s="49"/>
      <c r="GB165" s="49"/>
      <c r="GC165" s="49"/>
      <c r="GD165" s="49"/>
      <c r="GE165" s="49"/>
      <c r="GF165" s="49"/>
      <c r="GG165" s="49"/>
      <c r="GH165" s="49"/>
      <c r="GI165" s="49"/>
      <c r="GJ165" s="49"/>
      <c r="GK165" s="49"/>
      <c r="GL165" s="49"/>
      <c r="GM165" s="49"/>
      <c r="GN165" s="49"/>
      <c r="GO165" s="49"/>
      <c r="GP165" s="49"/>
      <c r="GQ165" s="49"/>
      <c r="GR165" s="49"/>
      <c r="GS165" s="49"/>
      <c r="GT165" s="49"/>
      <c r="GU165" s="49"/>
      <c r="GV165" s="49"/>
      <c r="GW165" s="49"/>
      <c r="GX165" s="49"/>
      <c r="GY165" s="49"/>
      <c r="GZ165" s="49"/>
      <c r="HA165" s="49"/>
      <c r="HB165" s="49"/>
      <c r="HC165" s="49"/>
      <c r="HD165" s="49"/>
      <c r="HE165" s="49"/>
      <c r="HF165" s="49"/>
      <c r="HG165" s="49"/>
      <c r="HH165" s="49"/>
      <c r="HI165" s="49"/>
      <c r="HJ165" s="49"/>
      <c r="HK165" s="49"/>
      <c r="HL165" s="49"/>
      <c r="HM165" s="49"/>
      <c r="HN165" s="49"/>
      <c r="HO165" s="49"/>
      <c r="HP165" s="49"/>
      <c r="HQ165" s="49"/>
      <c r="HR165" s="49"/>
      <c r="HS165" s="49"/>
      <c r="HT165" s="49"/>
      <c r="HU165" s="49"/>
      <c r="HV165" s="49"/>
      <c r="HW165" s="49"/>
      <c r="HX165" s="49"/>
      <c r="HY165" s="49"/>
    </row>
  </sheetData>
  <sheetProtection password="C484" sheet="1" objects="1" scenarios="1"/>
  <mergeCells count="18">
    <mergeCell ref="AD66:CZ66"/>
    <mergeCell ref="AE67:CY67"/>
    <mergeCell ref="AD68:CZ68"/>
    <mergeCell ref="I24:ET24"/>
    <mergeCell ref="H23:EU23"/>
    <mergeCell ref="H25:EU25"/>
    <mergeCell ref="Q38:CC38"/>
    <mergeCell ref="DY38:EF38"/>
    <mergeCell ref="CB60:DE60"/>
    <mergeCell ref="CC61:DD61"/>
    <mergeCell ref="CB62:DE62"/>
    <mergeCell ref="EO3:FL3"/>
    <mergeCell ref="EO4:FK4"/>
    <mergeCell ref="Q36:CC36"/>
    <mergeCell ref="DY36:EF36"/>
    <mergeCell ref="R37:CB37"/>
    <mergeCell ref="EO5:FL5"/>
    <mergeCell ref="DZ37:EE37"/>
  </mergeCells>
  <conditionalFormatting sqref="FL75:FL86">
    <cfRule type="cellIs" dxfId="81" priority="164" stopIfTrue="1" operator="equal">
      <formula>"."</formula>
    </cfRule>
  </conditionalFormatting>
  <conditionalFormatting sqref="CC277:DZ326">
    <cfRule type="cellIs" dxfId="80" priority="135" stopIfTrue="1" operator="equal">
      <formula>";"</formula>
    </cfRule>
    <cfRule type="cellIs" dxfId="79" priority="136" stopIfTrue="1" operator="equal">
      <formula>"-"</formula>
    </cfRule>
    <cfRule type="cellIs" dxfId="78" priority="137" stopIfTrue="1" operator="equal">
      <formula>":"</formula>
    </cfRule>
    <cfRule type="cellIs" dxfId="77" priority="138" stopIfTrue="1" operator="equal">
      <formula>"`"</formula>
    </cfRule>
    <cfRule type="cellIs" dxfId="76" priority="139" operator="equal">
      <formula>"*"</formula>
    </cfRule>
    <cfRule type="cellIs" dxfId="75" priority="140" operator="equal">
      <formula>","</formula>
    </cfRule>
    <cfRule type="cellIs" dxfId="74" priority="141" stopIfTrue="1" operator="equal">
      <formula>"."</formula>
    </cfRule>
    <cfRule type="cellIs" dxfId="73" priority="142" stopIfTrue="1" operator="equal">
      <formula>"+"</formula>
    </cfRule>
  </conditionalFormatting>
  <conditionalFormatting sqref="D11:FL74">
    <cfRule type="cellIs" dxfId="72" priority="146" stopIfTrue="1" operator="equal">
      <formula>";"</formula>
    </cfRule>
    <cfRule type="cellIs" dxfId="71" priority="154" stopIfTrue="1" operator="equal">
      <formula>"^"</formula>
    </cfRule>
    <cfRule type="cellIs" dxfId="70" priority="155" stopIfTrue="1" operator="equal">
      <formula>"!"</formula>
    </cfRule>
    <cfRule type="cellIs" dxfId="69" priority="156" stopIfTrue="1" operator="equal">
      <formula>"~"</formula>
    </cfRule>
    <cfRule type="cellIs" dxfId="68" priority="157" stopIfTrue="1" operator="equal">
      <formula>":"</formula>
    </cfRule>
    <cfRule type="cellIs" dxfId="67" priority="158" stopIfTrue="1" operator="equal">
      <formula>"`"</formula>
    </cfRule>
    <cfRule type="cellIs" dxfId="66" priority="159" operator="equal">
      <formula>"*"</formula>
    </cfRule>
    <cfRule type="cellIs" dxfId="65" priority="160" operator="equal">
      <formula>","</formula>
    </cfRule>
    <cfRule type="cellIs" dxfId="64" priority="161" stopIfTrue="1" operator="equal">
      <formula>"."</formula>
    </cfRule>
    <cfRule type="cellIs" dxfId="63" priority="162" stopIfTrue="1" operator="equal">
      <formula>"+"</formula>
    </cfRule>
    <cfRule type="cellIs" dxfId="62" priority="163" stopIfTrue="1" operator="equal">
      <formula>"-"</formula>
    </cfRule>
  </conditionalFormatting>
  <dataValidations count="5">
    <dataValidation type="list" allowBlank="1" showInputMessage="1" showErrorMessage="1" sqref="AE67:CY67">
      <formula1>$FR$67:$FT$67</formula1>
    </dataValidation>
    <dataValidation type="list" allowBlank="1" showInputMessage="1" showErrorMessage="1" sqref="CC61:DD61">
      <formula1>$FQ$61:$FV$61</formula1>
    </dataValidation>
    <dataValidation type="list" allowBlank="1" showInputMessage="1" showErrorMessage="1" sqref="R37:CB37">
      <formula1>$FO$37:$FP$37</formula1>
    </dataValidation>
    <dataValidation type="list" allowBlank="1" showInputMessage="1" showErrorMessage="1" sqref="I24:DY24">
      <formula1>$FP$24:$FS$24</formula1>
    </dataValidation>
    <dataValidation type="list" allowBlank="1" showInputMessage="1" showErrorMessage="1" sqref="DZ37:EE37">
      <formula1>$FR$37:$FV$37</formula1>
    </dataValidation>
  </dataValidations>
  <pageMargins left="0.75" right="0.75" top="1" bottom="1" header="0.5" footer="0.5"/>
  <pageSetup paperSize="9" scale="70" orientation="portrait" horizontalDpi="200" verticalDpi="200" r:id="rId1"/>
  <headerFooter alignWithMargins="0">
    <oddFooter>&amp;C- &amp;P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programma</vt:lpstr>
      <vt:lpstr>Inleiding</vt:lpstr>
      <vt:lpstr>Toets</vt:lpstr>
      <vt:lpstr>TO, TK en TW</vt:lpstr>
      <vt:lpstr>Gemiddeld en marginaal</vt:lpstr>
      <vt:lpstr>TVK, TCK, GVK en GCK</vt:lpstr>
      <vt:lpstr>Berekening maximale winst</vt:lpstr>
      <vt:lpstr>Welvaartseffect</vt:lpstr>
      <vt:lpstr>Mon. Conc. lange termijn</vt:lpstr>
      <vt:lpstr>Blad1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 Goltstein (goltstein@hotmail.com)</dc:creator>
  <dc:description>auteursrecht © 2003 Uitgeverij Goltstein</dc:description>
  <cp:lastModifiedBy>Goltstein</cp:lastModifiedBy>
  <cp:lastPrinted>2010-05-14T08:17:38Z</cp:lastPrinted>
  <dcterms:created xsi:type="dcterms:W3CDTF">2002-10-10T15:04:04Z</dcterms:created>
  <dcterms:modified xsi:type="dcterms:W3CDTF">2021-09-19T08:07:26Z</dcterms:modified>
</cp:coreProperties>
</file>